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defaultThemeVersion="124226"/>
  <bookViews>
    <workbookView xWindow="885" yWindow="1125" windowWidth="19170" windowHeight="6060" tabRatio="793"/>
  </bookViews>
  <sheets>
    <sheet name="Top" sheetId="1" r:id="rId1"/>
    <sheet name="別表" sheetId="2" r:id="rId2"/>
    <sheet name="提出" sheetId="3" r:id="rId3"/>
    <sheet name="原価" sheetId="4" r:id="rId4"/>
    <sheet name="引込" sheetId="25" r:id="rId5"/>
    <sheet name="受変" sheetId="24" r:id="rId6"/>
    <sheet name="発電" sheetId="26" r:id="rId7"/>
    <sheet name="S3" sheetId="27" r:id="rId8"/>
    <sheet name="S5" sheetId="28" r:id="rId9"/>
    <sheet name="Help"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0" hidden="1">Top!$A$9:$CY$63</definedName>
    <definedName name="_xlnm.Print_Area" localSheetId="9">Help!$C$2:$L$2263</definedName>
    <definedName name="_xlnm.Print_Area" localSheetId="7">'S3'!$B$2:$K$58</definedName>
    <definedName name="_xlnm.Print_Area" localSheetId="8">'S5'!$A$3:$X$163</definedName>
    <definedName name="_xlnm.Print_Area" localSheetId="0">Top!$B$2:$CB$187</definedName>
    <definedName name="_xlnm.Print_Area" localSheetId="4">引込!$B$2:$BU$85</definedName>
    <definedName name="_xlnm.Print_Area" localSheetId="3">原価!$B$2:$AA$148</definedName>
    <definedName name="_xlnm.Print_Area" localSheetId="5">受変!$B$2:$BU$158</definedName>
    <definedName name="_xlnm.Print_Area" localSheetId="2">提出!$B$2:$AA$148</definedName>
    <definedName name="_xlnm.Print_Area" localSheetId="6">発電!$B$2:$BU$80</definedName>
    <definedName name="_xlnm.Print_Area" localSheetId="1">別表!$B$2:$G$41</definedName>
    <definedName name="ＳＣ_50">受変!$BW$150:$BX$166</definedName>
    <definedName name="ＳＣ_60">受変!$BY$150:$BZ$166</definedName>
    <definedName name="カイダカ">引込!$BX$69:$CE$89</definedName>
    <definedName name="引込1" localSheetId="4">引込!$BX$19:$CE$55</definedName>
    <definedName name="引込2" localSheetId="4">引込!$BX$45:$CE$64</definedName>
    <definedName name="階高" localSheetId="7">[1]低幹!$CJ$109:$CN$128</definedName>
    <definedName name="階高" localSheetId="8">引込!$CG$15:$CH$34</definedName>
    <definedName name="階高" localSheetId="4">引込!$CG$15:$CH$34</definedName>
    <definedName name="階高" localSheetId="5">引込!$CG$15:$CH$34</definedName>
    <definedName name="階高" localSheetId="6">引込!$CG$15:$CH$34</definedName>
    <definedName name="階高">Top!$CD$109:$CI$128</definedName>
    <definedName name="気象" localSheetId="7">[1]低幹!$FL$87:$FO$166</definedName>
    <definedName name="気象" localSheetId="8">[1]低幹!$FL$87:$FO$166</definedName>
    <definedName name="気象" localSheetId="4">[1]低幹!$FL$87:$FO$166</definedName>
    <definedName name="気象" localSheetId="5">[1]低幹!$FL$87:$FO$166</definedName>
    <definedName name="気象" localSheetId="6">[1]低幹!$FL$87:$FO$166</definedName>
    <definedName name="気象">Top!$FL$86:$FO$168</definedName>
    <definedName name="建物引" localSheetId="8">[1]低幹!$E$5:$AL$3275</definedName>
    <definedName name="地域" localSheetId="0">Top!$FL$87:$FN$166</definedName>
    <definedName name="提出">提出!$BG$6:$BS$44</definedName>
    <definedName name="電気料金">受変!$BV$11:$CA$21</definedName>
    <definedName name="内訳" localSheetId="3">原価!$BD$6:$BR$45</definedName>
    <definedName name="日付">別表!$I$43:$M$91</definedName>
    <definedName name="日付1">別表!$K$43:$M$91</definedName>
    <definedName name="発電機質量" localSheetId="6">発電!$CI$18:$DL$25</definedName>
    <definedName name="飽和蒸気圧" localSheetId="7">'S3'!$I$31:$J$41</definedName>
    <definedName name="面積">Top!$CD$133:$CZ$153</definedName>
    <definedName name="面積階">Top!$BI$109:$CN$128</definedName>
    <definedName name="令別表" localSheetId="0">Top!$DC$11:$FG$65</definedName>
  </definedNames>
  <calcPr calcId="145621"/>
</workbook>
</file>

<file path=xl/calcChain.xml><?xml version="1.0" encoding="utf-8"?>
<calcChain xmlns="http://schemas.openxmlformats.org/spreadsheetml/2006/main">
  <c r="AX33" i="24" l="1"/>
  <c r="AR33" i="24"/>
  <c r="AF33" i="24"/>
  <c r="Z33" i="24"/>
  <c r="Z14" i="24" l="1"/>
  <c r="AX18" i="24"/>
  <c r="AR18" i="24"/>
  <c r="AF18" i="24"/>
  <c r="Z18" i="24"/>
  <c r="BM18" i="4" l="1"/>
  <c r="BN18" i="4"/>
  <c r="BO18" i="4"/>
  <c r="BM17" i="4"/>
  <c r="BO17" i="4"/>
  <c r="BM14" i="4"/>
  <c r="BO14" i="4"/>
  <c r="AX31" i="24" l="1"/>
  <c r="AR31" i="24"/>
  <c r="AF31" i="24"/>
  <c r="Z31" i="24"/>
  <c r="AX14" i="24"/>
  <c r="AX22" i="24" s="1"/>
  <c r="AR14" i="24"/>
  <c r="AR22" i="24" s="1"/>
  <c r="AF14" i="24"/>
  <c r="AF22" i="24" s="1"/>
  <c r="Z22" i="24"/>
  <c r="AX13" i="24"/>
  <c r="AR13" i="24"/>
  <c r="AF13" i="24"/>
  <c r="Z13" i="24"/>
  <c r="AX16" i="24"/>
  <c r="AR16" i="24"/>
  <c r="AF16" i="24"/>
  <c r="Z16" i="24"/>
  <c r="AL22" i="24" l="1"/>
  <c r="C154" i="24" l="1"/>
  <c r="CG34" i="25" l="1"/>
  <c r="CG33" i="25"/>
  <c r="CG32" i="25"/>
  <c r="CG31" i="25"/>
  <c r="CG30" i="25"/>
  <c r="CG29" i="25"/>
  <c r="CG28" i="25"/>
  <c r="CG27" i="25"/>
  <c r="CG26" i="25"/>
  <c r="CG25" i="25"/>
  <c r="CG24" i="25"/>
  <c r="CG23" i="25"/>
  <c r="CG22" i="25"/>
  <c r="CG21" i="25"/>
  <c r="CG20" i="25"/>
  <c r="CG19" i="25"/>
  <c r="CG18" i="25"/>
  <c r="CG17" i="25"/>
  <c r="CG16" i="25"/>
  <c r="CG15" i="25"/>
  <c r="CG35" i="25" s="1"/>
  <c r="BZ88" i="25" l="1"/>
  <c r="BZ87" i="25"/>
  <c r="BZ86" i="25"/>
  <c r="BZ85" i="25"/>
  <c r="BZ84" i="25"/>
  <c r="BZ83" i="25"/>
  <c r="BZ82" i="25"/>
  <c r="BZ81" i="25"/>
  <c r="BZ80" i="25"/>
  <c r="BZ79" i="25"/>
  <c r="BZ78" i="25"/>
  <c r="BZ77" i="25"/>
  <c r="BZ76" i="25"/>
  <c r="BZ75" i="25"/>
  <c r="BZ74" i="25"/>
  <c r="BZ73" i="25"/>
  <c r="BZ72" i="25"/>
  <c r="BZ71" i="25"/>
  <c r="BZ70" i="25"/>
  <c r="BX88" i="25"/>
  <c r="BX87" i="25"/>
  <c r="BX86" i="25"/>
  <c r="BX85" i="25"/>
  <c r="BX84" i="25"/>
  <c r="BX83" i="25"/>
  <c r="BX82" i="25"/>
  <c r="BX81" i="25"/>
  <c r="BX80" i="25"/>
  <c r="BX79" i="25"/>
  <c r="BX78" i="25"/>
  <c r="BX77" i="25"/>
  <c r="BX76" i="25"/>
  <c r="BX75" i="25"/>
  <c r="BX74" i="25"/>
  <c r="BX73" i="25"/>
  <c r="BX72" i="25"/>
  <c r="BX71" i="25"/>
  <c r="BX70" i="25"/>
  <c r="BX69" i="25"/>
  <c r="BZ69" i="25" s="1"/>
  <c r="CA72" i="25" l="1"/>
  <c r="CA73" i="25"/>
  <c r="CA74" i="25"/>
  <c r="BR16" i="25"/>
  <c r="C4" i="28" l="1"/>
  <c r="C12" i="28"/>
  <c r="C14" i="28"/>
  <c r="C15" i="28"/>
  <c r="C44" i="28"/>
  <c r="C46" i="28"/>
  <c r="C47" i="28"/>
  <c r="C74" i="28"/>
  <c r="C76" i="28"/>
  <c r="C77" i="28"/>
  <c r="C106" i="28"/>
  <c r="C108" i="28"/>
  <c r="C109" i="28"/>
  <c r="C137" i="28"/>
  <c r="C139" i="28"/>
  <c r="C140" i="28"/>
  <c r="J2" i="27"/>
  <c r="O37" i="27"/>
  <c r="S37" i="27"/>
  <c r="O38" i="27"/>
  <c r="S38" i="27"/>
  <c r="S44" i="27"/>
  <c r="T44" i="27"/>
  <c r="W46" i="27"/>
  <c r="X46" i="27" s="1"/>
  <c r="W48" i="27"/>
  <c r="X48" i="27" s="1"/>
  <c r="Q51" i="27"/>
  <c r="Q52" i="27"/>
  <c r="Q53" i="27"/>
  <c r="Y1" i="26"/>
  <c r="AN3" i="26"/>
  <c r="C6" i="26"/>
  <c r="K6" i="26"/>
  <c r="C66" i="26" s="1"/>
  <c r="C67" i="26" s="1"/>
  <c r="C8" i="26"/>
  <c r="K8" i="26"/>
  <c r="U6" i="26" s="1"/>
  <c r="C10" i="26"/>
  <c r="Y12" i="26"/>
  <c r="AH12" i="26"/>
  <c r="BI17" i="26"/>
  <c r="BI18" i="26"/>
  <c r="BI19" i="26"/>
  <c r="BI20" i="26"/>
  <c r="BI21" i="26"/>
  <c r="BI22" i="26"/>
  <c r="C47" i="26"/>
  <c r="L47" i="26"/>
  <c r="U47" i="26"/>
  <c r="AE47" i="26"/>
  <c r="AM47" i="26"/>
  <c r="Y1" i="25"/>
  <c r="CL4" i="25"/>
  <c r="CL10" i="25" s="1"/>
  <c r="CL5" i="25"/>
  <c r="CL11" i="25" s="1"/>
  <c r="CL6" i="25"/>
  <c r="CL12" i="25" s="1"/>
  <c r="D7" i="25"/>
  <c r="BL7" i="25" s="1"/>
  <c r="Y7" i="25"/>
  <c r="AE3" i="25" s="1"/>
  <c r="AG7" i="25"/>
  <c r="AM7" i="25"/>
  <c r="AS7" i="25"/>
  <c r="D8" i="25"/>
  <c r="O8" i="25"/>
  <c r="V9" i="25"/>
  <c r="AA9" i="25"/>
  <c r="BD5" i="25" s="1"/>
  <c r="AJ9" i="25"/>
  <c r="BD7" i="25" s="1"/>
  <c r="CL9" i="25"/>
  <c r="D11" i="25"/>
  <c r="I11" i="25"/>
  <c r="CA15" i="25" s="1"/>
  <c r="D14" i="25"/>
  <c r="I14" i="25"/>
  <c r="CB15" i="25" s="1"/>
  <c r="S14" i="25"/>
  <c r="AO38" i="25" s="1"/>
  <c r="BO14" i="25"/>
  <c r="S15" i="25"/>
  <c r="AO39" i="25" s="1"/>
  <c r="CK15" i="25"/>
  <c r="BD16" i="25"/>
  <c r="BM16" i="25"/>
  <c r="CK17" i="25"/>
  <c r="BH18" i="25"/>
  <c r="BQ18" i="25"/>
  <c r="CK18" i="25"/>
  <c r="CK19" i="25"/>
  <c r="C20" i="25"/>
  <c r="CK20" i="25"/>
  <c r="C21" i="25"/>
  <c r="CK21" i="25"/>
  <c r="C26" i="25"/>
  <c r="BY58" i="25" s="1"/>
  <c r="CD58" i="25" s="1"/>
  <c r="K26" i="25"/>
  <c r="C27" i="25"/>
  <c r="BY59" i="25" s="1"/>
  <c r="K27" i="25"/>
  <c r="C28" i="25"/>
  <c r="BY60" i="25" s="1"/>
  <c r="CD60" i="25" s="1"/>
  <c r="K28" i="25"/>
  <c r="AR28" i="25"/>
  <c r="AT31" i="25"/>
  <c r="AY31" i="25"/>
  <c r="AO40" i="25"/>
  <c r="BB43" i="25"/>
  <c r="BB45" i="25"/>
  <c r="BB46" i="25"/>
  <c r="BB47" i="25"/>
  <c r="BB50" i="25"/>
  <c r="BL50" i="25"/>
  <c r="BL51" i="25"/>
  <c r="BK51" i="25" s="1"/>
  <c r="BB52" i="25"/>
  <c r="BL52" i="25"/>
  <c r="BL53" i="25"/>
  <c r="BK53" i="25" s="1"/>
  <c r="BN57" i="25"/>
  <c r="BB58" i="25"/>
  <c r="BB59" i="25"/>
  <c r="BY69" i="25"/>
  <c r="BY70" i="25"/>
  <c r="BY71" i="25"/>
  <c r="BY72" i="25"/>
  <c r="BY73" i="25"/>
  <c r="BY74" i="25"/>
  <c r="BY75" i="25"/>
  <c r="BY76" i="25"/>
  <c r="BY77" i="25"/>
  <c r="BY78" i="25"/>
  <c r="BY79" i="25"/>
  <c r="BY80" i="25"/>
  <c r="BY81" i="25"/>
  <c r="BY82" i="25"/>
  <c r="BY83" i="25"/>
  <c r="CB83" i="25" s="1"/>
  <c r="BY84" i="25"/>
  <c r="CB84" i="25" s="1"/>
  <c r="BY85" i="25"/>
  <c r="BY86" i="25"/>
  <c r="BY87" i="25"/>
  <c r="BY88" i="25"/>
  <c r="Y1" i="24"/>
  <c r="D6" i="24"/>
  <c r="Q6" i="24"/>
  <c r="D9" i="24"/>
  <c r="J13" i="24"/>
  <c r="CG22" i="24"/>
  <c r="Z19" i="24"/>
  <c r="AF19" i="24"/>
  <c r="D25" i="24"/>
  <c r="D31" i="24"/>
  <c r="BN31" i="24" s="1"/>
  <c r="BY31" i="24"/>
  <c r="BZ31" i="24"/>
  <c r="CA31" i="24"/>
  <c r="BX33" i="24"/>
  <c r="BY33" i="24"/>
  <c r="AL33" i="24"/>
  <c r="CA33" i="24"/>
  <c r="D53" i="24"/>
  <c r="D55" i="24"/>
  <c r="AY55" i="24" s="1"/>
  <c r="AN59" i="24"/>
  <c r="D93" i="24"/>
  <c r="CC93" i="24" s="1"/>
  <c r="AR93" i="24"/>
  <c r="C95" i="24"/>
  <c r="BH95" i="24"/>
  <c r="BH111" i="24"/>
  <c r="BH117" i="24"/>
  <c r="BH123" i="24"/>
  <c r="BH129" i="24"/>
  <c r="AH147" i="24"/>
  <c r="AU147" i="24"/>
  <c r="AH149" i="24"/>
  <c r="C152" i="24"/>
  <c r="W152" i="24"/>
  <c r="AF152" i="24"/>
  <c r="AN152" i="24" s="1"/>
  <c r="AR152" i="24"/>
  <c r="C153" i="24"/>
  <c r="W153" i="24"/>
  <c r="AF153" i="24"/>
  <c r="AN153" i="24" s="1"/>
  <c r="AR153" i="24"/>
  <c r="BK153" i="24"/>
  <c r="W154" i="24"/>
  <c r="AF154" i="24"/>
  <c r="AN154" i="24" s="1"/>
  <c r="C155" i="24"/>
  <c r="AR155" i="24"/>
  <c r="C156" i="24"/>
  <c r="V156" i="24"/>
  <c r="CE71" i="25" l="1"/>
  <c r="CB71" i="25"/>
  <c r="CC71" i="25"/>
  <c r="CD71" i="25" s="1"/>
  <c r="CB70" i="25"/>
  <c r="CC70" i="25"/>
  <c r="CE70" i="25" s="1"/>
  <c r="CC82" i="25"/>
  <c r="CD82" i="25" s="1"/>
  <c r="CB82" i="25"/>
  <c r="CC74" i="25"/>
  <c r="CD74" i="25" s="1"/>
  <c r="CB73" i="25"/>
  <c r="CC69" i="25"/>
  <c r="CE69" i="25" s="1"/>
  <c r="CA69" i="25"/>
  <c r="CB72" i="25"/>
  <c r="O9" i="25"/>
  <c r="Y31" i="25"/>
  <c r="Y32" i="25"/>
  <c r="T37" i="27"/>
  <c r="V37" i="27" s="1"/>
  <c r="CC22" i="24"/>
  <c r="BH28" i="25"/>
  <c r="BL28" i="25" s="1"/>
  <c r="C15" i="26"/>
  <c r="P37" i="27"/>
  <c r="Q37" i="27" s="1"/>
  <c r="AB10" i="26"/>
  <c r="C53" i="26"/>
  <c r="C65" i="26" s="1"/>
  <c r="K67" i="26"/>
  <c r="AB67" i="26"/>
  <c r="L10" i="26"/>
  <c r="BW3" i="26"/>
  <c r="CD63" i="26"/>
  <c r="CE63" i="26" s="1"/>
  <c r="CA63" i="26"/>
  <c r="BX63" i="26"/>
  <c r="BK10" i="26"/>
  <c r="BF6" i="26"/>
  <c r="CB76" i="25"/>
  <c r="L12" i="26"/>
  <c r="AY6" i="26"/>
  <c r="AR19" i="24"/>
  <c r="D19" i="24"/>
  <c r="C24" i="25"/>
  <c r="BY56" i="25" s="1"/>
  <c r="CD56" i="25" s="1"/>
  <c r="AL12" i="26"/>
  <c r="AI6" i="26"/>
  <c r="AP10" i="26"/>
  <c r="Y6" i="26"/>
  <c r="AM10" i="26"/>
  <c r="U8" i="26"/>
  <c r="C55" i="26" s="1"/>
  <c r="CB88" i="25"/>
  <c r="C23" i="25"/>
  <c r="BY55" i="25" s="1"/>
  <c r="CD55" i="25" s="1"/>
  <c r="BW17" i="25"/>
  <c r="BW15" i="25" s="1"/>
  <c r="K25" i="25"/>
  <c r="AN15" i="25"/>
  <c r="CC86" i="25"/>
  <c r="CD86" i="25" s="1"/>
  <c r="K24" i="25"/>
  <c r="CB78" i="25"/>
  <c r="CC78" i="25"/>
  <c r="CD78" i="25" s="1"/>
  <c r="CB85" i="25"/>
  <c r="CC85" i="25"/>
  <c r="CD85" i="25" s="1"/>
  <c r="CC87" i="25"/>
  <c r="CD87" i="25" s="1"/>
  <c r="CB87" i="25"/>
  <c r="CC84" i="25"/>
  <c r="CD84" i="25" s="1"/>
  <c r="CB80" i="25"/>
  <c r="CC80" i="25"/>
  <c r="CD80" i="25" s="1"/>
  <c r="CB74" i="25"/>
  <c r="T13" i="24"/>
  <c r="CC76" i="25"/>
  <c r="CD76" i="25" s="1"/>
  <c r="C25" i="25"/>
  <c r="BY57" i="25" s="1"/>
  <c r="CD57" i="25" s="1"/>
  <c r="BH23" i="25"/>
  <c r="V151" i="24"/>
  <c r="O14" i="25"/>
  <c r="O15" i="25" s="1"/>
  <c r="D13" i="24"/>
  <c r="CC88" i="25"/>
  <c r="CD88" i="25" s="1"/>
  <c r="CC72" i="25"/>
  <c r="CD72" i="25" s="1"/>
  <c r="AL14" i="24"/>
  <c r="C145" i="24"/>
  <c r="M145" i="24" s="1"/>
  <c r="P145" i="24" s="1"/>
  <c r="CC81" i="25"/>
  <c r="CD81" i="25" s="1"/>
  <c r="CB81" i="25"/>
  <c r="CD3" i="25"/>
  <c r="CD4" i="25" s="1"/>
  <c r="S11" i="25"/>
  <c r="AH38" i="25"/>
  <c r="AH36" i="25"/>
  <c r="AH35" i="25"/>
  <c r="CB75" i="25"/>
  <c r="CC75" i="25"/>
  <c r="CD75" i="25" s="1"/>
  <c r="CC83" i="25"/>
  <c r="CD83" i="25" s="1"/>
  <c r="CB77" i="25"/>
  <c r="CC77" i="25"/>
  <c r="CD77" i="25" s="1"/>
  <c r="CB86" i="25"/>
  <c r="CB79" i="25"/>
  <c r="CC79" i="25"/>
  <c r="CD79" i="25" s="1"/>
  <c r="CK22" i="25"/>
  <c r="AL18" i="24"/>
  <c r="CC73" i="25"/>
  <c r="CD73" i="25" s="1"/>
  <c r="D18" i="24"/>
  <c r="J18" i="24"/>
  <c r="N18" i="24"/>
  <c r="CB69" i="25"/>
  <c r="CE75" i="25" s="1"/>
  <c r="CD59" i="25"/>
  <c r="T18" i="24"/>
  <c r="N19" i="24"/>
  <c r="J19" i="24"/>
  <c r="BN7" i="25"/>
  <c r="AS11" i="25"/>
  <c r="BK36" i="25" s="1"/>
  <c r="BK37" i="25"/>
  <c r="AL33" i="25"/>
  <c r="X8" i="25"/>
  <c r="K23" i="25"/>
  <c r="C33" i="25"/>
  <c r="C31" i="25"/>
  <c r="C32" i="25"/>
  <c r="O11" i="25"/>
  <c r="AN11" i="25" s="1"/>
  <c r="CO3" i="25"/>
  <c r="CO4" i="25" s="1"/>
  <c r="CE3" i="25"/>
  <c r="CE4" i="25" s="1"/>
  <c r="BZ33" i="24"/>
  <c r="T31" i="24"/>
  <c r="J31" i="24"/>
  <c r="N13" i="24"/>
  <c r="N31" i="24"/>
  <c r="BX31" i="24"/>
  <c r="AX19" i="24"/>
  <c r="T19" i="24"/>
  <c r="J33" i="24"/>
  <c r="N33" i="24"/>
  <c r="T33" i="24"/>
  <c r="N55" i="24"/>
  <c r="BJ55" i="24"/>
  <c r="AB55" i="24"/>
  <c r="AN55" i="24"/>
  <c r="J16" i="24"/>
  <c r="N16" i="24"/>
  <c r="T16" i="24"/>
  <c r="D16" i="24"/>
  <c r="D14" i="24"/>
  <c r="J14" i="24"/>
  <c r="J22" i="24" s="1"/>
  <c r="T22" i="24" s="1"/>
  <c r="T14" i="24"/>
  <c r="CF22" i="24"/>
  <c r="AL16" i="24"/>
  <c r="N14" i="24"/>
  <c r="AL31" i="24"/>
  <c r="AL13" i="24"/>
  <c r="CE77" i="25" l="1"/>
  <c r="CE73" i="25"/>
  <c r="CE72" i="25"/>
  <c r="CE74" i="25"/>
  <c r="CE76" i="25"/>
  <c r="BM20" i="26"/>
  <c r="C18" i="26"/>
  <c r="C22" i="26"/>
  <c r="CC22" i="26" s="1"/>
  <c r="AT22" i="26" s="1"/>
  <c r="C20" i="26"/>
  <c r="C24" i="26"/>
  <c r="C19" i="26"/>
  <c r="C23" i="26"/>
  <c r="C21" i="26"/>
  <c r="C25" i="26"/>
  <c r="CE88" i="25"/>
  <c r="CE87" i="25"/>
  <c r="CE86" i="25"/>
  <c r="CE85" i="25"/>
  <c r="AL19" i="24"/>
  <c r="BD19" i="24" s="1"/>
  <c r="U37" i="27"/>
  <c r="U44" i="27" s="1"/>
  <c r="C60" i="26"/>
  <c r="AA71" i="26" s="1"/>
  <c r="C63" i="26"/>
  <c r="K63" i="26" s="1"/>
  <c r="BH53" i="26"/>
  <c r="K66" i="26" s="1"/>
  <c r="AZ53" i="26"/>
  <c r="C64" i="26"/>
  <c r="AC8" i="26"/>
  <c r="BM21" i="26" s="1"/>
  <c r="C72" i="26"/>
  <c r="AL72" i="26" s="1"/>
  <c r="R37" i="27"/>
  <c r="Q44" i="27" s="1"/>
  <c r="BY5" i="25"/>
  <c r="BY6" i="25" s="1"/>
  <c r="CD36" i="25"/>
  <c r="BY36" i="25" s="1"/>
  <c r="BM17" i="26"/>
  <c r="BM22" i="26"/>
  <c r="BX15" i="25"/>
  <c r="BI18" i="24"/>
  <c r="AT12" i="26"/>
  <c r="AT10" i="26"/>
  <c r="BX64" i="26"/>
  <c r="BY64" i="26" s="1"/>
  <c r="AO57" i="26"/>
  <c r="AF57" i="26" s="1"/>
  <c r="CA64" i="26"/>
  <c r="CD64" i="26"/>
  <c r="AH37" i="25"/>
  <c r="AK37" i="25" s="1"/>
  <c r="CA66" i="26"/>
  <c r="CB66" i="26" s="1"/>
  <c r="CA65" i="26"/>
  <c r="CB65" i="26" s="1"/>
  <c r="BX65" i="26"/>
  <c r="BY65" i="26" s="1"/>
  <c r="CD66" i="26"/>
  <c r="CE66" i="26" s="1"/>
  <c r="BX66" i="26"/>
  <c r="BY66" i="26" s="1"/>
  <c r="CD65" i="26"/>
  <c r="CE65" i="26" s="1"/>
  <c r="Z55" i="26"/>
  <c r="AE55" i="26"/>
  <c r="AL60" i="26"/>
  <c r="BI14" i="24"/>
  <c r="BD14" i="24"/>
  <c r="CN5" i="25"/>
  <c r="CN6" i="25" s="1"/>
  <c r="CE83" i="25"/>
  <c r="AN14" i="25"/>
  <c r="CA79" i="25"/>
  <c r="AR23" i="25"/>
  <c r="CD31" i="25"/>
  <c r="BL23" i="25"/>
  <c r="CA87" i="25"/>
  <c r="CA86" i="25"/>
  <c r="CC89" i="25"/>
  <c r="CD51" i="25"/>
  <c r="BO37" i="25"/>
  <c r="AO37" i="25"/>
  <c r="CD5" i="25"/>
  <c r="CD6" i="25" s="1"/>
  <c r="CA84" i="25"/>
  <c r="CE81" i="25"/>
  <c r="BO36" i="25"/>
  <c r="CD50" i="25"/>
  <c r="AO36" i="25"/>
  <c r="CA85" i="25"/>
  <c r="CA81" i="25"/>
  <c r="CE78" i="25"/>
  <c r="AK35" i="25"/>
  <c r="CD45" i="25"/>
  <c r="C35" i="25"/>
  <c r="C37" i="25" s="1"/>
  <c r="BD18" i="24"/>
  <c r="CD46" i="25"/>
  <c r="C36" i="25"/>
  <c r="AK36" i="25"/>
  <c r="CD15" i="25"/>
  <c r="S12" i="25"/>
  <c r="Y33" i="25"/>
  <c r="AQ33" i="25"/>
  <c r="CA78" i="25"/>
  <c r="CA80" i="25"/>
  <c r="CA76" i="25"/>
  <c r="CA82" i="25"/>
  <c r="CA83" i="25"/>
  <c r="CA71" i="25"/>
  <c r="CA77" i="25"/>
  <c r="CA70" i="25"/>
  <c r="CA75" i="25"/>
  <c r="CA88" i="25"/>
  <c r="CE80" i="25"/>
  <c r="CE82" i="25"/>
  <c r="CE84" i="25"/>
  <c r="C38" i="25"/>
  <c r="AK38" i="25"/>
  <c r="CD48" i="25"/>
  <c r="BY48" i="25" s="1"/>
  <c r="CE79" i="25"/>
  <c r="BD16" i="24"/>
  <c r="BI16" i="24"/>
  <c r="BI13" i="24"/>
  <c r="BD13" i="24"/>
  <c r="BI22" i="24"/>
  <c r="BD31" i="24"/>
  <c r="BI31" i="24"/>
  <c r="CD22" i="26" l="1"/>
  <c r="CE22" i="26"/>
  <c r="BE22" i="26"/>
  <c r="AC22" i="26"/>
  <c r="V22" i="26"/>
  <c r="BB22" i="26"/>
  <c r="Y22" i="26"/>
  <c r="AX22" i="26"/>
  <c r="AQ22" i="26"/>
  <c r="L22" i="26"/>
  <c r="S22" i="26"/>
  <c r="P22" i="26"/>
  <c r="AG22" i="26"/>
  <c r="AQ18" i="26"/>
  <c r="AC18" i="26"/>
  <c r="AG18" i="26"/>
  <c r="BE18" i="26"/>
  <c r="BB18" i="26"/>
  <c r="P18" i="26"/>
  <c r="L18" i="26"/>
  <c r="S18" i="26"/>
  <c r="V18" i="26"/>
  <c r="AX18" i="26"/>
  <c r="Y18" i="26"/>
  <c r="L25" i="26"/>
  <c r="AG25" i="26" s="1"/>
  <c r="P25" i="26"/>
  <c r="BE25" i="26"/>
  <c r="V25" i="26"/>
  <c r="S25" i="26"/>
  <c r="V24" i="26"/>
  <c r="BE24" i="26"/>
  <c r="P24" i="26"/>
  <c r="L24" i="26"/>
  <c r="AG24" i="26" s="1"/>
  <c r="S24" i="26"/>
  <c r="L21" i="26"/>
  <c r="BB21" i="26" s="1"/>
  <c r="V21" i="26"/>
  <c r="P21" i="26"/>
  <c r="BE21" i="26"/>
  <c r="S21" i="26"/>
  <c r="AC21" i="26" s="1"/>
  <c r="Y21" i="26" s="1"/>
  <c r="S23" i="26"/>
  <c r="L23" i="26"/>
  <c r="BE23" i="26"/>
  <c r="V23" i="26"/>
  <c r="P23" i="26"/>
  <c r="P20" i="26"/>
  <c r="L20" i="26"/>
  <c r="AG20" i="26" s="1"/>
  <c r="S20" i="26"/>
  <c r="V20" i="26"/>
  <c r="BE20" i="26"/>
  <c r="V19" i="26"/>
  <c r="AG19" i="26"/>
  <c r="L19" i="26"/>
  <c r="BB19" i="26" s="1"/>
  <c r="P19" i="26"/>
  <c r="BE19" i="26"/>
  <c r="S19" i="26"/>
  <c r="BI19" i="24"/>
  <c r="C68" i="26"/>
  <c r="BY15" i="25"/>
  <c r="AL70" i="26"/>
  <c r="AT70" i="26" s="1"/>
  <c r="L55" i="26"/>
  <c r="CD67" i="26"/>
  <c r="CE67" i="26" s="1"/>
  <c r="C77" i="26"/>
  <c r="C76" i="26"/>
  <c r="K76" i="26" s="1"/>
  <c r="BK12" i="26"/>
  <c r="C79" i="26"/>
  <c r="K79" i="26" s="1"/>
  <c r="C75" i="26"/>
  <c r="BJ6" i="26"/>
  <c r="BH55" i="26" s="1"/>
  <c r="CD18" i="26"/>
  <c r="CC18" i="26"/>
  <c r="AT18" i="26" s="1"/>
  <c r="CE18" i="26"/>
  <c r="CD47" i="25"/>
  <c r="BY47" i="25" s="1"/>
  <c r="AE63" i="26"/>
  <c r="AC12" i="25"/>
  <c r="CN3" i="25" s="1"/>
  <c r="CN4" i="25" s="1"/>
  <c r="CB64" i="26"/>
  <c r="CE64" i="26"/>
  <c r="AL65" i="26"/>
  <c r="AL63" i="26"/>
  <c r="BJ71" i="26"/>
  <c r="AL66" i="26"/>
  <c r="AL64" i="26"/>
  <c r="Z57" i="26"/>
  <c r="AT67" i="26" s="1"/>
  <c r="AZ67" i="26"/>
  <c r="AL75" i="26"/>
  <c r="AL78" i="26"/>
  <c r="AT78" i="26" s="1"/>
  <c r="BY31" i="25"/>
  <c r="BY51" i="25"/>
  <c r="BY50" i="25"/>
  <c r="BY45" i="25"/>
  <c r="CE89" i="25"/>
  <c r="CA89" i="25"/>
  <c r="BY46" i="25"/>
  <c r="AG21" i="26" l="1"/>
  <c r="AX21" i="26" s="1"/>
  <c r="BB20" i="26"/>
  <c r="AC19" i="26"/>
  <c r="Y19" i="26" s="1"/>
  <c r="CC24" i="26"/>
  <c r="AT24" i="26" s="1"/>
  <c r="AC23" i="26"/>
  <c r="BB24" i="26"/>
  <c r="CC25" i="26"/>
  <c r="AT25" i="26" s="1"/>
  <c r="BE26" i="26"/>
  <c r="AG23" i="26"/>
  <c r="AC24" i="26"/>
  <c r="BB25" i="26"/>
  <c r="AC20" i="26"/>
  <c r="AX20" i="26" s="1"/>
  <c r="AQ21" i="26"/>
  <c r="AC25" i="26"/>
  <c r="AX19" i="26"/>
  <c r="L26" i="26"/>
  <c r="CE20" i="26" s="1"/>
  <c r="BB23" i="26"/>
  <c r="AV7" i="25"/>
  <c r="R32" i="25" s="1"/>
  <c r="V32" i="25" s="1"/>
  <c r="U78" i="26"/>
  <c r="BK70" i="26"/>
  <c r="CE5" i="25"/>
  <c r="CE6" i="25" s="1"/>
  <c r="CO5" i="25"/>
  <c r="CO6" i="25" s="1"/>
  <c r="AT63" i="26"/>
  <c r="K78" i="26"/>
  <c r="CC21" i="26"/>
  <c r="AT21" i="26" s="1"/>
  <c r="AL67" i="26"/>
  <c r="BK67" i="26" s="1"/>
  <c r="CI3" i="25"/>
  <c r="CI5" i="25" s="1"/>
  <c r="CC23" i="26"/>
  <c r="CC19" i="26"/>
  <c r="AT19" i="26" s="1"/>
  <c r="BH21" i="25"/>
  <c r="AI21" i="25"/>
  <c r="CC20" i="26"/>
  <c r="AT20" i="26" s="1"/>
  <c r="AT66" i="26"/>
  <c r="BK66" i="26" s="1"/>
  <c r="AT75" i="26"/>
  <c r="AR21" i="25" l="1"/>
  <c r="AL32" i="25"/>
  <c r="AQ19" i="26"/>
  <c r="AX23" i="26"/>
  <c r="AT23" i="26"/>
  <c r="AT26" i="26" s="1"/>
  <c r="BB26" i="26"/>
  <c r="AQ23" i="26"/>
  <c r="Y23" i="26"/>
  <c r="Y20" i="26"/>
  <c r="AQ20" i="26"/>
  <c r="AX24" i="26"/>
  <c r="AQ24" i="26"/>
  <c r="Y24" i="26"/>
  <c r="AX25" i="26"/>
  <c r="CD25" i="26" s="1"/>
  <c r="AQ25" i="26"/>
  <c r="Y25" i="26"/>
  <c r="CD38" i="25"/>
  <c r="BY38" i="25" s="1"/>
  <c r="CD21" i="26"/>
  <c r="CI6" i="25"/>
  <c r="BH20" i="25" s="1"/>
  <c r="CD19" i="26"/>
  <c r="CI4" i="25"/>
  <c r="CD23" i="26"/>
  <c r="CD29" i="25"/>
  <c r="BL21" i="25"/>
  <c r="CD20" i="26"/>
  <c r="CE24" i="26"/>
  <c r="CE19" i="26"/>
  <c r="CE25" i="26"/>
  <c r="K21" i="25"/>
  <c r="CD20" i="25"/>
  <c r="AO21" i="25"/>
  <c r="CE21" i="26"/>
  <c r="CE23" i="26"/>
  <c r="S26" i="26" l="1"/>
  <c r="Y26" i="26"/>
  <c r="AQ26" i="26" s="1"/>
  <c r="AX26" i="26"/>
  <c r="CD24" i="26"/>
  <c r="U50" i="26" s="1"/>
  <c r="Z50" i="26" s="1"/>
  <c r="CD28" i="25"/>
  <c r="AR20" i="25"/>
  <c r="BY28" i="25" s="1"/>
  <c r="AL31" i="25"/>
  <c r="CD40" i="25" s="1"/>
  <c r="BY40" i="25" s="1"/>
  <c r="BL20" i="25"/>
  <c r="BY20" i="25"/>
  <c r="BY29" i="25"/>
  <c r="L50" i="26"/>
  <c r="BX55" i="26" s="1"/>
  <c r="AQ32" i="25"/>
  <c r="CD42" i="25"/>
  <c r="BY42" i="25" s="1"/>
  <c r="AC26" i="26" l="1"/>
  <c r="C50" i="26" s="1"/>
  <c r="BX54" i="26" s="1"/>
  <c r="AQ31" i="25"/>
  <c r="CD41" i="25"/>
  <c r="BY41" i="25" s="1"/>
  <c r="Q50" i="26"/>
  <c r="BX56" i="26"/>
  <c r="BX57" i="26" l="1"/>
  <c r="BZ60" i="26" s="1"/>
  <c r="H50" i="26"/>
  <c r="AV93" i="24"/>
  <c r="Z15" i="24"/>
  <c r="AF15" i="24"/>
  <c r="M33" i="27" l="1"/>
  <c r="D15" i="24"/>
  <c r="AX15" i="24"/>
  <c r="BD15" i="24"/>
  <c r="BI15" i="24"/>
  <c r="N15" i="24"/>
  <c r="T15" i="24"/>
  <c r="AR15" i="24"/>
  <c r="J15" i="24"/>
  <c r="J23" i="24" s="1"/>
  <c r="AY93" i="24"/>
  <c r="BG93" i="24"/>
  <c r="T23" i="24" l="1"/>
  <c r="AR23" i="24"/>
  <c r="CF23" i="24" s="1"/>
  <c r="AL23" i="24"/>
  <c r="CC23" i="24" s="1"/>
  <c r="AF23" i="24"/>
  <c r="Z23" i="24"/>
  <c r="AX23" i="24"/>
  <c r="CG23" i="24" s="1"/>
  <c r="AL15" i="24"/>
  <c r="BI23" i="24"/>
  <c r="CD14" i="1" l="1"/>
  <c r="CD6" i="24" s="1"/>
  <c r="CE6" i="24" l="1"/>
  <c r="AF6" i="24" s="1"/>
  <c r="AS59" i="24" s="1"/>
  <c r="AD44" i="4"/>
  <c r="BH43" i="25" l="1"/>
  <c r="AB156" i="24"/>
  <c r="AR3" i="26"/>
  <c r="BX39" i="24"/>
  <c r="C21" i="28"/>
  <c r="AE87" i="1"/>
  <c r="G7" i="28" l="1"/>
  <c r="G19" i="28" s="1"/>
  <c r="G20" i="28" s="1"/>
  <c r="G21" i="28" s="1"/>
  <c r="G22" i="28" s="1"/>
  <c r="G23" i="28" s="1"/>
  <c r="G24" i="28" s="1"/>
  <c r="G25" i="28" s="1"/>
  <c r="G26" i="28" s="1"/>
  <c r="G27" i="28" s="1"/>
  <c r="G28" i="28" s="1"/>
  <c r="BX59" i="26"/>
  <c r="BY59" i="26"/>
  <c r="AE86" i="1"/>
  <c r="BZ59" i="26" l="1"/>
  <c r="BM19" i="26" s="1"/>
  <c r="Q10" i="26"/>
  <c r="K68" i="26" s="1"/>
  <c r="G29" i="28"/>
  <c r="G31" i="28"/>
  <c r="BO27" i="4"/>
  <c r="BN27" i="4"/>
  <c r="BM27" i="4"/>
  <c r="BO24" i="4"/>
  <c r="BN24" i="4"/>
  <c r="BM24" i="4"/>
  <c r="BO23" i="4"/>
  <c r="BN23" i="4"/>
  <c r="BM23" i="4"/>
  <c r="BO22" i="4"/>
  <c r="BN22" i="4"/>
  <c r="BM22" i="4"/>
  <c r="BO21" i="4"/>
  <c r="BN21" i="4"/>
  <c r="BM21" i="4"/>
  <c r="BO19" i="4"/>
  <c r="BN19" i="4"/>
  <c r="BM19" i="4"/>
  <c r="BM18" i="26" l="1"/>
  <c r="AY8" i="26" s="1"/>
  <c r="L53" i="26"/>
  <c r="K75" i="26"/>
  <c r="BX67" i="26"/>
  <c r="BY67" i="26" s="1"/>
  <c r="S12" i="26"/>
  <c r="AE10" i="26"/>
  <c r="AX57" i="26"/>
  <c r="BD57" i="26"/>
  <c r="AM50" i="26"/>
  <c r="AE50" i="26"/>
  <c r="BP24" i="4"/>
  <c r="AB68" i="26" l="1"/>
  <c r="BZ71" i="26"/>
  <c r="CE74" i="26" s="1"/>
  <c r="W75" i="26"/>
  <c r="BF82" i="26" s="1"/>
  <c r="BM8" i="4" s="1"/>
  <c r="AL53" i="26"/>
  <c r="CI14" i="26"/>
  <c r="W79" i="26"/>
  <c r="BY71" i="26"/>
  <c r="CD78" i="26" s="1"/>
  <c r="K64" i="26"/>
  <c r="AB71" i="26"/>
  <c r="AE88" i="1"/>
  <c r="CE77" i="26"/>
  <c r="BZ54" i="26"/>
  <c r="AJ50" i="26"/>
  <c r="AR50" i="26"/>
  <c r="BZ55" i="26"/>
  <c r="CF15" i="26"/>
  <c r="L57" i="26"/>
  <c r="AT65" i="26" s="1"/>
  <c r="AX59" i="26"/>
  <c r="AL68" i="26"/>
  <c r="AL69" i="26"/>
  <c r="BP57" i="26"/>
  <c r="BJ59" i="26"/>
  <c r="BN63" i="26"/>
  <c r="BK71" i="26" s="1"/>
  <c r="Z53" i="26"/>
  <c r="K65" i="26" s="1"/>
  <c r="BE10" i="26"/>
  <c r="BN13" i="4"/>
  <c r="CE75" i="26" l="1"/>
  <c r="CE78" i="26"/>
  <c r="CD75" i="26"/>
  <c r="CD76" i="26"/>
  <c r="CD77" i="26"/>
  <c r="CD74" i="26"/>
  <c r="BH66" i="26" s="1"/>
  <c r="CE76" i="26"/>
  <c r="BF75" i="26"/>
  <c r="BM79" i="26" s="1"/>
  <c r="AB12" i="26"/>
  <c r="K77" i="26"/>
  <c r="W76" i="26"/>
  <c r="AT68" i="26"/>
  <c r="AL76" i="26"/>
  <c r="BK68" i="26"/>
  <c r="BE12" i="26"/>
  <c r="AZ55" i="26"/>
  <c r="AT69" i="26"/>
  <c r="BK69" i="26"/>
  <c r="AL77" i="26"/>
  <c r="BZ57" i="26"/>
  <c r="BO13" i="4"/>
  <c r="AT76" i="26" l="1"/>
  <c r="BF76" i="26"/>
  <c r="CB57" i="26"/>
  <c r="AS55" i="26"/>
  <c r="AM55" i="26"/>
  <c r="AT77" i="26"/>
  <c r="BF77" i="26"/>
  <c r="BF83" i="26" s="1"/>
  <c r="BN8" i="4" s="1"/>
  <c r="BM13" i="4"/>
  <c r="AT64" i="26" l="1"/>
  <c r="BH15" i="1" l="1"/>
  <c r="CD17" i="1" s="1"/>
  <c r="AX15" i="1"/>
  <c r="BF15" i="1" s="1"/>
  <c r="DH15" i="1" l="1"/>
  <c r="AD51" i="4" l="1"/>
  <c r="K9" i="2" l="1"/>
  <c r="BZ17" i="1" l="1"/>
  <c r="BZ16" i="1" s="1"/>
  <c r="AN18" i="1"/>
  <c r="BZ10" i="1"/>
  <c r="S11" i="1" s="1"/>
  <c r="J44" i="2" l="1"/>
  <c r="L39" i="2"/>
  <c r="N39" i="2"/>
  <c r="L6" i="2"/>
  <c r="L5" i="2"/>
  <c r="AA61" i="1" l="1"/>
  <c r="AA59" i="1"/>
  <c r="AA57" i="1"/>
  <c r="CD124" i="1" l="1"/>
  <c r="CH30" i="25" s="1"/>
  <c r="CD123" i="1"/>
  <c r="CH29" i="25" s="1"/>
  <c r="CD122" i="1"/>
  <c r="CH28" i="25" s="1"/>
  <c r="CD121" i="1"/>
  <c r="CH27" i="25" s="1"/>
  <c r="CD120" i="1"/>
  <c r="CH26" i="25" s="1"/>
  <c r="CD119" i="1"/>
  <c r="CH25" i="25" s="1"/>
  <c r="CD118" i="1"/>
  <c r="CH24" i="25" s="1"/>
  <c r="CD117" i="1"/>
  <c r="CH23" i="25" s="1"/>
  <c r="CD116" i="1"/>
  <c r="CH22" i="25" s="1"/>
  <c r="CD115" i="1"/>
  <c r="CH21" i="25" s="1"/>
  <c r="CD128" i="1"/>
  <c r="CH34" i="25" s="1"/>
  <c r="CD127" i="1"/>
  <c r="CH33" i="25" s="1"/>
  <c r="CD126" i="1"/>
  <c r="CH32" i="25" s="1"/>
  <c r="CD125" i="1"/>
  <c r="CH31" i="25" s="1"/>
  <c r="AR102" i="1" l="1"/>
  <c r="AR95" i="1"/>
  <c r="AR92" i="1"/>
  <c r="C100" i="1"/>
  <c r="C96" i="1"/>
  <c r="C92" i="1"/>
  <c r="L86" i="1"/>
  <c r="L87" i="1"/>
  <c r="C86" i="1" l="1"/>
  <c r="E3" i="25"/>
  <c r="BE44" i="25" s="1"/>
  <c r="C87" i="1"/>
  <c r="E3" i="24"/>
  <c r="F151" i="24" s="1"/>
  <c r="L4" i="2"/>
  <c r="L8" i="2" s="1"/>
  <c r="M39" i="2"/>
  <c r="K39" i="2"/>
  <c r="K43" i="2"/>
  <c r="K44" i="2" s="1"/>
  <c r="K45" i="2" s="1"/>
  <c r="K46" i="2" s="1"/>
  <c r="K47" i="2" s="1"/>
  <c r="K48" i="2" s="1"/>
  <c r="K49" i="2" s="1"/>
  <c r="K50" i="2" s="1"/>
  <c r="K51" i="2" s="1"/>
  <c r="K52" i="2" s="1"/>
  <c r="K53" i="2" s="1"/>
  <c r="K54" i="2" s="1"/>
  <c r="K55" i="2" s="1"/>
  <c r="K56" i="2" s="1"/>
  <c r="K57" i="2" s="1"/>
  <c r="K58" i="2" s="1"/>
  <c r="K59" i="2" s="1"/>
  <c r="J45" i="2"/>
  <c r="J46" i="2" s="1"/>
  <c r="J47" i="2" s="1"/>
  <c r="J48" i="2" s="1"/>
  <c r="J49" i="2" s="1"/>
  <c r="J50" i="2" s="1"/>
  <c r="J51" i="2" s="1"/>
  <c r="J52" i="2" s="1"/>
  <c r="J53" i="2" s="1"/>
  <c r="J54" i="2" s="1"/>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J90" i="2" s="1"/>
  <c r="J91" i="2" s="1"/>
  <c r="F1" i="2" l="1"/>
  <c r="L9" i="2"/>
  <c r="J3" i="2"/>
  <c r="L43" i="2"/>
  <c r="I43" i="2" s="1"/>
  <c r="K41" i="2" s="1"/>
  <c r="K60" i="2"/>
  <c r="L59" i="2"/>
  <c r="I59" i="2" s="1"/>
  <c r="L44" i="2"/>
  <c r="M44" i="2" s="1"/>
  <c r="L48" i="2"/>
  <c r="I48" i="2" s="1"/>
  <c r="L52" i="2"/>
  <c r="I52" i="2" s="1"/>
  <c r="L53" i="2"/>
  <c r="I53" i="2" s="1"/>
  <c r="L46" i="2"/>
  <c r="I46" i="2" s="1"/>
  <c r="L54" i="2"/>
  <c r="I54" i="2" s="1"/>
  <c r="L47" i="2"/>
  <c r="I47" i="2" s="1"/>
  <c r="L55" i="2"/>
  <c r="I55" i="2" s="1"/>
  <c r="L51" i="2"/>
  <c r="I51" i="2" s="1"/>
  <c r="L45" i="2"/>
  <c r="I45" i="2" s="1"/>
  <c r="L56" i="2"/>
  <c r="I56" i="2" s="1"/>
  <c r="L49" i="2"/>
  <c r="I49" i="2" s="1"/>
  <c r="L57" i="2"/>
  <c r="I57" i="2" s="1"/>
  <c r="L50" i="2"/>
  <c r="I50" i="2" s="1"/>
  <c r="L58" i="2"/>
  <c r="I58" i="2" s="1"/>
  <c r="K61" i="2" l="1"/>
  <c r="L60" i="2"/>
  <c r="I60" i="2" s="1"/>
  <c r="M45" i="2"/>
  <c r="I44" i="2"/>
  <c r="L41" i="2" l="1"/>
  <c r="K62" i="2"/>
  <c r="L61" i="2"/>
  <c r="I61" i="2" s="1"/>
  <c r="M46" i="2"/>
  <c r="K63" i="2" l="1"/>
  <c r="L62" i="2"/>
  <c r="I62" i="2" s="1"/>
  <c r="M47" i="2"/>
  <c r="K64" i="2" l="1"/>
  <c r="L63" i="2"/>
  <c r="I63" i="2" s="1"/>
  <c r="M48" i="2"/>
  <c r="M49" i="2" s="1"/>
  <c r="M50" i="2" s="1"/>
  <c r="M51" i="2" s="1"/>
  <c r="M52" i="2" l="1"/>
  <c r="M53" i="2" s="1"/>
  <c r="M54" i="2" s="1"/>
  <c r="M55" i="2" s="1"/>
  <c r="M56" i="2" s="1"/>
  <c r="M57" i="2" s="1"/>
  <c r="M58" i="2" s="1"/>
  <c r="M59" i="2" s="1"/>
  <c r="K65" i="2"/>
  <c r="L64" i="2"/>
  <c r="I64" i="2" s="1"/>
  <c r="N52" i="2" l="1"/>
  <c r="K66" i="2"/>
  <c r="L65" i="2"/>
  <c r="I65" i="2" s="1"/>
  <c r="K67" i="2" l="1"/>
  <c r="L66" i="2"/>
  <c r="I66" i="2" s="1"/>
  <c r="K68" i="2" l="1"/>
  <c r="L67" i="2"/>
  <c r="I67" i="2" s="1"/>
  <c r="N53" i="2"/>
  <c r="K69" i="2" l="1"/>
  <c r="L68" i="2"/>
  <c r="I68" i="2" s="1"/>
  <c r="N54" i="2"/>
  <c r="K70" i="2" l="1"/>
  <c r="L69" i="2"/>
  <c r="I69" i="2" s="1"/>
  <c r="N55" i="2"/>
  <c r="K71" i="2" l="1"/>
  <c r="L70" i="2"/>
  <c r="I70" i="2" s="1"/>
  <c r="N56" i="2"/>
  <c r="K72" i="2" l="1"/>
  <c r="L71" i="2"/>
  <c r="I71" i="2" s="1"/>
  <c r="K73" i="2" l="1"/>
  <c r="L72" i="2"/>
  <c r="I72" i="2" s="1"/>
  <c r="K74" i="2" l="1"/>
  <c r="L73" i="2"/>
  <c r="I73" i="2" s="1"/>
  <c r="K75" i="2" l="1"/>
  <c r="L74" i="2"/>
  <c r="I74" i="2" s="1"/>
  <c r="K76" i="2" l="1"/>
  <c r="L75" i="2"/>
  <c r="I75" i="2" s="1"/>
  <c r="K77" i="2" l="1"/>
  <c r="L76" i="2"/>
  <c r="I76" i="2" s="1"/>
  <c r="K78" i="2" l="1"/>
  <c r="L77" i="2"/>
  <c r="I77" i="2" s="1"/>
  <c r="K79" i="2" l="1"/>
  <c r="L78" i="2"/>
  <c r="I78" i="2" s="1"/>
  <c r="K80" i="2" l="1"/>
  <c r="L79" i="2"/>
  <c r="I79" i="2" s="1"/>
  <c r="K81" i="2" l="1"/>
  <c r="L80" i="2"/>
  <c r="I80" i="2" s="1"/>
  <c r="K82" i="2" l="1"/>
  <c r="L81" i="2"/>
  <c r="I81" i="2" s="1"/>
  <c r="L82" i="2" l="1"/>
  <c r="I82" i="2" s="1"/>
  <c r="K83" i="2"/>
  <c r="L83" i="2" l="1"/>
  <c r="I83" i="2" s="1"/>
  <c r="K84" i="2"/>
  <c r="K85" i="2" l="1"/>
  <c r="L84" i="2"/>
  <c r="I84" i="2" s="1"/>
  <c r="K86" i="2" l="1"/>
  <c r="L85" i="2"/>
  <c r="I85" i="2" s="1"/>
  <c r="K87" i="2" l="1"/>
  <c r="L86" i="2"/>
  <c r="I86" i="2" s="1"/>
  <c r="K88" i="2" l="1"/>
  <c r="L87" i="2"/>
  <c r="I87" i="2" s="1"/>
  <c r="K89" i="2" l="1"/>
  <c r="L88" i="2"/>
  <c r="I88" i="2" s="1"/>
  <c r="K90" i="2" l="1"/>
  <c r="L89" i="2"/>
  <c r="I89" i="2" s="1"/>
  <c r="K91" i="2" l="1"/>
  <c r="L91" i="2" s="1"/>
  <c r="L90" i="2"/>
  <c r="I90" i="2" s="1"/>
  <c r="I91" i="2" l="1"/>
  <c r="M91" i="2"/>
  <c r="M90" i="2" l="1"/>
  <c r="M41" i="2"/>
  <c r="M89" i="2" l="1"/>
  <c r="N91" i="2"/>
  <c r="N59" i="2"/>
  <c r="M88" i="2" l="1"/>
  <c r="N90" i="2"/>
  <c r="N58" i="2"/>
  <c r="N57" i="2"/>
  <c r="N89" i="2" l="1"/>
  <c r="M87" i="2"/>
  <c r="N88" i="2" l="1"/>
  <c r="M86" i="2"/>
  <c r="BZ62" i="1"/>
  <c r="BZ60" i="1"/>
  <c r="BZ58" i="1"/>
  <c r="R20" i="1"/>
  <c r="M85" i="2" l="1"/>
  <c r="N87" i="2"/>
  <c r="N86" i="2" l="1"/>
  <c r="M84" i="2"/>
  <c r="I24" i="1"/>
  <c r="I26" i="1"/>
  <c r="I28" i="1"/>
  <c r="I30" i="1"/>
  <c r="I32" i="1"/>
  <c r="I34" i="1"/>
  <c r="I36" i="1"/>
  <c r="I38" i="1"/>
  <c r="I40" i="1"/>
  <c r="I42" i="1"/>
  <c r="I44" i="1"/>
  <c r="I46" i="1"/>
  <c r="I48" i="1"/>
  <c r="I50" i="1"/>
  <c r="I52" i="1"/>
  <c r="I54" i="1"/>
  <c r="I56" i="1"/>
  <c r="I58" i="1"/>
  <c r="I60" i="1"/>
  <c r="I62" i="1"/>
  <c r="N85" i="2" l="1"/>
  <c r="M83" i="2"/>
  <c r="E109" i="1"/>
  <c r="L109" i="1" s="1"/>
  <c r="E110" i="1"/>
  <c r="BS110" i="1" s="1"/>
  <c r="BU24" i="1"/>
  <c r="BU26" i="1"/>
  <c r="M82" i="2" l="1"/>
  <c r="N84" i="2"/>
  <c r="BS109" i="1"/>
  <c r="N83" i="2" l="1"/>
  <c r="M81" i="2"/>
  <c r="N82" i="2" l="1"/>
  <c r="M80" i="2"/>
  <c r="J1" i="4"/>
  <c r="J1" i="3"/>
  <c r="N2134" i="23"/>
  <c r="N423" i="23"/>
  <c r="N2" i="23"/>
  <c r="N3" i="23" s="1"/>
  <c r="N4" i="23" s="1"/>
  <c r="N5" i="23" s="1"/>
  <c r="N6" i="23" s="1"/>
  <c r="N7" i="23" s="1"/>
  <c r="N8" i="23" s="1"/>
  <c r="N9" i="23" s="1"/>
  <c r="N10" i="23" s="1"/>
  <c r="N11" i="23" s="1"/>
  <c r="N12" i="23" s="1"/>
  <c r="N13" i="23" s="1"/>
  <c r="N14" i="23" s="1"/>
  <c r="N15" i="23" s="1"/>
  <c r="N16" i="23" s="1"/>
  <c r="N17" i="23" s="1"/>
  <c r="N18" i="23" s="1"/>
  <c r="N19" i="23" s="1"/>
  <c r="N20" i="23" s="1"/>
  <c r="N21" i="23" s="1"/>
  <c r="N22" i="23" s="1"/>
  <c r="N23" i="23" s="1"/>
  <c r="N24" i="23" s="1"/>
  <c r="N25" i="23" s="1"/>
  <c r="N26" i="23" s="1"/>
  <c r="N27" i="23" s="1"/>
  <c r="N28" i="23" s="1"/>
  <c r="N29" i="23" s="1"/>
  <c r="N30" i="23" s="1"/>
  <c r="N31" i="23" s="1"/>
  <c r="N32" i="23" s="1"/>
  <c r="N33" i="23" s="1"/>
  <c r="N34" i="23" s="1"/>
  <c r="N35" i="23" s="1"/>
  <c r="N36" i="23" s="1"/>
  <c r="N37" i="23" s="1"/>
  <c r="N38" i="23" s="1"/>
  <c r="N39" i="23" s="1"/>
  <c r="N40" i="23" s="1"/>
  <c r="N41" i="23" s="1"/>
  <c r="N42" i="23" s="1"/>
  <c r="N43" i="23" s="1"/>
  <c r="N44" i="23" s="1"/>
  <c r="N45" i="23" s="1"/>
  <c r="N46" i="23" s="1"/>
  <c r="N47" i="23" s="1"/>
  <c r="N48" i="23" s="1"/>
  <c r="N49" i="23" s="1"/>
  <c r="N50" i="23" s="1"/>
  <c r="N51" i="23" s="1"/>
  <c r="N52" i="23" s="1"/>
  <c r="N53" i="23" s="1"/>
  <c r="N54" i="23" s="1"/>
  <c r="N55" i="23" s="1"/>
  <c r="N56" i="23" s="1"/>
  <c r="N57" i="23" s="1"/>
  <c r="N58" i="23" s="1"/>
  <c r="N59" i="23" s="1"/>
  <c r="N60" i="23" s="1"/>
  <c r="N61" i="23" s="1"/>
  <c r="N62" i="23" s="1"/>
  <c r="N63" i="23" s="1"/>
  <c r="N64" i="23" s="1"/>
  <c r="N65" i="23" s="1"/>
  <c r="N66" i="23" s="1"/>
  <c r="N67" i="23" s="1"/>
  <c r="N68" i="23" s="1"/>
  <c r="N69" i="23" s="1"/>
  <c r="N70" i="23" s="1"/>
  <c r="N71" i="23" s="1"/>
  <c r="N72" i="23" s="1"/>
  <c r="N73" i="23" s="1"/>
  <c r="N74" i="23" s="1"/>
  <c r="N75" i="23" s="1"/>
  <c r="N76" i="23" s="1"/>
  <c r="N77" i="23" s="1"/>
  <c r="N78" i="23" s="1"/>
  <c r="N79" i="23" s="1"/>
  <c r="N80" i="23" s="1"/>
  <c r="N81" i="23" s="1"/>
  <c r="N82" i="23" s="1"/>
  <c r="N83" i="23" s="1"/>
  <c r="N84" i="23" s="1"/>
  <c r="N85" i="23" s="1"/>
  <c r="N86" i="23" s="1"/>
  <c r="N87" i="23" s="1"/>
  <c r="N88" i="23" s="1"/>
  <c r="N89" i="23" s="1"/>
  <c r="N90" i="23" s="1"/>
  <c r="N91" i="23" s="1"/>
  <c r="N92" i="23" s="1"/>
  <c r="N93" i="23" s="1"/>
  <c r="N94" i="23" s="1"/>
  <c r="Y102" i="4"/>
  <c r="X102" i="4"/>
  <c r="F102" i="4"/>
  <c r="Y101" i="4"/>
  <c r="X101" i="4"/>
  <c r="F101" i="4"/>
  <c r="F100" i="4"/>
  <c r="Y53" i="4"/>
  <c r="X53" i="4"/>
  <c r="F53" i="4"/>
  <c r="Y52" i="4"/>
  <c r="X52" i="4"/>
  <c r="F52" i="4"/>
  <c r="F51" i="4"/>
  <c r="AD48" i="4"/>
  <c r="AD47" i="4"/>
  <c r="BL46" i="4"/>
  <c r="AD46" i="4"/>
  <c r="AY44" i="4"/>
  <c r="AY43" i="4"/>
  <c r="AD43" i="4"/>
  <c r="AX153" i="24" s="1"/>
  <c r="BB98" i="24" s="1"/>
  <c r="AY42" i="4"/>
  <c r="AD42" i="4"/>
  <c r="AX152" i="24" s="1"/>
  <c r="AY41" i="4"/>
  <c r="AY40" i="4"/>
  <c r="AD40" i="4"/>
  <c r="AD41" i="4" s="1"/>
  <c r="N40" i="4"/>
  <c r="AY39" i="4"/>
  <c r="BP38" i="4"/>
  <c r="AY38" i="4" s="1"/>
  <c r="BD38" i="4" s="1"/>
  <c r="AJ38" i="4" s="1"/>
  <c r="BP37" i="4"/>
  <c r="AY37" i="4" s="1"/>
  <c r="BD37" i="4" s="1"/>
  <c r="AU37" i="4" s="1"/>
  <c r="BP36" i="4"/>
  <c r="AY36" i="4" s="1"/>
  <c r="BD36" i="4" s="1"/>
  <c r="AU36" i="4" s="1"/>
  <c r="BP35" i="4"/>
  <c r="AY35" i="4" s="1"/>
  <c r="BD35" i="4" s="1"/>
  <c r="AU35" i="4" s="1"/>
  <c r="BP34" i="4"/>
  <c r="AY34" i="4" s="1"/>
  <c r="BD34" i="4" s="1"/>
  <c r="AT34" i="4" s="1"/>
  <c r="BP33" i="4"/>
  <c r="AY33" i="4" s="1"/>
  <c r="BD33" i="4" s="1"/>
  <c r="AU33" i="4" s="1"/>
  <c r="BP32" i="4"/>
  <c r="AY32" i="4" s="1"/>
  <c r="BD32" i="4" s="1"/>
  <c r="AP32" i="4" s="1"/>
  <c r="BP31" i="4"/>
  <c r="AY31" i="4" s="1"/>
  <c r="BD31" i="4" s="1"/>
  <c r="AU31" i="4" s="1"/>
  <c r="BP30" i="4"/>
  <c r="AY30" i="4" s="1"/>
  <c r="BD30" i="4" s="1"/>
  <c r="AJ30" i="4" s="1"/>
  <c r="BP29" i="4"/>
  <c r="AY29" i="4" s="1"/>
  <c r="BD29" i="4" s="1"/>
  <c r="AU29" i="4" s="1"/>
  <c r="BP28" i="4"/>
  <c r="AY28" i="4" s="1"/>
  <c r="BD28" i="4" s="1"/>
  <c r="AU28" i="4" s="1"/>
  <c r="BP26" i="4"/>
  <c r="AY26" i="4" s="1"/>
  <c r="BD26" i="4" s="1"/>
  <c r="AG26" i="4" s="1"/>
  <c r="BP25" i="4"/>
  <c r="AY25" i="4" s="1"/>
  <c r="BD25" i="4" s="1"/>
  <c r="AT25" i="4" s="1"/>
  <c r="BP20" i="4"/>
  <c r="AY20" i="4" s="1"/>
  <c r="BD20" i="4" s="1"/>
  <c r="AT20" i="4" s="1"/>
  <c r="BP16" i="4"/>
  <c r="AY16" i="4" s="1"/>
  <c r="BD16" i="4" s="1"/>
  <c r="AT16" i="4" s="1"/>
  <c r="BP15" i="4"/>
  <c r="AY15" i="4" s="1"/>
  <c r="BD15" i="4" s="1"/>
  <c r="AU15" i="4" s="1"/>
  <c r="BP12" i="4"/>
  <c r="AY12" i="4" s="1"/>
  <c r="BP11" i="4"/>
  <c r="AY11" i="4" s="1"/>
  <c r="BD11" i="4" s="1"/>
  <c r="AP11" i="4" s="1"/>
  <c r="BP10" i="4"/>
  <c r="AY10" i="4" s="1"/>
  <c r="BP9" i="4"/>
  <c r="AY9" i="4" s="1"/>
  <c r="BR6" i="4"/>
  <c r="Y2" i="4"/>
  <c r="Y100" i="4" s="1"/>
  <c r="X102" i="3"/>
  <c r="X101" i="3"/>
  <c r="Y100" i="3"/>
  <c r="W100" i="3"/>
  <c r="V100" i="3"/>
  <c r="X53" i="3"/>
  <c r="U53" i="3"/>
  <c r="U102" i="3" s="1"/>
  <c r="D53" i="3"/>
  <c r="D102" i="3" s="1"/>
  <c r="C53" i="3"/>
  <c r="C102" i="3" s="1"/>
  <c r="X52" i="3"/>
  <c r="U52" i="3"/>
  <c r="U101" i="3" s="1"/>
  <c r="D52" i="3"/>
  <c r="D101" i="3" s="1"/>
  <c r="C52" i="3"/>
  <c r="C101" i="3" s="1"/>
  <c r="AD51" i="3"/>
  <c r="AG51" i="3" s="1"/>
  <c r="Y51" i="3"/>
  <c r="W51" i="3"/>
  <c r="U51" i="3"/>
  <c r="U100" i="3" s="1"/>
  <c r="AD49" i="3"/>
  <c r="AD48" i="3"/>
  <c r="AD47" i="3"/>
  <c r="BO46" i="3"/>
  <c r="AD46" i="3"/>
  <c r="BB44" i="3"/>
  <c r="AD44" i="3"/>
  <c r="BB43" i="3"/>
  <c r="AD43" i="3"/>
  <c r="BB42" i="3"/>
  <c r="BB41" i="3"/>
  <c r="BB40" i="3"/>
  <c r="BB39" i="3"/>
  <c r="S39" i="3"/>
  <c r="BQ38" i="3"/>
  <c r="BQ37" i="3"/>
  <c r="BQ36" i="3"/>
  <c r="BQ35" i="3"/>
  <c r="BQ34" i="3"/>
  <c r="BQ33" i="3"/>
  <c r="BQ32" i="3"/>
  <c r="BQ31" i="3"/>
  <c r="BQ30" i="3"/>
  <c r="BQ29" i="3"/>
  <c r="BQ28" i="3"/>
  <c r="BQ26" i="3"/>
  <c r="BQ25" i="3"/>
  <c r="BQ20" i="3"/>
  <c r="BQ16" i="3"/>
  <c r="BQ15" i="3"/>
  <c r="BQ14" i="3"/>
  <c r="BQ12" i="3"/>
  <c r="BQ11" i="3"/>
  <c r="BQ10" i="3"/>
  <c r="BQ9" i="3"/>
  <c r="Y4" i="3"/>
  <c r="Y53" i="3" s="1"/>
  <c r="E4" i="3"/>
  <c r="E102" i="3" s="1"/>
  <c r="AC3" i="3"/>
  <c r="Y3" i="3"/>
  <c r="Y101" i="3" s="1"/>
  <c r="E3" i="3"/>
  <c r="E101" i="3" s="1"/>
  <c r="E2" i="3"/>
  <c r="E51" i="3" s="1"/>
  <c r="J4" i="2"/>
  <c r="CM176" i="1"/>
  <c r="CK176" i="1"/>
  <c r="CJ176" i="1"/>
  <c r="CH176" i="1"/>
  <c r="CD176" i="1"/>
  <c r="CM175" i="1"/>
  <c r="CK175" i="1"/>
  <c r="CJ175" i="1"/>
  <c r="CH175" i="1"/>
  <c r="CD175" i="1"/>
  <c r="CM174" i="1"/>
  <c r="CK174" i="1"/>
  <c r="CJ174" i="1"/>
  <c r="CH174" i="1"/>
  <c r="CD174" i="1"/>
  <c r="CM173" i="1"/>
  <c r="CK173" i="1"/>
  <c r="CJ173" i="1"/>
  <c r="CH173" i="1"/>
  <c r="CD173" i="1"/>
  <c r="CM172" i="1"/>
  <c r="CK172" i="1"/>
  <c r="CJ172" i="1"/>
  <c r="CH172" i="1"/>
  <c r="CD172" i="1"/>
  <c r="CM171" i="1"/>
  <c r="CK171" i="1"/>
  <c r="CJ171" i="1"/>
  <c r="CH171" i="1"/>
  <c r="CD171" i="1"/>
  <c r="CM170" i="1"/>
  <c r="CK170" i="1"/>
  <c r="CJ170" i="1"/>
  <c r="CH170" i="1"/>
  <c r="CD170" i="1"/>
  <c r="CM169" i="1"/>
  <c r="CK169" i="1"/>
  <c r="CJ169" i="1"/>
  <c r="CH169" i="1"/>
  <c r="CD169" i="1"/>
  <c r="CM168" i="1"/>
  <c r="CK168" i="1"/>
  <c r="CJ168" i="1"/>
  <c r="CH168" i="1"/>
  <c r="CD168" i="1"/>
  <c r="CM167" i="1"/>
  <c r="CK167" i="1"/>
  <c r="CJ167" i="1"/>
  <c r="CH167" i="1"/>
  <c r="CD167" i="1"/>
  <c r="CM166" i="1"/>
  <c r="CK166" i="1"/>
  <c r="CJ166" i="1"/>
  <c r="CH166" i="1"/>
  <c r="CD166" i="1"/>
  <c r="CM165" i="1"/>
  <c r="CK165" i="1"/>
  <c r="CJ165" i="1"/>
  <c r="CH165" i="1"/>
  <c r="CD165" i="1"/>
  <c r="CM164" i="1"/>
  <c r="CK164" i="1"/>
  <c r="CJ164" i="1"/>
  <c r="CH164" i="1"/>
  <c r="CD164" i="1"/>
  <c r="CM163" i="1"/>
  <c r="CK163" i="1"/>
  <c r="CJ163" i="1"/>
  <c r="CH163" i="1"/>
  <c r="CD163" i="1"/>
  <c r="CM162" i="1"/>
  <c r="CK162" i="1"/>
  <c r="CJ162" i="1"/>
  <c r="CH162" i="1"/>
  <c r="CD162" i="1"/>
  <c r="CM161" i="1"/>
  <c r="CK161" i="1"/>
  <c r="CJ161" i="1"/>
  <c r="CH161" i="1"/>
  <c r="CD161" i="1"/>
  <c r="CM160" i="1"/>
  <c r="CK160" i="1"/>
  <c r="CJ160" i="1"/>
  <c r="CH160" i="1"/>
  <c r="CD160" i="1"/>
  <c r="CM159" i="1"/>
  <c r="CK159" i="1"/>
  <c r="CJ159" i="1"/>
  <c r="CH159" i="1"/>
  <c r="CD159" i="1"/>
  <c r="CM158" i="1"/>
  <c r="CK158" i="1"/>
  <c r="CJ158" i="1"/>
  <c r="CH158" i="1"/>
  <c r="CD158" i="1"/>
  <c r="CM157" i="1"/>
  <c r="CJ157" i="1"/>
  <c r="CH157" i="1"/>
  <c r="CD157" i="1"/>
  <c r="CD153" i="1"/>
  <c r="CD152" i="1"/>
  <c r="CD151" i="1"/>
  <c r="CD150" i="1"/>
  <c r="CD149" i="1"/>
  <c r="CD148" i="1"/>
  <c r="CD147" i="1"/>
  <c r="CD146" i="1"/>
  <c r="CD145" i="1"/>
  <c r="CD144" i="1"/>
  <c r="CD143" i="1"/>
  <c r="CD142" i="1"/>
  <c r="CD141" i="1"/>
  <c r="CD140" i="1"/>
  <c r="CD139" i="1"/>
  <c r="CD138" i="1"/>
  <c r="CD137" i="1"/>
  <c r="CD136" i="1"/>
  <c r="CD135" i="1"/>
  <c r="CD134" i="1"/>
  <c r="X131" i="1"/>
  <c r="X130" i="1"/>
  <c r="CM128" i="1"/>
  <c r="BX128" i="1"/>
  <c r="BZ128" i="1" s="1"/>
  <c r="BT128" i="1"/>
  <c r="E128" i="1"/>
  <c r="CM127" i="1"/>
  <c r="BX127" i="1"/>
  <c r="BT127" i="1"/>
  <c r="BV127" i="1" s="1"/>
  <c r="CJ152" i="1" s="1"/>
  <c r="E127" i="1"/>
  <c r="BS127" i="1" s="1"/>
  <c r="DA126" i="1"/>
  <c r="CI176" i="1" s="1"/>
  <c r="CZ126" i="1"/>
  <c r="CL176" i="1" s="1"/>
  <c r="CM126" i="1"/>
  <c r="BX126" i="1"/>
  <c r="BT126" i="1"/>
  <c r="E126" i="1"/>
  <c r="BS126" i="1" s="1"/>
  <c r="DA125" i="1"/>
  <c r="CI175" i="1" s="1"/>
  <c r="CZ125" i="1"/>
  <c r="CL175" i="1" s="1"/>
  <c r="CM125" i="1"/>
  <c r="BX125" i="1"/>
  <c r="BZ125" i="1" s="1"/>
  <c r="BT125" i="1"/>
  <c r="E125" i="1"/>
  <c r="BS125" i="1" s="1"/>
  <c r="DA124" i="1"/>
  <c r="CI174" i="1" s="1"/>
  <c r="CZ124" i="1"/>
  <c r="CL174" i="1" s="1"/>
  <c r="CM124" i="1"/>
  <c r="BX124" i="1"/>
  <c r="BZ124" i="1" s="1"/>
  <c r="BT124" i="1"/>
  <c r="E124" i="1"/>
  <c r="BS124" i="1" s="1"/>
  <c r="DA123" i="1"/>
  <c r="CI173" i="1" s="1"/>
  <c r="CZ123" i="1"/>
  <c r="CE173" i="1" s="1"/>
  <c r="CF173" i="1" s="1"/>
  <c r="BX123" i="1"/>
  <c r="BZ123" i="1" s="1"/>
  <c r="CL148" i="1" s="1"/>
  <c r="BT123" i="1"/>
  <c r="E123" i="1"/>
  <c r="BS123" i="1" s="1"/>
  <c r="DA122" i="1"/>
  <c r="CI172" i="1" s="1"/>
  <c r="CZ122" i="1"/>
  <c r="CE172" i="1" s="1"/>
  <c r="CM122" i="1"/>
  <c r="BX122" i="1"/>
  <c r="BZ122" i="1" s="1"/>
  <c r="BT122" i="1"/>
  <c r="E122" i="1"/>
  <c r="BS122" i="1" s="1"/>
  <c r="DA121" i="1"/>
  <c r="CI171" i="1" s="1"/>
  <c r="CZ121" i="1"/>
  <c r="CE171" i="1" s="1"/>
  <c r="CM121" i="1"/>
  <c r="BX121" i="1"/>
  <c r="BZ121" i="1" s="1"/>
  <c r="BT121" i="1"/>
  <c r="E121" i="1"/>
  <c r="BS121" i="1" s="1"/>
  <c r="DA120" i="1"/>
  <c r="CI170" i="1" s="1"/>
  <c r="CZ120" i="1"/>
  <c r="CE170" i="1" s="1"/>
  <c r="CM120" i="1"/>
  <c r="BX120" i="1"/>
  <c r="BZ120" i="1" s="1"/>
  <c r="BT120" i="1"/>
  <c r="E120" i="1"/>
  <c r="BS120" i="1" s="1"/>
  <c r="DA119" i="1"/>
  <c r="CI169" i="1" s="1"/>
  <c r="CZ119" i="1"/>
  <c r="CL169" i="1" s="1"/>
  <c r="CM119" i="1"/>
  <c r="BX119" i="1"/>
  <c r="BT119" i="1"/>
  <c r="E119" i="1"/>
  <c r="DA118" i="1"/>
  <c r="CI168" i="1" s="1"/>
  <c r="CZ118" i="1"/>
  <c r="CE168" i="1" s="1"/>
  <c r="CM118" i="1"/>
  <c r="BX118" i="1"/>
  <c r="BT118" i="1"/>
  <c r="E118" i="1"/>
  <c r="DA117" i="1"/>
  <c r="CI167" i="1" s="1"/>
  <c r="CZ117" i="1"/>
  <c r="CE167" i="1" s="1"/>
  <c r="CM117" i="1"/>
  <c r="BX117" i="1"/>
  <c r="BT117" i="1"/>
  <c r="E117" i="1"/>
  <c r="BS117" i="1" s="1"/>
  <c r="DA116" i="1"/>
  <c r="CI166" i="1" s="1"/>
  <c r="CZ116" i="1"/>
  <c r="CL166" i="1" s="1"/>
  <c r="CM116" i="1"/>
  <c r="BX116" i="1"/>
  <c r="BZ116" i="1" s="1"/>
  <c r="BT116" i="1"/>
  <c r="E116" i="1"/>
  <c r="BS116" i="1" s="1"/>
  <c r="DA115" i="1"/>
  <c r="CI165" i="1" s="1"/>
  <c r="CZ115" i="1"/>
  <c r="CE165" i="1" s="1"/>
  <c r="CM115" i="1"/>
  <c r="BX115" i="1"/>
  <c r="BZ115" i="1" s="1"/>
  <c r="BT115" i="1"/>
  <c r="E115" i="1"/>
  <c r="BS115" i="1" s="1"/>
  <c r="DA114" i="1"/>
  <c r="CI164" i="1" s="1"/>
  <c r="CZ114" i="1"/>
  <c r="CE164" i="1" s="1"/>
  <c r="CD114" i="1"/>
  <c r="BX114" i="1"/>
  <c r="BT114" i="1"/>
  <c r="BV114" i="1" s="1"/>
  <c r="E114" i="1"/>
  <c r="BS114" i="1" s="1"/>
  <c r="DA113" i="1"/>
  <c r="CI163" i="1" s="1"/>
  <c r="CZ113" i="1"/>
  <c r="CE163" i="1" s="1"/>
  <c r="CD113" i="1"/>
  <c r="BX113" i="1"/>
  <c r="BT113" i="1"/>
  <c r="E113" i="1"/>
  <c r="BS113" i="1" s="1"/>
  <c r="DA112" i="1"/>
  <c r="CI162" i="1" s="1"/>
  <c r="CZ112" i="1"/>
  <c r="CL162" i="1" s="1"/>
  <c r="CD112" i="1"/>
  <c r="BX112" i="1"/>
  <c r="BZ112" i="1" s="1"/>
  <c r="CK137" i="1" s="1"/>
  <c r="BT112" i="1"/>
  <c r="E112" i="1"/>
  <c r="BS112" i="1" s="1"/>
  <c r="DA111" i="1"/>
  <c r="CI161" i="1" s="1"/>
  <c r="CZ111" i="1"/>
  <c r="CE161" i="1" s="1"/>
  <c r="CD111" i="1"/>
  <c r="BX111" i="1"/>
  <c r="BZ111" i="1" s="1"/>
  <c r="CK136" i="1" s="1"/>
  <c r="BT111" i="1"/>
  <c r="E111" i="1"/>
  <c r="BS111" i="1" s="1"/>
  <c r="DA110" i="1"/>
  <c r="CI160" i="1" s="1"/>
  <c r="CZ110" i="1"/>
  <c r="CE160" i="1" s="1"/>
  <c r="CD110" i="1"/>
  <c r="CH16" i="25" s="1"/>
  <c r="BX110" i="1"/>
  <c r="BZ110" i="1" s="1"/>
  <c r="BT110" i="1"/>
  <c r="DA109" i="1"/>
  <c r="CI159" i="1" s="1"/>
  <c r="CZ109" i="1"/>
  <c r="CE159" i="1" s="1"/>
  <c r="CD109" i="1"/>
  <c r="BX109" i="1"/>
  <c r="BZ109" i="1" s="1"/>
  <c r="BT109" i="1"/>
  <c r="BV109" i="1" s="1"/>
  <c r="CX134" i="1" s="1"/>
  <c r="DA108" i="1"/>
  <c r="CI158" i="1" s="1"/>
  <c r="CZ108" i="1"/>
  <c r="CL158" i="1" s="1"/>
  <c r="CZ107" i="1"/>
  <c r="CL157" i="1" s="1"/>
  <c r="AV102" i="1"/>
  <c r="L102" i="1"/>
  <c r="C102" i="1" s="1"/>
  <c r="BA101" i="1"/>
  <c r="AR101" i="1" s="1"/>
  <c r="L101" i="1"/>
  <c r="C101" i="1" s="1"/>
  <c r="BA100" i="1"/>
  <c r="AR100" i="1" s="1"/>
  <c r="G100" i="1"/>
  <c r="BB20" i="3" s="1"/>
  <c r="BG20" i="3" s="1"/>
  <c r="BA99" i="1"/>
  <c r="AR99" i="1" s="1"/>
  <c r="L99" i="1"/>
  <c r="C99" i="1" s="1"/>
  <c r="BA98" i="1"/>
  <c r="AR98" i="1" s="1"/>
  <c r="L98" i="1"/>
  <c r="C98" i="1" s="1"/>
  <c r="BA97" i="1"/>
  <c r="AR97" i="1" s="1"/>
  <c r="L97" i="1"/>
  <c r="C97" i="1" s="1"/>
  <c r="BA96" i="1"/>
  <c r="AR96" i="1" s="1"/>
  <c r="G96" i="1"/>
  <c r="BB16" i="3" s="1"/>
  <c r="AV95" i="1"/>
  <c r="BB32" i="3" s="1"/>
  <c r="BG32" i="3" s="1"/>
  <c r="AX32" i="3" s="1"/>
  <c r="L95" i="1"/>
  <c r="C95" i="1" s="1"/>
  <c r="BA94" i="1"/>
  <c r="AR94" i="1" s="1"/>
  <c r="L94" i="1"/>
  <c r="C94" i="1" s="1"/>
  <c r="BA93" i="1"/>
  <c r="AR93" i="1" s="1"/>
  <c r="L93" i="1"/>
  <c r="C93" i="1" s="1"/>
  <c r="AV92" i="1"/>
  <c r="BB29" i="3" s="1"/>
  <c r="BG29" i="3" s="1"/>
  <c r="AW29" i="3" s="1"/>
  <c r="G92" i="1"/>
  <c r="BB12" i="3" s="1"/>
  <c r="BA91" i="1"/>
  <c r="AR91" i="1" s="1"/>
  <c r="L91" i="1"/>
  <c r="C91" i="1" s="1"/>
  <c r="BA90" i="1"/>
  <c r="AR90" i="1" s="1"/>
  <c r="L90" i="1"/>
  <c r="C90" i="1" s="1"/>
  <c r="BA89" i="1"/>
  <c r="AR89" i="1" s="1"/>
  <c r="L89" i="1"/>
  <c r="C89" i="1" s="1"/>
  <c r="G89" i="1" s="1"/>
  <c r="BA88" i="1"/>
  <c r="AR88" i="1" s="1"/>
  <c r="L88" i="1"/>
  <c r="BA87" i="1"/>
  <c r="AR87" i="1" s="1"/>
  <c r="BA86" i="1"/>
  <c r="AR86" i="1" s="1"/>
  <c r="B86" i="1"/>
  <c r="G86" i="1" s="1"/>
  <c r="B3" i="25" s="1"/>
  <c r="BB44" i="25" s="1"/>
  <c r="BB48" i="25" s="1"/>
  <c r="BE48" i="25" s="1"/>
  <c r="BL78" i="1"/>
  <c r="AI66" i="1"/>
  <c r="U66" i="1"/>
  <c r="C66" i="1"/>
  <c r="AG65" i="1"/>
  <c r="AB65" i="1"/>
  <c r="DH63" i="1"/>
  <c r="W63" i="1"/>
  <c r="DH62" i="1"/>
  <c r="CY62" i="1"/>
  <c r="CX62" i="1"/>
  <c r="CW62" i="1"/>
  <c r="CV62" i="1"/>
  <c r="CU62" i="1"/>
  <c r="CT62" i="1"/>
  <c r="CS62" i="1"/>
  <c r="CR62" i="1"/>
  <c r="CQ62" i="1"/>
  <c r="CO62" i="1"/>
  <c r="CP62" i="1" s="1"/>
  <c r="CN62" i="1"/>
  <c r="CL62" i="1"/>
  <c r="CM62" i="1" s="1"/>
  <c r="CK62" i="1"/>
  <c r="CI62" i="1"/>
  <c r="CJ62" i="1" s="1"/>
  <c r="CH62" i="1"/>
  <c r="CG62" i="1"/>
  <c r="BU62" i="1"/>
  <c r="BC62" i="1"/>
  <c r="AQ62" i="1"/>
  <c r="A62" i="1"/>
  <c r="DH60" i="1"/>
  <c r="CY60" i="1"/>
  <c r="CX60" i="1"/>
  <c r="CW60" i="1"/>
  <c r="CV60" i="1"/>
  <c r="CU60" i="1"/>
  <c r="CT60" i="1"/>
  <c r="CS60" i="1"/>
  <c r="CR60" i="1"/>
  <c r="CQ60" i="1"/>
  <c r="CO60" i="1"/>
  <c r="CP60" i="1" s="1"/>
  <c r="CN60" i="1"/>
  <c r="CL60" i="1"/>
  <c r="CM60" i="1" s="1"/>
  <c r="CK60" i="1"/>
  <c r="CI60" i="1"/>
  <c r="CJ60" i="1" s="1"/>
  <c r="CH60" i="1"/>
  <c r="CG60" i="1"/>
  <c r="BU60" i="1"/>
  <c r="BC60" i="1"/>
  <c r="AQ60" i="1"/>
  <c r="A60" i="1"/>
  <c r="DH58" i="1"/>
  <c r="CY58" i="1"/>
  <c r="CX58" i="1"/>
  <c r="CW58" i="1"/>
  <c r="CV58" i="1"/>
  <c r="CU58" i="1"/>
  <c r="CT58" i="1"/>
  <c r="CS58" i="1"/>
  <c r="CR58" i="1"/>
  <c r="CQ58" i="1"/>
  <c r="CO58" i="1"/>
  <c r="CP58" i="1" s="1"/>
  <c r="CN58" i="1"/>
  <c r="CL58" i="1"/>
  <c r="CM58" i="1" s="1"/>
  <c r="CK58" i="1"/>
  <c r="CI58" i="1"/>
  <c r="CJ58" i="1" s="1"/>
  <c r="CH58" i="1"/>
  <c r="CG58" i="1"/>
  <c r="BU58" i="1"/>
  <c r="BC58" i="1"/>
  <c r="AQ58" i="1"/>
  <c r="A58" i="1"/>
  <c r="DH56" i="1"/>
  <c r="CY56" i="1"/>
  <c r="CW56" i="1"/>
  <c r="CV56" i="1"/>
  <c r="CU56" i="1"/>
  <c r="CT56" i="1"/>
  <c r="CS56" i="1"/>
  <c r="CR56" i="1"/>
  <c r="CQ56" i="1"/>
  <c r="CO56" i="1"/>
  <c r="CP56" i="1" s="1"/>
  <c r="CN56" i="1"/>
  <c r="CL56" i="1"/>
  <c r="CM56" i="1" s="1"/>
  <c r="CK56" i="1"/>
  <c r="CI56" i="1"/>
  <c r="CJ56" i="1" s="1"/>
  <c r="CH56" i="1"/>
  <c r="CG56" i="1"/>
  <c r="BU56" i="1"/>
  <c r="A56" i="1"/>
  <c r="DH54" i="1"/>
  <c r="CY54" i="1"/>
  <c r="CW54" i="1"/>
  <c r="CV54" i="1"/>
  <c r="CU54" i="1"/>
  <c r="CT54" i="1"/>
  <c r="CS54" i="1"/>
  <c r="CR54" i="1"/>
  <c r="CQ54" i="1"/>
  <c r="CO54" i="1"/>
  <c r="CP54" i="1" s="1"/>
  <c r="CN54" i="1"/>
  <c r="CL54" i="1"/>
  <c r="CM54" i="1" s="1"/>
  <c r="CK54" i="1"/>
  <c r="CI54" i="1"/>
  <c r="CJ54" i="1" s="1"/>
  <c r="CH54" i="1"/>
  <c r="CG54" i="1"/>
  <c r="BU54" i="1"/>
  <c r="A54" i="1"/>
  <c r="DH52" i="1"/>
  <c r="CY52" i="1"/>
  <c r="CW52" i="1"/>
  <c r="CV52" i="1"/>
  <c r="CU52" i="1"/>
  <c r="CT52" i="1"/>
  <c r="CS52" i="1"/>
  <c r="CR52" i="1"/>
  <c r="CQ52" i="1"/>
  <c r="CO52" i="1"/>
  <c r="CP52" i="1" s="1"/>
  <c r="CN52" i="1"/>
  <c r="CL52" i="1"/>
  <c r="CM52" i="1" s="1"/>
  <c r="CK52" i="1"/>
  <c r="CI52" i="1"/>
  <c r="CJ52" i="1" s="1"/>
  <c r="CH52" i="1"/>
  <c r="CG52" i="1"/>
  <c r="BU52" i="1"/>
  <c r="A52" i="1"/>
  <c r="DH50" i="1"/>
  <c r="CY50" i="1"/>
  <c r="CX50" i="1"/>
  <c r="CW50" i="1"/>
  <c r="CT50" i="1"/>
  <c r="CS50" i="1"/>
  <c r="CR50" i="1"/>
  <c r="CQ50" i="1"/>
  <c r="CO50" i="1"/>
  <c r="CP50" i="1" s="1"/>
  <c r="CN50" i="1"/>
  <c r="CL50" i="1"/>
  <c r="CM50" i="1" s="1"/>
  <c r="CK50" i="1"/>
  <c r="CI50" i="1"/>
  <c r="CJ50" i="1" s="1"/>
  <c r="CH50" i="1"/>
  <c r="CG50" i="1"/>
  <c r="BU50" i="1"/>
  <c r="DH48" i="1"/>
  <c r="CY48" i="1"/>
  <c r="CX48" i="1"/>
  <c r="CW48" i="1"/>
  <c r="CT48" i="1"/>
  <c r="CS48" i="1"/>
  <c r="CR48" i="1"/>
  <c r="CQ48" i="1"/>
  <c r="CO48" i="1"/>
  <c r="CP48" i="1" s="1"/>
  <c r="CN48" i="1"/>
  <c r="CL48" i="1"/>
  <c r="CM48" i="1" s="1"/>
  <c r="CK48" i="1"/>
  <c r="CI48" i="1"/>
  <c r="CJ48" i="1" s="1"/>
  <c r="CH48" i="1"/>
  <c r="CG48" i="1"/>
  <c r="BU48" i="1"/>
  <c r="DH46" i="1"/>
  <c r="CY46" i="1"/>
  <c r="CX46" i="1"/>
  <c r="CW46" i="1"/>
  <c r="CU46" i="1"/>
  <c r="CT46" i="1"/>
  <c r="CQ46" i="1"/>
  <c r="CO46" i="1"/>
  <c r="CP46" i="1" s="1"/>
  <c r="CN46" i="1"/>
  <c r="CL46" i="1"/>
  <c r="CM46" i="1" s="1"/>
  <c r="CK46" i="1"/>
  <c r="CI46" i="1"/>
  <c r="CJ46" i="1" s="1"/>
  <c r="CH46" i="1"/>
  <c r="CG46" i="1"/>
  <c r="BU46" i="1"/>
  <c r="DH44" i="1"/>
  <c r="CY44" i="1"/>
  <c r="CX44" i="1"/>
  <c r="CW44" i="1"/>
  <c r="CU44" i="1"/>
  <c r="CT44" i="1"/>
  <c r="CQ44" i="1"/>
  <c r="CO44" i="1"/>
  <c r="CP44" i="1" s="1"/>
  <c r="CN44" i="1"/>
  <c r="CL44" i="1"/>
  <c r="CM44" i="1" s="1"/>
  <c r="CK44" i="1"/>
  <c r="CI44" i="1"/>
  <c r="CJ44" i="1" s="1"/>
  <c r="CH44" i="1"/>
  <c r="CG44" i="1"/>
  <c r="BU44" i="1"/>
  <c r="DH42" i="1"/>
  <c r="CY42" i="1"/>
  <c r="CX42" i="1"/>
  <c r="CW42" i="1"/>
  <c r="CU42" i="1"/>
  <c r="CT42" i="1"/>
  <c r="CQ42" i="1"/>
  <c r="CO42" i="1"/>
  <c r="CP42" i="1" s="1"/>
  <c r="CN42" i="1"/>
  <c r="CL42" i="1"/>
  <c r="CM42" i="1" s="1"/>
  <c r="CK42" i="1"/>
  <c r="CI42" i="1"/>
  <c r="CJ42" i="1" s="1"/>
  <c r="CH42" i="1"/>
  <c r="CG42" i="1"/>
  <c r="BU42" i="1"/>
  <c r="DH40" i="1"/>
  <c r="CY40" i="1"/>
  <c r="CX40" i="1"/>
  <c r="CW40" i="1"/>
  <c r="CU40" i="1"/>
  <c r="CT40" i="1"/>
  <c r="CQ40" i="1"/>
  <c r="CO40" i="1"/>
  <c r="CP40" i="1" s="1"/>
  <c r="CN40" i="1"/>
  <c r="CL40" i="1"/>
  <c r="CM40" i="1" s="1"/>
  <c r="CK40" i="1"/>
  <c r="CI40" i="1"/>
  <c r="CJ40" i="1" s="1"/>
  <c r="CH40" i="1"/>
  <c r="CG40" i="1"/>
  <c r="BU40" i="1"/>
  <c r="DH38" i="1"/>
  <c r="CY38" i="1"/>
  <c r="CX38" i="1"/>
  <c r="CW38" i="1"/>
  <c r="CU38" i="1"/>
  <c r="CT38" i="1"/>
  <c r="CQ38" i="1"/>
  <c r="CO38" i="1"/>
  <c r="CP38" i="1" s="1"/>
  <c r="CN38" i="1"/>
  <c r="CL38" i="1"/>
  <c r="CM38" i="1" s="1"/>
  <c r="CK38" i="1"/>
  <c r="CI38" i="1"/>
  <c r="CJ38" i="1" s="1"/>
  <c r="CH38" i="1"/>
  <c r="CG38" i="1"/>
  <c r="BU38" i="1"/>
  <c r="DH36" i="1"/>
  <c r="CY36" i="1"/>
  <c r="CX36" i="1"/>
  <c r="CW36" i="1"/>
  <c r="CU36" i="1"/>
  <c r="CT36" i="1"/>
  <c r="CQ36" i="1"/>
  <c r="CO36" i="1"/>
  <c r="CP36" i="1" s="1"/>
  <c r="CN36" i="1"/>
  <c r="CL36" i="1"/>
  <c r="CM36" i="1" s="1"/>
  <c r="CK36" i="1"/>
  <c r="CI36" i="1"/>
  <c r="CJ36" i="1" s="1"/>
  <c r="CH36" i="1"/>
  <c r="CG36" i="1"/>
  <c r="BU36" i="1"/>
  <c r="DH34" i="1"/>
  <c r="CY34" i="1"/>
  <c r="CX34" i="1"/>
  <c r="CW34" i="1"/>
  <c r="CU34" i="1"/>
  <c r="CT34" i="1"/>
  <c r="CQ34" i="1"/>
  <c r="CO34" i="1"/>
  <c r="CP34" i="1" s="1"/>
  <c r="CN34" i="1"/>
  <c r="CL34" i="1"/>
  <c r="CM34" i="1" s="1"/>
  <c r="CK34" i="1"/>
  <c r="CI34" i="1"/>
  <c r="CJ34" i="1" s="1"/>
  <c r="CH34" i="1"/>
  <c r="CG34" i="1"/>
  <c r="BU34" i="1"/>
  <c r="DH32" i="1"/>
  <c r="CY32" i="1"/>
  <c r="CX32" i="1"/>
  <c r="CW32" i="1"/>
  <c r="CU32" i="1"/>
  <c r="CT32" i="1"/>
  <c r="CS32" i="1"/>
  <c r="CR32" i="1"/>
  <c r="CQ32" i="1"/>
  <c r="CN32" i="1"/>
  <c r="CL32" i="1"/>
  <c r="CM32" i="1" s="1"/>
  <c r="CK32" i="1"/>
  <c r="CI32" i="1"/>
  <c r="CJ32" i="1" s="1"/>
  <c r="CH32" i="1"/>
  <c r="CG32" i="1"/>
  <c r="BU32" i="1"/>
  <c r="DH30" i="1"/>
  <c r="CY30" i="1"/>
  <c r="CX30" i="1"/>
  <c r="CW30" i="1"/>
  <c r="CU30" i="1"/>
  <c r="CT30" i="1"/>
  <c r="CS30" i="1"/>
  <c r="CR30" i="1"/>
  <c r="CQ30" i="1"/>
  <c r="CO30" i="1"/>
  <c r="CP30" i="1" s="1"/>
  <c r="CN30" i="1"/>
  <c r="CK30" i="1"/>
  <c r="CI30" i="1"/>
  <c r="CJ30" i="1" s="1"/>
  <c r="CH30" i="1"/>
  <c r="CG30" i="1"/>
  <c r="BU30" i="1"/>
  <c r="DH28" i="1"/>
  <c r="CY28" i="1"/>
  <c r="CX28" i="1"/>
  <c r="CW28" i="1"/>
  <c r="CU28" i="1"/>
  <c r="CT28" i="1"/>
  <c r="CS28" i="1"/>
  <c r="CR28" i="1"/>
  <c r="CQ28" i="1"/>
  <c r="CO28" i="1"/>
  <c r="CP28" i="1" s="1"/>
  <c r="CN28" i="1"/>
  <c r="CL28" i="1"/>
  <c r="CM28" i="1" s="1"/>
  <c r="CK28" i="1"/>
  <c r="CH28" i="1"/>
  <c r="CG28" i="1"/>
  <c r="BU28" i="1"/>
  <c r="DH26" i="1"/>
  <c r="CY26" i="1"/>
  <c r="CX26" i="1"/>
  <c r="CW26" i="1"/>
  <c r="CV26" i="1"/>
  <c r="CU26" i="1"/>
  <c r="CT26" i="1"/>
  <c r="CS26" i="1"/>
  <c r="CR26" i="1"/>
  <c r="CQ26" i="1"/>
  <c r="CO26" i="1"/>
  <c r="CP26" i="1" s="1"/>
  <c r="CN26" i="1"/>
  <c r="CM26" i="1"/>
  <c r="CL26" i="1"/>
  <c r="CK26" i="1"/>
  <c r="CI26" i="1"/>
  <c r="CJ26" i="1" s="1"/>
  <c r="CH26" i="1"/>
  <c r="CG26" i="1"/>
  <c r="A26" i="1"/>
  <c r="DH24" i="1"/>
  <c r="CY24" i="1"/>
  <c r="CX24" i="1"/>
  <c r="CW24" i="1"/>
  <c r="CV24" i="1"/>
  <c r="CU24" i="1"/>
  <c r="CT24" i="1"/>
  <c r="CS24" i="1"/>
  <c r="CR24" i="1"/>
  <c r="CQ24" i="1"/>
  <c r="CO24" i="1"/>
  <c r="CN24" i="1"/>
  <c r="CN63" i="1" s="1"/>
  <c r="CL24" i="1"/>
  <c r="CM24" i="1" s="1"/>
  <c r="CK24" i="1"/>
  <c r="CI24" i="1"/>
  <c r="CJ24" i="1" s="1"/>
  <c r="CH24" i="1"/>
  <c r="CG24" i="1"/>
  <c r="A24" i="1"/>
  <c r="DH22" i="1"/>
  <c r="B22" i="1"/>
  <c r="DH21" i="1"/>
  <c r="B21" i="1"/>
  <c r="DH20" i="1"/>
  <c r="AB19" i="1"/>
  <c r="BR18" i="25" s="1"/>
  <c r="DH18" i="1"/>
  <c r="DH17" i="1"/>
  <c r="DH16" i="1"/>
  <c r="BY16" i="1"/>
  <c r="BM16" i="1" s="1"/>
  <c r="AX16" i="1"/>
  <c r="B16" i="1"/>
  <c r="DH14" i="1"/>
  <c r="BO14" i="1"/>
  <c r="BJ14" i="1"/>
  <c r="DH13" i="1"/>
  <c r="DH12" i="1"/>
  <c r="DH11" i="1"/>
  <c r="C10" i="1"/>
  <c r="C88" i="1" l="1"/>
  <c r="E3" i="26"/>
  <c r="CM114" i="1"/>
  <c r="CH20" i="25"/>
  <c r="CP24" i="1"/>
  <c r="CQ63" i="1"/>
  <c r="CM113" i="1"/>
  <c r="CH19" i="25"/>
  <c r="CM109" i="1"/>
  <c r="CH15" i="25"/>
  <c r="CH63" i="1"/>
  <c r="CM112" i="1"/>
  <c r="CH18" i="25"/>
  <c r="Q78" i="26"/>
  <c r="W77" i="26" s="1"/>
  <c r="BF78" i="26" s="1"/>
  <c r="BF84" i="26" s="1"/>
  <c r="BO8" i="4" s="1"/>
  <c r="BB93" i="24"/>
  <c r="CK63" i="1"/>
  <c r="CM111" i="1"/>
  <c r="CH17" i="25"/>
  <c r="CH35" i="25" s="1"/>
  <c r="E32" i="27" s="1"/>
  <c r="BL152" i="24"/>
  <c r="BB97" i="24" s="1"/>
  <c r="AG43" i="4"/>
  <c r="BH59" i="25"/>
  <c r="AO44" i="25" s="1"/>
  <c r="AG42" i="4"/>
  <c r="BH58" i="25"/>
  <c r="CG156" i="1"/>
  <c r="R9" i="25"/>
  <c r="CF138" i="1"/>
  <c r="CG136" i="1"/>
  <c r="CS141" i="1"/>
  <c r="CF145" i="1"/>
  <c r="Y52" i="3"/>
  <c r="Y102" i="3"/>
  <c r="E53" i="3"/>
  <c r="E100" i="3"/>
  <c r="CF150" i="1"/>
  <c r="CF149" i="1"/>
  <c r="E52" i="3"/>
  <c r="L127" i="1"/>
  <c r="CE175" i="1"/>
  <c r="CF175" i="1" s="1"/>
  <c r="DA107" i="1"/>
  <c r="CI157" i="1" s="1"/>
  <c r="CI177" i="1" s="1"/>
  <c r="CF127" i="1"/>
  <c r="CH127" i="1" s="1"/>
  <c r="CH146" i="1"/>
  <c r="CQ153" i="1"/>
  <c r="O128" i="1"/>
  <c r="BS128" i="1"/>
  <c r="CF144" i="1"/>
  <c r="CJ120" i="1"/>
  <c r="CR148" i="1"/>
  <c r="O127" i="1"/>
  <c r="CF128" i="1"/>
  <c r="CH128" i="1" s="1"/>
  <c r="CW126" i="1" s="1"/>
  <c r="CS151" i="1"/>
  <c r="M79" i="2"/>
  <c r="N81" i="2"/>
  <c r="CQ151" i="1"/>
  <c r="CM177" i="1"/>
  <c r="CE174" i="1"/>
  <c r="CF174" i="1" s="1"/>
  <c r="CS153" i="1"/>
  <c r="O120" i="1"/>
  <c r="AA45" i="1" s="1"/>
  <c r="CP150" i="1"/>
  <c r="CE157" i="1"/>
  <c r="CF157" i="1" s="1"/>
  <c r="CK177" i="1"/>
  <c r="CR142" i="1"/>
  <c r="CR144" i="1"/>
  <c r="CT153" i="1"/>
  <c r="CK153" i="1"/>
  <c r="BI126" i="1"/>
  <c r="BN126" i="1" s="1"/>
  <c r="CJ126" i="1"/>
  <c r="CM110" i="1"/>
  <c r="CL110" i="1"/>
  <c r="CE152" i="1"/>
  <c r="CP137" i="1"/>
  <c r="BV113" i="1"/>
  <c r="CV138" i="1" s="1"/>
  <c r="CQ139" i="1"/>
  <c r="CG144" i="1"/>
  <c r="CL111" i="1"/>
  <c r="E130" i="1"/>
  <c r="I130" i="1"/>
  <c r="CQ138" i="1"/>
  <c r="CS142" i="1"/>
  <c r="CS143" i="1"/>
  <c r="BI127" i="1"/>
  <c r="BN127" i="1" s="1"/>
  <c r="CJ127" i="1"/>
  <c r="CQ150" i="1"/>
  <c r="CE176" i="1"/>
  <c r="CF176" i="1" s="1"/>
  <c r="L126" i="1"/>
  <c r="BV125" i="1"/>
  <c r="CO150" i="1" s="1"/>
  <c r="O126" i="1"/>
  <c r="CR150" i="1"/>
  <c r="BZ126" i="1"/>
  <c r="CK151" i="1" s="1"/>
  <c r="BI128" i="1"/>
  <c r="BN128" i="1" s="1"/>
  <c r="CJ128" i="1"/>
  <c r="CE137" i="1"/>
  <c r="O112" i="1" s="1"/>
  <c r="AA29" i="1" s="1"/>
  <c r="CS150" i="1"/>
  <c r="CE153" i="1"/>
  <c r="AV17" i="1"/>
  <c r="AF10" i="1"/>
  <c r="CH150" i="1"/>
  <c r="BV119" i="1"/>
  <c r="CV144" i="1" s="1"/>
  <c r="CJ117" i="1"/>
  <c r="CH147" i="1"/>
  <c r="CF126" i="1"/>
  <c r="CH126" i="1" s="1"/>
  <c r="CW124" i="1" s="1"/>
  <c r="L128" i="1"/>
  <c r="CP149" i="1"/>
  <c r="CF153" i="1"/>
  <c r="CL173" i="1"/>
  <c r="CB60" i="1"/>
  <c r="BB6" i="3"/>
  <c r="BH6" i="3" s="1"/>
  <c r="AV2" i="3" s="1"/>
  <c r="B87" i="1"/>
  <c r="O125" i="1"/>
  <c r="CJ125" i="1"/>
  <c r="CF125" i="1"/>
  <c r="CH125" i="1" s="1"/>
  <c r="L125" i="1"/>
  <c r="BI125" i="1"/>
  <c r="BN125" i="1" s="1"/>
  <c r="O124" i="1"/>
  <c r="AA53" i="1" s="1"/>
  <c r="CF123" i="1"/>
  <c r="CH123" i="1" s="1"/>
  <c r="CW121" i="1" s="1"/>
  <c r="CH129" i="1"/>
  <c r="CF114" i="1"/>
  <c r="CH114" i="1" s="1"/>
  <c r="CL129" i="1"/>
  <c r="CF109" i="1"/>
  <c r="BI109" i="1" s="1"/>
  <c r="BN109" i="1" s="1"/>
  <c r="CM123" i="1"/>
  <c r="O123" i="1"/>
  <c r="AA51" i="1" s="1"/>
  <c r="CJ119" i="1"/>
  <c r="BS119" i="1"/>
  <c r="CJ118" i="1"/>
  <c r="BS118" i="1"/>
  <c r="O118" i="1"/>
  <c r="CY63" i="1"/>
  <c r="CK148" i="1"/>
  <c r="CP148" i="1"/>
  <c r="CQ148" i="1"/>
  <c r="L124" i="1"/>
  <c r="L123" i="1"/>
  <c r="CQ147" i="1"/>
  <c r="CG145" i="1"/>
  <c r="CE145" i="1"/>
  <c r="CQ143" i="1"/>
  <c r="BV118" i="1"/>
  <c r="CN143" i="1" s="1"/>
  <c r="CE142" i="1"/>
  <c r="BZ117" i="1"/>
  <c r="CP142" i="1" s="1"/>
  <c r="BV117" i="1"/>
  <c r="CY142" i="1" s="1"/>
  <c r="CK141" i="1"/>
  <c r="CL141" i="1"/>
  <c r="CR141" i="1"/>
  <c r="CP140" i="1"/>
  <c r="CG138" i="1"/>
  <c r="BZ113" i="1"/>
  <c r="CP138" i="1" s="1"/>
  <c r="CH138" i="1"/>
  <c r="CF137" i="1"/>
  <c r="CL136" i="1"/>
  <c r="BV111" i="1"/>
  <c r="CO136" i="1" s="1"/>
  <c r="CQ135" i="1"/>
  <c r="CS135" i="1"/>
  <c r="CT134" i="1"/>
  <c r="CS134" i="1"/>
  <c r="CE135" i="1"/>
  <c r="BV110" i="1"/>
  <c r="CI135" i="1" s="1"/>
  <c r="CP134" i="1"/>
  <c r="CE134" i="1"/>
  <c r="CK134" i="1"/>
  <c r="CL134" i="1"/>
  <c r="CR134" i="1"/>
  <c r="CM134" i="1"/>
  <c r="CU134" i="1"/>
  <c r="CZ134" i="1"/>
  <c r="CJ134" i="1"/>
  <c r="CJ129" i="1"/>
  <c r="CF129" i="1"/>
  <c r="CL170" i="1"/>
  <c r="O121" i="1"/>
  <c r="AA47" i="1" s="1"/>
  <c r="CJ121" i="1"/>
  <c r="CE169" i="1"/>
  <c r="CF169" i="1" s="1"/>
  <c r="CL167" i="1"/>
  <c r="L119" i="1"/>
  <c r="CE166" i="1"/>
  <c r="CF166" i="1" s="1"/>
  <c r="L118" i="1"/>
  <c r="CF117" i="1"/>
  <c r="CH117" i="1" s="1"/>
  <c r="O117" i="1"/>
  <c r="AA39" i="1" s="1"/>
  <c r="CJ116" i="1"/>
  <c r="CL116" i="1"/>
  <c r="CL115" i="1"/>
  <c r="CL114" i="1"/>
  <c r="CE162" i="1"/>
  <c r="CF162" i="1" s="1"/>
  <c r="L114" i="1"/>
  <c r="O114" i="1"/>
  <c r="AA33" i="1" s="1"/>
  <c r="CG63" i="1"/>
  <c r="AD72" i="1" s="1"/>
  <c r="CW63" i="1"/>
  <c r="CW70" i="1" s="1"/>
  <c r="CN70" i="1"/>
  <c r="CE158" i="1"/>
  <c r="AT17" i="1"/>
  <c r="AU17" i="1"/>
  <c r="CT63" i="1"/>
  <c r="CT70" i="1" s="1"/>
  <c r="CK70" i="1"/>
  <c r="CQ70" i="1"/>
  <c r="CH70" i="1"/>
  <c r="CF111" i="1"/>
  <c r="CF118" i="1"/>
  <c r="CF167" i="1"/>
  <c r="CF159" i="1"/>
  <c r="CF168" i="1"/>
  <c r="CF161" i="1"/>
  <c r="CF164" i="1"/>
  <c r="CF172" i="1"/>
  <c r="CF160" i="1"/>
  <c r="CF163" i="1"/>
  <c r="CF165" i="1"/>
  <c r="CF171" i="1"/>
  <c r="O109" i="1"/>
  <c r="AA23" i="1" s="1"/>
  <c r="CL113" i="1"/>
  <c r="CJ114" i="1"/>
  <c r="O115" i="1"/>
  <c r="AA35" i="1" s="1"/>
  <c r="CJ115" i="1"/>
  <c r="O116" i="1"/>
  <c r="AA37" i="1" s="1"/>
  <c r="L117" i="1"/>
  <c r="CF119" i="1"/>
  <c r="L120" i="1"/>
  <c r="CF120" i="1"/>
  <c r="L121" i="1"/>
  <c r="O122" i="1"/>
  <c r="AA49" i="1" s="1"/>
  <c r="CJ122" i="1"/>
  <c r="CJ123" i="1"/>
  <c r="CL161" i="1"/>
  <c r="CL165" i="1"/>
  <c r="CF112" i="1"/>
  <c r="CH112" i="1" s="1"/>
  <c r="CF110" i="1"/>
  <c r="L113" i="1"/>
  <c r="CL159" i="1"/>
  <c r="CL163" i="1"/>
  <c r="CF170" i="1"/>
  <c r="CL171" i="1"/>
  <c r="L110" i="1"/>
  <c r="O110" i="1" s="1"/>
  <c r="AA25" i="1" s="1"/>
  <c r="CJ111" i="1"/>
  <c r="CJ112" i="1"/>
  <c r="CF113" i="1"/>
  <c r="CH113" i="1" s="1"/>
  <c r="CF124" i="1"/>
  <c r="O119" i="1"/>
  <c r="AA43" i="1" s="1"/>
  <c r="CJ109" i="1"/>
  <c r="CJ110" i="1"/>
  <c r="CL112" i="1"/>
  <c r="CF115" i="1"/>
  <c r="CH115" i="1" s="1"/>
  <c r="CF122" i="1"/>
  <c r="CH122" i="1" s="1"/>
  <c r="CL160" i="1"/>
  <c r="CL164" i="1"/>
  <c r="CL168" i="1"/>
  <c r="CL172" i="1"/>
  <c r="CL109" i="1"/>
  <c r="CJ113" i="1"/>
  <c r="L115" i="1"/>
  <c r="L116" i="1"/>
  <c r="CF116" i="1"/>
  <c r="CF121" i="1"/>
  <c r="CH121" i="1" s="1"/>
  <c r="L122" i="1"/>
  <c r="CJ124" i="1"/>
  <c r="CL135" i="1"/>
  <c r="CT135" i="1"/>
  <c r="CK135" i="1"/>
  <c r="CK145" i="1"/>
  <c r="CL145" i="1"/>
  <c r="CL147" i="1"/>
  <c r="CK147" i="1"/>
  <c r="CP147" i="1"/>
  <c r="CG141" i="1"/>
  <c r="CF141" i="1"/>
  <c r="CT141" i="1"/>
  <c r="CE141" i="1"/>
  <c r="BV116" i="1"/>
  <c r="CO141" i="1" s="1"/>
  <c r="CP141" i="1"/>
  <c r="CH141" i="1"/>
  <c r="CF146" i="1"/>
  <c r="CK140" i="1"/>
  <c r="CL140" i="1"/>
  <c r="CR139" i="1"/>
  <c r="CG146" i="1"/>
  <c r="CR136" i="1"/>
  <c r="CQ136" i="1"/>
  <c r="L111" i="1"/>
  <c r="L130" i="1" s="1"/>
  <c r="CP136" i="1"/>
  <c r="CH136" i="1"/>
  <c r="CS136" i="1"/>
  <c r="CS137" i="1"/>
  <c r="CR137" i="1"/>
  <c r="CQ137" i="1"/>
  <c r="BV112" i="1"/>
  <c r="CT137" i="1"/>
  <c r="L112" i="1"/>
  <c r="CF135" i="1"/>
  <c r="CG137" i="1"/>
  <c r="CG139" i="1"/>
  <c r="CG147" i="1"/>
  <c r="CR151" i="1"/>
  <c r="CR152" i="1"/>
  <c r="CL153" i="1"/>
  <c r="CM139" i="1"/>
  <c r="CV139" i="1"/>
  <c r="CN139" i="1"/>
  <c r="CF140" i="1"/>
  <c r="CE140" i="1"/>
  <c r="CT140" i="1"/>
  <c r="CG140" i="1"/>
  <c r="CS140" i="1"/>
  <c r="BI62" i="1"/>
  <c r="CS145" i="1"/>
  <c r="CP145" i="1"/>
  <c r="CR145" i="1"/>
  <c r="CQ145" i="1"/>
  <c r="CT145" i="1"/>
  <c r="CH145" i="1"/>
  <c r="CT136" i="1"/>
  <c r="CH137" i="1"/>
  <c r="CH139" i="1"/>
  <c r="CX139" i="1"/>
  <c r="CQ140" i="1"/>
  <c r="CS152" i="1"/>
  <c r="CL146" i="1"/>
  <c r="CK146" i="1"/>
  <c r="CL150" i="1"/>
  <c r="CK150" i="1"/>
  <c r="CH140" i="1"/>
  <c r="BZ114" i="1"/>
  <c r="CU139" i="1" s="1"/>
  <c r="BV115" i="1"/>
  <c r="CO140" i="1" s="1"/>
  <c r="BO60" i="1"/>
  <c r="CV143" i="1"/>
  <c r="CF143" i="1"/>
  <c r="BV120" i="1"/>
  <c r="CO145" i="1" s="1"/>
  <c r="CT146" i="1"/>
  <c r="CQ146" i="1"/>
  <c r="CS146" i="1"/>
  <c r="CR146" i="1"/>
  <c r="CE146" i="1"/>
  <c r="CE147" i="1"/>
  <c r="CT147" i="1"/>
  <c r="CS147" i="1"/>
  <c r="CF147" i="1"/>
  <c r="CR147" i="1"/>
  <c r="CF148" i="1"/>
  <c r="CE148" i="1"/>
  <c r="CT148" i="1"/>
  <c r="BV123" i="1"/>
  <c r="CO148" i="1" s="1"/>
  <c r="CG148" i="1"/>
  <c r="CS148" i="1"/>
  <c r="CE136" i="1"/>
  <c r="O111" i="1" s="1"/>
  <c r="CI139" i="1"/>
  <c r="CY139" i="1"/>
  <c r="CR140" i="1"/>
  <c r="CH148" i="1"/>
  <c r="BZ127" i="1"/>
  <c r="CU152" i="1" s="1"/>
  <c r="CE139" i="1"/>
  <c r="BZ118" i="1"/>
  <c r="BZ119" i="1"/>
  <c r="BV121" i="1"/>
  <c r="CO146" i="1" s="1"/>
  <c r="BV122" i="1"/>
  <c r="CO147" i="1" s="1"/>
  <c r="CX152" i="1"/>
  <c r="CV152" i="1"/>
  <c r="CN152" i="1"/>
  <c r="CY152" i="1"/>
  <c r="CI152" i="1"/>
  <c r="CM152" i="1"/>
  <c r="CF136" i="1"/>
  <c r="CJ139" i="1"/>
  <c r="CQ141" i="1"/>
  <c r="CE143" i="1"/>
  <c r="CE144" i="1"/>
  <c r="CP146" i="1"/>
  <c r="BV126" i="1"/>
  <c r="CI134" i="1"/>
  <c r="CQ134" i="1"/>
  <c r="CY134" i="1"/>
  <c r="CR135" i="1"/>
  <c r="CL137" i="1"/>
  <c r="CE138" i="1"/>
  <c r="O113" i="1" s="1"/>
  <c r="AA31" i="1" s="1"/>
  <c r="CF139" i="1"/>
  <c r="CQ142" i="1"/>
  <c r="CR143" i="1"/>
  <c r="CS144" i="1"/>
  <c r="CG150" i="1"/>
  <c r="CH151" i="1"/>
  <c r="CQ152" i="1"/>
  <c r="CR153" i="1"/>
  <c r="CF134" i="1"/>
  <c r="CN134" i="1"/>
  <c r="CV134" i="1"/>
  <c r="CG135" i="1"/>
  <c r="CR138" i="1"/>
  <c r="CS139" i="1"/>
  <c r="CF142" i="1"/>
  <c r="CG143" i="1"/>
  <c r="CH144" i="1"/>
  <c r="CE149" i="1"/>
  <c r="CT150" i="1"/>
  <c r="CE151" i="1"/>
  <c r="CF152" i="1"/>
  <c r="CG153" i="1"/>
  <c r="BV124" i="1"/>
  <c r="CM149" i="1" s="1"/>
  <c r="CG134" i="1"/>
  <c r="CO134" i="1"/>
  <c r="CW134" i="1"/>
  <c r="CH135" i="1"/>
  <c r="CP135" i="1"/>
  <c r="CS138" i="1"/>
  <c r="CG142" i="1"/>
  <c r="CH143" i="1"/>
  <c r="CQ144" i="1"/>
  <c r="CE150" i="1"/>
  <c r="CF151" i="1"/>
  <c r="CG152" i="1"/>
  <c r="CH153" i="1"/>
  <c r="CP153" i="1"/>
  <c r="BV128" i="1"/>
  <c r="CH134" i="1"/>
  <c r="CH142" i="1"/>
  <c r="CG151" i="1"/>
  <c r="CH152" i="1"/>
  <c r="AJ20" i="3"/>
  <c r="AY20" i="3"/>
  <c r="AG20" i="3"/>
  <c r="AX20" i="3"/>
  <c r="AD20" i="3"/>
  <c r="BT20" i="3" s="1"/>
  <c r="AM20" i="3"/>
  <c r="AS20" i="3"/>
  <c r="AP20" i="3"/>
  <c r="AB20" i="3"/>
  <c r="AV20" i="3"/>
  <c r="AW20" i="3"/>
  <c r="BG12" i="3"/>
  <c r="CS149" i="1"/>
  <c r="CR149" i="1"/>
  <c r="CQ149" i="1"/>
  <c r="CG149" i="1"/>
  <c r="CK149" i="1"/>
  <c r="CT149" i="1"/>
  <c r="CL149" i="1"/>
  <c r="CH149" i="1"/>
  <c r="BG16" i="3"/>
  <c r="AY32" i="3"/>
  <c r="AG32" i="3"/>
  <c r="BR32" i="3" s="1"/>
  <c r="AM11" i="4"/>
  <c r="AT11" i="4"/>
  <c r="AM32" i="3"/>
  <c r="AJ32" i="3"/>
  <c r="AD29" i="3"/>
  <c r="BT29" i="3" s="1"/>
  <c r="AY29" i="3"/>
  <c r="AG29" i="3"/>
  <c r="BS32" i="3"/>
  <c r="BP29" i="3"/>
  <c r="AP29" i="3"/>
  <c r="AS29" i="3"/>
  <c r="AM29" i="3"/>
  <c r="AV29" i="3"/>
  <c r="BS29" i="3"/>
  <c r="AJ29" i="3"/>
  <c r="AX29" i="3"/>
  <c r="AS32" i="3"/>
  <c r="AP32" i="3"/>
  <c r="AV32" i="3"/>
  <c r="BP32" i="3"/>
  <c r="AB32" i="3"/>
  <c r="AW32" i="3"/>
  <c r="AB29" i="3"/>
  <c r="AD32" i="3"/>
  <c r="BT32" i="3" s="1"/>
  <c r="AG11" i="4"/>
  <c r="AG38" i="4"/>
  <c r="AG25" i="4"/>
  <c r="AG29" i="4"/>
  <c r="AG36" i="4"/>
  <c r="AM38" i="4"/>
  <c r="AM32" i="4"/>
  <c r="AU32" i="4"/>
  <c r="AU25" i="4"/>
  <c r="AS32" i="4"/>
  <c r="AU34" i="4"/>
  <c r="AS38" i="4"/>
  <c r="AU16" i="4"/>
  <c r="AG20" i="4"/>
  <c r="AG31" i="4"/>
  <c r="AP26" i="4"/>
  <c r="AM30" i="4"/>
  <c r="AT26" i="4"/>
  <c r="AS30" i="4"/>
  <c r="AG32" i="4"/>
  <c r="AG37" i="4"/>
  <c r="AU20" i="4"/>
  <c r="AG28" i="4"/>
  <c r="AG30" i="4"/>
  <c r="AS11" i="4"/>
  <c r="AJ25" i="4"/>
  <c r="AS26" i="4"/>
  <c r="AJ28" i="4"/>
  <c r="AP30" i="4"/>
  <c r="AT32" i="4"/>
  <c r="AJ36" i="4"/>
  <c r="AP38" i="4"/>
  <c r="AG16" i="4"/>
  <c r="AM36" i="4"/>
  <c r="AU11" i="4"/>
  <c r="AJ16" i="4"/>
  <c r="AJ20" i="4"/>
  <c r="AP28" i="4"/>
  <c r="AT30" i="4"/>
  <c r="AJ34" i="4"/>
  <c r="AP36" i="4"/>
  <c r="AT38" i="4"/>
  <c r="AM16" i="4"/>
  <c r="AS28" i="4"/>
  <c r="AU30" i="4"/>
  <c r="AM34" i="4"/>
  <c r="AG35" i="4"/>
  <c r="AS36" i="4"/>
  <c r="AU38" i="4"/>
  <c r="AP16" i="4"/>
  <c r="AT28" i="4"/>
  <c r="AJ32" i="4"/>
  <c r="AP34" i="4"/>
  <c r="AT36" i="4"/>
  <c r="AM28" i="4"/>
  <c r="AG34" i="4"/>
  <c r="AG15" i="4"/>
  <c r="AS16" i="4"/>
  <c r="AJ26" i="4"/>
  <c r="AG33" i="4"/>
  <c r="AS34" i="4"/>
  <c r="AJ11" i="4"/>
  <c r="AM26" i="4"/>
  <c r="AM37" i="4"/>
  <c r="AP15" i="4"/>
  <c r="AM20" i="4"/>
  <c r="AM25" i="4"/>
  <c r="AU26" i="4"/>
  <c r="AP29" i="4"/>
  <c r="AP31" i="4"/>
  <c r="AP33" i="4"/>
  <c r="AP35" i="4"/>
  <c r="AP37" i="4"/>
  <c r="AS15" i="4"/>
  <c r="AP20" i="4"/>
  <c r="AP25" i="4"/>
  <c r="AS29" i="4"/>
  <c r="AS31" i="4"/>
  <c r="AS33" i="4"/>
  <c r="AS35" i="4"/>
  <c r="AS37" i="4"/>
  <c r="AJ15" i="4"/>
  <c r="AJ31" i="4"/>
  <c r="AJ35" i="4"/>
  <c r="AT15" i="4"/>
  <c r="AS20" i="4"/>
  <c r="AS25" i="4"/>
  <c r="AT29" i="4"/>
  <c r="AT31" i="4"/>
  <c r="AT33" i="4"/>
  <c r="AT35" i="4"/>
  <c r="AT37" i="4"/>
  <c r="AJ29" i="4"/>
  <c r="AJ33" i="4"/>
  <c r="AJ37" i="4"/>
  <c r="AM15" i="4"/>
  <c r="AM29" i="4"/>
  <c r="AM31" i="4"/>
  <c r="AM33" i="4"/>
  <c r="AM35" i="4"/>
  <c r="N96" i="23"/>
  <c r="N97" i="23" s="1"/>
  <c r="N98" i="23" s="1"/>
  <c r="N99" i="23" s="1"/>
  <c r="N100" i="23" s="1"/>
  <c r="N101" i="23" s="1"/>
  <c r="N102" i="23" s="1"/>
  <c r="N103" i="23" s="1"/>
  <c r="N104" i="23" s="1"/>
  <c r="N105" i="23" s="1"/>
  <c r="N106" i="23" s="1"/>
  <c r="N107" i="23" s="1"/>
  <c r="N108" i="23" s="1"/>
  <c r="N109" i="23" s="1"/>
  <c r="N95" i="23"/>
  <c r="Y51" i="4"/>
  <c r="BF79" i="26" l="1"/>
  <c r="AL79" i="26" s="1"/>
  <c r="BO56" i="25"/>
  <c r="AO43" i="25" s="1"/>
  <c r="CG157" i="1"/>
  <c r="BI16" i="25"/>
  <c r="BI18" i="25"/>
  <c r="CZ150" i="1"/>
  <c r="CM150" i="1"/>
  <c r="CU144" i="1"/>
  <c r="CX144" i="1"/>
  <c r="CY144" i="1"/>
  <c r="CJ144" i="1"/>
  <c r="CI144" i="1"/>
  <c r="CJ138" i="1"/>
  <c r="CJ143" i="1"/>
  <c r="CZ138" i="1"/>
  <c r="CI143" i="1"/>
  <c r="CZ135" i="1"/>
  <c r="CI142" i="1"/>
  <c r="CZ143" i="1"/>
  <c r="CY135" i="1"/>
  <c r="CU150" i="1"/>
  <c r="CV142" i="1"/>
  <c r="CN175" i="1"/>
  <c r="CI136" i="1"/>
  <c r="CW125" i="1"/>
  <c r="CN176" i="1"/>
  <c r="CO175" i="1"/>
  <c r="CZ139" i="1"/>
  <c r="CP151" i="1"/>
  <c r="CP144" i="1"/>
  <c r="CL151" i="1"/>
  <c r="O130" i="1"/>
  <c r="AA27" i="1"/>
  <c r="CB28" i="1" s="1"/>
  <c r="BZ28" i="1" s="1"/>
  <c r="CX56" i="1"/>
  <c r="AA55" i="1"/>
  <c r="BI56" i="1" s="1"/>
  <c r="AA41" i="1"/>
  <c r="CR42" i="1" s="1"/>
  <c r="M78" i="2"/>
  <c r="N80" i="2"/>
  <c r="CO174" i="1"/>
  <c r="B60" i="1"/>
  <c r="CO143" i="1"/>
  <c r="CL138" i="1"/>
  <c r="CO176" i="1"/>
  <c r="CO138" i="1"/>
  <c r="CK138" i="1"/>
  <c r="CU138" i="1"/>
  <c r="CW152" i="1"/>
  <c r="CX138" i="1"/>
  <c r="CK142" i="1"/>
  <c r="CT142" i="1"/>
  <c r="CM138" i="1"/>
  <c r="CZ152" i="1"/>
  <c r="CV136" i="1"/>
  <c r="CW138" i="1"/>
  <c r="CZ142" i="1"/>
  <c r="CT138" i="1"/>
  <c r="CO168" i="1"/>
  <c r="BG6" i="3"/>
  <c r="AD6" i="3" s="1"/>
  <c r="BT6" i="3" s="1"/>
  <c r="CO173" i="1"/>
  <c r="CN173" i="1"/>
  <c r="CM135" i="1"/>
  <c r="CU136" i="1"/>
  <c r="CX136" i="1"/>
  <c r="CT151" i="1"/>
  <c r="BI111" i="1"/>
  <c r="BN111" i="1" s="1"/>
  <c r="BI114" i="1"/>
  <c r="BN114" i="1" s="1"/>
  <c r="CX143" i="1"/>
  <c r="CP152" i="1"/>
  <c r="CW150" i="1"/>
  <c r="CO151" i="1"/>
  <c r="CN174" i="1"/>
  <c r="CJ136" i="1"/>
  <c r="C58" i="1"/>
  <c r="CY136" i="1"/>
  <c r="CZ136" i="1"/>
  <c r="CY138" i="1"/>
  <c r="CN138" i="1"/>
  <c r="CI138" i="1"/>
  <c r="CN172" i="1"/>
  <c r="CV150" i="1"/>
  <c r="CX150" i="1"/>
  <c r="CI150" i="1"/>
  <c r="CJ150" i="1"/>
  <c r="CY150" i="1"/>
  <c r="CN150" i="1"/>
  <c r="CJ135" i="1"/>
  <c r="CE85" i="1"/>
  <c r="CN144" i="1"/>
  <c r="CM144" i="1"/>
  <c r="BI54" i="1"/>
  <c r="CB54" i="1"/>
  <c r="BZ54" i="1" s="1"/>
  <c r="B54" i="1"/>
  <c r="C60" i="1"/>
  <c r="AW60" i="1" s="1"/>
  <c r="CO172" i="1"/>
  <c r="BI60" i="1"/>
  <c r="CL130" i="1"/>
  <c r="BI123" i="1"/>
  <c r="BN123" i="1" s="1"/>
  <c r="CW115" i="1"/>
  <c r="BI124" i="1"/>
  <c r="BN124" i="1" s="1"/>
  <c r="BI116" i="1"/>
  <c r="BN116" i="1" s="1"/>
  <c r="G87" i="1"/>
  <c r="B3" i="24" s="1"/>
  <c r="C151" i="24" s="1"/>
  <c r="C157" i="24" s="1"/>
  <c r="F157" i="24" s="1"/>
  <c r="BU32" i="3"/>
  <c r="CW123" i="1"/>
  <c r="CX54" i="1"/>
  <c r="CO171" i="1"/>
  <c r="CN166" i="1"/>
  <c r="CW112" i="1"/>
  <c r="CH109" i="1"/>
  <c r="CW107" i="1" s="1"/>
  <c r="BI110" i="1"/>
  <c r="BN110" i="1" s="1"/>
  <c r="BI34" i="1"/>
  <c r="BO54" i="1"/>
  <c r="CB32" i="1"/>
  <c r="BZ32" i="1" s="1"/>
  <c r="CN158" i="1"/>
  <c r="BI38" i="1"/>
  <c r="CB48" i="1"/>
  <c r="BZ48" i="1" s="1"/>
  <c r="BO44" i="1"/>
  <c r="BI50" i="1"/>
  <c r="CB36" i="1"/>
  <c r="BZ36" i="1" s="1"/>
  <c r="CD73" i="1"/>
  <c r="CO157" i="1"/>
  <c r="C24" i="1"/>
  <c r="AG24" i="1" s="1"/>
  <c r="AQ24" i="1" s="1"/>
  <c r="BC24" i="1" s="1"/>
  <c r="CV149" i="1"/>
  <c r="CN171" i="1"/>
  <c r="CW144" i="1"/>
  <c r="CY143" i="1"/>
  <c r="CM143" i="1"/>
  <c r="CN142" i="1"/>
  <c r="CW142" i="1"/>
  <c r="CO142" i="1"/>
  <c r="CU142" i="1"/>
  <c r="CL142" i="1"/>
  <c r="CX142" i="1"/>
  <c r="CM142" i="1"/>
  <c r="CJ142" i="1"/>
  <c r="CM136" i="1"/>
  <c r="CW136" i="1"/>
  <c r="CN136" i="1"/>
  <c r="CU135" i="1"/>
  <c r="CW135" i="1"/>
  <c r="CX135" i="1"/>
  <c r="CO135" i="1"/>
  <c r="B62" i="1"/>
  <c r="BO62" i="1"/>
  <c r="CV135" i="1"/>
  <c r="CN135" i="1"/>
  <c r="CO170" i="1"/>
  <c r="BI40" i="1"/>
  <c r="CR40" i="1"/>
  <c r="CB62" i="1"/>
  <c r="C62" i="1"/>
  <c r="CC62" i="1" s="1"/>
  <c r="CO164" i="1"/>
  <c r="CO158" i="1"/>
  <c r="CN164" i="1"/>
  <c r="CN161" i="1"/>
  <c r="B48" i="1"/>
  <c r="CN165" i="1"/>
  <c r="CO161" i="1"/>
  <c r="CO169" i="1"/>
  <c r="BI119" i="1"/>
  <c r="BN119" i="1" s="1"/>
  <c r="BI118" i="1"/>
  <c r="BN118" i="1" s="1"/>
  <c r="BI113" i="1"/>
  <c r="BN113" i="1" s="1"/>
  <c r="BI120" i="1"/>
  <c r="BN120" i="1" s="1"/>
  <c r="BI122" i="1"/>
  <c r="BN122" i="1" s="1"/>
  <c r="CN170" i="1"/>
  <c r="BI121" i="1"/>
  <c r="BN121" i="1" s="1"/>
  <c r="CO167" i="1"/>
  <c r="CO166" i="1"/>
  <c r="AF72" i="1"/>
  <c r="B40" i="1"/>
  <c r="CG66" i="1"/>
  <c r="CO165" i="1"/>
  <c r="CG77" i="1"/>
  <c r="BI117" i="1"/>
  <c r="BN117" i="1" s="1"/>
  <c r="U72" i="1"/>
  <c r="W72" i="1"/>
  <c r="AA72" i="1"/>
  <c r="BI115" i="1"/>
  <c r="BN115" i="1" s="1"/>
  <c r="CO162" i="1"/>
  <c r="CN162" i="1"/>
  <c r="CL177" i="1"/>
  <c r="CL30" i="1"/>
  <c r="CL63" i="1" s="1"/>
  <c r="AD75" i="1" s="1"/>
  <c r="CB30" i="1"/>
  <c r="BZ30" i="1" s="1"/>
  <c r="BO30" i="1"/>
  <c r="B30" i="1"/>
  <c r="CN160" i="1"/>
  <c r="BI112" i="1"/>
  <c r="BN112" i="1" s="1"/>
  <c r="CH111" i="1"/>
  <c r="CW109" i="1" s="1"/>
  <c r="CF158" i="1"/>
  <c r="CG169" i="1" s="1"/>
  <c r="CN157" i="1"/>
  <c r="CH118" i="1"/>
  <c r="CW116" i="1" s="1"/>
  <c r="CN167" i="1"/>
  <c r="BO40" i="1"/>
  <c r="CF130" i="1"/>
  <c r="CF131" i="1" s="1"/>
  <c r="CH110" i="1"/>
  <c r="CW108" i="1" s="1"/>
  <c r="CH119" i="1"/>
  <c r="CW117" i="1" s="1"/>
  <c r="CO163" i="1"/>
  <c r="CO160" i="1"/>
  <c r="CH124" i="1"/>
  <c r="CW122" i="1" s="1"/>
  <c r="CH120" i="1"/>
  <c r="CW118" i="1" s="1"/>
  <c r="CW113" i="1"/>
  <c r="CN168" i="1"/>
  <c r="CB40" i="1"/>
  <c r="BZ40" i="1" s="1"/>
  <c r="BI30" i="1"/>
  <c r="CW111" i="1"/>
  <c r="CW110" i="1"/>
  <c r="CH116" i="1"/>
  <c r="CW114" i="1" s="1"/>
  <c r="CN169" i="1"/>
  <c r="CW120" i="1"/>
  <c r="CN163" i="1"/>
  <c r="CW119" i="1"/>
  <c r="BO50" i="1"/>
  <c r="CY153" i="1"/>
  <c r="CI153" i="1"/>
  <c r="CX153" i="1"/>
  <c r="CN153" i="1"/>
  <c r="CW153" i="1"/>
  <c r="CZ153" i="1"/>
  <c r="CJ153" i="1"/>
  <c r="CV153" i="1"/>
  <c r="CU153" i="1"/>
  <c r="CM153" i="1"/>
  <c r="CJ149" i="1"/>
  <c r="CX149" i="1"/>
  <c r="CN149" i="1"/>
  <c r="CO149" i="1"/>
  <c r="CU149" i="1"/>
  <c r="CW149" i="1"/>
  <c r="CI149" i="1"/>
  <c r="CX145" i="1"/>
  <c r="CZ145" i="1"/>
  <c r="CJ145" i="1"/>
  <c r="CY145" i="1"/>
  <c r="CI145" i="1"/>
  <c r="CV145" i="1"/>
  <c r="CU145" i="1"/>
  <c r="CM145" i="1"/>
  <c r="CW145" i="1"/>
  <c r="CN145" i="1"/>
  <c r="CN159" i="1"/>
  <c r="CU147" i="1"/>
  <c r="CM147" i="1"/>
  <c r="CZ147" i="1"/>
  <c r="CJ147" i="1"/>
  <c r="CV147" i="1"/>
  <c r="CN147" i="1"/>
  <c r="CI147" i="1"/>
  <c r="CY147" i="1"/>
  <c r="CX147" i="1"/>
  <c r="CW147" i="1"/>
  <c r="CL143" i="1"/>
  <c r="CU143" i="1"/>
  <c r="CK143" i="1"/>
  <c r="CT143" i="1"/>
  <c r="CL139" i="1"/>
  <c r="CK139" i="1"/>
  <c r="CO139" i="1"/>
  <c r="CP139" i="1"/>
  <c r="CL152" i="1"/>
  <c r="CT152" i="1"/>
  <c r="CK152" i="1"/>
  <c r="CY149" i="1"/>
  <c r="CO159" i="1"/>
  <c r="CO152" i="1"/>
  <c r="CP143" i="1"/>
  <c r="CZ146" i="1"/>
  <c r="CJ146" i="1"/>
  <c r="CU146" i="1"/>
  <c r="CM146" i="1"/>
  <c r="CY146" i="1"/>
  <c r="CI146" i="1"/>
  <c r="CV146" i="1"/>
  <c r="CN146" i="1"/>
  <c r="CX146" i="1"/>
  <c r="CW146" i="1"/>
  <c r="CV148" i="1"/>
  <c r="CN148" i="1"/>
  <c r="CU148" i="1"/>
  <c r="CM148" i="1"/>
  <c r="CW148" i="1"/>
  <c r="CZ148" i="1"/>
  <c r="CI148" i="1"/>
  <c r="CY148" i="1"/>
  <c r="CJ148" i="1"/>
  <c r="CX148" i="1"/>
  <c r="BI58" i="1"/>
  <c r="BO58" i="1"/>
  <c r="CB58" i="1"/>
  <c r="B58" i="1"/>
  <c r="BO24" i="1"/>
  <c r="BI24" i="1"/>
  <c r="B24" i="1"/>
  <c r="CB24" i="1"/>
  <c r="BZ24" i="1" s="1"/>
  <c r="CZ137" i="1"/>
  <c r="CJ137" i="1"/>
  <c r="CY137" i="1"/>
  <c r="CI137" i="1"/>
  <c r="CN137" i="1"/>
  <c r="CV137" i="1"/>
  <c r="CM137" i="1"/>
  <c r="CX137" i="1"/>
  <c r="CW137" i="1"/>
  <c r="CU137" i="1"/>
  <c r="CO137" i="1"/>
  <c r="CT139" i="1"/>
  <c r="CW141" i="1"/>
  <c r="CV141" i="1"/>
  <c r="CN141" i="1"/>
  <c r="CU141" i="1"/>
  <c r="CM141" i="1"/>
  <c r="CX141" i="1"/>
  <c r="CZ141" i="1"/>
  <c r="CY141" i="1"/>
  <c r="CJ141" i="1"/>
  <c r="CI141" i="1"/>
  <c r="CZ149" i="1"/>
  <c r="CO153" i="1"/>
  <c r="CW143" i="1"/>
  <c r="CW151" i="1"/>
  <c r="CV151" i="1"/>
  <c r="CN151" i="1"/>
  <c r="CU151" i="1"/>
  <c r="CM151" i="1"/>
  <c r="CX151" i="1"/>
  <c r="CZ151" i="1"/>
  <c r="CY151" i="1"/>
  <c r="CJ151" i="1"/>
  <c r="CI151" i="1"/>
  <c r="CO144" i="1"/>
  <c r="CK144" i="1"/>
  <c r="CL144" i="1"/>
  <c r="CT144" i="1"/>
  <c r="CV140" i="1"/>
  <c r="CN140" i="1"/>
  <c r="CU140" i="1"/>
  <c r="CM140" i="1"/>
  <c r="CW140" i="1"/>
  <c r="CX140" i="1"/>
  <c r="CJ140" i="1"/>
  <c r="CY140" i="1"/>
  <c r="CZ140" i="1"/>
  <c r="CI140" i="1"/>
  <c r="CZ144" i="1"/>
  <c r="CW139" i="1"/>
  <c r="BS16" i="3"/>
  <c r="AY16" i="3"/>
  <c r="AG16" i="3"/>
  <c r="AX16" i="3"/>
  <c r="AD16" i="3"/>
  <c r="BT16" i="3" s="1"/>
  <c r="AW16" i="3"/>
  <c r="AB16" i="3"/>
  <c r="AJ16" i="3"/>
  <c r="AV16" i="3"/>
  <c r="AS16" i="3"/>
  <c r="BP16" i="3"/>
  <c r="AM16" i="3"/>
  <c r="AP16" i="3"/>
  <c r="BO46" i="1"/>
  <c r="B46" i="1"/>
  <c r="CR46" i="1"/>
  <c r="CB46" i="1"/>
  <c r="BZ46" i="1" s="1"/>
  <c r="BI46" i="1"/>
  <c r="AX12" i="3"/>
  <c r="AD12" i="3"/>
  <c r="BT12" i="3" s="1"/>
  <c r="AW12" i="3"/>
  <c r="AB12" i="3"/>
  <c r="BP12" i="3"/>
  <c r="AV12" i="3"/>
  <c r="BS12" i="3"/>
  <c r="AY12" i="3"/>
  <c r="AG12" i="3"/>
  <c r="AJ12" i="3"/>
  <c r="AM12" i="3"/>
  <c r="AP12" i="3"/>
  <c r="AS12" i="3"/>
  <c r="BU20" i="3"/>
  <c r="BR20" i="3"/>
  <c r="BO52" i="1"/>
  <c r="B52" i="1"/>
  <c r="BI52" i="1"/>
  <c r="CX52" i="1"/>
  <c r="CB52" i="1"/>
  <c r="BZ52" i="1" s="1"/>
  <c r="BU29" i="3"/>
  <c r="BR29" i="3"/>
  <c r="N110" i="23"/>
  <c r="N111" i="23"/>
  <c r="N112" i="23" s="1"/>
  <c r="N113" i="23" s="1"/>
  <c r="N114" i="23" s="1"/>
  <c r="N115" i="23" s="1"/>
  <c r="N116" i="23" s="1"/>
  <c r="AP7" i="25" l="1"/>
  <c r="AJ7" i="25"/>
  <c r="CF60" i="1"/>
  <c r="B42" i="1"/>
  <c r="B56" i="1"/>
  <c r="BI42" i="1"/>
  <c r="AJ6" i="3"/>
  <c r="AG6" i="3"/>
  <c r="BU6" i="3" s="1"/>
  <c r="CC60" i="1"/>
  <c r="CB42" i="1"/>
  <c r="BZ42" i="1" s="1"/>
  <c r="AM6" i="3"/>
  <c r="BO42" i="1"/>
  <c r="AP6" i="3"/>
  <c r="AS6" i="3"/>
  <c r="C56" i="1"/>
  <c r="BO56" i="1"/>
  <c r="CB56" i="1"/>
  <c r="BZ56" i="1" s="1"/>
  <c r="M77" i="2"/>
  <c r="N79" i="2"/>
  <c r="CB44" i="1"/>
  <c r="BZ44" i="1" s="1"/>
  <c r="B38" i="1"/>
  <c r="B36" i="1"/>
  <c r="CU50" i="1"/>
  <c r="AG60" i="1"/>
  <c r="B50" i="1"/>
  <c r="BI36" i="1"/>
  <c r="CX63" i="1"/>
  <c r="CB50" i="1"/>
  <c r="BZ50" i="1" s="1"/>
  <c r="CR36" i="1"/>
  <c r="CR34" i="1"/>
  <c r="CB34" i="1"/>
  <c r="BZ34" i="1" s="1"/>
  <c r="CR38" i="1"/>
  <c r="B28" i="1"/>
  <c r="CB38" i="1"/>
  <c r="BZ38" i="1" s="1"/>
  <c r="BO28" i="1"/>
  <c r="BI28" i="1"/>
  <c r="BO34" i="1"/>
  <c r="CV34" i="1" s="1"/>
  <c r="BO48" i="1"/>
  <c r="CU48" i="1"/>
  <c r="B34" i="1"/>
  <c r="CI28" i="1"/>
  <c r="CI63" i="1" s="1"/>
  <c r="CD74" i="1" s="1"/>
  <c r="BO38" i="1"/>
  <c r="CV38" i="1" s="1"/>
  <c r="CV40" i="1"/>
  <c r="CE60" i="1"/>
  <c r="CD60" i="1"/>
  <c r="BI44" i="1"/>
  <c r="CV44" i="1" s="1"/>
  <c r="B32" i="1"/>
  <c r="BB7" i="3"/>
  <c r="BF7" i="3" s="1"/>
  <c r="BG7" i="3" s="1"/>
  <c r="CR44" i="1"/>
  <c r="BO32" i="1"/>
  <c r="BI32" i="1"/>
  <c r="CO32" i="1"/>
  <c r="CO63" i="1" s="1"/>
  <c r="CG159" i="1"/>
  <c r="CG160" i="1"/>
  <c r="CG161" i="1"/>
  <c r="CG164" i="1"/>
  <c r="BO36" i="1"/>
  <c r="BI48" i="1"/>
  <c r="B44" i="1"/>
  <c r="CD75" i="1"/>
  <c r="B26" i="1"/>
  <c r="C26" i="1"/>
  <c r="CF26" i="1" s="1"/>
  <c r="AA63" i="1"/>
  <c r="AG62" i="1"/>
  <c r="CS40" i="1"/>
  <c r="CM30" i="1"/>
  <c r="CM63" i="1" s="1"/>
  <c r="CL66" i="1" s="1"/>
  <c r="AW62" i="1"/>
  <c r="AD65" i="1"/>
  <c r="CF62" i="1"/>
  <c r="BO26" i="1"/>
  <c r="CD62" i="1"/>
  <c r="CE62" i="1"/>
  <c r="CV30" i="1"/>
  <c r="BI26" i="1"/>
  <c r="CG171" i="1"/>
  <c r="CG165" i="1"/>
  <c r="CG176" i="1"/>
  <c r="CG175" i="1"/>
  <c r="CG162" i="1"/>
  <c r="CG166" i="1"/>
  <c r="CG163" i="1"/>
  <c r="CG174" i="1"/>
  <c r="CG167" i="1"/>
  <c r="CG158" i="1"/>
  <c r="CG172" i="1"/>
  <c r="CG170" i="1"/>
  <c r="CG168" i="1"/>
  <c r="CV50" i="1"/>
  <c r="U75" i="1"/>
  <c r="AA75" i="1"/>
  <c r="AF76" i="1"/>
  <c r="W76" i="1"/>
  <c r="CH130" i="1"/>
  <c r="CH131" i="1" s="1"/>
  <c r="CG173" i="1"/>
  <c r="Y131" i="1"/>
  <c r="AE131" i="1" s="1"/>
  <c r="CF24" i="1"/>
  <c r="CC24" i="1"/>
  <c r="CD24" i="1"/>
  <c r="AW24" i="1"/>
  <c r="CE24" i="1"/>
  <c r="AG58" i="1"/>
  <c r="CE58" i="1"/>
  <c r="CF58" i="1"/>
  <c r="CD58" i="1"/>
  <c r="AW58" i="1"/>
  <c r="CC58" i="1"/>
  <c r="BR16" i="3"/>
  <c r="BU16" i="3"/>
  <c r="BR12" i="3"/>
  <c r="BU12" i="3"/>
  <c r="CS46" i="1"/>
  <c r="CV46" i="1"/>
  <c r="N118" i="23"/>
  <c r="N119" i="23" s="1"/>
  <c r="N120" i="23" s="1"/>
  <c r="N121" i="23" s="1"/>
  <c r="N117" i="23"/>
  <c r="BZ9" i="25" l="1"/>
  <c r="CJ9" i="25" s="1"/>
  <c r="CC9" i="25"/>
  <c r="CM9" i="25" s="1"/>
  <c r="CA3" i="25"/>
  <c r="BX3" i="25" s="1"/>
  <c r="CA9" i="25" s="1"/>
  <c r="CK9" i="25" s="1"/>
  <c r="BZ10" i="25"/>
  <c r="CD9" i="25"/>
  <c r="CN9" i="25" s="1"/>
  <c r="CG3" i="25"/>
  <c r="CQ3" i="25"/>
  <c r="CD10" i="25"/>
  <c r="CN10" i="25" s="1"/>
  <c r="CK3" i="25"/>
  <c r="CJ3" i="25" s="1"/>
  <c r="CC10" i="25"/>
  <c r="CC4" i="25"/>
  <c r="CF10" i="25" s="1"/>
  <c r="CP10" i="25" s="1"/>
  <c r="CC3" i="25"/>
  <c r="CF9" i="25" s="1"/>
  <c r="CP9" i="25" s="1"/>
  <c r="CM5" i="25"/>
  <c r="CC5" i="25"/>
  <c r="CF11" i="25" s="1"/>
  <c r="CP11" i="25" s="1"/>
  <c r="CV42" i="1"/>
  <c r="CU63" i="1"/>
  <c r="AF81" i="1" s="1"/>
  <c r="CS38" i="1"/>
  <c r="CS42" i="1"/>
  <c r="CE56" i="1"/>
  <c r="CC56" i="1"/>
  <c r="AW56" i="1"/>
  <c r="AG56" i="1"/>
  <c r="AQ56" i="1" s="1"/>
  <c r="BC56" i="1" s="1"/>
  <c r="CD56" i="1"/>
  <c r="CF56" i="1"/>
  <c r="CV48" i="1"/>
  <c r="CS44" i="1"/>
  <c r="M76" i="2"/>
  <c r="N78" i="2"/>
  <c r="CR63" i="1"/>
  <c r="AD79" i="1" s="1"/>
  <c r="CV28" i="1"/>
  <c r="CV36" i="1"/>
  <c r="CJ28" i="1"/>
  <c r="CJ63" i="1" s="1"/>
  <c r="CI66" i="1" s="1"/>
  <c r="CS34" i="1"/>
  <c r="CP32" i="1"/>
  <c r="CP63" i="1" s="1"/>
  <c r="CO66" i="1" s="1"/>
  <c r="BH7" i="3"/>
  <c r="AP7" i="3" s="1"/>
  <c r="AJ7" i="3"/>
  <c r="AM7" i="3"/>
  <c r="AG7" i="3"/>
  <c r="BU7" i="3" s="1"/>
  <c r="AS7" i="3"/>
  <c r="AD7" i="3"/>
  <c r="BT7" i="3" s="1"/>
  <c r="AF78" i="1"/>
  <c r="CD76" i="1"/>
  <c r="U77" i="1"/>
  <c r="CS36" i="1"/>
  <c r="AD77" i="1"/>
  <c r="W78" i="1"/>
  <c r="AA77" i="1"/>
  <c r="CV32" i="1"/>
  <c r="B63" i="1"/>
  <c r="CL80" i="1" s="1"/>
  <c r="O76" i="1"/>
  <c r="CH74" i="1"/>
  <c r="CG74" i="1"/>
  <c r="CF74" i="1"/>
  <c r="O75" i="1"/>
  <c r="CO75" i="1"/>
  <c r="CD26" i="1"/>
  <c r="AG26" i="1"/>
  <c r="AQ26" i="1" s="1"/>
  <c r="BC26" i="1" s="1"/>
  <c r="CE26" i="1"/>
  <c r="C28" i="1"/>
  <c r="CC26" i="1"/>
  <c r="AN79" i="1"/>
  <c r="O77" i="1"/>
  <c r="O78" i="1"/>
  <c r="CG177" i="1"/>
  <c r="Y130" i="1"/>
  <c r="AE130" i="1" s="1"/>
  <c r="W74" i="1"/>
  <c r="CI74" i="1"/>
  <c r="AD73" i="1"/>
  <c r="CK74" i="1"/>
  <c r="O74" i="1"/>
  <c r="AA73" i="1"/>
  <c r="AC131" i="1"/>
  <c r="AO66" i="1"/>
  <c r="AU66" i="1" s="1"/>
  <c r="AF74" i="1"/>
  <c r="O73" i="1"/>
  <c r="CJ74" i="1"/>
  <c r="U73" i="1"/>
  <c r="N123" i="23"/>
  <c r="N124" i="23" s="1"/>
  <c r="N125" i="23" s="1"/>
  <c r="N126" i="23" s="1"/>
  <c r="N122" i="23"/>
  <c r="CM3" i="25" l="1"/>
  <c r="CH3" i="25"/>
  <c r="BY9" i="25"/>
  <c r="CI9" i="25" s="1"/>
  <c r="BZ3" i="25"/>
  <c r="CG4" i="25"/>
  <c r="CK4" i="25"/>
  <c r="CA4" i="25"/>
  <c r="CJ10" i="25"/>
  <c r="BZ12" i="25"/>
  <c r="BZ11" i="25"/>
  <c r="CJ11" i="25" s="1"/>
  <c r="AA81" i="1"/>
  <c r="CC11" i="25"/>
  <c r="CM11" i="25" s="1"/>
  <c r="CM10" i="25"/>
  <c r="CC12" i="25"/>
  <c r="O81" i="1"/>
  <c r="W81" i="1"/>
  <c r="U81" i="1"/>
  <c r="AD81" i="1"/>
  <c r="CD78" i="1"/>
  <c r="W80" i="1"/>
  <c r="CD77" i="1"/>
  <c r="O79" i="1"/>
  <c r="AA79" i="1"/>
  <c r="CG78" i="1"/>
  <c r="CO74" i="1"/>
  <c r="AF80" i="1"/>
  <c r="U79" i="1"/>
  <c r="O80" i="1"/>
  <c r="CV63" i="1"/>
  <c r="CU66" i="1" s="1"/>
  <c r="M75" i="2"/>
  <c r="N77" i="2"/>
  <c r="CS63" i="1"/>
  <c r="CL77" i="1" s="1"/>
  <c r="BP81" i="1"/>
  <c r="CO76" i="1"/>
  <c r="CI86" i="1"/>
  <c r="CL79" i="1"/>
  <c r="CO77" i="1"/>
  <c r="CL85" i="1"/>
  <c r="CL86" i="1"/>
  <c r="CH86" i="1"/>
  <c r="AC130" i="1"/>
  <c r="AW26" i="1"/>
  <c r="C30" i="1"/>
  <c r="CE28" i="1"/>
  <c r="CF28" i="1"/>
  <c r="A28" i="1"/>
  <c r="AG28" i="1"/>
  <c r="AQ28" i="1" s="1"/>
  <c r="BC28" i="1" s="1"/>
  <c r="CC28" i="1"/>
  <c r="CD28" i="1"/>
  <c r="AA66" i="1"/>
  <c r="BY72" i="1" s="1"/>
  <c r="AE102" i="1" s="1"/>
  <c r="N129" i="23"/>
  <c r="N130" i="23"/>
  <c r="N131" i="23" s="1"/>
  <c r="N132" i="23" s="1"/>
  <c r="N133" i="23" s="1"/>
  <c r="N134" i="23" s="1"/>
  <c r="N135" i="23" s="1"/>
  <c r="N136" i="23" s="1"/>
  <c r="N137" i="23" s="1"/>
  <c r="BK40" i="25" l="1"/>
  <c r="CJ12" i="25"/>
  <c r="CM12" i="25"/>
  <c r="BK35" i="25"/>
  <c r="CK5" i="25"/>
  <c r="CM4" i="25"/>
  <c r="CH4" i="25"/>
  <c r="CJ4" i="25"/>
  <c r="CG5" i="25"/>
  <c r="CQ4" i="25"/>
  <c r="CG6" i="25"/>
  <c r="CA5" i="25"/>
  <c r="CA6" i="25"/>
  <c r="AS14" i="25"/>
  <c r="BY10" i="25"/>
  <c r="CI10" i="25" s="1"/>
  <c r="BX4" i="25"/>
  <c r="CA10" i="25" s="1"/>
  <c r="CK10" i="25" s="1"/>
  <c r="BZ4" i="25"/>
  <c r="CD79" i="1"/>
  <c r="CL76" i="1"/>
  <c r="M74" i="2"/>
  <c r="N76" i="2"/>
  <c r="CI85" i="1"/>
  <c r="CL75" i="1"/>
  <c r="CH85" i="1"/>
  <c r="CR66" i="1"/>
  <c r="CL74" i="1"/>
  <c r="AW28" i="1"/>
  <c r="A30" i="1"/>
  <c r="C32" i="1"/>
  <c r="CC30" i="1"/>
  <c r="AG30" i="1"/>
  <c r="AQ30" i="1" s="1"/>
  <c r="BC30" i="1" s="1"/>
  <c r="CE30" i="1"/>
  <c r="CD30" i="1"/>
  <c r="CF30" i="1"/>
  <c r="AG66" i="1"/>
  <c r="N139" i="23"/>
  <c r="N140" i="23" s="1"/>
  <c r="N141" i="23" s="1"/>
  <c r="N142" i="23" s="1"/>
  <c r="N143" i="23" s="1"/>
  <c r="N144" i="23" s="1"/>
  <c r="N145" i="23" s="1"/>
  <c r="N146" i="23" s="1"/>
  <c r="N147" i="23" s="1"/>
  <c r="N148" i="23" s="1"/>
  <c r="N149" i="23" s="1"/>
  <c r="N150" i="23" s="1"/>
  <c r="N151" i="23" s="1"/>
  <c r="N152" i="23" s="1"/>
  <c r="N153" i="23" s="1"/>
  <c r="N154" i="23" s="1"/>
  <c r="N155" i="23" s="1"/>
  <c r="N156" i="23" s="1"/>
  <c r="N157" i="23" s="1"/>
  <c r="N158" i="23" s="1"/>
  <c r="N159" i="23" s="1"/>
  <c r="N160" i="23" s="1"/>
  <c r="N161" i="23" s="1"/>
  <c r="N162" i="23" s="1"/>
  <c r="N163" i="23" s="1"/>
  <c r="N164" i="23" s="1"/>
  <c r="N165" i="23" s="1"/>
  <c r="N166" i="23" s="1"/>
  <c r="N167" i="23" s="1"/>
  <c r="N168" i="23" s="1"/>
  <c r="N169" i="23" s="1"/>
  <c r="N170" i="23" s="1"/>
  <c r="N171" i="23" s="1"/>
  <c r="N172" i="23" s="1"/>
  <c r="N173" i="23" s="1"/>
  <c r="N174" i="23" s="1"/>
  <c r="N175" i="23" s="1"/>
  <c r="N176" i="23" s="1"/>
  <c r="N177" i="23" s="1"/>
  <c r="N178" i="23" s="1"/>
  <c r="N179" i="23" s="1"/>
  <c r="N180" i="23" s="1"/>
  <c r="N181" i="23" s="1"/>
  <c r="N182" i="23" s="1"/>
  <c r="N183" i="23" s="1"/>
  <c r="N184" i="23" s="1"/>
  <c r="N185" i="23" s="1"/>
  <c r="N186" i="23" s="1"/>
  <c r="N187" i="23" s="1"/>
  <c r="N188" i="23" s="1"/>
  <c r="N189" i="23" s="1"/>
  <c r="N190" i="23" s="1"/>
  <c r="N191" i="23" s="1"/>
  <c r="N192" i="23" s="1"/>
  <c r="N193" i="23" s="1"/>
  <c r="N194" i="23" s="1"/>
  <c r="N195" i="23" s="1"/>
  <c r="N196" i="23" s="1"/>
  <c r="N198" i="23" s="1"/>
  <c r="N199" i="23" s="1"/>
  <c r="N200" i="23" s="1"/>
  <c r="N201" i="23" s="1"/>
  <c r="N202" i="23" s="1"/>
  <c r="N203" i="23" s="1"/>
  <c r="N204" i="23" s="1"/>
  <c r="N205" i="23" s="1"/>
  <c r="N206" i="23" s="1"/>
  <c r="N207" i="23" s="1"/>
  <c r="N208" i="23" s="1"/>
  <c r="N209" i="23" s="1"/>
  <c r="N210" i="23" s="1"/>
  <c r="N211" i="23" s="1"/>
  <c r="N212" i="23" s="1"/>
  <c r="N213" i="23" s="1"/>
  <c r="N214" i="23" s="1"/>
  <c r="N215" i="23" s="1"/>
  <c r="N216" i="23" s="1"/>
  <c r="N217" i="23" s="1"/>
  <c r="N218" i="23" s="1"/>
  <c r="N219" i="23" s="1"/>
  <c r="N220" i="23" s="1"/>
  <c r="N221" i="23" s="1"/>
  <c r="N222" i="23" s="1"/>
  <c r="N223" i="23" s="1"/>
  <c r="N224" i="23" s="1"/>
  <c r="N225" i="23" s="1"/>
  <c r="N226" i="23" s="1"/>
  <c r="N227" i="23" s="1"/>
  <c r="N228" i="23" s="1"/>
  <c r="N229" i="23" s="1"/>
  <c r="N230" i="23" s="1"/>
  <c r="N231" i="23" s="1"/>
  <c r="N232" i="23" s="1"/>
  <c r="N233" i="23" s="1"/>
  <c r="N234" i="23" s="1"/>
  <c r="N235" i="23" s="1"/>
  <c r="N236" i="23" s="1"/>
  <c r="N237" i="23" s="1"/>
  <c r="N238" i="23" s="1"/>
  <c r="N239" i="23" s="1"/>
  <c r="N240" i="23" s="1"/>
  <c r="N241" i="23" s="1"/>
  <c r="N242" i="23" s="1"/>
  <c r="N243" i="23" s="1"/>
  <c r="N244" i="23" s="1"/>
  <c r="N245" i="23" s="1"/>
  <c r="N246" i="23" s="1"/>
  <c r="N247" i="23" s="1"/>
  <c r="N248" i="23" s="1"/>
  <c r="N249" i="23" s="1"/>
  <c r="N250" i="23" s="1"/>
  <c r="N251" i="23" s="1"/>
  <c r="N252" i="23" s="1"/>
  <c r="N253" i="23" s="1"/>
  <c r="N254" i="23" s="1"/>
  <c r="N255" i="23" s="1"/>
  <c r="N256" i="23" s="1"/>
  <c r="N257" i="23" s="1"/>
  <c r="N258" i="23" s="1"/>
  <c r="N259" i="23" s="1"/>
  <c r="N260" i="23" s="1"/>
  <c r="N261" i="23" s="1"/>
  <c r="N262" i="23" s="1"/>
  <c r="N138" i="23"/>
  <c r="BZ6" i="25" l="1"/>
  <c r="BX6" i="25"/>
  <c r="CD12" i="25"/>
  <c r="BZ5" i="25"/>
  <c r="BX5" i="25"/>
  <c r="CA11" i="25" s="1"/>
  <c r="CK11" i="25" s="1"/>
  <c r="BK38" i="25"/>
  <c r="AS15" i="25"/>
  <c r="CK6" i="25"/>
  <c r="CJ5" i="25"/>
  <c r="CH5" i="25"/>
  <c r="BY11" i="25"/>
  <c r="CI11" i="25" s="1"/>
  <c r="CD11" i="25"/>
  <c r="CN11" i="25" s="1"/>
  <c r="CQ5" i="25"/>
  <c r="CQ6" i="25"/>
  <c r="AO35" i="25"/>
  <c r="CD49" i="25"/>
  <c r="BO35" i="25"/>
  <c r="CD54" i="25"/>
  <c r="BY54" i="25" s="1"/>
  <c r="BO40" i="25"/>
  <c r="M73" i="2"/>
  <c r="N75" i="2"/>
  <c r="AW30" i="1"/>
  <c r="CF32" i="1"/>
  <c r="CD32" i="1"/>
  <c r="CC32" i="1"/>
  <c r="AG32" i="1"/>
  <c r="AQ32" i="1" s="1"/>
  <c r="BC32" i="1" s="1"/>
  <c r="CE32" i="1"/>
  <c r="A32" i="1"/>
  <c r="C34" i="1"/>
  <c r="N264" i="23"/>
  <c r="N265" i="23" s="1"/>
  <c r="N266" i="23" s="1"/>
  <c r="N267" i="23" s="1"/>
  <c r="N268" i="23" s="1"/>
  <c r="N269" i="23" s="1"/>
  <c r="N270" i="23" s="1"/>
  <c r="N271" i="23" s="1"/>
  <c r="N272" i="23" s="1"/>
  <c r="N273" i="23" s="1"/>
  <c r="N274" i="23" s="1"/>
  <c r="N275" i="23" s="1"/>
  <c r="N276" i="23" s="1"/>
  <c r="N277" i="23" s="1"/>
  <c r="N278" i="23" s="1"/>
  <c r="N279" i="23" s="1"/>
  <c r="N280" i="23" s="1"/>
  <c r="N263" i="23"/>
  <c r="CJ6" i="25" l="1"/>
  <c r="BH31" i="25" s="1"/>
  <c r="R31" i="25" s="1"/>
  <c r="BY49" i="25"/>
  <c r="BK39" i="25"/>
  <c r="CD52" i="25"/>
  <c r="BY52" i="25" s="1"/>
  <c r="BO38" i="25"/>
  <c r="M72" i="2"/>
  <c r="N74" i="2"/>
  <c r="BB9" i="3"/>
  <c r="AW32" i="1"/>
  <c r="C36" i="1"/>
  <c r="CD34" i="1"/>
  <c r="CF34" i="1"/>
  <c r="CC34" i="1"/>
  <c r="A34" i="1"/>
  <c r="CE34" i="1"/>
  <c r="AG34" i="1"/>
  <c r="AQ34" i="1" s="1"/>
  <c r="BC34" i="1" s="1"/>
  <c r="N281" i="23"/>
  <c r="N282" i="23" s="1"/>
  <c r="N283" i="23"/>
  <c r="N284" i="23" s="1"/>
  <c r="N285" i="23" s="1"/>
  <c r="N286" i="23" s="1"/>
  <c r="N287" i="23" s="1"/>
  <c r="N288" i="23" s="1"/>
  <c r="N289" i="23" s="1"/>
  <c r="N290" i="23" s="1"/>
  <c r="N291" i="23" s="1"/>
  <c r="N292" i="23" s="1"/>
  <c r="N293" i="23" s="1"/>
  <c r="N294" i="23" s="1"/>
  <c r="N295" i="23" s="1"/>
  <c r="N296" i="23" s="1"/>
  <c r="N297" i="23" s="1"/>
  <c r="N298" i="23" s="1"/>
  <c r="N299" i="23" s="1"/>
  <c r="N300" i="23" s="1"/>
  <c r="N301" i="23" s="1"/>
  <c r="N302" i="23" s="1"/>
  <c r="N303" i="23" s="1"/>
  <c r="N304" i="23" s="1"/>
  <c r="N305" i="23" s="1"/>
  <c r="N306" i="23" s="1"/>
  <c r="N307" i="23" s="1"/>
  <c r="N308" i="23" s="1"/>
  <c r="N309" i="23" s="1"/>
  <c r="N310" i="23" s="1"/>
  <c r="N311" i="23" s="1"/>
  <c r="N312" i="23" s="1"/>
  <c r="CD53" i="25" l="1"/>
  <c r="BY53" i="25" s="1"/>
  <c r="BO39" i="25"/>
  <c r="R33" i="25"/>
  <c r="CD37" i="25"/>
  <c r="BY37" i="25" s="1"/>
  <c r="V31" i="25"/>
  <c r="M71" i="2"/>
  <c r="N73" i="2"/>
  <c r="G90" i="1"/>
  <c r="BB10" i="3" s="1"/>
  <c r="AW34" i="1"/>
  <c r="AG36" i="1"/>
  <c r="AQ36" i="1" s="1"/>
  <c r="BC36" i="1" s="1"/>
  <c r="C38" i="1"/>
  <c r="CF36" i="1"/>
  <c r="CD36" i="1"/>
  <c r="CE36" i="1"/>
  <c r="A36" i="1"/>
  <c r="CC36" i="1"/>
  <c r="N313" i="23"/>
  <c r="N314" i="23"/>
  <c r="N315" i="23" s="1"/>
  <c r="N316" i="23" s="1"/>
  <c r="N317" i="23" s="1"/>
  <c r="N318" i="23" s="1"/>
  <c r="N319" i="23" s="1"/>
  <c r="N320" i="23" s="1"/>
  <c r="N321" i="23" s="1"/>
  <c r="N322" i="23" s="1"/>
  <c r="N323" i="23" s="1"/>
  <c r="N324" i="23" s="1"/>
  <c r="N325" i="23" s="1"/>
  <c r="N326" i="23" s="1"/>
  <c r="N327" i="23" s="1"/>
  <c r="N328" i="23" s="1"/>
  <c r="V33" i="25" l="1"/>
  <c r="CD39" i="25"/>
  <c r="BY39" i="25" s="1"/>
  <c r="M70" i="2"/>
  <c r="N72" i="2"/>
  <c r="G91" i="1"/>
  <c r="BB11" i="3" s="1"/>
  <c r="BG9" i="3"/>
  <c r="AW36" i="1"/>
  <c r="CD38" i="1"/>
  <c r="A38" i="1"/>
  <c r="C40" i="1"/>
  <c r="CF38" i="1"/>
  <c r="CC38" i="1"/>
  <c r="CE38" i="1"/>
  <c r="AG38" i="1"/>
  <c r="N332" i="23"/>
  <c r="N333" i="23" s="1"/>
  <c r="N334" i="23" s="1"/>
  <c r="N335" i="23" s="1"/>
  <c r="N336" i="23" s="1"/>
  <c r="N337" i="23" s="1"/>
  <c r="N338" i="23" s="1"/>
  <c r="N339" i="23" s="1"/>
  <c r="N340" i="23" s="1"/>
  <c r="N341" i="23" s="1"/>
  <c r="N342" i="23" s="1"/>
  <c r="N343" i="23" s="1"/>
  <c r="N344" i="23" s="1"/>
  <c r="N345" i="23" s="1"/>
  <c r="N346" i="23" s="1"/>
  <c r="N347" i="23" s="1"/>
  <c r="N348" i="23" s="1"/>
  <c r="N349" i="23" s="1"/>
  <c r="N350" i="23" s="1"/>
  <c r="N351" i="23" s="1"/>
  <c r="N352" i="23" s="1"/>
  <c r="N353" i="23" s="1"/>
  <c r="N354" i="23" s="1"/>
  <c r="N329" i="23"/>
  <c r="N330" i="23" s="1"/>
  <c r="N331" i="23" s="1"/>
  <c r="M69" i="2" l="1"/>
  <c r="N71" i="2"/>
  <c r="BG10" i="3"/>
  <c r="AD9" i="3"/>
  <c r="BT9" i="3" s="1"/>
  <c r="AM9" i="3"/>
  <c r="AS9" i="3"/>
  <c r="AG9" i="3"/>
  <c r="AP9" i="3"/>
  <c r="AJ9" i="3"/>
  <c r="AB9" i="3"/>
  <c r="BG11" i="3"/>
  <c r="AW38" i="1"/>
  <c r="AQ38" i="1"/>
  <c r="BC38" i="1" s="1"/>
  <c r="A40" i="1"/>
  <c r="CC40" i="1"/>
  <c r="CD40" i="1"/>
  <c r="CE40" i="1"/>
  <c r="C42" i="1"/>
  <c r="AG40" i="1"/>
  <c r="AQ40" i="1" s="1"/>
  <c r="BC40" i="1" s="1"/>
  <c r="CF40" i="1"/>
  <c r="N356" i="23"/>
  <c r="N357" i="23" s="1"/>
  <c r="N358" i="23" s="1"/>
  <c r="N359" i="23" s="1"/>
  <c r="N360" i="23" s="1"/>
  <c r="N361" i="23" s="1"/>
  <c r="N362" i="23" s="1"/>
  <c r="N363" i="23" s="1"/>
  <c r="N364" i="23" s="1"/>
  <c r="N365" i="23" s="1"/>
  <c r="N366" i="23" s="1"/>
  <c r="N367" i="23" s="1"/>
  <c r="N368" i="23" s="1"/>
  <c r="N369" i="23" s="1"/>
  <c r="N370" i="23" s="1"/>
  <c r="N371" i="23" s="1"/>
  <c r="N372" i="23" s="1"/>
  <c r="N373" i="23" s="1"/>
  <c r="N374" i="23" s="1"/>
  <c r="N375" i="23" s="1"/>
  <c r="N376" i="23" s="1"/>
  <c r="N377" i="23" s="1"/>
  <c r="N378" i="23" s="1"/>
  <c r="N379" i="23" s="1"/>
  <c r="N380" i="23" s="1"/>
  <c r="N381" i="23" s="1"/>
  <c r="N382" i="23" s="1"/>
  <c r="N383" i="23" s="1"/>
  <c r="N384" i="23" s="1"/>
  <c r="N385" i="23" s="1"/>
  <c r="N386" i="23" s="1"/>
  <c r="N387" i="23" s="1"/>
  <c r="N388" i="23" s="1"/>
  <c r="N389" i="23" s="1"/>
  <c r="N390" i="23" s="1"/>
  <c r="N391" i="23" s="1"/>
  <c r="N392" i="23" s="1"/>
  <c r="N393" i="23" s="1"/>
  <c r="N394" i="23" s="1"/>
  <c r="N395" i="23" s="1"/>
  <c r="N396" i="23" s="1"/>
  <c r="N397" i="23" s="1"/>
  <c r="N398" i="23" s="1"/>
  <c r="N399" i="23" s="1"/>
  <c r="N400" i="23" s="1"/>
  <c r="N401" i="23" s="1"/>
  <c r="N402" i="23" s="1"/>
  <c r="N403" i="23" s="1"/>
  <c r="N404" i="23" s="1"/>
  <c r="N405" i="23" s="1"/>
  <c r="N406" i="23" s="1"/>
  <c r="N407" i="23" s="1"/>
  <c r="N408" i="23" s="1"/>
  <c r="N409" i="23" s="1"/>
  <c r="N410" i="23" s="1"/>
  <c r="N411" i="23" s="1"/>
  <c r="N412" i="23" s="1"/>
  <c r="N413" i="23" s="1"/>
  <c r="N414" i="23" s="1"/>
  <c r="N415" i="23" s="1"/>
  <c r="N416" i="23" s="1"/>
  <c r="N417" i="23" s="1"/>
  <c r="N418" i="23" s="1"/>
  <c r="N419" i="23" s="1"/>
  <c r="N420" i="23" s="1"/>
  <c r="N421" i="23" s="1"/>
  <c r="N422" i="23" s="1"/>
  <c r="N424" i="23" s="1"/>
  <c r="N425" i="23" s="1"/>
  <c r="N426" i="23" s="1"/>
  <c r="N427" i="23" s="1"/>
  <c r="N428" i="23" s="1"/>
  <c r="N429" i="23" s="1"/>
  <c r="N430" i="23" s="1"/>
  <c r="N431" i="23" s="1"/>
  <c r="N432" i="23" s="1"/>
  <c r="N433" i="23" s="1"/>
  <c r="N434" i="23" s="1"/>
  <c r="N435" i="23" s="1"/>
  <c r="N436" i="23" s="1"/>
  <c r="N437" i="23" s="1"/>
  <c r="N438" i="23" s="1"/>
  <c r="N439" i="23" s="1"/>
  <c r="N440" i="23" s="1"/>
  <c r="N441" i="23" s="1"/>
  <c r="N442" i="23" s="1"/>
  <c r="N443" i="23" s="1"/>
  <c r="N444" i="23" s="1"/>
  <c r="N445" i="23" s="1"/>
  <c r="N446" i="23" s="1"/>
  <c r="N447" i="23" s="1"/>
  <c r="N448" i="23" s="1"/>
  <c r="N449" i="23" s="1"/>
  <c r="N450" i="23" s="1"/>
  <c r="N451" i="23" s="1"/>
  <c r="N452" i="23" s="1"/>
  <c r="N453" i="23" s="1"/>
  <c r="N454" i="23" s="1"/>
  <c r="N455" i="23" s="1"/>
  <c r="N456" i="23" s="1"/>
  <c r="N457" i="23" s="1"/>
  <c r="N458" i="23" s="1"/>
  <c r="N459" i="23" s="1"/>
  <c r="N460" i="23" s="1"/>
  <c r="N461" i="23" s="1"/>
  <c r="N462" i="23" s="1"/>
  <c r="N463" i="23" s="1"/>
  <c r="N464" i="23" s="1"/>
  <c r="N355" i="23"/>
  <c r="M68" i="2" l="1"/>
  <c r="N70" i="2"/>
  <c r="BR9" i="3"/>
  <c r="BU9" i="3"/>
  <c r="BP9" i="3"/>
  <c r="AJ11" i="3"/>
  <c r="BP11" i="3"/>
  <c r="AV11" i="3" s="1"/>
  <c r="AS11" i="3"/>
  <c r="AD11" i="3"/>
  <c r="BT11" i="3" s="1"/>
  <c r="AM11" i="3"/>
  <c r="AB11" i="3"/>
  <c r="AG11" i="3"/>
  <c r="AP11" i="3"/>
  <c r="AG10" i="3"/>
  <c r="AD10" i="3"/>
  <c r="BT10" i="3" s="1"/>
  <c r="AM10" i="3"/>
  <c r="AP10" i="3"/>
  <c r="AJ10" i="3"/>
  <c r="AB10" i="3"/>
  <c r="AS10" i="3"/>
  <c r="AW40" i="1"/>
  <c r="A42" i="1"/>
  <c r="CF42" i="1"/>
  <c r="CD42" i="1"/>
  <c r="C44" i="1"/>
  <c r="CC42" i="1"/>
  <c r="AG42" i="1"/>
  <c r="AQ42" i="1" s="1"/>
  <c r="BC42" i="1" s="1"/>
  <c r="CE42" i="1"/>
  <c r="N465" i="23"/>
  <c r="N466" i="23"/>
  <c r="N467" i="23" s="1"/>
  <c r="N468" i="23" s="1"/>
  <c r="N469" i="23" s="1"/>
  <c r="N470" i="23" s="1"/>
  <c r="N471" i="23" s="1"/>
  <c r="M67" i="2" l="1"/>
  <c r="N69" i="2"/>
  <c r="AW9" i="3"/>
  <c r="BS9" i="3"/>
  <c r="AV9" i="3"/>
  <c r="G95" i="1"/>
  <c r="BB15" i="3" s="1"/>
  <c r="AW11" i="3"/>
  <c r="BR10" i="3"/>
  <c r="BU10" i="3"/>
  <c r="BP10" i="3"/>
  <c r="BU11" i="3"/>
  <c r="BR11" i="3"/>
  <c r="BS11" i="3" s="1"/>
  <c r="AW42" i="1"/>
  <c r="CC44" i="1"/>
  <c r="CE44" i="1"/>
  <c r="CF44" i="1"/>
  <c r="AG44" i="1"/>
  <c r="AQ44" i="1" s="1"/>
  <c r="BC44" i="1" s="1"/>
  <c r="CD44" i="1"/>
  <c r="C46" i="1"/>
  <c r="A46" i="1" s="1"/>
  <c r="A44" i="1"/>
  <c r="N473" i="23"/>
  <c r="N472" i="23"/>
  <c r="M66" i="2" l="1"/>
  <c r="N68" i="2"/>
  <c r="AX9" i="3"/>
  <c r="AY9" i="3"/>
  <c r="AY11" i="3"/>
  <c r="AX11" i="3"/>
  <c r="AV10" i="3"/>
  <c r="BS10" i="3"/>
  <c r="AW10" i="3"/>
  <c r="AW44" i="1"/>
  <c r="CF46" i="1"/>
  <c r="CE46" i="1"/>
  <c r="C48" i="1"/>
  <c r="AG46" i="1"/>
  <c r="AQ46" i="1" s="1"/>
  <c r="BC46" i="1" s="1"/>
  <c r="CC46" i="1"/>
  <c r="CD46" i="1"/>
  <c r="N475" i="23"/>
  <c r="N476" i="23" s="1"/>
  <c r="N477" i="23" s="1"/>
  <c r="N478" i="23" s="1"/>
  <c r="N479" i="23" s="1"/>
  <c r="N480" i="23" s="1"/>
  <c r="N481" i="23" s="1"/>
  <c r="N482" i="23" s="1"/>
  <c r="N483" i="23" s="1"/>
  <c r="N484" i="23" s="1"/>
  <c r="N485" i="23" s="1"/>
  <c r="N486" i="23" s="1"/>
  <c r="N487" i="23" s="1"/>
  <c r="N488" i="23" s="1"/>
  <c r="N489" i="23" s="1"/>
  <c r="N490" i="23" s="1"/>
  <c r="N474" i="23"/>
  <c r="M65" i="2" l="1"/>
  <c r="N67" i="2"/>
  <c r="AX10" i="3"/>
  <c r="AY10" i="3"/>
  <c r="BG15" i="3"/>
  <c r="AW46" i="1"/>
  <c r="CD48" i="1"/>
  <c r="CE48" i="1"/>
  <c r="A48" i="1"/>
  <c r="C50" i="1"/>
  <c r="AG48" i="1"/>
  <c r="AQ48" i="1" s="1"/>
  <c r="BC48" i="1" s="1"/>
  <c r="CF48" i="1"/>
  <c r="CC48" i="1"/>
  <c r="N492" i="23"/>
  <c r="N493" i="23" s="1"/>
  <c r="N494" i="23" s="1"/>
  <c r="N495" i="23" s="1"/>
  <c r="N496" i="23" s="1"/>
  <c r="N497" i="23" s="1"/>
  <c r="N498" i="23" s="1"/>
  <c r="N499" i="23" s="1"/>
  <c r="N491" i="23"/>
  <c r="M64" i="2" l="1"/>
  <c r="N66" i="2"/>
  <c r="AD15" i="3"/>
  <c r="BT15" i="3" s="1"/>
  <c r="AS15" i="3"/>
  <c r="AB15" i="3"/>
  <c r="AP15" i="3"/>
  <c r="AJ15" i="3"/>
  <c r="AG15" i="3"/>
  <c r="AM15" i="3"/>
  <c r="AW48" i="1"/>
  <c r="A50" i="1"/>
  <c r="A22" i="1" s="1"/>
  <c r="CF50" i="1"/>
  <c r="AG50" i="1"/>
  <c r="AQ50" i="1" s="1"/>
  <c r="BC50" i="1" s="1"/>
  <c r="C52" i="1"/>
  <c r="CE50" i="1"/>
  <c r="CD50" i="1"/>
  <c r="CC50" i="1"/>
  <c r="N500" i="23"/>
  <c r="N501" i="23"/>
  <c r="N502" i="23" s="1"/>
  <c r="N503" i="23" s="1"/>
  <c r="N504" i="23" s="1"/>
  <c r="N505" i="23" s="1"/>
  <c r="N506" i="23" s="1"/>
  <c r="N507" i="23" s="1"/>
  <c r="N508" i="23" s="1"/>
  <c r="N509" i="23" s="1"/>
  <c r="N510" i="23" s="1"/>
  <c r="N511" i="23" s="1"/>
  <c r="N512" i="23" s="1"/>
  <c r="N513" i="23" s="1"/>
  <c r="N514" i="23" s="1"/>
  <c r="N515" i="23" s="1"/>
  <c r="N516" i="23" s="1"/>
  <c r="N517" i="23" s="1"/>
  <c r="N518" i="23" s="1"/>
  <c r="N519" i="23" s="1"/>
  <c r="N520" i="23" s="1"/>
  <c r="N521" i="23" s="1"/>
  <c r="N522" i="23" s="1"/>
  <c r="N523" i="23" s="1"/>
  <c r="N524" i="23" s="1"/>
  <c r="N525" i="23" s="1"/>
  <c r="N526" i="23" s="1"/>
  <c r="N527" i="23" s="1"/>
  <c r="N528" i="23" s="1"/>
  <c r="N529" i="23" s="1"/>
  <c r="N530" i="23" s="1"/>
  <c r="N531" i="23" s="1"/>
  <c r="N532" i="23" s="1"/>
  <c r="N533" i="23" s="1"/>
  <c r="N534" i="23" s="1"/>
  <c r="N535" i="23" s="1"/>
  <c r="N536" i="23" s="1"/>
  <c r="N537" i="23" s="1"/>
  <c r="N538" i="23" s="1"/>
  <c r="N539" i="23" s="1"/>
  <c r="N540" i="23" s="1"/>
  <c r="N541" i="23" s="1"/>
  <c r="N542" i="23" s="1"/>
  <c r="N543" i="23" s="1"/>
  <c r="N544" i="23" s="1"/>
  <c r="N545" i="23" s="1"/>
  <c r="N546" i="23" s="1"/>
  <c r="N547" i="23" s="1"/>
  <c r="N548" i="23" s="1"/>
  <c r="N549" i="23" s="1"/>
  <c r="N550" i="23" s="1"/>
  <c r="N551" i="23" s="1"/>
  <c r="N552" i="23" s="1"/>
  <c r="N553" i="23" s="1"/>
  <c r="N554" i="23" s="1"/>
  <c r="N555" i="23" s="1"/>
  <c r="N556" i="23" s="1"/>
  <c r="N557" i="23" s="1"/>
  <c r="N558" i="23" s="1"/>
  <c r="N559" i="23" s="1"/>
  <c r="N560" i="23" s="1"/>
  <c r="M63" i="2" l="1"/>
  <c r="N65" i="2"/>
  <c r="BP15" i="3"/>
  <c r="AW15" i="3" s="1"/>
  <c r="BU15" i="3"/>
  <c r="BR15" i="3"/>
  <c r="AW50" i="1"/>
  <c r="CF52" i="1"/>
  <c r="CE52" i="1"/>
  <c r="AW52" i="1"/>
  <c r="CD52" i="1"/>
  <c r="CC52" i="1"/>
  <c r="AG52" i="1"/>
  <c r="AQ52" i="1" s="1"/>
  <c r="BC52" i="1" s="1"/>
  <c r="C54" i="1"/>
  <c r="C63" i="1" s="1"/>
  <c r="N561" i="23"/>
  <c r="N562" i="23"/>
  <c r="N563" i="23" s="1"/>
  <c r="N564" i="23" s="1"/>
  <c r="N565" i="23" s="1"/>
  <c r="N566" i="23" s="1"/>
  <c r="N567" i="23" s="1"/>
  <c r="N568" i="23" s="1"/>
  <c r="N569" i="23" s="1"/>
  <c r="N570" i="23" s="1"/>
  <c r="N571" i="23" s="1"/>
  <c r="N572" i="23" s="1"/>
  <c r="N573" i="23" s="1"/>
  <c r="N574" i="23" s="1"/>
  <c r="N575" i="23" s="1"/>
  <c r="N576" i="23" s="1"/>
  <c r="N577" i="23" s="1"/>
  <c r="N578" i="23" s="1"/>
  <c r="N579" i="23" s="1"/>
  <c r="N580" i="23" s="1"/>
  <c r="N581" i="23" s="1"/>
  <c r="N582" i="23" s="1"/>
  <c r="N583" i="23" s="1"/>
  <c r="N584" i="23" s="1"/>
  <c r="N585" i="23" s="1"/>
  <c r="N586" i="23" s="1"/>
  <c r="N587" i="23" s="1"/>
  <c r="N588" i="23" s="1"/>
  <c r="N589" i="23" s="1"/>
  <c r="N590" i="23" s="1"/>
  <c r="N591" i="23" s="1"/>
  <c r="N592" i="23" s="1"/>
  <c r="N593" i="23" s="1"/>
  <c r="N594" i="23" s="1"/>
  <c r="N595" i="23" s="1"/>
  <c r="N596" i="23" s="1"/>
  <c r="N597" i="23" s="1"/>
  <c r="N598" i="23" s="1"/>
  <c r="N599" i="23" s="1"/>
  <c r="N600" i="23" s="1"/>
  <c r="N601" i="23" s="1"/>
  <c r="N602" i="23" s="1"/>
  <c r="N603" i="23" s="1"/>
  <c r="N604" i="23" s="1"/>
  <c r="N605" i="23" s="1"/>
  <c r="N606" i="23" s="1"/>
  <c r="N607" i="23" s="1"/>
  <c r="N608" i="23" s="1"/>
  <c r="N609" i="23" s="1"/>
  <c r="N610" i="23" s="1"/>
  <c r="N611" i="23" s="1"/>
  <c r="N612" i="23" s="1"/>
  <c r="N613" i="23" s="1"/>
  <c r="N614" i="23" s="1"/>
  <c r="N615" i="23" s="1"/>
  <c r="N616" i="23" s="1"/>
  <c r="N617" i="23" s="1"/>
  <c r="N618" i="23" s="1"/>
  <c r="N619" i="23" s="1"/>
  <c r="N620" i="23" s="1"/>
  <c r="N621" i="23" s="1"/>
  <c r="N622" i="23" s="1"/>
  <c r="M62" i="2" l="1"/>
  <c r="N64" i="2"/>
  <c r="BS15" i="3"/>
  <c r="AV15" i="3"/>
  <c r="AX15" i="3"/>
  <c r="AY15" i="3"/>
  <c r="AG54" i="1"/>
  <c r="CC54" i="1"/>
  <c r="CC63" i="1" s="1"/>
  <c r="AW54" i="1"/>
  <c r="AW63" i="1" s="1"/>
  <c r="CD54" i="1"/>
  <c r="CD63" i="1" s="1"/>
  <c r="CF54" i="1"/>
  <c r="CF63" i="1" s="1"/>
  <c r="CE54" i="1"/>
  <c r="CE63" i="1" s="1"/>
  <c r="N624" i="23"/>
  <c r="N625" i="23" s="1"/>
  <c r="N626" i="23" s="1"/>
  <c r="N627" i="23" s="1"/>
  <c r="N628" i="23" s="1"/>
  <c r="N629" i="23" s="1"/>
  <c r="N630" i="23" s="1"/>
  <c r="N631" i="23" s="1"/>
  <c r="N632" i="23" s="1"/>
  <c r="N633" i="23" s="1"/>
  <c r="N634" i="23" s="1"/>
  <c r="N635" i="23" s="1"/>
  <c r="N636" i="23" s="1"/>
  <c r="N637" i="23" s="1"/>
  <c r="N638" i="23" s="1"/>
  <c r="N639" i="23" s="1"/>
  <c r="N640" i="23" s="1"/>
  <c r="N641" i="23" s="1"/>
  <c r="N642" i="23" s="1"/>
  <c r="N643" i="23" s="1"/>
  <c r="N644" i="23" s="1"/>
  <c r="N645" i="23" s="1"/>
  <c r="N646" i="23" s="1"/>
  <c r="N647" i="23" s="1"/>
  <c r="N648" i="23" s="1"/>
  <c r="N649" i="23" s="1"/>
  <c r="N650" i="23" s="1"/>
  <c r="N651" i="23" s="1"/>
  <c r="N652" i="23" s="1"/>
  <c r="N653" i="23" s="1"/>
  <c r="N654" i="23" s="1"/>
  <c r="N655" i="23" s="1"/>
  <c r="N656" i="23" s="1"/>
  <c r="N657" i="23" s="1"/>
  <c r="N658" i="23" s="1"/>
  <c r="N659" i="23" s="1"/>
  <c r="N660" i="23" s="1"/>
  <c r="N661" i="23" s="1"/>
  <c r="N662" i="23" s="1"/>
  <c r="N663" i="23" s="1"/>
  <c r="N664" i="23" s="1"/>
  <c r="N665" i="23" s="1"/>
  <c r="N666" i="23" s="1"/>
  <c r="N667" i="23" s="1"/>
  <c r="N668" i="23" s="1"/>
  <c r="N669" i="23" s="1"/>
  <c r="N670" i="23" s="1"/>
  <c r="N671" i="23" s="1"/>
  <c r="N672" i="23" s="1"/>
  <c r="N673" i="23" s="1"/>
  <c r="N674" i="23" s="1"/>
  <c r="N675" i="23" s="1"/>
  <c r="N676" i="23" s="1"/>
  <c r="N677" i="23" s="1"/>
  <c r="N678" i="23" s="1"/>
  <c r="N679" i="23" s="1"/>
  <c r="N680" i="23" s="1"/>
  <c r="N681" i="23" s="1"/>
  <c r="N682" i="23" s="1"/>
  <c r="N683" i="23" s="1"/>
  <c r="N684" i="23" s="1"/>
  <c r="N685" i="23" s="1"/>
  <c r="N686" i="23" s="1"/>
  <c r="N687" i="23" s="1"/>
  <c r="N688" i="23" s="1"/>
  <c r="N689" i="23" s="1"/>
  <c r="N690" i="23" s="1"/>
  <c r="N691" i="23" s="1"/>
  <c r="N692" i="23" s="1"/>
  <c r="N693" i="23" s="1"/>
  <c r="N694" i="23" s="1"/>
  <c r="N695" i="23" s="1"/>
  <c r="N696" i="23" s="1"/>
  <c r="N697" i="23" s="1"/>
  <c r="N698" i="23" s="1"/>
  <c r="N699" i="23" s="1"/>
  <c r="N700" i="23" s="1"/>
  <c r="N701" i="23" s="1"/>
  <c r="N702" i="23" s="1"/>
  <c r="N703" i="23" s="1"/>
  <c r="N704" i="23" s="1"/>
  <c r="N705" i="23" s="1"/>
  <c r="N706" i="23" s="1"/>
  <c r="N707" i="23" s="1"/>
  <c r="N708" i="23" s="1"/>
  <c r="N709" i="23" s="1"/>
  <c r="N710" i="23" s="1"/>
  <c r="N711" i="23" s="1"/>
  <c r="N712" i="23" s="1"/>
  <c r="N713" i="23" s="1"/>
  <c r="N714" i="23" s="1"/>
  <c r="N715" i="23" s="1"/>
  <c r="N716" i="23" s="1"/>
  <c r="N717" i="23" s="1"/>
  <c r="N718" i="23" s="1"/>
  <c r="N719" i="23" s="1"/>
  <c r="N720" i="23" s="1"/>
  <c r="N721" i="23" s="1"/>
  <c r="N722" i="23" s="1"/>
  <c r="N723" i="23" s="1"/>
  <c r="N724" i="23" s="1"/>
  <c r="N725" i="23" s="1"/>
  <c r="N726" i="23" s="1"/>
  <c r="N727" i="23" s="1"/>
  <c r="N728" i="23" s="1"/>
  <c r="N729" i="23" s="1"/>
  <c r="N730" i="23" s="1"/>
  <c r="N731" i="23" s="1"/>
  <c r="N732" i="23" s="1"/>
  <c r="N733" i="23" s="1"/>
  <c r="N734" i="23" s="1"/>
  <c r="N735" i="23" s="1"/>
  <c r="N736" i="23" s="1"/>
  <c r="N737" i="23" s="1"/>
  <c r="N738" i="23" s="1"/>
  <c r="N739" i="23" s="1"/>
  <c r="N740" i="23" s="1"/>
  <c r="N741" i="23" s="1"/>
  <c r="N742" i="23" s="1"/>
  <c r="N743" i="23" s="1"/>
  <c r="N744" i="23" s="1"/>
  <c r="N745" i="23" s="1"/>
  <c r="N746" i="23" s="1"/>
  <c r="N747" i="23" s="1"/>
  <c r="N748" i="23" s="1"/>
  <c r="N749" i="23" s="1"/>
  <c r="N750" i="23" s="1"/>
  <c r="N751" i="23" s="1"/>
  <c r="N752" i="23" s="1"/>
  <c r="N753" i="23" s="1"/>
  <c r="N754" i="23" s="1"/>
  <c r="N755" i="23" s="1"/>
  <c r="N756" i="23" s="1"/>
  <c r="N757" i="23" s="1"/>
  <c r="N758" i="23" s="1"/>
  <c r="N759" i="23" s="1"/>
  <c r="N760" i="23" s="1"/>
  <c r="N761" i="23" s="1"/>
  <c r="N762" i="23" s="1"/>
  <c r="N763" i="23" s="1"/>
  <c r="N764" i="23" s="1"/>
  <c r="N765" i="23" s="1"/>
  <c r="N766" i="23" s="1"/>
  <c r="N767" i="23" s="1"/>
  <c r="N768" i="23" s="1"/>
  <c r="N769" i="23" s="1"/>
  <c r="N770" i="23" s="1"/>
  <c r="N771" i="23" s="1"/>
  <c r="N772" i="23" s="1"/>
  <c r="N773" i="23" s="1"/>
  <c r="N774" i="23" s="1"/>
  <c r="N775" i="23" s="1"/>
  <c r="N776" i="23" s="1"/>
  <c r="N777" i="23" s="1"/>
  <c r="N778" i="23" s="1"/>
  <c r="N779" i="23" s="1"/>
  <c r="N780" i="23" s="1"/>
  <c r="N781" i="23" s="1"/>
  <c r="N782" i="23" s="1"/>
  <c r="N783" i="23" s="1"/>
  <c r="N784" i="23" s="1"/>
  <c r="N785" i="23" s="1"/>
  <c r="N786" i="23" s="1"/>
  <c r="N787" i="23" s="1"/>
  <c r="N788" i="23" s="1"/>
  <c r="N789" i="23" s="1"/>
  <c r="N790" i="23" s="1"/>
  <c r="N791" i="23" s="1"/>
  <c r="N792" i="23" s="1"/>
  <c r="N793" i="23" s="1"/>
  <c r="N794" i="23" s="1"/>
  <c r="N795" i="23" s="1"/>
  <c r="N796" i="23" s="1"/>
  <c r="N797" i="23" s="1"/>
  <c r="N798" i="23" s="1"/>
  <c r="N799" i="23" s="1"/>
  <c r="N800" i="23" s="1"/>
  <c r="N801" i="23" s="1"/>
  <c r="N802" i="23" s="1"/>
  <c r="N803" i="23" s="1"/>
  <c r="N804" i="23" s="1"/>
  <c r="N805" i="23" s="1"/>
  <c r="N806" i="23" s="1"/>
  <c r="N807" i="23" s="1"/>
  <c r="N808" i="23" s="1"/>
  <c r="N809" i="23" s="1"/>
  <c r="N810" i="23" s="1"/>
  <c r="N811" i="23" s="1"/>
  <c r="N812" i="23" s="1"/>
  <c r="N813" i="23" s="1"/>
  <c r="N814" i="23" s="1"/>
  <c r="N815" i="23" s="1"/>
  <c r="N816" i="23" s="1"/>
  <c r="N817" i="23" s="1"/>
  <c r="N818" i="23" s="1"/>
  <c r="N819" i="23" s="1"/>
  <c r="N820" i="23" s="1"/>
  <c r="N821" i="23" s="1"/>
  <c r="N822" i="23" s="1"/>
  <c r="N823" i="23" s="1"/>
  <c r="N824" i="23" s="1"/>
  <c r="N825" i="23" s="1"/>
  <c r="N826" i="23" s="1"/>
  <c r="N827" i="23" s="1"/>
  <c r="N828" i="23" s="1"/>
  <c r="N829" i="23" s="1"/>
  <c r="N623" i="23"/>
  <c r="M61" i="2" l="1"/>
  <c r="N63" i="2"/>
  <c r="AQ54" i="1"/>
  <c r="AI65" i="1"/>
  <c r="AG63" i="1"/>
  <c r="O72" i="1"/>
  <c r="CV75" i="1" s="1"/>
  <c r="G66" i="1"/>
  <c r="L66" i="1" s="1"/>
  <c r="N830" i="23"/>
  <c r="N838" i="23"/>
  <c r="N847" i="23" s="1"/>
  <c r="N62" i="2" l="1"/>
  <c r="M60" i="2"/>
  <c r="BC54" i="1"/>
  <c r="BC63" i="1" s="1"/>
  <c r="AQ63" i="1"/>
  <c r="N839" i="23"/>
  <c r="N848" i="23" s="1"/>
  <c r="N831" i="23"/>
  <c r="N61" i="2" l="1"/>
  <c r="N60" i="2"/>
  <c r="AV88" i="1"/>
  <c r="BB25" i="3" s="1"/>
  <c r="N832" i="23"/>
  <c r="N840" i="23"/>
  <c r="N849" i="23" s="1"/>
  <c r="N850" i="23" s="1"/>
  <c r="N851" i="23" s="1"/>
  <c r="N852" i="23" s="1"/>
  <c r="N853" i="23" s="1"/>
  <c r="N854" i="23" s="1"/>
  <c r="N855" i="23" s="1"/>
  <c r="N856" i="23" s="1"/>
  <c r="N857" i="23" s="1"/>
  <c r="N858" i="23" s="1"/>
  <c r="N859" i="23" s="1"/>
  <c r="N860" i="23" s="1"/>
  <c r="N861" i="23" s="1"/>
  <c r="N862" i="23" s="1"/>
  <c r="N863" i="23" s="1"/>
  <c r="N864" i="23" s="1"/>
  <c r="N865" i="23" s="1"/>
  <c r="N866" i="23" s="1"/>
  <c r="N867" i="23" s="1"/>
  <c r="N868" i="23" s="1"/>
  <c r="N869" i="23" s="1"/>
  <c r="N870" i="23" s="1"/>
  <c r="N871" i="23" s="1"/>
  <c r="N872" i="23" s="1"/>
  <c r="N873" i="23" s="1"/>
  <c r="N874" i="23" s="1"/>
  <c r="N875" i="23" s="1"/>
  <c r="N876" i="23" s="1"/>
  <c r="N877" i="23" s="1"/>
  <c r="N878" i="23" s="1"/>
  <c r="N879" i="23" s="1"/>
  <c r="N880" i="23" s="1"/>
  <c r="N881" i="23" s="1"/>
  <c r="N882" i="23" s="1"/>
  <c r="N883" i="23" s="1"/>
  <c r="N884" i="23" s="1"/>
  <c r="N885" i="23" s="1"/>
  <c r="N886" i="23" s="1"/>
  <c r="N887" i="23" s="1"/>
  <c r="N888" i="23" s="1"/>
  <c r="N889" i="23" s="1"/>
  <c r="N890" i="23" s="1"/>
  <c r="N891" i="23" s="1"/>
  <c r="N892" i="23" s="1"/>
  <c r="N893" i="23" s="1"/>
  <c r="N894" i="23" s="1"/>
  <c r="N895" i="23" s="1"/>
  <c r="N896" i="23" s="1"/>
  <c r="N897" i="23" s="1"/>
  <c r="N898" i="23" s="1"/>
  <c r="N899" i="23" s="1"/>
  <c r="N900" i="23" s="1"/>
  <c r="N901" i="23" s="1"/>
  <c r="N902" i="23" s="1"/>
  <c r="N903" i="23" s="1"/>
  <c r="N904" i="23" s="1"/>
  <c r="N905" i="23" s="1"/>
  <c r="N906" i="23" s="1"/>
  <c r="N907" i="23" s="1"/>
  <c r="N908" i="23" s="1"/>
  <c r="N909" i="23" s="1"/>
  <c r="N910" i="23" s="1"/>
  <c r="N911" i="23" s="1"/>
  <c r="N912" i="23" s="1"/>
  <c r="N913" i="23" s="1"/>
  <c r="N914" i="23" s="1"/>
  <c r="N915" i="23" s="1"/>
  <c r="N916" i="23" s="1"/>
  <c r="N917" i="23" s="1"/>
  <c r="N918" i="23" s="1"/>
  <c r="N919" i="23" s="1"/>
  <c r="N920" i="23" s="1"/>
  <c r="N921" i="23" s="1"/>
  <c r="N922" i="23" s="1"/>
  <c r="N923" i="23" s="1"/>
  <c r="N924" i="23" s="1"/>
  <c r="N925" i="23" s="1"/>
  <c r="N926" i="23" s="1"/>
  <c r="N927" i="23" s="1"/>
  <c r="N928" i="23" s="1"/>
  <c r="N929" i="23" s="1"/>
  <c r="N930" i="23" s="1"/>
  <c r="N931" i="23" s="1"/>
  <c r="N932" i="23" s="1"/>
  <c r="N933" i="23" s="1"/>
  <c r="N934" i="23" s="1"/>
  <c r="N935" i="23" s="1"/>
  <c r="N936" i="23" s="1"/>
  <c r="N937" i="23" s="1"/>
  <c r="N938" i="23" s="1"/>
  <c r="N939" i="23" s="1"/>
  <c r="N940" i="23" s="1"/>
  <c r="N941" i="23" s="1"/>
  <c r="N942" i="23" s="1"/>
  <c r="N943" i="23" s="1"/>
  <c r="N944" i="23" s="1"/>
  <c r="N945" i="23" s="1"/>
  <c r="N946" i="23" s="1"/>
  <c r="N947" i="23" s="1"/>
  <c r="N948" i="23" s="1"/>
  <c r="N949" i="23" s="1"/>
  <c r="N950" i="23" s="1"/>
  <c r="N951" i="23" s="1"/>
  <c r="N952" i="23" s="1"/>
  <c r="N953" i="23" s="1"/>
  <c r="N954" i="23" s="1"/>
  <c r="N955" i="23" s="1"/>
  <c r="AV89" i="1" l="1"/>
  <c r="BB26" i="3" s="1"/>
  <c r="N956" i="23"/>
  <c r="N957" i="23"/>
  <c r="N958" i="23" s="1"/>
  <c r="N959" i="23" s="1"/>
  <c r="N960" i="23" s="1"/>
  <c r="N961" i="23" s="1"/>
  <c r="N962" i="23" s="1"/>
  <c r="N833" i="23"/>
  <c r="N841" i="23"/>
  <c r="N964" i="23" l="1"/>
  <c r="N965" i="23" s="1"/>
  <c r="N966" i="23" s="1"/>
  <c r="N967" i="23" s="1"/>
  <c r="N968" i="23" s="1"/>
  <c r="N969" i="23" s="1"/>
  <c r="N970" i="23" s="1"/>
  <c r="N971" i="23" s="1"/>
  <c r="N972" i="23" s="1"/>
  <c r="N973" i="23" s="1"/>
  <c r="N974" i="23" s="1"/>
  <c r="N975" i="23" s="1"/>
  <c r="N976" i="23" s="1"/>
  <c r="N977" i="23" s="1"/>
  <c r="N978" i="23" s="1"/>
  <c r="N979" i="23" s="1"/>
  <c r="N980" i="23" s="1"/>
  <c r="N981" i="23" s="1"/>
  <c r="N982" i="23" s="1"/>
  <c r="N983" i="23" s="1"/>
  <c r="N984" i="23" s="1"/>
  <c r="N985" i="23" s="1"/>
  <c r="N986" i="23" s="1"/>
  <c r="N987" i="23" s="1"/>
  <c r="N988" i="23" s="1"/>
  <c r="N989" i="23" s="1"/>
  <c r="N990" i="23" s="1"/>
  <c r="N991" i="23" s="1"/>
  <c r="N992" i="23" s="1"/>
  <c r="N993" i="23" s="1"/>
  <c r="N994" i="23" s="1"/>
  <c r="N995" i="23" s="1"/>
  <c r="N996" i="23" s="1"/>
  <c r="N997" i="23" s="1"/>
  <c r="N998" i="23" s="1"/>
  <c r="N999" i="23" s="1"/>
  <c r="N1000" i="23" s="1"/>
  <c r="N1001" i="23" s="1"/>
  <c r="N963" i="23"/>
  <c r="N842" i="23"/>
  <c r="N834" i="23"/>
  <c r="AV91" i="1" l="1"/>
  <c r="BB28" i="3" s="1"/>
  <c r="N843" i="23"/>
  <c r="N835" i="23"/>
  <c r="N1003" i="23"/>
  <c r="N1004" i="23" s="1"/>
  <c r="N1005" i="23" s="1"/>
  <c r="N1006" i="23" s="1"/>
  <c r="N1007" i="23" s="1"/>
  <c r="N1008" i="23" s="1"/>
  <c r="N1009" i="23" s="1"/>
  <c r="N1010" i="23" s="1"/>
  <c r="N1011" i="23" s="1"/>
  <c r="N1012" i="23" s="1"/>
  <c r="N1013" i="23" s="1"/>
  <c r="N1014" i="23" s="1"/>
  <c r="N1015" i="23" s="1"/>
  <c r="N1016" i="23" s="1"/>
  <c r="N1017" i="23" s="1"/>
  <c r="N1018" i="23" s="1"/>
  <c r="N1019" i="23" s="1"/>
  <c r="N1020" i="23" s="1"/>
  <c r="N1021" i="23" s="1"/>
  <c r="N1022" i="23" s="1"/>
  <c r="N1023" i="23" s="1"/>
  <c r="N1024" i="23" s="1"/>
  <c r="N1025" i="23" s="1"/>
  <c r="N1026" i="23" s="1"/>
  <c r="N1027" i="23" s="1"/>
  <c r="N1028" i="23" s="1"/>
  <c r="N1029" i="23" s="1"/>
  <c r="N1030" i="23" s="1"/>
  <c r="N1031" i="23" s="1"/>
  <c r="N1032" i="23" s="1"/>
  <c r="N1033" i="23" s="1"/>
  <c r="N1034" i="23" s="1"/>
  <c r="N1035" i="23" s="1"/>
  <c r="N1036" i="23" s="1"/>
  <c r="N1037" i="23" s="1"/>
  <c r="N1038" i="23" s="1"/>
  <c r="N1039" i="23" s="1"/>
  <c r="N1040" i="23" s="1"/>
  <c r="N1041" i="23" s="1"/>
  <c r="N1002" i="23"/>
  <c r="AV93" i="1" l="1"/>
  <c r="BB30" i="3" s="1"/>
  <c r="N844" i="23"/>
  <c r="N836" i="23"/>
  <c r="N1044" i="23"/>
  <c r="N1045" i="23" s="1"/>
  <c r="N1046" i="23" s="1"/>
  <c r="N1047" i="23" s="1"/>
  <c r="N1048" i="23" s="1"/>
  <c r="N1049" i="23" s="1"/>
  <c r="N1050" i="23" s="1"/>
  <c r="N1051" i="23" s="1"/>
  <c r="N1043" i="23"/>
  <c r="AV94" i="1" l="1"/>
  <c r="BB31" i="3" s="1"/>
  <c r="N1053" i="23"/>
  <c r="N1054" i="23" s="1"/>
  <c r="N1055" i="23" s="1"/>
  <c r="N1056" i="23" s="1"/>
  <c r="N1057" i="23" s="1"/>
  <c r="N1058" i="23" s="1"/>
  <c r="N1059" i="23" s="1"/>
  <c r="N1060" i="23" s="1"/>
  <c r="N1061" i="23" s="1"/>
  <c r="N1062" i="23" s="1"/>
  <c r="N1063" i="23" s="1"/>
  <c r="N1064" i="23" s="1"/>
  <c r="N1065" i="23" s="1"/>
  <c r="N1066" i="23" s="1"/>
  <c r="N1067" i="23" s="1"/>
  <c r="N1068" i="23" s="1"/>
  <c r="N1069" i="23" s="1"/>
  <c r="N1070" i="23" s="1"/>
  <c r="N1071" i="23" s="1"/>
  <c r="N1072" i="23" s="1"/>
  <c r="N1073" i="23" s="1"/>
  <c r="N1074" i="23" s="1"/>
  <c r="N1075" i="23" s="1"/>
  <c r="N1076" i="23" s="1"/>
  <c r="N1077" i="23" s="1"/>
  <c r="N1078" i="23" s="1"/>
  <c r="N1079" i="23" s="1"/>
  <c r="N1080" i="23" s="1"/>
  <c r="N1081" i="23" s="1"/>
  <c r="N1082" i="23" s="1"/>
  <c r="N1083" i="23" s="1"/>
  <c r="N1084" i="23" s="1"/>
  <c r="N1085" i="23" s="1"/>
  <c r="N1086" i="23" s="1"/>
  <c r="N1087" i="23" s="1"/>
  <c r="N1088" i="23" s="1"/>
  <c r="N1089" i="23" s="1"/>
  <c r="N1090" i="23" s="1"/>
  <c r="N1091" i="23" s="1"/>
  <c r="N1092" i="23" s="1"/>
  <c r="N1093" i="23" s="1"/>
  <c r="N1094" i="23" s="1"/>
  <c r="N1095" i="23" s="1"/>
  <c r="N1096" i="23" s="1"/>
  <c r="N1097" i="23" s="1"/>
  <c r="N1098" i="23" s="1"/>
  <c r="N1052" i="23"/>
  <c r="N845" i="23"/>
  <c r="N837" i="23"/>
  <c r="N846" i="23" s="1"/>
  <c r="AV96" i="1" l="1"/>
  <c r="BB33" i="3" s="1"/>
  <c r="N1100" i="23"/>
  <c r="N1101" i="23" s="1"/>
  <c r="N1102" i="23" s="1"/>
  <c r="N1103" i="23" s="1"/>
  <c r="N1104" i="23" s="1"/>
  <c r="N1105" i="23" s="1"/>
  <c r="N1106" i="23" s="1"/>
  <c r="N1107" i="23" s="1"/>
  <c r="N1108" i="23" s="1"/>
  <c r="N1109" i="23" s="1"/>
  <c r="N1110" i="23" s="1"/>
  <c r="N1111" i="23" s="1"/>
  <c r="N1112" i="23" s="1"/>
  <c r="N1113" i="23" s="1"/>
  <c r="N1114" i="23" s="1"/>
  <c r="N1115" i="23" s="1"/>
  <c r="N1116" i="23" s="1"/>
  <c r="N1117" i="23" s="1"/>
  <c r="N1118" i="23" s="1"/>
  <c r="N1119" i="23" s="1"/>
  <c r="N1120" i="23" s="1"/>
  <c r="N1121" i="23" s="1"/>
  <c r="N1122" i="23" s="1"/>
  <c r="N1123" i="23" s="1"/>
  <c r="N1124" i="23" s="1"/>
  <c r="N1125" i="23" s="1"/>
  <c r="N1126" i="23" s="1"/>
  <c r="N1127" i="23" s="1"/>
  <c r="N1128" i="23" s="1"/>
  <c r="N1129" i="23" s="1"/>
  <c r="N1130" i="23" s="1"/>
  <c r="N1131" i="23" s="1"/>
  <c r="N1132" i="23" s="1"/>
  <c r="N1133" i="23" s="1"/>
  <c r="N1134" i="23" s="1"/>
  <c r="N1135" i="23" s="1"/>
  <c r="N1136" i="23" s="1"/>
  <c r="N1137" i="23" s="1"/>
  <c r="N1138" i="23" s="1"/>
  <c r="N1139" i="23" s="1"/>
  <c r="N1140" i="23" s="1"/>
  <c r="N1141" i="23" s="1"/>
  <c r="N1142" i="23" s="1"/>
  <c r="N1143" i="23" s="1"/>
  <c r="N1144" i="23" s="1"/>
  <c r="N1145" i="23" s="1"/>
  <c r="N1146" i="23" s="1"/>
  <c r="N1147" i="23" s="1"/>
  <c r="N1148" i="23" s="1"/>
  <c r="N1149" i="23" s="1"/>
  <c r="N1150" i="23" s="1"/>
  <c r="N1151" i="23" s="1"/>
  <c r="N1152" i="23" s="1"/>
  <c r="N1153" i="23" s="1"/>
  <c r="N1154" i="23" s="1"/>
  <c r="N1155" i="23" s="1"/>
  <c r="N1156" i="23" s="1"/>
  <c r="N1157" i="23" s="1"/>
  <c r="N1158" i="23" s="1"/>
  <c r="N1159" i="23" s="1"/>
  <c r="N1160" i="23" s="1"/>
  <c r="N1161" i="23" s="1"/>
  <c r="N1162" i="23" s="1"/>
  <c r="N1163" i="23" s="1"/>
  <c r="N1164" i="23" s="1"/>
  <c r="N1165" i="23" s="1"/>
  <c r="N1166" i="23" s="1"/>
  <c r="N1167" i="23" s="1"/>
  <c r="N1168" i="23" s="1"/>
  <c r="N1169" i="23" s="1"/>
  <c r="N1170" i="23" s="1"/>
  <c r="N1171" i="23" s="1"/>
  <c r="N1172" i="23" s="1"/>
  <c r="N1173" i="23" s="1"/>
  <c r="N1174" i="23" s="1"/>
  <c r="N1175" i="23" s="1"/>
  <c r="N1176" i="23" s="1"/>
  <c r="N1177" i="23" s="1"/>
  <c r="N1178" i="23" s="1"/>
  <c r="N1179" i="23" s="1"/>
  <c r="N1180" i="23" s="1"/>
  <c r="N1181" i="23" s="1"/>
  <c r="N1182" i="23" s="1"/>
  <c r="N1183" i="23" s="1"/>
  <c r="N1184" i="23" s="1"/>
  <c r="N1185" i="23" s="1"/>
  <c r="N1186" i="23" s="1"/>
  <c r="N1187" i="23" s="1"/>
  <c r="N1188" i="23" s="1"/>
  <c r="N1189" i="23" s="1"/>
  <c r="N1190" i="23" s="1"/>
  <c r="N1191" i="23" s="1"/>
  <c r="N1192" i="23" s="1"/>
  <c r="N1193" i="23" s="1"/>
  <c r="N1194" i="23" s="1"/>
  <c r="N1195" i="23" s="1"/>
  <c r="N1196" i="23" s="1"/>
  <c r="N1197" i="23" s="1"/>
  <c r="N1198" i="23" s="1"/>
  <c r="N1199" i="23" s="1"/>
  <c r="N1200" i="23" s="1"/>
  <c r="N1201" i="23" s="1"/>
  <c r="N1202" i="23" s="1"/>
  <c r="N1203" i="23" s="1"/>
  <c r="N1204" i="23" s="1"/>
  <c r="N1205" i="23" s="1"/>
  <c r="N1206" i="23" s="1"/>
  <c r="N1207" i="23" s="1"/>
  <c r="N1208" i="23" s="1"/>
  <c r="N1209" i="23" s="1"/>
  <c r="N1210" i="23" s="1"/>
  <c r="N1211" i="23" s="1"/>
  <c r="N1212" i="23" s="1"/>
  <c r="N1213" i="23" s="1"/>
  <c r="N1214" i="23" s="1"/>
  <c r="N1215" i="23" s="1"/>
  <c r="N1216" i="23" s="1"/>
  <c r="N1217" i="23" s="1"/>
  <c r="N1218" i="23" s="1"/>
  <c r="N1219" i="23" s="1"/>
  <c r="N1220" i="23" s="1"/>
  <c r="N1221" i="23" s="1"/>
  <c r="N1222" i="23" s="1"/>
  <c r="N1223" i="23" s="1"/>
  <c r="N1224" i="23" s="1"/>
  <c r="N1225" i="23" s="1"/>
  <c r="N1226" i="23" s="1"/>
  <c r="N1227" i="23" s="1"/>
  <c r="N1228" i="23" s="1"/>
  <c r="N1229" i="23" s="1"/>
  <c r="N1230" i="23" s="1"/>
  <c r="N1231" i="23" s="1"/>
  <c r="N1232" i="23" s="1"/>
  <c r="N1233" i="23" s="1"/>
  <c r="N1234" i="23" s="1"/>
  <c r="N1235" i="23" s="1"/>
  <c r="N1236" i="23" s="1"/>
  <c r="N1237" i="23" s="1"/>
  <c r="N1238" i="23" s="1"/>
  <c r="N1239" i="23" s="1"/>
  <c r="N1240" i="23" s="1"/>
  <c r="N1241" i="23" s="1"/>
  <c r="N1242" i="23" s="1"/>
  <c r="N1243" i="23" s="1"/>
  <c r="N1244" i="23" s="1"/>
  <c r="N1245" i="23" s="1"/>
  <c r="N1246" i="23" s="1"/>
  <c r="N1247" i="23" s="1"/>
  <c r="N1248" i="23" s="1"/>
  <c r="N1249" i="23" s="1"/>
  <c r="N1250" i="23" s="1"/>
  <c r="N1251" i="23" s="1"/>
  <c r="N1252" i="23" s="1"/>
  <c r="N1253" i="23" s="1"/>
  <c r="N1254" i="23" s="1"/>
  <c r="N1255" i="23" s="1"/>
  <c r="N1256" i="23" s="1"/>
  <c r="N1257" i="23" s="1"/>
  <c r="N1258" i="23" s="1"/>
  <c r="N1259" i="23" s="1"/>
  <c r="N1260" i="23" s="1"/>
  <c r="N1261" i="23" s="1"/>
  <c r="N1262" i="23" s="1"/>
  <c r="N1263" i="23" s="1"/>
  <c r="N1264" i="23" s="1"/>
  <c r="N1265" i="23" s="1"/>
  <c r="N1266" i="23" s="1"/>
  <c r="N1267" i="23" s="1"/>
  <c r="N1268" i="23" s="1"/>
  <c r="N1269" i="23" s="1"/>
  <c r="N1270" i="23" s="1"/>
  <c r="N1271" i="23" s="1"/>
  <c r="N1272" i="23" s="1"/>
  <c r="N1273" i="23" s="1"/>
  <c r="N1274" i="23" s="1"/>
  <c r="N1275" i="23" s="1"/>
  <c r="N1276" i="23" s="1"/>
  <c r="N1277" i="23" s="1"/>
  <c r="N1278" i="23" s="1"/>
  <c r="N1279" i="23" s="1"/>
  <c r="N1280" i="23" s="1"/>
  <c r="N1281" i="23" s="1"/>
  <c r="N1282" i="23" s="1"/>
  <c r="N1283" i="23" s="1"/>
  <c r="N1284" i="23" s="1"/>
  <c r="N1285" i="23" s="1"/>
  <c r="N1286" i="23" s="1"/>
  <c r="N1287" i="23" s="1"/>
  <c r="N1288" i="23" s="1"/>
  <c r="N1289" i="23" s="1"/>
  <c r="N1290" i="23" s="1"/>
  <c r="N1291" i="23" s="1"/>
  <c r="N1292" i="23" s="1"/>
  <c r="N1293" i="23" s="1"/>
  <c r="N1294" i="23" s="1"/>
  <c r="N1295" i="23" s="1"/>
  <c r="N1296" i="23" s="1"/>
  <c r="N1297" i="23" s="1"/>
  <c r="N1298" i="23" s="1"/>
  <c r="N1299" i="23" s="1"/>
  <c r="N1300" i="23" s="1"/>
  <c r="N1301" i="23" s="1"/>
  <c r="N1302" i="23" s="1"/>
  <c r="N1303" i="23" s="1"/>
  <c r="N1304" i="23" s="1"/>
  <c r="N1305" i="23" s="1"/>
  <c r="N1306" i="23" s="1"/>
  <c r="N1307" i="23" s="1"/>
  <c r="N1308" i="23" s="1"/>
  <c r="N1309" i="23" s="1"/>
  <c r="N1310" i="23" s="1"/>
  <c r="N1311" i="23" s="1"/>
  <c r="N1312" i="23" s="1"/>
  <c r="N1313" i="23" s="1"/>
  <c r="N1314" i="23" s="1"/>
  <c r="N1315" i="23" s="1"/>
  <c r="N1316" i="23" s="1"/>
  <c r="N1317" i="23" s="1"/>
  <c r="N1318" i="23" s="1"/>
  <c r="N1319" i="23" s="1"/>
  <c r="N1320" i="23" s="1"/>
  <c r="N1321" i="23" s="1"/>
  <c r="N1322" i="23" s="1"/>
  <c r="N1323" i="23" s="1"/>
  <c r="N1324" i="23" s="1"/>
  <c r="N1325" i="23" s="1"/>
  <c r="N1326" i="23" s="1"/>
  <c r="N1327" i="23" s="1"/>
  <c r="N1328" i="23" s="1"/>
  <c r="N1329" i="23" s="1"/>
  <c r="N1330" i="23" s="1"/>
  <c r="N1331" i="23" s="1"/>
  <c r="N1332" i="23" s="1"/>
  <c r="N1333" i="23" s="1"/>
  <c r="N1334" i="23" s="1"/>
  <c r="N1335" i="23" s="1"/>
  <c r="N1336" i="23" s="1"/>
  <c r="N1337" i="23" s="1"/>
  <c r="N1338" i="23" s="1"/>
  <c r="N1339" i="23" s="1"/>
  <c r="N1340" i="23" s="1"/>
  <c r="N1341" i="23" s="1"/>
  <c r="N1342" i="23" s="1"/>
  <c r="N1343" i="23" s="1"/>
  <c r="N1344" i="23" s="1"/>
  <c r="N1345" i="23" s="1"/>
  <c r="N1346" i="23" s="1"/>
  <c r="N1347" i="23" s="1"/>
  <c r="N1348" i="23" s="1"/>
  <c r="N1349" i="23" s="1"/>
  <c r="N1350" i="23" s="1"/>
  <c r="N1351" i="23" s="1"/>
  <c r="N1352" i="23" s="1"/>
  <c r="N1353" i="23" s="1"/>
  <c r="N1354" i="23" s="1"/>
  <c r="N1355" i="23" s="1"/>
  <c r="N1356" i="23" s="1"/>
  <c r="N1357" i="23" s="1"/>
  <c r="N1358" i="23" s="1"/>
  <c r="N1359" i="23" s="1"/>
  <c r="N1360" i="23" s="1"/>
  <c r="N1361" i="23" s="1"/>
  <c r="N1362" i="23" s="1"/>
  <c r="N1363" i="23" s="1"/>
  <c r="N1364" i="23" s="1"/>
  <c r="N1365" i="23" s="1"/>
  <c r="N1366" i="23" s="1"/>
  <c r="N1367" i="23" s="1"/>
  <c r="N1368" i="23" s="1"/>
  <c r="N1369" i="23" s="1"/>
  <c r="N1370" i="23" s="1"/>
  <c r="N1371" i="23" s="1"/>
  <c r="N1372" i="23" s="1"/>
  <c r="N1373" i="23" s="1"/>
  <c r="N1374" i="23" s="1"/>
  <c r="N1375" i="23" s="1"/>
  <c r="N1376" i="23" s="1"/>
  <c r="N1377" i="23" s="1"/>
  <c r="N1378" i="23" s="1"/>
  <c r="N1379" i="23" s="1"/>
  <c r="N1380" i="23" s="1"/>
  <c r="N1381" i="23" s="1"/>
  <c r="N1382" i="23" s="1"/>
  <c r="N1383" i="23" s="1"/>
  <c r="N1384" i="23" s="1"/>
  <c r="N1385" i="23" s="1"/>
  <c r="N1386" i="23" s="1"/>
  <c r="N1387" i="23" s="1"/>
  <c r="N1388" i="23" s="1"/>
  <c r="N1389" i="23" s="1"/>
  <c r="N1390" i="23" s="1"/>
  <c r="N1391" i="23" s="1"/>
  <c r="N1392" i="23" s="1"/>
  <c r="N1393" i="23" s="1"/>
  <c r="N1394" i="23" s="1"/>
  <c r="N1395" i="23" s="1"/>
  <c r="N1396" i="23" s="1"/>
  <c r="N1397" i="23" s="1"/>
  <c r="N1398" i="23" s="1"/>
  <c r="N1399" i="23" s="1"/>
  <c r="N1400" i="23" s="1"/>
  <c r="N1401" i="23" s="1"/>
  <c r="N1402" i="23" s="1"/>
  <c r="N1403" i="23" s="1"/>
  <c r="N1404" i="23" s="1"/>
  <c r="N1405" i="23" s="1"/>
  <c r="N1406" i="23" s="1"/>
  <c r="N1407" i="23" s="1"/>
  <c r="N1408" i="23" s="1"/>
  <c r="N1409" i="23" s="1"/>
  <c r="N1410" i="23" s="1"/>
  <c r="N1411" i="23" s="1"/>
  <c r="N1412" i="23" s="1"/>
  <c r="N1413" i="23" s="1"/>
  <c r="N1414" i="23" s="1"/>
  <c r="N1415" i="23" s="1"/>
  <c r="N1416" i="23" s="1"/>
  <c r="N1417" i="23" s="1"/>
  <c r="N1418" i="23" s="1"/>
  <c r="N1419" i="23" s="1"/>
  <c r="N1420" i="23" s="1"/>
  <c r="N1421" i="23" s="1"/>
  <c r="N1422" i="23" s="1"/>
  <c r="N1423" i="23" s="1"/>
  <c r="N1424" i="23" s="1"/>
  <c r="N1425" i="23" s="1"/>
  <c r="N1426" i="23" s="1"/>
  <c r="N1427" i="23" s="1"/>
  <c r="N1099" i="23"/>
  <c r="AV97" i="1" l="1"/>
  <c r="BB34" i="3" s="1"/>
  <c r="N1429" i="23"/>
  <c r="N1430" i="23" s="1"/>
  <c r="N1431" i="23" s="1"/>
  <c r="N1432" i="23" s="1"/>
  <c r="N1434" i="23" s="1"/>
  <c r="N1435" i="23" s="1"/>
  <c r="N1436" i="23" s="1"/>
  <c r="N1437" i="23" s="1"/>
  <c r="N1438" i="23" s="1"/>
  <c r="N1439" i="23" s="1"/>
  <c r="N1440" i="23" s="1"/>
  <c r="N1441" i="23" s="1"/>
  <c r="N1442" i="23" s="1"/>
  <c r="N1443" i="23" s="1"/>
  <c r="N1444" i="23" s="1"/>
  <c r="N1445" i="23" s="1"/>
  <c r="N1446" i="23" s="1"/>
  <c r="N1447" i="23" s="1"/>
  <c r="N1448" i="23" s="1"/>
  <c r="N1449" i="23" s="1"/>
  <c r="N1450" i="23" s="1"/>
  <c r="N1451" i="23" s="1"/>
  <c r="N1452" i="23" s="1"/>
  <c r="N1453" i="23" s="1"/>
  <c r="N1454" i="23" s="1"/>
  <c r="N1455" i="23" s="1"/>
  <c r="N1456" i="23" s="1"/>
  <c r="N1457" i="23" s="1"/>
  <c r="N1458" i="23" s="1"/>
  <c r="N1459" i="23" s="1"/>
  <c r="N1460" i="23" s="1"/>
  <c r="N1461" i="23" s="1"/>
  <c r="N1462" i="23" s="1"/>
  <c r="N1463" i="23" s="1"/>
  <c r="N1464" i="23" s="1"/>
  <c r="N1465" i="23" s="1"/>
  <c r="N1466" i="23" s="1"/>
  <c r="N1467" i="23" s="1"/>
  <c r="N1468" i="23" s="1"/>
  <c r="N1469" i="23" s="1"/>
  <c r="N1470" i="23" s="1"/>
  <c r="N1471" i="23" s="1"/>
  <c r="N1472" i="23" s="1"/>
  <c r="N1473" i="23" s="1"/>
  <c r="N1474" i="23" s="1"/>
  <c r="N1475" i="23" s="1"/>
  <c r="N1476" i="23" s="1"/>
  <c r="N1477" i="23" s="1"/>
  <c r="N1478" i="23" s="1"/>
  <c r="N1479" i="23" s="1"/>
  <c r="N1480" i="23" s="1"/>
  <c r="N1481" i="23" s="1"/>
  <c r="N1482" i="23" s="1"/>
  <c r="N1483" i="23" s="1"/>
  <c r="N1484" i="23" s="1"/>
  <c r="N1485" i="23" s="1"/>
  <c r="N1486" i="23" s="1"/>
  <c r="N1487" i="23" s="1"/>
  <c r="N1488" i="23" s="1"/>
  <c r="N1489" i="23" s="1"/>
  <c r="N1490" i="23" s="1"/>
  <c r="N1428" i="23"/>
  <c r="AV98" i="1" l="1"/>
  <c r="BB35" i="3" s="1"/>
  <c r="N1493" i="23"/>
  <c r="N1494" i="23" s="1"/>
  <c r="N1495" i="23" s="1"/>
  <c r="N1496" i="23" s="1"/>
  <c r="N1497" i="23" s="1"/>
  <c r="N1498" i="23" s="1"/>
  <c r="N1499" i="23" s="1"/>
  <c r="N1500" i="23" s="1"/>
  <c r="N1501" i="23" s="1"/>
  <c r="N1502" i="23" s="1"/>
  <c r="N1503" i="23" s="1"/>
  <c r="N1504" i="23" s="1"/>
  <c r="N1505" i="23" s="1"/>
  <c r="N1506" i="23" s="1"/>
  <c r="N1507" i="23" s="1"/>
  <c r="N1508" i="23" s="1"/>
  <c r="N1509" i="23" s="1"/>
  <c r="N1510" i="23" s="1"/>
  <c r="N1511" i="23" s="1"/>
  <c r="N1512" i="23" s="1"/>
  <c r="N1513" i="23" s="1"/>
  <c r="N1514" i="23" s="1"/>
  <c r="N1515" i="23" s="1"/>
  <c r="N1516" i="23" s="1"/>
  <c r="N1517" i="23" s="1"/>
  <c r="N1518" i="23" s="1"/>
  <c r="N1519" i="23" s="1"/>
  <c r="N1520" i="23" s="1"/>
  <c r="N1521" i="23" s="1"/>
  <c r="N1522" i="23" s="1"/>
  <c r="N1523" i="23" s="1"/>
  <c r="N1524" i="23" s="1"/>
  <c r="N1525" i="23" s="1"/>
  <c r="N1491" i="23"/>
  <c r="N1492" i="23" s="1"/>
  <c r="AV99" i="1" l="1"/>
  <c r="BB36" i="3" s="1"/>
  <c r="N1526" i="23"/>
  <c r="N1527" i="23" s="1"/>
  <c r="N1528" i="23" s="1"/>
  <c r="N1529" i="23" s="1"/>
  <c r="AV100" i="1" l="1"/>
  <c r="BB37" i="3" s="1"/>
  <c r="N1531" i="23"/>
  <c r="N1532" i="23" s="1"/>
  <c r="N1533" i="23" s="1"/>
  <c r="N1534" i="23" s="1"/>
  <c r="N1535" i="23" s="1"/>
  <c r="N1536" i="23" s="1"/>
  <c r="N1537" i="23" s="1"/>
  <c r="N1538" i="23" s="1"/>
  <c r="N1539" i="23" s="1"/>
  <c r="N1540" i="23" s="1"/>
  <c r="N1541" i="23" s="1"/>
  <c r="N1542" i="23" s="1"/>
  <c r="N1543" i="23" s="1"/>
  <c r="N1544" i="23" s="1"/>
  <c r="N1545" i="23" s="1"/>
  <c r="N1546" i="23" s="1"/>
  <c r="N1547" i="23" s="1"/>
  <c r="N1548" i="23" s="1"/>
  <c r="N1549" i="23" s="1"/>
  <c r="N1550" i="23" s="1"/>
  <c r="N1551" i="23" s="1"/>
  <c r="N1552" i="23" s="1"/>
  <c r="N1553" i="23" s="1"/>
  <c r="N1554" i="23" s="1"/>
  <c r="N1555" i="23" s="1"/>
  <c r="N1556" i="23" s="1"/>
  <c r="N1557" i="23" s="1"/>
  <c r="N1558" i="23" s="1"/>
  <c r="N1559" i="23" s="1"/>
  <c r="N1560" i="23" s="1"/>
  <c r="N1561" i="23" s="1"/>
  <c r="N1562" i="23" s="1"/>
  <c r="N1563" i="23" s="1"/>
  <c r="N1564" i="23" s="1"/>
  <c r="N1565" i="23" s="1"/>
  <c r="N1566" i="23" s="1"/>
  <c r="N1567" i="23" s="1"/>
  <c r="N1568" i="23" s="1"/>
  <c r="N1569" i="23" s="1"/>
  <c r="N1570" i="23" s="1"/>
  <c r="N1571" i="23" s="1"/>
  <c r="N1572" i="23" s="1"/>
  <c r="N1573" i="23" s="1"/>
  <c r="N1574" i="23" s="1"/>
  <c r="N1575" i="23" s="1"/>
  <c r="N1576" i="23" s="1"/>
  <c r="N1577" i="23" s="1"/>
  <c r="N1578" i="23" s="1"/>
  <c r="N1579" i="23" s="1"/>
  <c r="N1580" i="23" s="1"/>
  <c r="N1581" i="23" s="1"/>
  <c r="N1582" i="23" s="1"/>
  <c r="N1583" i="23" s="1"/>
  <c r="N1584" i="23" s="1"/>
  <c r="N1585" i="23" s="1"/>
  <c r="N1586" i="23" s="1"/>
  <c r="N1587" i="23" s="1"/>
  <c r="N1588" i="23" s="1"/>
  <c r="N1589" i="23" s="1"/>
  <c r="N1590" i="23" s="1"/>
  <c r="N1591" i="23" s="1"/>
  <c r="N1592" i="23" s="1"/>
  <c r="N1593" i="23" s="1"/>
  <c r="N1594" i="23" s="1"/>
  <c r="N1595" i="23" s="1"/>
  <c r="N1596" i="23" s="1"/>
  <c r="N1597" i="23" s="1"/>
  <c r="N1598" i="23" s="1"/>
  <c r="N1599" i="23" s="1"/>
  <c r="N1600" i="23" s="1"/>
  <c r="N1601" i="23" s="1"/>
  <c r="N1602" i="23" s="1"/>
  <c r="N1603" i="23" s="1"/>
  <c r="N1604" i="23" s="1"/>
  <c r="N1605" i="23" s="1"/>
  <c r="N1606" i="23" s="1"/>
  <c r="N1607" i="23" s="1"/>
  <c r="N1608" i="23" s="1"/>
  <c r="N1609" i="23" s="1"/>
  <c r="N1610" i="23" s="1"/>
  <c r="N1611" i="23" s="1"/>
  <c r="N1612" i="23" s="1"/>
  <c r="N1613" i="23" s="1"/>
  <c r="N1614" i="23" s="1"/>
  <c r="N1615" i="23" s="1"/>
  <c r="N1616" i="23" s="1"/>
  <c r="N1617" i="23" s="1"/>
  <c r="N1618" i="23" s="1"/>
  <c r="N1619" i="23" s="1"/>
  <c r="N1630" i="23" s="1"/>
  <c r="N1631" i="23" s="1"/>
  <c r="N1632" i="23" s="1"/>
  <c r="N1633" i="23" s="1"/>
  <c r="N1634" i="23" s="1"/>
  <c r="N1635" i="23" s="1"/>
  <c r="N1636" i="23" s="1"/>
  <c r="N1637" i="23" s="1"/>
  <c r="N1638" i="23" s="1"/>
  <c r="N1639" i="23" s="1"/>
  <c r="N1640" i="23" s="1"/>
  <c r="N1641" i="23" s="1"/>
  <c r="N1642" i="23" s="1"/>
  <c r="N1643" i="23" s="1"/>
  <c r="N1644" i="23" s="1"/>
  <c r="N1645" i="23" s="1"/>
  <c r="N1646" i="23" s="1"/>
  <c r="N1647" i="23" s="1"/>
  <c r="N1648" i="23" s="1"/>
  <c r="N1649" i="23" s="1"/>
  <c r="N1650" i="23" s="1"/>
  <c r="N1651" i="23" s="1"/>
  <c r="N1652" i="23" s="1"/>
  <c r="N1653" i="23" s="1"/>
  <c r="N1654" i="23" s="1"/>
  <c r="N1655" i="23" s="1"/>
  <c r="N1656" i="23" s="1"/>
  <c r="N1657" i="23" s="1"/>
  <c r="N1658" i="23" s="1"/>
  <c r="N1659" i="23" s="1"/>
  <c r="N1660" i="23" s="1"/>
  <c r="N1661" i="23" s="1"/>
  <c r="N1662" i="23" s="1"/>
  <c r="N1663" i="23" s="1"/>
  <c r="N1664" i="23" s="1"/>
  <c r="N1665" i="23" s="1"/>
  <c r="N1666" i="23" s="1"/>
  <c r="N1667" i="23" s="1"/>
  <c r="N1668" i="23" s="1"/>
  <c r="N1669" i="23" s="1"/>
  <c r="N1670" i="23" s="1"/>
  <c r="N1671" i="23" s="1"/>
  <c r="N1672" i="23" s="1"/>
  <c r="N1673" i="23" s="1"/>
  <c r="N1674" i="23" s="1"/>
  <c r="N1675" i="23" s="1"/>
  <c r="N1676" i="23" s="1"/>
  <c r="N1677" i="23" s="1"/>
  <c r="N1678" i="23" s="1"/>
  <c r="N1679" i="23" s="1"/>
  <c r="N1680" i="23" s="1"/>
  <c r="N1681" i="23" s="1"/>
  <c r="N1682" i="23" s="1"/>
  <c r="N1683" i="23" s="1"/>
  <c r="N1684" i="23" s="1"/>
  <c r="N1685" i="23" s="1"/>
  <c r="N1686" i="23" s="1"/>
  <c r="N1687" i="23" s="1"/>
  <c r="N1688" i="23" s="1"/>
  <c r="N1689" i="23" s="1"/>
  <c r="N1690" i="23" s="1"/>
  <c r="N1691" i="23" s="1"/>
  <c r="N1692" i="23" s="1"/>
  <c r="N1693" i="23" s="1"/>
  <c r="N1694" i="23" s="1"/>
  <c r="N1695" i="23" s="1"/>
  <c r="N1696" i="23" s="1"/>
  <c r="N1697" i="23" s="1"/>
  <c r="N1698" i="23" s="1"/>
  <c r="N1699" i="23" s="1"/>
  <c r="N1700" i="23" s="1"/>
  <c r="N1701" i="23" s="1"/>
  <c r="N1702" i="23" s="1"/>
  <c r="N1703" i="23" s="1"/>
  <c r="N1704" i="23" s="1"/>
  <c r="N1705" i="23" s="1"/>
  <c r="N1706" i="23" s="1"/>
  <c r="N1707" i="23" s="1"/>
  <c r="N1708" i="23" s="1"/>
  <c r="N1709" i="23" s="1"/>
  <c r="N1710" i="23" s="1"/>
  <c r="N1711" i="23" s="1"/>
  <c r="N1712" i="23" s="1"/>
  <c r="N1713" i="23" s="1"/>
  <c r="N1714" i="23" s="1"/>
  <c r="N1715" i="23" s="1"/>
  <c r="N1716" i="23" s="1"/>
  <c r="N1717" i="23" s="1"/>
  <c r="N1718" i="23" s="1"/>
  <c r="N1719" i="23" s="1"/>
  <c r="N1720" i="23" s="1"/>
  <c r="N1721" i="23" s="1"/>
  <c r="N1722" i="23" s="1"/>
  <c r="N1723" i="23" s="1"/>
  <c r="N1724" i="23" s="1"/>
  <c r="N1725" i="23" s="1"/>
  <c r="N1726" i="23" s="1"/>
  <c r="N1727" i="23" s="1"/>
  <c r="N1728" i="23" s="1"/>
  <c r="N1729" i="23" s="1"/>
  <c r="N1730" i="23" s="1"/>
  <c r="N1731" i="23" s="1"/>
  <c r="N1732" i="23" s="1"/>
  <c r="N1733" i="23" s="1"/>
  <c r="N1734" i="23" s="1"/>
  <c r="N1735" i="23" s="1"/>
  <c r="N1736" i="23" s="1"/>
  <c r="N1737" i="23" s="1"/>
  <c r="N1738" i="23" s="1"/>
  <c r="N1739" i="23" s="1"/>
  <c r="N1740" i="23" s="1"/>
  <c r="N1741" i="23" s="1"/>
  <c r="N1742" i="23" s="1"/>
  <c r="N1743" i="23" s="1"/>
  <c r="N1744" i="23" s="1"/>
  <c r="N1530" i="23"/>
  <c r="AV101" i="1" l="1"/>
  <c r="BB38" i="3" s="1"/>
  <c r="N1746" i="23"/>
  <c r="N1747" i="23" s="1"/>
  <c r="N1748" i="23" s="1"/>
  <c r="N1749" i="23" s="1"/>
  <c r="N1750" i="23" s="1"/>
  <c r="N1751" i="23" s="1"/>
  <c r="N1752" i="23" s="1"/>
  <c r="N1753" i="23" s="1"/>
  <c r="N1754" i="23" s="1"/>
  <c r="N1755" i="23" s="1"/>
  <c r="N1756" i="23" s="1"/>
  <c r="N1757" i="23" s="1"/>
  <c r="N1758" i="23" s="1"/>
  <c r="N1759" i="23" s="1"/>
  <c r="N1760" i="23" s="1"/>
  <c r="N1761" i="23" s="1"/>
  <c r="N1762" i="23" s="1"/>
  <c r="N1763" i="23" s="1"/>
  <c r="N1764" i="23" s="1"/>
  <c r="N1765" i="23" s="1"/>
  <c r="N1766" i="23" s="1"/>
  <c r="N1767" i="23" s="1"/>
  <c r="N1768" i="23" s="1"/>
  <c r="N1769" i="23" s="1"/>
  <c r="N1770" i="23" s="1"/>
  <c r="N1771" i="23" s="1"/>
  <c r="N1772" i="23" s="1"/>
  <c r="N1773" i="23" s="1"/>
  <c r="N1774" i="23" s="1"/>
  <c r="N1775" i="23" s="1"/>
  <c r="N1776" i="23" s="1"/>
  <c r="N1777" i="23" s="1"/>
  <c r="N1778" i="23" s="1"/>
  <c r="N1779" i="23" s="1"/>
  <c r="N1780" i="23" s="1"/>
  <c r="N1781" i="23" s="1"/>
  <c r="N1782" i="23" s="1"/>
  <c r="N1783" i="23" s="1"/>
  <c r="N1784" i="23" s="1"/>
  <c r="N1785" i="23" s="1"/>
  <c r="N1786" i="23" s="1"/>
  <c r="N1787" i="23" s="1"/>
  <c r="N1788" i="23" s="1"/>
  <c r="N1789" i="23" s="1"/>
  <c r="N1790" i="23" s="1"/>
  <c r="N1791" i="23" s="1"/>
  <c r="N1792" i="23" s="1"/>
  <c r="N1793" i="23" s="1"/>
  <c r="N1794" i="23" s="1"/>
  <c r="N1795" i="23" s="1"/>
  <c r="N1796" i="23" s="1"/>
  <c r="N1797" i="23" s="1"/>
  <c r="N1798" i="23" s="1"/>
  <c r="N1799" i="23" s="1"/>
  <c r="N1800" i="23" s="1"/>
  <c r="N1801" i="23" s="1"/>
  <c r="N1802" i="23" s="1"/>
  <c r="N1803" i="23" s="1"/>
  <c r="N1804" i="23" s="1"/>
  <c r="N1805" i="23" s="1"/>
  <c r="N1806" i="23" s="1"/>
  <c r="N1807" i="23" s="1"/>
  <c r="N1808" i="23" s="1"/>
  <c r="N1809" i="23" s="1"/>
  <c r="N1810" i="23" s="1"/>
  <c r="N1811" i="23" s="1"/>
  <c r="N1812" i="23" s="1"/>
  <c r="N1813" i="23" s="1"/>
  <c r="N1814" i="23" s="1"/>
  <c r="N1815" i="23" s="1"/>
  <c r="N1816" i="23" s="1"/>
  <c r="N1817" i="23" s="1"/>
  <c r="N1818" i="23" s="1"/>
  <c r="N1819" i="23" s="1"/>
  <c r="N1820" i="23" s="1"/>
  <c r="N1821" i="23" s="1"/>
  <c r="N1822" i="23" s="1"/>
  <c r="N1823" i="23" s="1"/>
  <c r="N1824" i="23" s="1"/>
  <c r="N1825" i="23" s="1"/>
  <c r="N1826" i="23" s="1"/>
  <c r="N1827" i="23" s="1"/>
  <c r="N1828" i="23" s="1"/>
  <c r="N1829" i="23" s="1"/>
  <c r="N1830" i="23" s="1"/>
  <c r="N1831" i="23" s="1"/>
  <c r="N1832" i="23" s="1"/>
  <c r="N1833" i="23" s="1"/>
  <c r="N1834" i="23" s="1"/>
  <c r="N1835" i="23" s="1"/>
  <c r="N1836" i="23" s="1"/>
  <c r="N1837" i="23" s="1"/>
  <c r="N1838" i="23" s="1"/>
  <c r="N1839" i="23" s="1"/>
  <c r="N1840" i="23" s="1"/>
  <c r="N1841" i="23" s="1"/>
  <c r="N1842" i="23" s="1"/>
  <c r="N1843" i="23" s="1"/>
  <c r="N1844" i="23" s="1"/>
  <c r="N1845" i="23" s="1"/>
  <c r="N1846" i="23" s="1"/>
  <c r="N1847" i="23" s="1"/>
  <c r="N1848" i="23" s="1"/>
  <c r="N1849" i="23" s="1"/>
  <c r="N1850" i="23" s="1"/>
  <c r="N1851" i="23" s="1"/>
  <c r="N1852" i="23" s="1"/>
  <c r="N1853" i="23" s="1"/>
  <c r="N1854" i="23" s="1"/>
  <c r="N1855" i="23" s="1"/>
  <c r="N1856" i="23" s="1"/>
  <c r="N1857" i="23" s="1"/>
  <c r="N1858" i="23" s="1"/>
  <c r="N1859" i="23" s="1"/>
  <c r="N1860" i="23" s="1"/>
  <c r="N1861" i="23" s="1"/>
  <c r="N1862" i="23" s="1"/>
  <c r="N1863" i="23" s="1"/>
  <c r="N1864" i="23" s="1"/>
  <c r="N1865" i="23" s="1"/>
  <c r="N1866" i="23" s="1"/>
  <c r="N1867" i="23" s="1"/>
  <c r="N1868" i="23" s="1"/>
  <c r="N1869" i="23" s="1"/>
  <c r="N1870" i="23" s="1"/>
  <c r="N1871" i="23" s="1"/>
  <c r="N1872" i="23" s="1"/>
  <c r="N1873" i="23" s="1"/>
  <c r="N1874" i="23" s="1"/>
  <c r="N1875" i="23" s="1"/>
  <c r="N1876" i="23" s="1"/>
  <c r="N1877" i="23" s="1"/>
  <c r="N1878" i="23" s="1"/>
  <c r="N1880" i="23" s="1"/>
  <c r="N1881" i="23" s="1"/>
  <c r="N1882" i="23" s="1"/>
  <c r="N1883" i="23" s="1"/>
  <c r="N1884" i="23" s="1"/>
  <c r="N1885" i="23" s="1"/>
  <c r="N1886" i="23" s="1"/>
  <c r="N1887" i="23" s="1"/>
  <c r="N1888" i="23" s="1"/>
  <c r="N1889" i="23" s="1"/>
  <c r="N1890" i="23" s="1"/>
  <c r="N1891" i="23" s="1"/>
  <c r="N1892" i="23" s="1"/>
  <c r="N1893" i="23" s="1"/>
  <c r="N1894" i="23" s="1"/>
  <c r="N1895" i="23" s="1"/>
  <c r="N1896" i="23" s="1"/>
  <c r="N1897" i="23" s="1"/>
  <c r="N1898" i="23" s="1"/>
  <c r="N1899" i="23" s="1"/>
  <c r="N1900" i="23" s="1"/>
  <c r="N1901" i="23" s="1"/>
  <c r="N1902" i="23" s="1"/>
  <c r="N1903" i="23" s="1"/>
  <c r="N1904" i="23" s="1"/>
  <c r="N1905" i="23" s="1"/>
  <c r="N1906" i="23" s="1"/>
  <c r="N1907" i="23" s="1"/>
  <c r="N1908" i="23" s="1"/>
  <c r="N1909" i="23" s="1"/>
  <c r="N1910" i="23" s="1"/>
  <c r="N1911" i="23" s="1"/>
  <c r="N1912" i="23" s="1"/>
  <c r="N1913" i="23" s="1"/>
  <c r="N1914" i="23" s="1"/>
  <c r="N1915" i="23" s="1"/>
  <c r="N1916" i="23" s="1"/>
  <c r="N1917" i="23" s="1"/>
  <c r="N1918" i="23" s="1"/>
  <c r="N1919" i="23" s="1"/>
  <c r="N1920" i="23" s="1"/>
  <c r="N1921" i="23" s="1"/>
  <c r="N1922" i="23" s="1"/>
  <c r="N1923" i="23" s="1"/>
  <c r="N1924" i="23" s="1"/>
  <c r="N1925" i="23" s="1"/>
  <c r="N1926" i="23" s="1"/>
  <c r="N1927" i="23" s="1"/>
  <c r="N1928" i="23" s="1"/>
  <c r="N1929" i="23" s="1"/>
  <c r="N1930" i="23" s="1"/>
  <c r="N1931" i="23" s="1"/>
  <c r="N1932" i="23" s="1"/>
  <c r="N1933" i="23" s="1"/>
  <c r="N1934" i="23" s="1"/>
  <c r="N1935" i="23" s="1"/>
  <c r="N1936" i="23" s="1"/>
  <c r="N1937" i="23" s="1"/>
  <c r="N1938" i="23" s="1"/>
  <c r="N1939" i="23" s="1"/>
  <c r="N1940" i="23" s="1"/>
  <c r="N1941" i="23" s="1"/>
  <c r="N1942" i="23" s="1"/>
  <c r="N1943" i="23" s="1"/>
  <c r="N1944" i="23" s="1"/>
  <c r="N1945" i="23" s="1"/>
  <c r="N1946" i="23" s="1"/>
  <c r="N1947" i="23" s="1"/>
  <c r="N1948" i="23" s="1"/>
  <c r="N1949" i="23" s="1"/>
  <c r="N1950" i="23" s="1"/>
  <c r="N1951" i="23" s="1"/>
  <c r="N1952" i="23" s="1"/>
  <c r="N1953" i="23" s="1"/>
  <c r="N1954" i="23" s="1"/>
  <c r="N1955" i="23" s="1"/>
  <c r="N1956" i="23" s="1"/>
  <c r="N1957" i="23" s="1"/>
  <c r="N1958" i="23" s="1"/>
  <c r="N1959" i="23" s="1"/>
  <c r="N1960" i="23" s="1"/>
  <c r="N1961" i="23" s="1"/>
  <c r="N1962" i="23" s="1"/>
  <c r="N1963" i="23" s="1"/>
  <c r="N1964" i="23" s="1"/>
  <c r="N1965" i="23" s="1"/>
  <c r="N1966" i="23" s="1"/>
  <c r="N1967" i="23" s="1"/>
  <c r="N1968" i="23" s="1"/>
  <c r="N1969" i="23" s="1"/>
  <c r="N1970" i="23" s="1"/>
  <c r="N1971" i="23" s="1"/>
  <c r="N1972" i="23" s="1"/>
  <c r="N1973" i="23" s="1"/>
  <c r="N1974" i="23" s="1"/>
  <c r="N1975" i="23" s="1"/>
  <c r="N1976" i="23" s="1"/>
  <c r="N1977" i="23" s="1"/>
  <c r="N1978" i="23" s="1"/>
  <c r="N1979" i="23" s="1"/>
  <c r="N1980" i="23" s="1"/>
  <c r="N1981" i="23" s="1"/>
  <c r="N1982" i="23" s="1"/>
  <c r="N1983" i="23" s="1"/>
  <c r="N1984" i="23" s="1"/>
  <c r="N1985" i="23" s="1"/>
  <c r="N1986" i="23" s="1"/>
  <c r="N1987" i="23" s="1"/>
  <c r="N1988" i="23" s="1"/>
  <c r="N1989" i="23" s="1"/>
  <c r="N1990" i="23" s="1"/>
  <c r="N1991" i="23" s="1"/>
  <c r="N1992" i="23" s="1"/>
  <c r="N1993" i="23" s="1"/>
  <c r="N1994" i="23" s="1"/>
  <c r="N1995" i="23" s="1"/>
  <c r="N1996" i="23" s="1"/>
  <c r="N1997" i="23" s="1"/>
  <c r="N1998" i="23" s="1"/>
  <c r="N1999" i="23" s="1"/>
  <c r="N2000" i="23" s="1"/>
  <c r="N2001" i="23" s="1"/>
  <c r="N2002" i="23" s="1"/>
  <c r="N2003" i="23" s="1"/>
  <c r="N2004" i="23" s="1"/>
  <c r="N2005" i="23" s="1"/>
  <c r="N2006" i="23" s="1"/>
  <c r="N2007" i="23" s="1"/>
  <c r="N2008" i="23" s="1"/>
  <c r="N2009" i="23" s="1"/>
  <c r="N2010" i="23" s="1"/>
  <c r="N2011" i="23" s="1"/>
  <c r="N2012" i="23" s="1"/>
  <c r="N2013" i="23" s="1"/>
  <c r="N2014" i="23" s="1"/>
  <c r="N2015" i="23" s="1"/>
  <c r="N2016" i="23" s="1"/>
  <c r="N2017" i="23" s="1"/>
  <c r="N2018" i="23" s="1"/>
  <c r="N2019" i="23" s="1"/>
  <c r="N2020" i="23" s="1"/>
  <c r="N2021" i="23" s="1"/>
  <c r="N2022" i="23" s="1"/>
  <c r="N2023" i="23" s="1"/>
  <c r="N2024" i="23" s="1"/>
  <c r="N2025" i="23" s="1"/>
  <c r="N2026" i="23" s="1"/>
  <c r="N2027" i="23" s="1"/>
  <c r="N2028" i="23" s="1"/>
  <c r="N2029" i="23" s="1"/>
  <c r="N2030" i="23" s="1"/>
  <c r="N2031" i="23" s="1"/>
  <c r="N2032" i="23" s="1"/>
  <c r="N2033" i="23" s="1"/>
  <c r="N2034" i="23" s="1"/>
  <c r="N2035" i="23" s="1"/>
  <c r="N2036" i="23" s="1"/>
  <c r="N2037" i="23" s="1"/>
  <c r="N2038" i="23" s="1"/>
  <c r="N2039" i="23" s="1"/>
  <c r="N2040" i="23" s="1"/>
  <c r="N2041" i="23" s="1"/>
  <c r="N2042" i="23" s="1"/>
  <c r="N2047" i="23" s="1"/>
  <c r="N2048" i="23" s="1"/>
  <c r="N2049" i="23" s="1"/>
  <c r="N2050" i="23" s="1"/>
  <c r="N2051" i="23" s="1"/>
  <c r="N2052" i="23" s="1"/>
  <c r="N2053" i="23" s="1"/>
  <c r="N2054" i="23" s="1"/>
  <c r="N2055" i="23" s="1"/>
  <c r="N2056" i="23" s="1"/>
  <c r="N2057" i="23" s="1"/>
  <c r="N2058" i="23" s="1"/>
  <c r="N2061" i="23" s="1"/>
  <c r="N2062" i="23" s="1"/>
  <c r="N2063" i="23" s="1"/>
  <c r="N2064" i="23" s="1"/>
  <c r="N2065" i="23" s="1"/>
  <c r="N2066" i="23" s="1"/>
  <c r="N2067" i="23" s="1"/>
  <c r="N2068" i="23" s="1"/>
  <c r="N2069" i="23" s="1"/>
  <c r="N2070" i="23" s="1"/>
  <c r="N2071" i="23" s="1"/>
  <c r="N2072" i="23" s="1"/>
  <c r="N2073" i="23" s="1"/>
  <c r="N2074" i="23" s="1"/>
  <c r="N2075" i="23" s="1"/>
  <c r="N2076" i="23" s="1"/>
  <c r="N1745" i="23"/>
  <c r="N2077" i="23" l="1"/>
  <c r="N2078" i="23" s="1"/>
  <c r="N2079" i="23" s="1"/>
  <c r="N2080" i="23" s="1"/>
  <c r="N2081" i="23"/>
  <c r="N2082" i="23" s="1"/>
  <c r="N2083" i="23" s="1"/>
  <c r="N2084" i="23" s="1"/>
  <c r="N2085" i="23" s="1"/>
  <c r="N2086" i="23" s="1"/>
  <c r="N2087" i="23" s="1"/>
  <c r="N2088" i="23" s="1"/>
  <c r="N2089" i="23" s="1"/>
  <c r="N2090" i="23" s="1"/>
  <c r="N2091" i="23" s="1"/>
  <c r="N2092" i="23" s="1"/>
  <c r="N2093" i="23" s="1"/>
  <c r="N2094" i="23" s="1"/>
  <c r="N2095" i="23" s="1"/>
  <c r="N2096" i="23" s="1"/>
  <c r="N2097" i="23" s="1"/>
  <c r="N2098" i="23" s="1"/>
  <c r="N2099" i="23" s="1"/>
  <c r="N2100" i="23" s="1"/>
  <c r="N2101" i="23" s="1"/>
  <c r="N2102" i="23" s="1"/>
  <c r="N2103" i="23" s="1"/>
  <c r="N2104" i="23" s="1"/>
  <c r="N2105" i="23" s="1"/>
  <c r="N2106" i="23" s="1"/>
  <c r="N2107" i="23" s="1"/>
  <c r="N2108" i="23" s="1"/>
  <c r="N2109" i="23" s="1"/>
  <c r="N2110" i="23" s="1"/>
  <c r="N2111" i="23" s="1"/>
  <c r="N2112" i="23" s="1"/>
  <c r="N2113" i="23" s="1"/>
  <c r="N2114" i="23" s="1"/>
  <c r="N2115" i="23" s="1"/>
  <c r="N2116" i="23" s="1"/>
  <c r="N2117" i="23" s="1"/>
  <c r="N2118" i="23" s="1"/>
  <c r="N2119" i="23" s="1"/>
  <c r="N2120" i="23" s="1"/>
  <c r="N2121" i="23" s="1"/>
  <c r="N2122" i="23" s="1"/>
  <c r="N2123" i="23" s="1"/>
  <c r="N2124" i="23" s="1"/>
  <c r="N2125" i="23" s="1"/>
  <c r="N2126" i="23" s="1"/>
  <c r="N2127" i="23" s="1"/>
  <c r="N2128" i="23" s="1"/>
  <c r="N2129" i="23" s="1"/>
  <c r="N2130" i="23" s="1"/>
  <c r="N2131" i="23" s="1"/>
  <c r="N2132" i="23" s="1"/>
  <c r="N2133" i="23" s="1"/>
  <c r="N2135" i="23" s="1"/>
  <c r="N2136" i="23" s="1"/>
  <c r="N2137" i="23" s="1"/>
  <c r="N2138" i="23" s="1"/>
  <c r="N2139" i="23" s="1"/>
  <c r="N2140" i="23" s="1"/>
  <c r="N2141" i="23" s="1"/>
  <c r="N2142" i="23" s="1"/>
  <c r="N2143" i="23" s="1"/>
  <c r="N2144" i="23" s="1"/>
  <c r="N2145" i="23" s="1"/>
  <c r="N2146" i="23" s="1"/>
  <c r="N2147" i="23" s="1"/>
  <c r="N2148" i="23" s="1"/>
  <c r="N2149" i="23" s="1"/>
  <c r="N2150" i="23" s="1"/>
  <c r="N2151" i="23" s="1"/>
  <c r="N2152" i="23" s="1"/>
  <c r="N2153" i="23" s="1"/>
  <c r="N2154" i="23" s="1"/>
  <c r="N2155" i="23" s="1"/>
  <c r="N2156" i="23" s="1"/>
  <c r="N2157" i="23" s="1"/>
  <c r="N2158" i="23" s="1"/>
  <c r="N2159" i="23" s="1"/>
  <c r="N2160" i="23" s="1"/>
  <c r="N2161" i="23" l="1"/>
  <c r="N2162" i="23"/>
  <c r="N2163" i="23" s="1"/>
  <c r="N2164" i="23" s="1"/>
  <c r="N2165" i="23" s="1"/>
  <c r="N2166" i="23" s="1"/>
  <c r="N2167" i="23" s="1"/>
  <c r="N2168" i="23" s="1"/>
  <c r="N2169" i="23" s="1"/>
  <c r="N2170" i="23" s="1"/>
  <c r="N2171" i="23" s="1"/>
  <c r="N2172" i="23" s="1"/>
  <c r="N2173" i="23" s="1"/>
  <c r="N2174" i="23" s="1"/>
  <c r="N2176" i="23" l="1"/>
  <c r="N2177" i="23" s="1"/>
  <c r="N2178" i="23" s="1"/>
  <c r="N2179" i="23" s="1"/>
  <c r="N2180" i="23" s="1"/>
  <c r="N2181" i="23" s="1"/>
  <c r="N2182" i="23" s="1"/>
  <c r="N2175" i="23"/>
  <c r="N2183" i="23" l="1"/>
  <c r="N2184" i="23" s="1"/>
  <c r="N2185" i="23" s="1"/>
  <c r="N2186" i="23" s="1"/>
  <c r="N2187" i="23" s="1"/>
  <c r="N2188" i="23" s="1"/>
  <c r="N2189" i="23" s="1"/>
  <c r="N2190" i="23" s="1"/>
  <c r="N2191" i="23" s="1"/>
  <c r="N2192" i="23" s="1"/>
  <c r="N2193" i="23" s="1"/>
  <c r="N2194" i="23" s="1"/>
  <c r="N2195" i="23" s="1"/>
  <c r="N2196" i="23" s="1"/>
  <c r="N2197" i="23" s="1"/>
  <c r="N2198" i="23" s="1"/>
  <c r="N2199" i="23" s="1"/>
  <c r="N2200" i="23" s="1"/>
  <c r="N2201" i="23" s="1"/>
  <c r="N2202" i="23" s="1"/>
  <c r="N2203" i="23" s="1"/>
  <c r="N2204" i="23" s="1"/>
  <c r="N2205" i="23" s="1"/>
  <c r="N2206" i="23" s="1"/>
  <c r="N2207" i="23" s="1"/>
  <c r="N2208" i="23" s="1"/>
  <c r="N2209" i="23" s="1"/>
  <c r="N2210" i="23" s="1"/>
  <c r="N2211" i="23" s="1"/>
  <c r="N2212" i="23" s="1"/>
  <c r="N2213" i="23" s="1"/>
  <c r="N2214" i="23" s="1"/>
  <c r="N2215" i="23" s="1"/>
  <c r="N2216" i="23" s="1"/>
  <c r="N2217" i="23" s="1"/>
  <c r="N2218" i="23" s="1"/>
  <c r="N2219" i="23" s="1"/>
  <c r="N2220" i="23" s="1"/>
  <c r="N2221" i="23" s="1"/>
  <c r="N2222" i="23" s="1"/>
  <c r="N2223" i="23" s="1"/>
  <c r="N2225" i="23" s="1"/>
  <c r="N2226" i="23" s="1"/>
  <c r="N2227" i="23" s="1"/>
  <c r="N2228" i="23" s="1"/>
  <c r="N2229" i="23" s="1"/>
  <c r="N2230" i="23" s="1"/>
  <c r="N2231" i="23" s="1"/>
  <c r="N2232" i="23" s="1"/>
  <c r="N2233" i="23" s="1"/>
  <c r="N2234" i="23" s="1"/>
  <c r="N2235" i="23" s="1"/>
  <c r="N2236" i="23" s="1"/>
  <c r="N2237" i="23" s="1"/>
  <c r="N2238" i="23" s="1"/>
  <c r="N2239" i="23" s="1"/>
  <c r="N2240" i="23" s="1"/>
  <c r="N2241" i="23" s="1"/>
  <c r="N2242" i="23" s="1"/>
  <c r="N2243" i="23" s="1"/>
  <c r="N2244" i="23" s="1"/>
  <c r="N2245" i="23" s="1"/>
  <c r="N2246" i="23" s="1"/>
  <c r="N2247" i="23" s="1"/>
  <c r="N2248" i="23" s="1"/>
  <c r="N2249" i="23" s="1"/>
  <c r="N2250" i="23" s="1"/>
  <c r="N2251" i="23" s="1"/>
  <c r="N2252" i="23" s="1"/>
  <c r="N2253" i="23" s="1"/>
  <c r="N2254" i="23" s="1"/>
  <c r="N2255" i="23" s="1"/>
  <c r="N2256" i="23" s="1"/>
  <c r="N2257" i="23" s="1"/>
  <c r="N2258" i="23" s="1"/>
  <c r="N2259" i="23" s="1"/>
  <c r="N2260" i="23" s="1"/>
  <c r="N2261" i="23" s="1"/>
  <c r="N2262" i="23" s="1"/>
  <c r="N2263" i="23" s="1"/>
  <c r="BG25" i="3" l="1"/>
  <c r="AM25" i="3" l="1"/>
  <c r="AS25" i="3"/>
  <c r="AB25" i="3"/>
  <c r="AP25" i="3"/>
  <c r="BP25" i="3"/>
  <c r="AW25" i="3" s="1"/>
  <c r="AV25" i="3"/>
  <c r="AJ25" i="3"/>
  <c r="AD25" i="3"/>
  <c r="BT25" i="3" s="1"/>
  <c r="AG25" i="3"/>
  <c r="BG26" i="3"/>
  <c r="AB26" i="3" l="1"/>
  <c r="AS26" i="3"/>
  <c r="AP26" i="3"/>
  <c r="AG26" i="3"/>
  <c r="AD26" i="3"/>
  <c r="BT26" i="3" s="1"/>
  <c r="AJ26" i="3"/>
  <c r="AM26" i="3"/>
  <c r="BR25" i="3"/>
  <c r="BS25" i="3" s="1"/>
  <c r="BU25" i="3"/>
  <c r="BP26" i="3" l="1"/>
  <c r="AX25" i="3"/>
  <c r="AY25" i="3"/>
  <c r="BG28" i="3"/>
  <c r="AW26" i="3"/>
  <c r="AV26" i="3"/>
  <c r="BU26" i="3"/>
  <c r="BR26" i="3"/>
  <c r="BS26" i="3" s="1"/>
  <c r="AY26" i="3" l="1"/>
  <c r="AX26" i="3"/>
  <c r="AJ28" i="3"/>
  <c r="AG28" i="3"/>
  <c r="AD28" i="3"/>
  <c r="BT28" i="3" s="1"/>
  <c r="AS28" i="3"/>
  <c r="AB28" i="3"/>
  <c r="AP28" i="3"/>
  <c r="AM28" i="3"/>
  <c r="BG30" i="3"/>
  <c r="BP28" i="3" l="1"/>
  <c r="BR28" i="3"/>
  <c r="BS28" i="3" s="1"/>
  <c r="BU28" i="3"/>
  <c r="AM30" i="3"/>
  <c r="AB30" i="3"/>
  <c r="AD30" i="3"/>
  <c r="BT30" i="3" s="1"/>
  <c r="AP30" i="3"/>
  <c r="AG30" i="3"/>
  <c r="AS30" i="3"/>
  <c r="AJ30" i="3"/>
  <c r="BG31" i="3"/>
  <c r="AW28" i="3" l="1"/>
  <c r="AV28" i="3"/>
  <c r="BR30" i="3"/>
  <c r="BU30" i="3"/>
  <c r="AS31" i="3"/>
  <c r="AJ31" i="3"/>
  <c r="AD31" i="3"/>
  <c r="BT31" i="3" s="1"/>
  <c r="AG31" i="3"/>
  <c r="AB31" i="3"/>
  <c r="AM31" i="3"/>
  <c r="AP31" i="3"/>
  <c r="BP30" i="3"/>
  <c r="BG33" i="3"/>
  <c r="AX28" i="3"/>
  <c r="AY28" i="3"/>
  <c r="BU31" i="3" l="1"/>
  <c r="BR31" i="3"/>
  <c r="BP31" i="3"/>
  <c r="BG34" i="3"/>
  <c r="AM33" i="3"/>
  <c r="AB33" i="3"/>
  <c r="AS33" i="3"/>
  <c r="AD33" i="3"/>
  <c r="BT33" i="3" s="1"/>
  <c r="AG33" i="3"/>
  <c r="AJ33" i="3"/>
  <c r="AP33" i="3"/>
  <c r="AV30" i="3"/>
  <c r="AW30" i="3"/>
  <c r="BS30" i="3"/>
  <c r="AY30" i="3" l="1"/>
  <c r="AX30" i="3"/>
  <c r="AM34" i="3"/>
  <c r="AJ34" i="3"/>
  <c r="AP34" i="3"/>
  <c r="AD34" i="3"/>
  <c r="BT34" i="3" s="1"/>
  <c r="AG34" i="3"/>
  <c r="AB34" i="3"/>
  <c r="AS34" i="3"/>
  <c r="BR33" i="3"/>
  <c r="BU33" i="3"/>
  <c r="BG35" i="3"/>
  <c r="AW31" i="3"/>
  <c r="AV31" i="3"/>
  <c r="BS31" i="3"/>
  <c r="BP33" i="3"/>
  <c r="BP34" i="3" l="1"/>
  <c r="AV34" i="3" s="1"/>
  <c r="AX31" i="3"/>
  <c r="AY31" i="3"/>
  <c r="AS35" i="3"/>
  <c r="AM35" i="3"/>
  <c r="AG35" i="3"/>
  <c r="AD35" i="3"/>
  <c r="BT35" i="3" s="1"/>
  <c r="AP35" i="3"/>
  <c r="AB35" i="3"/>
  <c r="AJ35" i="3"/>
  <c r="BU34" i="3"/>
  <c r="BR34" i="3"/>
  <c r="BS34" i="3" s="1"/>
  <c r="BG36" i="3"/>
  <c r="AW33" i="3"/>
  <c r="BS33" i="3"/>
  <c r="AV33" i="3"/>
  <c r="BP35" i="3" l="1"/>
  <c r="AW35" i="3" s="1"/>
  <c r="AW34" i="3"/>
  <c r="AY34" i="3"/>
  <c r="AX34" i="3"/>
  <c r="AY33" i="3"/>
  <c r="AX33" i="3"/>
  <c r="AJ36" i="3"/>
  <c r="AS36" i="3"/>
  <c r="AG36" i="3"/>
  <c r="AD36" i="3"/>
  <c r="BT36" i="3" s="1"/>
  <c r="AP36" i="3"/>
  <c r="AM36" i="3"/>
  <c r="AB36" i="3"/>
  <c r="BG37" i="3"/>
  <c r="BR35" i="3"/>
  <c r="BS35" i="3" s="1"/>
  <c r="BU35" i="3"/>
  <c r="AV35" i="3" l="1"/>
  <c r="AX35" i="3"/>
  <c r="AY35" i="3"/>
  <c r="AG37" i="3"/>
  <c r="AD37" i="3"/>
  <c r="BT37" i="3" s="1"/>
  <c r="AB37" i="3"/>
  <c r="AP37" i="3"/>
  <c r="AS37" i="3"/>
  <c r="AJ37" i="3"/>
  <c r="AM37" i="3"/>
  <c r="BR36" i="3"/>
  <c r="BU36" i="3"/>
  <c r="BG38" i="3"/>
  <c r="BP36" i="3"/>
  <c r="AV36" i="3" l="1"/>
  <c r="AW36" i="3"/>
  <c r="BS36" i="3"/>
  <c r="AJ38" i="3"/>
  <c r="AG38" i="3"/>
  <c r="AP38" i="3"/>
  <c r="AM38" i="3"/>
  <c r="AB38" i="3"/>
  <c r="AS38" i="3"/>
  <c r="AD38" i="3"/>
  <c r="BT38" i="3" s="1"/>
  <c r="BU37" i="3"/>
  <c r="BR37" i="3"/>
  <c r="BP37" i="3"/>
  <c r="BR38" i="3" l="1"/>
  <c r="BU38" i="3"/>
  <c r="AV37" i="3"/>
  <c r="BS37" i="3"/>
  <c r="AW37" i="3"/>
  <c r="AY36" i="3"/>
  <c r="AX36" i="3"/>
  <c r="BP38" i="3"/>
  <c r="AY37" i="3" l="1"/>
  <c r="AX37" i="3"/>
  <c r="AV38" i="3"/>
  <c r="BS38" i="3"/>
  <c r="AW38" i="3"/>
  <c r="AX38" i="3" l="1"/>
  <c r="AY38" i="3"/>
  <c r="B88" i="1" l="1"/>
  <c r="S63" i="1"/>
  <c r="CB26" i="1"/>
  <c r="BZ26" i="1" s="1"/>
  <c r="BZ63" i="1" s="1"/>
  <c r="B89" i="1" l="1"/>
  <c r="B90" i="1" s="1"/>
  <c r="B91" i="1" s="1"/>
  <c r="B92" i="1" s="1"/>
  <c r="B93" i="1" s="1"/>
  <c r="G88" i="1"/>
  <c r="BW75" i="1"/>
  <c r="BT18" i="1"/>
  <c r="AP85" i="1"/>
  <c r="BS130" i="1" s="1"/>
  <c r="BJ78" i="1"/>
  <c r="BD74" i="1"/>
  <c r="BB74" i="1" s="1"/>
  <c r="Q17" i="1"/>
  <c r="BR63" i="1" s="1"/>
  <c r="BW79" i="1"/>
  <c r="BP73" i="1"/>
  <c r="AH79" i="1"/>
  <c r="AK72" i="1" s="1"/>
  <c r="BD77" i="1"/>
  <c r="BB77" i="1" s="1"/>
  <c r="BB73" i="1"/>
  <c r="BT79" i="1"/>
  <c r="CD85" i="1"/>
  <c r="BP79" i="1"/>
  <c r="BH72" i="1"/>
  <c r="BJ81" i="1" s="1"/>
  <c r="BP77" i="1"/>
  <c r="BF18" i="1"/>
  <c r="BT75" i="1"/>
  <c r="BJ72" i="1"/>
  <c r="BT77" i="1"/>
  <c r="BB75" i="1"/>
  <c r="BD76" i="1"/>
  <c r="BB76" i="1" s="1"/>
  <c r="BP75" i="1"/>
  <c r="AN72" i="1"/>
  <c r="BJ80" i="1" s="1"/>
  <c r="BT73" i="1"/>
  <c r="BD72" i="1"/>
  <c r="BF72" i="1"/>
  <c r="BB8" i="3" l="1"/>
  <c r="B3" i="26"/>
  <c r="BF8" i="3"/>
  <c r="BH9" i="3"/>
  <c r="BH10" i="3"/>
  <c r="BH12" i="3"/>
  <c r="BH11" i="3"/>
  <c r="B94" i="1"/>
  <c r="G93" i="1"/>
  <c r="BB13" i="3" s="1"/>
  <c r="DD130" i="1"/>
  <c r="B1" i="2"/>
  <c r="BL72" i="1"/>
  <c r="BJ77" i="1" s="1"/>
  <c r="BJ76" i="1" s="1"/>
  <c r="CV73" i="1"/>
  <c r="BB72" i="1"/>
  <c r="BJ79" i="1"/>
  <c r="AH72" i="1"/>
  <c r="G94" i="1" l="1"/>
  <c r="BB14" i="3" s="1"/>
  <c r="B95" i="1"/>
  <c r="B96" i="1" s="1"/>
  <c r="B97" i="1" s="1"/>
  <c r="BH13" i="3"/>
  <c r="BG8" i="3"/>
  <c r="BF9" i="3"/>
  <c r="BF10" i="3" s="1"/>
  <c r="BF11" i="3" s="1"/>
  <c r="BF12" i="3" s="1"/>
  <c r="BF13" i="3" s="1"/>
  <c r="BG13" i="3" s="1"/>
  <c r="K2" i="2"/>
  <c r="B2" i="1"/>
  <c r="AD4" i="4"/>
  <c r="B1" i="3"/>
  <c r="AD13" i="3" l="1"/>
  <c r="BT13" i="3" s="1"/>
  <c r="AJ13" i="3"/>
  <c r="AB13" i="3"/>
  <c r="AS13" i="3"/>
  <c r="AM13" i="3"/>
  <c r="AG13" i="3"/>
  <c r="BU13" i="3" s="1"/>
  <c r="AM8" i="3"/>
  <c r="AS8" i="3"/>
  <c r="AD8" i="3"/>
  <c r="BT8" i="3" s="1"/>
  <c r="AG8" i="3"/>
  <c r="AJ8" i="3"/>
  <c r="AP13" i="3"/>
  <c r="B98" i="1"/>
  <c r="G97" i="1"/>
  <c r="BB17" i="3" s="1"/>
  <c r="BH14" i="3"/>
  <c r="BF14" i="3"/>
  <c r="BH15" i="3"/>
  <c r="BH16" i="3"/>
  <c r="BH17" i="3" l="1"/>
  <c r="BG14" i="3"/>
  <c r="BF15" i="3"/>
  <c r="BF16" i="3" s="1"/>
  <c r="BF17" i="3" s="1"/>
  <c r="BG17" i="3" s="1"/>
  <c r="G98" i="1"/>
  <c r="BB18" i="3" s="1"/>
  <c r="B99" i="1"/>
  <c r="AM17" i="3" l="1"/>
  <c r="AG17" i="3"/>
  <c r="BU17" i="3" s="1"/>
  <c r="AS17" i="3"/>
  <c r="AD17" i="3"/>
  <c r="BT17" i="3" s="1"/>
  <c r="AB17" i="3"/>
  <c r="AJ17" i="3"/>
  <c r="BF18" i="3"/>
  <c r="BG18" i="3" s="1"/>
  <c r="BH18" i="3"/>
  <c r="G99" i="1"/>
  <c r="BB19" i="3" s="1"/>
  <c r="B100" i="1"/>
  <c r="B101" i="1" s="1"/>
  <c r="AB14" i="3"/>
  <c r="AG14" i="3"/>
  <c r="BU14" i="3" s="1"/>
  <c r="AJ14" i="3"/>
  <c r="AD14" i="3"/>
  <c r="BT14" i="3" s="1"/>
  <c r="AP14" i="3"/>
  <c r="AS14" i="3"/>
  <c r="AM14" i="3"/>
  <c r="AP17" i="3"/>
  <c r="AJ18" i="3" l="1"/>
  <c r="AD18" i="3"/>
  <c r="BT18" i="3" s="1"/>
  <c r="AM18" i="3"/>
  <c r="AS18" i="3"/>
  <c r="AG18" i="3"/>
  <c r="BU18" i="3" s="1"/>
  <c r="AP18" i="3"/>
  <c r="AB18" i="3"/>
  <c r="B102" i="1"/>
  <c r="G101" i="1"/>
  <c r="BH20" i="3"/>
  <c r="BH19" i="3"/>
  <c r="BF19" i="3"/>
  <c r="BF20" i="3" s="1"/>
  <c r="BQ22" i="3"/>
  <c r="BP22" i="4"/>
  <c r="AY22" i="4" s="1"/>
  <c r="BG19" i="3" l="1"/>
  <c r="AM19" i="3" s="1"/>
  <c r="G102" i="1"/>
  <c r="BB22" i="3" s="1"/>
  <c r="AQ86" i="1"/>
  <c r="BS20" i="3"/>
  <c r="BP20" i="3"/>
  <c r="BQ19" i="3"/>
  <c r="AP19" i="3" l="1"/>
  <c r="AG19" i="3"/>
  <c r="BU19" i="3" s="1"/>
  <c r="AB19" i="3"/>
  <c r="AS19" i="3"/>
  <c r="AJ19" i="3"/>
  <c r="AD19" i="3"/>
  <c r="BT19" i="3" s="1"/>
  <c r="AQ87" i="1"/>
  <c r="AV86" i="1"/>
  <c r="BB23" i="3" s="1"/>
  <c r="BR19" i="3" l="1"/>
  <c r="AQ88" i="1"/>
  <c r="AQ89" i="1" s="1"/>
  <c r="AQ90" i="1" s="1"/>
  <c r="AV87" i="1"/>
  <c r="BB24" i="3" s="1"/>
  <c r="BP19" i="3"/>
  <c r="BP19" i="4"/>
  <c r="AY19" i="4" s="1"/>
  <c r="AQ91" i="1" l="1"/>
  <c r="AQ92" i="1" s="1"/>
  <c r="AQ93" i="1" s="1"/>
  <c r="AQ94" i="1" s="1"/>
  <c r="AQ95" i="1" s="1"/>
  <c r="AQ96" i="1" s="1"/>
  <c r="AQ97" i="1" s="1"/>
  <c r="AQ98" i="1" s="1"/>
  <c r="AQ99" i="1" s="1"/>
  <c r="AQ100" i="1" s="1"/>
  <c r="AQ101" i="1" s="1"/>
  <c r="AQ102" i="1" s="1"/>
  <c r="AV90" i="1"/>
  <c r="BB27" i="3" s="1"/>
  <c r="BS19" i="3"/>
  <c r="AV19" i="3"/>
  <c r="AW19" i="3"/>
  <c r="BQ21" i="3" l="1"/>
  <c r="AY19" i="3"/>
  <c r="AX19" i="3"/>
  <c r="BQ23" i="3" l="1"/>
  <c r="BP21" i="4" l="1"/>
  <c r="AY21" i="4" s="1"/>
  <c r="BB21" i="3" l="1"/>
  <c r="BF21" i="3" s="1"/>
  <c r="BF22" i="3" s="1"/>
  <c r="BH44" i="3"/>
  <c r="BH39" i="3"/>
  <c r="BH37" i="3" l="1"/>
  <c r="BH22" i="3"/>
  <c r="BH42" i="3"/>
  <c r="BH27" i="3"/>
  <c r="BH29" i="3"/>
  <c r="BH26" i="3"/>
  <c r="BH43" i="3"/>
  <c r="BH41" i="3"/>
  <c r="BH31" i="3"/>
  <c r="BH23" i="3"/>
  <c r="BH21" i="3"/>
  <c r="BH40" i="3"/>
  <c r="BH28" i="3"/>
  <c r="BH36" i="3"/>
  <c r="BH32" i="3"/>
  <c r="BH24" i="3"/>
  <c r="BH30" i="3"/>
  <c r="BH33" i="3"/>
  <c r="BH34" i="3"/>
  <c r="BH38" i="3"/>
  <c r="BH25" i="3"/>
  <c r="BH35" i="3"/>
  <c r="BG21" i="3"/>
  <c r="AD21" i="3" s="1"/>
  <c r="BG22" i="3"/>
  <c r="BF23" i="3"/>
  <c r="AM21" i="3" l="1"/>
  <c r="AG21" i="3"/>
  <c r="BR21" i="3" s="1"/>
  <c r="AS21" i="3"/>
  <c r="AB21" i="3"/>
  <c r="AJ21" i="3"/>
  <c r="AP21" i="3"/>
  <c r="BP23" i="4"/>
  <c r="AY23" i="4" s="1"/>
  <c r="BG23" i="3"/>
  <c r="BF24" i="3"/>
  <c r="AB22" i="3"/>
  <c r="AM22" i="3"/>
  <c r="AS22" i="3"/>
  <c r="AP22" i="3"/>
  <c r="AG22" i="3"/>
  <c r="AD22" i="3"/>
  <c r="BT22" i="3" s="1"/>
  <c r="AJ22" i="3"/>
  <c r="BT21" i="3"/>
  <c r="BP21" i="3"/>
  <c r="BU21" i="3" l="1"/>
  <c r="BP22" i="3"/>
  <c r="AW22" i="3" s="1"/>
  <c r="BF25" i="3"/>
  <c r="BF26" i="3" s="1"/>
  <c r="BF27" i="3" s="1"/>
  <c r="BG24" i="3"/>
  <c r="AW21" i="3"/>
  <c r="BS21" i="3"/>
  <c r="AV21" i="3"/>
  <c r="BU22" i="3"/>
  <c r="BR22" i="3"/>
  <c r="AP23" i="3"/>
  <c r="AJ23" i="3"/>
  <c r="AD23" i="3"/>
  <c r="BT23" i="3" s="1"/>
  <c r="AM23" i="3"/>
  <c r="AG23" i="3"/>
  <c r="AS23" i="3"/>
  <c r="AB23" i="3"/>
  <c r="BS22" i="3" l="1"/>
  <c r="AY22" i="3" s="1"/>
  <c r="AV22" i="3"/>
  <c r="BP23" i="3"/>
  <c r="AW23" i="3" s="1"/>
  <c r="AX21" i="3"/>
  <c r="AY21" i="3"/>
  <c r="BU23" i="3"/>
  <c r="BR23" i="3"/>
  <c r="BG27" i="3"/>
  <c r="BF28" i="3"/>
  <c r="BF29" i="3" s="1"/>
  <c r="BF30" i="3" s="1"/>
  <c r="BF31" i="3" s="1"/>
  <c r="BF32" i="3" s="1"/>
  <c r="BF33" i="3" s="1"/>
  <c r="BF34" i="3" s="1"/>
  <c r="BF35" i="3" s="1"/>
  <c r="BF36" i="3" s="1"/>
  <c r="BF37" i="3" s="1"/>
  <c r="BF38" i="3" s="1"/>
  <c r="BF39" i="3" s="1"/>
  <c r="AJ24" i="3"/>
  <c r="AG24" i="3"/>
  <c r="BU24" i="3" s="1"/>
  <c r="AB24" i="3"/>
  <c r="AS24" i="3"/>
  <c r="AP24" i="3"/>
  <c r="AD24" i="3"/>
  <c r="BT24" i="3" s="1"/>
  <c r="AM24" i="3"/>
  <c r="AX22" i="3" l="1"/>
  <c r="AV23" i="3"/>
  <c r="BS23" i="3"/>
  <c r="AX23" i="3" s="1"/>
  <c r="BF40" i="3"/>
  <c r="BG39" i="3"/>
  <c r="AD27" i="3"/>
  <c r="BT27" i="3" s="1"/>
  <c r="AM27" i="3"/>
  <c r="AS27" i="3"/>
  <c r="AP27" i="3"/>
  <c r="AG27" i="3"/>
  <c r="BU27" i="3" s="1"/>
  <c r="AJ27" i="3"/>
  <c r="AB27" i="3"/>
  <c r="AY23" i="3" l="1"/>
  <c r="BG40" i="3"/>
  <c r="BF41" i="3"/>
  <c r="BF42" i="3" l="1"/>
  <c r="BG41" i="3"/>
  <c r="BG42" i="3" l="1"/>
  <c r="BF43" i="3"/>
  <c r="BF44" i="3" l="1"/>
  <c r="BG44" i="3" s="1"/>
  <c r="BG43" i="3"/>
  <c r="BP27" i="3" l="1"/>
  <c r="AV27" i="3" l="1"/>
  <c r="BR27" i="3" l="1"/>
  <c r="BQ27" i="3" l="1"/>
  <c r="BP27" i="4"/>
  <c r="AY27" i="4" s="1"/>
  <c r="BS27" i="3" l="1"/>
  <c r="AW27" i="3"/>
  <c r="AY27" i="3" l="1"/>
  <c r="AX27" i="3"/>
  <c r="BQ24" i="3" l="1"/>
  <c r="BR24" i="3" l="1"/>
  <c r="AY24" i="4" l="1"/>
  <c r="BP24" i="3"/>
  <c r="BS24" i="3" l="1"/>
  <c r="AW24" i="3"/>
  <c r="AV24" i="3"/>
  <c r="AY24" i="3" l="1"/>
  <c r="AX24" i="3"/>
  <c r="BQ8" i="3" l="1"/>
  <c r="BP8" i="4" l="1"/>
  <c r="AY8" i="4" s="1"/>
  <c r="BD9" i="4" l="1"/>
  <c r="BD10" i="4" l="1"/>
  <c r="AJ9" i="4"/>
  <c r="AT9" i="4" s="1"/>
  <c r="AG9" i="4"/>
  <c r="AS9" i="4" s="1"/>
  <c r="AM9" i="4"/>
  <c r="AU9" i="4" s="1"/>
  <c r="AG10" i="4" l="1"/>
  <c r="AJ10" i="4"/>
  <c r="AT10" i="4" s="1"/>
  <c r="AS10" i="4"/>
  <c r="AM10" i="4"/>
  <c r="AU10" i="4" s="1"/>
  <c r="BQ17" i="3" l="1"/>
  <c r="BP18" i="3" l="1"/>
  <c r="BR18" i="3"/>
  <c r="BQ18" i="3"/>
  <c r="BP18" i="4" l="1"/>
  <c r="AY18" i="4" s="1"/>
  <c r="BS18" i="3"/>
  <c r="AW18" i="3"/>
  <c r="AV18" i="3"/>
  <c r="AY18" i="3" l="1"/>
  <c r="AX18" i="3"/>
  <c r="BR17" i="3" l="1"/>
  <c r="BP17" i="4" l="1"/>
  <c r="AY17" i="4" s="1"/>
  <c r="BP17" i="3"/>
  <c r="AV17" i="3" l="1"/>
  <c r="AW17" i="3"/>
  <c r="BS17" i="3"/>
  <c r="AY17" i="3" l="1"/>
  <c r="AX17" i="3"/>
  <c r="BQ13" i="3" l="1"/>
  <c r="BP13" i="4" l="1"/>
  <c r="BP13" i="3"/>
  <c r="BR13" i="3"/>
  <c r="BS13" i="3" l="1"/>
  <c r="AV13" i="3"/>
  <c r="AW13" i="3"/>
  <c r="AY13" i="4"/>
  <c r="AY13" i="3" l="1"/>
  <c r="AX13" i="3"/>
  <c r="BR14" i="3" l="1"/>
  <c r="BP14" i="4" l="1"/>
  <c r="BP14" i="3"/>
  <c r="AY14" i="4" l="1"/>
  <c r="AW14" i="3"/>
  <c r="BS14" i="3"/>
  <c r="AV14" i="3"/>
  <c r="AX14" i="3" l="1"/>
  <c r="AY14" i="3"/>
  <c r="AP9" i="4" l="1"/>
  <c r="AL8" i="25" l="1"/>
  <c r="CC6" i="25"/>
  <c r="CF12" i="25" s="1"/>
  <c r="CP12" i="25" s="1"/>
  <c r="CM6" i="25"/>
  <c r="CA12" i="25"/>
  <c r="CN12" i="25"/>
  <c r="BY12" i="25"/>
  <c r="CH6" i="25"/>
  <c r="Y8" i="25" s="1"/>
  <c r="CI12" i="25" l="1"/>
  <c r="AI22" i="25"/>
  <c r="AI20" i="25"/>
  <c r="AC8" i="25"/>
  <c r="BH27" i="25"/>
  <c r="CK12" i="25"/>
  <c r="AI28" i="25"/>
  <c r="AI23" i="25"/>
  <c r="AP8" i="25"/>
  <c r="CD19" i="25" l="1"/>
  <c r="AO20" i="25"/>
  <c r="AO28" i="25"/>
  <c r="CD27" i="25"/>
  <c r="BY27" i="25" s="1"/>
  <c r="K22" i="25"/>
  <c r="BH22" i="25" s="1"/>
  <c r="CD21" i="25"/>
  <c r="AO22" i="25"/>
  <c r="BH26" i="25"/>
  <c r="C22" i="25"/>
  <c r="AR27" i="25"/>
  <c r="BL27" i="25"/>
  <c r="CD35" i="25"/>
  <c r="AI24" i="25"/>
  <c r="AI26" i="25"/>
  <c r="AI27" i="25"/>
  <c r="AO23" i="25"/>
  <c r="CD22" i="25"/>
  <c r="BY22" i="25" s="1"/>
  <c r="AI25" i="25"/>
  <c r="BY35" i="25" l="1"/>
  <c r="AO24" i="25"/>
  <c r="CD23" i="25"/>
  <c r="BY23" i="25" s="1"/>
  <c r="BH24" i="25"/>
  <c r="BL22" i="25"/>
  <c r="CD30" i="25"/>
  <c r="AR22" i="25"/>
  <c r="BL26" i="25"/>
  <c r="CD34" i="25"/>
  <c r="AR26" i="25"/>
  <c r="CD24" i="25"/>
  <c r="BY24" i="25" s="1"/>
  <c r="AO25" i="25"/>
  <c r="BH25" i="25"/>
  <c r="CD26" i="25"/>
  <c r="BY26" i="25" s="1"/>
  <c r="AO27" i="25"/>
  <c r="CD25" i="25"/>
  <c r="BY25" i="25" s="1"/>
  <c r="AO26" i="25"/>
  <c r="BY21" i="25"/>
  <c r="BY34" i="25" l="1"/>
  <c r="CD33" i="25"/>
  <c r="AR25" i="25"/>
  <c r="BL25" i="25"/>
  <c r="BY30" i="25"/>
  <c r="AR24" i="25"/>
  <c r="BL24" i="25"/>
  <c r="CD32" i="25"/>
  <c r="BY32" i="25" l="1"/>
  <c r="BY33" i="25"/>
  <c r="BD12" i="4" l="1"/>
  <c r="AG12" i="4" l="1"/>
  <c r="AS12" i="4" s="1"/>
  <c r="AT12" i="4"/>
  <c r="AM12" i="4"/>
  <c r="AU12" i="4" s="1"/>
  <c r="AJ12" i="4"/>
  <c r="AP12" i="4"/>
  <c r="AP10" i="4" l="1"/>
  <c r="Z32" i="24" l="1"/>
  <c r="AF32" i="24" l="1"/>
  <c r="BY32" i="24" s="1"/>
  <c r="AR32" i="24"/>
  <c r="AX32" i="24"/>
  <c r="CA32" i="24" s="1"/>
  <c r="BX32" i="24"/>
  <c r="D32" i="24"/>
  <c r="N32" i="24"/>
  <c r="D33" i="24"/>
  <c r="G33" i="24"/>
  <c r="T32" i="24"/>
  <c r="J32" i="24"/>
  <c r="G32" i="24"/>
  <c r="BD32" i="24" l="1"/>
  <c r="BI32" i="24"/>
  <c r="BN32" i="24"/>
  <c r="BD33" i="24"/>
  <c r="BI33" i="24"/>
  <c r="BN33" i="24"/>
  <c r="BZ32" i="24"/>
  <c r="AL32" i="24"/>
  <c r="AR30" i="24" l="1"/>
  <c r="BZ30" i="24" l="1"/>
  <c r="AR36" i="24" s="1"/>
  <c r="AX30" i="24"/>
  <c r="CA30" i="24" s="1"/>
  <c r="AX36" i="24" s="1"/>
  <c r="CG36" i="24" s="1"/>
  <c r="AL30" i="24" l="1"/>
  <c r="CF36" i="24"/>
  <c r="AL36" i="24"/>
  <c r="CC36" i="24" s="1"/>
  <c r="AR29" i="24" l="1"/>
  <c r="Z30" i="24"/>
  <c r="AF29" i="24"/>
  <c r="BY29" i="24" s="1"/>
  <c r="AF35" i="24" s="1"/>
  <c r="Z29" i="24"/>
  <c r="AX29" i="24"/>
  <c r="CA29" i="24" s="1"/>
  <c r="AX35" i="24" s="1"/>
  <c r="CG35" i="24" s="1"/>
  <c r="N29" i="24" l="1"/>
  <c r="T29" i="24"/>
  <c r="BX29" i="24"/>
  <c r="Z35" i="24" s="1"/>
  <c r="J29" i="24"/>
  <c r="J35" i="24" s="1"/>
  <c r="D29" i="24"/>
  <c r="BX30" i="24"/>
  <c r="Z36" i="24" s="1"/>
  <c r="D30" i="24"/>
  <c r="BZ29" i="24"/>
  <c r="AR35" i="24" s="1"/>
  <c r="AL29" i="24"/>
  <c r="AF30" i="24"/>
  <c r="BY30" i="24" s="1"/>
  <c r="AF36" i="24" s="1"/>
  <c r="T30" i="24" l="1"/>
  <c r="T36" i="24"/>
  <c r="BI36" i="24"/>
  <c r="BN29" i="24"/>
  <c r="BI29" i="24"/>
  <c r="T35" i="24"/>
  <c r="BI35" i="24"/>
  <c r="BD29" i="24"/>
  <c r="CF35" i="24"/>
  <c r="AL35" i="24"/>
  <c r="CC35" i="24" s="1"/>
  <c r="BN30" i="24"/>
  <c r="BI30" i="24"/>
  <c r="N30" i="24"/>
  <c r="BD30" i="24" s="1"/>
  <c r="J30" i="24"/>
  <c r="J36" i="24" s="1"/>
  <c r="Z17" i="24"/>
  <c r="AR17" i="24"/>
  <c r="AR21" i="24" l="1"/>
  <c r="Z21" i="24"/>
  <c r="N17" i="24"/>
  <c r="J17" i="24"/>
  <c r="J21" i="24" s="1"/>
  <c r="D17" i="24"/>
  <c r="CC13" i="24"/>
  <c r="AX17" i="24"/>
  <c r="AX21" i="24" s="1"/>
  <c r="CG21" i="24" s="1"/>
  <c r="CD49" i="24" s="1"/>
  <c r="AF17" i="24"/>
  <c r="AF21" i="24" s="1"/>
  <c r="T21" i="24" l="1"/>
  <c r="T17" i="24"/>
  <c r="AL21" i="24"/>
  <c r="CC21" i="24" s="1"/>
  <c r="CF21" i="24"/>
  <c r="CC49" i="24" s="1"/>
  <c r="AC6" i="24"/>
  <c r="AL17" i="24"/>
  <c r="BD17" i="24" s="1"/>
  <c r="BI21" i="24" l="1"/>
  <c r="AR61" i="24"/>
  <c r="AN63" i="24"/>
  <c r="BC100" i="24" s="1"/>
  <c r="BH100" i="24" s="1"/>
  <c r="AO87" i="24"/>
  <c r="E1" i="27"/>
  <c r="AJ63" i="24"/>
  <c r="AF63" i="24"/>
  <c r="BC98" i="24" s="1"/>
  <c r="BH98" i="24" s="1"/>
  <c r="AO71" i="24"/>
  <c r="BC127" i="24" s="1"/>
  <c r="BH127" i="24" s="1"/>
  <c r="AV61" i="24"/>
  <c r="AO75" i="24"/>
  <c r="AF61" i="24"/>
  <c r="BC97" i="24" s="1"/>
  <c r="BH97" i="24" s="1"/>
  <c r="AJ61" i="24"/>
  <c r="AN61" i="24"/>
  <c r="BC99" i="24" s="1"/>
  <c r="BH99" i="24" s="1"/>
  <c r="AZ61" i="24"/>
  <c r="D39" i="24"/>
  <c r="D66" i="24"/>
  <c r="AH93" i="24"/>
  <c r="D45" i="24"/>
  <c r="D59" i="24"/>
  <c r="D49" i="24"/>
  <c r="U55" i="24"/>
  <c r="D71" i="24"/>
  <c r="AG59" i="24"/>
  <c r="C23" i="28" s="1"/>
  <c r="AQ53" i="24"/>
  <c r="AV53" i="24"/>
  <c r="BI17" i="24"/>
  <c r="C99" i="24" l="1"/>
  <c r="N66" i="24"/>
  <c r="N67" i="24"/>
  <c r="AI66" i="24"/>
  <c r="C102" i="24" s="1"/>
  <c r="AT66" i="24"/>
  <c r="C103" i="24" s="1"/>
  <c r="N39" i="24"/>
  <c r="N43" i="24"/>
  <c r="N41" i="24"/>
  <c r="AI55" i="24"/>
  <c r="I45" i="27"/>
  <c r="D45" i="27"/>
  <c r="D29" i="27"/>
  <c r="D46" i="27"/>
  <c r="E31" i="27"/>
  <c r="BI49" i="24"/>
  <c r="CE49" i="24" s="1"/>
  <c r="N49" i="24"/>
  <c r="BC104" i="24"/>
  <c r="BH104" i="24" s="1"/>
  <c r="BC106" i="24"/>
  <c r="BH106" i="24" s="1"/>
  <c r="C98" i="24"/>
  <c r="N59" i="24"/>
  <c r="AA59" i="24"/>
  <c r="N47" i="24"/>
  <c r="N45" i="24"/>
  <c r="AW49" i="24"/>
  <c r="BD61" i="24"/>
  <c r="BC102" i="24"/>
  <c r="BH102" i="24" s="1"/>
  <c r="Y49" i="24" l="1"/>
  <c r="BG45" i="24"/>
  <c r="Y45" i="24"/>
  <c r="N83" i="24"/>
  <c r="N79" i="24"/>
  <c r="Y43" i="24"/>
  <c r="BG43" i="24"/>
  <c r="N87" i="24"/>
  <c r="Y47" i="24"/>
  <c r="BG47" i="24"/>
  <c r="BC49" i="24"/>
  <c r="AQ51" i="24"/>
  <c r="AQ49" i="24"/>
  <c r="Y39" i="24"/>
  <c r="C30" i="28"/>
  <c r="N71" i="24"/>
  <c r="BG39" i="24"/>
  <c r="AQ103" i="24"/>
  <c r="S103" i="24"/>
  <c r="AQ102" i="24"/>
  <c r="M143" i="24"/>
  <c r="P143" i="24" s="1"/>
  <c r="S102" i="24"/>
  <c r="F43" i="27"/>
  <c r="E43" i="27" s="1"/>
  <c r="CF49" i="24"/>
  <c r="X66" i="24"/>
  <c r="M98" i="24"/>
  <c r="C143" i="24"/>
  <c r="C137" i="24"/>
  <c r="M137" i="24"/>
  <c r="P137" i="24" s="1"/>
  <c r="BC118" i="24"/>
  <c r="BH118" i="24" s="1"/>
  <c r="C141" i="24"/>
  <c r="C139" i="24"/>
  <c r="M139" i="24"/>
  <c r="P139" i="24" s="1"/>
  <c r="AQ98" i="24"/>
  <c r="AV98" i="24"/>
  <c r="BG41" i="24"/>
  <c r="Y41" i="24"/>
  <c r="N75" i="24"/>
  <c r="C105" i="24"/>
  <c r="CC39" i="24" l="1"/>
  <c r="C29" i="28"/>
  <c r="AE71" i="24"/>
  <c r="M106" i="24" s="1"/>
  <c r="X71" i="24"/>
  <c r="CD39" i="24"/>
  <c r="X73" i="24"/>
  <c r="C22" i="28"/>
  <c r="C26" i="28" s="1"/>
  <c r="F38" i="27"/>
  <c r="C85" i="28"/>
  <c r="CC43" i="24"/>
  <c r="BO43" i="24" s="1"/>
  <c r="E40" i="27" s="1"/>
  <c r="AE79" i="24"/>
  <c r="M118" i="24" s="1"/>
  <c r="X79" i="24"/>
  <c r="CD43" i="24"/>
  <c r="X81" i="24"/>
  <c r="F40" i="27"/>
  <c r="AZ66" i="24"/>
  <c r="M103" i="24" s="1"/>
  <c r="P103" i="24" s="1"/>
  <c r="M100" i="24"/>
  <c r="AO66" i="24"/>
  <c r="M102" i="24" s="1"/>
  <c r="AE66" i="24"/>
  <c r="AI79" i="24"/>
  <c r="BM79" i="24"/>
  <c r="BE79" i="24"/>
  <c r="BI81" i="24"/>
  <c r="C119" i="24"/>
  <c r="AS79" i="24"/>
  <c r="BI79" i="24"/>
  <c r="BE81" i="24"/>
  <c r="C118" i="24"/>
  <c r="C120" i="24"/>
  <c r="AO81" i="24"/>
  <c r="AQ81" i="24" s="1"/>
  <c r="CC103" i="24" s="1"/>
  <c r="BH132" i="24"/>
  <c r="BM81" i="24"/>
  <c r="BC132" i="24"/>
  <c r="AI77" i="24"/>
  <c r="AV77" i="24"/>
  <c r="AW51" i="24"/>
  <c r="BI85" i="24"/>
  <c r="BE85" i="24"/>
  <c r="BI83" i="24"/>
  <c r="BM85" i="24"/>
  <c r="C125" i="24"/>
  <c r="AO85" i="24"/>
  <c r="BM83" i="24"/>
  <c r="AI83" i="24"/>
  <c r="BE83" i="24"/>
  <c r="AI81" i="24"/>
  <c r="AV81" i="24"/>
  <c r="C124" i="24"/>
  <c r="BC133" i="24"/>
  <c r="AS83" i="24"/>
  <c r="BM89" i="24"/>
  <c r="BE87" i="24"/>
  <c r="C130" i="24"/>
  <c r="BI89" i="24"/>
  <c r="AI87" i="24"/>
  <c r="C131" i="24"/>
  <c r="BE89" i="24"/>
  <c r="BQ87" i="24"/>
  <c r="BI87" i="24"/>
  <c r="AI85" i="24"/>
  <c r="AS87" i="24"/>
  <c r="BM87" i="24"/>
  <c r="AO89" i="24"/>
  <c r="AV85" i="24"/>
  <c r="BC134" i="24"/>
  <c r="F39" i="27"/>
  <c r="C54" i="28"/>
  <c r="X77" i="24"/>
  <c r="CC41" i="24"/>
  <c r="BO41" i="24" s="1"/>
  <c r="X75" i="24"/>
  <c r="AE75" i="24"/>
  <c r="M112" i="24" s="1"/>
  <c r="CD41" i="24"/>
  <c r="P98" i="24"/>
  <c r="CF98" i="24"/>
  <c r="M141" i="24"/>
  <c r="P141" i="24" s="1"/>
  <c r="F41" i="27"/>
  <c r="CC45" i="24"/>
  <c r="BO45" i="24" s="1"/>
  <c r="AE83" i="24"/>
  <c r="M124" i="24" s="1"/>
  <c r="CD45" i="24"/>
  <c r="X83" i="24"/>
  <c r="C116" i="28"/>
  <c r="X85" i="24"/>
  <c r="AI102" i="24"/>
  <c r="AI75" i="24"/>
  <c r="BE75" i="24"/>
  <c r="BI75" i="24"/>
  <c r="AV73" i="24"/>
  <c r="C113" i="24"/>
  <c r="AI73" i="24"/>
  <c r="C112" i="24"/>
  <c r="BE77" i="24"/>
  <c r="AO77" i="24"/>
  <c r="BM75" i="24"/>
  <c r="BQ75" i="24"/>
  <c r="BC128" i="24" s="1"/>
  <c r="BH128" i="24" s="1"/>
  <c r="BI77" i="24"/>
  <c r="AS75" i="24"/>
  <c r="BC131" i="24"/>
  <c r="BM77" i="24"/>
  <c r="AO83" i="24"/>
  <c r="AV69" i="24"/>
  <c r="BI71" i="24"/>
  <c r="BC122" i="24" s="1"/>
  <c r="BH122" i="24" s="1"/>
  <c r="C107" i="24"/>
  <c r="BM71" i="24"/>
  <c r="BC125" i="24" s="1"/>
  <c r="BH125" i="24" s="1"/>
  <c r="BE71" i="24"/>
  <c r="BC120" i="24" s="1"/>
  <c r="BH120" i="24" s="1"/>
  <c r="AO73" i="24"/>
  <c r="BC130" i="24"/>
  <c r="BE73" i="24"/>
  <c r="BC121" i="24" s="1"/>
  <c r="BH121" i="24" s="1"/>
  <c r="BI73" i="24"/>
  <c r="BC124" i="24" s="1"/>
  <c r="BH124" i="24" s="1"/>
  <c r="BM73" i="24"/>
  <c r="BC126" i="24" s="1"/>
  <c r="BH126" i="24" s="1"/>
  <c r="AS71" i="24"/>
  <c r="C106" i="24"/>
  <c r="AI69" i="24"/>
  <c r="AI71" i="24"/>
  <c r="F42" i="27"/>
  <c r="X89" i="24"/>
  <c r="CC47" i="24"/>
  <c r="BO47" i="24" s="1"/>
  <c r="E42" i="27" s="1"/>
  <c r="X87" i="24"/>
  <c r="AE87" i="24"/>
  <c r="M130" i="24" s="1"/>
  <c r="C147" i="28"/>
  <c r="CD47" i="24"/>
  <c r="AV103" i="24" l="1"/>
  <c r="C151" i="28"/>
  <c r="C129" i="28"/>
  <c r="C111" i="24"/>
  <c r="M126" i="24"/>
  <c r="P126" i="24" s="1"/>
  <c r="M127" i="24"/>
  <c r="P127" i="24" s="1"/>
  <c r="C127" i="24"/>
  <c r="C128" i="24"/>
  <c r="M128" i="24"/>
  <c r="P128" i="24" s="1"/>
  <c r="C115" i="24"/>
  <c r="M116" i="24"/>
  <c r="P116" i="24" s="1"/>
  <c r="C116" i="24"/>
  <c r="M114" i="24"/>
  <c r="P114" i="24" s="1"/>
  <c r="M115" i="24"/>
  <c r="P115" i="24" s="1"/>
  <c r="C114" i="24"/>
  <c r="BH133" i="24"/>
  <c r="CF130" i="24"/>
  <c r="P130" i="24"/>
  <c r="E39" i="27"/>
  <c r="AQ89" i="24"/>
  <c r="CC105" i="24" s="1"/>
  <c r="AQ85" i="24"/>
  <c r="CC104" i="24" s="1"/>
  <c r="M120" i="24"/>
  <c r="P120" i="24" s="1"/>
  <c r="C122" i="24"/>
  <c r="C121" i="24"/>
  <c r="M122" i="24"/>
  <c r="P122" i="24" s="1"/>
  <c r="M121" i="24"/>
  <c r="P121" i="24" s="1"/>
  <c r="CE39" i="24"/>
  <c r="E41" i="27"/>
  <c r="C58" i="28"/>
  <c r="C36" i="28"/>
  <c r="C135" i="24"/>
  <c r="AQ130" i="24"/>
  <c r="AV130" i="24" s="1"/>
  <c r="AQ124" i="24"/>
  <c r="AV124" i="24" s="1"/>
  <c r="C129" i="24"/>
  <c r="P102" i="24"/>
  <c r="CC99" i="24"/>
  <c r="P106" i="24"/>
  <c r="CF106" i="24"/>
  <c r="P118" i="24"/>
  <c r="CF118" i="24"/>
  <c r="P100" i="24"/>
  <c r="M99" i="24"/>
  <c r="C83" i="28"/>
  <c r="C89" i="28"/>
  <c r="C32" i="28"/>
  <c r="F22" i="28"/>
  <c r="F23" i="28"/>
  <c r="C25" i="28" s="1"/>
  <c r="F25" i="28"/>
  <c r="M132" i="24"/>
  <c r="P132" i="24" s="1"/>
  <c r="M133" i="24"/>
  <c r="P133" i="24" s="1"/>
  <c r="M134" i="24"/>
  <c r="P134" i="24" s="1"/>
  <c r="C133" i="24"/>
  <c r="C134" i="24"/>
  <c r="P124" i="24"/>
  <c r="CF124" i="24"/>
  <c r="M108" i="24"/>
  <c r="P108" i="24" s="1"/>
  <c r="C110" i="24"/>
  <c r="M110" i="24"/>
  <c r="P110" i="24" s="1"/>
  <c r="M109" i="24"/>
  <c r="P109" i="24" s="1"/>
  <c r="C109" i="24"/>
  <c r="C108" i="24"/>
  <c r="AQ77" i="24"/>
  <c r="CC102" i="24" s="1"/>
  <c r="BH130" i="24"/>
  <c r="BH131" i="24"/>
  <c r="C132" i="24"/>
  <c r="AI103" i="24"/>
  <c r="CE47" i="24"/>
  <c r="AZ63" i="24"/>
  <c r="BC107" i="24" s="1"/>
  <c r="BH107" i="24" s="1"/>
  <c r="BO39" i="24"/>
  <c r="E38" i="27" s="1"/>
  <c r="AQ73" i="24"/>
  <c r="CC101" i="24" s="1"/>
  <c r="AQ106" i="24" s="1"/>
  <c r="AV106" i="24" s="1"/>
  <c r="C117" i="24"/>
  <c r="AQ112" i="24"/>
  <c r="AV112" i="24" s="1"/>
  <c r="BH134" i="24"/>
  <c r="S120" i="24"/>
  <c r="AI120" i="24"/>
  <c r="AQ120" i="24"/>
  <c r="AV120" i="24" s="1"/>
  <c r="P53" i="27"/>
  <c r="P52" i="27"/>
  <c r="P51" i="27"/>
  <c r="C120" i="28"/>
  <c r="C98" i="28"/>
  <c r="P112" i="24"/>
  <c r="CF112" i="24"/>
  <c r="C126" i="24"/>
  <c r="S118" i="24"/>
  <c r="CE118" i="24" s="1"/>
  <c r="CC118" i="24"/>
  <c r="AI118" i="24"/>
  <c r="S123" i="24"/>
  <c r="AQ118" i="24"/>
  <c r="C123" i="24"/>
  <c r="AV118" i="24"/>
  <c r="AV102" i="24"/>
  <c r="G32" i="28" l="1"/>
  <c r="G33" i="28"/>
  <c r="AQ132" i="24"/>
  <c r="AV132" i="24" s="1"/>
  <c r="S132" i="24"/>
  <c r="AI132" i="24" s="1"/>
  <c r="C123" i="28"/>
  <c r="C124" i="28"/>
  <c r="C117" i="28"/>
  <c r="C115" i="28"/>
  <c r="J6" i="24"/>
  <c r="CE53" i="24"/>
  <c r="P99" i="24"/>
  <c r="CF99" i="24"/>
  <c r="CF135" i="24" s="1"/>
  <c r="C61" i="28"/>
  <c r="C55" i="28"/>
  <c r="C62" i="28"/>
  <c r="F54" i="28"/>
  <c r="C57" i="28" s="1"/>
  <c r="C53" i="28"/>
  <c r="S141" i="24"/>
  <c r="AV141" i="24"/>
  <c r="S115" i="24"/>
  <c r="AQ115" i="24" s="1"/>
  <c r="AV115" i="24" s="1"/>
  <c r="S116" i="24"/>
  <c r="AQ116" i="24" s="1"/>
  <c r="AV116" i="24" s="1"/>
  <c r="AQ126" i="24"/>
  <c r="AV126" i="24" s="1"/>
  <c r="S126" i="24"/>
  <c r="AI126" i="24" s="1"/>
  <c r="CD105" i="24"/>
  <c r="BC105" i="24" s="1"/>
  <c r="BH105" i="24" s="1"/>
  <c r="CC112" i="24" s="1"/>
  <c r="S112" i="24" s="1"/>
  <c r="I6" i="28"/>
  <c r="I19" i="28" s="1"/>
  <c r="I20" i="28" s="1"/>
  <c r="I21" i="28" s="1"/>
  <c r="I22" i="28" s="1"/>
  <c r="I23" i="28" s="1"/>
  <c r="I24" i="28" s="1"/>
  <c r="I25" i="28" s="1"/>
  <c r="I26" i="28" s="1"/>
  <c r="I27" i="28" s="1"/>
  <c r="I28" i="28" s="1"/>
  <c r="V6" i="28"/>
  <c r="R6" i="28"/>
  <c r="Q7" i="28"/>
  <c r="K6" i="28"/>
  <c r="T6" i="28"/>
  <c r="K7" i="28"/>
  <c r="O6" i="28"/>
  <c r="Q6" i="28"/>
  <c r="U7" i="28"/>
  <c r="L7" i="28"/>
  <c r="V7" i="28"/>
  <c r="L6" i="28"/>
  <c r="P6" i="28"/>
  <c r="S6" i="28"/>
  <c r="S7" i="28"/>
  <c r="T7" i="28"/>
  <c r="W6" i="28"/>
  <c r="H7" i="28"/>
  <c r="J6" i="28"/>
  <c r="J19" i="28" s="1"/>
  <c r="J20" i="28" s="1"/>
  <c r="J21" i="28" s="1"/>
  <c r="J22" i="28" s="1"/>
  <c r="J23" i="28" s="1"/>
  <c r="J24" i="28" s="1"/>
  <c r="J25" i="28" s="1"/>
  <c r="J26" i="28" s="1"/>
  <c r="J27" i="28" s="1"/>
  <c r="J28" i="28" s="1"/>
  <c r="M6" i="28"/>
  <c r="I7" i="28"/>
  <c r="I29" i="28" s="1"/>
  <c r="M7" i="28"/>
  <c r="N7" i="28"/>
  <c r="P7" i="28"/>
  <c r="U6" i="28"/>
  <c r="O7" i="28"/>
  <c r="J7" i="28"/>
  <c r="J29" i="28" s="1"/>
  <c r="N6" i="28"/>
  <c r="C34" i="28"/>
  <c r="W7" i="28"/>
  <c r="R7" i="28"/>
  <c r="AQ108" i="24"/>
  <c r="AV108" i="24" s="1"/>
  <c r="S108" i="24"/>
  <c r="AI108" i="24" s="1"/>
  <c r="S134" i="24"/>
  <c r="AQ134" i="24" s="1"/>
  <c r="AV134" i="24" s="1"/>
  <c r="S99" i="24"/>
  <c r="CE99" i="24" s="1"/>
  <c r="S121" i="24"/>
  <c r="AQ121" i="24" s="1"/>
  <c r="AV121" i="24" s="1"/>
  <c r="AI121" i="24"/>
  <c r="S128" i="24"/>
  <c r="AQ128" i="24" s="1"/>
  <c r="AV128" i="24" s="1"/>
  <c r="C154" i="28"/>
  <c r="C148" i="28"/>
  <c r="C155" i="28"/>
  <c r="C146" i="28"/>
  <c r="S110" i="24"/>
  <c r="AQ110" i="24" s="1"/>
  <c r="AV110" i="24" s="1"/>
  <c r="O44" i="27"/>
  <c r="S109" i="24"/>
  <c r="AQ109" i="24" s="1"/>
  <c r="AV109" i="24" s="1"/>
  <c r="S133" i="24"/>
  <c r="AQ133" i="24" s="1"/>
  <c r="AV133" i="24" s="1"/>
  <c r="C93" i="28"/>
  <c r="C86" i="28"/>
  <c r="C84" i="28"/>
  <c r="C88" i="28"/>
  <c r="C92" i="28"/>
  <c r="S122" i="24"/>
  <c r="AQ122" i="24" s="1"/>
  <c r="AI122" i="24"/>
  <c r="AV122" i="24"/>
  <c r="AQ114" i="24"/>
  <c r="AV114" i="24" s="1"/>
  <c r="S114" i="24"/>
  <c r="AI114" i="24" s="1"/>
  <c r="S127" i="24"/>
  <c r="AQ127" i="24" s="1"/>
  <c r="AV127" i="24" s="1"/>
  <c r="AI110" i="24" l="1"/>
  <c r="AI127" i="24"/>
  <c r="AI128" i="24"/>
  <c r="C150" i="28"/>
  <c r="F148" i="28"/>
  <c r="F147" i="28"/>
  <c r="CC124" i="24"/>
  <c r="S124" i="24" s="1"/>
  <c r="C95" i="28"/>
  <c r="H92" i="28"/>
  <c r="H94" i="28"/>
  <c r="I92" i="28"/>
  <c r="J94" i="28"/>
  <c r="I94" i="28"/>
  <c r="J92" i="28"/>
  <c r="C126" i="28"/>
  <c r="AI134" i="24"/>
  <c r="G95" i="28"/>
  <c r="I95" i="28"/>
  <c r="H95" i="28"/>
  <c r="J95" i="28"/>
  <c r="G94" i="28"/>
  <c r="G69" i="28"/>
  <c r="G81" i="28" s="1"/>
  <c r="G82" i="28" s="1"/>
  <c r="G84" i="28" s="1"/>
  <c r="G85" i="28" s="1"/>
  <c r="G86" i="28" s="1"/>
  <c r="G87" i="28" s="1"/>
  <c r="G88" i="28" s="1"/>
  <c r="G89" i="28" s="1"/>
  <c r="G90" i="28" s="1"/>
  <c r="G91" i="28" s="1"/>
  <c r="G92" i="28"/>
  <c r="O19" i="28"/>
  <c r="O20" i="28"/>
  <c r="O23" i="28"/>
  <c r="O24" i="28"/>
  <c r="O29" i="28"/>
  <c r="O21" i="28"/>
  <c r="O22" i="28"/>
  <c r="O26" i="28"/>
  <c r="O25" i="28"/>
  <c r="O27" i="28"/>
  <c r="O28" i="28"/>
  <c r="H6" i="28"/>
  <c r="H19" i="28" s="1"/>
  <c r="H20" i="28" s="1"/>
  <c r="H21" i="28" s="1"/>
  <c r="H22" i="28" s="1"/>
  <c r="H23" i="28" s="1"/>
  <c r="H24" i="28" s="1"/>
  <c r="H25" i="28" s="1"/>
  <c r="H26" i="28" s="1"/>
  <c r="H27" i="28" s="1"/>
  <c r="H28" i="28" s="1"/>
  <c r="H29" i="28"/>
  <c r="L27" i="28"/>
  <c r="L29" i="28"/>
  <c r="L24" i="28"/>
  <c r="L23" i="28"/>
  <c r="L26" i="28"/>
  <c r="L22" i="28"/>
  <c r="L20" i="28"/>
  <c r="L28" i="28"/>
  <c r="L25" i="28"/>
  <c r="L19" i="28"/>
  <c r="L21" i="28"/>
  <c r="AF53" i="24"/>
  <c r="BB155" i="24"/>
  <c r="Y53" i="24"/>
  <c r="CC139" i="24"/>
  <c r="S139" i="24" s="1"/>
  <c r="W6" i="24"/>
  <c r="AR63" i="24"/>
  <c r="BC101" i="24" s="1"/>
  <c r="BH101" i="24" s="1"/>
  <c r="BB55" i="24"/>
  <c r="S143" i="24"/>
  <c r="BN53" i="24"/>
  <c r="W27" i="28"/>
  <c r="W25" i="28"/>
  <c r="W23" i="28"/>
  <c r="W24" i="28"/>
  <c r="W26" i="28"/>
  <c r="W29" i="28"/>
  <c r="W22" i="28"/>
  <c r="W28" i="28"/>
  <c r="W20" i="28"/>
  <c r="W19" i="28"/>
  <c r="W21" i="28"/>
  <c r="M24" i="28"/>
  <c r="M25" i="28"/>
  <c r="M21" i="28"/>
  <c r="M27" i="28"/>
  <c r="M20" i="28"/>
  <c r="M26" i="28"/>
  <c r="M19" i="28"/>
  <c r="M29" i="28"/>
  <c r="M23" i="28"/>
  <c r="M28" i="28"/>
  <c r="M22" i="28"/>
  <c r="K29" i="28"/>
  <c r="K22" i="28"/>
  <c r="K24" i="28"/>
  <c r="K25" i="28"/>
  <c r="K20" i="28"/>
  <c r="K23" i="28"/>
  <c r="K19" i="28"/>
  <c r="K27" i="28"/>
  <c r="K26" i="28"/>
  <c r="K28" i="28"/>
  <c r="K21" i="28"/>
  <c r="CE141" i="24"/>
  <c r="AI141" i="24"/>
  <c r="F55" i="28"/>
  <c r="C64" i="28"/>
  <c r="AI109" i="24"/>
  <c r="I31" i="28"/>
  <c r="I33" i="28" s="1"/>
  <c r="J31" i="28"/>
  <c r="J33" i="28" s="1"/>
  <c r="AI99" i="24"/>
  <c r="V28" i="28"/>
  <c r="V29" i="28"/>
  <c r="V25" i="28"/>
  <c r="V23" i="28"/>
  <c r="V21" i="28"/>
  <c r="V20" i="28"/>
  <c r="V22" i="28"/>
  <c r="V27" i="28"/>
  <c r="V19" i="28"/>
  <c r="V24" i="28"/>
  <c r="V26" i="28"/>
  <c r="Q24" i="28"/>
  <c r="Q21" i="28"/>
  <c r="Q27" i="28"/>
  <c r="Q19" i="28"/>
  <c r="Q20" i="28"/>
  <c r="Q26" i="28"/>
  <c r="Q22" i="28"/>
  <c r="Q29" i="28"/>
  <c r="Q23" i="28"/>
  <c r="Q25" i="28"/>
  <c r="Q28" i="28"/>
  <c r="AI116" i="24"/>
  <c r="V64" i="28"/>
  <c r="K64" i="28"/>
  <c r="N64" i="28"/>
  <c r="L64" i="28"/>
  <c r="W64" i="28"/>
  <c r="S64" i="28"/>
  <c r="U64" i="28"/>
  <c r="O64" i="28"/>
  <c r="P64" i="28"/>
  <c r="M64" i="28"/>
  <c r="H64" i="28"/>
  <c r="G64" i="28"/>
  <c r="G39" i="28"/>
  <c r="G51" i="28" s="1"/>
  <c r="G52" i="28" s="1"/>
  <c r="G53" i="28" s="1"/>
  <c r="G54" i="28" s="1"/>
  <c r="G55" i="28" s="1"/>
  <c r="G56" i="28" s="1"/>
  <c r="G57" i="28" s="1"/>
  <c r="G58" i="28" s="1"/>
  <c r="G59" i="28" s="1"/>
  <c r="G60" i="28" s="1"/>
  <c r="G65" i="28" s="1"/>
  <c r="I64" i="28"/>
  <c r="Q64" i="28"/>
  <c r="J64" i="28"/>
  <c r="T64" i="28"/>
  <c r="R64" i="28"/>
  <c r="G61" i="28"/>
  <c r="CC137" i="24"/>
  <c r="S137" i="24" s="1"/>
  <c r="E30" i="27"/>
  <c r="E34" i="27" s="1"/>
  <c r="P44" i="27" s="1"/>
  <c r="E44" i="27" s="1"/>
  <c r="E49" i="27" s="1"/>
  <c r="F150" i="28"/>
  <c r="C157" i="28"/>
  <c r="U21" i="28"/>
  <c r="U24" i="28"/>
  <c r="U29" i="28"/>
  <c r="U26" i="28"/>
  <c r="U19" i="28"/>
  <c r="U28" i="28"/>
  <c r="U20" i="28"/>
  <c r="U27" i="28"/>
  <c r="U23" i="28"/>
  <c r="U22" i="28"/>
  <c r="U25" i="28"/>
  <c r="AI115" i="24"/>
  <c r="F57" i="28"/>
  <c r="BC115" i="24"/>
  <c r="BH115" i="24" s="1"/>
  <c r="T59" i="24"/>
  <c r="L59" i="24" s="1"/>
  <c r="BC116" i="24"/>
  <c r="BH116" i="24" s="1"/>
  <c r="CC106" i="24"/>
  <c r="S106" i="24" s="1"/>
  <c r="P28" i="28"/>
  <c r="P21" i="28"/>
  <c r="P27" i="28"/>
  <c r="P23" i="28"/>
  <c r="P20" i="28"/>
  <c r="P22" i="28"/>
  <c r="P25" i="28"/>
  <c r="P26" i="28"/>
  <c r="P19" i="28"/>
  <c r="P24" i="28"/>
  <c r="P29" i="28"/>
  <c r="T19" i="28"/>
  <c r="T20" i="28"/>
  <c r="T27" i="28"/>
  <c r="T26" i="28"/>
  <c r="T21" i="28"/>
  <c r="T29" i="28"/>
  <c r="T24" i="28"/>
  <c r="T23" i="28"/>
  <c r="T25" i="28"/>
  <c r="T22" i="28"/>
  <c r="T28" i="28"/>
  <c r="G101" i="28"/>
  <c r="G113" i="28" s="1"/>
  <c r="G114" i="28" s="1"/>
  <c r="G115" i="28" s="1"/>
  <c r="G116" i="28" s="1"/>
  <c r="G117" i="28" s="1"/>
  <c r="G118" i="28" s="1"/>
  <c r="G119" i="28" s="1"/>
  <c r="G120" i="28" s="1"/>
  <c r="G121" i="28" s="1"/>
  <c r="G122" i="28" s="1"/>
  <c r="G125" i="28" s="1"/>
  <c r="CE124" i="24"/>
  <c r="AI124" i="24"/>
  <c r="S129" i="24" s="1"/>
  <c r="I32" i="28"/>
  <c r="AI133" i="24"/>
  <c r="G132" i="28"/>
  <c r="G144" i="28" s="1"/>
  <c r="G145" i="28" s="1"/>
  <c r="G146" i="28" s="1"/>
  <c r="G147" i="28" s="1"/>
  <c r="G148" i="28" s="1"/>
  <c r="G149" i="28" s="1"/>
  <c r="G150" i="28" s="1"/>
  <c r="G151" i="28" s="1"/>
  <c r="G152" i="28" s="1"/>
  <c r="G153" i="28" s="1"/>
  <c r="G156" i="28" s="1"/>
  <c r="G154" i="28"/>
  <c r="R21" i="28"/>
  <c r="R19" i="28"/>
  <c r="R27" i="28"/>
  <c r="R25" i="28"/>
  <c r="R28" i="28"/>
  <c r="R23" i="28"/>
  <c r="R26" i="28"/>
  <c r="R20" i="28"/>
  <c r="R22" i="28"/>
  <c r="R24" i="28"/>
  <c r="R29" i="28"/>
  <c r="N29" i="28"/>
  <c r="N26" i="28"/>
  <c r="N19" i="28"/>
  <c r="N20" i="28"/>
  <c r="N28" i="28"/>
  <c r="N22" i="28"/>
  <c r="N23" i="28"/>
  <c r="N25" i="28"/>
  <c r="N24" i="28"/>
  <c r="N27" i="28"/>
  <c r="N21" i="28"/>
  <c r="S19" i="28"/>
  <c r="S25" i="28"/>
  <c r="S20" i="28"/>
  <c r="S22" i="28"/>
  <c r="S21" i="28"/>
  <c r="S27" i="28"/>
  <c r="S23" i="28"/>
  <c r="S26" i="28"/>
  <c r="S29" i="28"/>
  <c r="S28" i="28"/>
  <c r="S24" i="28"/>
  <c r="CE112" i="24"/>
  <c r="AI112" i="24"/>
  <c r="C119" i="28"/>
  <c r="CC130" i="24"/>
  <c r="S130" i="24" s="1"/>
  <c r="G157" i="28" l="1"/>
  <c r="S117" i="24"/>
  <c r="G126" i="28"/>
  <c r="G162" i="28" s="1"/>
  <c r="G123" i="28"/>
  <c r="V101" i="28"/>
  <c r="K101" i="28"/>
  <c r="I101" i="28"/>
  <c r="I123" i="28" s="1"/>
  <c r="C127" i="28"/>
  <c r="K100" i="28" s="1"/>
  <c r="U101" i="28"/>
  <c r="R101" i="28"/>
  <c r="P101" i="28"/>
  <c r="Q101" i="28"/>
  <c r="N101" i="28"/>
  <c r="O101" i="28"/>
  <c r="L101" i="28"/>
  <c r="L123" i="28" s="1"/>
  <c r="J101" i="28"/>
  <c r="J123" i="28" s="1"/>
  <c r="M101" i="28"/>
  <c r="T101" i="28"/>
  <c r="S101" i="28"/>
  <c r="H101" i="28"/>
  <c r="W101" i="28"/>
  <c r="CE137" i="24"/>
  <c r="AI137" i="24"/>
  <c r="Q39" i="28"/>
  <c r="V39" i="28"/>
  <c r="W38" i="28"/>
  <c r="R39" i="28"/>
  <c r="U38" i="28"/>
  <c r="C82" i="28"/>
  <c r="S38" i="28"/>
  <c r="P39" i="28"/>
  <c r="K38" i="28"/>
  <c r="K39" i="28"/>
  <c r="O39" i="28"/>
  <c r="S39" i="28"/>
  <c r="L38" i="28"/>
  <c r="M39" i="28"/>
  <c r="P38" i="28"/>
  <c r="T39" i="28"/>
  <c r="H39" i="28"/>
  <c r="O38" i="28"/>
  <c r="J39" i="28"/>
  <c r="J61" i="28" s="1"/>
  <c r="T38" i="28"/>
  <c r="W39" i="28"/>
  <c r="U39" i="28"/>
  <c r="N38" i="28"/>
  <c r="I38" i="28"/>
  <c r="I51" i="28" s="1"/>
  <c r="I52" i="28" s="1"/>
  <c r="I53" i="28" s="1"/>
  <c r="I54" i="28" s="1"/>
  <c r="I55" i="28" s="1"/>
  <c r="I56" i="28" s="1"/>
  <c r="I57" i="28" s="1"/>
  <c r="I58" i="28" s="1"/>
  <c r="I59" i="28" s="1"/>
  <c r="I60" i="28" s="1"/>
  <c r="I65" i="28" s="1"/>
  <c r="J38" i="28"/>
  <c r="J51" i="28" s="1"/>
  <c r="J52" i="28" s="1"/>
  <c r="J53" i="28" s="1"/>
  <c r="J54" i="28" s="1"/>
  <c r="J55" i="28" s="1"/>
  <c r="J56" i="28" s="1"/>
  <c r="J57" i="28" s="1"/>
  <c r="J58" i="28" s="1"/>
  <c r="J59" i="28" s="1"/>
  <c r="J60" i="28" s="1"/>
  <c r="J65" i="28" s="1"/>
  <c r="L39" i="28"/>
  <c r="R38" i="28"/>
  <c r="Q38" i="28"/>
  <c r="N39" i="28"/>
  <c r="V38" i="28"/>
  <c r="I39" i="28"/>
  <c r="I61" i="28" s="1"/>
  <c r="M38" i="28"/>
  <c r="S32" i="28"/>
  <c r="S31" i="28"/>
  <c r="S33" i="28"/>
  <c r="N31" i="28"/>
  <c r="N32" i="28"/>
  <c r="N33" i="28"/>
  <c r="T32" i="28"/>
  <c r="T33" i="28"/>
  <c r="T31" i="28"/>
  <c r="D51" i="24"/>
  <c r="N63" i="24"/>
  <c r="N61" i="24"/>
  <c r="M32" i="28"/>
  <c r="M31" i="28"/>
  <c r="M33" i="28"/>
  <c r="U32" i="28"/>
  <c r="U31" i="28"/>
  <c r="U33" i="28"/>
  <c r="G163" i="28"/>
  <c r="AF3" i="26"/>
  <c r="Q8" i="24"/>
  <c r="AQ55" i="24"/>
  <c r="BL55" i="24" s="1"/>
  <c r="L33" i="28"/>
  <c r="L32" i="28"/>
  <c r="L31" i="28"/>
  <c r="G63" i="28"/>
  <c r="CE139" i="24"/>
  <c r="AI139" i="24"/>
  <c r="H31" i="28"/>
  <c r="H33" i="28" s="1"/>
  <c r="CE130" i="24"/>
  <c r="AI130" i="24"/>
  <c r="S135" i="24" s="1"/>
  <c r="R31" i="28"/>
  <c r="R32" i="28"/>
  <c r="R33" i="28"/>
  <c r="I132" i="28"/>
  <c r="I154" i="28" s="1"/>
  <c r="S131" i="28"/>
  <c r="O131" i="28"/>
  <c r="L131" i="28"/>
  <c r="M132" i="28"/>
  <c r="Q132" i="28"/>
  <c r="P132" i="28"/>
  <c r="W131" i="28"/>
  <c r="V132" i="28"/>
  <c r="U132" i="28"/>
  <c r="K131" i="28"/>
  <c r="N132" i="28"/>
  <c r="Q131" i="28"/>
  <c r="T131" i="28"/>
  <c r="H132" i="28"/>
  <c r="N131" i="28"/>
  <c r="O132" i="28"/>
  <c r="V131" i="28"/>
  <c r="W132" i="28"/>
  <c r="S132" i="28"/>
  <c r="J132" i="28"/>
  <c r="J154" i="28" s="1"/>
  <c r="P131" i="28"/>
  <c r="K132" i="28"/>
  <c r="R132" i="28"/>
  <c r="L132" i="28"/>
  <c r="C158" i="28"/>
  <c r="J131" i="28"/>
  <c r="J144" i="28" s="1"/>
  <c r="J145" i="28" s="1"/>
  <c r="J146" i="28" s="1"/>
  <c r="J147" i="28" s="1"/>
  <c r="J148" i="28" s="1"/>
  <c r="J149" i="28" s="1"/>
  <c r="J150" i="28" s="1"/>
  <c r="J151" i="28" s="1"/>
  <c r="J152" i="28" s="1"/>
  <c r="J153" i="28" s="1"/>
  <c r="U131" i="28"/>
  <c r="M131" i="28"/>
  <c r="I131" i="28"/>
  <c r="I144" i="28" s="1"/>
  <c r="I145" i="28" s="1"/>
  <c r="I146" i="28" s="1"/>
  <c r="I147" i="28" s="1"/>
  <c r="I148" i="28" s="1"/>
  <c r="I149" i="28" s="1"/>
  <c r="I150" i="28" s="1"/>
  <c r="I151" i="28" s="1"/>
  <c r="I152" i="28" s="1"/>
  <c r="I153" i="28" s="1"/>
  <c r="R131" i="28"/>
  <c r="T132" i="28"/>
  <c r="V31" i="28"/>
  <c r="V33" i="28"/>
  <c r="V32" i="28"/>
  <c r="BL63" i="24"/>
  <c r="BC110" i="24" s="1"/>
  <c r="BH110" i="24" s="1"/>
  <c r="BL61" i="24"/>
  <c r="BC113" i="24" s="1"/>
  <c r="BH113" i="24" s="1"/>
  <c r="BH63" i="24"/>
  <c r="BC109" i="24" s="1"/>
  <c r="BH109" i="24" s="1"/>
  <c r="N53" i="24"/>
  <c r="BP61" i="24"/>
  <c r="BC114" i="24" s="1"/>
  <c r="BH114" i="24" s="1"/>
  <c r="AH53" i="24"/>
  <c r="BD63" i="24"/>
  <c r="BC108" i="24" s="1"/>
  <c r="BH108" i="24" s="1"/>
  <c r="BH61" i="24"/>
  <c r="BC112" i="24" s="1"/>
  <c r="BH112" i="24" s="1"/>
  <c r="AV63" i="24"/>
  <c r="BC103" i="24" s="1"/>
  <c r="BH103" i="24" s="1"/>
  <c r="BF53" i="24"/>
  <c r="K20" i="25"/>
  <c r="BY19" i="25" s="1"/>
  <c r="M152" i="24"/>
  <c r="O31" i="28"/>
  <c r="O32" i="28"/>
  <c r="O33" i="28"/>
  <c r="J32" i="28"/>
  <c r="M155" i="24"/>
  <c r="CE149" i="24" s="1"/>
  <c r="AF155" i="24"/>
  <c r="P31" i="28"/>
  <c r="P33" i="28"/>
  <c r="P32" i="28"/>
  <c r="K32" i="28"/>
  <c r="K33" i="28"/>
  <c r="K31" i="28"/>
  <c r="W33" i="28"/>
  <c r="W31" i="28"/>
  <c r="W32" i="28"/>
  <c r="CE106" i="24"/>
  <c r="AI106" i="24"/>
  <c r="S111" i="24" s="1"/>
  <c r="E50" i="27"/>
  <c r="E56" i="27"/>
  <c r="O51" i="27"/>
  <c r="Q33" i="28"/>
  <c r="Q31" i="28"/>
  <c r="Q32" i="28"/>
  <c r="CE143" i="24"/>
  <c r="AI143" i="24"/>
  <c r="M68" i="28"/>
  <c r="I68" i="28"/>
  <c r="I81" i="28" s="1"/>
  <c r="I82" i="28" s="1"/>
  <c r="I84" i="28" s="1"/>
  <c r="I85" i="28" s="1"/>
  <c r="I86" i="28" s="1"/>
  <c r="I87" i="28" s="1"/>
  <c r="I88" i="28" s="1"/>
  <c r="I89" i="28" s="1"/>
  <c r="I90" i="28" s="1"/>
  <c r="I91" i="28" s="1"/>
  <c r="P69" i="28"/>
  <c r="S69" i="28"/>
  <c r="T68" i="28"/>
  <c r="J69" i="28"/>
  <c r="U68" i="28"/>
  <c r="S68" i="28"/>
  <c r="N68" i="28"/>
  <c r="Q68" i="28"/>
  <c r="W69" i="28"/>
  <c r="L68" i="28"/>
  <c r="V69" i="28"/>
  <c r="L69" i="28"/>
  <c r="M69" i="28"/>
  <c r="H69" i="28"/>
  <c r="H68" i="28" s="1"/>
  <c r="H81" i="28" s="1"/>
  <c r="H82" i="28" s="1"/>
  <c r="H84" i="28" s="1"/>
  <c r="H85" i="28" s="1"/>
  <c r="H86" i="28" s="1"/>
  <c r="H87" i="28" s="1"/>
  <c r="H88" i="28" s="1"/>
  <c r="H89" i="28" s="1"/>
  <c r="H90" i="28" s="1"/>
  <c r="H91" i="28" s="1"/>
  <c r="U69" i="28"/>
  <c r="O68" i="28"/>
  <c r="W68" i="28"/>
  <c r="C96" i="28"/>
  <c r="T69" i="28"/>
  <c r="J68" i="28"/>
  <c r="J81" i="28" s="1"/>
  <c r="J82" i="28" s="1"/>
  <c r="J84" i="28" s="1"/>
  <c r="J85" i="28" s="1"/>
  <c r="J86" i="28" s="1"/>
  <c r="J87" i="28" s="1"/>
  <c r="J88" i="28" s="1"/>
  <c r="J89" i="28" s="1"/>
  <c r="J90" i="28" s="1"/>
  <c r="J91" i="28" s="1"/>
  <c r="R69" i="28"/>
  <c r="P68" i="28"/>
  <c r="I69" i="28"/>
  <c r="O69" i="28"/>
  <c r="K69" i="28"/>
  <c r="N69" i="28"/>
  <c r="K68" i="28"/>
  <c r="Q69" i="28"/>
  <c r="R68" i="28"/>
  <c r="V68" i="28"/>
  <c r="R100" i="28" l="1"/>
  <c r="W100" i="28"/>
  <c r="M100" i="28"/>
  <c r="P100" i="28"/>
  <c r="I100" i="28"/>
  <c r="I113" i="28" s="1"/>
  <c r="I114" i="28" s="1"/>
  <c r="I115" i="28" s="1"/>
  <c r="I116" i="28" s="1"/>
  <c r="I117" i="28" s="1"/>
  <c r="I118" i="28" s="1"/>
  <c r="I119" i="28" s="1"/>
  <c r="I120" i="28" s="1"/>
  <c r="I121" i="28" s="1"/>
  <c r="I122" i="28" s="1"/>
  <c r="I125" i="28" s="1"/>
  <c r="I126" i="28" s="1"/>
  <c r="Q100" i="28"/>
  <c r="S100" i="28"/>
  <c r="L100" i="28"/>
  <c r="L113" i="28" s="1"/>
  <c r="L114" i="28" s="1"/>
  <c r="L115" i="28" s="1"/>
  <c r="L116" i="28" s="1"/>
  <c r="L117" i="28" s="1"/>
  <c r="L118" i="28" s="1"/>
  <c r="L119" i="28" s="1"/>
  <c r="L120" i="28" s="1"/>
  <c r="L121" i="28" s="1"/>
  <c r="L122" i="28" s="1"/>
  <c r="L125" i="28" s="1"/>
  <c r="L126" i="28" s="1"/>
  <c r="T100" i="28"/>
  <c r="U100" i="28"/>
  <c r="J100" i="28"/>
  <c r="J113" i="28" s="1"/>
  <c r="J114" i="28" s="1"/>
  <c r="J115" i="28" s="1"/>
  <c r="J116" i="28" s="1"/>
  <c r="J117" i="28" s="1"/>
  <c r="J118" i="28" s="1"/>
  <c r="J119" i="28" s="1"/>
  <c r="J120" i="28" s="1"/>
  <c r="J121" i="28" s="1"/>
  <c r="J122" i="28" s="1"/>
  <c r="J125" i="28" s="1"/>
  <c r="J126" i="28" s="1"/>
  <c r="O100" i="28"/>
  <c r="N100" i="28"/>
  <c r="V100" i="28"/>
  <c r="G161" i="28"/>
  <c r="CC98" i="24"/>
  <c r="S98" i="24" s="1"/>
  <c r="CE98" i="24" s="1"/>
  <c r="AI147" i="24" s="1"/>
  <c r="H32" i="28"/>
  <c r="R52" i="28"/>
  <c r="R55" i="28"/>
  <c r="R58" i="28"/>
  <c r="R51" i="28"/>
  <c r="R53" i="28"/>
  <c r="R56" i="28"/>
  <c r="R61" i="28"/>
  <c r="R57" i="28"/>
  <c r="R60" i="28"/>
  <c r="R59" i="28"/>
  <c r="R54" i="28"/>
  <c r="K90" i="28"/>
  <c r="K91" i="28"/>
  <c r="K86" i="28"/>
  <c r="K87" i="28"/>
  <c r="K85" i="28"/>
  <c r="K81" i="28"/>
  <c r="K84" i="28"/>
  <c r="K82" i="28"/>
  <c r="K89" i="28"/>
  <c r="K92" i="28"/>
  <c r="K88" i="28"/>
  <c r="W84" i="28"/>
  <c r="W88" i="28"/>
  <c r="W82" i="28"/>
  <c r="W91" i="28"/>
  <c r="W89" i="28"/>
  <c r="W87" i="28"/>
  <c r="W90" i="28"/>
  <c r="W81" i="28"/>
  <c r="W85" i="28"/>
  <c r="W92" i="28"/>
  <c r="W86" i="28"/>
  <c r="P92" i="28"/>
  <c r="P84" i="28"/>
  <c r="P89" i="28"/>
  <c r="P85" i="28"/>
  <c r="P86" i="28"/>
  <c r="P90" i="28"/>
  <c r="P88" i="28"/>
  <c r="P81" i="28"/>
  <c r="P82" i="28"/>
  <c r="P87" i="28"/>
  <c r="P91" i="28"/>
  <c r="O52" i="27"/>
  <c r="O53" i="27" s="1"/>
  <c r="D51" i="27" s="1"/>
  <c r="W146" i="28"/>
  <c r="W147" i="28"/>
  <c r="W145" i="28"/>
  <c r="W154" i="28"/>
  <c r="W148" i="28"/>
  <c r="W153" i="28"/>
  <c r="W151" i="28"/>
  <c r="W149" i="28"/>
  <c r="W144" i="28"/>
  <c r="W152" i="28"/>
  <c r="W150" i="28"/>
  <c r="O59" i="28"/>
  <c r="O56" i="28"/>
  <c r="O55" i="28"/>
  <c r="O61" i="28"/>
  <c r="O58" i="28"/>
  <c r="O54" i="28"/>
  <c r="O52" i="28"/>
  <c r="O57" i="28"/>
  <c r="O60" i="28"/>
  <c r="O53" i="28"/>
  <c r="O51" i="28"/>
  <c r="M115" i="28"/>
  <c r="M123" i="28"/>
  <c r="M116" i="28"/>
  <c r="M119" i="28"/>
  <c r="M118" i="28"/>
  <c r="M113" i="28"/>
  <c r="M122" i="28"/>
  <c r="M121" i="28"/>
  <c r="M117" i="28"/>
  <c r="M114" i="28"/>
  <c r="M120" i="28"/>
  <c r="U115" i="28"/>
  <c r="U119" i="28"/>
  <c r="U121" i="28"/>
  <c r="U116" i="28"/>
  <c r="U120" i="28"/>
  <c r="U117" i="28"/>
  <c r="U123" i="28"/>
  <c r="U122" i="28"/>
  <c r="U114" i="28"/>
  <c r="U118" i="28"/>
  <c r="U113" i="28"/>
  <c r="N148" i="28"/>
  <c r="N152" i="28"/>
  <c r="N150" i="28"/>
  <c r="N145" i="28"/>
  <c r="N151" i="28"/>
  <c r="N144" i="28"/>
  <c r="N146" i="28"/>
  <c r="N147" i="28"/>
  <c r="N149" i="28"/>
  <c r="N153" i="28"/>
  <c r="N154" i="28"/>
  <c r="O85" i="28"/>
  <c r="O88" i="28"/>
  <c r="O84" i="28"/>
  <c r="O90" i="28"/>
  <c r="O89" i="28"/>
  <c r="O86" i="28"/>
  <c r="O92" i="28"/>
  <c r="O91" i="28"/>
  <c r="O81" i="28"/>
  <c r="O87" i="28"/>
  <c r="O82" i="28"/>
  <c r="I156" i="28"/>
  <c r="I157" i="28" s="1"/>
  <c r="J156" i="28"/>
  <c r="J157" i="28" s="1"/>
  <c r="U144" i="28"/>
  <c r="U150" i="28"/>
  <c r="U152" i="28"/>
  <c r="U146" i="28"/>
  <c r="U153" i="28"/>
  <c r="U149" i="28"/>
  <c r="U151" i="28"/>
  <c r="U148" i="28"/>
  <c r="U147" i="28"/>
  <c r="U145" i="28"/>
  <c r="U154" i="28"/>
  <c r="BI51" i="24"/>
  <c r="CE51" i="24" s="1"/>
  <c r="CG51" i="24" s="1"/>
  <c r="CF51" i="24" s="1"/>
  <c r="N51" i="24"/>
  <c r="BC51" i="24" s="1"/>
  <c r="L61" i="28"/>
  <c r="L58" i="28"/>
  <c r="L52" i="28"/>
  <c r="L51" i="28"/>
  <c r="L57" i="28"/>
  <c r="L54" i="28"/>
  <c r="L60" i="28"/>
  <c r="L59" i="28"/>
  <c r="L53" i="28"/>
  <c r="L55" i="28"/>
  <c r="L56" i="28"/>
  <c r="K53" i="28"/>
  <c r="K59" i="28"/>
  <c r="K52" i="28"/>
  <c r="K56" i="28"/>
  <c r="K58" i="28"/>
  <c r="K57" i="28"/>
  <c r="K54" i="28"/>
  <c r="K60" i="28"/>
  <c r="K51" i="28"/>
  <c r="K55" i="28"/>
  <c r="K61" i="28"/>
  <c r="V55" i="28"/>
  <c r="V61" i="28"/>
  <c r="V60" i="28"/>
  <c r="V54" i="28"/>
  <c r="V51" i="28"/>
  <c r="V58" i="28"/>
  <c r="V59" i="28"/>
  <c r="V56" i="28"/>
  <c r="V57" i="28"/>
  <c r="V52" i="28"/>
  <c r="V53" i="28"/>
  <c r="S92" i="28"/>
  <c r="S84" i="28"/>
  <c r="S81" i="28"/>
  <c r="S85" i="28"/>
  <c r="S88" i="28"/>
  <c r="S89" i="28"/>
  <c r="S86" i="28"/>
  <c r="S91" i="28"/>
  <c r="S90" i="28"/>
  <c r="S87" i="28"/>
  <c r="S82" i="28"/>
  <c r="U92" i="28"/>
  <c r="U86" i="28"/>
  <c r="U85" i="28"/>
  <c r="U90" i="28"/>
  <c r="U89" i="28"/>
  <c r="U82" i="28"/>
  <c r="U84" i="28"/>
  <c r="U87" i="28"/>
  <c r="U88" i="28"/>
  <c r="U91" i="28"/>
  <c r="U81" i="28"/>
  <c r="L145" i="28"/>
  <c r="L144" i="28"/>
  <c r="L148" i="28"/>
  <c r="L152" i="28"/>
  <c r="L153" i="28"/>
  <c r="L146" i="28"/>
  <c r="L147" i="28"/>
  <c r="L154" i="28"/>
  <c r="L149" i="28"/>
  <c r="L151" i="28"/>
  <c r="L150" i="28"/>
  <c r="O154" i="28"/>
  <c r="O151" i="28"/>
  <c r="O148" i="28"/>
  <c r="O144" i="28"/>
  <c r="O147" i="28"/>
  <c r="O153" i="28"/>
  <c r="O145" i="28"/>
  <c r="O152" i="28"/>
  <c r="O146" i="28"/>
  <c r="O150" i="28"/>
  <c r="O149" i="28"/>
  <c r="V151" i="28"/>
  <c r="V147" i="28"/>
  <c r="V144" i="28"/>
  <c r="V149" i="28"/>
  <c r="V146" i="28"/>
  <c r="V152" i="28"/>
  <c r="V154" i="28"/>
  <c r="V148" i="28"/>
  <c r="V153" i="28"/>
  <c r="V150" i="28"/>
  <c r="V145" i="28"/>
  <c r="H38" i="28"/>
  <c r="H51" i="28" s="1"/>
  <c r="H52" i="28" s="1"/>
  <c r="H53" i="28" s="1"/>
  <c r="H54" i="28" s="1"/>
  <c r="H55" i="28" s="1"/>
  <c r="H56" i="28" s="1"/>
  <c r="H57" i="28" s="1"/>
  <c r="H58" i="28" s="1"/>
  <c r="H59" i="28" s="1"/>
  <c r="H60" i="28" s="1"/>
  <c r="H61" i="28"/>
  <c r="Q53" i="28"/>
  <c r="Q54" i="28"/>
  <c r="Q58" i="28"/>
  <c r="Q56" i="28"/>
  <c r="Q60" i="28"/>
  <c r="Q57" i="28"/>
  <c r="Q59" i="28"/>
  <c r="Q55" i="28"/>
  <c r="Q52" i="28"/>
  <c r="Q51" i="28"/>
  <c r="Q61" i="28"/>
  <c r="N84" i="28"/>
  <c r="N88" i="28"/>
  <c r="N82" i="28"/>
  <c r="N87" i="28"/>
  <c r="N81" i="28"/>
  <c r="N86" i="28"/>
  <c r="N85" i="28"/>
  <c r="N92" i="28"/>
  <c r="N91" i="28"/>
  <c r="N89" i="28"/>
  <c r="N90" i="28"/>
  <c r="S149" i="28"/>
  <c r="S154" i="28"/>
  <c r="S146" i="28"/>
  <c r="S150" i="28"/>
  <c r="S148" i="28"/>
  <c r="S145" i="28"/>
  <c r="S144" i="28"/>
  <c r="S147" i="28"/>
  <c r="S152" i="28"/>
  <c r="S151" i="28"/>
  <c r="S153" i="28"/>
  <c r="S56" i="28"/>
  <c r="S57" i="28"/>
  <c r="S53" i="28"/>
  <c r="S51" i="28"/>
  <c r="S59" i="28"/>
  <c r="S60" i="28"/>
  <c r="S61" i="28"/>
  <c r="S58" i="28"/>
  <c r="S55" i="28"/>
  <c r="S52" i="28"/>
  <c r="S54" i="28"/>
  <c r="T122" i="28"/>
  <c r="T119" i="28"/>
  <c r="T123" i="28"/>
  <c r="T120" i="28"/>
  <c r="T116" i="28"/>
  <c r="T115" i="28"/>
  <c r="T121" i="28"/>
  <c r="T117" i="28"/>
  <c r="T118" i="28"/>
  <c r="T113" i="28"/>
  <c r="T114" i="28"/>
  <c r="R118" i="28"/>
  <c r="R115" i="28"/>
  <c r="R119" i="28"/>
  <c r="R113" i="28"/>
  <c r="R123" i="28"/>
  <c r="R116" i="28"/>
  <c r="R122" i="28"/>
  <c r="R114" i="28"/>
  <c r="R120" i="28"/>
  <c r="R117" i="28"/>
  <c r="R121" i="28"/>
  <c r="T145" i="28"/>
  <c r="T146" i="28"/>
  <c r="T148" i="28"/>
  <c r="T154" i="28"/>
  <c r="T153" i="28"/>
  <c r="T147" i="28"/>
  <c r="T149" i="28"/>
  <c r="T151" i="28"/>
  <c r="T152" i="28"/>
  <c r="T144" i="28"/>
  <c r="T150" i="28"/>
  <c r="R149" i="28"/>
  <c r="R147" i="28"/>
  <c r="R145" i="28"/>
  <c r="R151" i="28"/>
  <c r="R148" i="28"/>
  <c r="R150" i="28"/>
  <c r="R154" i="28"/>
  <c r="R152" i="28"/>
  <c r="R144" i="28"/>
  <c r="R153" i="28"/>
  <c r="R146" i="28"/>
  <c r="T52" i="28"/>
  <c r="T54" i="28"/>
  <c r="T55" i="28"/>
  <c r="T51" i="28"/>
  <c r="T60" i="28"/>
  <c r="T59" i="28"/>
  <c r="T53" i="28"/>
  <c r="T56" i="28"/>
  <c r="T57" i="28"/>
  <c r="T58" i="28"/>
  <c r="T61" i="28"/>
  <c r="P58" i="28"/>
  <c r="P56" i="28"/>
  <c r="P52" i="28"/>
  <c r="P53" i="28"/>
  <c r="P55" i="28"/>
  <c r="P61" i="28"/>
  <c r="P51" i="28"/>
  <c r="P54" i="28"/>
  <c r="P60" i="28"/>
  <c r="P59" i="28"/>
  <c r="P57" i="28"/>
  <c r="O123" i="28"/>
  <c r="O120" i="28"/>
  <c r="O113" i="28"/>
  <c r="O116" i="28"/>
  <c r="O115" i="28"/>
  <c r="O122" i="28"/>
  <c r="O118" i="28"/>
  <c r="O114" i="28"/>
  <c r="O117" i="28"/>
  <c r="O119" i="28"/>
  <c r="O121" i="28"/>
  <c r="K113" i="28"/>
  <c r="K114" i="28" s="1"/>
  <c r="K115" i="28" s="1"/>
  <c r="K116" i="28" s="1"/>
  <c r="K117" i="28" s="1"/>
  <c r="K118" i="28" s="1"/>
  <c r="K119" i="28" s="1"/>
  <c r="K120" i="28" s="1"/>
  <c r="K121" i="28" s="1"/>
  <c r="K122" i="28" s="1"/>
  <c r="K125" i="28" s="1"/>
  <c r="K126" i="28" s="1"/>
  <c r="K123" i="28"/>
  <c r="R81" i="28"/>
  <c r="R92" i="28"/>
  <c r="R82" i="28"/>
  <c r="R87" i="28"/>
  <c r="R90" i="28"/>
  <c r="R84" i="28"/>
  <c r="R91" i="28"/>
  <c r="R88" i="28"/>
  <c r="R85" i="28"/>
  <c r="R89" i="28"/>
  <c r="R86" i="28"/>
  <c r="M85" i="28"/>
  <c r="M92" i="28"/>
  <c r="M88" i="28"/>
  <c r="M90" i="28"/>
  <c r="M89" i="28"/>
  <c r="M91" i="28"/>
  <c r="M82" i="28"/>
  <c r="M84" i="28"/>
  <c r="M86" i="28"/>
  <c r="M87" i="28"/>
  <c r="M81" i="28"/>
  <c r="M160" i="24"/>
  <c r="BM7" i="4" s="1"/>
  <c r="K151" i="28"/>
  <c r="K150" i="28"/>
  <c r="K147" i="28"/>
  <c r="K153" i="28"/>
  <c r="K152" i="28"/>
  <c r="K145" i="28"/>
  <c r="K154" i="28"/>
  <c r="K146" i="28"/>
  <c r="K144" i="28"/>
  <c r="K149" i="28"/>
  <c r="K148" i="28"/>
  <c r="H131" i="28"/>
  <c r="H144" i="28" s="1"/>
  <c r="H145" i="28" s="1"/>
  <c r="H146" i="28" s="1"/>
  <c r="H147" i="28" s="1"/>
  <c r="H148" i="28" s="1"/>
  <c r="H149" i="28" s="1"/>
  <c r="H150" i="28" s="1"/>
  <c r="H151" i="28" s="1"/>
  <c r="H152" i="28" s="1"/>
  <c r="H153" i="28" s="1"/>
  <c r="H156" i="28" s="1"/>
  <c r="H157" i="28" s="1"/>
  <c r="H154" i="28"/>
  <c r="P151" i="28"/>
  <c r="P153" i="28"/>
  <c r="P146" i="28"/>
  <c r="P144" i="28"/>
  <c r="P154" i="28"/>
  <c r="P145" i="28"/>
  <c r="P152" i="28"/>
  <c r="P150" i="28"/>
  <c r="P148" i="28"/>
  <c r="P149" i="28"/>
  <c r="P147" i="28"/>
  <c r="W122" i="28"/>
  <c r="W121" i="28"/>
  <c r="W114" i="28"/>
  <c r="W115" i="28"/>
  <c r="W123" i="28"/>
  <c r="W117" i="28"/>
  <c r="W119" i="28"/>
  <c r="W116" i="28"/>
  <c r="W120" i="28"/>
  <c r="W118" i="28"/>
  <c r="W113" i="28"/>
  <c r="N123" i="28"/>
  <c r="N114" i="28"/>
  <c r="N119" i="28"/>
  <c r="N122" i="28"/>
  <c r="N115" i="28"/>
  <c r="N113" i="28"/>
  <c r="N120" i="28"/>
  <c r="N117" i="28"/>
  <c r="N118" i="28"/>
  <c r="N121" i="28"/>
  <c r="N116" i="28"/>
  <c r="V118" i="28"/>
  <c r="V115" i="28"/>
  <c r="V123" i="28"/>
  <c r="V120" i="28"/>
  <c r="V119" i="28"/>
  <c r="V121" i="28"/>
  <c r="V122" i="28"/>
  <c r="V113" i="28"/>
  <c r="V114" i="28"/>
  <c r="V117" i="28"/>
  <c r="V116" i="28"/>
  <c r="Q86" i="28"/>
  <c r="Q82" i="28"/>
  <c r="Q81" i="28"/>
  <c r="Q87" i="28"/>
  <c r="Q92" i="28"/>
  <c r="Q88" i="28"/>
  <c r="Q85" i="28"/>
  <c r="Q89" i="28"/>
  <c r="Q91" i="28"/>
  <c r="Q84" i="28"/>
  <c r="Q90" i="28"/>
  <c r="L87" i="28"/>
  <c r="L81" i="28"/>
  <c r="L89" i="28"/>
  <c r="L85" i="28"/>
  <c r="L84" i="28"/>
  <c r="L86" i="28"/>
  <c r="L92" i="28"/>
  <c r="L90" i="28"/>
  <c r="L82" i="28"/>
  <c r="L88" i="28"/>
  <c r="L91" i="28"/>
  <c r="CC23" i="25"/>
  <c r="CC22" i="25"/>
  <c r="CC21" i="25"/>
  <c r="CC29" i="25"/>
  <c r="CC24" i="25"/>
  <c r="CC19" i="25"/>
  <c r="CC28" i="25"/>
  <c r="CC27" i="25"/>
  <c r="CC25" i="25"/>
  <c r="CC26" i="25"/>
  <c r="CC20" i="25"/>
  <c r="CC31" i="25"/>
  <c r="CC30" i="25"/>
  <c r="CC33" i="25"/>
  <c r="CC56" i="25"/>
  <c r="CC52" i="25"/>
  <c r="CC58" i="25"/>
  <c r="CC54" i="25"/>
  <c r="CC59" i="25"/>
  <c r="CC47" i="25"/>
  <c r="CC37" i="25"/>
  <c r="CC39" i="25"/>
  <c r="CC35" i="25"/>
  <c r="CC42" i="25"/>
  <c r="CC32" i="25"/>
  <c r="CC60" i="25"/>
  <c r="CC46" i="25"/>
  <c r="CC41" i="25"/>
  <c r="CC55" i="25"/>
  <c r="CC51" i="25"/>
  <c r="CC50" i="25"/>
  <c r="CC40" i="25"/>
  <c r="CC45" i="25"/>
  <c r="CC48" i="25"/>
  <c r="CC34" i="25"/>
  <c r="CC49" i="25"/>
  <c r="CC53" i="25"/>
  <c r="CC38" i="25"/>
  <c r="CC36" i="25"/>
  <c r="CC57" i="25"/>
  <c r="Q153" i="28"/>
  <c r="Q146" i="28"/>
  <c r="Q151" i="28"/>
  <c r="Q148" i="28"/>
  <c r="Q154" i="28"/>
  <c r="Q152" i="28"/>
  <c r="Q150" i="28"/>
  <c r="Q147" i="28"/>
  <c r="Q144" i="28"/>
  <c r="Q149" i="28"/>
  <c r="Q145" i="28"/>
  <c r="I161" i="28"/>
  <c r="U54" i="28"/>
  <c r="U60" i="28"/>
  <c r="U53" i="28"/>
  <c r="U57" i="28"/>
  <c r="U59" i="28"/>
  <c r="U55" i="28"/>
  <c r="U51" i="28"/>
  <c r="U56" i="28"/>
  <c r="U58" i="28"/>
  <c r="U52" i="28"/>
  <c r="U61" i="28"/>
  <c r="M54" i="28"/>
  <c r="M60" i="28"/>
  <c r="M53" i="28"/>
  <c r="M51" i="28"/>
  <c r="M52" i="28"/>
  <c r="M55" i="28"/>
  <c r="M58" i="28"/>
  <c r="M57" i="28"/>
  <c r="M61" i="28"/>
  <c r="M56" i="28"/>
  <c r="M59" i="28"/>
  <c r="J63" i="28"/>
  <c r="I63" i="28"/>
  <c r="I162" i="28"/>
  <c r="H100" i="28"/>
  <c r="H113" i="28" s="1"/>
  <c r="H114" i="28" s="1"/>
  <c r="H115" i="28" s="1"/>
  <c r="H116" i="28" s="1"/>
  <c r="H117" i="28" s="1"/>
  <c r="H118" i="28" s="1"/>
  <c r="H119" i="28" s="1"/>
  <c r="H120" i="28" s="1"/>
  <c r="H121" i="28" s="1"/>
  <c r="H122" i="28" s="1"/>
  <c r="H125" i="28" s="1"/>
  <c r="H126" i="28" s="1"/>
  <c r="H162" i="28" s="1"/>
  <c r="H123" i="28"/>
  <c r="Q113" i="28"/>
  <c r="Q119" i="28"/>
  <c r="Q123" i="28"/>
  <c r="Q115" i="28"/>
  <c r="Q117" i="28"/>
  <c r="Q122" i="28"/>
  <c r="Q120" i="28"/>
  <c r="Q118" i="28"/>
  <c r="Q116" i="28"/>
  <c r="Q121" i="28"/>
  <c r="Q114" i="28"/>
  <c r="J163" i="28"/>
  <c r="T86" i="28"/>
  <c r="T85" i="28"/>
  <c r="T87" i="28"/>
  <c r="T84" i="28"/>
  <c r="T92" i="28"/>
  <c r="T90" i="28"/>
  <c r="T89" i="28"/>
  <c r="T82" i="28"/>
  <c r="T81" i="28"/>
  <c r="T91" i="28"/>
  <c r="T88" i="28"/>
  <c r="V82" i="28"/>
  <c r="V87" i="28"/>
  <c r="V84" i="28"/>
  <c r="V86" i="28"/>
  <c r="V88" i="28"/>
  <c r="V92" i="28"/>
  <c r="V90" i="28"/>
  <c r="V89" i="28"/>
  <c r="V81" i="28"/>
  <c r="V85" i="28"/>
  <c r="V91" i="28"/>
  <c r="M154" i="28"/>
  <c r="M150" i="28"/>
  <c r="M147" i="28"/>
  <c r="M145" i="28"/>
  <c r="M146" i="28"/>
  <c r="M153" i="28"/>
  <c r="M152" i="28"/>
  <c r="M149" i="28"/>
  <c r="M144" i="28"/>
  <c r="M148" i="28"/>
  <c r="M151" i="28"/>
  <c r="N52" i="28"/>
  <c r="N54" i="28"/>
  <c r="N55" i="28"/>
  <c r="N59" i="28"/>
  <c r="N51" i="28"/>
  <c r="N60" i="28"/>
  <c r="N61" i="28"/>
  <c r="N57" i="28"/>
  <c r="N58" i="28"/>
  <c r="N56" i="28"/>
  <c r="N53" i="28"/>
  <c r="W54" i="28"/>
  <c r="W53" i="28"/>
  <c r="W51" i="28"/>
  <c r="W61" i="28"/>
  <c r="W59" i="28"/>
  <c r="W55" i="28"/>
  <c r="W58" i="28"/>
  <c r="W52" i="28"/>
  <c r="W60" i="28"/>
  <c r="W56" i="28"/>
  <c r="W57" i="28"/>
  <c r="S118" i="28"/>
  <c r="S123" i="28"/>
  <c r="S119" i="28"/>
  <c r="S115" i="28"/>
  <c r="S120" i="28"/>
  <c r="S122" i="28"/>
  <c r="S116" i="28"/>
  <c r="S121" i="28"/>
  <c r="S114" i="28"/>
  <c r="S113" i="28"/>
  <c r="S117" i="28"/>
  <c r="P118" i="28"/>
  <c r="P114" i="28"/>
  <c r="P123" i="28"/>
  <c r="P117" i="28"/>
  <c r="P120" i="28"/>
  <c r="P122" i="28"/>
  <c r="P119" i="28"/>
  <c r="P116" i="28"/>
  <c r="P115" i="28"/>
  <c r="P113" i="28"/>
  <c r="P121" i="28"/>
  <c r="I163" i="28" l="1"/>
  <c r="J161" i="28"/>
  <c r="AI98" i="24"/>
  <c r="Q126" i="28"/>
  <c r="Q125" i="28"/>
  <c r="CE48" i="25"/>
  <c r="CE60" i="25"/>
  <c r="CE54" i="25"/>
  <c r="CE26" i="25"/>
  <c r="CE22" i="25"/>
  <c r="P157" i="28"/>
  <c r="P156" i="28"/>
  <c r="BP7" i="3"/>
  <c r="M95" i="28"/>
  <c r="M94" i="28"/>
  <c r="Q63" i="28"/>
  <c r="Q65" i="28"/>
  <c r="M125" i="28"/>
  <c r="M126" i="28"/>
  <c r="W94" i="28"/>
  <c r="W95" i="28"/>
  <c r="T95" i="28"/>
  <c r="T94" i="28"/>
  <c r="CE34" i="25"/>
  <c r="M157" i="28"/>
  <c r="M156" i="28"/>
  <c r="BW45" i="25"/>
  <c r="BX45" i="25" s="1"/>
  <c r="CE45" i="25"/>
  <c r="CE32" i="25"/>
  <c r="CE58" i="25"/>
  <c r="CE25" i="25"/>
  <c r="CE23" i="25"/>
  <c r="Q94" i="28"/>
  <c r="Q95" i="28"/>
  <c r="T65" i="28"/>
  <c r="T63" i="28"/>
  <c r="N94" i="28"/>
  <c r="N95" i="28"/>
  <c r="K65" i="28"/>
  <c r="K63" i="28"/>
  <c r="O65" i="28"/>
  <c r="O63" i="28"/>
  <c r="R65" i="28"/>
  <c r="R63" i="28"/>
  <c r="S126" i="28"/>
  <c r="S125" i="28"/>
  <c r="M65" i="28"/>
  <c r="M63" i="28"/>
  <c r="P125" i="28"/>
  <c r="P126" i="28"/>
  <c r="Q156" i="28"/>
  <c r="Q157" i="28"/>
  <c r="N65" i="28"/>
  <c r="N63" i="28"/>
  <c r="U65" i="28"/>
  <c r="U63" i="28"/>
  <c r="CE57" i="25"/>
  <c r="CE40" i="25"/>
  <c r="CE42" i="25"/>
  <c r="CE52" i="25"/>
  <c r="CE27" i="25"/>
  <c r="W126" i="28"/>
  <c r="W125" i="28"/>
  <c r="R95" i="28"/>
  <c r="R94" i="28"/>
  <c r="O126" i="28"/>
  <c r="O125" i="28"/>
  <c r="P63" i="28"/>
  <c r="P65" i="28"/>
  <c r="O157" i="28"/>
  <c r="O156" i="28"/>
  <c r="CE50" i="25"/>
  <c r="CE35" i="25"/>
  <c r="CE56" i="25"/>
  <c r="CE28" i="25"/>
  <c r="K157" i="28"/>
  <c r="K156" i="28"/>
  <c r="R157" i="28"/>
  <c r="R156" i="28"/>
  <c r="T156" i="28"/>
  <c r="T157" i="28"/>
  <c r="S95" i="28"/>
  <c r="S94" i="28"/>
  <c r="V63" i="28"/>
  <c r="V65" i="28"/>
  <c r="J162" i="28"/>
  <c r="CE51" i="25"/>
  <c r="CE39" i="25"/>
  <c r="CE33" i="25"/>
  <c r="BW19" i="25"/>
  <c r="BX19" i="25" s="1"/>
  <c r="CE19" i="25"/>
  <c r="L94" i="28"/>
  <c r="L95" i="28"/>
  <c r="N126" i="28"/>
  <c r="N125" i="28"/>
  <c r="S63" i="28"/>
  <c r="S65" i="28"/>
  <c r="S157" i="28"/>
  <c r="S156" i="28"/>
  <c r="V156" i="28"/>
  <c r="V157" i="28"/>
  <c r="U125" i="28"/>
  <c r="U126" i="28"/>
  <c r="W156" i="28"/>
  <c r="W157" i="28"/>
  <c r="F145" i="24"/>
  <c r="S145" i="24" s="1"/>
  <c r="AI145" i="24" s="1"/>
  <c r="CE145" i="24" s="1"/>
  <c r="CE38" i="25"/>
  <c r="CE53" i="25"/>
  <c r="CE55" i="25"/>
  <c r="CE37" i="25"/>
  <c r="CE30" i="25"/>
  <c r="CE24" i="25"/>
  <c r="R126" i="28"/>
  <c r="R125" i="28"/>
  <c r="L65" i="28"/>
  <c r="L63" i="28"/>
  <c r="H163" i="28"/>
  <c r="K95" i="28"/>
  <c r="K94" i="28"/>
  <c r="CE36" i="25"/>
  <c r="CE49" i="25"/>
  <c r="CE41" i="25"/>
  <c r="CE47" i="25"/>
  <c r="CE31" i="25"/>
  <c r="CE29" i="25"/>
  <c r="V125" i="28"/>
  <c r="V126" i="28"/>
  <c r="T126" i="28"/>
  <c r="T125" i="28"/>
  <c r="H63" i="28"/>
  <c r="H65" i="28"/>
  <c r="L157" i="28"/>
  <c r="L156" i="28"/>
  <c r="U94" i="28"/>
  <c r="U95" i="28"/>
  <c r="Y51" i="24"/>
  <c r="X67" i="24" s="1"/>
  <c r="C100" i="24"/>
  <c r="U156" i="28"/>
  <c r="U157" i="28"/>
  <c r="O95" i="28"/>
  <c r="O94" i="28"/>
  <c r="H161" i="28"/>
  <c r="P95" i="28"/>
  <c r="P94" i="28"/>
  <c r="W63" i="28"/>
  <c r="W65" i="28"/>
  <c r="V94" i="28"/>
  <c r="V95" i="28"/>
  <c r="CE46" i="25"/>
  <c r="BW46" i="25"/>
  <c r="BX46" i="25" s="1"/>
  <c r="CE59" i="25"/>
  <c r="CE20" i="25"/>
  <c r="BW20" i="25"/>
  <c r="BX20" i="25" s="1"/>
  <c r="CE21" i="25"/>
  <c r="N157" i="28"/>
  <c r="N156" i="28"/>
  <c r="BW21" i="25" l="1"/>
  <c r="BX21" i="25" s="1"/>
  <c r="K162" i="28"/>
  <c r="K163" i="28"/>
  <c r="K161" i="28"/>
  <c r="W163" i="28"/>
  <c r="W162" i="28"/>
  <c r="W161" i="28"/>
  <c r="N69" i="25"/>
  <c r="S69" i="25" s="1"/>
  <c r="C69" i="25"/>
  <c r="C70" i="25"/>
  <c r="N70" i="25"/>
  <c r="S70" i="25" s="1"/>
  <c r="AV7" i="3"/>
  <c r="V161" i="28"/>
  <c r="V163" i="28"/>
  <c r="V162" i="28"/>
  <c r="O161" i="28"/>
  <c r="O162" i="28"/>
  <c r="O163" i="28"/>
  <c r="CB155" i="24"/>
  <c r="M154" i="24" s="1"/>
  <c r="CB154" i="24"/>
  <c r="N47" i="25"/>
  <c r="S47" i="25" s="1"/>
  <c r="N45" i="25"/>
  <c r="S45" i="25" s="1"/>
  <c r="C47" i="25"/>
  <c r="C45" i="25"/>
  <c r="N46" i="25"/>
  <c r="S46" i="25" s="1"/>
  <c r="C46" i="25"/>
  <c r="N161" i="28"/>
  <c r="N163" i="28"/>
  <c r="N162" i="28"/>
  <c r="R162" i="28"/>
  <c r="R161" i="28"/>
  <c r="R163" i="28"/>
  <c r="BW22" i="25"/>
  <c r="S162" i="28"/>
  <c r="S163" i="28"/>
  <c r="S161" i="28"/>
  <c r="P163" i="28"/>
  <c r="P161" i="28"/>
  <c r="P162" i="28"/>
  <c r="AQ100" i="24"/>
  <c r="AV100" i="24" s="1"/>
  <c r="S100" i="24"/>
  <c r="AI100" i="24" s="1"/>
  <c r="BW47" i="25"/>
  <c r="M104" i="24"/>
  <c r="P104" i="24" s="1"/>
  <c r="C104" i="24"/>
  <c r="M101" i="24"/>
  <c r="P101" i="24" s="1"/>
  <c r="C101" i="24"/>
  <c r="Q161" i="28"/>
  <c r="Q162" i="28"/>
  <c r="Q163" i="28"/>
  <c r="U162" i="28"/>
  <c r="U163" i="28"/>
  <c r="U161" i="28"/>
  <c r="L161" i="28"/>
  <c r="L163" i="28"/>
  <c r="L162" i="28"/>
  <c r="T161" i="28"/>
  <c r="T163" i="28"/>
  <c r="T162" i="28"/>
  <c r="M162" i="28"/>
  <c r="M161" i="28"/>
  <c r="M163" i="28"/>
  <c r="S104" i="24" l="1"/>
  <c r="AI104" i="24" s="1"/>
  <c r="AQ104" i="24"/>
  <c r="AV104" i="24" s="1"/>
  <c r="AP69" i="25"/>
  <c r="AU69" i="25" s="1"/>
  <c r="AB69" i="25"/>
  <c r="AH69" i="25" s="1"/>
  <c r="Y69" i="25"/>
  <c r="BX47" i="25"/>
  <c r="BW48" i="25"/>
  <c r="BX22" i="25"/>
  <c r="BW23" i="25"/>
  <c r="AP46" i="25"/>
  <c r="AU46" i="25" s="1"/>
  <c r="AB46" i="25"/>
  <c r="AH46" i="25" s="1"/>
  <c r="Y46" i="25"/>
  <c r="Y45" i="25"/>
  <c r="AP45" i="25"/>
  <c r="AU45" i="25" s="1"/>
  <c r="AB45" i="25"/>
  <c r="AH45" i="25" s="1"/>
  <c r="AQ101" i="24"/>
  <c r="AV101" i="24" s="1"/>
  <c r="AV147" i="24" s="1"/>
  <c r="M156" i="24" s="1"/>
  <c r="M162" i="24" s="1"/>
  <c r="BO7" i="4" s="1"/>
  <c r="BR7" i="3" s="1"/>
  <c r="S101" i="24"/>
  <c r="AI101" i="24" s="1"/>
  <c r="S105" i="24" s="1"/>
  <c r="AP47" i="25"/>
  <c r="AU47" i="25" s="1"/>
  <c r="AB47" i="25"/>
  <c r="AH47" i="25" s="1"/>
  <c r="Y47" i="25"/>
  <c r="Y70" i="25"/>
  <c r="AP70" i="25"/>
  <c r="AU70" i="25" s="1"/>
  <c r="AB70" i="25"/>
  <c r="AH70" i="25" s="1"/>
  <c r="BX48" i="25" l="1"/>
  <c r="BW49" i="25"/>
  <c r="C71" i="25"/>
  <c r="N71" i="25"/>
  <c r="S71" i="25" s="1"/>
  <c r="BX23" i="25"/>
  <c r="N49" i="25" s="1"/>
  <c r="S49" i="25" s="1"/>
  <c r="BW24" i="25"/>
  <c r="C48" i="25"/>
  <c r="N48" i="25"/>
  <c r="S48" i="25" s="1"/>
  <c r="AI149" i="24"/>
  <c r="M153" i="24" s="1"/>
  <c r="C49" i="25" l="1"/>
  <c r="AP71" i="25"/>
  <c r="AU71" i="25" s="1"/>
  <c r="AB71" i="25"/>
  <c r="AH71" i="25" s="1"/>
  <c r="Y71" i="25"/>
  <c r="M161" i="24"/>
  <c r="BN7" i="4" s="1"/>
  <c r="M157" i="24"/>
  <c r="Y49" i="25"/>
  <c r="AB49" i="25"/>
  <c r="AH49" i="25" s="1"/>
  <c r="AP49" i="25"/>
  <c r="AU49" i="25" s="1"/>
  <c r="BX24" i="25"/>
  <c r="BW25" i="25"/>
  <c r="Y48" i="25"/>
  <c r="AP48" i="25"/>
  <c r="AU48" i="25" s="1"/>
  <c r="AB48" i="25"/>
  <c r="AH48" i="25" s="1"/>
  <c r="BX49" i="25"/>
  <c r="BW50" i="25"/>
  <c r="BQ7" i="3" l="1"/>
  <c r="BP7" i="4"/>
  <c r="AY7" i="4" s="1"/>
  <c r="N72" i="25"/>
  <c r="S72" i="25" s="1"/>
  <c r="BX25" i="25"/>
  <c r="BW26" i="25"/>
  <c r="C50" i="25"/>
  <c r="N50" i="25"/>
  <c r="S50" i="25" s="1"/>
  <c r="BX50" i="25"/>
  <c r="C73" i="25" s="1"/>
  <c r="BW51" i="25"/>
  <c r="C72" i="25"/>
  <c r="AB73" i="25" l="1"/>
  <c r="AH73" i="25" s="1"/>
  <c r="Y73" i="25"/>
  <c r="AP73" i="25"/>
  <c r="AU73" i="25" s="1"/>
  <c r="BX26" i="25"/>
  <c r="BW27" i="25"/>
  <c r="AP72" i="25"/>
  <c r="AU72" i="25" s="1"/>
  <c r="AB72" i="25"/>
  <c r="AH72" i="25" s="1"/>
  <c r="Y72" i="25"/>
  <c r="BX51" i="25"/>
  <c r="C74" i="25" s="1"/>
  <c r="BW52" i="25"/>
  <c r="AW7" i="3"/>
  <c r="BS7" i="3"/>
  <c r="N73" i="25"/>
  <c r="S73" i="25" s="1"/>
  <c r="AP50" i="25"/>
  <c r="AU50" i="25" s="1"/>
  <c r="AB50" i="25"/>
  <c r="AH50" i="25" s="1"/>
  <c r="Y50" i="25"/>
  <c r="BX52" i="25" l="1"/>
  <c r="BW53" i="25"/>
  <c r="BX27" i="25"/>
  <c r="C52" i="25" s="1"/>
  <c r="BW28" i="25"/>
  <c r="AX7" i="3"/>
  <c r="AY7" i="3"/>
  <c r="N74" i="25"/>
  <c r="S74" i="25" s="1"/>
  <c r="N51" i="25"/>
  <c r="S51" i="25" s="1"/>
  <c r="C51" i="25"/>
  <c r="N52" i="25"/>
  <c r="S52" i="25" s="1"/>
  <c r="AP74" i="25"/>
  <c r="AU74" i="25" s="1"/>
  <c r="AB74" i="25"/>
  <c r="AH74" i="25" s="1"/>
  <c r="Y74" i="25"/>
  <c r="Y51" i="25" l="1"/>
  <c r="AP51" i="25"/>
  <c r="AU51" i="25" s="1"/>
  <c r="AB51" i="25"/>
  <c r="AH51" i="25" s="1"/>
  <c r="BX28" i="25"/>
  <c r="BW29" i="25"/>
  <c r="AB52" i="25"/>
  <c r="AH52" i="25" s="1"/>
  <c r="Y52" i="25"/>
  <c r="AP52" i="25"/>
  <c r="AU52" i="25" s="1"/>
  <c r="BX53" i="25"/>
  <c r="BW54" i="25"/>
  <c r="N75" i="25"/>
  <c r="S75" i="25" s="1"/>
  <c r="C75" i="25"/>
  <c r="BX54" i="25" l="1"/>
  <c r="BW55" i="25"/>
  <c r="N76" i="25"/>
  <c r="S76" i="25" s="1"/>
  <c r="BX29" i="25"/>
  <c r="BW30" i="25"/>
  <c r="AP75" i="25"/>
  <c r="AU75" i="25" s="1"/>
  <c r="Y75" i="25"/>
  <c r="AB75" i="25"/>
  <c r="AH75" i="25" s="1"/>
  <c r="BX30" i="25" l="1"/>
  <c r="BW31" i="25"/>
  <c r="BX55" i="25"/>
  <c r="BW56" i="25"/>
  <c r="BX31" i="25" l="1"/>
  <c r="C55" i="25" s="1"/>
  <c r="BW32" i="25"/>
  <c r="BX56" i="25"/>
  <c r="BW57" i="25"/>
  <c r="N53" i="25"/>
  <c r="S53" i="25" s="1"/>
  <c r="N55" i="25"/>
  <c r="S55" i="25" s="1"/>
  <c r="C54" i="25"/>
  <c r="C53" i="25"/>
  <c r="N54" i="25"/>
  <c r="S54" i="25" s="1"/>
  <c r="Y53" i="25" l="1"/>
  <c r="AP53" i="25"/>
  <c r="AU53" i="25" s="1"/>
  <c r="AB53" i="25"/>
  <c r="AH53" i="25" s="1"/>
  <c r="AP55" i="25"/>
  <c r="AU55" i="25" s="1"/>
  <c r="AB55" i="25"/>
  <c r="AH55" i="25" s="1"/>
  <c r="Y55" i="25"/>
  <c r="AB54" i="25"/>
  <c r="AH54" i="25" s="1"/>
  <c r="AP54" i="25"/>
  <c r="AU54" i="25" s="1"/>
  <c r="Y54" i="25"/>
  <c r="BX57" i="25"/>
  <c r="BW58" i="25"/>
  <c r="BX32" i="25"/>
  <c r="BW33" i="25"/>
  <c r="N56" i="25" l="1"/>
  <c r="C56" i="25"/>
  <c r="BX33" i="25"/>
  <c r="BW34" i="25"/>
  <c r="BX58" i="25"/>
  <c r="BW59" i="25"/>
  <c r="S56" i="25" l="1"/>
  <c r="BX34" i="25"/>
  <c r="BW35" i="25"/>
  <c r="BX59" i="25"/>
  <c r="C82" i="25" s="1"/>
  <c r="BW60" i="25"/>
  <c r="AB56" i="25"/>
  <c r="AH56" i="25" s="1"/>
  <c r="Y56" i="25"/>
  <c r="AP56" i="25"/>
  <c r="AU56" i="25" s="1"/>
  <c r="BX60" i="25" l="1"/>
  <c r="BW61" i="25"/>
  <c r="BW62" i="25" s="1"/>
  <c r="BW63" i="25" s="1"/>
  <c r="BW64" i="25" s="1"/>
  <c r="BW65" i="25" s="1"/>
  <c r="BW66" i="25" s="1"/>
  <c r="BX35" i="25"/>
  <c r="BW36" i="25"/>
  <c r="Y82" i="25"/>
  <c r="AP82" i="25"/>
  <c r="AB82" i="25"/>
  <c r="C57" i="25"/>
  <c r="BX36" i="25" l="1"/>
  <c r="BW37" i="25"/>
  <c r="N57" i="25"/>
  <c r="AB57" i="25"/>
  <c r="Y57" i="25"/>
  <c r="AP57" i="25"/>
  <c r="AU57" i="25" s="1"/>
  <c r="C79" i="25"/>
  <c r="C77" i="25"/>
  <c r="C80" i="25"/>
  <c r="N78" i="25"/>
  <c r="N77" i="25"/>
  <c r="S77" i="25" s="1"/>
  <c r="N79" i="25"/>
  <c r="C81" i="25"/>
  <c r="N80" i="25"/>
  <c r="C78" i="25"/>
  <c r="C83" i="25"/>
  <c r="N84" i="25"/>
  <c r="N82" i="25"/>
  <c r="AH82" i="25" s="1"/>
  <c r="N83" i="25"/>
  <c r="C76" i="25"/>
  <c r="C84" i="25"/>
  <c r="N81" i="25"/>
  <c r="S57" i="25" l="1"/>
  <c r="AH57" i="25"/>
  <c r="AH84" i="25"/>
  <c r="S84" i="25"/>
  <c r="Y80" i="25"/>
  <c r="AP80" i="25"/>
  <c r="AU80" i="25" s="1"/>
  <c r="AB80" i="25"/>
  <c r="AH80" i="25" s="1"/>
  <c r="AP84" i="25"/>
  <c r="AU84" i="25" s="1"/>
  <c r="AB84" i="25"/>
  <c r="Y84" i="25"/>
  <c r="AP76" i="25"/>
  <c r="AU76" i="25" s="1"/>
  <c r="AB76" i="25"/>
  <c r="AH76" i="25" s="1"/>
  <c r="Y76" i="25"/>
  <c r="Y83" i="25"/>
  <c r="AP83" i="25"/>
  <c r="AU83" i="25" s="1"/>
  <c r="AB83" i="25"/>
  <c r="AH83" i="25" s="1"/>
  <c r="AB77" i="25"/>
  <c r="AH77" i="25" s="1"/>
  <c r="Y77" i="25"/>
  <c r="AP77" i="25"/>
  <c r="AU77" i="25" s="1"/>
  <c r="BX37" i="25"/>
  <c r="BW38" i="25"/>
  <c r="AB81" i="25"/>
  <c r="AH81" i="25" s="1"/>
  <c r="Y81" i="25"/>
  <c r="AP81" i="25"/>
  <c r="AU81" i="25" s="1"/>
  <c r="AP78" i="25"/>
  <c r="AU78" i="25" s="1"/>
  <c r="AB78" i="25"/>
  <c r="AH78" i="25" s="1"/>
  <c r="Y78" i="25"/>
  <c r="AP79" i="25"/>
  <c r="AU79" i="25" s="1"/>
  <c r="AB79" i="25"/>
  <c r="AH79" i="25" s="1"/>
  <c r="Y79" i="25"/>
  <c r="AU82" i="25"/>
  <c r="BX38" i="25" l="1"/>
  <c r="BW39" i="25"/>
  <c r="C58" i="25"/>
  <c r="AH85" i="25"/>
  <c r="BL46" i="25" s="1"/>
  <c r="BN6" i="4" s="1"/>
  <c r="BQ6" i="3" s="1"/>
  <c r="Y58" i="25" l="1"/>
  <c r="AP58" i="25"/>
  <c r="AB58" i="25"/>
  <c r="BX39" i="25"/>
  <c r="BW40" i="25"/>
  <c r="BX40" i="25" l="1"/>
  <c r="BW41" i="25"/>
  <c r="BX41" i="25" l="1"/>
  <c r="BW42" i="25"/>
  <c r="BX42" i="25" s="1"/>
  <c r="N59" i="25" l="1"/>
  <c r="S59" i="25" s="1"/>
  <c r="C66" i="25"/>
  <c r="N64" i="25"/>
  <c r="N58" i="25"/>
  <c r="C59" i="25"/>
  <c r="N44" i="25"/>
  <c r="S44" i="25" s="1"/>
  <c r="N61" i="25"/>
  <c r="N60" i="25"/>
  <c r="C60" i="25"/>
  <c r="C65" i="25"/>
  <c r="N66" i="25"/>
  <c r="C67" i="25"/>
  <c r="C44" i="25"/>
  <c r="N63" i="25"/>
  <c r="C62" i="25"/>
  <c r="C64" i="25"/>
  <c r="C61" i="25"/>
  <c r="N65" i="25"/>
  <c r="C63" i="25"/>
  <c r="N67" i="25"/>
  <c r="N62" i="25"/>
  <c r="S60" i="25" l="1"/>
  <c r="AH60" i="25"/>
  <c r="S61" i="25"/>
  <c r="AH61" i="25"/>
  <c r="S63" i="25"/>
  <c r="AH63" i="25"/>
  <c r="Y64" i="25"/>
  <c r="AB64" i="25"/>
  <c r="AP64" i="25"/>
  <c r="AU64" i="25" s="1"/>
  <c r="S62" i="25"/>
  <c r="AH62" i="25"/>
  <c r="AB59" i="25"/>
  <c r="AH59" i="25" s="1"/>
  <c r="Y59" i="25"/>
  <c r="AP59" i="25"/>
  <c r="AU59" i="25" s="1"/>
  <c r="Y62" i="25"/>
  <c r="AB62" i="25"/>
  <c r="AP62" i="25"/>
  <c r="AU62" i="25" s="1"/>
  <c r="AP44" i="25"/>
  <c r="AU44" i="25" s="1"/>
  <c r="AU85" i="25" s="1"/>
  <c r="BL47" i="25" s="1"/>
  <c r="BO6" i="4" s="1"/>
  <c r="AB44" i="25"/>
  <c r="AH44" i="25" s="1"/>
  <c r="AH68" i="25" s="1"/>
  <c r="BL45" i="25" s="1"/>
  <c r="Y44" i="25"/>
  <c r="AH67" i="25"/>
  <c r="S67" i="25"/>
  <c r="AB67" i="25"/>
  <c r="Y67" i="25"/>
  <c r="AP67" i="25"/>
  <c r="AU67" i="25" s="1"/>
  <c r="S58" i="25"/>
  <c r="AH58" i="25"/>
  <c r="AU58" i="25"/>
  <c r="AP63" i="25"/>
  <c r="AU63" i="25" s="1"/>
  <c r="AB63" i="25"/>
  <c r="Y63" i="25"/>
  <c r="S66" i="25"/>
  <c r="AH66" i="25"/>
  <c r="S64" i="25"/>
  <c r="AH64" i="25"/>
  <c r="S65" i="25"/>
  <c r="AH65" i="25"/>
  <c r="Y65" i="25"/>
  <c r="AP65" i="25"/>
  <c r="AU65" i="25" s="1"/>
  <c r="AB65" i="25"/>
  <c r="Y66" i="25"/>
  <c r="AB66" i="25"/>
  <c r="AP66" i="25"/>
  <c r="AU66" i="25" s="1"/>
  <c r="AB61" i="25"/>
  <c r="Y61" i="25"/>
  <c r="AP61" i="25"/>
  <c r="AU61" i="25" s="1"/>
  <c r="AB60" i="25"/>
  <c r="AP60" i="25"/>
  <c r="AU60" i="25" s="1"/>
  <c r="Y60" i="25"/>
  <c r="BM6" i="4" l="1"/>
  <c r="BL48" i="25"/>
  <c r="BR6" i="3"/>
  <c r="BO40" i="4"/>
  <c r="AC40" i="3" s="1"/>
  <c r="BP6" i="3" l="1"/>
  <c r="BP6" i="4"/>
  <c r="AY6" i="4" l="1"/>
  <c r="BP39" i="4"/>
  <c r="BK43" i="4"/>
  <c r="AW6" i="3"/>
  <c r="AV6" i="3"/>
  <c r="BS6" i="3"/>
  <c r="AY6" i="3" l="1"/>
  <c r="BH8" i="3" s="1"/>
  <c r="AX6" i="3"/>
  <c r="BE11" i="4"/>
  <c r="BE25" i="4"/>
  <c r="BE39" i="4"/>
  <c r="BE10" i="4"/>
  <c r="BE36" i="4"/>
  <c r="BE26" i="4"/>
  <c r="BE28" i="4"/>
  <c r="BE15" i="4"/>
  <c r="BE30" i="4"/>
  <c r="BE31" i="4"/>
  <c r="BE29" i="4"/>
  <c r="BE16" i="4"/>
  <c r="BE41" i="4"/>
  <c r="BE13" i="4"/>
  <c r="BE12" i="4"/>
  <c r="BE42" i="4"/>
  <c r="BE21" i="4"/>
  <c r="BE9" i="4"/>
  <c r="BE22" i="4"/>
  <c r="BE23" i="4"/>
  <c r="BE32" i="4"/>
  <c r="BE24" i="4"/>
  <c r="BE17" i="4"/>
  <c r="BE37" i="4"/>
  <c r="BE34" i="4"/>
  <c r="BE40" i="4"/>
  <c r="BE8" i="4"/>
  <c r="BE35" i="4"/>
  <c r="BE19" i="4"/>
  <c r="BE6" i="4"/>
  <c r="BE38" i="4"/>
  <c r="BE14" i="4"/>
  <c r="BE43" i="4"/>
  <c r="BE27" i="4"/>
  <c r="BC6" i="4"/>
  <c r="BC7" i="4" s="1"/>
  <c r="BE20" i="4"/>
  <c r="BE33" i="4"/>
  <c r="BE18" i="4"/>
  <c r="BE7" i="4"/>
  <c r="BP45" i="4"/>
  <c r="BC8" i="4" l="1"/>
  <c r="BD7" i="4"/>
  <c r="BD6" i="4"/>
  <c r="BR8" i="3"/>
  <c r="BR40" i="3" s="1"/>
  <c r="AD40" i="3" s="1"/>
  <c r="BP8" i="3"/>
  <c r="BS8" i="3" s="1"/>
  <c r="AP8" i="3"/>
  <c r="AX8" i="3" l="1"/>
  <c r="AX39" i="3" s="1"/>
  <c r="BS42" i="3" s="1"/>
  <c r="AY8" i="3"/>
  <c r="AY39" i="3" s="1"/>
  <c r="BS43" i="3" s="1"/>
  <c r="BS39" i="3"/>
  <c r="BC9" i="4"/>
  <c r="BC10" i="4" s="1"/>
  <c r="BC11" i="4" s="1"/>
  <c r="BC12" i="4" s="1"/>
  <c r="BC13" i="4" s="1"/>
  <c r="BD8" i="4"/>
  <c r="AC31" i="3" s="1"/>
  <c r="AV8" i="3"/>
  <c r="AV39" i="3" s="1"/>
  <c r="BS40" i="3" s="1"/>
  <c r="AW8" i="3"/>
  <c r="AW39" i="3" s="1"/>
  <c r="BS41" i="3" s="1"/>
  <c r="AM6" i="4"/>
  <c r="AU6" i="4" s="1"/>
  <c r="AG6" i="4"/>
  <c r="AS6" i="4" s="1"/>
  <c r="AJ6" i="4"/>
  <c r="AT6" i="4" s="1"/>
  <c r="AC35" i="3"/>
  <c r="AC11" i="3"/>
  <c r="AC34" i="3"/>
  <c r="AC15" i="3"/>
  <c r="AC29" i="3"/>
  <c r="AC28" i="3"/>
  <c r="AC32" i="3"/>
  <c r="AC36" i="3"/>
  <c r="AC10" i="3"/>
  <c r="AC16" i="3"/>
  <c r="AC30" i="3"/>
  <c r="AC33" i="3"/>
  <c r="AC38" i="3"/>
  <c r="E6" i="4"/>
  <c r="AC6" i="3"/>
  <c r="E7" i="4"/>
  <c r="AC8" i="3"/>
  <c r="AC7" i="3"/>
  <c r="AM7" i="4"/>
  <c r="AU7" i="4" s="1"/>
  <c r="AJ7" i="4"/>
  <c r="AT7" i="4" s="1"/>
  <c r="AG7" i="4"/>
  <c r="AS7" i="4" s="1"/>
  <c r="AC12" i="3" l="1"/>
  <c r="AC25" i="3"/>
  <c r="AC37" i="3"/>
  <c r="AC20" i="3"/>
  <c r="AJ8" i="4"/>
  <c r="AT8" i="4" s="1"/>
  <c r="AG8" i="4"/>
  <c r="AS8" i="4" s="1"/>
  <c r="AM8" i="4"/>
  <c r="AU8" i="4" s="1"/>
  <c r="AC9" i="3"/>
  <c r="AC26" i="3"/>
  <c r="BD13" i="4"/>
  <c r="BC14" i="4"/>
  <c r="L7" i="4"/>
  <c r="M7" i="4" s="1"/>
  <c r="E7" i="3"/>
  <c r="D7" i="4"/>
  <c r="D6" i="4"/>
  <c r="A6" i="4"/>
  <c r="S6" i="4" s="1"/>
  <c r="E6" i="3"/>
  <c r="E39" i="4"/>
  <c r="L6" i="4"/>
  <c r="BS44" i="3"/>
  <c r="BS46" i="3" s="1"/>
  <c r="BS45" i="3" s="1"/>
  <c r="S41" i="3" s="1"/>
  <c r="AD39" i="3"/>
  <c r="A7" i="4" l="1"/>
  <c r="S7" i="4" s="1"/>
  <c r="L6" i="3"/>
  <c r="M6" i="3" s="1"/>
  <c r="A6" i="3"/>
  <c r="AB6" i="3" s="1"/>
  <c r="D6" i="3"/>
  <c r="S6" i="3"/>
  <c r="D55" i="4"/>
  <c r="E55" i="4"/>
  <c r="D43" i="3"/>
  <c r="AD41" i="3"/>
  <c r="AD52" i="3"/>
  <c r="L7" i="3"/>
  <c r="M7" i="3" s="1"/>
  <c r="D7" i="3"/>
  <c r="A7" i="3"/>
  <c r="AB7" i="3" s="1"/>
  <c r="M6" i="4"/>
  <c r="E41" i="4"/>
  <c r="L39" i="4"/>
  <c r="E39" i="3"/>
  <c r="M39" i="4"/>
  <c r="E60" i="4"/>
  <c r="D60" i="4"/>
  <c r="BC15" i="4"/>
  <c r="BC16" i="4" s="1"/>
  <c r="BC17" i="4" s="1"/>
  <c r="BD14" i="4"/>
  <c r="AC14" i="3" s="1"/>
  <c r="AJ13" i="4"/>
  <c r="AT13" i="4" s="1"/>
  <c r="AG13" i="4"/>
  <c r="AS13" i="4" s="1"/>
  <c r="AM13" i="4"/>
  <c r="AU13" i="4" s="1"/>
  <c r="E9" i="4"/>
  <c r="AC13" i="3"/>
  <c r="S7" i="3" l="1"/>
  <c r="E59" i="4"/>
  <c r="S59" i="4" s="1"/>
  <c r="L55" i="4" s="1"/>
  <c r="AA55" i="4" s="1"/>
  <c r="E64" i="4"/>
  <c r="S64" i="4" s="1"/>
  <c r="L60" i="4" s="1"/>
  <c r="AA60" i="4" s="1"/>
  <c r="E10" i="4"/>
  <c r="X10" i="4" s="1"/>
  <c r="BD17" i="4"/>
  <c r="BC18" i="4"/>
  <c r="E41" i="3"/>
  <c r="L9" i="4"/>
  <c r="M9" i="4" s="1"/>
  <c r="X9" i="4"/>
  <c r="E9" i="3"/>
  <c r="E62" i="4"/>
  <c r="N62" i="4"/>
  <c r="E61" i="4"/>
  <c r="N63" i="4"/>
  <c r="E63" i="4"/>
  <c r="N61" i="4"/>
  <c r="I43" i="3"/>
  <c r="L43" i="3" s="1"/>
  <c r="N57" i="4"/>
  <c r="E56" i="4"/>
  <c r="E58" i="4"/>
  <c r="E57" i="4"/>
  <c r="N58" i="4"/>
  <c r="N56" i="4"/>
  <c r="E60" i="3"/>
  <c r="D60" i="3"/>
  <c r="E55" i="3"/>
  <c r="D55" i="3"/>
  <c r="L39" i="3"/>
  <c r="M39" i="3"/>
  <c r="N60" i="4"/>
  <c r="S60" i="4"/>
  <c r="P60" i="4"/>
  <c r="R60" i="4" s="1"/>
  <c r="AJ14" i="4"/>
  <c r="AT14" i="4" s="1"/>
  <c r="AM14" i="4"/>
  <c r="AU14" i="4" s="1"/>
  <c r="AG14" i="4"/>
  <c r="AS14" i="4" s="1"/>
  <c r="S55" i="4" l="1"/>
  <c r="N55" i="4"/>
  <c r="P55" i="4"/>
  <c r="R55" i="4" s="1"/>
  <c r="E10" i="3"/>
  <c r="L10" i="3" s="1"/>
  <c r="M10" i="3" s="1"/>
  <c r="L10" i="4"/>
  <c r="M10" i="4" s="1"/>
  <c r="E64" i="3"/>
  <c r="N43" i="3"/>
  <c r="Q43" i="3" s="1"/>
  <c r="M61" i="4"/>
  <c r="L61" i="4"/>
  <c r="L62" i="4"/>
  <c r="M62" i="4"/>
  <c r="L57" i="4"/>
  <c r="M57" i="4"/>
  <c r="E59" i="3"/>
  <c r="N56" i="3"/>
  <c r="E56" i="3"/>
  <c r="N58" i="3"/>
  <c r="N57" i="3"/>
  <c r="S59" i="3"/>
  <c r="L55" i="3" s="1"/>
  <c r="E58" i="3"/>
  <c r="E57" i="3"/>
  <c r="M58" i="4"/>
  <c r="L58" i="4"/>
  <c r="BC19" i="4"/>
  <c r="BD18" i="4"/>
  <c r="M56" i="4"/>
  <c r="L56" i="4"/>
  <c r="AG17" i="4"/>
  <c r="AS17" i="4" s="1"/>
  <c r="AJ17" i="4"/>
  <c r="AT17" i="4" s="1"/>
  <c r="AM17" i="4"/>
  <c r="AU17" i="4" s="1"/>
  <c r="AC17" i="3"/>
  <c r="E12" i="4"/>
  <c r="E11" i="4"/>
  <c r="AC18" i="3"/>
  <c r="N62" i="3"/>
  <c r="E62" i="3"/>
  <c r="N61" i="3"/>
  <c r="E63" i="3"/>
  <c r="N63" i="3"/>
  <c r="S64" i="3"/>
  <c r="L60" i="3" s="1"/>
  <c r="E61" i="3"/>
  <c r="M63" i="4"/>
  <c r="L63" i="4"/>
  <c r="L9" i="3"/>
  <c r="M9" i="3" s="1"/>
  <c r="X12" i="4" l="1"/>
  <c r="E12" i="3"/>
  <c r="L12" i="4"/>
  <c r="M12" i="4" s="1"/>
  <c r="AG18" i="4"/>
  <c r="AS18" i="4" s="1"/>
  <c r="AM18" i="4"/>
  <c r="AU18" i="4" s="1"/>
  <c r="AJ18" i="4"/>
  <c r="AT18" i="4" s="1"/>
  <c r="L56" i="3"/>
  <c r="M56" i="3"/>
  <c r="BD19" i="4"/>
  <c r="BC20" i="4"/>
  <c r="BC21" i="4" s="1"/>
  <c r="L62" i="3"/>
  <c r="M62" i="3"/>
  <c r="N60" i="3"/>
  <c r="S60" i="3"/>
  <c r="AA60" i="3"/>
  <c r="P60" i="3"/>
  <c r="R60" i="3" s="1"/>
  <c r="Y60" i="3"/>
  <c r="M63" i="3"/>
  <c r="L63" i="3"/>
  <c r="L57" i="3"/>
  <c r="M57" i="3"/>
  <c r="S55" i="3"/>
  <c r="Y55" i="3"/>
  <c r="N55" i="3"/>
  <c r="P55" i="3"/>
  <c r="R55" i="3" s="1"/>
  <c r="AA55" i="3"/>
  <c r="L61" i="3"/>
  <c r="M61" i="3"/>
  <c r="L11" i="4"/>
  <c r="M11" i="4" s="1"/>
  <c r="E11" i="3"/>
  <c r="X11" i="4"/>
  <c r="L58" i="3"/>
  <c r="M58" i="3"/>
  <c r="AJ19" i="4" l="1"/>
  <c r="AT19" i="4" s="1"/>
  <c r="AM19" i="4"/>
  <c r="AU19" i="4" s="1"/>
  <c r="AG19" i="4"/>
  <c r="AS19" i="4" s="1"/>
  <c r="AC19" i="3"/>
  <c r="L11" i="3"/>
  <c r="M11" i="3" s="1"/>
  <c r="BC22" i="4"/>
  <c r="BD21" i="4"/>
  <c r="E13" i="4"/>
  <c r="L12" i="3"/>
  <c r="M12" i="3" s="1"/>
  <c r="AM21" i="4" l="1"/>
  <c r="AU21" i="4" s="1"/>
  <c r="AG21" i="4"/>
  <c r="AS21" i="4" s="1"/>
  <c r="AJ21" i="4"/>
  <c r="AT21" i="4" s="1"/>
  <c r="E14" i="4"/>
  <c r="BD22" i="4"/>
  <c r="AC22" i="3" s="1"/>
  <c r="BC23" i="4"/>
  <c r="AC21" i="3"/>
  <c r="E13" i="3"/>
  <c r="X13" i="4"/>
  <c r="L13" i="4"/>
  <c r="M13" i="4" s="1"/>
  <c r="E15" i="4" l="1"/>
  <c r="E15" i="3" s="1"/>
  <c r="E14" i="3"/>
  <c r="X14" i="4"/>
  <c r="L14" i="4"/>
  <c r="M14" i="4" s="1"/>
  <c r="AG22" i="4"/>
  <c r="AS22" i="4" s="1"/>
  <c r="AM22" i="4"/>
  <c r="AU22" i="4" s="1"/>
  <c r="AJ22" i="4"/>
  <c r="AT22" i="4" s="1"/>
  <c r="BC24" i="4"/>
  <c r="BD23" i="4"/>
  <c r="L13" i="3"/>
  <c r="M13" i="3" s="1"/>
  <c r="L15" i="4"/>
  <c r="M15" i="4" s="1"/>
  <c r="X15" i="4"/>
  <c r="AJ23" i="4" l="1"/>
  <c r="AT23" i="4" s="1"/>
  <c r="AG23" i="4"/>
  <c r="AS23" i="4" s="1"/>
  <c r="AM23" i="4"/>
  <c r="AU23" i="4" s="1"/>
  <c r="L15" i="3"/>
  <c r="M15" i="3" s="1"/>
  <c r="BC25" i="4"/>
  <c r="BC26" i="4" s="1"/>
  <c r="BC27" i="4" s="1"/>
  <c r="BD24" i="4"/>
  <c r="L14" i="3"/>
  <c r="M14" i="3" s="1"/>
  <c r="AM24" i="4" l="1"/>
  <c r="AU24" i="4" s="1"/>
  <c r="AJ24" i="4"/>
  <c r="AT24" i="4" s="1"/>
  <c r="AG24" i="4"/>
  <c r="AS24" i="4" s="1"/>
  <c r="BD27" i="4"/>
  <c r="BC28" i="4"/>
  <c r="BC29" i="4" s="1"/>
  <c r="BC30" i="4" s="1"/>
  <c r="BC31" i="4" s="1"/>
  <c r="BC32" i="4" s="1"/>
  <c r="BC33" i="4" s="1"/>
  <c r="BC34" i="4" s="1"/>
  <c r="BC35" i="4" s="1"/>
  <c r="BC36" i="4" s="1"/>
  <c r="BC37" i="4" s="1"/>
  <c r="BC38" i="4" s="1"/>
  <c r="BC39" i="4" s="1"/>
  <c r="BD39" i="4" l="1"/>
  <c r="BC40" i="4"/>
  <c r="AG27" i="4"/>
  <c r="AS27" i="4" s="1"/>
  <c r="AS39" i="4" s="1"/>
  <c r="BP40" i="4" s="1"/>
  <c r="AJ27" i="4"/>
  <c r="AT27" i="4" s="1"/>
  <c r="AT39" i="4" s="1"/>
  <c r="BP41" i="4" s="1"/>
  <c r="AM27" i="4"/>
  <c r="AU27" i="4" s="1"/>
  <c r="AU39" i="4" s="1"/>
  <c r="BP42" i="4" s="1"/>
  <c r="BP44" i="4" l="1"/>
  <c r="AD49" i="4" s="1"/>
  <c r="BC41" i="4"/>
  <c r="BD40" i="4"/>
  <c r="BC42" i="4" l="1"/>
  <c r="BD41" i="4"/>
  <c r="AV39" i="4"/>
  <c r="BP43" i="4" s="1"/>
  <c r="BQ44" i="4" s="1"/>
  <c r="AP7" i="4"/>
  <c r="AP6" i="4"/>
  <c r="AP8" i="4"/>
  <c r="AP13" i="4"/>
  <c r="AP14" i="4"/>
  <c r="AP17" i="4"/>
  <c r="AP18" i="4"/>
  <c r="AP19" i="4"/>
  <c r="AP21" i="4"/>
  <c r="AP22" i="4"/>
  <c r="AP23" i="4"/>
  <c r="AP24" i="4"/>
  <c r="AP27" i="4"/>
  <c r="BP46" i="4" l="1"/>
  <c r="S39" i="4" s="1"/>
  <c r="X39" i="4" s="1"/>
  <c r="X39" i="3" s="1"/>
  <c r="S41" i="4"/>
  <c r="E20" i="4"/>
  <c r="E18" i="4"/>
  <c r="E17" i="4"/>
  <c r="E16" i="4"/>
  <c r="E19" i="4"/>
  <c r="AC39" i="3"/>
  <c r="AC24" i="3"/>
  <c r="AC27" i="3"/>
  <c r="AC23" i="3"/>
  <c r="E21" i="4"/>
  <c r="BC43" i="4"/>
  <c r="BD42" i="4"/>
  <c r="E22" i="4" s="1"/>
  <c r="L16" i="4" l="1"/>
  <c r="M16" i="4" s="1"/>
  <c r="X16" i="4"/>
  <c r="E16" i="3"/>
  <c r="BC44" i="4"/>
  <c r="BD44" i="4" s="1"/>
  <c r="E8" i="4" s="1"/>
  <c r="BD43" i="4"/>
  <c r="E34" i="4" s="1"/>
  <c r="L21" i="4"/>
  <c r="M21" i="4" s="1"/>
  <c r="D21" i="4"/>
  <c r="X21" i="4"/>
  <c r="E21" i="3"/>
  <c r="X17" i="4"/>
  <c r="L17" i="4"/>
  <c r="M17" i="4" s="1"/>
  <c r="E17" i="3"/>
  <c r="L20" i="4"/>
  <c r="M20" i="4" s="1"/>
  <c r="X20" i="4"/>
  <c r="E20" i="3"/>
  <c r="D20" i="4"/>
  <c r="L18" i="4"/>
  <c r="M18" i="4" s="1"/>
  <c r="E18" i="3"/>
  <c r="X18" i="4"/>
  <c r="E31" i="4"/>
  <c r="D22" i="4"/>
  <c r="L22" i="4"/>
  <c r="M22" i="4" s="1"/>
  <c r="E22" i="3"/>
  <c r="X22" i="4"/>
  <c r="E30" i="4"/>
  <c r="E28" i="4"/>
  <c r="E32" i="4"/>
  <c r="D19" i="4"/>
  <c r="L19" i="4"/>
  <c r="M19" i="4" s="1"/>
  <c r="E19" i="3"/>
  <c r="X19" i="4"/>
  <c r="E37" i="4"/>
  <c r="AC41" i="3"/>
  <c r="AC41" i="4"/>
  <c r="D43" i="4"/>
  <c r="E27" i="4"/>
  <c r="E35" i="4" l="1"/>
  <c r="E34" i="3"/>
  <c r="D34" i="4"/>
  <c r="S34" i="4" s="1"/>
  <c r="L34" i="4"/>
  <c r="M34" i="4" s="1"/>
  <c r="A34" i="4"/>
  <c r="X34" i="4"/>
  <c r="L28" i="4"/>
  <c r="M28" i="4" s="1"/>
  <c r="D28" i="4"/>
  <c r="S28" i="4" s="1"/>
  <c r="X28" i="4"/>
  <c r="A28" i="4"/>
  <c r="E28" i="3"/>
  <c r="E31" i="3"/>
  <c r="L31" i="4"/>
  <c r="M31" i="4" s="1"/>
  <c r="A31" i="4"/>
  <c r="D31" i="4"/>
  <c r="S31" i="4" s="1"/>
  <c r="X31" i="4"/>
  <c r="E139" i="4"/>
  <c r="E143" i="4" s="1"/>
  <c r="D139" i="4"/>
  <c r="L30" i="4"/>
  <c r="M30" i="4" s="1"/>
  <c r="D30" i="4"/>
  <c r="S30" i="4" s="1"/>
  <c r="E30" i="3"/>
  <c r="A30" i="4"/>
  <c r="X30" i="4"/>
  <c r="L17" i="3"/>
  <c r="M17" i="3" s="1"/>
  <c r="E134" i="4"/>
  <c r="E138" i="4" s="1"/>
  <c r="D134" i="4"/>
  <c r="E36" i="4"/>
  <c r="L16" i="3"/>
  <c r="M16" i="3" s="1"/>
  <c r="D37" i="4"/>
  <c r="S37" i="4" s="1"/>
  <c r="A37" i="4"/>
  <c r="L37" i="4"/>
  <c r="M37" i="4" s="1"/>
  <c r="E37" i="3"/>
  <c r="X37" i="4"/>
  <c r="X27" i="4"/>
  <c r="L27" i="4"/>
  <c r="M27" i="4" s="1"/>
  <c r="D27" i="4"/>
  <c r="S27" i="4" s="1"/>
  <c r="A27" i="4"/>
  <c r="E27" i="3"/>
  <c r="L19" i="3"/>
  <c r="M19" i="3" s="1"/>
  <c r="D19" i="3"/>
  <c r="L20" i="3"/>
  <c r="M20" i="3" s="1"/>
  <c r="D20" i="3"/>
  <c r="S20" i="3"/>
  <c r="L35" i="4"/>
  <c r="M35" i="4" s="1"/>
  <c r="A35" i="4"/>
  <c r="E35" i="3"/>
  <c r="D35" i="4"/>
  <c r="S35" i="4" s="1"/>
  <c r="X35" i="4"/>
  <c r="I43" i="4"/>
  <c r="L43" i="4" s="1"/>
  <c r="BE44" i="4"/>
  <c r="E24" i="4" s="1"/>
  <c r="E38" i="4"/>
  <c r="E26" i="4"/>
  <c r="E25" i="4"/>
  <c r="Y55" i="4"/>
  <c r="Y60" i="4"/>
  <c r="E129" i="4"/>
  <c r="E133" i="4" s="1"/>
  <c r="D129" i="4"/>
  <c r="D22" i="3"/>
  <c r="L22" i="3"/>
  <c r="M22" i="3" s="1"/>
  <c r="S22" i="3"/>
  <c r="L18" i="3"/>
  <c r="M18" i="3" s="1"/>
  <c r="X8" i="4"/>
  <c r="L8" i="4"/>
  <c r="M8" i="4" s="1"/>
  <c r="E8" i="3"/>
  <c r="A8" i="4"/>
  <c r="A9" i="4" s="1"/>
  <c r="D8" i="4"/>
  <c r="E40" i="4"/>
  <c r="D32" i="4"/>
  <c r="S32" i="4" s="1"/>
  <c r="E32" i="3"/>
  <c r="L32" i="4"/>
  <c r="M32" i="4" s="1"/>
  <c r="A32" i="4"/>
  <c r="X32" i="4"/>
  <c r="E23" i="4"/>
  <c r="D21" i="3"/>
  <c r="L21" i="3"/>
  <c r="M21" i="3" s="1"/>
  <c r="S21" i="3"/>
  <c r="E29" i="4"/>
  <c r="E33" i="4"/>
  <c r="S8" i="4" l="1"/>
  <c r="N43" i="4"/>
  <c r="Q43" i="4" s="1"/>
  <c r="X23" i="4"/>
  <c r="L23" i="4"/>
  <c r="M23" i="4" s="1"/>
  <c r="D23" i="4"/>
  <c r="E23" i="3"/>
  <c r="S9" i="4"/>
  <c r="A10" i="4"/>
  <c r="E25" i="3"/>
  <c r="D25" i="4"/>
  <c r="S25" i="4" s="1"/>
  <c r="L25" i="4"/>
  <c r="M25" i="4" s="1"/>
  <c r="A25" i="4"/>
  <c r="X25" i="4"/>
  <c r="A35" i="3"/>
  <c r="S35" i="3" s="1"/>
  <c r="D35" i="3"/>
  <c r="L35" i="3"/>
  <c r="M35" i="3" s="1"/>
  <c r="A33" i="4"/>
  <c r="X33" i="4"/>
  <c r="L33" i="4"/>
  <c r="M33" i="4" s="1"/>
  <c r="E33" i="3"/>
  <c r="D33" i="4"/>
  <c r="S33" i="4" s="1"/>
  <c r="L8" i="3"/>
  <c r="M8" i="3" s="1"/>
  <c r="D8" i="3"/>
  <c r="A8" i="3"/>
  <c r="A9" i="3" s="1"/>
  <c r="L26" i="4"/>
  <c r="M26" i="4" s="1"/>
  <c r="X26" i="4"/>
  <c r="E26" i="3"/>
  <c r="D26" i="4"/>
  <c r="S26" i="4" s="1"/>
  <c r="A26" i="4"/>
  <c r="A37" i="3"/>
  <c r="S37" i="3" s="1"/>
  <c r="L37" i="3"/>
  <c r="M37" i="3" s="1"/>
  <c r="D37" i="3"/>
  <c r="D36" i="4"/>
  <c r="S36" i="4" s="1"/>
  <c r="E36" i="3"/>
  <c r="X36" i="4"/>
  <c r="A36" i="4"/>
  <c r="L36" i="4"/>
  <c r="M36" i="4" s="1"/>
  <c r="E65" i="4"/>
  <c r="D65" i="4"/>
  <c r="D9" i="4"/>
  <c r="E29" i="3"/>
  <c r="X29" i="4"/>
  <c r="D29" i="4"/>
  <c r="S29" i="4" s="1"/>
  <c r="L29" i="4"/>
  <c r="M29" i="4" s="1"/>
  <c r="A29" i="4"/>
  <c r="A38" i="4"/>
  <c r="A39" i="4" s="1"/>
  <c r="E38" i="3"/>
  <c r="X38" i="4"/>
  <c r="L38" i="4"/>
  <c r="M38" i="4" s="1"/>
  <c r="D38" i="4"/>
  <c r="S38" i="4" s="1"/>
  <c r="S138" i="4"/>
  <c r="N137" i="4"/>
  <c r="E137" i="4"/>
  <c r="E135" i="4"/>
  <c r="N136" i="4"/>
  <c r="N135" i="4"/>
  <c r="E136" i="4"/>
  <c r="L134" i="4"/>
  <c r="A30" i="3"/>
  <c r="S30" i="3" s="1"/>
  <c r="D30" i="3"/>
  <c r="L30" i="3"/>
  <c r="M30" i="3" s="1"/>
  <c r="E24" i="3"/>
  <c r="X24" i="4"/>
  <c r="L24" i="4"/>
  <c r="M24" i="4" s="1"/>
  <c r="D24" i="4"/>
  <c r="D27" i="3"/>
  <c r="L27" i="3"/>
  <c r="M27" i="3" s="1"/>
  <c r="A27" i="3"/>
  <c r="S27" i="3" s="1"/>
  <c r="L31" i="3"/>
  <c r="M31" i="3" s="1"/>
  <c r="A31" i="3"/>
  <c r="S31" i="3" s="1"/>
  <c r="D31" i="3"/>
  <c r="S133" i="4"/>
  <c r="E131" i="4"/>
  <c r="N131" i="4"/>
  <c r="E132" i="4"/>
  <c r="E130" i="4"/>
  <c r="L129" i="4"/>
  <c r="N130" i="4"/>
  <c r="N132" i="4"/>
  <c r="A28" i="3"/>
  <c r="S28" i="3" s="1"/>
  <c r="D28" i="3"/>
  <c r="L28" i="3"/>
  <c r="M28" i="3" s="1"/>
  <c r="L32" i="3"/>
  <c r="M32" i="3" s="1"/>
  <c r="A32" i="3"/>
  <c r="S32" i="3" s="1"/>
  <c r="D32" i="3"/>
  <c r="M40" i="4"/>
  <c r="L40" i="4"/>
  <c r="S40" i="4"/>
  <c r="S40" i="3" s="1"/>
  <c r="E40" i="3"/>
  <c r="A40" i="4"/>
  <c r="A41" i="4" s="1"/>
  <c r="N141" i="4"/>
  <c r="N140" i="4"/>
  <c r="E141" i="4"/>
  <c r="E140" i="4"/>
  <c r="S143" i="4"/>
  <c r="L139" i="4"/>
  <c r="N142" i="4"/>
  <c r="E142" i="4"/>
  <c r="L34" i="3"/>
  <c r="M34" i="3" s="1"/>
  <c r="D34" i="3"/>
  <c r="A34" i="3"/>
  <c r="S34" i="3" s="1"/>
  <c r="S8" i="3" l="1"/>
  <c r="E69" i="4"/>
  <c r="S69" i="4" s="1"/>
  <c r="L65" i="4" s="1"/>
  <c r="L141" i="4"/>
  <c r="M141" i="4"/>
  <c r="P129" i="4"/>
  <c r="R129" i="4" s="1"/>
  <c r="AA129" i="4"/>
  <c r="N129" i="4"/>
  <c r="Y129" i="4"/>
  <c r="S129" i="4"/>
  <c r="L24" i="3"/>
  <c r="M24" i="3" s="1"/>
  <c r="D24" i="3"/>
  <c r="L135" i="4"/>
  <c r="M135" i="4"/>
  <c r="S10" i="4"/>
  <c r="A11" i="4"/>
  <c r="M130" i="4"/>
  <c r="L130" i="4"/>
  <c r="M137" i="4"/>
  <c r="L137" i="4"/>
  <c r="D65" i="3"/>
  <c r="E65" i="3"/>
  <c r="M132" i="4"/>
  <c r="L132" i="4"/>
  <c r="M142" i="4"/>
  <c r="L142" i="4"/>
  <c r="D26" i="3"/>
  <c r="A26" i="3"/>
  <c r="S26" i="3" s="1"/>
  <c r="L26" i="3"/>
  <c r="M26" i="3" s="1"/>
  <c r="L40" i="3"/>
  <c r="M40" i="3"/>
  <c r="D134" i="3"/>
  <c r="E134" i="3"/>
  <c r="E138" i="3" s="1"/>
  <c r="M131" i="4"/>
  <c r="L131" i="4"/>
  <c r="N134" i="4"/>
  <c r="P134" i="4"/>
  <c r="R134" i="4" s="1"/>
  <c r="Y134" i="4"/>
  <c r="S134" i="4"/>
  <c r="AA134" i="4"/>
  <c r="A36" i="3"/>
  <c r="S36" i="3" s="1"/>
  <c r="D36" i="3"/>
  <c r="L36" i="3"/>
  <c r="M36" i="3" s="1"/>
  <c r="D33" i="3"/>
  <c r="L33" i="3"/>
  <c r="M33" i="3" s="1"/>
  <c r="A33" i="3"/>
  <c r="S33" i="3" s="1"/>
  <c r="D23" i="3"/>
  <c r="L23" i="3"/>
  <c r="M23" i="3" s="1"/>
  <c r="S23" i="3"/>
  <c r="AA139" i="4"/>
  <c r="S139" i="4"/>
  <c r="N139" i="4"/>
  <c r="Y139" i="4"/>
  <c r="P139" i="4"/>
  <c r="R139" i="4" s="1"/>
  <c r="L136" i="4"/>
  <c r="M136" i="4"/>
  <c r="A29" i="3"/>
  <c r="S29" i="3" s="1"/>
  <c r="L29" i="3"/>
  <c r="M29" i="3" s="1"/>
  <c r="D29" i="3"/>
  <c r="AA65" i="4"/>
  <c r="S65" i="4"/>
  <c r="P65" i="4"/>
  <c r="R65" i="4" s="1"/>
  <c r="Y65" i="4"/>
  <c r="N65" i="4"/>
  <c r="D10" i="4"/>
  <c r="E70" i="4"/>
  <c r="D70" i="4"/>
  <c r="D9" i="3"/>
  <c r="A10" i="3"/>
  <c r="S9" i="3"/>
  <c r="L140" i="4"/>
  <c r="M140" i="4"/>
  <c r="L38" i="3"/>
  <c r="M38" i="3" s="1"/>
  <c r="A38" i="3"/>
  <c r="S38" i="3" s="1"/>
  <c r="D38" i="3"/>
  <c r="N67" i="4"/>
  <c r="E68" i="4"/>
  <c r="E67" i="4"/>
  <c r="E66" i="4"/>
  <c r="N66" i="4"/>
  <c r="N68" i="4"/>
  <c r="AB8" i="3"/>
  <c r="A25" i="3"/>
  <c r="S25" i="3" s="1"/>
  <c r="L25" i="3"/>
  <c r="M25" i="3" s="1"/>
  <c r="D25" i="3"/>
  <c r="E74" i="4" l="1"/>
  <c r="S74" i="4" s="1"/>
  <c r="L70" i="4" s="1"/>
  <c r="M66" i="4"/>
  <c r="L66" i="4"/>
  <c r="L134" i="3"/>
  <c r="E136" i="3"/>
  <c r="N136" i="3"/>
  <c r="N135" i="3"/>
  <c r="E135" i="3"/>
  <c r="E137" i="3"/>
  <c r="S138" i="3"/>
  <c r="N137" i="3"/>
  <c r="A12" i="4"/>
  <c r="S11" i="4"/>
  <c r="D129" i="3"/>
  <c r="E129" i="3"/>
  <c r="E133" i="3" s="1"/>
  <c r="M67" i="4"/>
  <c r="L67" i="4"/>
  <c r="M68" i="4"/>
  <c r="L68" i="4"/>
  <c r="S10" i="3"/>
  <c r="A11" i="3"/>
  <c r="E69" i="3"/>
  <c r="E70" i="3"/>
  <c r="D70" i="3"/>
  <c r="N67" i="3"/>
  <c r="E67" i="3"/>
  <c r="E68" i="3"/>
  <c r="N68" i="3"/>
  <c r="N66" i="3"/>
  <c r="S69" i="3"/>
  <c r="L65" i="3" s="1"/>
  <c r="E66" i="3"/>
  <c r="E75" i="4"/>
  <c r="D75" i="4"/>
  <c r="D10" i="3"/>
  <c r="D11" i="4"/>
  <c r="E71" i="4"/>
  <c r="N73" i="4"/>
  <c r="N71" i="4"/>
  <c r="E73" i="4"/>
  <c r="E72" i="4"/>
  <c r="N72" i="4"/>
  <c r="D139" i="3"/>
  <c r="E139" i="3"/>
  <c r="E143" i="3" s="1"/>
  <c r="S70" i="4"/>
  <c r="P70" i="4"/>
  <c r="R70" i="4" s="1"/>
  <c r="Y70" i="4"/>
  <c r="AA70" i="4"/>
  <c r="N70" i="4"/>
  <c r="M73" i="4" l="1"/>
  <c r="L73" i="4"/>
  <c r="M66" i="3"/>
  <c r="L66" i="3"/>
  <c r="E74" i="3"/>
  <c r="L135" i="3"/>
  <c r="M135" i="3"/>
  <c r="S65" i="3"/>
  <c r="P65" i="3"/>
  <c r="R65" i="3" s="1"/>
  <c r="AA65" i="3"/>
  <c r="N65" i="3"/>
  <c r="Y65" i="3"/>
  <c r="S74" i="3"/>
  <c r="L70" i="3" s="1"/>
  <c r="E71" i="3"/>
  <c r="E72" i="3"/>
  <c r="E73" i="3"/>
  <c r="N73" i="3"/>
  <c r="N71" i="3"/>
  <c r="N72" i="3"/>
  <c r="M71" i="4"/>
  <c r="L71" i="4"/>
  <c r="S11" i="3"/>
  <c r="A12" i="3"/>
  <c r="N130" i="3"/>
  <c r="L129" i="3"/>
  <c r="N131" i="3"/>
  <c r="S133" i="3"/>
  <c r="E130" i="3"/>
  <c r="E131" i="3"/>
  <c r="E132" i="3"/>
  <c r="N132" i="3"/>
  <c r="E80" i="4"/>
  <c r="D80" i="4"/>
  <c r="D12" i="4"/>
  <c r="D11" i="3"/>
  <c r="L136" i="3"/>
  <c r="M136" i="3"/>
  <c r="E75" i="3"/>
  <c r="D75" i="3"/>
  <c r="S12" i="4"/>
  <c r="A13" i="4"/>
  <c r="L68" i="3"/>
  <c r="M68" i="3"/>
  <c r="N76" i="4"/>
  <c r="N77" i="4"/>
  <c r="E77" i="4"/>
  <c r="E78" i="4"/>
  <c r="N78" i="4"/>
  <c r="E76" i="4"/>
  <c r="L67" i="3"/>
  <c r="M67" i="3"/>
  <c r="M137" i="3"/>
  <c r="L137" i="3"/>
  <c r="E141" i="3"/>
  <c r="N140" i="3"/>
  <c r="N142" i="3"/>
  <c r="L139" i="3"/>
  <c r="E142" i="3"/>
  <c r="N141" i="3"/>
  <c r="E140" i="3"/>
  <c r="S143" i="3"/>
  <c r="N134" i="3"/>
  <c r="S134" i="3"/>
  <c r="AA134" i="3"/>
  <c r="P134" i="3"/>
  <c r="R134" i="3" s="1"/>
  <c r="Y134" i="3"/>
  <c r="M72" i="4"/>
  <c r="L72" i="4"/>
  <c r="E79" i="4"/>
  <c r="S79" i="4" s="1"/>
  <c r="L75" i="4" s="1"/>
  <c r="L73" i="3" l="1"/>
  <c r="M73" i="3"/>
  <c r="M141" i="3"/>
  <c r="L141" i="3"/>
  <c r="M77" i="4"/>
  <c r="L77" i="4"/>
  <c r="E79" i="3"/>
  <c r="S12" i="3"/>
  <c r="A13" i="3"/>
  <c r="M72" i="3"/>
  <c r="L72" i="3"/>
  <c r="E84" i="4"/>
  <c r="S84" i="4" s="1"/>
  <c r="L80" i="4" s="1"/>
  <c r="X82" i="4"/>
  <c r="M132" i="3"/>
  <c r="L132" i="3"/>
  <c r="L71" i="3"/>
  <c r="M71" i="3"/>
  <c r="L140" i="3"/>
  <c r="M140" i="3"/>
  <c r="M131" i="3"/>
  <c r="L131" i="3"/>
  <c r="N70" i="3"/>
  <c r="AA70" i="3"/>
  <c r="S70" i="3"/>
  <c r="P70" i="3"/>
  <c r="R70" i="3" s="1"/>
  <c r="Y70" i="3"/>
  <c r="Y75" i="4"/>
  <c r="N75" i="4"/>
  <c r="AA75" i="4"/>
  <c r="S75" i="4"/>
  <c r="P75" i="4"/>
  <c r="R75" i="4" s="1"/>
  <c r="M130" i="3"/>
  <c r="L130" i="3"/>
  <c r="L142" i="3"/>
  <c r="M142" i="3"/>
  <c r="N77" i="3"/>
  <c r="N78" i="3"/>
  <c r="S79" i="3"/>
  <c r="L75" i="3" s="1"/>
  <c r="N76" i="3"/>
  <c r="E78" i="3"/>
  <c r="E77" i="3"/>
  <c r="E76" i="3"/>
  <c r="Y139" i="3"/>
  <c r="N139" i="3"/>
  <c r="S139" i="3"/>
  <c r="AA139" i="3"/>
  <c r="P139" i="3"/>
  <c r="R139" i="3" s="1"/>
  <c r="M76" i="4"/>
  <c r="L76" i="4"/>
  <c r="S13" i="4"/>
  <c r="A14" i="4"/>
  <c r="E85" i="4"/>
  <c r="D85" i="4"/>
  <c r="D12" i="3"/>
  <c r="D13" i="4"/>
  <c r="L78" i="4"/>
  <c r="M78" i="4"/>
  <c r="D80" i="3"/>
  <c r="E80" i="3"/>
  <c r="N81" i="4"/>
  <c r="N82" i="4"/>
  <c r="N83" i="4"/>
  <c r="E83" i="4"/>
  <c r="E81" i="4"/>
  <c r="E82" i="4"/>
  <c r="N129" i="3"/>
  <c r="S129" i="3"/>
  <c r="AA129" i="3"/>
  <c r="P129" i="3"/>
  <c r="R129" i="3" s="1"/>
  <c r="Y129" i="3"/>
  <c r="L78" i="3" l="1"/>
  <c r="M78" i="3"/>
  <c r="D85" i="3"/>
  <c r="E85" i="3"/>
  <c r="N87" i="4"/>
  <c r="N86" i="4"/>
  <c r="E86" i="4"/>
  <c r="E88" i="4"/>
  <c r="E87" i="4"/>
  <c r="N88" i="4"/>
  <c r="AA75" i="3"/>
  <c r="S75" i="3"/>
  <c r="P75" i="3"/>
  <c r="R75" i="3" s="1"/>
  <c r="N75" i="3"/>
  <c r="Y75" i="3"/>
  <c r="E89" i="4"/>
  <c r="S89" i="4" s="1"/>
  <c r="L85" i="4" s="1"/>
  <c r="E84" i="3"/>
  <c r="X82" i="3"/>
  <c r="S80" i="4"/>
  <c r="AA80" i="4"/>
  <c r="N80" i="4"/>
  <c r="Y80" i="4"/>
  <c r="P80" i="4"/>
  <c r="R80" i="4" s="1"/>
  <c r="L82" i="4"/>
  <c r="M82" i="4"/>
  <c r="N81" i="3"/>
  <c r="E83" i="3"/>
  <c r="N82" i="3"/>
  <c r="E81" i="3"/>
  <c r="S84" i="3"/>
  <c r="L80" i="3" s="1"/>
  <c r="E82" i="3"/>
  <c r="N83" i="3"/>
  <c r="E90" i="4"/>
  <c r="D90" i="4"/>
  <c r="D14" i="4"/>
  <c r="D13" i="3"/>
  <c r="L81" i="4"/>
  <c r="M81" i="4"/>
  <c r="L76" i="3"/>
  <c r="M76" i="3"/>
  <c r="A15" i="4"/>
  <c r="S14" i="4"/>
  <c r="L83" i="4"/>
  <c r="M83" i="4"/>
  <c r="M77" i="3"/>
  <c r="L77" i="3"/>
  <c r="S13" i="3"/>
  <c r="A14" i="3"/>
  <c r="E89" i="3" l="1"/>
  <c r="L82" i="3"/>
  <c r="M82" i="3"/>
  <c r="M86" i="4"/>
  <c r="L86" i="4"/>
  <c r="L88" i="4"/>
  <c r="M88" i="4"/>
  <c r="E90" i="3"/>
  <c r="D90" i="3"/>
  <c r="N80" i="3"/>
  <c r="AA80" i="3"/>
  <c r="Y80" i="3"/>
  <c r="S80" i="3"/>
  <c r="P80" i="3"/>
  <c r="R80" i="3" s="1"/>
  <c r="E104" i="4"/>
  <c r="D104" i="4"/>
  <c r="D15" i="4"/>
  <c r="D14" i="3"/>
  <c r="M81" i="3"/>
  <c r="L81" i="3"/>
  <c r="D51" i="4"/>
  <c r="BR7" i="4" s="1"/>
  <c r="E92" i="4"/>
  <c r="E93" i="4"/>
  <c r="E91" i="4"/>
  <c r="N91" i="4"/>
  <c r="N93" i="4"/>
  <c r="N92" i="4"/>
  <c r="S15" i="4"/>
  <c r="A16" i="4"/>
  <c r="E94" i="4"/>
  <c r="S94" i="4" s="1"/>
  <c r="L90" i="4" s="1"/>
  <c r="L83" i="3"/>
  <c r="M83" i="3"/>
  <c r="N88" i="3"/>
  <c r="E88" i="3"/>
  <c r="N87" i="3"/>
  <c r="E87" i="3"/>
  <c r="N86" i="3"/>
  <c r="E86" i="3"/>
  <c r="S89" i="3"/>
  <c r="L85" i="3" s="1"/>
  <c r="S14" i="3"/>
  <c r="A15" i="3"/>
  <c r="S85" i="4"/>
  <c r="AA85" i="4"/>
  <c r="P85" i="4"/>
  <c r="R85" i="4" s="1"/>
  <c r="N85" i="4"/>
  <c r="Y85" i="4"/>
  <c r="M87" i="4"/>
  <c r="L87" i="4"/>
  <c r="N85" i="3" l="1"/>
  <c r="AA85" i="3"/>
  <c r="P85" i="3"/>
  <c r="R85" i="3" s="1"/>
  <c r="Y85" i="3"/>
  <c r="S85" i="3"/>
  <c r="L93" i="4"/>
  <c r="M93" i="4"/>
  <c r="E105" i="4"/>
  <c r="E107" i="4"/>
  <c r="N107" i="4"/>
  <c r="N105" i="4"/>
  <c r="N106" i="4"/>
  <c r="E106" i="4"/>
  <c r="E94" i="3"/>
  <c r="Y90" i="4"/>
  <c r="P90" i="4"/>
  <c r="R90" i="4" s="1"/>
  <c r="AA90" i="4"/>
  <c r="N90" i="4"/>
  <c r="S90" i="4"/>
  <c r="M92" i="4"/>
  <c r="L92" i="4"/>
  <c r="E108" i="4"/>
  <c r="S108" i="4" s="1"/>
  <c r="L104" i="4" s="1"/>
  <c r="A17" i="4"/>
  <c r="S16" i="4"/>
  <c r="M91" i="4"/>
  <c r="L91" i="4"/>
  <c r="N91" i="3"/>
  <c r="N92" i="3"/>
  <c r="E91" i="3"/>
  <c r="S94" i="3"/>
  <c r="L90" i="3" s="1"/>
  <c r="E93" i="3"/>
  <c r="N93" i="3"/>
  <c r="E92" i="3"/>
  <c r="D51" i="3"/>
  <c r="M86" i="3"/>
  <c r="L86" i="3"/>
  <c r="M87" i="3"/>
  <c r="L87" i="3"/>
  <c r="L88" i="3"/>
  <c r="M88" i="3"/>
  <c r="D109" i="4"/>
  <c r="E109" i="4"/>
  <c r="D15" i="3"/>
  <c r="D16" i="4"/>
  <c r="S15" i="3"/>
  <c r="A16" i="3"/>
  <c r="D104" i="3"/>
  <c r="E104" i="3"/>
  <c r="E113" i="4" l="1"/>
  <c r="S113" i="4" s="1"/>
  <c r="L109" i="4" s="1"/>
  <c r="S109" i="4" s="1"/>
  <c r="L93" i="3"/>
  <c r="M93" i="3"/>
  <c r="A17" i="3"/>
  <c r="S16" i="3"/>
  <c r="S90" i="3"/>
  <c r="Y90" i="3"/>
  <c r="N90" i="3"/>
  <c r="P90" i="3"/>
  <c r="R90" i="3" s="1"/>
  <c r="AA90" i="3"/>
  <c r="S17" i="4"/>
  <c r="A18" i="4"/>
  <c r="N107" i="3"/>
  <c r="S108" i="3"/>
  <c r="L104" i="3" s="1"/>
  <c r="E105" i="3"/>
  <c r="N105" i="3"/>
  <c r="E106" i="3"/>
  <c r="E107" i="3"/>
  <c r="N106" i="3"/>
  <c r="L91" i="3"/>
  <c r="M91" i="3"/>
  <c r="Y104" i="4"/>
  <c r="N104" i="4"/>
  <c r="S104" i="4"/>
  <c r="AA104" i="4"/>
  <c r="P104" i="4"/>
  <c r="R104" i="4" s="1"/>
  <c r="D114" i="4"/>
  <c r="E114" i="4"/>
  <c r="D17" i="4"/>
  <c r="D16" i="3"/>
  <c r="M106" i="4"/>
  <c r="L106" i="4"/>
  <c r="D109" i="3"/>
  <c r="E109" i="3"/>
  <c r="M105" i="4"/>
  <c r="L105" i="4"/>
  <c r="E112" i="4"/>
  <c r="N112" i="4"/>
  <c r="E111" i="4"/>
  <c r="N110" i="4"/>
  <c r="N111" i="4"/>
  <c r="E110" i="4"/>
  <c r="M92" i="3"/>
  <c r="L92" i="3"/>
  <c r="E108" i="3"/>
  <c r="M107" i="4"/>
  <c r="L107" i="4"/>
  <c r="E113" i="3" l="1"/>
  <c r="P109" i="4"/>
  <c r="R109" i="4" s="1"/>
  <c r="AA109" i="4"/>
  <c r="N109" i="4"/>
  <c r="Y109" i="4"/>
  <c r="S18" i="4"/>
  <c r="A19" i="4"/>
  <c r="A18" i="3"/>
  <c r="S17" i="3"/>
  <c r="S113" i="3"/>
  <c r="L109" i="3" s="1"/>
  <c r="E111" i="3"/>
  <c r="N110" i="3"/>
  <c r="N111" i="3"/>
  <c r="N112" i="3"/>
  <c r="E110" i="3"/>
  <c r="E112" i="3"/>
  <c r="L107" i="3"/>
  <c r="M107" i="3"/>
  <c r="L106" i="3"/>
  <c r="M106" i="3"/>
  <c r="M110" i="4"/>
  <c r="L110" i="4"/>
  <c r="E117" i="4"/>
  <c r="E115" i="4"/>
  <c r="E116" i="4"/>
  <c r="N116" i="4"/>
  <c r="N115" i="4"/>
  <c r="N117" i="4"/>
  <c r="M111" i="4"/>
  <c r="L111" i="4"/>
  <c r="L112" i="4"/>
  <c r="M112" i="4"/>
  <c r="E114" i="3"/>
  <c r="D114" i="3"/>
  <c r="L105" i="3"/>
  <c r="M105" i="3"/>
  <c r="E119" i="4"/>
  <c r="D119" i="4"/>
  <c r="D18" i="4"/>
  <c r="D17" i="3"/>
  <c r="Y104" i="3"/>
  <c r="N104" i="3"/>
  <c r="P104" i="3"/>
  <c r="R104" i="3" s="1"/>
  <c r="AA104" i="3"/>
  <c r="S104" i="3"/>
  <c r="E118" i="4"/>
  <c r="S118" i="4" s="1"/>
  <c r="L114" i="4" s="1"/>
  <c r="E123" i="4" l="1"/>
  <c r="S123" i="4" s="1"/>
  <c r="L119" i="4" s="1"/>
  <c r="N119" i="4" s="1"/>
  <c r="E118" i="3"/>
  <c r="M111" i="3"/>
  <c r="L111" i="3"/>
  <c r="N117" i="3"/>
  <c r="E115" i="3"/>
  <c r="E117" i="3"/>
  <c r="N115" i="3"/>
  <c r="E116" i="3"/>
  <c r="S118" i="3"/>
  <c r="L114" i="3" s="1"/>
  <c r="N116" i="3"/>
  <c r="S109" i="3"/>
  <c r="AA109" i="3"/>
  <c r="Y109" i="3"/>
  <c r="P109" i="3"/>
  <c r="R109" i="3" s="1"/>
  <c r="N109" i="3"/>
  <c r="L116" i="4"/>
  <c r="M116" i="4"/>
  <c r="D119" i="3"/>
  <c r="E119" i="3"/>
  <c r="M115" i="4"/>
  <c r="L115" i="4"/>
  <c r="M112" i="3"/>
  <c r="L112" i="3"/>
  <c r="S18" i="3"/>
  <c r="A19" i="3"/>
  <c r="D124" i="4"/>
  <c r="E124" i="4"/>
  <c r="D18" i="3"/>
  <c r="M117" i="4"/>
  <c r="L117" i="4"/>
  <c r="M110" i="3"/>
  <c r="L110" i="3"/>
  <c r="P114" i="4"/>
  <c r="R114" i="4" s="1"/>
  <c r="AA114" i="4"/>
  <c r="S114" i="4"/>
  <c r="N114" i="4"/>
  <c r="Y114" i="4"/>
  <c r="N122" i="4"/>
  <c r="E121" i="4"/>
  <c r="N120" i="4"/>
  <c r="N121" i="4"/>
  <c r="E122" i="4"/>
  <c r="E120" i="4"/>
  <c r="A20" i="4"/>
  <c r="S19" i="4"/>
  <c r="P119" i="4" l="1"/>
  <c r="R119" i="4" s="1"/>
  <c r="S119" i="4"/>
  <c r="AA119" i="4"/>
  <c r="Y119" i="4"/>
  <c r="E128" i="4"/>
  <c r="E123" i="3"/>
  <c r="M122" i="4"/>
  <c r="L122" i="4"/>
  <c r="D100" i="4"/>
  <c r="BR8" i="4" s="1"/>
  <c r="BR5" i="4" s="1"/>
  <c r="E126" i="4"/>
  <c r="E125" i="4"/>
  <c r="N126" i="4"/>
  <c r="N127" i="4"/>
  <c r="N125" i="4"/>
  <c r="S128" i="4"/>
  <c r="L124" i="4" s="1"/>
  <c r="E127" i="4"/>
  <c r="N122" i="3"/>
  <c r="N120" i="3"/>
  <c r="N121" i="3"/>
  <c r="S123" i="3"/>
  <c r="L119" i="3" s="1"/>
  <c r="E121" i="3"/>
  <c r="E120" i="3"/>
  <c r="E122" i="3"/>
  <c r="A20" i="3"/>
  <c r="A21" i="3" s="1"/>
  <c r="A22" i="3" s="1"/>
  <c r="A23" i="3" s="1"/>
  <c r="A24" i="3" s="1"/>
  <c r="S24" i="3" s="1"/>
  <c r="S19" i="3"/>
  <c r="S114" i="3"/>
  <c r="N114" i="3"/>
  <c r="AA114" i="3"/>
  <c r="Y114" i="3"/>
  <c r="P114" i="3"/>
  <c r="R114" i="3" s="1"/>
  <c r="M121" i="4"/>
  <c r="L121" i="4"/>
  <c r="L116" i="3"/>
  <c r="M116" i="3"/>
  <c r="M117" i="3"/>
  <c r="L117" i="3"/>
  <c r="L120" i="4"/>
  <c r="M120" i="4"/>
  <c r="A21" i="4"/>
  <c r="S20" i="4"/>
  <c r="D124" i="3"/>
  <c r="E124" i="3"/>
  <c r="L115" i="3"/>
  <c r="M115" i="3"/>
  <c r="L121" i="3" l="1"/>
  <c r="M121" i="3"/>
  <c r="Y119" i="3"/>
  <c r="N119" i="3"/>
  <c r="S119" i="3"/>
  <c r="AA119" i="3"/>
  <c r="P119" i="3"/>
  <c r="R119" i="3" s="1"/>
  <c r="M120" i="3"/>
  <c r="L120" i="3"/>
  <c r="E128" i="3"/>
  <c r="M125" i="4"/>
  <c r="L125" i="4"/>
  <c r="M126" i="4"/>
  <c r="L126" i="4"/>
  <c r="N126" i="3"/>
  <c r="E127" i="3"/>
  <c r="N125" i="3"/>
  <c r="S128" i="3"/>
  <c r="L124" i="3" s="1"/>
  <c r="N127" i="3"/>
  <c r="E126" i="3"/>
  <c r="E125" i="3"/>
  <c r="S21" i="4"/>
  <c r="A22" i="4"/>
  <c r="D100" i="3"/>
  <c r="M127" i="4"/>
  <c r="L127" i="4"/>
  <c r="M122" i="3"/>
  <c r="L122" i="3"/>
  <c r="AA124" i="4"/>
  <c r="N124" i="4"/>
  <c r="Y124" i="4"/>
  <c r="P124" i="4"/>
  <c r="R124" i="4" s="1"/>
  <c r="S124" i="4"/>
  <c r="L127" i="3" l="1"/>
  <c r="M127" i="3"/>
  <c r="S22" i="4"/>
  <c r="A23" i="4"/>
  <c r="L125" i="3"/>
  <c r="M125" i="3"/>
  <c r="M126" i="3"/>
  <c r="L126" i="3"/>
  <c r="Y124" i="3"/>
  <c r="AA124" i="3"/>
  <c r="P124" i="3"/>
  <c r="R124" i="3" s="1"/>
  <c r="N124" i="3"/>
  <c r="S124" i="3"/>
  <c r="A24" i="4" l="1"/>
  <c r="S24" i="4" s="1"/>
  <c r="S23" i="4"/>
  <c r="CD70" i="25" l="1"/>
  <c r="CD69" i="25"/>
</calcChain>
</file>

<file path=xl/comments1.xml><?xml version="1.0" encoding="utf-8"?>
<comments xmlns="http://schemas.openxmlformats.org/spreadsheetml/2006/main">
  <authors>
    <author>ESE Service</author>
  </authors>
  <commentList>
    <comment ref="I2" authorId="0">
      <text>
        <r>
          <rPr>
            <b/>
            <sz val="9"/>
            <color indexed="32"/>
            <rFont val="ＭＳ Ｐゴシック"/>
            <family val="3"/>
            <charset val="128"/>
          </rPr>
          <t xml:space="preserve">　  </t>
        </r>
        <r>
          <rPr>
            <b/>
            <sz val="12"/>
            <color indexed="60"/>
            <rFont val="ＭＳ Ｐ明朝"/>
            <family val="1"/>
            <charset val="128"/>
          </rPr>
          <t>……</t>
        </r>
        <r>
          <rPr>
            <b/>
            <sz val="12"/>
            <color indexed="32"/>
            <rFont val="ＭＳ Ｐ明朝"/>
            <family val="1"/>
            <charset val="128"/>
          </rPr>
          <t xml:space="preserve"> </t>
        </r>
        <r>
          <rPr>
            <b/>
            <i/>
            <sz val="16"/>
            <color indexed="60"/>
            <rFont val="Times New Roman"/>
            <family val="1"/>
          </rPr>
          <t>RECS</t>
        </r>
        <r>
          <rPr>
            <b/>
            <i/>
            <sz val="12"/>
            <color indexed="60"/>
            <rFont val="Times New Roman"/>
            <family val="1"/>
          </rPr>
          <t>-</t>
        </r>
        <r>
          <rPr>
            <b/>
            <i/>
            <sz val="14"/>
            <color indexed="60"/>
            <rFont val="Times New Roman"/>
            <family val="1"/>
          </rPr>
          <t>5000E</t>
        </r>
        <r>
          <rPr>
            <b/>
            <sz val="12"/>
            <color indexed="32"/>
            <rFont val="Times New Roman"/>
            <family val="1"/>
          </rPr>
          <t xml:space="preserve">  Top Page</t>
        </r>
        <r>
          <rPr>
            <b/>
            <sz val="12"/>
            <color indexed="32"/>
            <rFont val="ＭＳ Ｐ明朝"/>
            <family val="1"/>
            <charset val="128"/>
          </rPr>
          <t>　</t>
        </r>
        <r>
          <rPr>
            <b/>
            <sz val="12"/>
            <color indexed="37"/>
            <rFont val="ＭＳ Ｐ明朝"/>
            <family val="1"/>
            <charset val="128"/>
          </rPr>
          <t>入</t>
        </r>
        <r>
          <rPr>
            <b/>
            <sz val="14"/>
            <color indexed="60"/>
            <rFont val="ＭＳ Ｐ明朝"/>
            <family val="1"/>
            <charset val="128"/>
          </rPr>
          <t>力必須項目</t>
        </r>
        <r>
          <rPr>
            <b/>
            <sz val="12"/>
            <color indexed="32"/>
            <rFont val="ＭＳ Ｐ明朝"/>
            <family val="1"/>
            <charset val="128"/>
          </rPr>
          <t xml:space="preserve"> </t>
        </r>
        <r>
          <rPr>
            <b/>
            <sz val="12"/>
            <color indexed="60"/>
            <rFont val="ＭＳ Ｐ明朝"/>
            <family val="1"/>
            <charset val="128"/>
          </rPr>
          <t>……</t>
        </r>
        <r>
          <rPr>
            <b/>
            <sz val="20"/>
            <color indexed="32"/>
            <rFont val="ＭＳ Ｐゴシック"/>
            <family val="3"/>
            <charset val="128"/>
          </rPr>
          <t xml:space="preserve"> </t>
        </r>
        <r>
          <rPr>
            <b/>
            <sz val="9"/>
            <color indexed="32"/>
            <rFont val="ＭＳ Ｐゴシック"/>
            <family val="3"/>
            <charset val="128"/>
          </rPr>
          <t xml:space="preserve">
</t>
        </r>
        <r>
          <rPr>
            <b/>
            <sz val="10"/>
            <color theme="1"/>
            <rFont val="ＭＳ Ｐゴシック"/>
            <family val="3"/>
            <charset val="128"/>
          </rPr>
          <t>　</t>
        </r>
        <r>
          <rPr>
            <sz val="10"/>
            <color theme="1"/>
            <rFont val="ＭＳ Ｐゴシック"/>
            <family val="3"/>
            <charset val="128"/>
          </rPr>
          <t>①</t>
        </r>
        <r>
          <rPr>
            <b/>
            <sz val="10"/>
            <color indexed="32"/>
            <rFont val="ＭＳ Ｐゴシック"/>
            <family val="3"/>
            <charset val="128"/>
          </rPr>
          <t>[物件名………]</t>
        </r>
        <r>
          <rPr>
            <b/>
            <sz val="9"/>
            <color indexed="32"/>
            <rFont val="ＭＳ Ｐゴシック"/>
            <family val="3"/>
            <charset val="128"/>
          </rPr>
          <t xml:space="preserve">
</t>
        </r>
        <r>
          <rPr>
            <sz val="9"/>
            <color indexed="81"/>
            <rFont val="Meiryo UI"/>
            <family val="3"/>
            <charset val="128"/>
          </rPr>
          <t>　     　物件名、　工期、　担当、　建築主、　設計者、　一次請負　</t>
        </r>
        <r>
          <rPr>
            <b/>
            <sz val="9"/>
            <color indexed="32"/>
            <rFont val="ＭＳ Ｐゴシック"/>
            <family val="3"/>
            <charset val="128"/>
          </rPr>
          <t xml:space="preserve">
</t>
        </r>
        <r>
          <rPr>
            <b/>
            <sz val="10"/>
            <color indexed="32"/>
            <rFont val="ＭＳ Ｐゴシック"/>
            <family val="3"/>
            <charset val="128"/>
          </rPr>
          <t>　</t>
        </r>
        <r>
          <rPr>
            <sz val="10"/>
            <color indexed="32"/>
            <rFont val="ＭＳ Ｐゴシック"/>
            <family val="3"/>
            <charset val="128"/>
          </rPr>
          <t>②</t>
        </r>
        <r>
          <rPr>
            <b/>
            <sz val="10"/>
            <color indexed="32"/>
            <rFont val="ＭＳ Ｐゴシック"/>
            <family val="3"/>
            <charset val="128"/>
          </rPr>
          <t>[工事発注者………]</t>
        </r>
        <r>
          <rPr>
            <b/>
            <sz val="9"/>
            <color indexed="32"/>
            <rFont val="Meiryo UI"/>
            <family val="3"/>
            <charset val="128"/>
          </rPr>
          <t xml:space="preserve">
</t>
        </r>
        <r>
          <rPr>
            <sz val="9"/>
            <color indexed="32"/>
            <rFont val="Meiryo UI"/>
            <family val="3"/>
            <charset val="128"/>
          </rPr>
          <t>　     　</t>
        </r>
        <r>
          <rPr>
            <sz val="9"/>
            <color indexed="81"/>
            <rFont val="ＭＳ Ｐゴシック"/>
            <family val="3"/>
            <charset val="128"/>
          </rPr>
          <t>工事発注者、　工事名称、　建設地住所、　地点、　</t>
        </r>
        <r>
          <rPr>
            <sz val="9"/>
            <color indexed="81"/>
            <rFont val="Meiryo UI"/>
            <family val="3"/>
            <charset val="128"/>
          </rPr>
          <t>(消防法)</t>
        </r>
        <r>
          <rPr>
            <sz val="9"/>
            <color indexed="81"/>
            <rFont val="ＭＳ Ｐゴシック"/>
            <family val="3"/>
            <charset val="128"/>
          </rPr>
          <t xml:space="preserve">防火対象物
</t>
        </r>
        <r>
          <rPr>
            <sz val="10"/>
            <color indexed="81"/>
            <rFont val="ＭＳ Ｐゴシック"/>
            <family val="3"/>
            <charset val="128"/>
          </rPr>
          <t>　③</t>
        </r>
        <r>
          <rPr>
            <b/>
            <sz val="10"/>
            <color indexed="32"/>
            <rFont val="ＭＳ Ｐゴシック"/>
            <family val="3"/>
            <charset val="128"/>
          </rPr>
          <t>[敷地面積………]</t>
        </r>
        <r>
          <rPr>
            <sz val="9"/>
            <color indexed="81"/>
            <rFont val="Meiryo UI"/>
            <family val="3"/>
            <charset val="128"/>
          </rPr>
          <t xml:space="preserve">
</t>
        </r>
        <r>
          <rPr>
            <sz val="9"/>
            <color indexed="81"/>
            <rFont val="ＭＳ Ｐゴシック"/>
            <family val="3"/>
            <charset val="128"/>
          </rPr>
          <t>　</t>
        </r>
        <r>
          <rPr>
            <sz val="9"/>
            <color indexed="81"/>
            <rFont val="Meiryo UI"/>
            <family val="3"/>
            <charset val="128"/>
          </rPr>
          <t xml:space="preserve">     </t>
        </r>
        <r>
          <rPr>
            <sz val="9"/>
            <color indexed="81"/>
            <rFont val="ＭＳ Ｐゴシック"/>
            <family val="3"/>
            <charset val="128"/>
          </rPr>
          <t>　敷地面積、　敷地</t>
        </r>
        <r>
          <rPr>
            <sz val="9"/>
            <color indexed="81"/>
            <rFont val="Meiryo UI"/>
            <family val="3"/>
            <charset val="128"/>
          </rPr>
          <t>N</t>
        </r>
        <r>
          <rPr>
            <sz val="9"/>
            <color indexed="81"/>
            <rFont val="ＭＳ Ｐゴシック"/>
            <family val="3"/>
            <charset val="128"/>
          </rPr>
          <t xml:space="preserve">、　建物形状、　
</t>
        </r>
        <r>
          <rPr>
            <sz val="9"/>
            <color indexed="81"/>
            <rFont val="Meiryo UI"/>
            <family val="3"/>
            <charset val="128"/>
          </rPr>
          <t>　　　　 階名称、　階高、　1FL GL+、　消防法令別表(防火対象物:(16)イ、(16)ロ)</t>
        </r>
        <r>
          <rPr>
            <sz val="9"/>
            <color indexed="81"/>
            <rFont val="ＭＳ Ｐゴシック"/>
            <family val="3"/>
            <charset val="128"/>
          </rPr>
          <t xml:space="preserve">
　④</t>
        </r>
        <r>
          <rPr>
            <b/>
            <sz val="10"/>
            <color indexed="32"/>
            <rFont val="ＭＳ Ｐゴシック"/>
            <family val="3"/>
            <charset val="128"/>
          </rPr>
          <t>[建物形状(下表)………]</t>
        </r>
        <r>
          <rPr>
            <sz val="9"/>
            <color indexed="81"/>
            <rFont val="Meiryo UI"/>
            <family val="3"/>
            <charset val="128"/>
          </rPr>
          <t xml:space="preserve">
</t>
        </r>
        <r>
          <rPr>
            <sz val="9"/>
            <color indexed="81"/>
            <rFont val="ＭＳ Ｐゴシック"/>
            <family val="3"/>
            <charset val="128"/>
          </rPr>
          <t>　</t>
        </r>
        <r>
          <rPr>
            <sz val="9"/>
            <color indexed="81"/>
            <rFont val="Meiryo UI"/>
            <family val="3"/>
            <charset val="128"/>
          </rPr>
          <t xml:space="preserve">     </t>
        </r>
        <r>
          <rPr>
            <sz val="9"/>
            <color indexed="81"/>
            <rFont val="ＭＳ Ｐゴシック"/>
            <family val="3"/>
            <charset val="128"/>
          </rPr>
          <t>　階別建物形状、　建物平面距離 Ｘ</t>
        </r>
        <r>
          <rPr>
            <sz val="8"/>
            <color indexed="81"/>
            <rFont val="ＭＳ Ｐゴシック"/>
            <family val="3"/>
            <charset val="128"/>
          </rPr>
          <t>1～5</t>
        </r>
        <r>
          <rPr>
            <sz val="9"/>
            <color indexed="81"/>
            <rFont val="ＭＳ Ｐゴシック"/>
            <family val="3"/>
            <charset val="128"/>
          </rPr>
          <t>、Y</t>
        </r>
        <r>
          <rPr>
            <sz val="8"/>
            <color indexed="81"/>
            <rFont val="ＭＳ Ｐゴシック"/>
            <family val="3"/>
            <charset val="128"/>
          </rPr>
          <t>1～5</t>
        </r>
        <r>
          <rPr>
            <sz val="9"/>
            <color indexed="81"/>
            <rFont val="ＭＳ Ｐゴシック"/>
            <family val="3"/>
            <charset val="128"/>
          </rPr>
          <t xml:space="preserve">
</t>
        </r>
        <r>
          <rPr>
            <b/>
            <sz val="9"/>
            <color indexed="81"/>
            <rFont val="ＭＳ Ｐゴシック"/>
            <family val="3"/>
            <charset val="128"/>
          </rPr>
          <t xml:space="preserve">
</t>
        </r>
      </text>
    </comment>
    <comment ref="BZ2" authorId="0">
      <text>
        <r>
          <rPr>
            <b/>
            <sz val="9"/>
            <color indexed="81"/>
            <rFont val="ＭＳ Ｐゴシック"/>
            <family val="3"/>
            <charset val="128"/>
          </rPr>
          <t xml:space="preserve">　   </t>
        </r>
        <r>
          <rPr>
            <b/>
            <sz val="12"/>
            <color indexed="81"/>
            <rFont val="ＭＳ Ｐ明朝"/>
            <family val="1"/>
            <charset val="128"/>
          </rPr>
          <t>バージョン情報</t>
        </r>
        <r>
          <rPr>
            <b/>
            <sz val="18"/>
            <color indexed="32"/>
            <rFont val="ＭＳ Ｐゴシック"/>
            <family val="3"/>
            <charset val="128"/>
          </rPr>
          <t xml:space="preserve"> </t>
        </r>
        <r>
          <rPr>
            <b/>
            <sz val="9"/>
            <color indexed="81"/>
            <rFont val="ＭＳ Ｐゴシック"/>
            <family val="3"/>
            <charset val="128"/>
          </rPr>
          <t xml:space="preserve">
</t>
        </r>
        <r>
          <rPr>
            <b/>
            <sz val="8"/>
            <color indexed="32"/>
            <rFont val="ＭＳ ゴシック"/>
            <family val="3"/>
            <charset val="128"/>
          </rPr>
          <t>　 2012.04/24-Ver.1.0.0</t>
        </r>
        <r>
          <rPr>
            <b/>
            <sz val="12"/>
            <color indexed="32"/>
            <rFont val="ＭＳ ゴシック"/>
            <family val="3"/>
            <charset val="128"/>
          </rPr>
          <t xml:space="preserve"> 
</t>
        </r>
        <r>
          <rPr>
            <b/>
            <sz val="8"/>
            <color indexed="32"/>
            <rFont val="ＭＳ ゴシック"/>
            <family val="3"/>
            <charset val="128"/>
          </rPr>
          <t>　 2012.12/21-Ver.1.1.0
　 2013.06/20-Ver.1.2.0
   2013.10/22-Ver.1.3.0</t>
        </r>
        <r>
          <rPr>
            <sz val="8"/>
            <color indexed="32"/>
            <rFont val="ＭＳ ゴシック"/>
            <family val="3"/>
            <charset val="128"/>
          </rPr>
          <t xml:space="preserve">
</t>
        </r>
        <r>
          <rPr>
            <b/>
            <sz val="8"/>
            <color indexed="32"/>
            <rFont val="ＭＳ ゴシック"/>
            <family val="3"/>
            <charset val="128"/>
          </rPr>
          <t xml:space="preserve">   2014.03/08-Ver.2.0.0</t>
        </r>
        <r>
          <rPr>
            <sz val="8"/>
            <color indexed="32"/>
            <rFont val="ＭＳ ゴシック"/>
            <family val="3"/>
            <charset val="128"/>
          </rPr>
          <t xml:space="preserve">
</t>
        </r>
        <r>
          <rPr>
            <b/>
            <sz val="8"/>
            <color indexed="32"/>
            <rFont val="ＭＳ ゴシック"/>
            <family val="3"/>
            <charset val="128"/>
          </rPr>
          <t xml:space="preserve">   2017.01/18-Ver.2.1.0</t>
        </r>
        <r>
          <rPr>
            <sz val="8"/>
            <color indexed="32"/>
            <rFont val="ＭＳ ゴシック"/>
            <family val="3"/>
            <charset val="128"/>
          </rPr>
          <t xml:space="preserve">
</t>
        </r>
      </text>
    </comment>
    <comment ref="BI5" authorId="0">
      <text>
        <r>
          <rPr>
            <b/>
            <sz val="9"/>
            <color indexed="81"/>
            <rFont val="ＭＳ Ｐゴシック"/>
            <family val="3"/>
            <charset val="128"/>
          </rPr>
          <t xml:space="preserve">　　        </t>
        </r>
        <r>
          <rPr>
            <b/>
            <sz val="12"/>
            <color indexed="37"/>
            <rFont val="ＭＳ Ｐ明朝"/>
            <family val="1"/>
            <charset val="128"/>
          </rPr>
          <t>担当者氏名登録</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xml:space="preserve">   欄外、標準設定値の下部表に登録できます。</t>
        </r>
        <r>
          <rPr>
            <sz val="12"/>
            <color indexed="32"/>
            <rFont val="Meiryo UI"/>
            <family val="3"/>
            <charset val="128"/>
          </rPr>
          <t xml:space="preserve"> 
</t>
        </r>
      </text>
    </comment>
    <comment ref="C7" authorId="0">
      <text>
        <r>
          <rPr>
            <b/>
            <sz val="9"/>
            <color indexed="81"/>
            <rFont val="ＭＳ Ｐゴシック"/>
            <family val="3"/>
            <charset val="128"/>
          </rPr>
          <t xml:space="preserve">　　         </t>
        </r>
        <r>
          <rPr>
            <b/>
            <sz val="12"/>
            <color indexed="37"/>
            <rFont val="ＭＳ Ｐ明朝"/>
            <family val="1"/>
            <charset val="128"/>
          </rPr>
          <t>建築主名登録</t>
        </r>
        <r>
          <rPr>
            <b/>
            <sz val="18"/>
            <color indexed="32"/>
            <rFont val="ＭＳ Ｐゴシック"/>
            <family val="3"/>
            <charset val="128"/>
          </rPr>
          <t xml:space="preserve"> </t>
        </r>
        <r>
          <rPr>
            <b/>
            <sz val="9"/>
            <color indexed="81"/>
            <rFont val="ＭＳ Ｐゴシック"/>
            <family val="3"/>
            <charset val="128"/>
          </rPr>
          <t xml:space="preserve">
</t>
        </r>
        <r>
          <rPr>
            <b/>
            <sz val="9"/>
            <color indexed="32"/>
            <rFont val="Meiryo UI"/>
            <family val="3"/>
            <charset val="128"/>
          </rPr>
          <t xml:space="preserve"> </t>
        </r>
        <r>
          <rPr>
            <sz val="8"/>
            <color indexed="32"/>
            <rFont val="Meiryo UI"/>
            <family val="3"/>
            <charset val="128"/>
          </rPr>
          <t xml:space="preserve">   欄外、標準設定値の下部表に登録できます。 </t>
        </r>
        <r>
          <rPr>
            <sz val="12"/>
            <color indexed="32"/>
            <rFont val="Meiryo UI"/>
            <family val="3"/>
            <charset val="128"/>
          </rPr>
          <t xml:space="preserve"> 
</t>
        </r>
      </text>
    </comment>
    <comment ref="AH7" authorId="0">
      <text>
        <r>
          <rPr>
            <b/>
            <sz val="9"/>
            <color indexed="81"/>
            <rFont val="ＭＳ Ｐゴシック"/>
            <family val="3"/>
            <charset val="128"/>
          </rPr>
          <t xml:space="preserve">　　          </t>
        </r>
        <r>
          <rPr>
            <b/>
            <sz val="12"/>
            <color indexed="37"/>
            <rFont val="ＭＳ Ｐ明朝"/>
            <family val="1"/>
            <charset val="128"/>
          </rPr>
          <t>設計者名登録</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欄外、標準設定値の下部表に登録できます。</t>
        </r>
        <r>
          <rPr>
            <sz val="12"/>
            <color indexed="32"/>
            <rFont val="Meiryo UI"/>
            <family val="3"/>
            <charset val="128"/>
          </rPr>
          <t xml:space="preserve"> 
</t>
        </r>
      </text>
    </comment>
    <comment ref="BC7" authorId="0">
      <text>
        <r>
          <rPr>
            <b/>
            <sz val="9"/>
            <color indexed="81"/>
            <rFont val="ＭＳ Ｐゴシック"/>
            <family val="3"/>
            <charset val="128"/>
          </rPr>
          <t xml:space="preserve">　     </t>
        </r>
        <r>
          <rPr>
            <b/>
            <sz val="12"/>
            <color indexed="37"/>
            <rFont val="ＭＳ Ｐ明朝"/>
            <family val="1"/>
            <charset val="128"/>
          </rPr>
          <t>一次請負業者名登録</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xml:space="preserve">    欄外、標準設定値の下部表に登録できます。</t>
        </r>
        <r>
          <rPr>
            <sz val="12"/>
            <color indexed="32"/>
            <rFont val="Meiryo UI"/>
            <family val="3"/>
            <charset val="128"/>
          </rPr>
          <t xml:space="preserve"> 
</t>
        </r>
      </text>
    </comment>
    <comment ref="BJ14" authorId="0">
      <text>
        <r>
          <rPr>
            <b/>
            <sz val="9"/>
            <color indexed="81"/>
            <rFont val="ＭＳ Ｐゴシック"/>
            <family val="3"/>
            <charset val="128"/>
          </rPr>
          <t xml:space="preserve">　　                 </t>
        </r>
        <r>
          <rPr>
            <b/>
            <sz val="12"/>
            <color indexed="37"/>
            <rFont val="ＭＳ Ｐゴシック"/>
            <family val="3"/>
            <charset val="128"/>
          </rPr>
          <t>標　高  [ｍ]</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標高は、東京湾平均海面 (T.P.) を基準とし、海抜とは、</t>
        </r>
        <r>
          <rPr>
            <sz val="12"/>
            <color indexed="81"/>
            <rFont val="Meiryo UI"/>
            <family val="3"/>
            <charset val="128"/>
          </rPr>
          <t xml:space="preserve"> </t>
        </r>
        <r>
          <rPr>
            <sz val="8"/>
            <color indexed="81"/>
            <rFont val="Meiryo UI"/>
            <family val="3"/>
            <charset val="128"/>
          </rPr>
          <t xml:space="preserve">
      離島等の場合、その島の 平均海面 を基準としています。</t>
        </r>
        <r>
          <rPr>
            <sz val="8"/>
            <color indexed="9"/>
            <rFont val="Meiryo UI"/>
            <family val="3"/>
            <charset val="128"/>
          </rPr>
          <t xml:space="preserve">
</t>
        </r>
        <r>
          <rPr>
            <sz val="8"/>
            <color indexed="32"/>
            <rFont val="Meiryo UI"/>
            <family val="3"/>
            <charset val="128"/>
          </rPr>
          <t xml:space="preserve">    標高の基準は、各都道府県の県庁・市町村庁所在地の値を</t>
        </r>
        <r>
          <rPr>
            <sz val="12"/>
            <color indexed="32"/>
            <rFont val="Meiryo UI"/>
            <family val="3"/>
            <charset val="128"/>
          </rPr>
          <t xml:space="preserve"> </t>
        </r>
        <r>
          <rPr>
            <sz val="8"/>
            <color indexed="32"/>
            <rFont val="Meiryo UI"/>
            <family val="3"/>
            <charset val="128"/>
          </rPr>
          <t xml:space="preserve">
    国土交通省・国土地理院の地形図から読取った値を採用して
    います。この標高の値は、</t>
        </r>
        <r>
          <rPr>
            <sz val="8"/>
            <color indexed="37"/>
            <rFont val="Meiryo UI"/>
            <family val="3"/>
            <charset val="128"/>
          </rPr>
          <t>空調熱源負荷想定</t>
        </r>
        <r>
          <rPr>
            <sz val="8"/>
            <color indexed="32"/>
            <rFont val="Meiryo UI"/>
            <family val="3"/>
            <charset val="128"/>
          </rPr>
          <t>の基準にしていま
    ので正確な建設地の正しい標高、又は海抜を入力して下さい。</t>
        </r>
        <r>
          <rPr>
            <sz val="8"/>
            <color indexed="9"/>
            <rFont val="Meiryo UI"/>
            <family val="3"/>
            <charset val="128"/>
          </rPr>
          <t xml:space="preserve">
   　 </t>
        </r>
        <r>
          <rPr>
            <b/>
            <sz val="8"/>
            <color indexed="37"/>
            <rFont val="Meiryo UI"/>
            <family val="3"/>
            <charset val="128"/>
          </rPr>
          <t>[注]</t>
        </r>
        <r>
          <rPr>
            <sz val="8"/>
            <color indexed="81"/>
            <rFont val="Meiryo UI"/>
            <family val="3"/>
            <charset val="128"/>
          </rPr>
          <t xml:space="preserve"> 各地域の気象データは、国立天文台編 「理科年表」、</t>
        </r>
        <r>
          <rPr>
            <sz val="12"/>
            <color indexed="81"/>
            <rFont val="Meiryo UI"/>
            <family val="3"/>
            <charset val="128"/>
          </rPr>
          <t xml:space="preserve"> </t>
        </r>
        <r>
          <rPr>
            <sz val="8"/>
            <color indexed="81"/>
            <rFont val="Meiryo UI"/>
            <family val="3"/>
            <charset val="128"/>
          </rPr>
          <t xml:space="preserve">
          　 日最高気温の月別平均値[℃]、日最低気温の月別
             平均値[℃]、月別平均相対湿度[％] の各値を採用
             しています。</t>
        </r>
        <r>
          <rPr>
            <sz val="9"/>
            <color indexed="9"/>
            <rFont val="Meiryo UI"/>
            <family val="3"/>
            <charset val="128"/>
          </rPr>
          <t xml:space="preserve">
 </t>
        </r>
      </text>
    </comment>
    <comment ref="AG16" authorId="0">
      <text>
        <r>
          <rPr>
            <b/>
            <sz val="9"/>
            <color indexed="81"/>
            <rFont val="ＭＳ Ｐゴシック"/>
            <family val="3"/>
            <charset val="128"/>
          </rPr>
          <t xml:space="preserve">　 </t>
        </r>
        <r>
          <rPr>
            <b/>
            <sz val="12"/>
            <color indexed="37"/>
            <rFont val="ＭＳ Ｐ明朝"/>
            <family val="1"/>
            <charset val="128"/>
          </rPr>
          <t>特定防火対象物（消防法）</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非常電源として"発電機設備"、"蓄電池</t>
        </r>
        <r>
          <rPr>
            <sz val="12"/>
            <color indexed="32"/>
            <rFont val="Meiryo UI"/>
            <family val="3"/>
            <charset val="128"/>
          </rPr>
          <t xml:space="preserve"> </t>
        </r>
        <r>
          <rPr>
            <sz val="9"/>
            <color indexed="32"/>
            <rFont val="Meiryo UI"/>
            <family val="3"/>
            <charset val="128"/>
          </rPr>
          <t xml:space="preserve">
    </t>
        </r>
        <r>
          <rPr>
            <sz val="8"/>
            <color indexed="32"/>
            <rFont val="Meiryo UI"/>
            <family val="3"/>
            <charset val="128"/>
          </rPr>
          <t>設備"、または"専用受電方式"等が必要に
     なるので、所轄消防署に確認して下さい。</t>
        </r>
        <r>
          <rPr>
            <sz val="9"/>
            <color indexed="9"/>
            <rFont val="Meiryo UI"/>
            <family val="3"/>
            <charset val="128"/>
          </rPr>
          <t xml:space="preserve">
</t>
        </r>
        <r>
          <rPr>
            <sz val="8"/>
            <color indexed="9"/>
            <rFont val="Meiryo UI"/>
            <family val="3"/>
            <charset val="128"/>
          </rPr>
          <t>　　</t>
        </r>
        <r>
          <rPr>
            <sz val="8"/>
            <color indexed="81"/>
            <rFont val="Meiryo UI"/>
            <family val="3"/>
            <charset val="128"/>
          </rPr>
          <t xml:space="preserve">     このセルを "左クリック" して下さい。</t>
        </r>
        <r>
          <rPr>
            <sz val="12"/>
            <color indexed="81"/>
            <rFont val="Meiryo UI"/>
            <family val="3"/>
            <charset val="128"/>
          </rPr>
          <t xml:space="preserve"> </t>
        </r>
        <r>
          <rPr>
            <sz val="8"/>
            <color indexed="9"/>
            <rFont val="Meiryo UI"/>
            <family val="3"/>
            <charset val="128"/>
          </rPr>
          <t xml:space="preserve">
 </t>
        </r>
      </text>
    </comment>
    <comment ref="X18" authorId="0">
      <text>
        <r>
          <rPr>
            <b/>
            <sz val="9"/>
            <color indexed="81"/>
            <rFont val="ＭＳ Ｐゴシック"/>
            <family val="3"/>
            <charset val="128"/>
          </rPr>
          <t>　　　 　　　</t>
        </r>
        <r>
          <rPr>
            <b/>
            <sz val="12"/>
            <color indexed="37"/>
            <rFont val="ＭＳ Ｐ明朝"/>
            <family val="1"/>
            <charset val="128"/>
          </rPr>
          <t>敷地形状</t>
        </r>
        <r>
          <rPr>
            <b/>
            <sz val="18"/>
            <color indexed="32"/>
            <rFont val="ＭＳ Ｐゴシック"/>
            <family val="3"/>
            <charset val="128"/>
          </rPr>
          <t xml:space="preserve"> </t>
        </r>
        <r>
          <rPr>
            <b/>
            <sz val="9"/>
            <color indexed="81"/>
            <rFont val="ＭＳ Ｐゴシック"/>
            <family val="3"/>
            <charset val="128"/>
          </rPr>
          <t xml:space="preserve">
</t>
        </r>
        <r>
          <rPr>
            <b/>
            <sz val="8"/>
            <color indexed="32"/>
            <rFont val="Meiryo UI"/>
            <family val="3"/>
            <charset val="128"/>
          </rPr>
          <t>　</t>
        </r>
        <r>
          <rPr>
            <b/>
            <sz val="8"/>
            <color indexed="32"/>
            <rFont val="ＭＳ Ｐゴシック"/>
            <family val="3"/>
            <charset val="128"/>
          </rPr>
          <t xml:space="preserve">  </t>
        </r>
        <r>
          <rPr>
            <sz val="8"/>
            <color indexed="32"/>
            <rFont val="Meiryo UI"/>
            <family val="3"/>
            <charset val="128"/>
          </rPr>
          <t>敷地の形状とは、敷地の縦の距離に対</t>
        </r>
        <r>
          <rPr>
            <sz val="12"/>
            <color indexed="32"/>
            <rFont val="Meiryo UI"/>
            <family val="3"/>
            <charset val="128"/>
          </rPr>
          <t>　</t>
        </r>
        <r>
          <rPr>
            <sz val="9"/>
            <color indexed="32"/>
            <rFont val="Meiryo UI"/>
            <family val="3"/>
            <charset val="128"/>
          </rPr>
          <t xml:space="preserve">
</t>
        </r>
        <r>
          <rPr>
            <sz val="8"/>
            <color indexed="32"/>
            <rFont val="Meiryo UI"/>
            <family val="3"/>
            <charset val="128"/>
          </rPr>
          <t>　</t>
        </r>
        <r>
          <rPr>
            <sz val="8"/>
            <color indexed="32"/>
            <rFont val="ＭＳ Ｐゴシック"/>
            <family val="3"/>
            <charset val="128"/>
          </rPr>
          <t xml:space="preserve">  </t>
        </r>
        <r>
          <rPr>
            <sz val="8"/>
            <color indexed="32"/>
            <rFont val="Meiryo UI"/>
            <family val="3"/>
            <charset val="128"/>
          </rPr>
          <t xml:space="preserve">する横の距離の割合 </t>
        </r>
        <r>
          <rPr>
            <sz val="8"/>
            <color indexed="81"/>
            <rFont val="Meiryo UI"/>
            <family val="3"/>
            <charset val="128"/>
          </rPr>
          <t>N</t>
        </r>
        <r>
          <rPr>
            <sz val="8"/>
            <color indexed="32"/>
            <rFont val="Meiryo UI"/>
            <family val="3"/>
            <charset val="128"/>
          </rPr>
          <t xml:space="preserve"> で、正方形の
　  場合は </t>
        </r>
        <r>
          <rPr>
            <sz val="8"/>
            <color indexed="81"/>
            <rFont val="Meiryo UI"/>
            <family val="3"/>
            <charset val="128"/>
          </rPr>
          <t>N</t>
        </r>
        <r>
          <rPr>
            <sz val="8"/>
            <color indexed="32"/>
            <rFont val="Meiryo UI"/>
            <family val="3"/>
            <charset val="128"/>
          </rPr>
          <t>=1、横の距離が 2倍の場合
　  は、</t>
        </r>
        <r>
          <rPr>
            <sz val="8"/>
            <color indexed="81"/>
            <rFont val="Meiryo UI"/>
            <family val="3"/>
            <charset val="128"/>
          </rPr>
          <t>N</t>
        </r>
        <r>
          <rPr>
            <sz val="8"/>
            <color indexed="32"/>
            <rFont val="Meiryo UI"/>
            <family val="3"/>
            <charset val="128"/>
          </rPr>
          <t>=2 です。</t>
        </r>
      </text>
    </comment>
    <comment ref="AG18" authorId="0">
      <text>
        <r>
          <rPr>
            <b/>
            <sz val="9"/>
            <color indexed="81"/>
            <rFont val="ＭＳ Ｐゴシック"/>
            <family val="3"/>
            <charset val="128"/>
          </rPr>
          <t xml:space="preserve">　 </t>
        </r>
        <r>
          <rPr>
            <b/>
            <sz val="12"/>
            <color indexed="32"/>
            <rFont val="ＭＳ Ｐ明朝"/>
            <family val="1"/>
            <charset val="128"/>
          </rPr>
          <t>　</t>
        </r>
        <r>
          <rPr>
            <b/>
            <sz val="12"/>
            <color indexed="37"/>
            <rFont val="ＭＳ Ｐゴシック"/>
            <family val="3"/>
            <charset val="128"/>
          </rPr>
          <t>X・Y 入力確認</t>
        </r>
        <r>
          <rPr>
            <b/>
            <sz val="18"/>
            <color indexed="32"/>
            <rFont val="ＭＳ Ｐゴシック"/>
            <family val="3"/>
            <charset val="128"/>
          </rPr>
          <t xml:space="preserve"> </t>
        </r>
        <r>
          <rPr>
            <b/>
            <sz val="9"/>
            <color indexed="81"/>
            <rFont val="ＭＳ Ｐゴシック"/>
            <family val="3"/>
            <charset val="128"/>
          </rPr>
          <t xml:space="preserve">
</t>
        </r>
        <r>
          <rPr>
            <b/>
            <sz val="8"/>
            <color indexed="32"/>
            <rFont val="Meiryo UI"/>
            <family val="3"/>
            <charset val="128"/>
          </rPr>
          <t xml:space="preserve"> </t>
        </r>
        <r>
          <rPr>
            <sz val="8"/>
            <color indexed="32"/>
            <rFont val="Meiryo UI"/>
            <family val="3"/>
            <charset val="128"/>
          </rPr>
          <t>　建物の原点(左下)と敷地の原点</t>
        </r>
        <r>
          <rPr>
            <sz val="12"/>
            <color indexed="32"/>
            <rFont val="Meiryo UI"/>
            <family val="3"/>
            <charset val="128"/>
          </rPr>
          <t xml:space="preserve"> 
</t>
        </r>
        <r>
          <rPr>
            <sz val="8"/>
            <color indexed="32"/>
            <rFont val="Meiryo UI"/>
            <family val="3"/>
            <charset val="128"/>
          </rPr>
          <t xml:space="preserve">   (左下)との離隔距離</t>
        </r>
        <r>
          <rPr>
            <sz val="8"/>
            <color indexed="81"/>
            <rFont val="Meiryo UI"/>
            <family val="3"/>
            <charset val="128"/>
          </rPr>
          <t xml:space="preserve">
      基本設定値：X＝</t>
        </r>
        <r>
          <rPr>
            <b/>
            <sz val="8"/>
            <color indexed="81"/>
            <rFont val="Meiryo UI"/>
            <family val="3"/>
            <charset val="128"/>
          </rPr>
          <t>３</t>
        </r>
        <r>
          <rPr>
            <sz val="8"/>
            <color indexed="81"/>
            <rFont val="Meiryo UI"/>
            <family val="3"/>
            <charset val="128"/>
          </rPr>
          <t>[ｍ]</t>
        </r>
        <r>
          <rPr>
            <sz val="12"/>
            <color indexed="81"/>
            <rFont val="Meiryo UI"/>
            <family val="3"/>
            <charset val="128"/>
          </rPr>
          <t xml:space="preserve"> </t>
        </r>
        <r>
          <rPr>
            <sz val="8"/>
            <color indexed="81"/>
            <rFont val="Meiryo UI"/>
            <family val="3"/>
            <charset val="128"/>
          </rPr>
          <t xml:space="preserve">
                        Y＝</t>
        </r>
        <r>
          <rPr>
            <b/>
            <sz val="8"/>
            <color indexed="81"/>
            <rFont val="Meiryo UI"/>
            <family val="3"/>
            <charset val="128"/>
          </rPr>
          <t>３</t>
        </r>
        <r>
          <rPr>
            <sz val="8"/>
            <color indexed="81"/>
            <rFont val="Meiryo UI"/>
            <family val="3"/>
            <charset val="128"/>
          </rPr>
          <t xml:space="preserve">[ｍ]
 </t>
        </r>
      </text>
    </comment>
    <comment ref="AN18" authorId="0">
      <text>
        <r>
          <rPr>
            <b/>
            <sz val="9"/>
            <color indexed="81"/>
            <rFont val="ＭＳ Ｐゴシック"/>
            <family val="3"/>
            <charset val="128"/>
          </rPr>
          <t xml:space="preserve">　 　　　　　　 </t>
        </r>
        <r>
          <rPr>
            <b/>
            <sz val="12"/>
            <color indexed="37"/>
            <rFont val="ＭＳ Ｐ明朝"/>
            <family val="1"/>
            <charset val="128"/>
          </rPr>
          <t>建物の耐火構造</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9"/>
            <rFont val="ＭＳ Ｐゴシック"/>
            <family val="3"/>
            <charset val="128"/>
          </rPr>
          <t xml:space="preserve">  </t>
        </r>
        <r>
          <rPr>
            <sz val="9"/>
            <color indexed="32"/>
            <rFont val="Meiryo UI"/>
            <family val="3"/>
            <charset val="128"/>
          </rPr>
          <t>耐火構造</t>
        </r>
        <r>
          <rPr>
            <sz val="12"/>
            <color indexed="9"/>
            <rFont val="Meiryo UI"/>
            <family val="3"/>
            <charset val="128"/>
          </rPr>
          <t xml:space="preserve"> </t>
        </r>
        <r>
          <rPr>
            <sz val="8"/>
            <color indexed="9"/>
            <rFont val="Meiryo UI"/>
            <family val="3"/>
            <charset val="128"/>
          </rPr>
          <t xml:space="preserve">
  </t>
        </r>
        <r>
          <rPr>
            <sz val="8"/>
            <color indexed="81"/>
            <rFont val="Meiryo UI"/>
            <family val="3"/>
            <charset val="128"/>
          </rPr>
          <t>　　主要構造部を耐火構造としたもので内装制限をした建築物</t>
        </r>
        <r>
          <rPr>
            <sz val="8"/>
            <color indexed="9"/>
            <rFont val="Meiryo UI"/>
            <family val="3"/>
            <charset val="128"/>
          </rPr>
          <t xml:space="preserve">
  　</t>
        </r>
        <r>
          <rPr>
            <sz val="9"/>
            <color indexed="32"/>
            <rFont val="Meiryo UI"/>
            <family val="3"/>
            <charset val="128"/>
          </rPr>
          <t>準耐火構造</t>
        </r>
        <r>
          <rPr>
            <sz val="12"/>
            <color indexed="32"/>
            <rFont val="Meiryo UI"/>
            <family val="3"/>
            <charset val="128"/>
          </rPr>
          <t xml:space="preserve"> </t>
        </r>
        <r>
          <rPr>
            <sz val="8"/>
            <color indexed="9"/>
            <rFont val="Meiryo UI"/>
            <family val="3"/>
            <charset val="128"/>
          </rPr>
          <t xml:space="preserve">
  </t>
        </r>
        <r>
          <rPr>
            <sz val="8"/>
            <color indexed="81"/>
            <rFont val="Meiryo UI"/>
            <family val="3"/>
            <charset val="128"/>
          </rPr>
          <t>　　主要構造部を準耐火構造としたもの (または同等の準耐火
      性能を有するもの) で内装制限をしたもの、または主要構造
      部を耐火構造とした建築物</t>
        </r>
        <r>
          <rPr>
            <sz val="8"/>
            <color indexed="9"/>
            <rFont val="Meiryo UI"/>
            <family val="3"/>
            <charset val="128"/>
          </rPr>
          <t xml:space="preserve">
  　</t>
        </r>
        <r>
          <rPr>
            <sz val="9"/>
            <color indexed="32"/>
            <rFont val="Meiryo UI"/>
            <family val="3"/>
            <charset val="128"/>
          </rPr>
          <t>非耐火構造</t>
        </r>
        <r>
          <rPr>
            <sz val="12"/>
            <color indexed="32"/>
            <rFont val="Meiryo UI"/>
            <family val="3"/>
            <charset val="128"/>
          </rPr>
          <t xml:space="preserve"> </t>
        </r>
        <r>
          <rPr>
            <sz val="8"/>
            <color indexed="9"/>
            <rFont val="Meiryo UI"/>
            <family val="3"/>
            <charset val="128"/>
          </rPr>
          <t xml:space="preserve">
　  　</t>
        </r>
        <r>
          <rPr>
            <sz val="8"/>
            <color indexed="81"/>
            <rFont val="Meiryo UI"/>
            <family val="3"/>
            <charset val="128"/>
          </rPr>
          <t>上記に該当しない建築物</t>
        </r>
        <r>
          <rPr>
            <sz val="9"/>
            <color indexed="9"/>
            <rFont val="Meiryo UI"/>
            <family val="3"/>
            <charset val="128"/>
          </rPr>
          <t xml:space="preserve">
</t>
        </r>
        <r>
          <rPr>
            <sz val="9"/>
            <color indexed="81"/>
            <rFont val="Meiryo UI"/>
            <family val="3"/>
            <charset val="128"/>
          </rPr>
          <t xml:space="preserve">     ■標準設定値：準耐火構造</t>
        </r>
        <r>
          <rPr>
            <sz val="14"/>
            <color indexed="81"/>
            <rFont val="Meiryo UI"/>
            <family val="3"/>
            <charset val="128"/>
          </rPr>
          <t xml:space="preserve"> </t>
        </r>
        <r>
          <rPr>
            <sz val="9"/>
            <color indexed="9"/>
            <rFont val="Meiryo UI"/>
            <family val="3"/>
            <charset val="128"/>
          </rPr>
          <t xml:space="preserve">
 </t>
        </r>
      </text>
    </comment>
    <comment ref="AY18" authorId="0">
      <text>
        <r>
          <rPr>
            <b/>
            <sz val="9"/>
            <color indexed="81"/>
            <rFont val="ＭＳ Ｐゴシック"/>
            <family val="3"/>
            <charset val="128"/>
          </rPr>
          <t xml:space="preserve">　　    </t>
        </r>
        <r>
          <rPr>
            <b/>
            <sz val="12"/>
            <color indexed="37"/>
            <rFont val="ＭＳ Ｐ明朝"/>
            <family val="1"/>
            <charset val="128"/>
          </rPr>
          <t>建ぺい率</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敷地面積に対する建築面積</t>
        </r>
        <r>
          <rPr>
            <sz val="12"/>
            <color indexed="32"/>
            <rFont val="Meiryo UI"/>
            <family val="3"/>
            <charset val="128"/>
          </rPr>
          <t xml:space="preserve"> </t>
        </r>
        <r>
          <rPr>
            <sz val="8"/>
            <color indexed="32"/>
            <rFont val="Meiryo UI"/>
            <family val="3"/>
            <charset val="128"/>
          </rPr>
          <t xml:space="preserve">
　 (１階床面積) の割合</t>
        </r>
        <r>
          <rPr>
            <sz val="8"/>
            <color indexed="9"/>
            <rFont val="Meiryo UI"/>
            <family val="3"/>
            <charset val="128"/>
          </rPr>
          <t xml:space="preserve">
 　</t>
        </r>
        <r>
          <rPr>
            <sz val="8"/>
            <color indexed="81"/>
            <rFont val="Meiryo UI"/>
            <family val="3"/>
            <charset val="128"/>
          </rPr>
          <t>(注)所轄建築主事に確認要</t>
        </r>
        <r>
          <rPr>
            <sz val="14"/>
            <color indexed="9"/>
            <rFont val="Meiryo UI"/>
            <family val="3"/>
            <charset val="128"/>
          </rPr>
          <t xml:space="preserve"> </t>
        </r>
        <r>
          <rPr>
            <sz val="9"/>
            <color indexed="9"/>
            <rFont val="Meiryo UI"/>
            <family val="3"/>
            <charset val="128"/>
          </rPr>
          <t xml:space="preserve">
 </t>
        </r>
      </text>
    </comment>
    <comment ref="BM18" authorId="0">
      <text>
        <r>
          <rPr>
            <b/>
            <sz val="9"/>
            <color indexed="81"/>
            <rFont val="ＭＳ Ｐゴシック"/>
            <family val="3"/>
            <charset val="128"/>
          </rPr>
          <t xml:space="preserve">　　      </t>
        </r>
        <r>
          <rPr>
            <b/>
            <sz val="12"/>
            <color indexed="37"/>
            <rFont val="ＭＳ Ｐ明朝"/>
            <family val="1"/>
            <charset val="128"/>
          </rPr>
          <t>容積率</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ＭＳ Ｐゴシック"/>
            <family val="3"/>
            <charset val="128"/>
          </rPr>
          <t xml:space="preserve">　 </t>
        </r>
        <r>
          <rPr>
            <sz val="8"/>
            <color indexed="32"/>
            <rFont val="Meiryo UI"/>
            <family val="3"/>
            <charset val="128"/>
          </rPr>
          <t>敷地面積に対する延べ床面積</t>
        </r>
        <r>
          <rPr>
            <sz val="12"/>
            <color indexed="32"/>
            <rFont val="Meiryo UI"/>
            <family val="3"/>
            <charset val="128"/>
          </rPr>
          <t xml:space="preserve"> </t>
        </r>
        <r>
          <rPr>
            <sz val="8"/>
            <color indexed="32"/>
            <rFont val="Meiryo UI"/>
            <family val="3"/>
            <charset val="128"/>
          </rPr>
          <t xml:space="preserve">
　 の割合</t>
        </r>
        <r>
          <rPr>
            <sz val="8"/>
            <color indexed="9"/>
            <rFont val="Meiryo UI"/>
            <family val="3"/>
            <charset val="128"/>
          </rPr>
          <t xml:space="preserve">
　</t>
        </r>
        <r>
          <rPr>
            <sz val="8"/>
            <color indexed="81"/>
            <rFont val="Meiryo UI"/>
            <family val="3"/>
            <charset val="128"/>
          </rPr>
          <t>(注)所轄建築主事に確認要</t>
        </r>
        <r>
          <rPr>
            <sz val="14"/>
            <color indexed="81"/>
            <rFont val="Meiryo UI"/>
            <family val="3"/>
            <charset val="128"/>
          </rPr>
          <t xml:space="preserve"> </t>
        </r>
        <r>
          <rPr>
            <sz val="9"/>
            <color indexed="9"/>
            <rFont val="Meiryo UI"/>
            <family val="3"/>
            <charset val="128"/>
          </rPr>
          <t xml:space="preserve">
 </t>
        </r>
      </text>
    </comment>
    <comment ref="E21" authorId="0">
      <text>
        <r>
          <rPr>
            <b/>
            <sz val="9"/>
            <color indexed="81"/>
            <rFont val="ＭＳ Ｐゴシック"/>
            <family val="3"/>
            <charset val="128"/>
          </rPr>
          <t>　　　　   　</t>
        </r>
        <r>
          <rPr>
            <b/>
            <sz val="12"/>
            <color indexed="37"/>
            <rFont val="ＭＳ Ｐ明朝"/>
            <family val="1"/>
            <charset val="128"/>
          </rPr>
          <t>地階・塔屋</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ＭＳ Ｐゴシック"/>
            <family val="3"/>
            <charset val="128"/>
          </rPr>
          <t xml:space="preserve">　 </t>
        </r>
        <r>
          <rPr>
            <b/>
            <sz val="8"/>
            <color indexed="81"/>
            <rFont val="ＭＳ Ｐゴシック"/>
            <family val="3"/>
            <charset val="128"/>
          </rPr>
          <t>地階</t>
        </r>
        <r>
          <rPr>
            <b/>
            <sz val="12"/>
            <color indexed="32"/>
            <rFont val="ＭＳ Ｐゴシック"/>
            <family val="3"/>
            <charset val="128"/>
          </rPr>
          <t xml:space="preserve"> </t>
        </r>
        <r>
          <rPr>
            <sz val="8"/>
            <color indexed="32"/>
            <rFont val="ＭＳ Ｐゴシック"/>
            <family val="3"/>
            <charset val="128"/>
          </rPr>
          <t xml:space="preserve">
　 　</t>
        </r>
        <r>
          <rPr>
            <sz val="8"/>
            <color indexed="32"/>
            <rFont val="Meiryo UI"/>
            <family val="3"/>
            <charset val="128"/>
          </rPr>
          <t>床面が地盤面(基準GL)より下(地下) に
　 　あり、その低さ が 天井高の １／３ 以上
　 　ある階を言う。</t>
        </r>
        <r>
          <rPr>
            <sz val="8"/>
            <color indexed="32"/>
            <rFont val="ＭＳ Ｐゴシック"/>
            <family val="3"/>
            <charset val="128"/>
          </rPr>
          <t xml:space="preserve">
</t>
        </r>
        <r>
          <rPr>
            <sz val="8"/>
            <color indexed="81"/>
            <rFont val="ＭＳ Ｐゴシック"/>
            <family val="3"/>
            <charset val="128"/>
          </rPr>
          <t xml:space="preserve"> 　</t>
        </r>
        <r>
          <rPr>
            <b/>
            <sz val="8"/>
            <color indexed="81"/>
            <rFont val="ＭＳ Ｐゴシック"/>
            <family val="3"/>
            <charset val="128"/>
          </rPr>
          <t>塔屋(</t>
        </r>
        <r>
          <rPr>
            <b/>
            <sz val="9"/>
            <color indexed="81"/>
            <rFont val="Times New Roman"/>
            <family val="1"/>
          </rPr>
          <t>Penthouse</t>
        </r>
        <r>
          <rPr>
            <b/>
            <sz val="8"/>
            <color indexed="81"/>
            <rFont val="ＭＳ Ｐゴシック"/>
            <family val="3"/>
            <charset val="128"/>
          </rPr>
          <t>)</t>
        </r>
        <r>
          <rPr>
            <sz val="12"/>
            <color indexed="81"/>
            <rFont val="ＭＳ Ｐゴシック"/>
            <family val="3"/>
            <charset val="128"/>
          </rPr>
          <t xml:space="preserve"> </t>
        </r>
        <r>
          <rPr>
            <sz val="8"/>
            <color indexed="32"/>
            <rFont val="ＭＳ Ｐゴシック"/>
            <family val="3"/>
            <charset val="128"/>
          </rPr>
          <t xml:space="preserve">
 　　</t>
        </r>
        <r>
          <rPr>
            <sz val="8"/>
            <color indexed="32"/>
            <rFont val="Meiryo UI"/>
            <family val="3"/>
            <charset val="128"/>
          </rPr>
          <t>建築面積の</t>
        </r>
        <r>
          <rPr>
            <sz val="8"/>
            <color indexed="32"/>
            <rFont val="ＭＳ Ｐゴシック"/>
            <family val="3"/>
            <charset val="128"/>
          </rPr>
          <t xml:space="preserve"> </t>
        </r>
        <r>
          <rPr>
            <sz val="8"/>
            <color indexed="32"/>
            <rFont val="Meiryo UI"/>
            <family val="3"/>
            <charset val="128"/>
          </rPr>
          <t>１／８ 以内を言う。</t>
        </r>
        <r>
          <rPr>
            <sz val="9"/>
            <color indexed="9"/>
            <rFont val="Meiryo UI"/>
            <family val="3"/>
            <charset val="128"/>
          </rPr>
          <t xml:space="preserve">
</t>
        </r>
        <r>
          <rPr>
            <sz val="8"/>
            <color indexed="37"/>
            <rFont val="Meiryo UI"/>
            <family val="3"/>
            <charset val="128"/>
          </rPr>
          <t xml:space="preserve">   【ご注意】</t>
        </r>
        <r>
          <rPr>
            <sz val="9"/>
            <color indexed="81"/>
            <rFont val="Meiryo UI"/>
            <family val="3"/>
            <charset val="128"/>
          </rPr>
          <t xml:space="preserve"> </t>
        </r>
        <r>
          <rPr>
            <sz val="8"/>
            <color indexed="81"/>
            <rFont val="Meiryo UI"/>
            <family val="3"/>
            <charset val="128"/>
          </rPr>
          <t>階名称を 入力するときは、必ず</t>
        </r>
        <r>
          <rPr>
            <sz val="14"/>
            <color indexed="81"/>
            <rFont val="Meiryo UI"/>
            <family val="3"/>
            <charset val="128"/>
          </rPr>
          <t xml:space="preserve"> </t>
        </r>
        <r>
          <rPr>
            <sz val="8"/>
            <color indexed="9"/>
            <rFont val="Meiryo UI"/>
            <family val="3"/>
            <charset val="128"/>
          </rPr>
          <t xml:space="preserve">
</t>
        </r>
        <r>
          <rPr>
            <sz val="8"/>
            <color indexed="81"/>
            <rFont val="Meiryo UI"/>
            <family val="3"/>
            <charset val="128"/>
          </rPr>
          <t xml:space="preserve">               Pull Down List から 選択して
               下さい。</t>
        </r>
        <r>
          <rPr>
            <sz val="8"/>
            <color indexed="9"/>
            <rFont val="Meiryo UI"/>
            <family val="3"/>
            <charset val="128"/>
          </rPr>
          <t xml:space="preserve">
  </t>
        </r>
      </text>
    </comment>
    <comment ref="I21" authorId="0">
      <text>
        <r>
          <rPr>
            <b/>
            <sz val="9"/>
            <color indexed="81"/>
            <rFont val="ＭＳ Ｐゴシック"/>
            <family val="3"/>
            <charset val="128"/>
          </rPr>
          <t>　　　　             　</t>
        </r>
        <r>
          <rPr>
            <b/>
            <sz val="12"/>
            <color indexed="37"/>
            <rFont val="ＭＳ Ｐ明朝"/>
            <family val="1"/>
            <charset val="128"/>
          </rPr>
          <t>建 物 形 状</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t>
        </r>
        <r>
          <rPr>
            <sz val="8"/>
            <color indexed="32"/>
            <rFont val="ＭＳ Ｐゴシック"/>
            <family val="3"/>
            <charset val="128"/>
          </rPr>
          <t xml:space="preserve"> </t>
        </r>
        <r>
          <rPr>
            <sz val="8"/>
            <color indexed="32"/>
            <rFont val="Meiryo UI"/>
            <family val="3"/>
            <charset val="128"/>
          </rPr>
          <t>建物の形状とは、Y方向(縦)の距離に対するX方向(横)の距離の</t>
        </r>
        <r>
          <rPr>
            <sz val="12"/>
            <color indexed="32"/>
            <rFont val="Meiryo UI"/>
            <family val="3"/>
            <charset val="128"/>
          </rPr>
          <t xml:space="preserve"> </t>
        </r>
        <r>
          <rPr>
            <sz val="9"/>
            <color indexed="32"/>
            <rFont val="Meiryo UI"/>
            <family val="3"/>
            <charset val="128"/>
          </rPr>
          <t xml:space="preserve">
</t>
        </r>
        <r>
          <rPr>
            <sz val="8"/>
            <color indexed="32"/>
            <rFont val="Meiryo UI"/>
            <family val="3"/>
            <charset val="128"/>
          </rPr>
          <t xml:space="preserve">　  割合 </t>
        </r>
        <r>
          <rPr>
            <sz val="8"/>
            <color indexed="81"/>
            <rFont val="Meiryo UI"/>
            <family val="3"/>
            <charset val="128"/>
          </rPr>
          <t xml:space="preserve">n </t>
        </r>
        <r>
          <rPr>
            <sz val="8"/>
            <color indexed="32"/>
            <rFont val="Meiryo UI"/>
            <family val="3"/>
            <charset val="128"/>
          </rPr>
          <t xml:space="preserve">で、正方形の場合は </t>
        </r>
        <r>
          <rPr>
            <sz val="8"/>
            <color indexed="81"/>
            <rFont val="Meiryo UI"/>
            <family val="3"/>
            <charset val="128"/>
          </rPr>
          <t>ｎ</t>
        </r>
        <r>
          <rPr>
            <sz val="8"/>
            <color indexed="32"/>
            <rFont val="Meiryo UI"/>
            <family val="3"/>
            <charset val="128"/>
          </rPr>
          <t xml:space="preserve">=1、横の距離が、2倍の場合は、
    </t>
        </r>
        <r>
          <rPr>
            <sz val="8"/>
            <color indexed="81"/>
            <rFont val="Meiryo UI"/>
            <family val="3"/>
            <charset val="128"/>
          </rPr>
          <t>ｎ</t>
        </r>
        <r>
          <rPr>
            <sz val="8"/>
            <color indexed="32"/>
            <rFont val="Meiryo UI"/>
            <family val="3"/>
            <charset val="128"/>
          </rPr>
          <t>=2 です。</t>
        </r>
        <r>
          <rPr>
            <sz val="9"/>
            <color indexed="9"/>
            <rFont val="Meiryo UI"/>
            <family val="3"/>
            <charset val="128"/>
          </rPr>
          <t xml:space="preserve">
</t>
        </r>
        <r>
          <rPr>
            <sz val="8"/>
            <color indexed="18"/>
            <rFont val="Meiryo UI"/>
            <family val="3"/>
            <charset val="128"/>
          </rPr>
          <t xml:space="preserve">    各階で ”</t>
        </r>
        <r>
          <rPr>
            <sz val="8"/>
            <color indexed="81"/>
            <rFont val="Meiryo UI"/>
            <family val="3"/>
            <charset val="128"/>
          </rPr>
          <t>建物形状</t>
        </r>
        <r>
          <rPr>
            <sz val="8"/>
            <color indexed="18"/>
            <rFont val="Meiryo UI"/>
            <family val="3"/>
            <charset val="128"/>
          </rPr>
          <t>” が異なる場合には、それぞれの "ｎ" を "照明</t>
        </r>
        <r>
          <rPr>
            <sz val="14"/>
            <color indexed="18"/>
            <rFont val="Meiryo UI"/>
            <family val="3"/>
            <charset val="128"/>
          </rPr>
          <t xml:space="preserve"> </t>
        </r>
        <r>
          <rPr>
            <sz val="8"/>
            <color indexed="18"/>
            <rFont val="Meiryo UI"/>
            <family val="3"/>
            <charset val="128"/>
          </rPr>
          <t xml:space="preserve"> 
    コンセント設備工事" で入力して下さい。</t>
        </r>
        <r>
          <rPr>
            <sz val="8"/>
            <color indexed="81"/>
            <rFont val="Meiryo UI"/>
            <family val="3"/>
            <charset val="128"/>
          </rPr>
          <t xml:space="preserve">
    建物の形状が、矩形以外の場合は、"ｎ参照" を 参照して下さい。</t>
        </r>
        <r>
          <rPr>
            <sz val="8"/>
            <color indexed="81"/>
            <rFont val="Meiryo UI"/>
            <family val="3"/>
            <charset val="128"/>
          </rPr>
          <t xml:space="preserve">
 </t>
        </r>
      </text>
    </comment>
    <comment ref="AG21" authorId="0">
      <text>
        <r>
          <rPr>
            <b/>
            <sz val="9"/>
            <color indexed="81"/>
            <rFont val="ＭＳ Ｐゴシック"/>
            <family val="3"/>
            <charset val="128"/>
          </rPr>
          <t>　</t>
        </r>
        <r>
          <rPr>
            <b/>
            <sz val="12"/>
            <color indexed="32"/>
            <rFont val="ＭＳ Ｐ明朝"/>
            <family val="1"/>
            <charset val="128"/>
          </rPr>
          <t>　</t>
        </r>
        <r>
          <rPr>
            <b/>
            <sz val="12"/>
            <color indexed="32"/>
            <rFont val="ＭＳ Ｐゴシック"/>
            <family val="3"/>
            <charset val="128"/>
          </rPr>
          <t xml:space="preserve">  </t>
        </r>
        <r>
          <rPr>
            <b/>
            <sz val="12"/>
            <color indexed="32"/>
            <rFont val="ＭＳ Ｐ明朝"/>
            <family val="1"/>
            <charset val="128"/>
          </rPr>
          <t>　</t>
        </r>
        <r>
          <rPr>
            <b/>
            <sz val="12"/>
            <color indexed="32"/>
            <rFont val="ＭＳ Ｐゴシック"/>
            <family val="3"/>
            <charset val="128"/>
          </rPr>
          <t xml:space="preserve"> </t>
        </r>
        <r>
          <rPr>
            <b/>
            <sz val="12"/>
            <color indexed="37"/>
            <rFont val="ＭＳ Ｐ明朝"/>
            <family val="1"/>
            <charset val="128"/>
          </rPr>
          <t>専用部</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t>
        </r>
        <r>
          <rPr>
            <sz val="8"/>
            <color indexed="81"/>
            <rFont val="Meiryo UI"/>
            <family val="3"/>
            <charset val="128"/>
          </rPr>
          <t>(15)項</t>
        </r>
        <r>
          <rPr>
            <sz val="8"/>
            <color indexed="32"/>
            <rFont val="Meiryo UI"/>
            <family val="3"/>
            <charset val="128"/>
          </rPr>
          <t xml:space="preserve"> オフィスビルの場合、事務室、</t>
        </r>
        <r>
          <rPr>
            <sz val="12"/>
            <color indexed="32"/>
            <rFont val="Meiryo UI"/>
            <family val="3"/>
            <charset val="128"/>
          </rPr>
          <t xml:space="preserve"> 
</t>
        </r>
        <r>
          <rPr>
            <sz val="8"/>
            <color indexed="32"/>
            <rFont val="Meiryo UI"/>
            <family val="3"/>
            <charset val="128"/>
          </rPr>
          <t>　　会議室、応接室、役員室等</t>
        </r>
        <r>
          <rPr>
            <sz val="8"/>
            <color indexed="9"/>
            <rFont val="Meiryo UI"/>
            <family val="3"/>
            <charset val="128"/>
          </rPr>
          <t xml:space="preserve">
 </t>
        </r>
      </text>
    </comment>
    <comment ref="AQ21" authorId="0">
      <text>
        <r>
          <rPr>
            <b/>
            <sz val="9"/>
            <color indexed="81"/>
            <rFont val="ＭＳ Ｐゴシック"/>
            <family val="3"/>
            <charset val="128"/>
          </rPr>
          <t>　</t>
        </r>
        <r>
          <rPr>
            <b/>
            <sz val="12"/>
            <color indexed="32"/>
            <rFont val="ＭＳ Ｐ明朝"/>
            <family val="1"/>
            <charset val="128"/>
          </rPr>
          <t>　     　</t>
        </r>
        <r>
          <rPr>
            <b/>
            <sz val="12"/>
            <color indexed="37"/>
            <rFont val="ＭＳ Ｐ明朝"/>
            <family val="1"/>
            <charset val="128"/>
          </rPr>
          <t>共用部</t>
        </r>
        <r>
          <rPr>
            <b/>
            <sz val="16"/>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xml:space="preserve">　 </t>
        </r>
        <r>
          <rPr>
            <sz val="8"/>
            <color indexed="81"/>
            <rFont val="Meiryo UI"/>
            <family val="3"/>
            <charset val="128"/>
          </rPr>
          <t>(15)項</t>
        </r>
        <r>
          <rPr>
            <sz val="8"/>
            <color indexed="32"/>
            <rFont val="Meiryo UI"/>
            <family val="3"/>
            <charset val="128"/>
          </rPr>
          <t xml:space="preserve"> オフィスビルの場合、</t>
        </r>
        <r>
          <rPr>
            <sz val="12"/>
            <color indexed="32"/>
            <rFont val="Meiryo UI"/>
            <family val="3"/>
            <charset val="128"/>
          </rPr>
          <t xml:space="preserve"> 
</t>
        </r>
        <r>
          <rPr>
            <sz val="8"/>
            <color indexed="32"/>
            <rFont val="Meiryo UI"/>
            <family val="3"/>
            <charset val="128"/>
          </rPr>
          <t>　　廊下、階段室、便所、更衣室、倉庫、機械室、
    電気室、ELV、エントランス・ホール、PS・DS・
　　EPS 等</t>
        </r>
        <r>
          <rPr>
            <sz val="8"/>
            <color indexed="9"/>
            <rFont val="Meiryo UI"/>
            <family val="3"/>
            <charset val="128"/>
          </rPr>
          <t xml:space="preserve">
 </t>
        </r>
      </text>
    </comment>
    <comment ref="BI21" authorId="0">
      <text>
        <r>
          <rPr>
            <b/>
            <sz val="9"/>
            <color indexed="81"/>
            <rFont val="ＭＳ Ｐゴシック"/>
            <family val="3"/>
            <charset val="128"/>
          </rPr>
          <t>　　　　</t>
        </r>
        <r>
          <rPr>
            <b/>
            <sz val="12"/>
            <color indexed="37"/>
            <rFont val="ＭＳ Ｐ明朝"/>
            <family val="1"/>
            <charset val="128"/>
          </rPr>
          <t>建築基準法上の無窓</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①採光上の無窓居室</t>
        </r>
        <r>
          <rPr>
            <sz val="12"/>
            <color indexed="9"/>
            <rFont val="Meiryo UI"/>
            <family val="3"/>
            <charset val="128"/>
          </rPr>
          <t xml:space="preserve"> </t>
        </r>
        <r>
          <rPr>
            <sz val="8"/>
            <color indexed="9"/>
            <rFont val="Meiryo UI"/>
            <family val="3"/>
            <charset val="128"/>
          </rPr>
          <t xml:space="preserve">
</t>
        </r>
        <r>
          <rPr>
            <sz val="8"/>
            <color indexed="32"/>
            <rFont val="Meiryo UI"/>
            <family val="3"/>
            <charset val="128"/>
          </rPr>
          <t>　　 窓などの有効採光面積が、その居室の床面積
　　 の 1／20 未満の居室。</t>
        </r>
        <r>
          <rPr>
            <sz val="8"/>
            <color indexed="9"/>
            <rFont val="Meiryo UI"/>
            <family val="3"/>
            <charset val="128"/>
          </rPr>
          <t xml:space="preserve">
　</t>
        </r>
        <r>
          <rPr>
            <sz val="8"/>
            <color indexed="81"/>
            <rFont val="Meiryo UI"/>
            <family val="3"/>
            <charset val="128"/>
          </rPr>
          <t>②換気上の無窓居室</t>
        </r>
        <r>
          <rPr>
            <sz val="14"/>
            <color indexed="9"/>
            <rFont val="Meiryo UI"/>
            <family val="3"/>
            <charset val="128"/>
          </rPr>
          <t xml:space="preserve"> </t>
        </r>
        <r>
          <rPr>
            <sz val="8"/>
            <color indexed="9"/>
            <rFont val="Meiryo UI"/>
            <family val="3"/>
            <charset val="128"/>
          </rPr>
          <t xml:space="preserve">
</t>
        </r>
        <r>
          <rPr>
            <sz val="8"/>
            <color indexed="32"/>
            <rFont val="Meiryo UI"/>
            <family val="3"/>
            <charset val="128"/>
          </rPr>
          <t>　　 窓などの有効換気面積が、その居室の床面積
　　 の 1／20 未満の居室。</t>
        </r>
        <r>
          <rPr>
            <sz val="8"/>
            <color indexed="9"/>
            <rFont val="Meiryo UI"/>
            <family val="3"/>
            <charset val="128"/>
          </rPr>
          <t xml:space="preserve">
　</t>
        </r>
        <r>
          <rPr>
            <sz val="8"/>
            <color indexed="81"/>
            <rFont val="Meiryo UI"/>
            <family val="3"/>
            <charset val="128"/>
          </rPr>
          <t>③排煙上の無窓居室</t>
        </r>
        <r>
          <rPr>
            <sz val="14"/>
            <color indexed="9"/>
            <rFont val="Meiryo UI"/>
            <family val="3"/>
            <charset val="128"/>
          </rPr>
          <t xml:space="preserve"> </t>
        </r>
        <r>
          <rPr>
            <sz val="8"/>
            <color indexed="9"/>
            <rFont val="Meiryo UI"/>
            <family val="3"/>
            <charset val="128"/>
          </rPr>
          <t xml:space="preserve">
</t>
        </r>
        <r>
          <rPr>
            <sz val="8"/>
            <color indexed="32"/>
            <rFont val="Meiryo UI"/>
            <family val="3"/>
            <charset val="128"/>
          </rPr>
          <t>　　 窓などの開口部で天井又は天井から下方80cm
　　 以内の距離にある開放できる部分の面積が、その
　　 居室の床面積の 1／50 未満の居室。</t>
        </r>
        <r>
          <rPr>
            <sz val="8"/>
            <color indexed="9"/>
            <rFont val="Meiryo UI"/>
            <family val="3"/>
            <charset val="128"/>
          </rPr>
          <t xml:space="preserve">
</t>
        </r>
        <r>
          <rPr>
            <sz val="8"/>
            <color indexed="37"/>
            <rFont val="Meiryo UI"/>
            <family val="3"/>
            <charset val="128"/>
          </rPr>
          <t>　 　(注)判定単位：居室－無窓居室</t>
        </r>
        <r>
          <rPr>
            <sz val="16"/>
            <color indexed="37"/>
            <rFont val="Meiryo UI"/>
            <family val="3"/>
            <charset val="128"/>
          </rPr>
          <t>　</t>
        </r>
        <r>
          <rPr>
            <sz val="8"/>
            <color indexed="37"/>
            <rFont val="Meiryo UI"/>
            <family val="3"/>
            <charset val="128"/>
          </rPr>
          <t xml:space="preserve">　　
　　　　　　　　　　　　 </t>
        </r>
        <r>
          <rPr>
            <sz val="6"/>
            <color indexed="37"/>
            <rFont val="Meiryo UI"/>
            <family val="3"/>
            <charset val="128"/>
          </rPr>
          <t xml:space="preserve"> </t>
        </r>
        <r>
          <rPr>
            <sz val="8"/>
            <color indexed="37"/>
            <rFont val="Meiryo UI"/>
            <family val="3"/>
            <charset val="128"/>
          </rPr>
          <t xml:space="preserve">地階は、無窓居室
</t>
        </r>
        <r>
          <rPr>
            <sz val="9"/>
            <color indexed="9"/>
            <rFont val="Meiryo UI"/>
            <family val="3"/>
            <charset val="128"/>
          </rPr>
          <t xml:space="preserve">
</t>
        </r>
      </text>
    </comment>
    <comment ref="BO21" authorId="0">
      <text>
        <r>
          <rPr>
            <b/>
            <sz val="9"/>
            <color indexed="81"/>
            <rFont val="ＭＳ Ｐゴシック"/>
            <family val="3"/>
            <charset val="128"/>
          </rPr>
          <t>　　　  　　　</t>
        </r>
        <r>
          <rPr>
            <b/>
            <sz val="12"/>
            <color indexed="37"/>
            <rFont val="ＭＳ Ｐ明朝"/>
            <family val="1"/>
            <charset val="128"/>
          </rPr>
          <t>消防法上の無窓</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避難上、消火活動上の点から有窓・無窓を判定。</t>
        </r>
        <r>
          <rPr>
            <sz val="12"/>
            <color indexed="32"/>
            <rFont val="Meiryo UI"/>
            <family val="3"/>
            <charset val="128"/>
          </rPr>
          <t xml:space="preserve"> </t>
        </r>
        <r>
          <rPr>
            <sz val="14"/>
            <color indexed="9"/>
            <rFont val="Meiryo UI"/>
            <family val="3"/>
            <charset val="128"/>
          </rPr>
          <t xml:space="preserve">
</t>
        </r>
        <r>
          <rPr>
            <sz val="8"/>
            <color indexed="9"/>
            <rFont val="Meiryo UI"/>
            <family val="3"/>
            <charset val="128"/>
          </rPr>
          <t>　</t>
        </r>
        <r>
          <rPr>
            <sz val="8"/>
            <color indexed="81"/>
            <rFont val="Meiryo UI"/>
            <family val="3"/>
            <charset val="128"/>
          </rPr>
          <t>[１] 地階</t>
        </r>
        <r>
          <rPr>
            <sz val="8"/>
            <color indexed="9"/>
            <rFont val="Meiryo UI"/>
            <family val="3"/>
            <charset val="128"/>
          </rPr>
          <t xml:space="preserve"> 
</t>
        </r>
        <r>
          <rPr>
            <sz val="8"/>
            <color indexed="32"/>
            <rFont val="Meiryo UI"/>
            <family val="3"/>
            <charset val="128"/>
          </rPr>
          <t>　　　 無窓階</t>
        </r>
        <r>
          <rPr>
            <sz val="8"/>
            <color indexed="9"/>
            <rFont val="Meiryo UI"/>
            <family val="3"/>
            <charset val="128"/>
          </rPr>
          <t xml:space="preserve">
　</t>
        </r>
        <r>
          <rPr>
            <sz val="8"/>
            <color indexed="81"/>
            <rFont val="Meiryo UI"/>
            <family val="3"/>
            <charset val="128"/>
          </rPr>
          <t>[２]10階以下の階での無窓階</t>
        </r>
        <r>
          <rPr>
            <sz val="8"/>
            <color indexed="9"/>
            <rFont val="Meiryo UI"/>
            <family val="3"/>
            <charset val="128"/>
          </rPr>
          <t xml:space="preserve">
</t>
        </r>
        <r>
          <rPr>
            <sz val="8"/>
            <color indexed="32"/>
            <rFont val="Meiryo UI"/>
            <family val="3"/>
            <charset val="128"/>
          </rPr>
          <t>　 ①:直径１ｍ以上の円が内接することができる「開口部」
　　　 又は、幅75cm以上、高さ1.2m以上の大型開口部
　　　 が道や道に通じる幅員１m以上の通路に２箇所以上
　　　 面していること。</t>
        </r>
        <r>
          <rPr>
            <sz val="8"/>
            <color indexed="9"/>
            <rFont val="Meiryo UI"/>
            <family val="3"/>
            <charset val="128"/>
          </rPr>
          <t xml:space="preserve">
</t>
        </r>
        <r>
          <rPr>
            <sz val="8"/>
            <color indexed="32"/>
            <rFont val="Meiryo UI"/>
            <family val="3"/>
            <charset val="128"/>
          </rPr>
          <t>　 ②:①の条件を満たし、かつ直径50cm以上の円が内接</t>
        </r>
        <r>
          <rPr>
            <sz val="12"/>
            <color indexed="32"/>
            <rFont val="Meiryo UI"/>
            <family val="3"/>
            <charset val="128"/>
          </rPr>
          <t>　</t>
        </r>
        <r>
          <rPr>
            <sz val="8"/>
            <color indexed="32"/>
            <rFont val="Meiryo UI"/>
            <family val="3"/>
            <charset val="128"/>
          </rPr>
          <t xml:space="preserve">
　　　 することができる「開口部」の面積の合計がその階の床
　　　 面積の 1／30 以下である場合。</t>
        </r>
        <r>
          <rPr>
            <sz val="8"/>
            <color indexed="9"/>
            <rFont val="Meiryo UI"/>
            <family val="3"/>
            <charset val="128"/>
          </rPr>
          <t xml:space="preserve">
　</t>
        </r>
        <r>
          <rPr>
            <sz val="8"/>
            <color indexed="81"/>
            <rFont val="Meiryo UI"/>
            <family val="3"/>
            <charset val="128"/>
          </rPr>
          <t>[３]11階以上の階での無窓階</t>
        </r>
        <r>
          <rPr>
            <sz val="14"/>
            <color indexed="9"/>
            <rFont val="Meiryo UI"/>
            <family val="3"/>
            <charset val="128"/>
          </rPr>
          <t xml:space="preserve"> </t>
        </r>
        <r>
          <rPr>
            <sz val="8"/>
            <color indexed="9"/>
            <rFont val="Meiryo UI"/>
            <family val="3"/>
            <charset val="128"/>
          </rPr>
          <t xml:space="preserve">
</t>
        </r>
        <r>
          <rPr>
            <sz val="8"/>
            <color indexed="32"/>
            <rFont val="Meiryo UI"/>
            <family val="3"/>
            <charset val="128"/>
          </rPr>
          <t>　　　 直径50cm以上の円が内接することができる「開口部」
　　　 の面積の合計がその階の床面積の 1／30 以下である
　　　 場合。</t>
        </r>
        <r>
          <rPr>
            <sz val="8"/>
            <color indexed="9"/>
            <rFont val="Meiryo UI"/>
            <family val="3"/>
            <charset val="128"/>
          </rPr>
          <t xml:space="preserve">
</t>
        </r>
        <r>
          <rPr>
            <sz val="8"/>
            <color indexed="37"/>
            <rFont val="Meiryo UI"/>
            <family val="3"/>
            <charset val="128"/>
          </rPr>
          <t>　   　(注)判定単位：階－無窓階</t>
        </r>
        <r>
          <rPr>
            <sz val="16"/>
            <color indexed="37"/>
            <rFont val="Meiryo UI"/>
            <family val="3"/>
            <charset val="128"/>
          </rPr>
          <t xml:space="preserve"> </t>
        </r>
        <r>
          <rPr>
            <sz val="9"/>
            <color indexed="9"/>
            <rFont val="Meiryo UI"/>
            <family val="3"/>
            <charset val="128"/>
          </rPr>
          <t xml:space="preserve">
</t>
        </r>
      </text>
    </comment>
    <comment ref="BU21" authorId="0">
      <text>
        <r>
          <rPr>
            <b/>
            <sz val="9"/>
            <color indexed="81"/>
            <rFont val="ＭＳ Ｐゴシック"/>
            <family val="3"/>
            <charset val="128"/>
          </rPr>
          <t xml:space="preserve">　 </t>
        </r>
        <r>
          <rPr>
            <b/>
            <sz val="12"/>
            <color indexed="37"/>
            <rFont val="ＭＳ Ｐ明朝"/>
            <family val="1"/>
            <charset val="128"/>
          </rPr>
          <t>用途別防火対象物</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t>
        </r>
        <r>
          <rPr>
            <sz val="8"/>
            <color indexed="32"/>
            <rFont val="ＭＳ Ｐゴシック"/>
            <family val="3"/>
            <charset val="128"/>
          </rPr>
          <t xml:space="preserve"> </t>
        </r>
        <r>
          <rPr>
            <sz val="8"/>
            <color indexed="32"/>
            <rFont val="Meiryo UI"/>
            <family val="3"/>
            <charset val="128"/>
          </rPr>
          <t xml:space="preserve"> 複合用途防火対象物：</t>
        </r>
        <r>
          <rPr>
            <sz val="8"/>
            <color indexed="81"/>
            <rFont val="Meiryo UI"/>
            <family val="3"/>
            <charset val="128"/>
          </rPr>
          <t>(16)イ</t>
        </r>
        <r>
          <rPr>
            <sz val="8"/>
            <color indexed="32"/>
            <rFont val="Meiryo UI"/>
            <family val="3"/>
            <charset val="128"/>
          </rPr>
          <t>、</t>
        </r>
        <r>
          <rPr>
            <sz val="12"/>
            <color indexed="32"/>
            <rFont val="Meiryo UI"/>
            <family val="3"/>
            <charset val="128"/>
          </rPr>
          <t xml:space="preserve"> 
</t>
        </r>
        <r>
          <rPr>
            <sz val="8"/>
            <color indexed="32"/>
            <rFont val="Meiryo UI"/>
            <family val="3"/>
            <charset val="128"/>
          </rPr>
          <t xml:space="preserve">　  </t>
        </r>
        <r>
          <rPr>
            <sz val="8"/>
            <color indexed="81"/>
            <rFont val="Meiryo UI"/>
            <family val="3"/>
            <charset val="128"/>
          </rPr>
          <t>(16)ロ</t>
        </r>
        <r>
          <rPr>
            <sz val="8"/>
            <color indexed="32"/>
            <rFont val="Meiryo UI"/>
            <family val="3"/>
            <charset val="128"/>
          </rPr>
          <t xml:space="preserve"> の場合のみ 各階 ごとに
　  入力して下さい。
 </t>
        </r>
      </text>
    </comment>
    <comment ref="O70" authorId="0">
      <text>
        <r>
          <rPr>
            <b/>
            <sz val="9"/>
            <color indexed="81"/>
            <rFont val="ＭＳ Ｐゴシック"/>
            <family val="3"/>
            <charset val="128"/>
          </rPr>
          <t>　　　　　　　</t>
        </r>
        <r>
          <rPr>
            <b/>
            <sz val="11"/>
            <color indexed="37"/>
            <rFont val="ＭＳ Ｐ明朝"/>
            <family val="1"/>
            <charset val="128"/>
          </rPr>
          <t>非常照明</t>
        </r>
        <r>
          <rPr>
            <b/>
            <sz val="10"/>
            <color indexed="37"/>
            <rFont val="ＭＳ Ｐ明朝"/>
            <family val="1"/>
            <charset val="128"/>
          </rPr>
          <t>(対象建築物)</t>
        </r>
        <r>
          <rPr>
            <b/>
            <sz val="18"/>
            <color indexed="32"/>
            <rFont val="ＭＳ Ｐ明朝"/>
            <family val="1"/>
            <charset val="128"/>
          </rPr>
          <t xml:space="preserve"> </t>
        </r>
        <r>
          <rPr>
            <b/>
            <sz val="12"/>
            <color indexed="32"/>
            <rFont val="ＭＳ Ｐ明朝"/>
            <family val="1"/>
            <charset val="128"/>
          </rPr>
          <t xml:space="preserve">
</t>
        </r>
        <r>
          <rPr>
            <sz val="8"/>
            <color indexed="32"/>
            <rFont val="Meiryo UI"/>
            <family val="3"/>
            <charset val="128"/>
          </rPr>
          <t xml:space="preserve"> </t>
        </r>
        <r>
          <rPr>
            <sz val="8"/>
            <color indexed="81"/>
            <rFont val="Meiryo UI"/>
            <family val="3"/>
            <charset val="128"/>
          </rPr>
          <t>　1. 特殊建築物</t>
        </r>
        <r>
          <rPr>
            <sz val="12"/>
            <color indexed="81"/>
            <rFont val="Meiryo UI"/>
            <family val="3"/>
            <charset val="128"/>
          </rPr>
          <t xml:space="preserve"> </t>
        </r>
        <r>
          <rPr>
            <sz val="8"/>
            <color indexed="81"/>
            <rFont val="Meiryo UI"/>
            <family val="3"/>
            <charset val="128"/>
          </rPr>
          <t xml:space="preserve">
　　① 劇場、映画館、演芸場、観覧場、公会堂、集会場
　　② 病院、診療所（患者の収容施設があるものに限る）、
　　　　ホテル、旅館、下宿、共同住宅、寄宿舎、児童福祉
　　　　施設等
　　③ 学校等、博物館、美術館、図書館
　　④ 百貨店、マーケット、展示場、キャバレー、カフェー、
　　　　ナイトクラブ、バー、ダンスホール、遊技場、公衆浴場、
　　　　待合、料理店、飲食店、物品販売業を営む店舗
　　　　(床面積10m2以内のものを除く)</t>
        </r>
        <r>
          <rPr>
            <sz val="9"/>
            <color indexed="81"/>
            <rFont val="Meiryo UI"/>
            <family val="3"/>
            <charset val="128"/>
          </rPr>
          <t xml:space="preserve">
</t>
        </r>
        <r>
          <rPr>
            <sz val="8"/>
            <color indexed="81"/>
            <rFont val="Meiryo UI"/>
            <family val="3"/>
            <charset val="128"/>
          </rPr>
          <t>　 2. 階数≧3 で、延べ面積≧500㎡ の建築物</t>
        </r>
        <r>
          <rPr>
            <sz val="12"/>
            <color indexed="81"/>
            <rFont val="Meiryo UI"/>
            <family val="3"/>
            <charset val="128"/>
          </rPr>
          <t xml:space="preserve"> </t>
        </r>
        <r>
          <rPr>
            <sz val="8"/>
            <color indexed="81"/>
            <rFont val="Meiryo UI"/>
            <family val="3"/>
            <charset val="128"/>
          </rPr>
          <t xml:space="preserve">
　 3. 延べ面積＞1,000m2 の建築物</t>
        </r>
        <r>
          <rPr>
            <sz val="10"/>
            <color indexed="81"/>
            <rFont val="Meiryo UI"/>
            <family val="3"/>
            <charset val="128"/>
          </rPr>
          <t>　</t>
        </r>
        <r>
          <rPr>
            <sz val="8"/>
            <color indexed="81"/>
            <rFont val="Meiryo UI"/>
            <family val="3"/>
            <charset val="128"/>
          </rPr>
          <t xml:space="preserve">
　 4. 無窓の居室を有する建築物</t>
        </r>
        <r>
          <rPr>
            <sz val="10"/>
            <color indexed="9"/>
            <rFont val="Meiryo UI"/>
            <family val="3"/>
            <charset val="128"/>
          </rPr>
          <t>　</t>
        </r>
        <r>
          <rPr>
            <sz val="8"/>
            <color indexed="9"/>
            <rFont val="Meiryo UI"/>
            <family val="3"/>
            <charset val="128"/>
          </rPr>
          <t xml:space="preserve">
　　　　</t>
        </r>
        <r>
          <rPr>
            <sz val="8"/>
            <color indexed="32"/>
            <rFont val="Meiryo UI"/>
            <family val="3"/>
            <charset val="128"/>
          </rPr>
          <t>学校等とは、学校、体育館、ボーリング場、スキー場、</t>
        </r>
        <r>
          <rPr>
            <sz val="12"/>
            <color indexed="32"/>
            <rFont val="Meiryo UI"/>
            <family val="3"/>
            <charset val="128"/>
          </rPr>
          <t xml:space="preserve"> </t>
        </r>
        <r>
          <rPr>
            <sz val="8"/>
            <color indexed="32"/>
            <rFont val="Meiryo UI"/>
            <family val="3"/>
            <charset val="128"/>
          </rPr>
          <t xml:space="preserve">
　　　　スケート場、水泳場又はスポーツの練習場をいう
　　　（「建基令」第126条の2）</t>
        </r>
        <r>
          <rPr>
            <sz val="8"/>
            <color indexed="9"/>
            <rFont val="Meiryo UI"/>
            <family val="3"/>
            <charset val="128"/>
          </rPr>
          <t xml:space="preserve">
</t>
        </r>
      </text>
    </comment>
    <comment ref="Q70" authorId="0">
      <text>
        <r>
          <rPr>
            <b/>
            <sz val="9"/>
            <color indexed="81"/>
            <rFont val="ＭＳ Ｐゴシック"/>
            <family val="3"/>
            <charset val="128"/>
          </rPr>
          <t>　　　</t>
        </r>
        <r>
          <rPr>
            <b/>
            <sz val="11"/>
            <color indexed="37"/>
            <rFont val="ＭＳ Ｐ明朝"/>
            <family val="1"/>
            <charset val="128"/>
          </rPr>
          <t>非常照明</t>
        </r>
        <r>
          <rPr>
            <b/>
            <sz val="10"/>
            <color indexed="37"/>
            <rFont val="ＭＳ Ｐ明朝"/>
            <family val="1"/>
            <charset val="128"/>
          </rPr>
          <t>(対象建築物のうち設置義務のある部分)</t>
        </r>
        <r>
          <rPr>
            <b/>
            <sz val="18"/>
            <color indexed="32"/>
            <rFont val="ＭＳ Ｐ明朝"/>
            <family val="1"/>
            <charset val="128"/>
          </rPr>
          <t>　</t>
        </r>
        <r>
          <rPr>
            <b/>
            <sz val="10"/>
            <color indexed="32"/>
            <rFont val="ＭＳ Ｐ明朝"/>
            <family val="1"/>
            <charset val="128"/>
          </rPr>
          <t xml:space="preserve">
</t>
        </r>
        <r>
          <rPr>
            <sz val="8"/>
            <color indexed="81"/>
            <rFont val="Meiryo UI"/>
            <family val="3"/>
            <charset val="128"/>
          </rPr>
          <t>　</t>
        </r>
        <r>
          <rPr>
            <sz val="8"/>
            <color indexed="81"/>
            <rFont val="ＭＳ Ｐ明朝"/>
            <family val="1"/>
            <charset val="128"/>
          </rPr>
          <t xml:space="preserve">  </t>
        </r>
        <r>
          <rPr>
            <sz val="8"/>
            <color indexed="81"/>
            <rFont val="Meiryo UI"/>
            <family val="3"/>
            <charset val="128"/>
          </rPr>
          <t>1. ① 居室</t>
        </r>
        <r>
          <rPr>
            <sz val="12"/>
            <color indexed="81"/>
            <rFont val="Meiryo UI"/>
            <family val="3"/>
            <charset val="128"/>
          </rPr>
          <t xml:space="preserve"> </t>
        </r>
        <r>
          <rPr>
            <sz val="8"/>
            <color indexed="81"/>
            <rFont val="Meiryo UI"/>
            <family val="3"/>
            <charset val="128"/>
          </rPr>
          <t xml:space="preserve">
　    　② 令第116条の2第1項第一号に該当する窓その他の開口部を有しない
  　  　　　居室（無窓居室）
　    　③ ①及び②の居室から、地上へ通ずる避難路となる廊下、階段その他の通路
　    　④ ①②又は③に類する部分、例えば、廊下に接するロビー、通り抜け避難に
　  　  　　用いられる場所、その他通常、照明設備が必要とされる部分
　  2. 階数≧3 で、延べ面積≧500㎡ の建築物</t>
        </r>
        <r>
          <rPr>
            <sz val="12"/>
            <color indexed="81"/>
            <rFont val="Meiryo UI"/>
            <family val="3"/>
            <charset val="128"/>
          </rPr>
          <t xml:space="preserve"> </t>
        </r>
        <r>
          <rPr>
            <sz val="8"/>
            <color indexed="81"/>
            <rFont val="Meiryo UI"/>
            <family val="3"/>
            <charset val="128"/>
          </rPr>
          <t xml:space="preserve">
　  3. 延べ面積＞1,000m2 の建築物</t>
        </r>
        <r>
          <rPr>
            <sz val="10"/>
            <color indexed="81"/>
            <rFont val="Meiryo UI"/>
            <family val="3"/>
            <charset val="128"/>
          </rPr>
          <t>　</t>
        </r>
        <r>
          <rPr>
            <sz val="8"/>
            <color indexed="81"/>
            <rFont val="Meiryo UI"/>
            <family val="3"/>
            <charset val="128"/>
          </rPr>
          <t xml:space="preserve">
　  4. ① 無窓の居室
　　　 ② ①の居室から、地上へ通ずる避難路となる廊下、階段その他の通路
　　　 ③ ①又は②に類する部分、例えば、廊下に接するロビー、通り抜け避難に
　　　　　 用いられる場所、その他通常、照明設備が必要とされる部分</t>
        </r>
        <r>
          <rPr>
            <sz val="8"/>
            <color indexed="9"/>
            <rFont val="Meiryo UI"/>
            <family val="3"/>
            <charset val="128"/>
          </rPr>
          <t xml:space="preserve">
　　</t>
        </r>
        <r>
          <rPr>
            <sz val="8"/>
            <color indexed="32"/>
            <rFont val="Meiryo UI"/>
            <family val="3"/>
            <charset val="128"/>
          </rPr>
          <t>居室とは、居住、執務、作業、集会、娯楽その他これらに類する目的のために</t>
        </r>
        <r>
          <rPr>
            <sz val="12"/>
            <color indexed="32"/>
            <rFont val="Meiryo UI"/>
            <family val="3"/>
            <charset val="128"/>
          </rPr>
          <t xml:space="preserve"> </t>
        </r>
        <r>
          <rPr>
            <sz val="8"/>
            <color indexed="32"/>
            <rFont val="Meiryo UI"/>
            <family val="3"/>
            <charset val="128"/>
          </rPr>
          <t xml:space="preserve">
　　　 継続的に使用する室をいう。
    無窓居室とは、採光に有効な部分の面積の合計が、当該居室の床面積の
　　　 1/20以上の開口部を有しない居室をいう。
 </t>
        </r>
      </text>
    </comment>
    <comment ref="S70"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非常照明</t>
        </r>
        <r>
          <rPr>
            <b/>
            <sz val="18"/>
            <color indexed="32"/>
            <rFont val="ＭＳ Ｐ明朝"/>
            <family val="1"/>
            <charset val="128"/>
          </rPr>
          <t xml:space="preserve"> </t>
        </r>
        <r>
          <rPr>
            <b/>
            <sz val="16"/>
            <color indexed="32"/>
            <rFont val="ＭＳ Ｐ明朝"/>
            <family val="1"/>
            <charset val="128"/>
          </rPr>
          <t xml:space="preserve">
</t>
        </r>
        <r>
          <rPr>
            <b/>
            <sz val="10"/>
            <color indexed="32"/>
            <rFont val="ＭＳ Ｐ明朝"/>
            <family val="1"/>
            <charset val="128"/>
          </rPr>
          <t xml:space="preserve">   　</t>
        </r>
        <r>
          <rPr>
            <b/>
            <sz val="10"/>
            <color indexed="37"/>
            <rFont val="ＭＳ Ｐ明朝"/>
            <family val="1"/>
            <charset val="128"/>
          </rPr>
          <t>(対象建築物のうち設置義務免除の建築物又は部分)</t>
        </r>
        <r>
          <rPr>
            <b/>
            <sz val="10"/>
            <color indexed="32"/>
            <rFont val="ＭＳ Ｐ明朝"/>
            <family val="1"/>
            <charset val="128"/>
          </rPr>
          <t xml:space="preserve"> 
</t>
        </r>
        <r>
          <rPr>
            <sz val="8"/>
            <color indexed="81"/>
            <rFont val="Meiryo UI"/>
            <family val="3"/>
            <charset val="128"/>
          </rPr>
          <t>　　　① イ. 病院の病室 　　　　　　② 共同住宅、長屋の住戸</t>
        </r>
        <r>
          <rPr>
            <sz val="12"/>
            <color indexed="81"/>
            <rFont val="Meiryo UI"/>
            <family val="3"/>
            <charset val="128"/>
          </rPr>
          <t xml:space="preserve"> </t>
        </r>
        <r>
          <rPr>
            <sz val="8"/>
            <color indexed="81"/>
            <rFont val="Meiryo UI"/>
            <family val="3"/>
            <charset val="128"/>
          </rPr>
          <t xml:space="preserve">
　　　 　 ロ. 下宿の宿泊室　　　　　③ 学校等
　　　　  ハ. 寄宿舎の寝室　　　　　④ 採光上有効に直接外気に開放された
　　　　  ニ. これらの類似室　　　　　　　廊下や屋外階段等
　　　⑤ 平12建告示第1411号による居室等</t>
        </r>
        <r>
          <rPr>
            <sz val="11"/>
            <color indexed="81"/>
            <rFont val="Meiryo UI"/>
            <family val="3"/>
            <charset val="128"/>
          </rPr>
          <t xml:space="preserve">  </t>
        </r>
        <r>
          <rPr>
            <sz val="8"/>
            <color indexed="81"/>
            <rFont val="Meiryo UI"/>
            <family val="3"/>
            <charset val="128"/>
          </rPr>
          <t>　　　⑥ その他
　　2. 上記の①②③④⑤⑥１戸建住宅</t>
        </r>
        <r>
          <rPr>
            <sz val="11"/>
            <color indexed="81"/>
            <rFont val="Meiryo UI"/>
            <family val="3"/>
            <charset val="128"/>
          </rPr>
          <t xml:space="preserve"> </t>
        </r>
        <r>
          <rPr>
            <sz val="8"/>
            <color indexed="81"/>
            <rFont val="Meiryo UI"/>
            <family val="3"/>
            <charset val="128"/>
          </rPr>
          <t xml:space="preserve">
　　3. 上記の①②③④⑤⑥１戸建住宅
　　4. 上記の①②③④</t>
        </r>
        <r>
          <rPr>
            <sz val="8"/>
            <color indexed="9"/>
            <rFont val="Meiryo UI"/>
            <family val="3"/>
            <charset val="128"/>
          </rPr>
          <t xml:space="preserve">
　　 </t>
        </r>
        <r>
          <rPr>
            <sz val="8"/>
            <color indexed="32"/>
            <rFont val="Meiryo UI"/>
            <family val="3"/>
            <charset val="128"/>
          </rPr>
          <t>平12建告示第1411号による居室とは、避難階で歩行距離 30m 以内</t>
        </r>
        <r>
          <rPr>
            <sz val="12"/>
            <color indexed="32"/>
            <rFont val="Meiryo UI"/>
            <family val="3"/>
            <charset val="128"/>
          </rPr>
          <t xml:space="preserve"> 
</t>
        </r>
        <r>
          <rPr>
            <sz val="8"/>
            <color indexed="32"/>
            <rFont val="Meiryo UI"/>
            <family val="3"/>
            <charset val="128"/>
          </rPr>
          <t>　　 の居室、直下階、直上階では歩行距離 20m 以内の居室(通路は必要)
　　 ⑥その他とは、</t>
        </r>
        <r>
          <rPr>
            <sz val="11"/>
            <color indexed="32"/>
            <rFont val="Meiryo UI"/>
            <family val="3"/>
            <charset val="128"/>
          </rPr>
          <t xml:space="preserve"> </t>
        </r>
        <r>
          <rPr>
            <sz val="8"/>
            <color indexed="9"/>
            <rFont val="Meiryo UI"/>
            <family val="3"/>
            <charset val="128"/>
          </rPr>
          <t xml:space="preserve">
　　　</t>
        </r>
        <r>
          <rPr>
            <sz val="8"/>
            <color indexed="32"/>
            <rFont val="Meiryo UI"/>
            <family val="3"/>
            <charset val="128"/>
          </rPr>
          <t>a）ホテル、旅館等において、前室と奥の部屋の間がふすま、障子等随時
　　　　　 開放することができるもので仕切られた２部屋は、１部屋と見なして
　　　　　 よいので、避難経路に近い前室に設置すればよい。</t>
        </r>
        <r>
          <rPr>
            <sz val="8"/>
            <color indexed="9"/>
            <rFont val="Meiryo UI"/>
            <family val="3"/>
            <charset val="128"/>
          </rPr>
          <t xml:space="preserve">
</t>
        </r>
        <r>
          <rPr>
            <sz val="8"/>
            <color indexed="32"/>
            <rFont val="Meiryo UI"/>
            <family val="3"/>
            <charset val="128"/>
          </rPr>
          <t xml:space="preserve">　　　　　 ただし、ふすま等を開放した状態で法定照度を確保すること。
　　　b）地下駐車場の駐車スペースは居室に該当せず、車路は、人が通常
　　　　　 出入りする通路ではないので必ずしも法的には必要がない。ただし避難
　　　　　 のために通路として使用されることがあるので設置することが望ましい。
 </t>
        </r>
      </text>
    </comment>
    <comment ref="U70" authorId="0">
      <text>
        <r>
          <rPr>
            <b/>
            <sz val="9"/>
            <color indexed="81"/>
            <rFont val="ＭＳ Ｐゴシック"/>
            <family val="3"/>
            <charset val="128"/>
          </rPr>
          <t xml:space="preserve">　　　　  </t>
        </r>
        <r>
          <rPr>
            <b/>
            <sz val="11"/>
            <color indexed="37"/>
            <rFont val="ＭＳ Ｐ明朝"/>
            <family val="1"/>
            <charset val="128"/>
          </rPr>
          <t>誘導灯記号</t>
        </r>
        <r>
          <rPr>
            <b/>
            <sz val="18"/>
            <color indexed="32"/>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t>
        </r>
        <r>
          <rPr>
            <sz val="9"/>
            <color indexed="81"/>
            <rFont val="ＭＳ Ｐゴシック"/>
            <family val="3"/>
            <charset val="128"/>
          </rPr>
          <t xml:space="preserve"> </t>
        </r>
        <r>
          <rPr>
            <sz val="9"/>
            <color indexed="81"/>
            <rFont val="Meiryo UI"/>
            <family val="3"/>
            <charset val="128"/>
          </rPr>
          <t>X1：避難口誘導灯(外部出口)</t>
        </r>
        <r>
          <rPr>
            <sz val="12"/>
            <color indexed="9"/>
            <rFont val="Meiryo UI"/>
            <family val="3"/>
            <charset val="128"/>
          </rPr>
          <t xml:space="preserve"> </t>
        </r>
        <r>
          <rPr>
            <sz val="9"/>
            <color indexed="9"/>
            <rFont val="Meiryo UI"/>
            <family val="3"/>
            <charset val="128"/>
          </rPr>
          <t xml:space="preserve">
　 </t>
        </r>
        <r>
          <rPr>
            <sz val="9"/>
            <color indexed="32"/>
            <rFont val="Meiryo UI"/>
            <family val="3"/>
            <charset val="128"/>
          </rPr>
          <t>Y1：</t>
        </r>
        <r>
          <rPr>
            <sz val="9"/>
            <color indexed="81"/>
            <rFont val="Meiryo UI"/>
            <family val="3"/>
            <charset val="128"/>
          </rPr>
          <t>室内通路誘導灯</t>
        </r>
        <r>
          <rPr>
            <sz val="9"/>
            <color indexed="9"/>
            <rFont val="Meiryo UI"/>
            <family val="3"/>
            <charset val="128"/>
          </rPr>
          <t xml:space="preserve">
 　</t>
        </r>
        <r>
          <rPr>
            <sz val="9"/>
            <color indexed="32"/>
            <rFont val="Meiryo UI"/>
            <family val="3"/>
            <charset val="128"/>
          </rPr>
          <t>X2：</t>
        </r>
        <r>
          <rPr>
            <sz val="9"/>
            <color indexed="81"/>
            <rFont val="Meiryo UI"/>
            <family val="3"/>
            <charset val="128"/>
          </rPr>
          <t>室内避難口誘導灯</t>
        </r>
        <r>
          <rPr>
            <sz val="9"/>
            <color indexed="9"/>
            <rFont val="Meiryo UI"/>
            <family val="3"/>
            <charset val="128"/>
          </rPr>
          <t xml:space="preserve">
</t>
        </r>
        <r>
          <rPr>
            <sz val="9"/>
            <color indexed="32"/>
            <rFont val="Meiryo UI"/>
            <family val="3"/>
            <charset val="128"/>
          </rPr>
          <t>　 Y2：</t>
        </r>
        <r>
          <rPr>
            <sz val="9"/>
            <color indexed="81"/>
            <rFont val="Meiryo UI"/>
            <family val="3"/>
            <charset val="128"/>
          </rPr>
          <t>廊下通路誘導灯</t>
        </r>
        <r>
          <rPr>
            <sz val="9"/>
            <color indexed="32"/>
            <rFont val="Meiryo UI"/>
            <family val="3"/>
            <charset val="128"/>
          </rPr>
          <t xml:space="preserve">
</t>
        </r>
        <r>
          <rPr>
            <sz val="8.5"/>
            <color indexed="32"/>
            <rFont val="Meiryo UI"/>
            <family val="3"/>
            <charset val="128"/>
          </rPr>
          <t xml:space="preserve">　  </t>
        </r>
        <r>
          <rPr>
            <sz val="9"/>
            <color indexed="32"/>
            <rFont val="Meiryo UI"/>
            <family val="3"/>
            <charset val="128"/>
          </rPr>
          <t>Z ：</t>
        </r>
        <r>
          <rPr>
            <sz val="9"/>
            <color indexed="81"/>
            <rFont val="Meiryo UI"/>
            <family val="3"/>
            <charset val="128"/>
          </rPr>
          <t>廊下通路誘導灯</t>
        </r>
        <r>
          <rPr>
            <sz val="9"/>
            <color indexed="32"/>
            <rFont val="Meiryo UI"/>
            <family val="3"/>
            <charset val="128"/>
          </rPr>
          <t xml:space="preserve">
 　X3：</t>
        </r>
        <r>
          <rPr>
            <sz val="9"/>
            <color indexed="81"/>
            <rFont val="Meiryo UI"/>
            <family val="3"/>
            <charset val="128"/>
          </rPr>
          <t>階段通路誘導灯</t>
        </r>
        <r>
          <rPr>
            <sz val="9"/>
            <color indexed="32"/>
            <rFont val="Meiryo UI"/>
            <family val="3"/>
            <charset val="128"/>
          </rPr>
          <t xml:space="preserve">
 　Yk：</t>
        </r>
        <r>
          <rPr>
            <sz val="9"/>
            <color indexed="81"/>
            <rFont val="Meiryo UI"/>
            <family val="3"/>
            <charset val="128"/>
          </rPr>
          <t xml:space="preserve">客席誘導灯
 </t>
        </r>
      </text>
    </comment>
    <comment ref="AE70" authorId="0">
      <text>
        <r>
          <rPr>
            <b/>
            <sz val="9"/>
            <color indexed="81"/>
            <rFont val="ＭＳ Ｐゴシック"/>
            <family val="3"/>
            <charset val="128"/>
          </rPr>
          <t>　　　　</t>
        </r>
        <r>
          <rPr>
            <b/>
            <sz val="12"/>
            <color indexed="32"/>
            <rFont val="ＭＳ Ｐ明朝"/>
            <family val="1"/>
            <charset val="128"/>
          </rPr>
          <t>　</t>
        </r>
        <r>
          <rPr>
            <b/>
            <sz val="11"/>
            <color indexed="37"/>
            <rFont val="ＭＳ Ｐ明朝"/>
            <family val="1"/>
            <charset val="128"/>
          </rPr>
          <t>誘導灯設置基準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xml:space="preserve">　① </t>
        </r>
        <r>
          <rPr>
            <sz val="8"/>
            <color indexed="32"/>
            <rFont val="Meiryo UI"/>
            <family val="3"/>
            <charset val="128"/>
          </rPr>
          <t>令別表第１の特定用途防火対象物(ただし、</t>
        </r>
        <r>
          <rPr>
            <sz val="12"/>
            <color indexed="9"/>
            <rFont val="Meiryo UI"/>
            <family val="3"/>
            <charset val="128"/>
          </rPr>
          <t xml:space="preserve"> </t>
        </r>
        <r>
          <rPr>
            <sz val="8"/>
            <color indexed="9"/>
            <rFont val="Meiryo UI"/>
            <family val="3"/>
            <charset val="128"/>
          </rPr>
          <t xml:space="preserve">
　　　</t>
        </r>
        <r>
          <rPr>
            <sz val="8"/>
            <color indexed="81"/>
            <rFont val="Meiryo UI"/>
            <family val="3"/>
            <charset val="128"/>
          </rPr>
          <t>(9)イ</t>
        </r>
        <r>
          <rPr>
            <sz val="8"/>
            <color indexed="32"/>
            <rFont val="Meiryo UI"/>
            <family val="3"/>
            <charset val="128"/>
          </rPr>
          <t>[蒸気浴場等]は除く。)</t>
        </r>
        <r>
          <rPr>
            <sz val="8"/>
            <color indexed="9"/>
            <rFont val="Meiryo UI"/>
            <family val="3"/>
            <charset val="128"/>
          </rPr>
          <t xml:space="preserve">
　</t>
        </r>
        <r>
          <rPr>
            <sz val="8"/>
            <color indexed="32"/>
            <rFont val="Meiryo UI"/>
            <family val="3"/>
            <charset val="128"/>
          </rPr>
          <t>② 上記以外の防火対象物で</t>
        </r>
        <r>
          <rPr>
            <sz val="8"/>
            <color indexed="9"/>
            <rFont val="Meiryo UI"/>
            <family val="3"/>
            <charset val="128"/>
          </rPr>
          <t>、</t>
        </r>
        <r>
          <rPr>
            <sz val="8"/>
            <color indexed="81"/>
            <rFont val="Meiryo UI"/>
            <family val="3"/>
            <charset val="128"/>
          </rPr>
          <t>地階</t>
        </r>
        <r>
          <rPr>
            <sz val="8"/>
            <color indexed="9"/>
            <rFont val="Meiryo UI"/>
            <family val="3"/>
            <charset val="128"/>
          </rPr>
          <t>、</t>
        </r>
        <r>
          <rPr>
            <sz val="8"/>
            <color indexed="81"/>
            <rFont val="Meiryo UI"/>
            <family val="3"/>
            <charset val="128"/>
          </rPr>
          <t>無窓階</t>
        </r>
        <r>
          <rPr>
            <sz val="8"/>
            <color indexed="9"/>
            <rFont val="Meiryo UI"/>
            <family val="3"/>
            <charset val="128"/>
          </rPr>
          <t>、</t>
        </r>
        <r>
          <rPr>
            <sz val="12"/>
            <color indexed="9"/>
            <rFont val="Meiryo UI"/>
            <family val="3"/>
            <charset val="128"/>
          </rPr>
          <t xml:space="preserve"> </t>
        </r>
        <r>
          <rPr>
            <sz val="8"/>
            <color indexed="9"/>
            <rFont val="Meiryo UI"/>
            <family val="3"/>
            <charset val="128"/>
          </rPr>
          <t xml:space="preserve">
　　　</t>
        </r>
        <r>
          <rPr>
            <sz val="8"/>
            <color indexed="81"/>
            <rFont val="Meiryo UI"/>
            <family val="3"/>
            <charset val="128"/>
          </rPr>
          <t>11階以上</t>
        </r>
        <r>
          <rPr>
            <sz val="8"/>
            <color indexed="32"/>
            <rFont val="Meiryo UI"/>
            <family val="3"/>
            <charset val="128"/>
          </rPr>
          <t>の部分</t>
        </r>
        <r>
          <rPr>
            <sz val="8"/>
            <color indexed="9"/>
            <rFont val="Meiryo UI"/>
            <family val="3"/>
            <charset val="128"/>
          </rPr>
          <t xml:space="preserve">
　</t>
        </r>
        <r>
          <rPr>
            <sz val="8"/>
            <color indexed="32"/>
            <rFont val="Meiryo UI"/>
            <family val="3"/>
            <charset val="128"/>
          </rPr>
          <t>③ 客席誘導灯：令別表第１の特定用途防火</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対象物</t>
        </r>
        <r>
          <rPr>
            <sz val="8"/>
            <color indexed="9"/>
            <rFont val="Meiryo UI"/>
            <family val="3"/>
            <charset val="128"/>
          </rPr>
          <t xml:space="preserve"> </t>
        </r>
        <r>
          <rPr>
            <sz val="8"/>
            <color indexed="81"/>
            <rFont val="Meiryo UI"/>
            <family val="3"/>
            <charset val="128"/>
          </rPr>
          <t>(1)イ</t>
        </r>
        <r>
          <rPr>
            <sz val="8"/>
            <color indexed="9"/>
            <rFont val="Meiryo UI"/>
            <family val="3"/>
            <charset val="128"/>
          </rPr>
          <t>、</t>
        </r>
        <r>
          <rPr>
            <sz val="8"/>
            <color indexed="81"/>
            <rFont val="Meiryo UI"/>
            <family val="3"/>
            <charset val="128"/>
          </rPr>
          <t>ロ</t>
        </r>
        <r>
          <rPr>
            <sz val="8"/>
            <color indexed="9"/>
            <rFont val="Meiryo UI"/>
            <family val="3"/>
            <charset val="128"/>
          </rPr>
          <t xml:space="preserve"> </t>
        </r>
        <r>
          <rPr>
            <sz val="8"/>
            <color indexed="32"/>
            <rFont val="Meiryo UI"/>
            <family val="3"/>
            <charset val="128"/>
          </rPr>
          <t>[劇場・集会場等]</t>
        </r>
      </text>
    </comment>
    <comment ref="AH70" authorId="0">
      <text>
        <r>
          <rPr>
            <b/>
            <sz val="9"/>
            <color indexed="81"/>
            <rFont val="ＭＳ Ｐゴシック"/>
            <family val="3"/>
            <charset val="128"/>
          </rPr>
          <t>　　　　　</t>
        </r>
        <r>
          <rPr>
            <b/>
            <sz val="11"/>
            <color indexed="37"/>
            <rFont val="ＭＳ Ｐ明朝"/>
            <family val="1"/>
            <charset val="128"/>
          </rPr>
          <t>非常警報設備設置基準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xml:space="preserve">　① </t>
        </r>
        <r>
          <rPr>
            <sz val="8"/>
            <color indexed="32"/>
            <rFont val="Meiryo UI"/>
            <family val="3"/>
            <charset val="128"/>
          </rPr>
          <t>非常ベル・自動式サイレン・放送設備のうち、いずれかを</t>
        </r>
        <r>
          <rPr>
            <sz val="12"/>
            <color indexed="32"/>
            <rFont val="Meiryo UI"/>
            <family val="3"/>
            <charset val="128"/>
          </rPr>
          <t xml:space="preserve"> </t>
        </r>
        <r>
          <rPr>
            <sz val="8"/>
            <color indexed="32"/>
            <rFont val="Meiryo UI"/>
            <family val="3"/>
            <charset val="128"/>
          </rPr>
          <t xml:space="preserve">
　　　設置する。</t>
        </r>
        <r>
          <rPr>
            <sz val="8"/>
            <color indexed="9"/>
            <rFont val="Meiryo UI"/>
            <family val="3"/>
            <charset val="128"/>
          </rPr>
          <t xml:space="preserve">
　　　</t>
        </r>
        <r>
          <rPr>
            <sz val="8"/>
            <color indexed="81"/>
            <rFont val="Meiryo UI"/>
            <family val="3"/>
            <charset val="128"/>
          </rPr>
          <t>イ．(1)～(17)：</t>
        </r>
        <r>
          <rPr>
            <sz val="8"/>
            <color indexed="32"/>
            <rFont val="Meiryo UI"/>
            <family val="3"/>
            <charset val="128"/>
          </rPr>
          <t>収容人員 ≧ 50
　　　　　　　　　　　　　　収容人員 ≧ 20 (地階・無窓階)</t>
        </r>
        <r>
          <rPr>
            <sz val="8"/>
            <color indexed="9"/>
            <rFont val="Meiryo UI"/>
            <family val="3"/>
            <charset val="128"/>
          </rPr>
          <t xml:space="preserve">
　　　</t>
        </r>
        <r>
          <rPr>
            <sz val="8"/>
            <color indexed="81"/>
            <rFont val="Meiryo UI"/>
            <family val="3"/>
            <charset val="128"/>
          </rPr>
          <t>ロ．(5)イ、(6)イ、(9)イ：</t>
        </r>
        <r>
          <rPr>
            <sz val="8"/>
            <color indexed="32"/>
            <rFont val="Meiryo UI"/>
            <family val="3"/>
            <charset val="128"/>
          </rPr>
          <t>収容人員 ≧ 20</t>
        </r>
        <r>
          <rPr>
            <sz val="8"/>
            <color indexed="9"/>
            <rFont val="Meiryo UI"/>
            <family val="3"/>
            <charset val="128"/>
          </rPr>
          <t xml:space="preserve">
　</t>
        </r>
        <r>
          <rPr>
            <sz val="8"/>
            <color indexed="81"/>
            <rFont val="Meiryo UI"/>
            <family val="3"/>
            <charset val="128"/>
          </rPr>
          <t>②</t>
        </r>
        <r>
          <rPr>
            <sz val="8"/>
            <color indexed="32"/>
            <rFont val="Meiryo UI"/>
            <family val="3"/>
            <charset val="128"/>
          </rPr>
          <t xml:space="preserve"> 放送設備を設置し、非常ベル・自動式サイレンを併設する。</t>
        </r>
        <r>
          <rPr>
            <sz val="12"/>
            <color indexed="9"/>
            <rFont val="Meiryo UI"/>
            <family val="3"/>
            <charset val="128"/>
          </rPr>
          <t>　</t>
        </r>
        <r>
          <rPr>
            <sz val="8"/>
            <color indexed="9"/>
            <rFont val="Meiryo UI"/>
            <family val="3"/>
            <charset val="128"/>
          </rPr>
          <t xml:space="preserve">
　　　</t>
        </r>
        <r>
          <rPr>
            <sz val="8"/>
            <color indexed="81"/>
            <rFont val="Meiryo UI"/>
            <family val="3"/>
            <charset val="128"/>
          </rPr>
          <t>イ．(1)～(18)：</t>
        </r>
        <r>
          <rPr>
            <sz val="8"/>
            <color indexed="32"/>
            <rFont val="Meiryo UI"/>
            <family val="3"/>
            <charset val="128"/>
          </rPr>
          <t>階数 ≧ 11、　地階の階数 ≧ 3</t>
        </r>
        <r>
          <rPr>
            <sz val="8"/>
            <color indexed="9"/>
            <rFont val="Meiryo UI"/>
            <family val="3"/>
            <charset val="128"/>
          </rPr>
          <t xml:space="preserve">
　　　</t>
        </r>
        <r>
          <rPr>
            <sz val="8"/>
            <color indexed="81"/>
            <rFont val="Meiryo UI"/>
            <family val="3"/>
            <charset val="128"/>
          </rPr>
          <t>ロ．(1)～(4)、(5)イ、(6)、(9)イ：</t>
        </r>
        <r>
          <rPr>
            <sz val="8"/>
            <color indexed="32"/>
            <rFont val="Meiryo UI"/>
            <family val="3"/>
            <charset val="128"/>
          </rPr>
          <t>収容人員 ≧ 300</t>
        </r>
        <r>
          <rPr>
            <sz val="8"/>
            <color indexed="9"/>
            <rFont val="Meiryo UI"/>
            <family val="3"/>
            <charset val="128"/>
          </rPr>
          <t xml:space="preserve">
　　　</t>
        </r>
        <r>
          <rPr>
            <sz val="8"/>
            <color indexed="81"/>
            <rFont val="Meiryo UI"/>
            <family val="3"/>
            <charset val="128"/>
          </rPr>
          <t>ハ．(16)：</t>
        </r>
        <r>
          <rPr>
            <sz val="8"/>
            <color indexed="32"/>
            <rFont val="Meiryo UI"/>
            <family val="3"/>
            <charset val="128"/>
          </rPr>
          <t>収容人員 ≧ 500</t>
        </r>
        <r>
          <rPr>
            <sz val="8"/>
            <color indexed="9"/>
            <rFont val="Meiryo UI"/>
            <family val="3"/>
            <charset val="128"/>
          </rPr>
          <t xml:space="preserve">
　　　</t>
        </r>
        <r>
          <rPr>
            <sz val="8"/>
            <color indexed="81"/>
            <rFont val="Meiryo UI"/>
            <family val="3"/>
            <charset val="128"/>
          </rPr>
          <t>ニ．(5)ロ、(7)、(8)：</t>
        </r>
        <r>
          <rPr>
            <sz val="8"/>
            <color indexed="32"/>
            <rFont val="Meiryo UI"/>
            <family val="3"/>
            <charset val="128"/>
          </rPr>
          <t>収容人員 ≧ 800</t>
        </r>
        <r>
          <rPr>
            <sz val="8"/>
            <color indexed="9"/>
            <rFont val="Meiryo UI"/>
            <family val="3"/>
            <charset val="128"/>
          </rPr>
          <t xml:space="preserve">
　　　</t>
        </r>
        <r>
          <rPr>
            <sz val="8"/>
            <color indexed="81"/>
            <rFont val="Meiryo UI"/>
            <family val="3"/>
            <charset val="128"/>
          </rPr>
          <t>ホ．16の2、16の3：</t>
        </r>
        <r>
          <rPr>
            <sz val="8"/>
            <color indexed="32"/>
            <rFont val="Meiryo UI"/>
            <family val="3"/>
            <charset val="128"/>
          </rPr>
          <t>全て設置</t>
        </r>
        <r>
          <rPr>
            <sz val="8"/>
            <color indexed="9"/>
            <rFont val="Meiryo UI"/>
            <family val="3"/>
            <charset val="128"/>
          </rPr>
          <t xml:space="preserve">
　　</t>
        </r>
        <r>
          <rPr>
            <sz val="9"/>
            <color indexed="81"/>
            <rFont val="Meiryo UI"/>
            <family val="3"/>
            <charset val="128"/>
          </rPr>
          <t>緩和規程</t>
        </r>
        <r>
          <rPr>
            <sz val="16"/>
            <color indexed="9"/>
            <rFont val="Meiryo UI"/>
            <family val="3"/>
            <charset val="128"/>
          </rPr>
          <t xml:space="preserve"> </t>
        </r>
        <r>
          <rPr>
            <sz val="8"/>
            <color indexed="9"/>
            <rFont val="Meiryo UI"/>
            <family val="3"/>
            <charset val="128"/>
          </rPr>
          <t xml:space="preserve">
　　　</t>
        </r>
        <r>
          <rPr>
            <sz val="8"/>
            <color indexed="81"/>
            <rFont val="Meiryo UI"/>
            <family val="3"/>
            <charset val="128"/>
          </rPr>
          <t xml:space="preserve">① </t>
        </r>
        <r>
          <rPr>
            <sz val="8"/>
            <color indexed="32"/>
            <rFont val="Meiryo UI"/>
            <family val="3"/>
            <charset val="128"/>
          </rPr>
          <t>自動火災報知設備を設置した場合、その有効範囲内の</t>
        </r>
        <r>
          <rPr>
            <sz val="8"/>
            <color indexed="9"/>
            <rFont val="Meiryo UI"/>
            <family val="3"/>
            <charset val="128"/>
          </rPr>
          <t xml:space="preserve">
　　　　　</t>
        </r>
        <r>
          <rPr>
            <sz val="8"/>
            <color indexed="32"/>
            <rFont val="Meiryo UI"/>
            <family val="3"/>
            <charset val="128"/>
          </rPr>
          <t>部分には非常ベル等を省略できる。</t>
        </r>
        <r>
          <rPr>
            <sz val="8"/>
            <color indexed="9"/>
            <rFont val="Meiryo UI"/>
            <family val="3"/>
            <charset val="128"/>
          </rPr>
          <t xml:space="preserve">
　　　</t>
        </r>
        <r>
          <rPr>
            <sz val="8"/>
            <color indexed="81"/>
            <rFont val="Meiryo UI"/>
            <family val="3"/>
            <charset val="128"/>
          </rPr>
          <t>②</t>
        </r>
        <r>
          <rPr>
            <sz val="8"/>
            <color indexed="32"/>
            <rFont val="Meiryo UI"/>
            <family val="3"/>
            <charset val="128"/>
          </rPr>
          <t xml:space="preserve"> 自動火災報知設備を設置した場合、放送設備 (有効
　　　　　音響機能を有するもの) のみ設置することができる。</t>
        </r>
      </text>
    </comment>
    <comment ref="AN70" authorId="0">
      <text>
        <r>
          <rPr>
            <b/>
            <sz val="12"/>
            <color indexed="32"/>
            <rFont val="ＭＳ Ｐ明朝"/>
            <family val="1"/>
            <charset val="128"/>
          </rPr>
          <t xml:space="preserve">   </t>
        </r>
        <r>
          <rPr>
            <b/>
            <sz val="11"/>
            <color indexed="37"/>
            <rFont val="ＭＳ Ｐ明朝"/>
            <family val="1"/>
            <charset val="128"/>
          </rPr>
          <t>消防機関へ通報する火災報知設備設置基準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t>
        </r>
        <r>
          <rPr>
            <sz val="8"/>
            <color indexed="81"/>
            <rFont val="ＭＳ Ｐゴシック"/>
            <family val="3"/>
            <charset val="128"/>
          </rPr>
          <t xml:space="preserve">   </t>
        </r>
        <r>
          <rPr>
            <sz val="8"/>
            <color indexed="32"/>
            <rFont val="Meiryo UI"/>
            <family val="3"/>
            <charset val="128"/>
          </rPr>
          <t>①</t>
        </r>
        <r>
          <rPr>
            <sz val="8"/>
            <color indexed="81"/>
            <rFont val="Meiryo UI"/>
            <family val="3"/>
            <charset val="128"/>
          </rPr>
          <t xml:space="preserve"> (1)、(2)、(4)、(5)イ、(6)イ、ハ、ニ、(12)：</t>
        </r>
        <r>
          <rPr>
            <sz val="8"/>
            <color indexed="32"/>
            <rFont val="Meiryo UI"/>
            <family val="3"/>
            <charset val="128"/>
          </rPr>
          <t>延床面積 ≧ 500m</t>
        </r>
        <r>
          <rPr>
            <vertAlign val="superscript"/>
            <sz val="8"/>
            <color indexed="32"/>
            <rFont val="Meiryo UI"/>
            <family val="3"/>
            <charset val="128"/>
          </rPr>
          <t>2</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②</t>
        </r>
        <r>
          <rPr>
            <sz val="8"/>
            <color indexed="9"/>
            <rFont val="Meiryo UI"/>
            <family val="3"/>
            <charset val="128"/>
          </rPr>
          <t xml:space="preserve"> </t>
        </r>
        <r>
          <rPr>
            <sz val="8"/>
            <color indexed="81"/>
            <rFont val="Meiryo UI"/>
            <family val="3"/>
            <charset val="128"/>
          </rPr>
          <t>(3)、(5)ロ、(7)～(11)、(13)～(15)：</t>
        </r>
        <r>
          <rPr>
            <sz val="8"/>
            <color indexed="32"/>
            <rFont val="Meiryo UI"/>
            <family val="3"/>
            <charset val="128"/>
          </rPr>
          <t>延床面積 ≧ 1000m</t>
        </r>
        <r>
          <rPr>
            <vertAlign val="superscript"/>
            <sz val="8"/>
            <color indexed="32"/>
            <rFont val="Meiryo UI"/>
            <family val="3"/>
            <charset val="128"/>
          </rPr>
          <t>2</t>
        </r>
        <r>
          <rPr>
            <sz val="8"/>
            <color indexed="9"/>
            <rFont val="Meiryo UI"/>
            <family val="3"/>
            <charset val="128"/>
          </rPr>
          <t xml:space="preserve">
　   </t>
        </r>
        <r>
          <rPr>
            <sz val="8"/>
            <color indexed="32"/>
            <rFont val="Meiryo UI"/>
            <family val="3"/>
            <charset val="128"/>
          </rPr>
          <t>③</t>
        </r>
        <r>
          <rPr>
            <sz val="8"/>
            <color indexed="9"/>
            <rFont val="Meiryo UI"/>
            <family val="3"/>
            <charset val="128"/>
          </rPr>
          <t xml:space="preserve"> </t>
        </r>
        <r>
          <rPr>
            <sz val="8"/>
            <color indexed="81"/>
            <rFont val="Meiryo UI"/>
            <family val="3"/>
            <charset val="128"/>
          </rPr>
          <t>(16)：</t>
        </r>
        <r>
          <rPr>
            <sz val="8"/>
            <color indexed="32"/>
            <rFont val="Meiryo UI"/>
            <family val="3"/>
            <charset val="128"/>
          </rPr>
          <t>各用途区分の設置基準に従って設置する。</t>
        </r>
        <r>
          <rPr>
            <sz val="8"/>
            <color indexed="9"/>
            <rFont val="Meiryo UI"/>
            <family val="3"/>
            <charset val="128"/>
          </rPr>
          <t xml:space="preserve">
　   </t>
        </r>
        <r>
          <rPr>
            <sz val="8"/>
            <color indexed="32"/>
            <rFont val="Meiryo UI"/>
            <family val="3"/>
            <charset val="128"/>
          </rPr>
          <t xml:space="preserve">④ </t>
        </r>
        <r>
          <rPr>
            <sz val="8"/>
            <color indexed="81"/>
            <rFont val="Meiryo UI"/>
            <family val="3"/>
            <charset val="128"/>
          </rPr>
          <t>(6)ロ、16の2、16の3：</t>
        </r>
        <r>
          <rPr>
            <sz val="8"/>
            <color indexed="32"/>
            <rFont val="Meiryo UI"/>
            <family val="3"/>
            <charset val="128"/>
          </rPr>
          <t>全て設置</t>
        </r>
        <r>
          <rPr>
            <sz val="8"/>
            <color indexed="9"/>
            <rFont val="Meiryo UI"/>
            <family val="3"/>
            <charset val="128"/>
          </rPr>
          <t xml:space="preserve">
　　</t>
        </r>
        <r>
          <rPr>
            <sz val="9"/>
            <color indexed="81"/>
            <rFont val="Meiryo UI"/>
            <family val="3"/>
            <charset val="128"/>
          </rPr>
          <t>緩和規程</t>
        </r>
        <r>
          <rPr>
            <sz val="16"/>
            <color indexed="9"/>
            <rFont val="Meiryo UI"/>
            <family val="3"/>
            <charset val="128"/>
          </rPr>
          <t xml:space="preserve"> </t>
        </r>
        <r>
          <rPr>
            <sz val="8"/>
            <color indexed="9"/>
            <rFont val="Meiryo UI"/>
            <family val="3"/>
            <charset val="128"/>
          </rPr>
          <t xml:space="preserve">
　　　</t>
        </r>
        <r>
          <rPr>
            <sz val="8"/>
            <color indexed="81"/>
            <rFont val="Meiryo UI"/>
            <family val="3"/>
            <charset val="128"/>
          </rPr>
          <t>イ．</t>
        </r>
        <r>
          <rPr>
            <sz val="8"/>
            <color indexed="32"/>
            <rFont val="Meiryo UI"/>
            <family val="3"/>
            <charset val="128"/>
          </rPr>
          <t>消防機関から著しく離れた場所</t>
        </r>
        <r>
          <rPr>
            <sz val="8"/>
            <color indexed="9"/>
            <rFont val="Meiryo UI"/>
            <family val="3"/>
            <charset val="128"/>
          </rPr>
          <t xml:space="preserve">
　　　</t>
        </r>
        <r>
          <rPr>
            <sz val="8"/>
            <color indexed="81"/>
            <rFont val="Meiryo UI"/>
            <family val="3"/>
            <charset val="128"/>
          </rPr>
          <t>ロ．</t>
        </r>
        <r>
          <rPr>
            <sz val="8"/>
            <color indexed="32"/>
            <rFont val="Meiryo UI"/>
            <family val="3"/>
            <charset val="128"/>
          </rPr>
          <t>消防機関から500m以下の場所</t>
        </r>
        <r>
          <rPr>
            <sz val="8"/>
            <color indexed="9"/>
            <rFont val="Meiryo UI"/>
            <family val="3"/>
            <charset val="128"/>
          </rPr>
          <t xml:space="preserve">
　　　</t>
        </r>
        <r>
          <rPr>
            <sz val="8"/>
            <color indexed="81"/>
            <rFont val="Meiryo UI"/>
            <family val="3"/>
            <charset val="128"/>
          </rPr>
          <t>ハ．</t>
        </r>
        <r>
          <rPr>
            <sz val="8"/>
            <color indexed="32"/>
            <rFont val="Meiryo UI"/>
            <family val="3"/>
            <charset val="128"/>
          </rPr>
          <t>消防機関へ常時通報できる電話を設置したもの</t>
        </r>
        <r>
          <rPr>
            <sz val="8"/>
            <color indexed="9"/>
            <rFont val="Meiryo UI"/>
            <family val="3"/>
            <charset val="128"/>
          </rPr>
          <t xml:space="preserve"> </t>
        </r>
        <r>
          <rPr>
            <sz val="8"/>
            <color indexed="81"/>
            <rFont val="Meiryo UI"/>
            <family val="3"/>
            <charset val="128"/>
          </rPr>
          <t>[(5)イ、(6)イ、</t>
        </r>
        <r>
          <rPr>
            <sz val="8"/>
            <color indexed="9"/>
            <rFont val="Meiryo UI"/>
            <family val="3"/>
            <charset val="128"/>
          </rPr>
          <t xml:space="preserve">
　　　　　　</t>
        </r>
        <r>
          <rPr>
            <sz val="8"/>
            <color indexed="81"/>
            <rFont val="Meiryo UI"/>
            <family val="3"/>
            <charset val="128"/>
          </rPr>
          <t>(6)ハ</t>
        </r>
        <r>
          <rPr>
            <sz val="8"/>
            <color indexed="32"/>
            <rFont val="Meiryo UI"/>
            <family val="3"/>
            <charset val="128"/>
          </rPr>
          <t>は除く]</t>
        </r>
        <r>
          <rPr>
            <sz val="8"/>
            <color indexed="9"/>
            <rFont val="Meiryo UI"/>
            <family val="3"/>
            <charset val="128"/>
          </rPr>
          <t xml:space="preserve">
 </t>
        </r>
      </text>
    </comment>
    <comment ref="AP70" authorId="0">
      <text>
        <r>
          <rPr>
            <b/>
            <sz val="9"/>
            <color indexed="81"/>
            <rFont val="ＭＳ Ｐゴシック"/>
            <family val="3"/>
            <charset val="128"/>
          </rPr>
          <t>　　　　　　</t>
        </r>
        <r>
          <rPr>
            <b/>
            <sz val="11"/>
            <color indexed="37"/>
            <rFont val="ＭＳ Ｐ明朝"/>
            <family val="1"/>
            <charset val="128"/>
          </rPr>
          <t>自動火災報知設備設置基準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ＭＳ Ｐゴシック"/>
            <family val="3"/>
            <charset val="128"/>
          </rPr>
          <t>　　　　</t>
        </r>
        <r>
          <rPr>
            <sz val="8"/>
            <color indexed="32"/>
            <rFont val="Meiryo UI"/>
            <family val="3"/>
            <charset val="128"/>
          </rPr>
          <t>下記、各項目による。</t>
        </r>
        <r>
          <rPr>
            <sz val="12"/>
            <color indexed="32"/>
            <rFont val="ＭＳ Ｐゴシック"/>
            <family val="3"/>
            <charset val="128"/>
          </rPr>
          <t xml:space="preserve"> </t>
        </r>
        <r>
          <rPr>
            <b/>
            <sz val="9"/>
            <color indexed="81"/>
            <rFont val="ＭＳ Ｐゴシック"/>
            <family val="3"/>
            <charset val="128"/>
          </rPr>
          <t xml:space="preserve">
</t>
        </r>
        <r>
          <rPr>
            <sz val="8"/>
            <color indexed="81"/>
            <rFont val="ＭＳ Ｐゴシック"/>
            <family val="3"/>
            <charset val="128"/>
          </rPr>
          <t>　　</t>
        </r>
        <r>
          <rPr>
            <sz val="8"/>
            <color indexed="81"/>
            <rFont val="Meiryo UI"/>
            <family val="3"/>
            <charset val="128"/>
          </rPr>
          <t>緩和規程</t>
        </r>
        <r>
          <rPr>
            <sz val="12"/>
            <color indexed="81"/>
            <rFont val="Meiryo UI"/>
            <family val="3"/>
            <charset val="128"/>
          </rPr>
          <t xml:space="preserve"> </t>
        </r>
        <r>
          <rPr>
            <b/>
            <sz val="9"/>
            <color indexed="81"/>
            <rFont val="ＭＳ Ｐゴシック"/>
            <family val="3"/>
            <charset val="128"/>
          </rPr>
          <t xml:space="preserve">
</t>
        </r>
        <r>
          <rPr>
            <sz val="8"/>
            <color indexed="81"/>
            <rFont val="Meiryo UI"/>
            <family val="3"/>
            <charset val="128"/>
          </rPr>
          <t>　</t>
        </r>
        <r>
          <rPr>
            <sz val="9"/>
            <color indexed="81"/>
            <rFont val="Meiryo UI"/>
            <family val="3"/>
            <charset val="128"/>
          </rPr>
          <t>①</t>
        </r>
        <r>
          <rPr>
            <sz val="8"/>
            <color indexed="81"/>
            <rFont val="Meiryo UI"/>
            <family val="3"/>
            <charset val="128"/>
          </rPr>
          <t xml:space="preserve"> 自動火災報知設備の設置が免除部分</t>
        </r>
        <r>
          <rPr>
            <sz val="8"/>
            <color indexed="32"/>
            <rFont val="Meiryo UI"/>
            <family val="3"/>
            <charset val="128"/>
          </rPr>
          <t xml:space="preserve"> </t>
        </r>
        <r>
          <rPr>
            <sz val="8"/>
            <color indexed="81"/>
            <rFont val="Meiryo UI"/>
            <family val="3"/>
            <charset val="128"/>
          </rPr>
          <t xml:space="preserve"> [令21-3] [規則23-2]</t>
        </r>
        <r>
          <rPr>
            <sz val="8"/>
            <color indexed="9"/>
            <rFont val="Meiryo UI"/>
            <family val="3"/>
            <charset val="128"/>
          </rPr>
          <t xml:space="preserve">
　　　</t>
        </r>
        <r>
          <rPr>
            <sz val="8"/>
            <color indexed="32"/>
            <rFont val="Meiryo UI"/>
            <family val="3"/>
            <charset val="128"/>
          </rPr>
          <t>スプリンクラ、水噴霧、泡消火設備を設置したとき、その有効範囲内
　　　の部分には、自動火災報知設備の設置が免除される。</t>
        </r>
        <r>
          <rPr>
            <sz val="8"/>
            <color indexed="9"/>
            <rFont val="Meiryo UI"/>
            <family val="3"/>
            <charset val="128"/>
          </rPr>
          <t xml:space="preserve">
　</t>
        </r>
        <r>
          <rPr>
            <sz val="8"/>
            <color indexed="32"/>
            <rFont val="Meiryo UI"/>
            <family val="3"/>
            <charset val="128"/>
          </rPr>
          <t>　　ただし、スプリンクラ・ヘッドは、閉鎖型に限る。
　　　また、特定防火対象物は、免除されない。</t>
        </r>
        <r>
          <rPr>
            <sz val="8"/>
            <color indexed="9"/>
            <rFont val="Meiryo UI"/>
            <family val="3"/>
            <charset val="128"/>
          </rPr>
          <t xml:space="preserve">
</t>
        </r>
        <r>
          <rPr>
            <sz val="8"/>
            <color indexed="81"/>
            <rFont val="Meiryo UI"/>
            <family val="3"/>
            <charset val="128"/>
          </rPr>
          <t>　</t>
        </r>
        <r>
          <rPr>
            <sz val="9"/>
            <color indexed="81"/>
            <rFont val="Meiryo UI"/>
            <family val="3"/>
            <charset val="128"/>
          </rPr>
          <t>②</t>
        </r>
        <r>
          <rPr>
            <sz val="8"/>
            <color indexed="81"/>
            <rFont val="Meiryo UI"/>
            <family val="3"/>
            <charset val="128"/>
          </rPr>
          <t xml:space="preserve"> 感知器の設置に適さない場所</t>
        </r>
        <r>
          <rPr>
            <sz val="12"/>
            <color indexed="9"/>
            <rFont val="Meiryo UI"/>
            <family val="3"/>
            <charset val="128"/>
          </rPr>
          <t xml:space="preserve"> </t>
        </r>
        <r>
          <rPr>
            <sz val="8"/>
            <color indexed="9"/>
            <rFont val="Meiryo UI"/>
            <family val="3"/>
            <charset val="128"/>
          </rPr>
          <t xml:space="preserve">
</t>
        </r>
        <r>
          <rPr>
            <sz val="8"/>
            <color indexed="32"/>
            <rFont val="Meiryo UI"/>
            <family val="3"/>
            <charset val="128"/>
          </rPr>
          <t>　　 　イ　感知器の取付高さが 20m 以上の場所。
　　　 ロ　外部の気流が流通する場所で、有効に感知できない場所。
　　　 ハ　天井内の有効高さが 0.5m 未満の場所。
　　　 ニ　煙、熱煙複合式感知器で下記の場所。
　　　　　 1. じんあい・微粉・水蒸気が大量に滞留する場所。
　　　　　 2. 腐食性ガスが発生する場所。
　　　　　 3. 厨房等常時煙が滞留する場所。
　　　　　 4. 著しく高温となる場所。
　　　　　 5. 排気ガスが多量に滞留する場所。
　　　　　 6. 煙が多量に流入する場所。
　　　　　 7. 結露が生じる場所。
　　　　　 8. その他、感知器の機能に支障を及ぼす場所。</t>
        </r>
        <r>
          <rPr>
            <sz val="8"/>
            <color indexed="9"/>
            <rFont val="Meiryo UI"/>
            <family val="3"/>
            <charset val="128"/>
          </rPr>
          <t xml:space="preserve">
　</t>
        </r>
      </text>
    </comment>
    <comment ref="BH70" authorId="0">
      <text>
        <r>
          <rPr>
            <b/>
            <sz val="9"/>
            <color indexed="81"/>
            <rFont val="ＭＳ Ｐゴシック"/>
            <family val="3"/>
            <charset val="128"/>
          </rPr>
          <t>　　　</t>
        </r>
        <r>
          <rPr>
            <b/>
            <sz val="11"/>
            <color indexed="37"/>
            <rFont val="ＭＳ Ｐ明朝"/>
            <family val="1"/>
            <charset val="128"/>
          </rPr>
          <t>ガス漏れ火災警報設備設置基準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①</t>
        </r>
        <r>
          <rPr>
            <sz val="8"/>
            <color indexed="32"/>
            <rFont val="Meiryo UI"/>
            <family val="3"/>
            <charset val="128"/>
          </rPr>
          <t xml:space="preserve"> 地階の延床面積 ≧ 1000m</t>
        </r>
        <r>
          <rPr>
            <vertAlign val="superscript"/>
            <sz val="8"/>
            <color indexed="32"/>
            <rFont val="Meiryo UI"/>
            <family val="3"/>
            <charset val="128"/>
          </rPr>
          <t>2</t>
        </r>
        <r>
          <rPr>
            <sz val="12"/>
            <color indexed="32"/>
            <rFont val="Meiryo UI"/>
            <family val="3"/>
            <charset val="128"/>
          </rPr>
          <t xml:space="preserve"> </t>
        </r>
        <r>
          <rPr>
            <sz val="8"/>
            <color indexed="9"/>
            <rFont val="Meiryo UI"/>
            <family val="3"/>
            <charset val="128"/>
          </rPr>
          <t xml:space="preserve">
　　　　</t>
        </r>
        <r>
          <rPr>
            <sz val="8"/>
            <color indexed="81"/>
            <rFont val="Meiryo UI"/>
            <family val="3"/>
            <charset val="128"/>
          </rPr>
          <t>(1)、(2)、(3)、(5)イ、(6)、(9)イ、16の2</t>
        </r>
        <r>
          <rPr>
            <sz val="8"/>
            <color indexed="9"/>
            <rFont val="Meiryo UI"/>
            <family val="3"/>
            <charset val="128"/>
          </rPr>
          <t xml:space="preserve">
　　</t>
        </r>
        <r>
          <rPr>
            <sz val="8"/>
            <color indexed="32"/>
            <rFont val="Meiryo UI"/>
            <family val="3"/>
            <charset val="128"/>
          </rPr>
          <t>② 地階の延床面積 ≧ 1000m</t>
        </r>
        <r>
          <rPr>
            <vertAlign val="superscript"/>
            <sz val="8"/>
            <color indexed="32"/>
            <rFont val="Meiryo UI"/>
            <family val="3"/>
            <charset val="128"/>
          </rPr>
          <t>2</t>
        </r>
        <r>
          <rPr>
            <sz val="8"/>
            <color indexed="32"/>
            <rFont val="Meiryo UI"/>
            <family val="3"/>
            <charset val="128"/>
          </rPr>
          <t>、特定防火対象物の</t>
        </r>
        <r>
          <rPr>
            <sz val="12"/>
            <color indexed="32"/>
            <rFont val="Meiryo UI"/>
            <family val="3"/>
            <charset val="128"/>
          </rPr>
          <t xml:space="preserve"> </t>
        </r>
        <r>
          <rPr>
            <sz val="8"/>
            <color indexed="32"/>
            <rFont val="Meiryo UI"/>
            <family val="3"/>
            <charset val="128"/>
          </rPr>
          <t xml:space="preserve">
　　　　延床面積 ≧ 500m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(16)イ、16の3
　　</t>
        </r>
        <r>
          <rPr>
            <sz val="9"/>
            <color indexed="81"/>
            <rFont val="Meiryo UI"/>
            <family val="3"/>
            <charset val="128"/>
          </rPr>
          <t>緩和規程</t>
        </r>
        <r>
          <rPr>
            <sz val="16"/>
            <color indexed="81"/>
            <rFont val="Meiryo UI"/>
            <family val="3"/>
            <charset val="128"/>
          </rPr>
          <t xml:space="preserve"> 
</t>
        </r>
        <r>
          <rPr>
            <sz val="8"/>
            <color indexed="81"/>
            <rFont val="Meiryo UI"/>
            <family val="3"/>
            <charset val="128"/>
          </rPr>
          <t xml:space="preserve">　　① </t>
        </r>
        <r>
          <rPr>
            <sz val="8"/>
            <color indexed="32"/>
            <rFont val="Meiryo UI"/>
            <family val="3"/>
            <charset val="128"/>
          </rPr>
          <t>燃料ガス以外のもの</t>
        </r>
        <r>
          <rPr>
            <sz val="8"/>
            <color indexed="9"/>
            <rFont val="Meiryo UI"/>
            <family val="3"/>
            <charset val="128"/>
          </rPr>
          <t xml:space="preserve">
　　</t>
        </r>
        <r>
          <rPr>
            <sz val="8"/>
            <color indexed="81"/>
            <rFont val="Meiryo UI"/>
            <family val="3"/>
            <charset val="128"/>
          </rPr>
          <t>②</t>
        </r>
        <r>
          <rPr>
            <sz val="8"/>
            <color indexed="9"/>
            <rFont val="Meiryo UI"/>
            <family val="3"/>
            <charset val="128"/>
          </rPr>
          <t xml:space="preserve"> </t>
        </r>
        <r>
          <rPr>
            <sz val="8"/>
            <color indexed="32"/>
            <rFont val="Meiryo UI"/>
            <family val="3"/>
            <charset val="128"/>
          </rPr>
          <t>都道府県知事の確認を受けた温泉を採取するための設備</t>
        </r>
        <r>
          <rPr>
            <sz val="8"/>
            <color indexed="9"/>
            <rFont val="Meiryo UI"/>
            <family val="3"/>
            <charset val="128"/>
          </rPr>
          <t xml:space="preserve">
　　</t>
        </r>
        <r>
          <rPr>
            <sz val="8"/>
            <color indexed="81"/>
            <rFont val="Meiryo UI"/>
            <family val="3"/>
            <charset val="128"/>
          </rPr>
          <t>③</t>
        </r>
        <r>
          <rPr>
            <sz val="8"/>
            <color indexed="9"/>
            <rFont val="Meiryo UI"/>
            <family val="3"/>
            <charset val="128"/>
          </rPr>
          <t xml:space="preserve"> </t>
        </r>
        <r>
          <rPr>
            <sz val="8"/>
            <color indexed="32"/>
            <rFont val="Meiryo UI"/>
            <family val="3"/>
            <charset val="128"/>
          </rPr>
          <t>可燃性ガスが自然発生するおそれがあるとして消防長等が
　　　　指定するもの以外のもの</t>
        </r>
        <r>
          <rPr>
            <sz val="8"/>
            <color indexed="9"/>
            <rFont val="Meiryo UI"/>
            <family val="3"/>
            <charset val="128"/>
          </rPr>
          <t xml:space="preserve">
　　</t>
        </r>
        <r>
          <rPr>
            <sz val="8"/>
            <color indexed="81"/>
            <rFont val="Meiryo UI"/>
            <family val="3"/>
            <charset val="128"/>
          </rPr>
          <t>④</t>
        </r>
        <r>
          <rPr>
            <sz val="8"/>
            <color indexed="32"/>
            <rFont val="Meiryo UI"/>
            <family val="3"/>
            <charset val="128"/>
          </rPr>
          <t xml:space="preserve"> 収容人員が１人に満たないもの(温泉の採掘のための設備
　　　　に設けるものに限る)
 </t>
        </r>
      </text>
    </comment>
    <comment ref="BJ70" authorId="0">
      <text>
        <r>
          <rPr>
            <b/>
            <sz val="9"/>
            <color indexed="81"/>
            <rFont val="ＭＳ Ｐゴシック"/>
            <family val="3"/>
            <charset val="128"/>
          </rPr>
          <t>　　</t>
        </r>
        <r>
          <rPr>
            <b/>
            <sz val="11"/>
            <color indexed="37"/>
            <rFont val="ＭＳ Ｐ明朝"/>
            <family val="1"/>
            <charset val="128"/>
          </rPr>
          <t>非常コンセント設備設置基準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xml:space="preserve">　　① </t>
        </r>
        <r>
          <rPr>
            <sz val="8"/>
            <color indexed="32"/>
            <rFont val="Meiryo UI"/>
            <family val="3"/>
            <charset val="128"/>
          </rPr>
          <t>11階以上の階</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② 地下街で延床面積 ≧ 1000m</t>
        </r>
        <r>
          <rPr>
            <vertAlign val="superscript"/>
            <sz val="8"/>
            <color indexed="32"/>
            <rFont val="Meiryo UI"/>
            <family val="3"/>
            <charset val="128"/>
          </rPr>
          <t>2</t>
        </r>
        <r>
          <rPr>
            <sz val="8"/>
            <color indexed="32"/>
            <rFont val="Meiryo UI"/>
            <family val="3"/>
            <charset val="128"/>
          </rPr>
          <t xml:space="preserve">
　　　　延床面積 ≧ 500m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16の2
　　</t>
        </r>
        <r>
          <rPr>
            <sz val="9"/>
            <color indexed="81"/>
            <rFont val="Meiryo UI"/>
            <family val="3"/>
            <charset val="128"/>
          </rPr>
          <t>緩和規程</t>
        </r>
        <r>
          <rPr>
            <sz val="16"/>
            <color indexed="81"/>
            <rFont val="Meiryo UI"/>
            <family val="3"/>
            <charset val="128"/>
          </rPr>
          <t xml:space="preserve"> </t>
        </r>
        <r>
          <rPr>
            <sz val="9"/>
            <color indexed="81"/>
            <rFont val="Meiryo UI"/>
            <family val="3"/>
            <charset val="128"/>
          </rPr>
          <t xml:space="preserve">
</t>
        </r>
        <r>
          <rPr>
            <sz val="8"/>
            <color indexed="9"/>
            <rFont val="Meiryo UI"/>
            <family val="3"/>
            <charset val="128"/>
          </rPr>
          <t>　　</t>
        </r>
        <r>
          <rPr>
            <sz val="8"/>
            <color indexed="32"/>
            <rFont val="Meiryo UI"/>
            <family val="3"/>
            <charset val="128"/>
          </rPr>
          <t>　なし</t>
        </r>
        <r>
          <rPr>
            <sz val="8"/>
            <color indexed="9"/>
            <rFont val="Meiryo UI"/>
            <family val="3"/>
            <charset val="128"/>
          </rPr>
          <t xml:space="preserve">
 </t>
        </r>
      </text>
    </comment>
    <comment ref="BL70" authorId="0">
      <text>
        <r>
          <rPr>
            <b/>
            <sz val="9"/>
            <color indexed="81"/>
            <rFont val="ＭＳ Ｐゴシック"/>
            <family val="3"/>
            <charset val="128"/>
          </rPr>
          <t>　　    　</t>
        </r>
        <r>
          <rPr>
            <b/>
            <sz val="11"/>
            <color indexed="37"/>
            <rFont val="ＭＳ Ｐ明朝"/>
            <family val="1"/>
            <charset val="128"/>
          </rPr>
          <t>屋内消火栓設備設置基準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t>
        </r>
        <r>
          <rPr>
            <sz val="8"/>
            <color indexed="81"/>
            <rFont val="ＭＳ Ｐゴシック"/>
            <family val="3"/>
            <charset val="128"/>
          </rPr>
          <t xml:space="preserve"> </t>
        </r>
        <r>
          <rPr>
            <sz val="8"/>
            <color indexed="81"/>
            <rFont val="Meiryo UI"/>
            <family val="3"/>
            <charset val="128"/>
          </rPr>
          <t xml:space="preserve">① </t>
        </r>
        <r>
          <rPr>
            <sz val="8"/>
            <color indexed="32"/>
            <rFont val="Meiryo UI"/>
            <family val="3"/>
            <charset val="128"/>
          </rPr>
          <t>一般　延床面積 m</t>
        </r>
        <r>
          <rPr>
            <vertAlign val="superscript"/>
            <sz val="8"/>
            <color indexed="32"/>
            <rFont val="Meiryo UI"/>
            <family val="3"/>
            <charset val="128"/>
          </rPr>
          <t>2</t>
        </r>
        <r>
          <rPr>
            <sz val="8"/>
            <color indexed="32"/>
            <rFont val="Meiryo UI"/>
            <family val="3"/>
            <charset val="128"/>
          </rPr>
          <t xml:space="preserve"> (準耐火建築物)　[耐火建築物]</t>
        </r>
        <r>
          <rPr>
            <sz val="12"/>
            <color indexed="9"/>
            <rFont val="Meiryo UI"/>
            <family val="3"/>
            <charset val="128"/>
          </rPr>
          <t xml:space="preserve"> </t>
        </r>
        <r>
          <rPr>
            <sz val="8"/>
            <color indexed="81"/>
            <rFont val="Meiryo UI"/>
            <family val="3"/>
            <charset val="128"/>
          </rPr>
          <t xml:space="preserve">
　 　　16の2</t>
        </r>
        <r>
          <rPr>
            <sz val="8"/>
            <color indexed="32"/>
            <rFont val="Meiryo UI"/>
            <family val="3"/>
            <charset val="128"/>
          </rPr>
          <t xml:space="preserve">：≧ 150 (300) [450] </t>
        </r>
        <r>
          <rPr>
            <sz val="8"/>
            <color indexed="9"/>
            <rFont val="Meiryo UI"/>
            <family val="3"/>
            <charset val="128"/>
          </rPr>
          <t xml:space="preserve">
　 　　</t>
        </r>
        <r>
          <rPr>
            <sz val="8"/>
            <color indexed="81"/>
            <rFont val="Meiryo UI"/>
            <family val="3"/>
            <charset val="128"/>
          </rPr>
          <t>(1)イ</t>
        </r>
        <r>
          <rPr>
            <sz val="8"/>
            <color indexed="32"/>
            <rFont val="Meiryo UI"/>
            <family val="3"/>
            <charset val="128"/>
          </rPr>
          <t>、</t>
        </r>
        <r>
          <rPr>
            <sz val="8"/>
            <color indexed="81"/>
            <rFont val="Meiryo UI"/>
            <family val="3"/>
            <charset val="128"/>
          </rPr>
          <t>ロ</t>
        </r>
        <r>
          <rPr>
            <sz val="8"/>
            <color indexed="32"/>
            <rFont val="Meiryo UI"/>
            <family val="3"/>
            <charset val="128"/>
          </rPr>
          <t>：≧ 500 (1000) [1500] 　</t>
        </r>
        <r>
          <rPr>
            <sz val="8"/>
            <color indexed="9"/>
            <rFont val="Meiryo UI"/>
            <family val="3"/>
            <charset val="128"/>
          </rPr>
          <t xml:space="preserve">
　 　　</t>
        </r>
        <r>
          <rPr>
            <sz val="8"/>
            <color indexed="81"/>
            <rFont val="Meiryo UI"/>
            <family val="3"/>
            <charset val="128"/>
          </rPr>
          <t>(2)～(5)、(6)イ・ハ・ニ、(7)～(10)、(12)、(14)</t>
        </r>
        <r>
          <rPr>
            <sz val="8"/>
            <color indexed="9"/>
            <rFont val="Meiryo UI"/>
            <family val="3"/>
            <charset val="128"/>
          </rPr>
          <t xml:space="preserve">
　 　　　　　　　　　</t>
        </r>
        <r>
          <rPr>
            <sz val="8"/>
            <color indexed="32"/>
            <rFont val="Meiryo UI"/>
            <family val="3"/>
            <charset val="128"/>
          </rPr>
          <t xml:space="preserve">≧ 700 (1400) [2100] </t>
        </r>
        <r>
          <rPr>
            <sz val="8"/>
            <color indexed="9"/>
            <rFont val="Meiryo UI"/>
            <family val="3"/>
            <charset val="128"/>
          </rPr>
          <t xml:space="preserve">
　 　　</t>
        </r>
        <r>
          <rPr>
            <sz val="8"/>
            <color indexed="81"/>
            <rFont val="Meiryo UI"/>
            <family val="3"/>
            <charset val="128"/>
          </rPr>
          <t>(6)ロ</t>
        </r>
        <r>
          <rPr>
            <sz val="8"/>
            <color indexed="32"/>
            <rFont val="Meiryo UI"/>
            <family val="3"/>
            <charset val="128"/>
          </rPr>
          <t>：≧ 700 (1000) [1000]</t>
        </r>
        <r>
          <rPr>
            <sz val="8"/>
            <color indexed="9"/>
            <rFont val="Meiryo UI"/>
            <family val="3"/>
            <charset val="128"/>
          </rPr>
          <t xml:space="preserve">
　　 　</t>
        </r>
        <r>
          <rPr>
            <sz val="8"/>
            <color indexed="81"/>
            <rFont val="Meiryo UI"/>
            <family val="3"/>
            <charset val="128"/>
          </rPr>
          <t>(11)、(15)</t>
        </r>
        <r>
          <rPr>
            <sz val="8"/>
            <color indexed="32"/>
            <rFont val="Meiryo UI"/>
            <family val="3"/>
            <charset val="128"/>
          </rPr>
          <t>：≧ 1000 (2000) [3000]</t>
        </r>
        <r>
          <rPr>
            <sz val="8"/>
            <color indexed="9"/>
            <rFont val="Meiryo UI"/>
            <family val="3"/>
            <charset val="128"/>
          </rPr>
          <t xml:space="preserve">
 　</t>
        </r>
        <r>
          <rPr>
            <sz val="8"/>
            <color indexed="32"/>
            <rFont val="Meiryo UI"/>
            <family val="3"/>
            <charset val="128"/>
          </rPr>
          <t>② 地階・無窓階・４階以上　床面積 m</t>
        </r>
        <r>
          <rPr>
            <vertAlign val="superscript"/>
            <sz val="8"/>
            <color indexed="32"/>
            <rFont val="Meiryo UI"/>
            <family val="3"/>
            <charset val="128"/>
          </rPr>
          <t>2</t>
        </r>
        <r>
          <rPr>
            <sz val="8"/>
            <color indexed="32"/>
            <rFont val="Meiryo UI"/>
            <family val="3"/>
            <charset val="128"/>
          </rPr>
          <t xml:space="preserve">
 　　　</t>
        </r>
        <r>
          <rPr>
            <sz val="8"/>
            <color indexed="81"/>
            <rFont val="Meiryo UI"/>
            <family val="3"/>
            <charset val="128"/>
          </rPr>
          <t>(1)イ・ロ</t>
        </r>
        <r>
          <rPr>
            <sz val="8"/>
            <color indexed="32"/>
            <rFont val="Meiryo UI"/>
            <family val="3"/>
            <charset val="128"/>
          </rPr>
          <t>：≧ 100 (200) [300]
　 　　</t>
        </r>
        <r>
          <rPr>
            <sz val="8"/>
            <color indexed="81"/>
            <rFont val="Meiryo UI"/>
            <family val="3"/>
            <charset val="128"/>
          </rPr>
          <t>(2)～(10)、(12)、(14)</t>
        </r>
        <r>
          <rPr>
            <sz val="8"/>
            <color indexed="32"/>
            <rFont val="Meiryo UI"/>
            <family val="3"/>
            <charset val="128"/>
          </rPr>
          <t>：≧ 150 (300) [450]
　 　　</t>
        </r>
        <r>
          <rPr>
            <sz val="8"/>
            <color indexed="81"/>
            <rFont val="Meiryo UI"/>
            <family val="3"/>
            <charset val="128"/>
          </rPr>
          <t>(11)、(15)</t>
        </r>
        <r>
          <rPr>
            <sz val="8"/>
            <color indexed="32"/>
            <rFont val="Meiryo UI"/>
            <family val="3"/>
            <charset val="128"/>
          </rPr>
          <t xml:space="preserve">：≧ 200 (400) [600]
</t>
        </r>
        <r>
          <rPr>
            <sz val="8"/>
            <color indexed="9"/>
            <rFont val="Meiryo UI"/>
            <family val="3"/>
            <charset val="128"/>
          </rPr>
          <t xml:space="preserve">　 </t>
        </r>
        <r>
          <rPr>
            <sz val="9"/>
            <color indexed="81"/>
            <rFont val="Meiryo UI"/>
            <family val="3"/>
            <charset val="128"/>
          </rPr>
          <t>緩和規程</t>
        </r>
        <r>
          <rPr>
            <sz val="14"/>
            <color indexed="9"/>
            <rFont val="Meiryo UI"/>
            <family val="3"/>
            <charset val="128"/>
          </rPr>
          <t>　</t>
        </r>
        <r>
          <rPr>
            <sz val="8"/>
            <color indexed="9"/>
            <rFont val="Meiryo UI"/>
            <family val="3"/>
            <charset val="128"/>
          </rPr>
          <t xml:space="preserve">
  　</t>
        </r>
        <r>
          <rPr>
            <sz val="8"/>
            <color indexed="81"/>
            <rFont val="Meiryo UI"/>
            <family val="3"/>
            <charset val="128"/>
          </rPr>
          <t>(1)</t>
        </r>
        <r>
          <rPr>
            <sz val="8"/>
            <color indexed="9"/>
            <rFont val="Meiryo UI"/>
            <family val="3"/>
            <charset val="128"/>
          </rPr>
          <t xml:space="preserve"> </t>
        </r>
        <r>
          <rPr>
            <sz val="8"/>
            <color indexed="32"/>
            <rFont val="Meiryo UI"/>
            <family val="3"/>
            <charset val="128"/>
          </rPr>
          <t>スプリンクラー・水噴霧・泡・不活性ガス・ハロゲン化物・粉末・
　  　　　屋外消火栓・動力消防ポンプの各消火設備の有効範囲の
　  　　　部分は設置免除 (ただし、屋外消火栓・動力消防ポンプは
　  　　　１階・２階部分に限る)</t>
        </r>
        <r>
          <rPr>
            <sz val="8"/>
            <color indexed="9"/>
            <rFont val="Meiryo UI"/>
            <family val="3"/>
            <charset val="128"/>
          </rPr>
          <t xml:space="preserve">
 　 </t>
        </r>
        <r>
          <rPr>
            <sz val="8"/>
            <color indexed="81"/>
            <rFont val="Meiryo UI"/>
            <family val="3"/>
            <charset val="128"/>
          </rPr>
          <t>(2)</t>
        </r>
        <r>
          <rPr>
            <sz val="8"/>
            <color indexed="9"/>
            <rFont val="Meiryo UI"/>
            <family val="3"/>
            <charset val="128"/>
          </rPr>
          <t xml:space="preserve"> </t>
        </r>
        <r>
          <rPr>
            <sz val="8"/>
            <color indexed="32"/>
            <rFont val="Meiryo UI"/>
            <family val="3"/>
            <charset val="128"/>
          </rPr>
          <t>パッケージ型消火設備を設置した場合は設置免除</t>
        </r>
        <r>
          <rPr>
            <sz val="8"/>
            <color indexed="9"/>
            <rFont val="Meiryo UI"/>
            <family val="3"/>
            <charset val="128"/>
          </rPr>
          <t xml:space="preserve">
 </t>
        </r>
      </text>
    </comment>
    <comment ref="BP70" authorId="0">
      <text>
        <r>
          <rPr>
            <b/>
            <sz val="9"/>
            <color indexed="81"/>
            <rFont val="ＭＳ Ｐゴシック"/>
            <family val="3"/>
            <charset val="128"/>
          </rPr>
          <t>　　　　  　</t>
        </r>
        <r>
          <rPr>
            <b/>
            <sz val="11"/>
            <color indexed="37"/>
            <rFont val="ＭＳ Ｐ明朝"/>
            <family val="1"/>
            <charset val="128"/>
          </rPr>
          <t>スプリンクラー設備設置基準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ＭＳ Ｐゴシック"/>
            <family val="3"/>
            <charset val="128"/>
          </rPr>
          <t>　　　　</t>
        </r>
        <r>
          <rPr>
            <sz val="8"/>
            <color indexed="32"/>
            <rFont val="Meiryo UI"/>
            <family val="3"/>
            <charset val="128"/>
          </rPr>
          <t>下記、各項目による。</t>
        </r>
        <r>
          <rPr>
            <sz val="8"/>
            <color indexed="81"/>
            <rFont val="Meiryo UI"/>
            <family val="3"/>
            <charset val="128"/>
          </rPr>
          <t>（ただし、ラック式倉庫は非対応）</t>
        </r>
        <r>
          <rPr>
            <sz val="12"/>
            <color indexed="9"/>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ラック式倉庫</t>
        </r>
        <r>
          <rPr>
            <sz val="8"/>
            <color indexed="32"/>
            <rFont val="Meiryo UI"/>
            <family val="3"/>
            <charset val="128"/>
          </rPr>
          <t>：天井高＞10m，延床面積 ≧ 700(1400)[2100]</t>
        </r>
        <r>
          <rPr>
            <b/>
            <sz val="9"/>
            <color indexed="81"/>
            <rFont val="ＭＳ Ｐゴシック"/>
            <family val="3"/>
            <charset val="128"/>
          </rPr>
          <t xml:space="preserve">
</t>
        </r>
        <r>
          <rPr>
            <b/>
            <sz val="9"/>
            <color indexed="81"/>
            <rFont val="Meiryo UI"/>
            <family val="3"/>
            <charset val="128"/>
          </rPr>
          <t xml:space="preserve"> </t>
        </r>
        <r>
          <rPr>
            <sz val="8"/>
            <color indexed="81"/>
            <rFont val="ＭＳ Ｐゴシック"/>
            <family val="3"/>
            <charset val="128"/>
          </rPr>
          <t>　　</t>
        </r>
        <r>
          <rPr>
            <sz val="9"/>
            <color indexed="81"/>
            <rFont val="Meiryo UI"/>
            <family val="3"/>
            <charset val="128"/>
          </rPr>
          <t>緩和規程</t>
        </r>
        <r>
          <rPr>
            <sz val="14"/>
            <color indexed="81"/>
            <rFont val="Meiryo UI"/>
            <family val="3"/>
            <charset val="128"/>
          </rPr>
          <t xml:space="preserve"> </t>
        </r>
        <r>
          <rPr>
            <b/>
            <sz val="9"/>
            <color indexed="81"/>
            <rFont val="ＭＳ Ｐゴシック"/>
            <family val="3"/>
            <charset val="128"/>
          </rPr>
          <t xml:space="preserve">
</t>
        </r>
        <r>
          <rPr>
            <sz val="8"/>
            <color indexed="81"/>
            <rFont val="Meiryo UI"/>
            <family val="3"/>
            <charset val="128"/>
          </rPr>
          <t>　 ①</t>
        </r>
        <r>
          <rPr>
            <sz val="8"/>
            <color indexed="9"/>
            <rFont val="Meiryo UI"/>
            <family val="3"/>
            <charset val="128"/>
          </rPr>
          <t xml:space="preserve"> </t>
        </r>
        <r>
          <rPr>
            <sz val="8"/>
            <color indexed="32"/>
            <rFont val="Meiryo UI"/>
            <family val="3"/>
            <charset val="128"/>
          </rPr>
          <t>設置が免除される防火対象物又はその部分</t>
        </r>
        <r>
          <rPr>
            <sz val="8"/>
            <color indexed="81"/>
            <rFont val="Meiryo UI"/>
            <family val="3"/>
            <charset val="128"/>
          </rPr>
          <t xml:space="preserve">
　 　</t>
        </r>
        <r>
          <rPr>
            <sz val="8"/>
            <color indexed="9"/>
            <rFont val="Meiryo UI"/>
            <family val="3"/>
            <charset val="128"/>
          </rPr>
          <t xml:space="preserve"> </t>
        </r>
        <r>
          <rPr>
            <sz val="8"/>
            <color indexed="81"/>
            <rFont val="Meiryo UI"/>
            <family val="3"/>
            <charset val="128"/>
          </rPr>
          <t>[規則12-2]</t>
        </r>
        <r>
          <rPr>
            <sz val="8"/>
            <color indexed="9"/>
            <rFont val="Meiryo UI"/>
            <family val="3"/>
            <charset val="128"/>
          </rPr>
          <t xml:space="preserve"> </t>
        </r>
        <r>
          <rPr>
            <sz val="8"/>
            <color indexed="32"/>
            <rFont val="Meiryo UI"/>
            <family val="3"/>
            <charset val="128"/>
          </rPr>
          <t>の規定に適合している区画で、防火対象物又はその部分
 　　　全体を区画している場合。</t>
        </r>
        <r>
          <rPr>
            <sz val="8"/>
            <color indexed="9"/>
            <rFont val="Meiryo UI"/>
            <family val="3"/>
            <charset val="128"/>
          </rPr>
          <t xml:space="preserve">
 　</t>
        </r>
        <r>
          <rPr>
            <sz val="8"/>
            <color indexed="32"/>
            <rFont val="Meiryo UI"/>
            <family val="3"/>
            <charset val="128"/>
          </rPr>
          <t>② 設置が免除される部分</t>
        </r>
        <r>
          <rPr>
            <sz val="8"/>
            <color indexed="9"/>
            <rFont val="Meiryo UI"/>
            <family val="3"/>
            <charset val="128"/>
          </rPr>
          <t xml:space="preserve">
 　　　</t>
        </r>
        <r>
          <rPr>
            <sz val="8"/>
            <color indexed="81"/>
            <rFont val="Meiryo UI"/>
            <family val="3"/>
            <charset val="128"/>
          </rPr>
          <t>(1)</t>
        </r>
        <r>
          <rPr>
            <sz val="8"/>
            <color indexed="9"/>
            <rFont val="Meiryo UI"/>
            <family val="3"/>
            <charset val="128"/>
          </rPr>
          <t xml:space="preserve"> </t>
        </r>
        <r>
          <rPr>
            <sz val="8"/>
            <color indexed="32"/>
            <rFont val="Meiryo UI"/>
            <family val="3"/>
            <charset val="128"/>
          </rPr>
          <t>水噴霧・泡・不活性ガス・ハロゲン化物・粉末の各消火設備の有効
 　　　　　　範囲内の部分</t>
        </r>
        <r>
          <rPr>
            <sz val="8"/>
            <color indexed="81"/>
            <rFont val="Meiryo UI"/>
            <family val="3"/>
            <charset val="128"/>
          </rPr>
          <t>[令12-3]</t>
        </r>
        <r>
          <rPr>
            <sz val="8"/>
            <color indexed="9"/>
            <rFont val="Meiryo UI"/>
            <family val="3"/>
            <charset val="128"/>
          </rPr>
          <t xml:space="preserve">
　 　　</t>
        </r>
        <r>
          <rPr>
            <sz val="8"/>
            <color indexed="81"/>
            <rFont val="Meiryo UI"/>
            <family val="3"/>
            <charset val="128"/>
          </rPr>
          <t>(2)</t>
        </r>
        <r>
          <rPr>
            <sz val="8"/>
            <color indexed="9"/>
            <rFont val="Meiryo UI"/>
            <family val="3"/>
            <charset val="128"/>
          </rPr>
          <t xml:space="preserve"> </t>
        </r>
        <r>
          <rPr>
            <sz val="8"/>
            <color indexed="32"/>
            <rFont val="Meiryo UI"/>
            <family val="3"/>
            <charset val="128"/>
          </rPr>
          <t>防火対象物の10階以下の部分にある開口部で防火設備が設けら
　 　　　　　れている開口部</t>
        </r>
        <r>
          <rPr>
            <sz val="8"/>
            <color indexed="81"/>
            <rFont val="Meiryo UI"/>
            <family val="3"/>
            <charset val="128"/>
          </rPr>
          <t>[令12-2-3][規則15]</t>
        </r>
        <r>
          <rPr>
            <sz val="8"/>
            <color indexed="9"/>
            <rFont val="Meiryo UI"/>
            <family val="3"/>
            <charset val="128"/>
          </rPr>
          <t xml:space="preserve">
　　 　</t>
        </r>
        <r>
          <rPr>
            <sz val="8"/>
            <color indexed="81"/>
            <rFont val="Meiryo UI"/>
            <family val="3"/>
            <charset val="128"/>
          </rPr>
          <t>(3)</t>
        </r>
        <r>
          <rPr>
            <sz val="8"/>
            <color indexed="9"/>
            <rFont val="Meiryo UI"/>
            <family val="3"/>
            <charset val="128"/>
          </rPr>
          <t xml:space="preserve"> </t>
        </r>
        <r>
          <rPr>
            <sz val="8"/>
            <color indexed="32"/>
            <rFont val="Meiryo UI"/>
            <family val="3"/>
            <charset val="128"/>
          </rPr>
          <t>代替えとしてパッケージ型自動消火設備を設置した場合</t>
        </r>
        <r>
          <rPr>
            <sz val="8"/>
            <color indexed="9"/>
            <rFont val="Meiryo UI"/>
            <family val="3"/>
            <charset val="128"/>
          </rPr>
          <t xml:space="preserve">
　　 　　　　</t>
        </r>
        <r>
          <rPr>
            <sz val="8"/>
            <color indexed="81"/>
            <rFont val="Meiryo UI"/>
            <family val="3"/>
            <charset val="128"/>
          </rPr>
          <t>[H16総務令92]</t>
        </r>
        <r>
          <rPr>
            <sz val="8"/>
            <color indexed="9"/>
            <rFont val="Meiryo UI"/>
            <family val="3"/>
            <charset val="128"/>
          </rPr>
          <t xml:space="preserve">
　 　　</t>
        </r>
        <r>
          <rPr>
            <sz val="8"/>
            <color indexed="81"/>
            <rFont val="Meiryo UI"/>
            <family val="3"/>
            <charset val="128"/>
          </rPr>
          <t>(4)</t>
        </r>
        <r>
          <rPr>
            <sz val="8"/>
            <color indexed="9"/>
            <rFont val="Meiryo UI"/>
            <family val="3"/>
            <charset val="128"/>
          </rPr>
          <t xml:space="preserve"> </t>
        </r>
        <r>
          <rPr>
            <sz val="8"/>
            <color indexed="32"/>
            <rFont val="Meiryo UI"/>
            <family val="3"/>
            <charset val="128"/>
          </rPr>
          <t>グループホーム等の居住型福祉施設が一部入居している共同住宅
　 　　　　　で一定の基準を満たしている場合</t>
        </r>
        <r>
          <rPr>
            <sz val="8"/>
            <color indexed="81"/>
            <rFont val="Meiryo UI"/>
            <family val="3"/>
            <charset val="128"/>
          </rPr>
          <t>[規則13-1]</t>
        </r>
        <r>
          <rPr>
            <sz val="8"/>
            <color indexed="9"/>
            <rFont val="Meiryo UI"/>
            <family val="3"/>
            <charset val="128"/>
          </rPr>
          <t xml:space="preserve">
　 </t>
        </r>
        <r>
          <rPr>
            <sz val="8"/>
            <color indexed="32"/>
            <rFont val="Meiryo UI"/>
            <family val="3"/>
            <charset val="128"/>
          </rPr>
          <t>③ スプリンクラヘッドの設置を要しない部分
 　　　</t>
        </r>
        <r>
          <rPr>
            <sz val="8"/>
            <color indexed="81"/>
            <rFont val="Meiryo UI"/>
            <family val="3"/>
            <charset val="128"/>
          </rPr>
          <t>(1)</t>
        </r>
        <r>
          <rPr>
            <sz val="8"/>
            <color indexed="32"/>
            <rFont val="Meiryo UI"/>
            <family val="3"/>
            <charset val="128"/>
          </rPr>
          <t xml:space="preserve"> 火災発生の危険の少ない場所</t>
        </r>
        <r>
          <rPr>
            <sz val="8"/>
            <color indexed="9"/>
            <rFont val="Meiryo UI"/>
            <family val="3"/>
            <charset val="128"/>
          </rPr>
          <t xml:space="preserve">
　 　　　　　</t>
        </r>
        <r>
          <rPr>
            <sz val="8"/>
            <color indexed="81"/>
            <rFont val="Meiryo UI"/>
            <family val="3"/>
            <charset val="128"/>
          </rPr>
          <t>[規則13-3-1][規則13-3-3][規則13-3-9-2][規則13-3-10]</t>
        </r>
        <r>
          <rPr>
            <sz val="8"/>
            <color indexed="9"/>
            <rFont val="Meiryo UI"/>
            <family val="3"/>
            <charset val="128"/>
          </rPr>
          <t xml:space="preserve">
　 　　</t>
        </r>
        <r>
          <rPr>
            <sz val="8"/>
            <color indexed="81"/>
            <rFont val="Meiryo UI"/>
            <family val="3"/>
            <charset val="128"/>
          </rPr>
          <t>(2)</t>
        </r>
        <r>
          <rPr>
            <sz val="8"/>
            <color indexed="9"/>
            <rFont val="Meiryo UI"/>
            <family val="3"/>
            <charset val="128"/>
          </rPr>
          <t xml:space="preserve"> </t>
        </r>
        <r>
          <rPr>
            <sz val="8"/>
            <color indexed="32"/>
            <rFont val="Meiryo UI"/>
            <family val="3"/>
            <charset val="128"/>
          </rPr>
          <t>二次的な被害を出すおそれのある場所</t>
        </r>
        <r>
          <rPr>
            <sz val="8"/>
            <color indexed="9"/>
            <rFont val="Meiryo UI"/>
            <family val="3"/>
            <charset val="128"/>
          </rPr>
          <t xml:space="preserve">
　  　 　　　</t>
        </r>
        <r>
          <rPr>
            <sz val="8"/>
            <color indexed="81"/>
            <rFont val="Meiryo UI"/>
            <family val="3"/>
            <charset val="128"/>
          </rPr>
          <t>[規則13-3-2][規則13-3-4][規則13-3-7][S49消防予133]
　 　　　　　[S49消防安129][S52消防予217][規則13-3-8]
　 　　　　　[S62消防予187]</t>
        </r>
        <r>
          <rPr>
            <sz val="8"/>
            <color indexed="9"/>
            <rFont val="Meiryo UI"/>
            <family val="3"/>
            <charset val="128"/>
          </rPr>
          <t xml:space="preserve">
　 　　</t>
        </r>
        <r>
          <rPr>
            <sz val="8"/>
            <color indexed="81"/>
            <rFont val="Meiryo UI"/>
            <family val="3"/>
            <charset val="128"/>
          </rPr>
          <t xml:space="preserve">(3) </t>
        </r>
        <r>
          <rPr>
            <sz val="8"/>
            <color indexed="32"/>
            <rFont val="Meiryo UI"/>
            <family val="3"/>
            <charset val="128"/>
          </rPr>
          <t>効果が期待できない場所</t>
        </r>
        <r>
          <rPr>
            <sz val="8"/>
            <color indexed="9"/>
            <rFont val="Meiryo UI"/>
            <family val="3"/>
            <charset val="128"/>
          </rPr>
          <t xml:space="preserve">
　 　　　　</t>
        </r>
        <r>
          <rPr>
            <sz val="8"/>
            <color indexed="81"/>
            <rFont val="Meiryo UI"/>
            <family val="3"/>
            <charset val="128"/>
          </rPr>
          <t>　[規則13-3-5][規則13-3-6][規則13-3-9]</t>
        </r>
        <r>
          <rPr>
            <sz val="8"/>
            <color indexed="9"/>
            <rFont val="Meiryo UI"/>
            <family val="3"/>
            <charset val="128"/>
          </rPr>
          <t xml:space="preserve">
　 　　</t>
        </r>
        <r>
          <rPr>
            <sz val="8"/>
            <color indexed="81"/>
            <rFont val="Meiryo UI"/>
            <family val="3"/>
            <charset val="128"/>
          </rPr>
          <t>(4)</t>
        </r>
        <r>
          <rPr>
            <sz val="8"/>
            <color indexed="9"/>
            <rFont val="Meiryo UI"/>
            <family val="3"/>
            <charset val="128"/>
          </rPr>
          <t xml:space="preserve"> </t>
        </r>
        <r>
          <rPr>
            <sz val="8"/>
            <color indexed="32"/>
            <rFont val="Meiryo UI"/>
            <family val="3"/>
            <charset val="128"/>
          </rPr>
          <t xml:space="preserve">スプリンクラ代区画部分 </t>
        </r>
        <r>
          <rPr>
            <sz val="8"/>
            <color indexed="81"/>
            <rFont val="Meiryo UI"/>
            <family val="3"/>
            <charset val="128"/>
          </rPr>
          <t>[規則13-3-11]</t>
        </r>
        <r>
          <rPr>
            <sz val="8"/>
            <color indexed="9"/>
            <rFont val="Meiryo UI"/>
            <family val="3"/>
            <charset val="128"/>
          </rPr>
          <t xml:space="preserve">
　　 　</t>
        </r>
        <r>
          <rPr>
            <sz val="8"/>
            <color indexed="81"/>
            <rFont val="Meiryo UI"/>
            <family val="3"/>
            <charset val="128"/>
          </rPr>
          <t>(5)</t>
        </r>
        <r>
          <rPr>
            <sz val="8"/>
            <color indexed="9"/>
            <rFont val="Meiryo UI"/>
            <family val="3"/>
            <charset val="128"/>
          </rPr>
          <t xml:space="preserve"> </t>
        </r>
        <r>
          <rPr>
            <sz val="8"/>
            <color indexed="32"/>
            <rFont val="Meiryo UI"/>
            <family val="3"/>
            <charset val="128"/>
          </rPr>
          <t>主要構造部が耐火構造</t>
        </r>
        <r>
          <rPr>
            <sz val="8"/>
            <color indexed="9"/>
            <rFont val="Meiryo UI"/>
            <family val="3"/>
            <charset val="128"/>
          </rPr>
          <t xml:space="preserve"> </t>
        </r>
        <r>
          <rPr>
            <sz val="8"/>
            <color indexed="81"/>
            <rFont val="Meiryo UI"/>
            <family val="3"/>
            <charset val="128"/>
          </rPr>
          <t>[規則13-3-12]</t>
        </r>
        <r>
          <rPr>
            <sz val="8"/>
            <color indexed="9"/>
            <rFont val="Meiryo UI"/>
            <family val="3"/>
            <charset val="128"/>
          </rPr>
          <t xml:space="preserve">
 </t>
        </r>
      </text>
    </comment>
    <comment ref="BT70" authorId="0">
      <text>
        <r>
          <rPr>
            <b/>
            <sz val="9"/>
            <color indexed="81"/>
            <rFont val="ＭＳ Ｐゴシック"/>
            <family val="3"/>
            <charset val="128"/>
          </rPr>
          <t>　  　　　</t>
        </r>
        <r>
          <rPr>
            <b/>
            <sz val="11"/>
            <color indexed="37"/>
            <rFont val="ＭＳ Ｐ明朝"/>
            <family val="1"/>
            <charset val="128"/>
          </rPr>
          <t>機械排煙設備設置基準</t>
        </r>
        <r>
          <rPr>
            <b/>
            <sz val="18"/>
            <color indexed="32"/>
            <rFont val="ＭＳ Ｐゴシック"/>
            <family val="3"/>
            <charset val="128"/>
          </rPr>
          <t xml:space="preserve"> </t>
        </r>
        <r>
          <rPr>
            <b/>
            <sz val="9"/>
            <color indexed="81"/>
            <rFont val="ＭＳ Ｐゴシック"/>
            <family val="3"/>
            <charset val="128"/>
          </rPr>
          <t xml:space="preserve">
</t>
        </r>
        <r>
          <rPr>
            <sz val="9"/>
            <color indexed="81"/>
            <rFont val="ＭＳ Ｐゴシック"/>
            <family val="3"/>
            <charset val="128"/>
          </rPr>
          <t xml:space="preserve">    </t>
        </r>
        <r>
          <rPr>
            <sz val="8"/>
            <color indexed="32"/>
            <rFont val="Meiryo UI"/>
            <family val="3"/>
            <charset val="128"/>
          </rPr>
          <t>下記、建築物 1～4 参照</t>
        </r>
        <r>
          <rPr>
            <sz val="12"/>
            <color indexed="9"/>
            <rFont val="Meiryo UI"/>
            <family val="3"/>
            <charset val="128"/>
          </rPr>
          <t xml:space="preserve"> </t>
        </r>
        <r>
          <rPr>
            <sz val="9"/>
            <color indexed="9"/>
            <rFont val="Meiryo UI"/>
            <family val="3"/>
            <charset val="128"/>
          </rPr>
          <t xml:space="preserve">
　 </t>
        </r>
        <r>
          <rPr>
            <sz val="9"/>
            <color indexed="81"/>
            <rFont val="Meiryo UI"/>
            <family val="3"/>
            <charset val="128"/>
          </rPr>
          <t>緩和規程</t>
        </r>
        <r>
          <rPr>
            <sz val="14"/>
            <color indexed="9"/>
            <rFont val="Meiryo UI"/>
            <family val="3"/>
            <charset val="128"/>
          </rPr>
          <t xml:space="preserve"> </t>
        </r>
        <r>
          <rPr>
            <sz val="9"/>
            <color indexed="9"/>
            <rFont val="Meiryo UI"/>
            <family val="3"/>
            <charset val="128"/>
          </rPr>
          <t xml:space="preserve">
 </t>
        </r>
        <r>
          <rPr>
            <sz val="8"/>
            <color indexed="9"/>
            <rFont val="Meiryo UI"/>
            <family val="3"/>
            <charset val="128"/>
          </rPr>
          <t>　　</t>
        </r>
        <r>
          <rPr>
            <sz val="8"/>
            <color indexed="32"/>
            <rFont val="Meiryo UI"/>
            <family val="3"/>
            <charset val="128"/>
          </rPr>
          <t>建設省告示1436号四-ハ-(4)</t>
        </r>
        <r>
          <rPr>
            <sz val="8"/>
            <color indexed="9"/>
            <rFont val="Meiryo UI"/>
            <family val="3"/>
            <charset val="128"/>
          </rPr>
          <t xml:space="preserve">
 　　</t>
        </r>
        <r>
          <rPr>
            <sz val="8"/>
            <color indexed="32"/>
            <rFont val="Meiryo UI"/>
            <family val="3"/>
            <charset val="128"/>
          </rPr>
          <t>床面積が 100m</t>
        </r>
        <r>
          <rPr>
            <vertAlign val="superscript"/>
            <sz val="8"/>
            <color indexed="32"/>
            <rFont val="Meiryo UI"/>
            <family val="3"/>
            <charset val="128"/>
          </rPr>
          <t>2</t>
        </r>
        <r>
          <rPr>
            <sz val="8"/>
            <color indexed="32"/>
            <rFont val="Meiryo UI"/>
            <family val="3"/>
            <charset val="128"/>
          </rPr>
          <t>以下 で、壁及び天井の室内に面
　 　する部分の仕上げを不燃材料でし、かつ、その下地を
　 　不燃材料で造ったもの。</t>
        </r>
        <r>
          <rPr>
            <sz val="9"/>
            <color indexed="9"/>
            <rFont val="Meiryo UI"/>
            <family val="3"/>
            <charset val="128"/>
          </rPr>
          <t xml:space="preserve">
</t>
        </r>
        <r>
          <rPr>
            <sz val="8"/>
            <color indexed="9"/>
            <rFont val="Meiryo UI"/>
            <family val="3"/>
            <charset val="128"/>
          </rPr>
          <t xml:space="preserve">　 </t>
        </r>
        <r>
          <rPr>
            <sz val="8"/>
            <color indexed="81"/>
            <rFont val="Meiryo UI"/>
            <family val="3"/>
            <charset val="128"/>
          </rPr>
          <t>①</t>
        </r>
        <r>
          <rPr>
            <sz val="8"/>
            <color indexed="9"/>
            <rFont val="Meiryo UI"/>
            <family val="3"/>
            <charset val="128"/>
          </rPr>
          <t xml:space="preserve"> </t>
        </r>
        <r>
          <rPr>
            <sz val="8"/>
            <color indexed="32"/>
            <rFont val="Meiryo UI"/>
            <family val="3"/>
            <charset val="128"/>
          </rPr>
          <t>消火活動上支障がない部分</t>
        </r>
        <r>
          <rPr>
            <sz val="8"/>
            <color indexed="81"/>
            <rFont val="Meiryo UI"/>
            <family val="3"/>
            <charset val="128"/>
          </rPr>
          <t>。[令28-3]</t>
        </r>
        <r>
          <rPr>
            <sz val="9"/>
            <color indexed="9"/>
            <rFont val="Meiryo UI"/>
            <family val="3"/>
            <charset val="128"/>
          </rPr>
          <t xml:space="preserve">
</t>
        </r>
        <r>
          <rPr>
            <sz val="8"/>
            <color indexed="9"/>
            <rFont val="Meiryo UI"/>
            <family val="3"/>
            <charset val="128"/>
          </rPr>
          <t xml:space="preserve">　 </t>
        </r>
        <r>
          <rPr>
            <sz val="8"/>
            <color indexed="81"/>
            <rFont val="Meiryo UI"/>
            <family val="3"/>
            <charset val="128"/>
          </rPr>
          <t>②</t>
        </r>
        <r>
          <rPr>
            <sz val="8"/>
            <color indexed="9"/>
            <rFont val="Meiryo UI"/>
            <family val="3"/>
            <charset val="128"/>
          </rPr>
          <t xml:space="preserve"> </t>
        </r>
        <r>
          <rPr>
            <sz val="8"/>
            <color indexed="32"/>
            <rFont val="Meiryo UI"/>
            <family val="3"/>
            <charset val="128"/>
          </rPr>
          <t>直接外気に開放されている部分。</t>
        </r>
        <r>
          <rPr>
            <sz val="8"/>
            <color indexed="81"/>
            <rFont val="Meiryo UI"/>
            <family val="3"/>
            <charset val="128"/>
          </rPr>
          <t>[規則29-1]</t>
        </r>
        <r>
          <rPr>
            <sz val="8"/>
            <color indexed="9"/>
            <rFont val="Meiryo UI"/>
            <family val="3"/>
            <charset val="128"/>
          </rPr>
          <t xml:space="preserve">
　 </t>
        </r>
        <r>
          <rPr>
            <sz val="8"/>
            <color indexed="81"/>
            <rFont val="Meiryo UI"/>
            <family val="3"/>
            <charset val="128"/>
          </rPr>
          <t>③</t>
        </r>
        <r>
          <rPr>
            <sz val="8"/>
            <color indexed="32"/>
            <rFont val="Meiryo UI"/>
            <family val="3"/>
            <charset val="128"/>
          </rPr>
          <t xml:space="preserve"> 固定式の特殊消火設備が設置されている部分。</t>
        </r>
        <r>
          <rPr>
            <sz val="8"/>
            <color indexed="9"/>
            <rFont val="Meiryo UI"/>
            <family val="3"/>
            <charset val="128"/>
          </rPr>
          <t xml:space="preserve">
　 　　</t>
        </r>
        <r>
          <rPr>
            <sz val="8"/>
            <color indexed="81"/>
            <rFont val="Meiryo UI"/>
            <family val="3"/>
            <charset val="128"/>
          </rPr>
          <t>[規則29-2]</t>
        </r>
        <r>
          <rPr>
            <sz val="8"/>
            <color indexed="9"/>
            <rFont val="Meiryo UI"/>
            <family val="3"/>
            <charset val="128"/>
          </rPr>
          <t xml:space="preserve">
　 </t>
        </r>
        <r>
          <rPr>
            <sz val="8"/>
            <color indexed="81"/>
            <rFont val="Meiryo UI"/>
            <family val="3"/>
            <charset val="128"/>
          </rPr>
          <t>④</t>
        </r>
        <r>
          <rPr>
            <sz val="8"/>
            <color indexed="9"/>
            <rFont val="Meiryo UI"/>
            <family val="3"/>
            <charset val="128"/>
          </rPr>
          <t xml:space="preserve"> </t>
        </r>
        <r>
          <rPr>
            <sz val="8"/>
            <color indexed="32"/>
            <rFont val="Meiryo UI"/>
            <family val="3"/>
            <charset val="128"/>
          </rPr>
          <t>消火活動上支障を生じるおそれがないものとして
　　 　消防庁長官が定める部分。</t>
        </r>
        <r>
          <rPr>
            <sz val="8"/>
            <color indexed="81"/>
            <rFont val="Meiryo UI"/>
            <family val="3"/>
            <charset val="128"/>
          </rPr>
          <t>[規則29-3]</t>
        </r>
        <r>
          <rPr>
            <sz val="8"/>
            <color indexed="9"/>
            <rFont val="Meiryo UI"/>
            <family val="3"/>
            <charset val="128"/>
          </rPr>
          <t xml:space="preserve">
</t>
        </r>
        <r>
          <rPr>
            <sz val="8"/>
            <color indexed="37"/>
            <rFont val="Meiryo UI"/>
            <family val="3"/>
            <charset val="128"/>
          </rPr>
          <t>　  この設置基準は、建築基準法と消防法で異なる基準</t>
        </r>
        <r>
          <rPr>
            <sz val="14"/>
            <color indexed="37"/>
            <rFont val="Meiryo UI"/>
            <family val="3"/>
            <charset val="128"/>
          </rPr>
          <t xml:space="preserve"> </t>
        </r>
        <r>
          <rPr>
            <sz val="8"/>
            <color indexed="37"/>
            <rFont val="Meiryo UI"/>
            <family val="3"/>
            <charset val="128"/>
          </rPr>
          <t xml:space="preserve">
    になっていて、本ソフトでは、建築基準法に従っています。</t>
        </r>
        <r>
          <rPr>
            <sz val="8"/>
            <color indexed="9"/>
            <rFont val="Meiryo UI"/>
            <family val="3"/>
            <charset val="128"/>
          </rPr>
          <t xml:space="preserve">
 </t>
        </r>
      </text>
    </comment>
    <comment ref="BY70" authorId="0">
      <text>
        <r>
          <rPr>
            <b/>
            <sz val="9"/>
            <color indexed="81"/>
            <rFont val="ＭＳ Ｐゴシック"/>
            <family val="3"/>
            <charset val="128"/>
          </rPr>
          <t xml:space="preserve">　 </t>
        </r>
        <r>
          <rPr>
            <b/>
            <sz val="11"/>
            <color indexed="37"/>
            <rFont val="ＭＳ Ｐ明朝"/>
            <family val="1"/>
            <charset val="128"/>
          </rPr>
          <t>避雷設備設置基準</t>
        </r>
        <r>
          <rPr>
            <b/>
            <sz val="18"/>
            <color indexed="32"/>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建築基準法第33条</t>
        </r>
        <r>
          <rPr>
            <sz val="12"/>
            <color indexed="9"/>
            <rFont val="Meiryo UI"/>
            <family val="3"/>
            <charset val="128"/>
          </rPr>
          <t xml:space="preserve"> </t>
        </r>
        <r>
          <rPr>
            <sz val="9"/>
            <color indexed="9"/>
            <rFont val="Meiryo UI"/>
            <family val="3"/>
            <charset val="128"/>
          </rPr>
          <t xml:space="preserve">
</t>
        </r>
        <r>
          <rPr>
            <sz val="8"/>
            <color indexed="32"/>
            <rFont val="Meiryo UI"/>
            <family val="3"/>
            <charset val="128"/>
          </rPr>
          <t>　　高さ 20 mを越える建築物には、
　　有効な避雷設備を設けなければ
　　ならない。</t>
        </r>
        <r>
          <rPr>
            <sz val="9"/>
            <color indexed="9"/>
            <rFont val="Meiryo UI"/>
            <family val="3"/>
            <charset val="128"/>
          </rPr>
          <t xml:space="preserve">
 </t>
        </r>
      </text>
    </comment>
    <comment ref="AP72" authorId="0">
      <text>
        <r>
          <rPr>
            <b/>
            <sz val="9"/>
            <color indexed="81"/>
            <rFont val="ＭＳ Ｐゴシック"/>
            <family val="3"/>
            <charset val="128"/>
          </rPr>
          <t>　　　　</t>
        </r>
        <r>
          <rPr>
            <b/>
            <sz val="12"/>
            <color indexed="32"/>
            <rFont val="ＭＳ Ｐ明朝"/>
            <family val="1"/>
            <charset val="128"/>
          </rPr>
          <t>　</t>
        </r>
        <r>
          <rPr>
            <b/>
            <sz val="12"/>
            <color indexed="32"/>
            <rFont val="ＭＳ Ｐゴシック"/>
            <family val="3"/>
            <charset val="128"/>
          </rPr>
          <t xml:space="preserve"> </t>
        </r>
        <r>
          <rPr>
            <b/>
            <sz val="11"/>
            <color indexed="37"/>
            <rFont val="ＭＳ Ｐ明朝"/>
            <family val="1"/>
            <charset val="128"/>
          </rPr>
          <t>一般</t>
        </r>
        <r>
          <rPr>
            <b/>
            <sz val="11"/>
            <color indexed="37"/>
            <rFont val="ＭＳ Ｐゴシック"/>
            <family val="3"/>
            <charset val="128"/>
          </rPr>
          <t xml:space="preserve"> </t>
        </r>
        <r>
          <rPr>
            <b/>
            <sz val="11"/>
            <color indexed="37"/>
            <rFont val="ＭＳ Ｐ明朝"/>
            <family val="1"/>
            <charset val="128"/>
          </rPr>
          <t>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xml:space="preserve">　① </t>
        </r>
        <r>
          <rPr>
            <sz val="8"/>
            <color indexed="32"/>
            <rFont val="Meiryo UI"/>
            <family val="3"/>
            <charset val="128"/>
          </rPr>
          <t>すべて設置：</t>
        </r>
        <r>
          <rPr>
            <sz val="8"/>
            <color indexed="81"/>
            <rFont val="Meiryo UI"/>
            <family val="3"/>
            <charset val="128"/>
          </rPr>
          <t>(2)ニ、(6)ロ、(13)ロ、(17)</t>
        </r>
        <r>
          <rPr>
            <sz val="12"/>
            <color indexed="9"/>
            <rFont val="Meiryo UI"/>
            <family val="3"/>
            <charset val="128"/>
          </rPr>
          <t xml:space="preserve"> </t>
        </r>
        <r>
          <rPr>
            <b/>
            <sz val="9"/>
            <color indexed="81"/>
            <rFont val="ＭＳ Ｐゴシック"/>
            <family val="3"/>
            <charset val="128"/>
          </rPr>
          <t xml:space="preserve">
</t>
        </r>
        <r>
          <rPr>
            <sz val="8"/>
            <color indexed="81"/>
            <rFont val="Meiryo UI"/>
            <family val="3"/>
            <charset val="128"/>
          </rPr>
          <t>　②</t>
        </r>
        <r>
          <rPr>
            <sz val="8"/>
            <color indexed="32"/>
            <rFont val="Meiryo UI"/>
            <family val="3"/>
            <charset val="128"/>
          </rPr>
          <t xml:space="preserve"> 延床面積 ≧ 200m</t>
        </r>
        <r>
          <rPr>
            <vertAlign val="superscript"/>
            <sz val="8"/>
            <color indexed="32"/>
            <rFont val="Meiryo UI"/>
            <family val="3"/>
            <charset val="128"/>
          </rPr>
          <t>2</t>
        </r>
        <r>
          <rPr>
            <sz val="8"/>
            <color indexed="32"/>
            <rFont val="Meiryo UI"/>
            <family val="3"/>
            <charset val="128"/>
          </rPr>
          <t>：</t>
        </r>
        <r>
          <rPr>
            <sz val="8"/>
            <color indexed="81"/>
            <rFont val="Meiryo UI"/>
            <family val="3"/>
            <charset val="128"/>
          </rPr>
          <t>(9)イ</t>
        </r>
        <r>
          <rPr>
            <sz val="8"/>
            <color indexed="9"/>
            <rFont val="Meiryo UI"/>
            <family val="3"/>
            <charset val="128"/>
          </rPr>
          <t xml:space="preserve"> 
　</t>
        </r>
        <r>
          <rPr>
            <sz val="8"/>
            <color indexed="32"/>
            <rFont val="Meiryo UI"/>
            <family val="3"/>
            <charset val="128"/>
          </rPr>
          <t>③ 延床面積 ≧ 300m</t>
        </r>
        <r>
          <rPr>
            <vertAlign val="superscript"/>
            <sz val="8"/>
            <color indexed="32"/>
            <rFont val="Meiryo UI"/>
            <family val="3"/>
            <charset val="128"/>
          </rPr>
          <t>2</t>
        </r>
        <r>
          <rPr>
            <sz val="8"/>
            <color indexed="32"/>
            <rFont val="Meiryo UI"/>
            <family val="3"/>
            <charset val="128"/>
          </rPr>
          <t>：</t>
        </r>
        <r>
          <rPr>
            <sz val="8"/>
            <color indexed="81"/>
            <rFont val="Meiryo UI"/>
            <family val="3"/>
            <charset val="128"/>
          </rPr>
          <t>(1)イ・ロ、(2)イ・ロ・ハ
　　　(3)イ・ロ、(4)、(5)イ、(6)イ・ハ・ニ、(16)イ、16の2</t>
        </r>
        <r>
          <rPr>
            <sz val="8"/>
            <color indexed="9"/>
            <rFont val="Meiryo UI"/>
            <family val="3"/>
            <charset val="128"/>
          </rPr>
          <t xml:space="preserve">
　</t>
        </r>
        <r>
          <rPr>
            <sz val="8"/>
            <color indexed="32"/>
            <rFont val="Meiryo UI"/>
            <family val="3"/>
            <charset val="128"/>
          </rPr>
          <t>④ 延床面積 ≧ 300m</t>
        </r>
        <r>
          <rPr>
            <vertAlign val="superscript"/>
            <sz val="8"/>
            <color indexed="32"/>
            <rFont val="Meiryo UI"/>
            <family val="3"/>
            <charset val="128"/>
          </rPr>
          <t>2</t>
        </r>
        <r>
          <rPr>
            <sz val="8"/>
            <color indexed="32"/>
            <rFont val="Meiryo UI"/>
            <family val="3"/>
            <charset val="128"/>
          </rPr>
          <t>：</t>
        </r>
        <r>
          <rPr>
            <sz val="8"/>
            <color indexed="81"/>
            <rFont val="Meiryo UI"/>
            <family val="3"/>
            <charset val="128"/>
          </rPr>
          <t>(5)ロ、(7)、(8)、(9)ロ、
　　　(10)、(12)イ・ロ、(13)イ、(14)
　⑤</t>
        </r>
        <r>
          <rPr>
            <sz val="8"/>
            <color indexed="9"/>
            <rFont val="Meiryo UI"/>
            <family val="3"/>
            <charset val="128"/>
          </rPr>
          <t xml:space="preserve"> </t>
        </r>
        <r>
          <rPr>
            <sz val="8"/>
            <color indexed="32"/>
            <rFont val="Meiryo UI"/>
            <family val="3"/>
            <charset val="128"/>
          </rPr>
          <t>延床面積 ≧ 1000m</t>
        </r>
        <r>
          <rPr>
            <vertAlign val="superscript"/>
            <sz val="8"/>
            <color indexed="32"/>
            <rFont val="Meiryo UI"/>
            <family val="3"/>
            <charset val="128"/>
          </rPr>
          <t>2</t>
        </r>
        <r>
          <rPr>
            <sz val="8"/>
            <color indexed="32"/>
            <rFont val="Meiryo UI"/>
            <family val="3"/>
            <charset val="128"/>
          </rPr>
          <t>：</t>
        </r>
        <r>
          <rPr>
            <sz val="8"/>
            <color indexed="81"/>
            <rFont val="Meiryo UI"/>
            <family val="3"/>
            <charset val="128"/>
          </rPr>
          <t xml:space="preserve">(11)、(15)
 </t>
        </r>
      </text>
    </comment>
    <comment ref="BP72" authorId="0">
      <text>
        <r>
          <rPr>
            <b/>
            <sz val="9"/>
            <color indexed="81"/>
            <rFont val="ＭＳ Ｐゴシック"/>
            <family val="3"/>
            <charset val="128"/>
          </rPr>
          <t>　　　　　 　</t>
        </r>
        <r>
          <rPr>
            <b/>
            <sz val="11"/>
            <color indexed="37"/>
            <rFont val="ＭＳ Ｐ明朝"/>
            <family val="1"/>
            <charset val="128"/>
          </rPr>
          <t>一　般</t>
        </r>
        <r>
          <rPr>
            <b/>
            <sz val="12"/>
            <color indexed="37"/>
            <rFont val="ＭＳ Ｐ明朝"/>
            <family val="1"/>
            <charset val="128"/>
          </rPr>
          <t xml:space="preserve"> </t>
        </r>
        <r>
          <rPr>
            <b/>
            <sz val="10"/>
            <color indexed="37"/>
            <rFont val="ＭＳ Ｐ明朝"/>
            <family val="1"/>
            <charset val="128"/>
          </rPr>
          <t>(延床面積)</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9"/>
            <rFont val="ＭＳ Ｐゴシック"/>
            <family val="3"/>
            <charset val="128"/>
          </rPr>
          <t xml:space="preserve"> </t>
        </r>
        <r>
          <rPr>
            <sz val="8"/>
            <color indexed="32"/>
            <rFont val="Meiryo UI"/>
            <family val="3"/>
            <charset val="128"/>
          </rPr>
          <t>延床面積 ≧</t>
        </r>
        <r>
          <rPr>
            <sz val="8"/>
            <color indexed="81"/>
            <rFont val="Meiryo UI"/>
            <family val="3"/>
            <charset val="128"/>
          </rPr>
          <t xml:space="preserve"> 　275m</t>
        </r>
        <r>
          <rPr>
            <vertAlign val="superscript"/>
            <sz val="8"/>
            <color indexed="81"/>
            <rFont val="Meiryo UI"/>
            <family val="3"/>
            <charset val="128"/>
          </rPr>
          <t>2</t>
        </r>
        <r>
          <rPr>
            <sz val="8"/>
            <color indexed="81"/>
            <rFont val="Meiryo UI"/>
            <family val="3"/>
            <charset val="128"/>
          </rPr>
          <t>：(6)ロ</t>
        </r>
        <r>
          <rPr>
            <sz val="12"/>
            <color indexed="81"/>
            <rFont val="Meiryo UI"/>
            <family val="3"/>
            <charset val="128"/>
          </rPr>
          <t>　</t>
        </r>
        <r>
          <rPr>
            <sz val="8"/>
            <color indexed="81"/>
            <rFont val="Meiryo UI"/>
            <family val="3"/>
            <charset val="128"/>
          </rPr>
          <t xml:space="preserve">
　 </t>
        </r>
        <r>
          <rPr>
            <sz val="8"/>
            <color indexed="32"/>
            <rFont val="Meiryo UI"/>
            <family val="3"/>
            <charset val="128"/>
          </rPr>
          <t>延床面積 ≧</t>
        </r>
        <r>
          <rPr>
            <sz val="8"/>
            <color indexed="9"/>
            <rFont val="Meiryo UI"/>
            <family val="3"/>
            <charset val="128"/>
          </rPr>
          <t xml:space="preserve"> </t>
        </r>
        <r>
          <rPr>
            <sz val="8"/>
            <color indexed="81"/>
            <rFont val="Meiryo UI"/>
            <family val="3"/>
            <charset val="128"/>
          </rPr>
          <t>1000m2：16の2、16の3</t>
        </r>
        <r>
          <rPr>
            <sz val="8"/>
            <color indexed="9"/>
            <rFont val="Meiryo UI"/>
            <family val="3"/>
            <charset val="128"/>
          </rPr>
          <t xml:space="preserve">
　 </t>
        </r>
        <r>
          <rPr>
            <sz val="8"/>
            <color indexed="32"/>
            <rFont val="Meiryo UI"/>
            <family val="3"/>
            <charset val="128"/>
          </rPr>
          <t>延床面積 ≧</t>
        </r>
        <r>
          <rPr>
            <sz val="8"/>
            <color indexed="9"/>
            <rFont val="Meiryo UI"/>
            <family val="3"/>
            <charset val="128"/>
          </rPr>
          <t xml:space="preserve"> </t>
        </r>
        <r>
          <rPr>
            <sz val="8"/>
            <color indexed="81"/>
            <rFont val="Meiryo UI"/>
            <family val="3"/>
            <charset val="128"/>
          </rPr>
          <t xml:space="preserve">3000m2 </t>
        </r>
        <r>
          <rPr>
            <sz val="8"/>
            <color indexed="32"/>
            <rFont val="Meiryo UI"/>
            <family val="3"/>
            <charset val="128"/>
          </rPr>
          <t>(平屋建以外)</t>
        </r>
        <r>
          <rPr>
            <sz val="8"/>
            <color indexed="81"/>
            <rFont val="Meiryo UI"/>
            <family val="3"/>
            <charset val="128"/>
          </rPr>
          <t xml:space="preserve">：(4)、(6)イ
　 </t>
        </r>
        <r>
          <rPr>
            <sz val="8"/>
            <color indexed="32"/>
            <rFont val="Meiryo UI"/>
            <family val="3"/>
            <charset val="128"/>
          </rPr>
          <t>延床面積 ≧</t>
        </r>
        <r>
          <rPr>
            <sz val="8"/>
            <color indexed="81"/>
            <rFont val="Meiryo UI"/>
            <family val="3"/>
            <charset val="128"/>
          </rPr>
          <t xml:space="preserve"> 6000m2 </t>
        </r>
        <r>
          <rPr>
            <sz val="8"/>
            <color indexed="32"/>
            <rFont val="Meiryo UI"/>
            <family val="3"/>
            <charset val="128"/>
          </rPr>
          <t>(平屋建以外)</t>
        </r>
        <r>
          <rPr>
            <sz val="8"/>
            <color indexed="81"/>
            <rFont val="Meiryo UI"/>
            <family val="3"/>
            <charset val="128"/>
          </rPr>
          <t xml:space="preserve">：(1)、(2)、(3)
</t>
        </r>
        <r>
          <rPr>
            <sz val="8"/>
            <color indexed="9"/>
            <rFont val="Meiryo UI"/>
            <family val="3"/>
            <charset val="128"/>
          </rPr>
          <t>　  　　　　　　　　　　　　　　 　　</t>
        </r>
        <r>
          <rPr>
            <sz val="8"/>
            <color indexed="81"/>
            <rFont val="Meiryo UI"/>
            <family val="3"/>
            <charset val="128"/>
          </rPr>
          <t>(5)イ、(6)ハ、(6)ニ、(9)イ</t>
        </r>
        <r>
          <rPr>
            <sz val="8"/>
            <color indexed="9"/>
            <rFont val="Meiryo UI"/>
            <family val="3"/>
            <charset val="128"/>
          </rPr>
          <t xml:space="preserve">
　</t>
        </r>
      </text>
    </comment>
    <comment ref="BT72"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t>
        </r>
        <r>
          <rPr>
            <b/>
            <sz val="11"/>
            <color indexed="37"/>
            <rFont val="ＭＳ Ｐ明朝"/>
            <family val="1"/>
            <charset val="128"/>
          </rPr>
          <t>建築物-1</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16"/>
            <rFont val="Meiryo UI"/>
            <family val="3"/>
            <charset val="128"/>
          </rPr>
          <t>劇場</t>
        </r>
        <r>
          <rPr>
            <sz val="8"/>
            <color indexed="9"/>
            <rFont val="Meiryo UI"/>
            <family val="3"/>
            <charset val="128"/>
          </rPr>
          <t xml:space="preserve">
</t>
        </r>
        <r>
          <rPr>
            <sz val="8"/>
            <color indexed="9"/>
            <rFont val="ＭＳ Ｐゴシック"/>
            <family val="3"/>
            <charset val="128"/>
          </rPr>
          <t xml:space="preserve"> </t>
        </r>
        <r>
          <rPr>
            <sz val="8"/>
            <color indexed="9"/>
            <rFont val="Meiryo UI"/>
            <family val="3"/>
            <charset val="128"/>
          </rPr>
          <t>　</t>
        </r>
        <r>
          <rPr>
            <sz val="8"/>
            <color indexed="81"/>
            <rFont val="Meiryo UI"/>
            <family val="3"/>
            <charset val="128"/>
          </rPr>
          <t>建築基準法：</t>
        </r>
        <r>
          <rPr>
            <sz val="8"/>
            <color indexed="32"/>
            <rFont val="Meiryo UI"/>
            <family val="3"/>
            <charset val="128"/>
          </rPr>
          <t>延床面積＞500m</t>
        </r>
        <r>
          <rPr>
            <vertAlign val="superscript"/>
            <sz val="8"/>
            <color indexed="32"/>
            <rFont val="Meiryo UI"/>
            <family val="3"/>
            <charset val="128"/>
          </rPr>
          <t>2</t>
        </r>
        <r>
          <rPr>
            <sz val="8"/>
            <color indexed="9"/>
            <rFont val="Meiryo UI"/>
            <family val="3"/>
            <charset val="128"/>
          </rPr>
          <t xml:space="preserve">
　 </t>
        </r>
        <r>
          <rPr>
            <sz val="8"/>
            <color indexed="16"/>
            <rFont val="Meiryo UI"/>
            <family val="3"/>
            <charset val="128"/>
          </rPr>
          <t>(1)イ・ロ</t>
        </r>
        <r>
          <rPr>
            <sz val="12"/>
            <color indexed="9"/>
            <rFont val="Meiryo UI"/>
            <family val="3"/>
            <charset val="128"/>
          </rPr>
          <t xml:space="preserve"> </t>
        </r>
        <r>
          <rPr>
            <sz val="8"/>
            <color indexed="9"/>
            <rFont val="Meiryo UI"/>
            <family val="3"/>
            <charset val="128"/>
          </rPr>
          <t xml:space="preserve">
 　</t>
        </r>
        <r>
          <rPr>
            <sz val="8"/>
            <color indexed="81"/>
            <rFont val="Meiryo UI"/>
            <family val="3"/>
            <charset val="128"/>
          </rPr>
          <t>消防法：</t>
        </r>
        <r>
          <rPr>
            <sz val="8"/>
            <color indexed="32"/>
            <rFont val="Meiryo UI"/>
            <family val="3"/>
            <charset val="128"/>
          </rPr>
          <t>舞台部床面積 ≧ 500m</t>
        </r>
        <r>
          <rPr>
            <vertAlign val="superscript"/>
            <sz val="8"/>
            <color indexed="32"/>
            <rFont val="Meiryo UI"/>
            <family val="3"/>
            <charset val="128"/>
          </rPr>
          <t xml:space="preserve">2
 </t>
        </r>
      </text>
    </comment>
    <comment ref="AP73" authorId="0">
      <text>
        <r>
          <rPr>
            <b/>
            <sz val="9"/>
            <color indexed="81"/>
            <rFont val="ＭＳ Ｐゴシック"/>
            <family val="3"/>
            <charset val="128"/>
          </rPr>
          <t>　　　　</t>
        </r>
        <r>
          <rPr>
            <b/>
            <sz val="12"/>
            <color indexed="32"/>
            <rFont val="ＭＳ Ｐ明朝"/>
            <family val="1"/>
            <charset val="128"/>
          </rPr>
          <t>　</t>
        </r>
        <r>
          <rPr>
            <b/>
            <sz val="12"/>
            <color indexed="32"/>
            <rFont val="ＭＳ Ｐゴシック"/>
            <family val="3"/>
            <charset val="128"/>
          </rPr>
          <t xml:space="preserve">    </t>
        </r>
        <r>
          <rPr>
            <b/>
            <sz val="11"/>
            <color indexed="37"/>
            <rFont val="ＭＳ Ｐ明朝"/>
            <family val="1"/>
            <charset val="128"/>
          </rPr>
          <t>階段</t>
        </r>
        <r>
          <rPr>
            <b/>
            <sz val="11"/>
            <color indexed="37"/>
            <rFont val="ＭＳ Ｐゴシック"/>
            <family val="3"/>
            <charset val="128"/>
          </rPr>
          <t xml:space="preserve"> </t>
        </r>
        <r>
          <rPr>
            <b/>
            <sz val="11"/>
            <color indexed="37"/>
            <rFont val="ＭＳ Ｐ明朝"/>
            <family val="1"/>
            <charset val="128"/>
          </rPr>
          <t>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xml:space="preserve">　① </t>
        </r>
        <r>
          <rPr>
            <sz val="8"/>
            <color indexed="32"/>
            <rFont val="Meiryo UI"/>
            <family val="3"/>
            <charset val="128"/>
          </rPr>
          <t>すべて設置：</t>
        </r>
        <r>
          <rPr>
            <sz val="8"/>
            <color indexed="81"/>
            <rFont val="Meiryo UI"/>
            <family val="3"/>
            <charset val="128"/>
          </rPr>
          <t>(1)イ・ロ、(2)イ・ロ・ハ・ニ、(3)イ・ロ、(4)、</t>
        </r>
        <r>
          <rPr>
            <sz val="12"/>
            <color indexed="81"/>
            <rFont val="Meiryo UI"/>
            <family val="3"/>
            <charset val="128"/>
          </rPr>
          <t xml:space="preserve"> </t>
        </r>
        <r>
          <rPr>
            <sz val="8"/>
            <color indexed="81"/>
            <rFont val="Meiryo UI"/>
            <family val="3"/>
            <charset val="128"/>
          </rPr>
          <t xml:space="preserve">
　　　(5)イ、(6)イ・ロ・ハ・ニ、(9)イ、(13)ロ、(16)イ、(17)</t>
        </r>
        <r>
          <rPr>
            <b/>
            <sz val="9"/>
            <color indexed="81"/>
            <rFont val="ＭＳ Ｐゴシック"/>
            <family val="3"/>
            <charset val="128"/>
          </rPr>
          <t xml:space="preserve">
</t>
        </r>
        <r>
          <rPr>
            <sz val="8"/>
            <color indexed="81"/>
            <rFont val="Meiryo UI"/>
            <family val="3"/>
            <charset val="128"/>
          </rPr>
          <t xml:space="preserve">　② </t>
        </r>
        <r>
          <rPr>
            <sz val="8"/>
            <color indexed="32"/>
            <rFont val="Meiryo UI"/>
            <family val="3"/>
            <charset val="128"/>
          </rPr>
          <t>延床面積 ≧ 300m</t>
        </r>
        <r>
          <rPr>
            <vertAlign val="superscript"/>
            <sz val="8"/>
            <color indexed="32"/>
            <rFont val="Meiryo UI"/>
            <family val="3"/>
            <charset val="128"/>
          </rPr>
          <t>2</t>
        </r>
        <r>
          <rPr>
            <sz val="8"/>
            <color indexed="32"/>
            <rFont val="Meiryo UI"/>
            <family val="3"/>
            <charset val="128"/>
          </rPr>
          <t>：</t>
        </r>
        <r>
          <rPr>
            <sz val="8"/>
            <color indexed="81"/>
            <rFont val="Meiryo UI"/>
            <family val="3"/>
            <charset val="128"/>
          </rPr>
          <t>(16)イ、16の2</t>
        </r>
        <r>
          <rPr>
            <sz val="8"/>
            <color indexed="9"/>
            <rFont val="Meiryo UI"/>
            <family val="3"/>
            <charset val="128"/>
          </rPr>
          <t xml:space="preserve">
　</t>
        </r>
        <r>
          <rPr>
            <sz val="8"/>
            <color indexed="32"/>
            <rFont val="Meiryo UI"/>
            <family val="3"/>
            <charset val="128"/>
          </rPr>
          <t>③ 延床面積 ≧ 500m</t>
        </r>
        <r>
          <rPr>
            <vertAlign val="superscript"/>
            <sz val="8"/>
            <color indexed="32"/>
            <rFont val="Meiryo UI"/>
            <family val="3"/>
            <charset val="128"/>
          </rPr>
          <t>2</t>
        </r>
        <r>
          <rPr>
            <sz val="8"/>
            <color indexed="32"/>
            <rFont val="Meiryo UI"/>
            <family val="3"/>
            <charset val="128"/>
          </rPr>
          <t>：</t>
        </r>
        <r>
          <rPr>
            <sz val="8"/>
            <color indexed="81"/>
            <rFont val="Meiryo UI"/>
            <family val="3"/>
            <charset val="128"/>
          </rPr>
          <t>(5)ロ、(9)ロ、(10)、(12)イ・ロ
　　　(13)イ、(14)</t>
        </r>
        <r>
          <rPr>
            <sz val="8"/>
            <color indexed="9"/>
            <rFont val="Meiryo UI"/>
            <family val="3"/>
            <charset val="128"/>
          </rPr>
          <t xml:space="preserve">
　</t>
        </r>
        <r>
          <rPr>
            <sz val="8"/>
            <color indexed="32"/>
            <rFont val="Meiryo UI"/>
            <family val="3"/>
            <charset val="128"/>
          </rPr>
          <t>④</t>
        </r>
        <r>
          <rPr>
            <sz val="8"/>
            <color indexed="9"/>
            <rFont val="Meiryo UI"/>
            <family val="3"/>
            <charset val="128"/>
          </rPr>
          <t xml:space="preserve"> </t>
        </r>
        <r>
          <rPr>
            <sz val="8"/>
            <color indexed="32"/>
            <rFont val="Meiryo UI"/>
            <family val="3"/>
            <charset val="128"/>
          </rPr>
          <t>延床面積 ≧ 1000m</t>
        </r>
        <r>
          <rPr>
            <vertAlign val="superscript"/>
            <sz val="8"/>
            <color indexed="32"/>
            <rFont val="Meiryo UI"/>
            <family val="3"/>
            <charset val="128"/>
          </rPr>
          <t>2</t>
        </r>
        <r>
          <rPr>
            <sz val="8"/>
            <color indexed="32"/>
            <rFont val="Meiryo UI"/>
            <family val="3"/>
            <charset val="128"/>
          </rPr>
          <t>：</t>
        </r>
        <r>
          <rPr>
            <sz val="8"/>
            <color indexed="81"/>
            <rFont val="Meiryo UI"/>
            <family val="3"/>
            <charset val="128"/>
          </rPr>
          <t xml:space="preserve">(11)、(15)
    </t>
        </r>
      </text>
    </comment>
    <comment ref="AP74" authorId="0">
      <text>
        <r>
          <rPr>
            <b/>
            <sz val="9"/>
            <color indexed="81"/>
            <rFont val="ＭＳ Ｐゴシック"/>
            <family val="3"/>
            <charset val="128"/>
          </rPr>
          <t xml:space="preserve">　  </t>
        </r>
        <r>
          <rPr>
            <b/>
            <sz val="11"/>
            <color indexed="37"/>
            <rFont val="ＭＳ Ｐ明朝"/>
            <family val="1"/>
            <charset val="128"/>
          </rPr>
          <t>地階・２階以上　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t>
        </r>
        <r>
          <rPr>
            <sz val="8"/>
            <color indexed="81"/>
            <rFont val="ＭＳ Ｐゴシック"/>
            <family val="3"/>
            <charset val="128"/>
          </rPr>
          <t xml:space="preserve"> </t>
        </r>
        <r>
          <rPr>
            <sz val="8"/>
            <color indexed="81"/>
            <rFont val="Meiryo UI"/>
            <family val="3"/>
            <charset val="128"/>
          </rPr>
          <t xml:space="preserve">① </t>
        </r>
        <r>
          <rPr>
            <sz val="8"/>
            <color indexed="32"/>
            <rFont val="Meiryo UI"/>
            <family val="3"/>
            <charset val="128"/>
          </rPr>
          <t>その階の床面積 ≧ 200m</t>
        </r>
        <r>
          <rPr>
            <vertAlign val="superscript"/>
            <sz val="8"/>
            <color indexed="32"/>
            <rFont val="Meiryo UI"/>
            <family val="3"/>
            <charset val="128"/>
          </rPr>
          <t>2</t>
        </r>
        <r>
          <rPr>
            <sz val="8"/>
            <color indexed="32"/>
            <rFont val="Meiryo UI"/>
            <family val="3"/>
            <charset val="128"/>
          </rPr>
          <t>：</t>
        </r>
        <r>
          <rPr>
            <sz val="8"/>
            <color indexed="81"/>
            <rFont val="Meiryo UI"/>
            <family val="3"/>
            <charset val="128"/>
          </rPr>
          <t>すべて設置</t>
        </r>
        <r>
          <rPr>
            <sz val="12"/>
            <color indexed="81"/>
            <rFont val="Meiryo UI"/>
            <family val="3"/>
            <charset val="128"/>
          </rPr>
          <t xml:space="preserve"> </t>
        </r>
        <r>
          <rPr>
            <sz val="8"/>
            <color indexed="81"/>
            <rFont val="Meiryo UI"/>
            <family val="3"/>
            <charset val="128"/>
          </rPr>
          <t xml:space="preserve">
 </t>
        </r>
      </text>
    </comment>
    <comment ref="BP74" authorId="0">
      <text>
        <r>
          <rPr>
            <b/>
            <sz val="9"/>
            <color indexed="81"/>
            <rFont val="ＭＳ Ｐゴシック"/>
            <family val="3"/>
            <charset val="128"/>
          </rPr>
          <t>　　　</t>
        </r>
        <r>
          <rPr>
            <b/>
            <sz val="11"/>
            <color indexed="37"/>
            <rFont val="ＭＳ Ｐ明朝"/>
            <family val="1"/>
            <charset val="128"/>
          </rPr>
          <t>地階・無窓階</t>
        </r>
        <r>
          <rPr>
            <b/>
            <sz val="10"/>
            <color indexed="37"/>
            <rFont val="ＭＳ Ｐ明朝"/>
            <family val="1"/>
            <charset val="128"/>
          </rPr>
          <t>(床面積)</t>
        </r>
        <r>
          <rPr>
            <b/>
            <sz val="18"/>
            <color indexed="32"/>
            <rFont val="ＭＳ Ｐゴシック"/>
            <family val="3"/>
            <charset val="128"/>
          </rPr>
          <t xml:space="preserve"> </t>
        </r>
        <r>
          <rPr>
            <b/>
            <sz val="9"/>
            <color indexed="81"/>
            <rFont val="ＭＳ Ｐゴシック"/>
            <family val="3"/>
            <charset val="128"/>
          </rPr>
          <t xml:space="preserve">
</t>
        </r>
        <r>
          <rPr>
            <sz val="8"/>
            <color indexed="32"/>
            <rFont val="Meiryo UI"/>
            <family val="3"/>
            <charset val="128"/>
          </rPr>
          <t>　</t>
        </r>
        <r>
          <rPr>
            <sz val="8"/>
            <color indexed="32"/>
            <rFont val="ＭＳ Ｐゴシック"/>
            <family val="3"/>
            <charset val="128"/>
          </rPr>
          <t xml:space="preserve"> </t>
        </r>
        <r>
          <rPr>
            <sz val="8"/>
            <color indexed="32"/>
            <rFont val="Meiryo UI"/>
            <family val="3"/>
            <charset val="128"/>
          </rPr>
          <t xml:space="preserve">床面積 ≧ </t>
        </r>
        <r>
          <rPr>
            <sz val="8"/>
            <color indexed="81"/>
            <rFont val="Meiryo UI"/>
            <family val="3"/>
            <charset val="128"/>
          </rPr>
          <t>　275m</t>
        </r>
        <r>
          <rPr>
            <vertAlign val="superscript"/>
            <sz val="8"/>
            <color indexed="81"/>
            <rFont val="Meiryo UI"/>
            <family val="3"/>
            <charset val="128"/>
          </rPr>
          <t>2</t>
        </r>
        <r>
          <rPr>
            <sz val="8"/>
            <color indexed="81"/>
            <rFont val="Meiryo UI"/>
            <family val="3"/>
            <charset val="128"/>
          </rPr>
          <t>：(6)ロ</t>
        </r>
        <r>
          <rPr>
            <sz val="12"/>
            <color indexed="81"/>
            <rFont val="Meiryo UI"/>
            <family val="3"/>
            <charset val="128"/>
          </rPr>
          <t>　</t>
        </r>
        <r>
          <rPr>
            <sz val="8"/>
            <color indexed="81"/>
            <rFont val="Meiryo UI"/>
            <family val="3"/>
            <charset val="128"/>
          </rPr>
          <t xml:space="preserve">
　 </t>
        </r>
        <r>
          <rPr>
            <sz val="8"/>
            <color indexed="32"/>
            <rFont val="Meiryo UI"/>
            <family val="3"/>
            <charset val="128"/>
          </rPr>
          <t>床面積 ≧</t>
        </r>
        <r>
          <rPr>
            <sz val="8"/>
            <color indexed="9"/>
            <rFont val="Meiryo UI"/>
            <family val="3"/>
            <charset val="128"/>
          </rPr>
          <t xml:space="preserve"> </t>
        </r>
        <r>
          <rPr>
            <sz val="8"/>
            <color indexed="81"/>
            <rFont val="Meiryo UI"/>
            <family val="3"/>
            <charset val="128"/>
          </rPr>
          <t>1000m2：(1)、(2)、(3)、(4)</t>
        </r>
        <r>
          <rPr>
            <sz val="8"/>
            <color indexed="9"/>
            <rFont val="Meiryo UI"/>
            <family val="3"/>
            <charset val="128"/>
          </rPr>
          <t xml:space="preserve">
　 　　　　　　　</t>
        </r>
        <r>
          <rPr>
            <sz val="8"/>
            <color indexed="81"/>
            <rFont val="Meiryo UI"/>
            <family val="3"/>
            <charset val="128"/>
          </rPr>
          <t>(5)イ、(6)イ、(6)ハ、(6)ニ、(9)イ</t>
        </r>
        <r>
          <rPr>
            <sz val="8"/>
            <color indexed="9"/>
            <rFont val="Meiryo UI"/>
            <family val="3"/>
            <charset val="128"/>
          </rPr>
          <t xml:space="preserve">
 </t>
        </r>
      </text>
    </comment>
    <comment ref="BT74"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t>
        </r>
        <r>
          <rPr>
            <b/>
            <sz val="11"/>
            <color indexed="37"/>
            <rFont val="ＭＳ Ｐ明朝"/>
            <family val="1"/>
            <charset val="128"/>
          </rPr>
          <t>建築物-2</t>
        </r>
        <r>
          <rPr>
            <b/>
            <sz val="18"/>
            <color indexed="32"/>
            <rFont val="ＭＳ Ｐゴシック"/>
            <family val="3"/>
            <charset val="128"/>
          </rPr>
          <t xml:space="preserve"> </t>
        </r>
        <r>
          <rPr>
            <b/>
            <sz val="9"/>
            <color indexed="81"/>
            <rFont val="ＭＳ Ｐゴシック"/>
            <family val="3"/>
            <charset val="128"/>
          </rPr>
          <t xml:space="preserve">
</t>
        </r>
        <r>
          <rPr>
            <b/>
            <sz val="8"/>
            <color indexed="81"/>
            <rFont val="Meiryo UI"/>
            <family val="3"/>
            <charset val="128"/>
          </rPr>
          <t xml:space="preserve"> </t>
        </r>
        <r>
          <rPr>
            <sz val="8"/>
            <color indexed="9"/>
            <rFont val="Meiryo UI"/>
            <family val="3"/>
            <charset val="128"/>
          </rPr>
          <t xml:space="preserve">  </t>
        </r>
        <r>
          <rPr>
            <sz val="8"/>
            <color indexed="16"/>
            <rFont val="Meiryo UI"/>
            <family val="3"/>
            <charset val="128"/>
          </rPr>
          <t>キャバレー・遊技場・百貨店</t>
        </r>
        <r>
          <rPr>
            <sz val="12"/>
            <color indexed="16"/>
            <rFont val="ＭＳ Ｐゴシック"/>
            <family val="3"/>
            <charset val="128"/>
          </rPr>
          <t xml:space="preserve"> </t>
        </r>
        <r>
          <rPr>
            <sz val="8"/>
            <color indexed="9"/>
            <rFont val="Meiryo UI"/>
            <family val="3"/>
            <charset val="128"/>
          </rPr>
          <t xml:space="preserve">
</t>
        </r>
        <r>
          <rPr>
            <sz val="8"/>
            <color indexed="9"/>
            <rFont val="ＭＳ Ｐゴシック"/>
            <family val="3"/>
            <charset val="128"/>
          </rPr>
          <t xml:space="preserve"> </t>
        </r>
        <r>
          <rPr>
            <sz val="8"/>
            <color indexed="9"/>
            <rFont val="Meiryo UI"/>
            <family val="3"/>
            <charset val="128"/>
          </rPr>
          <t>　</t>
        </r>
        <r>
          <rPr>
            <sz val="8"/>
            <color indexed="81"/>
            <rFont val="Meiryo UI"/>
            <family val="3"/>
            <charset val="128"/>
          </rPr>
          <t>建築基準法：</t>
        </r>
        <r>
          <rPr>
            <sz val="8"/>
            <color indexed="32"/>
            <rFont val="Meiryo UI"/>
            <family val="3"/>
            <charset val="128"/>
          </rPr>
          <t>延床面積＞500m</t>
        </r>
        <r>
          <rPr>
            <vertAlign val="superscript"/>
            <sz val="8"/>
            <color indexed="32"/>
            <rFont val="Meiryo UI"/>
            <family val="3"/>
            <charset val="128"/>
          </rPr>
          <t>2</t>
        </r>
        <r>
          <rPr>
            <sz val="8"/>
            <color indexed="9"/>
            <rFont val="Meiryo UI"/>
            <family val="3"/>
            <charset val="128"/>
          </rPr>
          <t xml:space="preserve">
　 </t>
        </r>
        <r>
          <rPr>
            <sz val="8"/>
            <color indexed="16"/>
            <rFont val="Meiryo UI"/>
            <family val="3"/>
            <charset val="128"/>
          </rPr>
          <t>(2)、(4)、(10)、(13)</t>
        </r>
        <r>
          <rPr>
            <sz val="12"/>
            <color indexed="9"/>
            <rFont val="Meiryo UI"/>
            <family val="3"/>
            <charset val="128"/>
          </rPr>
          <t xml:space="preserve"> </t>
        </r>
        <r>
          <rPr>
            <sz val="8"/>
            <color indexed="9"/>
            <rFont val="Meiryo UI"/>
            <family val="3"/>
            <charset val="128"/>
          </rPr>
          <t xml:space="preserve">
　 </t>
        </r>
        <r>
          <rPr>
            <sz val="8"/>
            <color indexed="81"/>
            <rFont val="Meiryo UI"/>
            <family val="3"/>
            <charset val="128"/>
          </rPr>
          <t>消防法：</t>
        </r>
        <r>
          <rPr>
            <sz val="8"/>
            <color indexed="32"/>
            <rFont val="Meiryo UI"/>
            <family val="3"/>
            <charset val="128"/>
          </rPr>
          <t>地階・無窓階床面積 ≧ 1000m</t>
        </r>
        <r>
          <rPr>
            <vertAlign val="superscript"/>
            <sz val="8"/>
            <color indexed="32"/>
            <rFont val="Meiryo UI"/>
            <family val="3"/>
            <charset val="128"/>
          </rPr>
          <t xml:space="preserve">2
 </t>
        </r>
      </text>
    </comment>
    <comment ref="AP75" authorId="0">
      <text>
        <r>
          <rPr>
            <b/>
            <sz val="9"/>
            <color indexed="81"/>
            <rFont val="ＭＳ Ｐゴシック"/>
            <family val="3"/>
            <charset val="128"/>
          </rPr>
          <t xml:space="preserve">　 </t>
        </r>
        <r>
          <rPr>
            <b/>
            <sz val="11"/>
            <color indexed="37"/>
            <rFont val="ＭＳ Ｐ明朝"/>
            <family val="1"/>
            <charset val="128"/>
          </rPr>
          <t>地階・無窓階</t>
        </r>
        <r>
          <rPr>
            <b/>
            <sz val="11"/>
            <color indexed="37"/>
            <rFont val="ＭＳ Ｐゴシック"/>
            <family val="3"/>
            <charset val="128"/>
          </rPr>
          <t xml:space="preserve"> </t>
        </r>
        <r>
          <rPr>
            <b/>
            <sz val="11"/>
            <color indexed="37"/>
            <rFont val="ＭＳ Ｐ明朝"/>
            <family val="1"/>
            <charset val="128"/>
          </rPr>
          <t>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①</t>
        </r>
        <r>
          <rPr>
            <sz val="8"/>
            <color indexed="32"/>
            <rFont val="Meiryo UI"/>
            <family val="3"/>
            <charset val="128"/>
          </rPr>
          <t xml:space="preserve"> その階の床面積 ≧ 100m</t>
        </r>
        <r>
          <rPr>
            <vertAlign val="superscript"/>
            <sz val="8"/>
            <color indexed="32"/>
            <rFont val="Meiryo UI"/>
            <family val="3"/>
            <charset val="128"/>
          </rPr>
          <t>2</t>
        </r>
        <r>
          <rPr>
            <sz val="8"/>
            <color indexed="32"/>
            <rFont val="Meiryo UI"/>
            <family val="3"/>
            <charset val="128"/>
          </rPr>
          <t>：</t>
        </r>
        <r>
          <rPr>
            <sz val="12"/>
            <color indexed="9"/>
            <rFont val="Meiryo UI"/>
            <family val="3"/>
            <charset val="128"/>
          </rPr>
          <t xml:space="preserve"> </t>
        </r>
        <r>
          <rPr>
            <sz val="8"/>
            <color indexed="9"/>
            <rFont val="Meiryo UI"/>
            <family val="3"/>
            <charset val="128"/>
          </rPr>
          <t xml:space="preserve">
　　　</t>
        </r>
        <r>
          <rPr>
            <sz val="8"/>
            <color indexed="81"/>
            <rFont val="Meiryo UI"/>
            <family val="3"/>
            <charset val="128"/>
          </rPr>
          <t>(2)イ・ロ・ハ、(3)イ・ロ、(16)イ</t>
        </r>
        <r>
          <rPr>
            <sz val="8"/>
            <color indexed="9"/>
            <rFont val="Meiryo UI"/>
            <family val="3"/>
            <charset val="128"/>
          </rPr>
          <t xml:space="preserve">
　</t>
        </r>
      </text>
    </comment>
    <comment ref="BH75" authorId="0">
      <text>
        <r>
          <rPr>
            <b/>
            <sz val="9"/>
            <color indexed="81"/>
            <rFont val="ＭＳ Ｐゴシック"/>
            <family val="3"/>
            <charset val="128"/>
          </rPr>
          <t>　　　　　　　</t>
        </r>
        <r>
          <rPr>
            <b/>
            <sz val="11"/>
            <color indexed="37"/>
            <rFont val="ＭＳ Ｐ明朝"/>
            <family val="1"/>
            <charset val="128"/>
          </rPr>
          <t>非常電源設備設置基準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t>
        </r>
        <r>
          <rPr>
            <sz val="9"/>
            <color indexed="81"/>
            <rFont val="Meiryo UI"/>
            <family val="3"/>
            <charset val="128"/>
          </rPr>
          <t>Ａ</t>
        </r>
        <r>
          <rPr>
            <sz val="8"/>
            <color indexed="32"/>
            <rFont val="Meiryo UI"/>
            <family val="3"/>
            <charset val="128"/>
          </rPr>
          <t xml:space="preserve"> 非常電源専用受電設備または発電機設備・蓄電池設備・</t>
        </r>
        <r>
          <rPr>
            <sz val="12"/>
            <color indexed="32"/>
            <rFont val="Meiryo UI"/>
            <family val="3"/>
            <charset val="128"/>
          </rPr>
          <t xml:space="preserve"> </t>
        </r>
        <r>
          <rPr>
            <sz val="8"/>
            <color indexed="32"/>
            <rFont val="Meiryo UI"/>
            <family val="3"/>
            <charset val="128"/>
          </rPr>
          <t xml:space="preserve">
　　　燃料電池設備(特定防火対象物以外)</t>
        </r>
        <r>
          <rPr>
            <sz val="8"/>
            <color indexed="81"/>
            <rFont val="Meiryo UI"/>
            <family val="3"/>
            <charset val="128"/>
          </rPr>
          <t xml:space="preserve">
　　　屋内消火栓・屋外消火栓・スプリンクラ・泡消火・排煙・非常コンセント</t>
        </r>
        <r>
          <rPr>
            <sz val="8"/>
            <color indexed="9"/>
            <rFont val="Meiryo UI"/>
            <family val="3"/>
            <charset val="128"/>
          </rPr>
          <t xml:space="preserve">
　</t>
        </r>
        <r>
          <rPr>
            <sz val="9"/>
            <color indexed="81"/>
            <rFont val="Meiryo UI"/>
            <family val="3"/>
            <charset val="128"/>
          </rPr>
          <t>Ｂ</t>
        </r>
        <r>
          <rPr>
            <sz val="8"/>
            <color indexed="9"/>
            <rFont val="Meiryo UI"/>
            <family val="3"/>
            <charset val="128"/>
          </rPr>
          <t xml:space="preserve"> </t>
        </r>
        <r>
          <rPr>
            <sz val="8"/>
            <color indexed="32"/>
            <rFont val="Meiryo UI"/>
            <family val="3"/>
            <charset val="128"/>
          </rPr>
          <t>発電機設備・蓄電池設備・燃料電池設備
　　　特定防火対象物で延床面積 ≧ 1000m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屋内消火栓・屋外消火栓・スプリンクラ・泡消火・排煙・非常コンセント</t>
        </r>
        <r>
          <rPr>
            <sz val="8"/>
            <color indexed="9"/>
            <rFont val="Meiryo UI"/>
            <family val="3"/>
            <charset val="128"/>
          </rPr>
          <t xml:space="preserve">
　</t>
        </r>
        <r>
          <rPr>
            <sz val="9"/>
            <color indexed="81"/>
            <rFont val="Meiryo UI"/>
            <family val="3"/>
            <charset val="128"/>
          </rPr>
          <t>Ｃ</t>
        </r>
        <r>
          <rPr>
            <sz val="8"/>
            <color indexed="9"/>
            <rFont val="Meiryo UI"/>
            <family val="3"/>
            <charset val="128"/>
          </rPr>
          <t xml:space="preserve"> </t>
        </r>
        <r>
          <rPr>
            <sz val="8"/>
            <color indexed="32"/>
            <rFont val="Meiryo UI"/>
            <family val="3"/>
            <charset val="128"/>
          </rPr>
          <t>発電機設備・蓄電池設備・燃料電池設備</t>
        </r>
        <r>
          <rPr>
            <sz val="8"/>
            <color indexed="9"/>
            <rFont val="Meiryo UI"/>
            <family val="3"/>
            <charset val="128"/>
          </rPr>
          <t xml:space="preserve">
　　　</t>
        </r>
        <r>
          <rPr>
            <sz val="8"/>
            <color indexed="81"/>
            <rFont val="Meiryo UI"/>
            <family val="3"/>
            <charset val="128"/>
          </rPr>
          <t>不活性ガス消火・ハロゲン化物消火・粉末消火</t>
        </r>
        <r>
          <rPr>
            <sz val="8"/>
            <color indexed="9"/>
            <rFont val="Meiryo UI"/>
            <family val="3"/>
            <charset val="128"/>
          </rPr>
          <t xml:space="preserve">
　</t>
        </r>
        <r>
          <rPr>
            <sz val="9"/>
            <color indexed="81"/>
            <rFont val="Meiryo UI"/>
            <family val="3"/>
            <charset val="128"/>
          </rPr>
          <t>Ｄ</t>
        </r>
        <r>
          <rPr>
            <sz val="8"/>
            <color indexed="32"/>
            <rFont val="Meiryo UI"/>
            <family val="3"/>
            <charset val="128"/>
          </rPr>
          <t xml:space="preserve"> 非常電源専用受電設備または蓄電池設備</t>
        </r>
        <r>
          <rPr>
            <sz val="8"/>
            <color indexed="9"/>
            <rFont val="Meiryo UI"/>
            <family val="3"/>
            <charset val="128"/>
          </rPr>
          <t xml:space="preserve">
　　　</t>
        </r>
        <r>
          <rPr>
            <sz val="8"/>
            <color indexed="81"/>
            <rFont val="Meiryo UI"/>
            <family val="3"/>
            <charset val="128"/>
          </rPr>
          <t>非常警報</t>
        </r>
        <r>
          <rPr>
            <sz val="8"/>
            <color indexed="9"/>
            <rFont val="Meiryo UI"/>
            <family val="3"/>
            <charset val="128"/>
          </rPr>
          <t xml:space="preserve">
　　　</t>
        </r>
        <r>
          <rPr>
            <sz val="8"/>
            <color indexed="32"/>
            <rFont val="Meiryo UI"/>
            <family val="3"/>
            <charset val="128"/>
          </rPr>
          <t>ただし、特定防火対象物で延床面積 ≧ 1000m</t>
        </r>
        <r>
          <rPr>
            <vertAlign val="superscript"/>
            <sz val="8"/>
            <color indexed="32"/>
            <rFont val="Meiryo UI"/>
            <family val="3"/>
            <charset val="128"/>
          </rPr>
          <t>2</t>
        </r>
        <r>
          <rPr>
            <sz val="8"/>
            <color indexed="32"/>
            <rFont val="Meiryo UI"/>
            <family val="3"/>
            <charset val="128"/>
          </rPr>
          <t>は蓄電池設備</t>
        </r>
        <r>
          <rPr>
            <sz val="8"/>
            <color indexed="9"/>
            <rFont val="Meiryo UI"/>
            <family val="3"/>
            <charset val="128"/>
          </rPr>
          <t xml:space="preserve">
　</t>
        </r>
        <r>
          <rPr>
            <sz val="9"/>
            <color indexed="81"/>
            <rFont val="Meiryo UI"/>
            <family val="3"/>
            <charset val="128"/>
          </rPr>
          <t>Ｅ</t>
        </r>
        <r>
          <rPr>
            <sz val="8"/>
            <color indexed="9"/>
            <rFont val="Meiryo UI"/>
            <family val="3"/>
            <charset val="128"/>
          </rPr>
          <t xml:space="preserve"> </t>
        </r>
        <r>
          <rPr>
            <sz val="8"/>
            <color indexed="32"/>
            <rFont val="Meiryo UI"/>
            <family val="3"/>
            <charset val="128"/>
          </rPr>
          <t>蓄電池設備・専用回路</t>
        </r>
        <r>
          <rPr>
            <sz val="8"/>
            <color indexed="9"/>
            <rFont val="Meiryo UI"/>
            <family val="3"/>
            <charset val="128"/>
          </rPr>
          <t xml:space="preserve">
　　</t>
        </r>
        <r>
          <rPr>
            <sz val="8"/>
            <color indexed="81"/>
            <rFont val="Meiryo UI"/>
            <family val="3"/>
            <charset val="128"/>
          </rPr>
          <t>　通報
　</t>
        </r>
        <r>
          <rPr>
            <sz val="9"/>
            <color indexed="81"/>
            <rFont val="Meiryo UI"/>
            <family val="3"/>
            <charset val="128"/>
          </rPr>
          <t>Ｆ</t>
        </r>
        <r>
          <rPr>
            <sz val="8"/>
            <color indexed="32"/>
            <rFont val="Meiryo UI"/>
            <family val="3"/>
            <charset val="128"/>
          </rPr>
          <t xml:space="preserve"> 常用電源・非常電源(蓄電池設備)・予備電源</t>
        </r>
        <r>
          <rPr>
            <sz val="8"/>
            <color indexed="9"/>
            <rFont val="Meiryo UI"/>
            <family val="3"/>
            <charset val="128"/>
          </rPr>
          <t xml:space="preserve">
　　　</t>
        </r>
        <r>
          <rPr>
            <sz val="8"/>
            <color indexed="81"/>
            <rFont val="Meiryo UI"/>
            <family val="3"/>
            <charset val="128"/>
          </rPr>
          <t>ガス漏れ</t>
        </r>
        <r>
          <rPr>
            <sz val="8"/>
            <color indexed="9"/>
            <rFont val="Meiryo UI"/>
            <family val="3"/>
            <charset val="128"/>
          </rPr>
          <t xml:space="preserve">
　　　</t>
        </r>
        <r>
          <rPr>
            <sz val="9"/>
            <color indexed="81"/>
            <rFont val="Meiryo UI"/>
            <family val="3"/>
            <charset val="128"/>
          </rPr>
          <t>緩和規程</t>
        </r>
        <r>
          <rPr>
            <sz val="9"/>
            <color indexed="9"/>
            <rFont val="Meiryo UI"/>
            <family val="3"/>
            <charset val="128"/>
          </rPr>
          <t>　</t>
        </r>
        <r>
          <rPr>
            <sz val="8"/>
            <color indexed="32"/>
            <rFont val="Meiryo UI"/>
            <family val="3"/>
            <charset val="128"/>
          </rPr>
          <t>なし</t>
        </r>
        <r>
          <rPr>
            <sz val="14"/>
            <color indexed="32"/>
            <rFont val="Meiryo UI"/>
            <family val="3"/>
            <charset val="128"/>
          </rPr>
          <t xml:space="preserve"> </t>
        </r>
        <r>
          <rPr>
            <sz val="8"/>
            <color indexed="9"/>
            <rFont val="Meiryo UI"/>
            <family val="3"/>
            <charset val="128"/>
          </rPr>
          <t xml:space="preserve">
 </t>
        </r>
      </text>
    </comment>
    <comment ref="AJ76" authorId="0">
      <text>
        <r>
          <rPr>
            <b/>
            <sz val="9"/>
            <color indexed="81"/>
            <rFont val="ＭＳ Ｐゴシック"/>
            <family val="3"/>
            <charset val="128"/>
          </rPr>
          <t>　　　　　　　　　</t>
        </r>
        <r>
          <rPr>
            <b/>
            <sz val="11"/>
            <color indexed="37"/>
            <rFont val="ＭＳ Ｐ明朝"/>
            <family val="1"/>
            <charset val="128"/>
          </rPr>
          <t>収容人員の算定基準-1</t>
        </r>
        <r>
          <rPr>
            <b/>
            <sz val="18"/>
            <color indexed="32"/>
            <rFont val="ＭＳ Ｐ明朝"/>
            <family val="1"/>
            <charset val="128"/>
          </rPr>
          <t>　</t>
        </r>
        <r>
          <rPr>
            <b/>
            <sz val="16"/>
            <color indexed="32"/>
            <rFont val="ＭＳ Ｐ明朝"/>
            <family val="1"/>
            <charset val="128"/>
          </rPr>
          <t xml:space="preserve">
</t>
        </r>
        <r>
          <rPr>
            <sz val="8"/>
            <color indexed="32"/>
            <rFont val="ＭＳ Ｐ明朝"/>
            <family val="1"/>
            <charset val="128"/>
          </rPr>
          <t>　</t>
        </r>
        <r>
          <rPr>
            <sz val="8"/>
            <color indexed="81"/>
            <rFont val="Meiryo UI"/>
            <family val="3"/>
            <charset val="128"/>
          </rPr>
          <t>(1)イ、ロ　劇場・集会所：</t>
        </r>
        <r>
          <rPr>
            <sz val="8"/>
            <color indexed="32"/>
            <rFont val="Meiryo UI"/>
            <family val="3"/>
            <charset val="128"/>
          </rPr>
          <t>従業者数＋客席の人員</t>
        </r>
        <r>
          <rPr>
            <sz val="12"/>
            <color indexed="32"/>
            <rFont val="Meiryo UI"/>
            <family val="3"/>
            <charset val="128"/>
          </rPr>
          <t>　</t>
        </r>
        <r>
          <rPr>
            <sz val="8"/>
            <color indexed="32"/>
            <rFont val="Meiryo UI"/>
            <family val="3"/>
            <charset val="128"/>
          </rPr>
          <t xml:space="preserve">
　　　　客席の人員　イ．固定式いす席数 (長いす：正面幅／0.4m)
　　　　　　　　　　　　 ロ．立見席：床面積／0.2m</t>
        </r>
        <r>
          <rPr>
            <vertAlign val="superscript"/>
            <sz val="8"/>
            <color indexed="32"/>
            <rFont val="Meiryo UI"/>
            <family val="3"/>
            <charset val="128"/>
          </rPr>
          <t>2</t>
        </r>
        <r>
          <rPr>
            <sz val="8"/>
            <color indexed="32"/>
            <rFont val="Meiryo UI"/>
            <family val="3"/>
            <charset val="128"/>
          </rPr>
          <t xml:space="preserve">
　　　　　　　　　　　　 ハ．その他の部分：床面積／0.5m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(2)イ、ロ、ハ、ニ　　(3)イ、ロ</t>
        </r>
        <r>
          <rPr>
            <sz val="8"/>
            <color indexed="9"/>
            <rFont val="Meiryo UI"/>
            <family val="3"/>
            <charset val="128"/>
          </rPr>
          <t xml:space="preserve">
　 　　</t>
        </r>
        <r>
          <rPr>
            <sz val="8"/>
            <color indexed="81"/>
            <rFont val="Meiryo UI"/>
            <family val="3"/>
            <charset val="128"/>
          </rPr>
          <t>遊技場：</t>
        </r>
        <r>
          <rPr>
            <sz val="8"/>
            <color indexed="32"/>
            <rFont val="Meiryo UI"/>
            <family val="3"/>
            <charset val="128"/>
          </rPr>
          <t>イ．従業者数＋遊戯用機器の遊戯人数
　 　　　　　　　  ロ．観覧・飲食・休憩用固定式いす席数 (長いす：正面幅／0.5m)</t>
        </r>
        <r>
          <rPr>
            <sz val="8"/>
            <color indexed="9"/>
            <rFont val="Meiryo UI"/>
            <family val="3"/>
            <charset val="128"/>
          </rPr>
          <t xml:space="preserve">
　 　</t>
        </r>
        <r>
          <rPr>
            <sz val="5"/>
            <color indexed="9"/>
            <rFont val="Meiryo UI"/>
            <family val="3"/>
            <charset val="128"/>
          </rPr>
          <t>　</t>
        </r>
        <r>
          <rPr>
            <sz val="8"/>
            <color indexed="81"/>
            <rFont val="Meiryo UI"/>
            <family val="3"/>
            <charset val="128"/>
          </rPr>
          <t>そ の 他：</t>
        </r>
        <r>
          <rPr>
            <sz val="8"/>
            <color indexed="32"/>
            <rFont val="Meiryo UI"/>
            <family val="3"/>
            <charset val="128"/>
          </rPr>
          <t>従業者数＋客席の人員
　　　　客席の人員　イ．固定式いす席数 (長いす：正面幅／0.5m)
　　　　　　　　　　　　 ロ．その他の部分：床面積／3m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　(4) 百貨店等：</t>
        </r>
        <r>
          <rPr>
            <sz val="8"/>
            <color indexed="32"/>
            <rFont val="Meiryo UI"/>
            <family val="3"/>
            <charset val="128"/>
          </rPr>
          <t>従業者数＋従業員以外の使用部分
　　　　従業者以外の使用部分
　　　　　　　　　 イ．飲食・休憩部分：床面積／3m</t>
        </r>
        <r>
          <rPr>
            <vertAlign val="superscript"/>
            <sz val="8"/>
            <color indexed="32"/>
            <rFont val="Meiryo UI"/>
            <family val="3"/>
            <charset val="128"/>
          </rPr>
          <t>2</t>
        </r>
        <r>
          <rPr>
            <sz val="8"/>
            <color indexed="32"/>
            <rFont val="Meiryo UI"/>
            <family val="3"/>
            <charset val="128"/>
          </rPr>
          <t xml:space="preserve">
　　　　　　　　　 ロ．その他の部分：床面積／4m</t>
        </r>
        <r>
          <rPr>
            <vertAlign val="superscript"/>
            <sz val="8"/>
            <color indexed="32"/>
            <rFont val="Meiryo UI"/>
            <family val="3"/>
            <charset val="128"/>
          </rPr>
          <t>2</t>
        </r>
      </text>
    </comment>
    <comment ref="AK76" authorId="0">
      <text>
        <r>
          <rPr>
            <b/>
            <sz val="9"/>
            <color indexed="81"/>
            <rFont val="ＭＳ Ｐゴシック"/>
            <family val="3"/>
            <charset val="128"/>
          </rPr>
          <t>　　　　　　　　</t>
        </r>
        <r>
          <rPr>
            <b/>
            <sz val="11"/>
            <color indexed="37"/>
            <rFont val="ＭＳ Ｐ明朝"/>
            <family val="1"/>
            <charset val="128"/>
          </rPr>
          <t>収容人員の算定基準-2</t>
        </r>
        <r>
          <rPr>
            <b/>
            <sz val="18"/>
            <color indexed="32"/>
            <rFont val="ＭＳ Ｐ明朝"/>
            <family val="1"/>
            <charset val="128"/>
          </rPr>
          <t>　</t>
        </r>
        <r>
          <rPr>
            <b/>
            <sz val="16"/>
            <color indexed="32"/>
            <rFont val="ＭＳ Ｐ明朝"/>
            <family val="1"/>
            <charset val="128"/>
          </rPr>
          <t xml:space="preserve">
</t>
        </r>
        <r>
          <rPr>
            <sz val="8"/>
            <color indexed="32"/>
            <rFont val="ＭＳ Ｐ明朝"/>
            <family val="1"/>
            <charset val="128"/>
          </rPr>
          <t>　</t>
        </r>
        <r>
          <rPr>
            <sz val="8"/>
            <color indexed="81"/>
            <rFont val="Meiryo UI"/>
            <family val="3"/>
            <charset val="128"/>
          </rPr>
          <t>(5)イ　ホテル等：</t>
        </r>
        <r>
          <rPr>
            <sz val="8"/>
            <color indexed="32"/>
            <rFont val="Meiryo UI"/>
            <family val="3"/>
            <charset val="128"/>
          </rPr>
          <t>従業者数＋宿泊人員＋集会・飲食・休憩の部分</t>
        </r>
        <r>
          <rPr>
            <sz val="12"/>
            <color indexed="32"/>
            <rFont val="Meiryo UI"/>
            <family val="3"/>
            <charset val="128"/>
          </rPr>
          <t>　</t>
        </r>
        <r>
          <rPr>
            <sz val="8"/>
            <color indexed="32"/>
            <rFont val="Meiryo UI"/>
            <family val="3"/>
            <charset val="128"/>
          </rPr>
          <t xml:space="preserve">
　　　　宿泊人員　イ．洋式宿泊室：ベッド数 (長いす：正面幅／0.4m)
　　　　　　　　　 　 ロ．和式宿泊室：床面積／6m</t>
        </r>
        <r>
          <rPr>
            <vertAlign val="superscript"/>
            <sz val="8"/>
            <color indexed="32"/>
            <rFont val="Meiryo UI"/>
            <family val="3"/>
            <charset val="128"/>
          </rPr>
          <t>2</t>
        </r>
        <r>
          <rPr>
            <sz val="8"/>
            <color indexed="32"/>
            <rFont val="Meiryo UI"/>
            <family val="3"/>
            <charset val="128"/>
          </rPr>
          <t xml:space="preserve">
　　　　　　　　　 　 ハ．簡</t>
        </r>
        <r>
          <rPr>
            <sz val="7"/>
            <color indexed="32"/>
            <rFont val="Meiryo UI"/>
            <family val="3"/>
            <charset val="128"/>
          </rPr>
          <t xml:space="preserve"> </t>
        </r>
        <r>
          <rPr>
            <sz val="8"/>
            <color indexed="32"/>
            <rFont val="Meiryo UI"/>
            <family val="3"/>
            <charset val="128"/>
          </rPr>
          <t>易</t>
        </r>
        <r>
          <rPr>
            <sz val="7"/>
            <color indexed="32"/>
            <rFont val="Meiryo UI"/>
            <family val="3"/>
            <charset val="128"/>
          </rPr>
          <t xml:space="preserve"> </t>
        </r>
        <r>
          <rPr>
            <sz val="8"/>
            <color indexed="32"/>
            <rFont val="Meiryo UI"/>
            <family val="3"/>
            <charset val="128"/>
          </rPr>
          <t>宿 所：床面積／3m</t>
        </r>
        <r>
          <rPr>
            <vertAlign val="superscript"/>
            <sz val="8"/>
            <color indexed="32"/>
            <rFont val="Meiryo UI"/>
            <family val="3"/>
            <charset val="128"/>
          </rPr>
          <t xml:space="preserve">2
</t>
        </r>
        <r>
          <rPr>
            <sz val="8"/>
            <color indexed="32"/>
            <rFont val="Meiryo UI"/>
            <family val="3"/>
            <charset val="128"/>
          </rPr>
          <t xml:space="preserve">　　　　飲食・休憩の部分　イ．定式いす席数 (長いす：正面幅／0.5m)
　　　　　　　　　　　　　　　 </t>
        </r>
        <r>
          <rPr>
            <sz val="7"/>
            <color indexed="32"/>
            <rFont val="Meiryo UI"/>
            <family val="3"/>
            <charset val="128"/>
          </rPr>
          <t>　</t>
        </r>
        <r>
          <rPr>
            <sz val="8"/>
            <color indexed="32"/>
            <rFont val="Meiryo UI"/>
            <family val="3"/>
            <charset val="128"/>
          </rPr>
          <t>ロ．その他の部分：床面積／3m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(5)ロ　共同住宅：</t>
        </r>
        <r>
          <rPr>
            <sz val="8"/>
            <color indexed="32"/>
            <rFont val="Meiryo UI"/>
            <family val="3"/>
            <charset val="128"/>
          </rPr>
          <t>居住者数</t>
        </r>
        <r>
          <rPr>
            <sz val="8"/>
            <color indexed="9"/>
            <rFont val="Meiryo UI"/>
            <family val="3"/>
            <charset val="128"/>
          </rPr>
          <t xml:space="preserve">
　　　 </t>
        </r>
        <r>
          <rPr>
            <sz val="8"/>
            <color indexed="16"/>
            <rFont val="Meiryo UI"/>
            <family val="3"/>
            <charset val="128"/>
          </rPr>
          <t>居住者数の実態調査が困難な場合には、下記による。</t>
        </r>
        <r>
          <rPr>
            <sz val="8"/>
            <color indexed="9"/>
            <rFont val="Meiryo UI"/>
            <family val="3"/>
            <charset val="128"/>
          </rPr>
          <t xml:space="preserve">
　 　　</t>
        </r>
        <r>
          <rPr>
            <sz val="8"/>
            <color indexed="32"/>
            <rFont val="Meiryo UI"/>
            <family val="3"/>
            <charset val="128"/>
          </rPr>
          <t>居住者数：1K・1DK=1人　　1LDK・2DK=2人　　2LDK・3DK=3人
　　　　　　　　　　　</t>
        </r>
        <r>
          <rPr>
            <sz val="6"/>
            <color indexed="32"/>
            <rFont val="Meiryo UI"/>
            <family val="3"/>
            <charset val="128"/>
          </rPr>
          <t xml:space="preserve"> </t>
        </r>
        <r>
          <rPr>
            <sz val="8"/>
            <color indexed="32"/>
            <rFont val="Meiryo UI"/>
            <family val="3"/>
            <charset val="128"/>
          </rPr>
          <t>3LDK・4DK・4LDK・5DK以上=4人</t>
        </r>
        <r>
          <rPr>
            <sz val="8"/>
            <color indexed="9"/>
            <rFont val="Meiryo UI"/>
            <family val="3"/>
            <charset val="128"/>
          </rPr>
          <t xml:space="preserve">
　</t>
        </r>
        <r>
          <rPr>
            <sz val="8"/>
            <color indexed="81"/>
            <rFont val="Meiryo UI"/>
            <family val="3"/>
            <charset val="128"/>
          </rPr>
          <t>(6)イ　病院等：</t>
        </r>
        <r>
          <rPr>
            <sz val="8"/>
            <color indexed="32"/>
            <rFont val="Meiryo UI"/>
            <family val="3"/>
            <charset val="128"/>
          </rPr>
          <t>従業者数＋病室内の病床数＋待合室の合計床面積／3m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(6)ロ、ハ　老人施設：</t>
        </r>
        <r>
          <rPr>
            <sz val="8"/>
            <color indexed="32"/>
            <rFont val="Meiryo UI"/>
            <family val="3"/>
            <charset val="128"/>
          </rPr>
          <t>従業者数＋要保護者の数</t>
        </r>
        <r>
          <rPr>
            <sz val="8"/>
            <color indexed="81"/>
            <rFont val="Meiryo UI"/>
            <family val="3"/>
            <charset val="128"/>
          </rPr>
          <t xml:space="preserve">
　(6)ニ　幼稚園等：</t>
        </r>
        <r>
          <rPr>
            <sz val="8"/>
            <color indexed="32"/>
            <rFont val="Meiryo UI"/>
            <family val="3"/>
            <charset val="128"/>
          </rPr>
          <t>教職員数＋幼児・児童・生徒の数</t>
        </r>
        <r>
          <rPr>
            <sz val="8"/>
            <color indexed="9"/>
            <rFont val="Meiryo UI"/>
            <family val="3"/>
            <charset val="128"/>
          </rPr>
          <t xml:space="preserve">
　</t>
        </r>
        <r>
          <rPr>
            <sz val="8"/>
            <color indexed="81"/>
            <rFont val="Meiryo UI"/>
            <family val="3"/>
            <charset val="128"/>
          </rPr>
          <t>(7)　学 校 等</t>
        </r>
        <r>
          <rPr>
            <sz val="9"/>
            <color indexed="81"/>
            <rFont val="Meiryo UI"/>
            <family val="3"/>
            <charset val="128"/>
          </rPr>
          <t>　</t>
        </r>
        <r>
          <rPr>
            <sz val="8"/>
            <color indexed="81"/>
            <rFont val="Meiryo UI"/>
            <family val="3"/>
            <charset val="128"/>
          </rPr>
          <t xml:space="preserve"> ：</t>
        </r>
        <r>
          <rPr>
            <sz val="8"/>
            <color indexed="32"/>
            <rFont val="Meiryo UI"/>
            <family val="3"/>
            <charset val="128"/>
          </rPr>
          <t xml:space="preserve">教職員数＋児童・生徒・学生の数
 </t>
        </r>
      </text>
    </comment>
    <comment ref="AL76" authorId="0">
      <text>
        <r>
          <rPr>
            <b/>
            <sz val="9"/>
            <color indexed="81"/>
            <rFont val="ＭＳ Ｐゴシック"/>
            <family val="3"/>
            <charset val="128"/>
          </rPr>
          <t>　　　　　　　　　</t>
        </r>
        <r>
          <rPr>
            <b/>
            <sz val="11"/>
            <color indexed="37"/>
            <rFont val="ＭＳ Ｐ明朝"/>
            <family val="1"/>
            <charset val="128"/>
          </rPr>
          <t>収容人員の算定基準-3</t>
        </r>
        <r>
          <rPr>
            <b/>
            <sz val="18"/>
            <color indexed="32"/>
            <rFont val="ＭＳ Ｐ明朝"/>
            <family val="1"/>
            <charset val="128"/>
          </rPr>
          <t>　</t>
        </r>
        <r>
          <rPr>
            <b/>
            <sz val="16"/>
            <color indexed="32"/>
            <rFont val="ＭＳ Ｐ明朝"/>
            <family val="1"/>
            <charset val="128"/>
          </rPr>
          <t xml:space="preserve">
</t>
        </r>
        <r>
          <rPr>
            <b/>
            <sz val="8"/>
            <color indexed="32"/>
            <rFont val="ＭＳ Ｐ明朝"/>
            <family val="1"/>
            <charset val="128"/>
          </rPr>
          <t xml:space="preserve">  </t>
        </r>
        <r>
          <rPr>
            <sz val="8"/>
            <color indexed="32"/>
            <rFont val="ＭＳ Ｐ明朝"/>
            <family val="1"/>
            <charset val="128"/>
          </rPr>
          <t>　</t>
        </r>
        <r>
          <rPr>
            <sz val="8"/>
            <color indexed="81"/>
            <rFont val="Meiryo UI"/>
            <family val="3"/>
            <charset val="128"/>
          </rPr>
          <t>(8)　図書館等：</t>
        </r>
        <r>
          <rPr>
            <sz val="8"/>
            <color indexed="32"/>
            <rFont val="Meiryo UI"/>
            <family val="3"/>
            <charset val="128"/>
          </rPr>
          <t>従業者数＋閲覧・展示・展覧室等の合計床面積／3m</t>
        </r>
        <r>
          <rPr>
            <vertAlign val="superscript"/>
            <sz val="8"/>
            <color indexed="32"/>
            <rFont val="Meiryo UI"/>
            <family val="3"/>
            <charset val="128"/>
          </rPr>
          <t>2</t>
        </r>
        <r>
          <rPr>
            <sz val="12"/>
            <color indexed="32"/>
            <rFont val="Meiryo UI"/>
            <family val="3"/>
            <charset val="128"/>
          </rPr>
          <t xml:space="preserve"> </t>
        </r>
        <r>
          <rPr>
            <sz val="8"/>
            <color indexed="9"/>
            <rFont val="Meiryo UI"/>
            <family val="3"/>
            <charset val="128"/>
          </rPr>
          <t xml:space="preserve">
  </t>
        </r>
        <r>
          <rPr>
            <sz val="9"/>
            <color indexed="9"/>
            <rFont val="Meiryo UI"/>
            <family val="3"/>
            <charset val="128"/>
          </rPr>
          <t>　</t>
        </r>
        <r>
          <rPr>
            <sz val="8"/>
            <color indexed="81"/>
            <rFont val="Meiryo UI"/>
            <family val="3"/>
            <charset val="128"/>
          </rPr>
          <t>(9)イ、ロ　浴場等：</t>
        </r>
        <r>
          <rPr>
            <sz val="8"/>
            <color indexed="32"/>
            <rFont val="Meiryo UI"/>
            <family val="3"/>
            <charset val="128"/>
          </rPr>
          <t>従業者数＋利用者数
 　 　　利用者数：浴場・脱衣場・マッサージ室・飲食・休憩室等の合計床面積／3m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(10)　停車場等：</t>
        </r>
        <r>
          <rPr>
            <sz val="8"/>
            <color indexed="32"/>
            <rFont val="Meiryo UI"/>
            <family val="3"/>
            <charset val="128"/>
          </rPr>
          <t>従業員数</t>
        </r>
        <r>
          <rPr>
            <sz val="8"/>
            <color indexed="9"/>
            <rFont val="Meiryo UI"/>
            <family val="3"/>
            <charset val="128"/>
          </rPr>
          <t xml:space="preserve">
　</t>
        </r>
        <r>
          <rPr>
            <sz val="8"/>
            <color indexed="81"/>
            <rFont val="Meiryo UI"/>
            <family val="3"/>
            <charset val="128"/>
          </rPr>
          <t>(11)　神社等：</t>
        </r>
        <r>
          <rPr>
            <sz val="8"/>
            <color indexed="32"/>
            <rFont val="Meiryo UI"/>
            <family val="3"/>
            <charset val="128"/>
          </rPr>
          <t>従業員数＋礼拝・集合・休憩所等の合計床面積／3m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(12)イ、ロ　(13)イ、ロ　(14)：</t>
        </r>
        <r>
          <rPr>
            <sz val="8"/>
            <color indexed="32"/>
            <rFont val="Meiryo UI"/>
            <family val="3"/>
            <charset val="128"/>
          </rPr>
          <t>従業者数</t>
        </r>
        <r>
          <rPr>
            <sz val="8"/>
            <color indexed="9"/>
            <rFont val="Meiryo UI"/>
            <family val="3"/>
            <charset val="128"/>
          </rPr>
          <t xml:space="preserve">
</t>
        </r>
        <r>
          <rPr>
            <sz val="8"/>
            <color indexed="81"/>
            <rFont val="Meiryo UI"/>
            <family val="3"/>
            <charset val="128"/>
          </rPr>
          <t>　(15) 事業所等：</t>
        </r>
        <r>
          <rPr>
            <sz val="8"/>
            <color indexed="32"/>
            <rFont val="Meiryo UI"/>
            <family val="3"/>
            <charset val="128"/>
          </rPr>
          <t>従業員数＋従業員以外の使用部分の合計床面積／3m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(16)イ、ロ　複合建物：</t>
        </r>
        <r>
          <rPr>
            <sz val="8"/>
            <color indexed="32"/>
            <rFont val="Meiryo UI"/>
            <family val="3"/>
            <charset val="128"/>
          </rPr>
          <t>各用途部分ごとに算定した人員の合計数</t>
        </r>
        <r>
          <rPr>
            <sz val="8"/>
            <color indexed="9"/>
            <rFont val="Meiryo UI"/>
            <family val="3"/>
            <charset val="128"/>
          </rPr>
          <t xml:space="preserve">
  </t>
        </r>
        <r>
          <rPr>
            <sz val="8"/>
            <color indexed="81"/>
            <rFont val="Meiryo UI"/>
            <family val="3"/>
            <charset val="128"/>
          </rPr>
          <t>16の2 　地下街：</t>
        </r>
        <r>
          <rPr>
            <sz val="8"/>
            <color indexed="32"/>
            <rFont val="Meiryo UI"/>
            <family val="3"/>
            <charset val="128"/>
          </rPr>
          <t>各用途部分ごとに算定した人員の合計数</t>
        </r>
        <r>
          <rPr>
            <sz val="8"/>
            <color indexed="9"/>
            <rFont val="Meiryo UI"/>
            <family val="3"/>
            <charset val="128"/>
          </rPr>
          <t xml:space="preserve">
　</t>
        </r>
        <r>
          <rPr>
            <sz val="8"/>
            <color indexed="81"/>
            <rFont val="Meiryo UI"/>
            <family val="3"/>
            <charset val="128"/>
          </rPr>
          <t>(17)　文化財等：</t>
        </r>
        <r>
          <rPr>
            <sz val="8"/>
            <color indexed="32"/>
            <rFont val="Meiryo UI"/>
            <family val="3"/>
            <charset val="128"/>
          </rPr>
          <t>合計床面積／5m</t>
        </r>
        <r>
          <rPr>
            <vertAlign val="superscript"/>
            <sz val="8"/>
            <color indexed="32"/>
            <rFont val="Meiryo UI"/>
            <family val="3"/>
            <charset val="128"/>
          </rPr>
          <t>2</t>
        </r>
        <r>
          <rPr>
            <sz val="8"/>
            <color indexed="9"/>
            <rFont val="Meiryo UI"/>
            <family val="3"/>
            <charset val="128"/>
          </rPr>
          <t xml:space="preserve">
 </t>
        </r>
      </text>
    </comment>
    <comment ref="AN76" authorId="0">
      <text>
        <r>
          <rPr>
            <sz val="12"/>
            <color indexed="81"/>
            <rFont val="ＭＳ Ｐゴシック"/>
            <family val="3"/>
            <charset val="128"/>
          </rPr>
          <t>　　　　</t>
        </r>
        <r>
          <rPr>
            <b/>
            <sz val="11"/>
            <color indexed="37"/>
            <rFont val="ＭＳ Ｐ明朝"/>
            <family val="1"/>
            <charset val="128"/>
          </rPr>
          <t>消火器設備設置基準</t>
        </r>
        <r>
          <rPr>
            <b/>
            <sz val="18"/>
            <color indexed="32"/>
            <rFont val="ＭＳ Ｐゴシック"/>
            <family val="3"/>
            <charset val="128"/>
          </rPr>
          <t xml:space="preserve"> </t>
        </r>
        <r>
          <rPr>
            <b/>
            <sz val="16"/>
            <color indexed="32"/>
            <rFont val="ＭＳ Ｐゴシック"/>
            <family val="3"/>
            <charset val="128"/>
          </rPr>
          <t xml:space="preserve">
</t>
        </r>
        <r>
          <rPr>
            <b/>
            <sz val="8"/>
            <color indexed="32"/>
            <rFont val="Meiryo UI"/>
            <family val="3"/>
            <charset val="128"/>
          </rPr>
          <t xml:space="preserve">  </t>
        </r>
        <r>
          <rPr>
            <sz val="8"/>
            <color indexed="32"/>
            <rFont val="Meiryo UI"/>
            <family val="3"/>
            <charset val="128"/>
          </rPr>
          <t>　① すべて設置</t>
        </r>
        <r>
          <rPr>
            <sz val="12"/>
            <color indexed="9"/>
            <rFont val="Meiryo UI"/>
            <family val="3"/>
            <charset val="128"/>
          </rPr>
          <t>　</t>
        </r>
        <r>
          <rPr>
            <sz val="8"/>
            <color indexed="9"/>
            <rFont val="Meiryo UI"/>
            <family val="3"/>
            <charset val="128"/>
          </rPr>
          <t xml:space="preserve">
　   　</t>
        </r>
        <r>
          <rPr>
            <sz val="8"/>
            <color indexed="81"/>
            <rFont val="Meiryo UI"/>
            <family val="3"/>
            <charset val="128"/>
          </rPr>
          <t xml:space="preserve"> (1)イ、(2)イ・ロ・ハ・ニ、(6)ロ、16の2、16の3</t>
        </r>
        <r>
          <rPr>
            <sz val="8"/>
            <color indexed="9"/>
            <rFont val="Meiryo UI"/>
            <family val="3"/>
            <charset val="128"/>
          </rPr>
          <t xml:space="preserve">
　  </t>
        </r>
        <r>
          <rPr>
            <sz val="8"/>
            <color indexed="32"/>
            <rFont val="Meiryo UI"/>
            <family val="3"/>
            <charset val="128"/>
          </rPr>
          <t>② 延床面積 ≧ 150 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(1)ロ、(3)イ、(3)ロ、(4)、(5)イ、(5)ロ、
　　    (6)イ・ハ・ニ、(9)イ・ロ、(12)、(13)、(14)</t>
        </r>
        <r>
          <rPr>
            <sz val="8"/>
            <color indexed="9"/>
            <rFont val="Meiryo UI"/>
            <family val="3"/>
            <charset val="128"/>
          </rPr>
          <t xml:space="preserve">
  　</t>
        </r>
        <r>
          <rPr>
            <sz val="8"/>
            <color indexed="32"/>
            <rFont val="Meiryo UI"/>
            <family val="3"/>
            <charset val="128"/>
          </rPr>
          <t>④ 延床面積 ≧ 300 m</t>
        </r>
        <r>
          <rPr>
            <vertAlign val="superscript"/>
            <sz val="8"/>
            <color indexed="32"/>
            <rFont val="Meiryo UI"/>
            <family val="3"/>
            <charset val="128"/>
          </rPr>
          <t>2</t>
        </r>
        <r>
          <rPr>
            <vertAlign val="superscript"/>
            <sz val="8"/>
            <color indexed="9"/>
            <rFont val="Meiryo UI"/>
            <family val="3"/>
            <charset val="128"/>
          </rPr>
          <t xml:space="preserve">
</t>
        </r>
        <r>
          <rPr>
            <sz val="8"/>
            <color indexed="9"/>
            <rFont val="Meiryo UI"/>
            <family val="3"/>
            <charset val="128"/>
          </rPr>
          <t xml:space="preserve">　   　 </t>
        </r>
        <r>
          <rPr>
            <sz val="8"/>
            <color indexed="81"/>
            <rFont val="Meiryo UI"/>
            <family val="3"/>
            <charset val="128"/>
          </rPr>
          <t>(7)、(8)、(15)</t>
        </r>
        <r>
          <rPr>
            <sz val="8"/>
            <color indexed="9"/>
            <rFont val="Meiryo UI"/>
            <family val="3"/>
            <charset val="128"/>
          </rPr>
          <t xml:space="preserve">
　　</t>
        </r>
        <r>
          <rPr>
            <sz val="9"/>
            <color indexed="81"/>
            <rFont val="Meiryo UI"/>
            <family val="3"/>
            <charset val="128"/>
          </rPr>
          <t>緩和規程</t>
        </r>
        <r>
          <rPr>
            <sz val="16"/>
            <color indexed="9"/>
            <rFont val="Meiryo UI"/>
            <family val="3"/>
            <charset val="128"/>
          </rPr>
          <t xml:space="preserve"> </t>
        </r>
        <r>
          <rPr>
            <sz val="8"/>
            <color indexed="9"/>
            <rFont val="Meiryo UI"/>
            <family val="3"/>
            <charset val="128"/>
          </rPr>
          <t xml:space="preserve">
　　　</t>
        </r>
        <r>
          <rPr>
            <sz val="8"/>
            <color indexed="81"/>
            <rFont val="Meiryo UI"/>
            <family val="3"/>
            <charset val="128"/>
          </rPr>
          <t>イ．</t>
        </r>
        <r>
          <rPr>
            <sz val="8"/>
            <color indexed="32"/>
            <rFont val="Meiryo UI"/>
            <family val="3"/>
            <charset val="128"/>
          </rPr>
          <t>階数が１０階以下の部分にスプリンクラー等を
　　　　　 設置した場合、能力単位数の１／３まで減少</t>
        </r>
        <r>
          <rPr>
            <sz val="8"/>
            <color indexed="9"/>
            <rFont val="Meiryo UI"/>
            <family val="3"/>
            <charset val="128"/>
          </rPr>
          <t xml:space="preserve">
　　　</t>
        </r>
        <r>
          <rPr>
            <sz val="8"/>
            <color indexed="81"/>
            <rFont val="Meiryo UI"/>
            <family val="3"/>
            <charset val="128"/>
          </rPr>
          <t>ロ．</t>
        </r>
        <r>
          <rPr>
            <sz val="8"/>
            <color indexed="32"/>
            <rFont val="Meiryo UI"/>
            <family val="3"/>
            <charset val="128"/>
          </rPr>
          <t xml:space="preserve">消大型消火器を設置した場合、能力単位数
　　　　　 の１／２まで減少
 </t>
        </r>
        <r>
          <rPr>
            <sz val="8"/>
            <color indexed="9"/>
            <rFont val="Meiryo UI"/>
            <family val="3"/>
            <charset val="128"/>
          </rPr>
          <t xml:space="preserve">
</t>
        </r>
      </text>
    </comment>
    <comment ref="AP76" authorId="0">
      <text>
        <r>
          <rPr>
            <b/>
            <sz val="9"/>
            <color indexed="81"/>
            <rFont val="ＭＳ Ｐゴシック"/>
            <family val="3"/>
            <charset val="128"/>
          </rPr>
          <t>　　　　</t>
        </r>
        <r>
          <rPr>
            <b/>
            <sz val="11"/>
            <color indexed="37"/>
            <rFont val="ＭＳ Ｐ明朝"/>
            <family val="1"/>
            <charset val="128"/>
          </rPr>
          <t>３階以上　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t>
        </r>
        <r>
          <rPr>
            <sz val="8"/>
            <color indexed="81"/>
            <rFont val="ＭＳ Ｐゴシック"/>
            <family val="3"/>
            <charset val="128"/>
          </rPr>
          <t xml:space="preserve"> </t>
        </r>
        <r>
          <rPr>
            <sz val="8"/>
            <color indexed="81"/>
            <rFont val="Meiryo UI"/>
            <family val="3"/>
            <charset val="128"/>
          </rPr>
          <t>①</t>
        </r>
        <r>
          <rPr>
            <sz val="8"/>
            <color indexed="32"/>
            <rFont val="Meiryo UI"/>
            <family val="3"/>
            <charset val="128"/>
          </rPr>
          <t xml:space="preserve"> すべて設置：</t>
        </r>
        <r>
          <rPr>
            <sz val="8"/>
            <color indexed="81"/>
            <rFont val="Meiryo UI"/>
            <family val="3"/>
            <charset val="128"/>
          </rPr>
          <t>(2)ニ、(6)ロ、(13)ロ、(17)</t>
        </r>
        <r>
          <rPr>
            <sz val="12"/>
            <color indexed="9"/>
            <rFont val="Meiryo UI"/>
            <family val="3"/>
            <charset val="128"/>
          </rPr>
          <t xml:space="preserve"> </t>
        </r>
        <r>
          <rPr>
            <b/>
            <sz val="9"/>
            <color indexed="81"/>
            <rFont val="ＭＳ Ｐゴシック"/>
            <family val="3"/>
            <charset val="128"/>
          </rPr>
          <t xml:space="preserve">
</t>
        </r>
        <r>
          <rPr>
            <b/>
            <sz val="9"/>
            <color indexed="81"/>
            <rFont val="Meiryo UI"/>
            <family val="3"/>
            <charset val="128"/>
          </rPr>
          <t xml:space="preserve"> </t>
        </r>
        <r>
          <rPr>
            <sz val="8"/>
            <color indexed="9"/>
            <rFont val="Meiryo UI"/>
            <family val="3"/>
            <charset val="128"/>
          </rPr>
          <t>　</t>
        </r>
        <r>
          <rPr>
            <sz val="8"/>
            <color indexed="32"/>
            <rFont val="Meiryo UI"/>
            <family val="3"/>
            <charset val="128"/>
          </rPr>
          <t>② 延床面積 ≧ 300m</t>
        </r>
        <r>
          <rPr>
            <vertAlign val="superscript"/>
            <sz val="8"/>
            <color indexed="32"/>
            <rFont val="Meiryo UI"/>
            <family val="3"/>
            <charset val="128"/>
          </rPr>
          <t>2</t>
        </r>
        <r>
          <rPr>
            <sz val="8"/>
            <color indexed="32"/>
            <rFont val="Meiryo UI"/>
            <family val="3"/>
            <charset val="128"/>
          </rPr>
          <t>：</t>
        </r>
        <r>
          <rPr>
            <sz val="8"/>
            <color indexed="81"/>
            <rFont val="Meiryo UI"/>
            <family val="3"/>
            <charset val="128"/>
          </rPr>
          <t>(1)イ・ロ、(2)イ・ロ・ハ
　 　　(3)イ・ロ、(4)、(5)イ・ロ、(6)イ・ハ・ニ、(7)、(8)
 　　　(9)イ・ロ、(10)、(11)、(12)イ・ロ、(13)イ、(14)、
　 　　(15)、(16)イ・ロ、16の2</t>
        </r>
        <r>
          <rPr>
            <sz val="8"/>
            <color indexed="9"/>
            <rFont val="Meiryo UI"/>
            <family val="3"/>
            <charset val="128"/>
          </rPr>
          <t xml:space="preserve">
 </t>
        </r>
      </text>
    </comment>
    <comment ref="BL76" authorId="0">
      <text>
        <r>
          <rPr>
            <b/>
            <sz val="9"/>
            <color indexed="81"/>
            <rFont val="ＭＳ Ｐゴシック"/>
            <family val="3"/>
            <charset val="128"/>
          </rPr>
          <t>　 　　</t>
        </r>
        <r>
          <rPr>
            <b/>
            <sz val="11"/>
            <color indexed="37"/>
            <rFont val="ＭＳ Ｐ明朝"/>
            <family val="1"/>
            <charset val="128"/>
          </rPr>
          <t>屋外消火栓設備設置基準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xml:space="preserve">　① </t>
        </r>
        <r>
          <rPr>
            <sz val="8"/>
            <color indexed="32"/>
            <rFont val="Meiryo UI"/>
            <family val="3"/>
            <charset val="128"/>
          </rPr>
          <t>耐火建築物</t>
        </r>
        <r>
          <rPr>
            <sz val="12"/>
            <color indexed="9"/>
            <rFont val="Meiryo UI"/>
            <family val="3"/>
            <charset val="128"/>
          </rPr>
          <t xml:space="preserve"> </t>
        </r>
        <r>
          <rPr>
            <sz val="8"/>
            <color indexed="81"/>
            <rFont val="Meiryo UI"/>
            <family val="3"/>
            <charset val="128"/>
          </rPr>
          <t xml:space="preserve">
　　　</t>
        </r>
        <r>
          <rPr>
            <sz val="8"/>
            <color indexed="32"/>
            <rFont val="Meiryo UI"/>
            <family val="3"/>
            <charset val="128"/>
          </rPr>
          <t>１階又は１階・２階の延床面積：≧ 9000m</t>
        </r>
        <r>
          <rPr>
            <vertAlign val="superscript"/>
            <sz val="8"/>
            <color indexed="32"/>
            <rFont val="Meiryo UI"/>
            <family val="3"/>
            <charset val="128"/>
          </rPr>
          <t>2</t>
        </r>
        <r>
          <rPr>
            <sz val="8"/>
            <color indexed="32"/>
            <rFont val="Meiryo UI"/>
            <family val="3"/>
            <charset val="128"/>
          </rPr>
          <t xml:space="preserve"> </t>
        </r>
        <r>
          <rPr>
            <sz val="8"/>
            <color indexed="9"/>
            <rFont val="Meiryo UI"/>
            <family val="3"/>
            <charset val="128"/>
          </rPr>
          <t xml:space="preserve">
　</t>
        </r>
        <r>
          <rPr>
            <sz val="8"/>
            <color indexed="32"/>
            <rFont val="Meiryo UI"/>
            <family val="3"/>
            <charset val="128"/>
          </rPr>
          <t>② 準耐火建築物</t>
        </r>
        <r>
          <rPr>
            <sz val="8"/>
            <color indexed="9"/>
            <rFont val="Meiryo UI"/>
            <family val="3"/>
            <charset val="128"/>
          </rPr>
          <t xml:space="preserve"> 
　　　</t>
        </r>
        <r>
          <rPr>
            <sz val="8"/>
            <color indexed="32"/>
            <rFont val="Meiryo UI"/>
            <family val="3"/>
            <charset val="128"/>
          </rPr>
          <t>１階又は１階・２階の延床面積：≧ 6000m</t>
        </r>
        <r>
          <rPr>
            <vertAlign val="superscript"/>
            <sz val="8"/>
            <color indexed="32"/>
            <rFont val="Meiryo UI"/>
            <family val="3"/>
            <charset val="128"/>
          </rPr>
          <t>2</t>
        </r>
        <r>
          <rPr>
            <sz val="8"/>
            <color indexed="9"/>
            <rFont val="Meiryo UI"/>
            <family val="3"/>
            <charset val="128"/>
          </rPr>
          <t xml:space="preserve">
　</t>
        </r>
        <r>
          <rPr>
            <sz val="8"/>
            <color indexed="32"/>
            <rFont val="Meiryo UI"/>
            <family val="3"/>
            <charset val="128"/>
          </rPr>
          <t>③</t>
        </r>
        <r>
          <rPr>
            <sz val="8"/>
            <color indexed="9"/>
            <rFont val="Meiryo UI"/>
            <family val="3"/>
            <charset val="128"/>
          </rPr>
          <t xml:space="preserve"> </t>
        </r>
        <r>
          <rPr>
            <sz val="8"/>
            <color indexed="32"/>
            <rFont val="Meiryo UI"/>
            <family val="3"/>
            <charset val="128"/>
          </rPr>
          <t>非耐火建築物</t>
        </r>
        <r>
          <rPr>
            <sz val="8"/>
            <color indexed="9"/>
            <rFont val="Meiryo UI"/>
            <family val="3"/>
            <charset val="128"/>
          </rPr>
          <t xml:space="preserve"> 
　　　</t>
        </r>
        <r>
          <rPr>
            <sz val="8"/>
            <color indexed="32"/>
            <rFont val="Meiryo UI"/>
            <family val="3"/>
            <charset val="128"/>
          </rPr>
          <t>１階又は１階・２階の延床面積：≧ 3000m</t>
        </r>
        <r>
          <rPr>
            <vertAlign val="superscript"/>
            <sz val="8"/>
            <color indexed="32"/>
            <rFont val="Meiryo UI"/>
            <family val="3"/>
            <charset val="128"/>
          </rPr>
          <t>2</t>
        </r>
        <r>
          <rPr>
            <sz val="8"/>
            <color indexed="9"/>
            <rFont val="Meiryo UI"/>
            <family val="3"/>
            <charset val="128"/>
          </rPr>
          <t xml:space="preserve">
　　</t>
        </r>
        <r>
          <rPr>
            <sz val="8"/>
            <color indexed="32"/>
            <rFont val="Meiryo UI"/>
            <family val="3"/>
            <charset val="128"/>
          </rPr>
          <t>同一敷地内にある２以上の非耐火建築物</t>
        </r>
        <r>
          <rPr>
            <sz val="14"/>
            <color indexed="9"/>
            <rFont val="Meiryo UI"/>
            <family val="3"/>
            <charset val="128"/>
          </rPr>
          <t>　</t>
        </r>
        <r>
          <rPr>
            <sz val="8"/>
            <color indexed="9"/>
            <rFont val="Meiryo UI"/>
            <family val="3"/>
            <charset val="128"/>
          </rPr>
          <t xml:space="preserve">
　　</t>
        </r>
        <r>
          <rPr>
            <sz val="8"/>
            <color indexed="32"/>
            <rFont val="Meiryo UI"/>
            <family val="3"/>
            <charset val="128"/>
          </rPr>
          <t>建物相互の外壁の壁芯間水平距離が、１階：≦ 3m，
　　２階：≦ 5m の場合、１の建築物とみなす。</t>
        </r>
        <r>
          <rPr>
            <sz val="8"/>
            <color indexed="9"/>
            <rFont val="Meiryo UI"/>
            <family val="3"/>
            <charset val="128"/>
          </rPr>
          <t xml:space="preserve">
　</t>
        </r>
        <r>
          <rPr>
            <sz val="9"/>
            <color indexed="81"/>
            <rFont val="Meiryo UI"/>
            <family val="3"/>
            <charset val="128"/>
          </rPr>
          <t>緩和規程</t>
        </r>
        <r>
          <rPr>
            <sz val="14"/>
            <color indexed="9"/>
            <rFont val="Meiryo UI"/>
            <family val="3"/>
            <charset val="128"/>
          </rPr>
          <t>　</t>
        </r>
        <r>
          <rPr>
            <sz val="8"/>
            <color indexed="9"/>
            <rFont val="Meiryo UI"/>
            <family val="3"/>
            <charset val="128"/>
          </rPr>
          <t xml:space="preserve">
</t>
        </r>
        <r>
          <rPr>
            <sz val="8"/>
            <color indexed="32"/>
            <rFont val="Meiryo UI"/>
            <family val="3"/>
            <charset val="128"/>
          </rPr>
          <t xml:space="preserve">　(1) スプリンクラー設備等による代替
　(2) 令32条の規定による省略
 </t>
        </r>
      </text>
    </comment>
    <comment ref="BP76" authorId="0">
      <text>
        <r>
          <rPr>
            <b/>
            <sz val="9"/>
            <color indexed="81"/>
            <rFont val="ＭＳ Ｐゴシック"/>
            <family val="3"/>
            <charset val="128"/>
          </rPr>
          <t>　　　</t>
        </r>
        <r>
          <rPr>
            <b/>
            <sz val="11"/>
            <color indexed="37"/>
            <rFont val="ＭＳ Ｐ明朝"/>
            <family val="1"/>
            <charset val="128"/>
          </rPr>
          <t>４階～10階</t>
        </r>
        <r>
          <rPr>
            <b/>
            <sz val="10"/>
            <color indexed="37"/>
            <rFont val="ＭＳ Ｐ明朝"/>
            <family val="1"/>
            <charset val="128"/>
          </rPr>
          <t>(床面積)</t>
        </r>
        <r>
          <rPr>
            <b/>
            <sz val="20"/>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9"/>
            <rFont val="ＭＳ Ｐゴシック"/>
            <family val="3"/>
            <charset val="128"/>
          </rPr>
          <t xml:space="preserve"> </t>
        </r>
        <r>
          <rPr>
            <sz val="8"/>
            <color indexed="32"/>
            <rFont val="Meiryo UI"/>
            <family val="3"/>
            <charset val="128"/>
          </rPr>
          <t>床面積 ≧</t>
        </r>
        <r>
          <rPr>
            <sz val="8"/>
            <color indexed="81"/>
            <rFont val="Meiryo UI"/>
            <family val="3"/>
            <charset val="128"/>
          </rPr>
          <t xml:space="preserve"> 　275m</t>
        </r>
        <r>
          <rPr>
            <vertAlign val="superscript"/>
            <sz val="8"/>
            <color indexed="81"/>
            <rFont val="Meiryo UI"/>
            <family val="3"/>
            <charset val="128"/>
          </rPr>
          <t>2</t>
        </r>
        <r>
          <rPr>
            <sz val="8"/>
            <color indexed="81"/>
            <rFont val="Meiryo UI"/>
            <family val="3"/>
            <charset val="128"/>
          </rPr>
          <t>：(6)ロ</t>
        </r>
        <r>
          <rPr>
            <sz val="12"/>
            <color indexed="81"/>
            <rFont val="Meiryo UI"/>
            <family val="3"/>
            <charset val="128"/>
          </rPr>
          <t>　</t>
        </r>
        <r>
          <rPr>
            <sz val="8"/>
            <color indexed="81"/>
            <rFont val="Meiryo UI"/>
            <family val="3"/>
            <charset val="128"/>
          </rPr>
          <t xml:space="preserve">
　 </t>
        </r>
        <r>
          <rPr>
            <sz val="8"/>
            <color indexed="32"/>
            <rFont val="Meiryo UI"/>
            <family val="3"/>
            <charset val="128"/>
          </rPr>
          <t>床面積 ≧</t>
        </r>
        <r>
          <rPr>
            <sz val="8"/>
            <color indexed="9"/>
            <rFont val="Meiryo UI"/>
            <family val="3"/>
            <charset val="128"/>
          </rPr>
          <t xml:space="preserve"> </t>
        </r>
        <r>
          <rPr>
            <sz val="8"/>
            <color indexed="81"/>
            <rFont val="Meiryo UI"/>
            <family val="3"/>
            <charset val="128"/>
          </rPr>
          <t>1000m2：(2)、(4)</t>
        </r>
        <r>
          <rPr>
            <sz val="8"/>
            <color indexed="9"/>
            <rFont val="Meiryo UI"/>
            <family val="3"/>
            <charset val="128"/>
          </rPr>
          <t xml:space="preserve">
　 </t>
        </r>
        <r>
          <rPr>
            <sz val="8"/>
            <color indexed="32"/>
            <rFont val="Meiryo UI"/>
            <family val="3"/>
            <charset val="128"/>
          </rPr>
          <t>床面積 ≧</t>
        </r>
        <r>
          <rPr>
            <sz val="8"/>
            <color indexed="9"/>
            <rFont val="Meiryo UI"/>
            <family val="3"/>
            <charset val="128"/>
          </rPr>
          <t xml:space="preserve"> </t>
        </r>
        <r>
          <rPr>
            <sz val="8"/>
            <color indexed="81"/>
            <rFont val="Meiryo UI"/>
            <family val="3"/>
            <charset val="128"/>
          </rPr>
          <t>1500m2：(1)、(3)、(5)イ、</t>
        </r>
        <r>
          <rPr>
            <sz val="8"/>
            <color indexed="9"/>
            <rFont val="Meiryo UI"/>
            <family val="3"/>
            <charset val="128"/>
          </rPr>
          <t xml:space="preserve">
　 　　　　　 　　</t>
        </r>
        <r>
          <rPr>
            <sz val="8"/>
            <color indexed="81"/>
            <rFont val="Meiryo UI"/>
            <family val="3"/>
            <charset val="128"/>
          </rPr>
          <t>(6)イ、(6)ハ、(6)ニ、(9)イ</t>
        </r>
        <r>
          <rPr>
            <sz val="8"/>
            <color indexed="9"/>
            <rFont val="Meiryo UI"/>
            <family val="3"/>
            <charset val="128"/>
          </rPr>
          <t xml:space="preserve">
 </t>
        </r>
      </text>
    </comment>
    <comment ref="BT76"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t>
        </r>
        <r>
          <rPr>
            <b/>
            <sz val="11"/>
            <color indexed="37"/>
            <rFont val="ＭＳ Ｐ明朝"/>
            <family val="1"/>
            <charset val="128"/>
          </rPr>
          <t>建築物-3</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16"/>
            <rFont val="Meiryo UI"/>
            <family val="3"/>
            <charset val="128"/>
          </rPr>
          <t>病院・旅館・共同住宅・福祉施設・飲食店等</t>
        </r>
        <r>
          <rPr>
            <sz val="12"/>
            <color indexed="16"/>
            <rFont val="ＭＳ Ｐゴシック"/>
            <family val="3"/>
            <charset val="128"/>
          </rPr>
          <t xml:space="preserve"> </t>
        </r>
        <r>
          <rPr>
            <sz val="8"/>
            <color indexed="9"/>
            <rFont val="Meiryo UI"/>
            <family val="3"/>
            <charset val="128"/>
          </rPr>
          <t xml:space="preserve">
</t>
        </r>
        <r>
          <rPr>
            <sz val="8"/>
            <color indexed="9"/>
            <rFont val="ＭＳ Ｐゴシック"/>
            <family val="3"/>
            <charset val="128"/>
          </rPr>
          <t xml:space="preserve"> </t>
        </r>
        <r>
          <rPr>
            <sz val="8"/>
            <color indexed="9"/>
            <rFont val="Meiryo UI"/>
            <family val="3"/>
            <charset val="128"/>
          </rPr>
          <t>　</t>
        </r>
        <r>
          <rPr>
            <sz val="8"/>
            <color indexed="81"/>
            <rFont val="Meiryo UI"/>
            <family val="3"/>
            <charset val="128"/>
          </rPr>
          <t>建築基準法：</t>
        </r>
        <r>
          <rPr>
            <sz val="8"/>
            <color indexed="32"/>
            <rFont val="Meiryo UI"/>
            <family val="3"/>
            <charset val="128"/>
          </rPr>
          <t>延床面積＞500m</t>
        </r>
        <r>
          <rPr>
            <vertAlign val="superscript"/>
            <sz val="8"/>
            <color indexed="32"/>
            <rFont val="Meiryo UI"/>
            <family val="3"/>
            <charset val="128"/>
          </rPr>
          <t>2</t>
        </r>
        <r>
          <rPr>
            <sz val="8"/>
            <color indexed="9"/>
            <rFont val="Meiryo UI"/>
            <family val="3"/>
            <charset val="128"/>
          </rPr>
          <t xml:space="preserve">
　 </t>
        </r>
        <r>
          <rPr>
            <sz val="8"/>
            <color indexed="81"/>
            <rFont val="Meiryo UI"/>
            <family val="3"/>
            <charset val="128"/>
          </rPr>
          <t>消防法：</t>
        </r>
        <r>
          <rPr>
            <sz val="8"/>
            <color indexed="32"/>
            <rFont val="Meiryo UI"/>
            <family val="3"/>
            <charset val="128"/>
          </rPr>
          <t>規定なし</t>
        </r>
        <r>
          <rPr>
            <sz val="14"/>
            <color indexed="32"/>
            <rFont val="Meiryo UI"/>
            <family val="3"/>
            <charset val="128"/>
          </rPr>
          <t xml:space="preserve"> </t>
        </r>
        <r>
          <rPr>
            <sz val="14"/>
            <color indexed="9"/>
            <rFont val="Meiryo UI"/>
            <family val="3"/>
            <charset val="128"/>
          </rPr>
          <t xml:space="preserve">
</t>
        </r>
        <r>
          <rPr>
            <sz val="8"/>
            <color indexed="9"/>
            <rFont val="Meiryo UI"/>
            <family val="3"/>
            <charset val="128"/>
          </rPr>
          <t xml:space="preserve"> </t>
        </r>
      </text>
    </comment>
    <comment ref="AP77" authorId="0">
      <text>
        <r>
          <rPr>
            <b/>
            <sz val="9"/>
            <color indexed="81"/>
            <rFont val="ＭＳ Ｐゴシック"/>
            <family val="3"/>
            <charset val="128"/>
          </rPr>
          <t xml:space="preserve">　 </t>
        </r>
        <r>
          <rPr>
            <b/>
            <sz val="11"/>
            <color indexed="37"/>
            <rFont val="ＭＳ Ｐ明朝"/>
            <family val="1"/>
            <charset val="128"/>
          </rPr>
          <t>１１階以上　設置基準</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t>
        </r>
        <r>
          <rPr>
            <sz val="8"/>
            <color indexed="81"/>
            <rFont val="ＭＳ Ｐゴシック"/>
            <family val="3"/>
            <charset val="128"/>
          </rPr>
          <t xml:space="preserve">  </t>
        </r>
        <r>
          <rPr>
            <sz val="8"/>
            <color indexed="81"/>
            <rFont val="Meiryo UI"/>
            <family val="3"/>
            <charset val="128"/>
          </rPr>
          <t>①</t>
        </r>
        <r>
          <rPr>
            <sz val="8"/>
            <color indexed="32"/>
            <rFont val="Meiryo UI"/>
            <family val="3"/>
            <charset val="128"/>
          </rPr>
          <t xml:space="preserve"> すべて設置</t>
        </r>
        <r>
          <rPr>
            <sz val="12"/>
            <color indexed="32"/>
            <rFont val="Meiryo UI"/>
            <family val="3"/>
            <charset val="128"/>
          </rPr>
          <t xml:space="preserve"> </t>
        </r>
        <r>
          <rPr>
            <sz val="8"/>
            <color indexed="81"/>
            <rFont val="Meiryo UI"/>
            <family val="3"/>
            <charset val="128"/>
          </rPr>
          <t xml:space="preserve">
 </t>
        </r>
      </text>
    </comment>
    <comment ref="AQ78" authorId="0">
      <text>
        <r>
          <rPr>
            <b/>
            <sz val="9"/>
            <color indexed="81"/>
            <rFont val="ＭＳ Ｐゴシック"/>
            <family val="3"/>
            <charset val="128"/>
          </rPr>
          <t xml:space="preserve">　 </t>
        </r>
        <r>
          <rPr>
            <b/>
            <sz val="12"/>
            <color indexed="32"/>
            <rFont val="ＭＳ Ｐ明朝"/>
            <family val="1"/>
            <charset val="128"/>
          </rPr>
          <t xml:space="preserve">　　 </t>
        </r>
        <r>
          <rPr>
            <b/>
            <sz val="11"/>
            <color indexed="37"/>
            <rFont val="ＭＳ Ｐ明朝"/>
            <family val="1"/>
            <charset val="128"/>
          </rPr>
          <t>手 動 入 力</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81"/>
            <rFont val="Meiryo UI"/>
            <family val="3"/>
            <charset val="128"/>
          </rPr>
          <t>泡消火設備</t>
        </r>
        <r>
          <rPr>
            <sz val="8"/>
            <color indexed="32"/>
            <rFont val="Meiryo UI"/>
            <family val="3"/>
            <charset val="128"/>
          </rPr>
          <t>が設置される場合には、</t>
        </r>
        <r>
          <rPr>
            <sz val="12"/>
            <color indexed="32"/>
            <rFont val="ＭＳ Ｐゴシック"/>
            <family val="3"/>
            <charset val="128"/>
          </rPr>
          <t xml:space="preserve"> </t>
        </r>
        <r>
          <rPr>
            <sz val="8"/>
            <color indexed="32"/>
            <rFont val="ＭＳ Ｐゴシック"/>
            <family val="3"/>
            <charset val="128"/>
          </rPr>
          <t xml:space="preserve">
　  </t>
        </r>
        <r>
          <rPr>
            <b/>
            <sz val="8"/>
            <color indexed="32"/>
            <rFont val="ＭＳ Ｐゴシック"/>
            <family val="3"/>
            <charset val="128"/>
          </rPr>
          <t>Pull Down List</t>
        </r>
        <r>
          <rPr>
            <sz val="8"/>
            <color indexed="32"/>
            <rFont val="ＭＳ Ｐゴシック"/>
            <family val="3"/>
            <charset val="128"/>
          </rPr>
          <t xml:space="preserve"> </t>
        </r>
        <r>
          <rPr>
            <sz val="8"/>
            <color indexed="32"/>
            <rFont val="Meiryo UI"/>
            <family val="3"/>
            <charset val="128"/>
          </rPr>
          <t>から"要"を入力して
　　下さい。</t>
        </r>
        <r>
          <rPr>
            <sz val="9"/>
            <color indexed="9"/>
            <rFont val="Meiryo UI"/>
            <family val="3"/>
            <charset val="128"/>
          </rPr>
          <t xml:space="preserve">
　</t>
        </r>
      </text>
    </comment>
    <comment ref="BP78" authorId="0">
      <text>
        <r>
          <rPr>
            <b/>
            <sz val="9"/>
            <color indexed="81"/>
            <rFont val="ＭＳ Ｐゴシック"/>
            <family val="3"/>
            <charset val="128"/>
          </rPr>
          <t xml:space="preserve">　 </t>
        </r>
        <r>
          <rPr>
            <b/>
            <sz val="11"/>
            <color indexed="37"/>
            <rFont val="ＭＳ Ｐ明朝"/>
            <family val="1"/>
            <charset val="128"/>
          </rPr>
          <t>階数が11階以上のもの</t>
        </r>
        <r>
          <rPr>
            <b/>
            <sz val="18"/>
            <color indexed="32"/>
            <rFont val="ＭＳ Ｐゴシック"/>
            <family val="3"/>
            <charset val="128"/>
          </rPr>
          <t xml:space="preserve"> </t>
        </r>
        <r>
          <rPr>
            <b/>
            <sz val="9"/>
            <color indexed="81"/>
            <rFont val="ＭＳ Ｐゴシック"/>
            <family val="3"/>
            <charset val="128"/>
          </rPr>
          <t xml:space="preserve">
</t>
        </r>
        <r>
          <rPr>
            <sz val="8"/>
            <color indexed="81"/>
            <rFont val="Meiryo UI"/>
            <family val="3"/>
            <charset val="128"/>
          </rPr>
          <t>　　　　　　</t>
        </r>
        <r>
          <rPr>
            <sz val="8"/>
            <color indexed="18"/>
            <rFont val="Meiryo UI"/>
            <family val="3"/>
            <charset val="128"/>
          </rPr>
          <t>(地階を除く階数)</t>
        </r>
        <r>
          <rPr>
            <b/>
            <sz val="9"/>
            <color indexed="81"/>
            <rFont val="ＭＳ Ｐゴシック"/>
            <family val="3"/>
            <charset val="128"/>
          </rPr>
          <t xml:space="preserve">
</t>
        </r>
        <r>
          <rPr>
            <sz val="8"/>
            <color indexed="9"/>
            <rFont val="Meiryo UI"/>
            <family val="3"/>
            <charset val="128"/>
          </rPr>
          <t xml:space="preserve">　 </t>
        </r>
        <r>
          <rPr>
            <sz val="8"/>
            <color indexed="81"/>
            <rFont val="Meiryo UI"/>
            <family val="3"/>
            <charset val="128"/>
          </rPr>
          <t xml:space="preserve">(1)、(2)、(3)、(4)、(5)イ、(6)、(9)イ
　 (16)イ </t>
        </r>
        <r>
          <rPr>
            <sz val="8"/>
            <color indexed="32"/>
            <rFont val="Meiryo UI"/>
            <family val="3"/>
            <charset val="128"/>
          </rPr>
          <t>必要</t>
        </r>
        <r>
          <rPr>
            <sz val="8"/>
            <color indexed="9"/>
            <rFont val="Meiryo UI"/>
            <family val="3"/>
            <charset val="128"/>
          </rPr>
          <t xml:space="preserve">
 </t>
        </r>
      </text>
    </comment>
    <comment ref="BT78" authorId="0">
      <text>
        <r>
          <rPr>
            <b/>
            <sz val="9"/>
            <color indexed="81"/>
            <rFont val="ＭＳ Ｐゴシック"/>
            <family val="3"/>
            <charset val="128"/>
          </rPr>
          <t>　　　　　</t>
        </r>
        <r>
          <rPr>
            <b/>
            <sz val="11"/>
            <color indexed="37"/>
            <rFont val="ＭＳ Ｐ明朝"/>
            <family val="1"/>
            <charset val="128"/>
          </rPr>
          <t>建築物-4</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9"/>
            <rFont val="ＭＳ Ｐゴシック"/>
            <family val="3"/>
            <charset val="128"/>
          </rPr>
          <t xml:space="preserve"> </t>
        </r>
        <r>
          <rPr>
            <sz val="8"/>
            <color indexed="16"/>
            <rFont val="Meiryo UI"/>
            <family val="3"/>
            <charset val="128"/>
          </rPr>
          <t>地下街</t>
        </r>
        <r>
          <rPr>
            <sz val="12"/>
            <color indexed="16"/>
            <rFont val="ＭＳ Ｐゴシック"/>
            <family val="3"/>
            <charset val="128"/>
          </rPr>
          <t xml:space="preserve"> </t>
        </r>
        <r>
          <rPr>
            <sz val="8"/>
            <color indexed="9"/>
            <rFont val="Meiryo UI"/>
            <family val="3"/>
            <charset val="128"/>
          </rPr>
          <t xml:space="preserve">
</t>
        </r>
        <r>
          <rPr>
            <sz val="8"/>
            <color indexed="9"/>
            <rFont val="ＭＳ Ｐゴシック"/>
            <family val="3"/>
            <charset val="128"/>
          </rPr>
          <t xml:space="preserve"> </t>
        </r>
        <r>
          <rPr>
            <sz val="8"/>
            <color indexed="9"/>
            <rFont val="Meiryo UI"/>
            <family val="3"/>
            <charset val="128"/>
          </rPr>
          <t>　</t>
        </r>
        <r>
          <rPr>
            <sz val="8"/>
            <color indexed="81"/>
            <rFont val="Meiryo UI"/>
            <family val="3"/>
            <charset val="128"/>
          </rPr>
          <t>建築基準法：</t>
        </r>
        <r>
          <rPr>
            <sz val="8"/>
            <color indexed="32"/>
            <rFont val="Meiryo UI"/>
            <family val="3"/>
            <charset val="128"/>
          </rPr>
          <t>すべて必要</t>
        </r>
        <r>
          <rPr>
            <sz val="8"/>
            <color indexed="9"/>
            <rFont val="Meiryo UI"/>
            <family val="3"/>
            <charset val="128"/>
          </rPr>
          <t xml:space="preserve">
　</t>
        </r>
        <r>
          <rPr>
            <sz val="8"/>
            <color indexed="9"/>
            <rFont val="ＭＳ Ｐゴシック"/>
            <family val="3"/>
            <charset val="128"/>
          </rPr>
          <t xml:space="preserve"> </t>
        </r>
        <r>
          <rPr>
            <sz val="8"/>
            <color indexed="16"/>
            <rFont val="Meiryo UI"/>
            <family val="3"/>
            <charset val="128"/>
          </rPr>
          <t>16の2</t>
        </r>
        <r>
          <rPr>
            <sz val="12"/>
            <color indexed="9"/>
            <rFont val="ＭＳ Ｐゴシック"/>
            <family val="3"/>
            <charset val="128"/>
          </rPr>
          <t xml:space="preserve"> </t>
        </r>
        <r>
          <rPr>
            <sz val="8"/>
            <color indexed="9"/>
            <rFont val="Meiryo UI"/>
            <family val="3"/>
            <charset val="128"/>
          </rPr>
          <t xml:space="preserve">
</t>
        </r>
        <r>
          <rPr>
            <sz val="8"/>
            <color indexed="9"/>
            <rFont val="ＭＳ Ｐゴシック"/>
            <family val="3"/>
            <charset val="128"/>
          </rPr>
          <t xml:space="preserve"> </t>
        </r>
        <r>
          <rPr>
            <sz val="8"/>
            <color indexed="9"/>
            <rFont val="Meiryo UI"/>
            <family val="3"/>
            <charset val="128"/>
          </rPr>
          <t>　</t>
        </r>
        <r>
          <rPr>
            <sz val="8"/>
            <color indexed="81"/>
            <rFont val="Meiryo UI"/>
            <family val="3"/>
            <charset val="128"/>
          </rPr>
          <t>消防法：</t>
        </r>
        <r>
          <rPr>
            <sz val="8"/>
            <color indexed="32"/>
            <rFont val="Meiryo UI"/>
            <family val="3"/>
            <charset val="128"/>
          </rPr>
          <t>延床面積 ≧ 1000m</t>
        </r>
        <r>
          <rPr>
            <vertAlign val="superscript"/>
            <sz val="8"/>
            <color indexed="32"/>
            <rFont val="Meiryo UI"/>
            <family val="3"/>
            <charset val="128"/>
          </rPr>
          <t>2</t>
        </r>
        <r>
          <rPr>
            <sz val="8"/>
            <color indexed="9"/>
            <rFont val="Meiryo UI"/>
            <family val="3"/>
            <charset val="128"/>
          </rPr>
          <t xml:space="preserve">
 </t>
        </r>
      </text>
    </comment>
    <comment ref="AQ79" authorId="0">
      <text>
        <r>
          <rPr>
            <b/>
            <sz val="9"/>
            <color indexed="81"/>
            <rFont val="ＭＳ Ｐゴシック"/>
            <family val="3"/>
            <charset val="128"/>
          </rPr>
          <t xml:space="preserve">　 </t>
        </r>
        <r>
          <rPr>
            <b/>
            <sz val="12"/>
            <color indexed="32"/>
            <rFont val="ＭＳ Ｐ明朝"/>
            <family val="1"/>
            <charset val="128"/>
          </rPr>
          <t xml:space="preserve">　　 </t>
        </r>
        <r>
          <rPr>
            <b/>
            <sz val="11"/>
            <color indexed="37"/>
            <rFont val="ＭＳ Ｐ明朝"/>
            <family val="1"/>
            <charset val="128"/>
          </rPr>
          <t>手 動 入 力</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81"/>
            <rFont val="Meiryo UI"/>
            <family val="3"/>
            <charset val="128"/>
          </rPr>
          <t>不活性ガス消火設備</t>
        </r>
        <r>
          <rPr>
            <sz val="8"/>
            <color indexed="32"/>
            <rFont val="Meiryo UI"/>
            <family val="3"/>
            <charset val="128"/>
          </rPr>
          <t>が設置される</t>
        </r>
        <r>
          <rPr>
            <sz val="12"/>
            <color indexed="32"/>
            <rFont val="Meiryo UI"/>
            <family val="3"/>
            <charset val="128"/>
          </rPr>
          <t xml:space="preserve"> </t>
        </r>
        <r>
          <rPr>
            <sz val="8"/>
            <color indexed="32"/>
            <rFont val="Meiryo UI"/>
            <family val="3"/>
            <charset val="128"/>
          </rPr>
          <t xml:space="preserve">
　  場合には、</t>
        </r>
        <r>
          <rPr>
            <b/>
            <sz val="8"/>
            <color indexed="32"/>
            <rFont val="ＭＳ Ｐゴシック"/>
            <family val="3"/>
            <charset val="128"/>
          </rPr>
          <t>Pull Down List</t>
        </r>
        <r>
          <rPr>
            <sz val="8"/>
            <color indexed="32"/>
            <rFont val="ＭＳ Ｐゴシック"/>
            <family val="3"/>
            <charset val="128"/>
          </rPr>
          <t xml:space="preserve"> </t>
        </r>
        <r>
          <rPr>
            <sz val="8"/>
            <color indexed="32"/>
            <rFont val="Meiryo UI"/>
            <family val="3"/>
            <charset val="128"/>
          </rPr>
          <t>から"要"
　　を入力して下さい。</t>
        </r>
        <r>
          <rPr>
            <sz val="9"/>
            <color indexed="9"/>
            <rFont val="Meiryo UI"/>
            <family val="3"/>
            <charset val="128"/>
          </rPr>
          <t xml:space="preserve">
 </t>
        </r>
      </text>
    </comment>
    <comment ref="AQ80" authorId="0">
      <text>
        <r>
          <rPr>
            <b/>
            <sz val="9"/>
            <color indexed="81"/>
            <rFont val="ＭＳ Ｐゴシック"/>
            <family val="3"/>
            <charset val="128"/>
          </rPr>
          <t xml:space="preserve">　 </t>
        </r>
        <r>
          <rPr>
            <b/>
            <sz val="12"/>
            <color indexed="32"/>
            <rFont val="ＭＳ Ｐ明朝"/>
            <family val="1"/>
            <charset val="128"/>
          </rPr>
          <t xml:space="preserve">　　 </t>
        </r>
        <r>
          <rPr>
            <b/>
            <sz val="11"/>
            <color indexed="37"/>
            <rFont val="ＭＳ Ｐ明朝"/>
            <family val="1"/>
            <charset val="128"/>
          </rPr>
          <t>手 動 入 力</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81"/>
            <rFont val="Meiryo UI"/>
            <family val="3"/>
            <charset val="128"/>
          </rPr>
          <t>ハロゲン化物消火設備</t>
        </r>
        <r>
          <rPr>
            <sz val="8"/>
            <color indexed="32"/>
            <rFont val="ＭＳ Ｐゴシック"/>
            <family val="3"/>
            <charset val="128"/>
          </rPr>
          <t>が設置される</t>
        </r>
        <r>
          <rPr>
            <sz val="12"/>
            <color indexed="32"/>
            <rFont val="ＭＳ Ｐゴシック"/>
            <family val="3"/>
            <charset val="128"/>
          </rPr>
          <t xml:space="preserve"> </t>
        </r>
        <r>
          <rPr>
            <sz val="8"/>
            <color indexed="32"/>
            <rFont val="ＭＳ Ｐゴシック"/>
            <family val="3"/>
            <charset val="128"/>
          </rPr>
          <t xml:space="preserve">
　  </t>
        </r>
        <r>
          <rPr>
            <sz val="8"/>
            <color indexed="32"/>
            <rFont val="Meiryo UI"/>
            <family val="3"/>
            <charset val="128"/>
          </rPr>
          <t>場合には、</t>
        </r>
        <r>
          <rPr>
            <b/>
            <sz val="8"/>
            <color indexed="32"/>
            <rFont val="ＭＳ Ｐゴシック"/>
            <family val="3"/>
            <charset val="128"/>
          </rPr>
          <t>Pull Down List</t>
        </r>
        <r>
          <rPr>
            <sz val="8"/>
            <color indexed="32"/>
            <rFont val="ＭＳ Ｐゴシック"/>
            <family val="3"/>
            <charset val="128"/>
          </rPr>
          <t xml:space="preserve"> </t>
        </r>
        <r>
          <rPr>
            <sz val="8"/>
            <color indexed="32"/>
            <rFont val="Meiryo UI"/>
            <family val="3"/>
            <charset val="128"/>
          </rPr>
          <t>から"要"
　　を入力して下さい。</t>
        </r>
        <r>
          <rPr>
            <sz val="9"/>
            <color indexed="9"/>
            <rFont val="Meiryo UI"/>
            <family val="3"/>
            <charset val="128"/>
          </rPr>
          <t xml:space="preserve">
 </t>
        </r>
      </text>
    </comment>
    <comment ref="BP80" authorId="0">
      <text>
        <r>
          <rPr>
            <b/>
            <sz val="9"/>
            <color indexed="81"/>
            <rFont val="ＭＳ Ｐゴシック"/>
            <family val="3"/>
            <charset val="128"/>
          </rPr>
          <t>　　　　</t>
        </r>
        <r>
          <rPr>
            <b/>
            <sz val="11"/>
            <color indexed="37"/>
            <rFont val="ＭＳ Ｐ明朝"/>
            <family val="1"/>
            <charset val="128"/>
          </rPr>
          <t>11階以上の階</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81"/>
            <rFont val="Meiryo UI"/>
            <family val="3"/>
            <charset val="128"/>
          </rPr>
          <t xml:space="preserve">16の2、16の3、(18) </t>
        </r>
        <r>
          <rPr>
            <sz val="8"/>
            <color indexed="32"/>
            <rFont val="Meiryo UI"/>
            <family val="3"/>
            <charset val="128"/>
          </rPr>
          <t>以外はすべて必要</t>
        </r>
        <r>
          <rPr>
            <sz val="12"/>
            <color indexed="32"/>
            <rFont val="Meiryo UI"/>
            <family val="3"/>
            <charset val="128"/>
          </rPr>
          <t xml:space="preserve"> </t>
        </r>
        <r>
          <rPr>
            <sz val="8"/>
            <color indexed="32"/>
            <rFont val="Meiryo UI"/>
            <family val="3"/>
            <charset val="128"/>
          </rPr>
          <t xml:space="preserve">
 </t>
        </r>
      </text>
    </comment>
    <comment ref="AQ81" authorId="0">
      <text>
        <r>
          <rPr>
            <b/>
            <sz val="9"/>
            <color indexed="81"/>
            <rFont val="ＭＳ Ｐゴシック"/>
            <family val="3"/>
            <charset val="128"/>
          </rPr>
          <t xml:space="preserve">　 </t>
        </r>
        <r>
          <rPr>
            <b/>
            <sz val="12"/>
            <color indexed="32"/>
            <rFont val="ＭＳ Ｐ明朝"/>
            <family val="1"/>
            <charset val="128"/>
          </rPr>
          <t xml:space="preserve">　　 </t>
        </r>
        <r>
          <rPr>
            <b/>
            <sz val="11"/>
            <color indexed="37"/>
            <rFont val="ＭＳ Ｐ明朝"/>
            <family val="1"/>
            <charset val="128"/>
          </rPr>
          <t>手 動 入 力</t>
        </r>
        <r>
          <rPr>
            <b/>
            <sz val="18"/>
            <color indexed="32"/>
            <rFont val="ＭＳ Ｐゴシック"/>
            <family val="3"/>
            <charset val="128"/>
          </rPr>
          <t xml:space="preserve"> </t>
        </r>
        <r>
          <rPr>
            <b/>
            <sz val="9"/>
            <color indexed="81"/>
            <rFont val="ＭＳ Ｐゴシック"/>
            <family val="3"/>
            <charset val="128"/>
          </rPr>
          <t xml:space="preserve">
</t>
        </r>
        <r>
          <rPr>
            <sz val="8"/>
            <color indexed="9"/>
            <rFont val="Meiryo UI"/>
            <family val="3"/>
            <charset val="128"/>
          </rPr>
          <t>　　</t>
        </r>
        <r>
          <rPr>
            <sz val="8"/>
            <color indexed="81"/>
            <rFont val="Meiryo UI"/>
            <family val="3"/>
            <charset val="128"/>
          </rPr>
          <t>粉末消火設備</t>
        </r>
        <r>
          <rPr>
            <sz val="8"/>
            <color indexed="32"/>
            <rFont val="Meiryo UI"/>
            <family val="3"/>
            <charset val="128"/>
          </rPr>
          <t>が設置される場合には、</t>
        </r>
        <r>
          <rPr>
            <sz val="12"/>
            <color indexed="32"/>
            <rFont val="ＭＳ Ｐゴシック"/>
            <family val="3"/>
            <charset val="128"/>
          </rPr>
          <t xml:space="preserve"> </t>
        </r>
        <r>
          <rPr>
            <sz val="8"/>
            <color indexed="32"/>
            <rFont val="ＭＳ Ｐゴシック"/>
            <family val="3"/>
            <charset val="128"/>
          </rPr>
          <t xml:space="preserve">
　  </t>
        </r>
        <r>
          <rPr>
            <b/>
            <sz val="8"/>
            <color indexed="32"/>
            <rFont val="ＭＳ Ｐゴシック"/>
            <family val="3"/>
            <charset val="128"/>
          </rPr>
          <t>Pull Down List</t>
        </r>
        <r>
          <rPr>
            <sz val="8"/>
            <color indexed="32"/>
            <rFont val="ＭＳ Ｐゴシック"/>
            <family val="3"/>
            <charset val="128"/>
          </rPr>
          <t xml:space="preserve"> </t>
        </r>
        <r>
          <rPr>
            <sz val="8"/>
            <color indexed="32"/>
            <rFont val="Meiryo UI"/>
            <family val="3"/>
            <charset val="128"/>
          </rPr>
          <t>から"要"を入力して
　　下さい。</t>
        </r>
        <r>
          <rPr>
            <sz val="9"/>
            <color indexed="9"/>
            <rFont val="Meiryo UI"/>
            <family val="3"/>
            <charset val="128"/>
          </rPr>
          <t xml:space="preserve">
 </t>
        </r>
      </text>
    </comment>
  </commentList>
</comments>
</file>

<file path=xl/comments2.xml><?xml version="1.0" encoding="utf-8"?>
<comments xmlns="http://schemas.openxmlformats.org/spreadsheetml/2006/main">
  <authors>
    <author>ESE Service</author>
  </authors>
  <commentList>
    <comment ref="AJ5" authorId="0">
      <text>
        <r>
          <rPr>
            <b/>
            <sz val="9"/>
            <color indexed="81"/>
            <rFont val="ＭＳ Ｐゴシック"/>
            <family val="3"/>
            <charset val="128"/>
          </rPr>
          <t xml:space="preserve">　 </t>
        </r>
        <r>
          <rPr>
            <b/>
            <sz val="12"/>
            <color indexed="37"/>
            <rFont val="ＭＳ Ｐ明朝"/>
            <family val="1"/>
            <charset val="128"/>
          </rPr>
          <t>雑材消耗品</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Ｂ材 × n.nn％</t>
        </r>
        <r>
          <rPr>
            <sz val="10"/>
            <color indexed="32"/>
            <rFont val="Meiryo UI"/>
            <family val="3"/>
            <charset val="128"/>
          </rPr>
          <t xml:space="preserve">　
</t>
        </r>
      </text>
    </comment>
    <comment ref="AM5" authorId="0">
      <text>
        <r>
          <rPr>
            <b/>
            <sz val="9"/>
            <color indexed="81"/>
            <rFont val="ＭＳ Ｐゴシック"/>
            <family val="3"/>
            <charset val="128"/>
          </rPr>
          <t xml:space="preserve">　       </t>
        </r>
        <r>
          <rPr>
            <b/>
            <sz val="12"/>
            <color indexed="37"/>
            <rFont val="ＭＳ Ｐ明朝"/>
            <family val="1"/>
            <charset val="128"/>
          </rPr>
          <t>運 搬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(Ｂ材＋Ａ材) × n.nn％</t>
        </r>
        <r>
          <rPr>
            <sz val="10"/>
            <color indexed="32"/>
            <rFont val="Meiryo UI"/>
            <family val="3"/>
            <charset val="128"/>
          </rPr>
          <t>　</t>
        </r>
        <r>
          <rPr>
            <sz val="10"/>
            <color indexed="9"/>
            <rFont val="Meiryo UI"/>
            <family val="3"/>
            <charset val="128"/>
          </rPr>
          <t xml:space="preserve">
</t>
        </r>
      </text>
    </comment>
    <comment ref="AP5" authorId="0">
      <text>
        <r>
          <rPr>
            <b/>
            <sz val="9"/>
            <color indexed="81"/>
            <rFont val="ＭＳ Ｐゴシック"/>
            <family val="3"/>
            <charset val="128"/>
          </rPr>
          <t xml:space="preserve">　  　  </t>
        </r>
        <r>
          <rPr>
            <b/>
            <sz val="12"/>
            <color indexed="37"/>
            <rFont val="ＭＳ Ｐ明朝"/>
            <family val="1"/>
            <charset val="128"/>
          </rPr>
          <t>現場管理費</t>
        </r>
        <r>
          <rPr>
            <b/>
            <sz val="18"/>
            <color indexed="32"/>
            <rFont val="ＭＳ Ｐゴシック"/>
            <family val="3"/>
            <charset val="128"/>
          </rPr>
          <t xml:space="preserve"> </t>
        </r>
        <r>
          <rPr>
            <b/>
            <sz val="9"/>
            <color indexed="81"/>
            <rFont val="ＭＳ Ｐゴシック"/>
            <family val="3"/>
            <charset val="128"/>
          </rPr>
          <t xml:space="preserve">
</t>
        </r>
        <r>
          <rPr>
            <sz val="10"/>
            <color indexed="81"/>
            <rFont val="Meiryo UI"/>
            <family val="3"/>
            <charset val="128"/>
          </rPr>
          <t xml:space="preserve">  </t>
        </r>
        <r>
          <rPr>
            <sz val="10"/>
            <color indexed="32"/>
            <rFont val="Meiryo UI"/>
            <family val="3"/>
            <charset val="128"/>
          </rPr>
          <t>(工事種目小計) × 2.0％</t>
        </r>
        <r>
          <rPr>
            <sz val="12"/>
            <color indexed="32"/>
            <rFont val="Meiryo UI"/>
            <family val="3"/>
            <charset val="128"/>
          </rPr>
          <t>　</t>
        </r>
        <r>
          <rPr>
            <sz val="10"/>
            <color indexed="9"/>
            <rFont val="Meiryo UI"/>
            <family val="3"/>
            <charset val="128"/>
          </rPr>
          <t xml:space="preserve">
</t>
        </r>
        <r>
          <rPr>
            <sz val="9"/>
            <color indexed="9"/>
            <rFont val="Meiryo UI"/>
            <family val="3"/>
            <charset val="128"/>
          </rPr>
          <t>　 　</t>
        </r>
        <r>
          <rPr>
            <sz val="9"/>
            <color indexed="81"/>
            <rFont val="Meiryo UI"/>
            <family val="3"/>
            <charset val="128"/>
          </rPr>
          <t>専門外注業者が不要な工事</t>
        </r>
        <r>
          <rPr>
            <sz val="10"/>
            <color indexed="9"/>
            <rFont val="Meiryo UI"/>
            <family val="3"/>
            <charset val="128"/>
          </rPr>
          <t xml:space="preserve">
</t>
        </r>
        <r>
          <rPr>
            <sz val="10"/>
            <color indexed="32"/>
            <rFont val="Meiryo UI"/>
            <family val="3"/>
            <charset val="128"/>
          </rPr>
          <t>　(工事種目小計) × 5.0％</t>
        </r>
        <r>
          <rPr>
            <sz val="10"/>
            <color indexed="9"/>
            <rFont val="Meiryo UI"/>
            <family val="3"/>
            <charset val="128"/>
          </rPr>
          <t xml:space="preserve">
</t>
        </r>
        <r>
          <rPr>
            <sz val="9"/>
            <color indexed="9"/>
            <rFont val="Meiryo UI"/>
            <family val="3"/>
            <charset val="128"/>
          </rPr>
          <t>　 　</t>
        </r>
        <r>
          <rPr>
            <sz val="9"/>
            <color indexed="81"/>
            <rFont val="Meiryo UI"/>
            <family val="3"/>
            <charset val="128"/>
          </rPr>
          <t>専門外注業者が必要な工事</t>
        </r>
      </text>
    </comment>
    <comment ref="AS5" authorId="0">
      <text>
        <r>
          <rPr>
            <b/>
            <sz val="9"/>
            <color indexed="81"/>
            <rFont val="ＭＳ Ｐゴシック"/>
            <family val="3"/>
            <charset val="128"/>
          </rPr>
          <t>　      　</t>
        </r>
        <r>
          <rPr>
            <b/>
            <sz val="12"/>
            <color indexed="37"/>
            <rFont val="ＭＳ Ｐ明朝"/>
            <family val="1"/>
            <charset val="128"/>
          </rPr>
          <t>諸 経 費</t>
        </r>
        <r>
          <rPr>
            <b/>
            <sz val="18"/>
            <color indexed="32"/>
            <rFont val="ＭＳ Ｐゴシック"/>
            <family val="3"/>
            <charset val="128"/>
          </rPr>
          <t xml:space="preserve"> </t>
        </r>
        <r>
          <rPr>
            <b/>
            <sz val="9"/>
            <color indexed="81"/>
            <rFont val="ＭＳ Ｐゴシック"/>
            <family val="3"/>
            <charset val="128"/>
          </rPr>
          <t xml:space="preserve">
</t>
        </r>
        <r>
          <rPr>
            <sz val="10"/>
            <color indexed="81"/>
            <rFont val="Meiryo UI"/>
            <family val="3"/>
            <charset val="128"/>
          </rPr>
          <t xml:space="preserve">  </t>
        </r>
        <r>
          <rPr>
            <sz val="10"/>
            <color indexed="32"/>
            <rFont val="Meiryo UI"/>
            <family val="3"/>
            <charset val="128"/>
          </rPr>
          <t>(工事種目小計) × nn.n ％</t>
        </r>
        <r>
          <rPr>
            <sz val="12"/>
            <color indexed="32"/>
            <rFont val="Meiryo UI"/>
            <family val="3"/>
            <charset val="128"/>
          </rPr>
          <t>　</t>
        </r>
      </text>
    </comment>
    <comment ref="AC46" authorId="0">
      <text>
        <r>
          <rPr>
            <b/>
            <sz val="9"/>
            <color indexed="81"/>
            <rFont val="ＭＳ Ｐゴシック"/>
            <family val="3"/>
            <charset val="128"/>
          </rPr>
          <t xml:space="preserve">　 </t>
        </r>
        <r>
          <rPr>
            <b/>
            <sz val="12"/>
            <color indexed="37"/>
            <rFont val="ＭＳ Ｐ明朝"/>
            <family val="1"/>
            <charset val="128"/>
          </rPr>
          <t>雑材消耗品</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Ｂ材 × n.nn％</t>
        </r>
        <r>
          <rPr>
            <sz val="10"/>
            <color indexed="32"/>
            <rFont val="Meiryo UI"/>
            <family val="3"/>
            <charset val="128"/>
          </rPr>
          <t xml:space="preserve">　
</t>
        </r>
      </text>
    </comment>
    <comment ref="AC47" authorId="0">
      <text>
        <r>
          <rPr>
            <b/>
            <sz val="9"/>
            <color indexed="81"/>
            <rFont val="ＭＳ Ｐゴシック"/>
            <family val="3"/>
            <charset val="128"/>
          </rPr>
          <t xml:space="preserve">　       </t>
        </r>
        <r>
          <rPr>
            <b/>
            <sz val="12"/>
            <color indexed="37"/>
            <rFont val="ＭＳ Ｐ明朝"/>
            <family val="1"/>
            <charset val="128"/>
          </rPr>
          <t>運 搬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(Ｂ材＋Ａ材) × n.nn％</t>
        </r>
        <r>
          <rPr>
            <sz val="10"/>
            <color indexed="32"/>
            <rFont val="Meiryo UI"/>
            <family val="3"/>
            <charset val="128"/>
          </rPr>
          <t>　</t>
        </r>
        <r>
          <rPr>
            <sz val="10"/>
            <color indexed="9"/>
            <rFont val="Meiryo UI"/>
            <family val="3"/>
            <charset val="128"/>
          </rPr>
          <t xml:space="preserve">
</t>
        </r>
      </text>
    </comment>
    <comment ref="AC48" authorId="0">
      <text>
        <r>
          <rPr>
            <b/>
            <sz val="9"/>
            <color indexed="81"/>
            <rFont val="ＭＳ Ｐゴシック"/>
            <family val="3"/>
            <charset val="128"/>
          </rPr>
          <t xml:space="preserve">　  　  </t>
        </r>
        <r>
          <rPr>
            <b/>
            <sz val="12"/>
            <color indexed="37"/>
            <rFont val="ＭＳ Ｐ明朝"/>
            <family val="1"/>
            <charset val="128"/>
          </rPr>
          <t>現場管理費</t>
        </r>
        <r>
          <rPr>
            <b/>
            <sz val="18"/>
            <color indexed="32"/>
            <rFont val="ＭＳ Ｐゴシック"/>
            <family val="3"/>
            <charset val="128"/>
          </rPr>
          <t xml:space="preserve"> </t>
        </r>
        <r>
          <rPr>
            <b/>
            <sz val="9"/>
            <color indexed="81"/>
            <rFont val="ＭＳ Ｐゴシック"/>
            <family val="3"/>
            <charset val="128"/>
          </rPr>
          <t xml:space="preserve">
</t>
        </r>
        <r>
          <rPr>
            <sz val="10"/>
            <color indexed="81"/>
            <rFont val="Meiryo UI"/>
            <family val="3"/>
            <charset val="128"/>
          </rPr>
          <t xml:space="preserve">  </t>
        </r>
        <r>
          <rPr>
            <sz val="10"/>
            <color indexed="32"/>
            <rFont val="Meiryo UI"/>
            <family val="3"/>
            <charset val="128"/>
          </rPr>
          <t>(工事種目小計) × 2.0％</t>
        </r>
        <r>
          <rPr>
            <sz val="12"/>
            <color indexed="32"/>
            <rFont val="Meiryo UI"/>
            <family val="3"/>
            <charset val="128"/>
          </rPr>
          <t>　</t>
        </r>
        <r>
          <rPr>
            <sz val="10"/>
            <color indexed="9"/>
            <rFont val="Meiryo UI"/>
            <family val="3"/>
            <charset val="128"/>
          </rPr>
          <t xml:space="preserve">
</t>
        </r>
        <r>
          <rPr>
            <sz val="9"/>
            <color indexed="9"/>
            <rFont val="Meiryo UI"/>
            <family val="3"/>
            <charset val="128"/>
          </rPr>
          <t>　 　</t>
        </r>
        <r>
          <rPr>
            <sz val="9"/>
            <color indexed="81"/>
            <rFont val="Meiryo UI"/>
            <family val="3"/>
            <charset val="128"/>
          </rPr>
          <t>専門外注業者が不要な工事</t>
        </r>
        <r>
          <rPr>
            <sz val="10"/>
            <color indexed="9"/>
            <rFont val="Meiryo UI"/>
            <family val="3"/>
            <charset val="128"/>
          </rPr>
          <t xml:space="preserve">
</t>
        </r>
        <r>
          <rPr>
            <sz val="10"/>
            <color indexed="32"/>
            <rFont val="Meiryo UI"/>
            <family val="3"/>
            <charset val="128"/>
          </rPr>
          <t>　(工事種目小計) × 5.0％</t>
        </r>
        <r>
          <rPr>
            <sz val="10"/>
            <color indexed="9"/>
            <rFont val="Meiryo UI"/>
            <family val="3"/>
            <charset val="128"/>
          </rPr>
          <t xml:space="preserve">
</t>
        </r>
        <r>
          <rPr>
            <sz val="9"/>
            <color indexed="9"/>
            <rFont val="Meiryo UI"/>
            <family val="3"/>
            <charset val="128"/>
          </rPr>
          <t>　 　</t>
        </r>
        <r>
          <rPr>
            <sz val="9"/>
            <color indexed="81"/>
            <rFont val="Meiryo UI"/>
            <family val="3"/>
            <charset val="128"/>
          </rPr>
          <t>専門外注業者が必要な工事</t>
        </r>
      </text>
    </comment>
    <comment ref="AC49" authorId="0">
      <text>
        <r>
          <rPr>
            <b/>
            <sz val="9"/>
            <color indexed="81"/>
            <rFont val="ＭＳ Ｐゴシック"/>
            <family val="3"/>
            <charset val="128"/>
          </rPr>
          <t xml:space="preserve">　          </t>
        </r>
        <r>
          <rPr>
            <b/>
            <sz val="12"/>
            <color indexed="37"/>
            <rFont val="ＭＳ Ｐ明朝"/>
            <family val="1"/>
            <charset val="128"/>
          </rPr>
          <t>提出用諸経費率[％]</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(合計)金額＝ Ｎ (円) とすると、</t>
        </r>
        <r>
          <rPr>
            <sz val="12"/>
            <color indexed="9"/>
            <rFont val="Meiryo UI"/>
            <family val="3"/>
            <charset val="128"/>
          </rPr>
          <t>　</t>
        </r>
        <r>
          <rPr>
            <sz val="9"/>
            <color indexed="9"/>
            <rFont val="Meiryo UI"/>
            <family val="3"/>
            <charset val="128"/>
          </rPr>
          <t xml:space="preserve">
       </t>
        </r>
        <r>
          <rPr>
            <sz val="9"/>
            <color indexed="81"/>
            <rFont val="Meiryo UI"/>
            <family val="3"/>
            <charset val="128"/>
          </rPr>
          <t>諸経費率[％]＝0.1×Ｎ</t>
        </r>
        <r>
          <rPr>
            <sz val="11"/>
            <color indexed="9"/>
            <rFont val="Meiryo UI"/>
            <family val="3"/>
            <charset val="128"/>
          </rPr>
          <t xml:space="preserve"> </t>
        </r>
        <r>
          <rPr>
            <sz val="9"/>
            <color indexed="9"/>
            <rFont val="Meiryo UI"/>
            <family val="3"/>
            <charset val="128"/>
          </rPr>
          <t xml:space="preserve">
     </t>
        </r>
        <r>
          <rPr>
            <sz val="9"/>
            <color indexed="32"/>
            <rFont val="Meiryo UI"/>
            <family val="3"/>
            <charset val="128"/>
          </rPr>
          <t>提出用諸経費率は、商慣習として10 ％ が定着
     していることから、標準設定値としています。</t>
        </r>
      </text>
    </comment>
  </commentList>
</comments>
</file>

<file path=xl/comments3.xml><?xml version="1.0" encoding="utf-8"?>
<comments xmlns="http://schemas.openxmlformats.org/spreadsheetml/2006/main">
  <authors>
    <author>ESE Service</author>
  </authors>
  <commentList>
    <comment ref="F2" authorId="0">
      <text>
        <r>
          <rPr>
            <b/>
            <sz val="9"/>
            <color indexed="81"/>
            <rFont val="ＭＳ Ｐゴシック"/>
            <family val="3"/>
            <charset val="128"/>
          </rPr>
          <t xml:space="preserve">　 </t>
        </r>
        <r>
          <rPr>
            <b/>
            <sz val="12"/>
            <color indexed="37"/>
            <rFont val="ＭＳ Ｐ明朝"/>
            <family val="1"/>
            <charset val="128"/>
          </rPr>
          <t>⇐ 登録セル</t>
        </r>
        <r>
          <rPr>
            <b/>
            <sz val="18"/>
            <color indexed="32"/>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t>
        </r>
        <r>
          <rPr>
            <sz val="9"/>
            <color indexed="81"/>
            <rFont val="ＭＳ Ｐゴシック"/>
            <family val="3"/>
            <charset val="128"/>
          </rPr>
          <t xml:space="preserve"> </t>
        </r>
        <r>
          <rPr>
            <sz val="9"/>
            <color indexed="81"/>
            <rFont val="Meiryo UI"/>
            <family val="3"/>
            <charset val="128"/>
          </rPr>
          <t>ここに、入力して下さい。</t>
        </r>
        <r>
          <rPr>
            <sz val="12"/>
            <color indexed="81"/>
            <rFont val="Meiryo UI"/>
            <family val="3"/>
            <charset val="128"/>
          </rPr>
          <t xml:space="preserve"> </t>
        </r>
        <r>
          <rPr>
            <sz val="9"/>
            <color indexed="81"/>
            <rFont val="Meiryo UI"/>
            <family val="3"/>
            <charset val="128"/>
          </rPr>
          <t xml:space="preserve">
   (原価用１ページ)</t>
        </r>
        <r>
          <rPr>
            <sz val="9"/>
            <color indexed="9"/>
            <rFont val="Meiryo UI"/>
            <family val="3"/>
            <charset val="128"/>
          </rPr>
          <t xml:space="preserve">
</t>
        </r>
        <r>
          <rPr>
            <sz val="9"/>
            <color indexed="81"/>
            <rFont val="Meiryo UI"/>
            <family val="3"/>
            <charset val="128"/>
          </rPr>
          <t>　 提出用1～3 ページ、</t>
        </r>
        <r>
          <rPr>
            <sz val="14"/>
            <color indexed="81"/>
            <rFont val="Meiryo UI"/>
            <family val="3"/>
            <charset val="128"/>
          </rPr>
          <t xml:space="preserve"> </t>
        </r>
        <r>
          <rPr>
            <sz val="9"/>
            <color indexed="81"/>
            <rFont val="Meiryo UI"/>
            <family val="3"/>
            <charset val="128"/>
          </rPr>
          <t xml:space="preserve">
   原価用2～3 ページ
   には、自動転記されます。
 </t>
        </r>
      </text>
    </comment>
    <comment ref="AG5" authorId="0">
      <text>
        <r>
          <rPr>
            <b/>
            <sz val="9"/>
            <color indexed="81"/>
            <rFont val="ＭＳ Ｐゴシック"/>
            <family val="3"/>
            <charset val="128"/>
          </rPr>
          <t xml:space="preserve">　 </t>
        </r>
        <r>
          <rPr>
            <b/>
            <sz val="12"/>
            <color indexed="37"/>
            <rFont val="ＭＳ Ｐ明朝"/>
            <family val="1"/>
            <charset val="128"/>
          </rPr>
          <t>雑材消耗品</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Ｂ材 × n.nn％</t>
        </r>
        <r>
          <rPr>
            <sz val="10"/>
            <color indexed="32"/>
            <rFont val="Meiryo UI"/>
            <family val="3"/>
            <charset val="128"/>
          </rPr>
          <t xml:space="preserve">　
</t>
        </r>
      </text>
    </comment>
    <comment ref="AJ5" authorId="0">
      <text>
        <r>
          <rPr>
            <b/>
            <sz val="9"/>
            <color indexed="81"/>
            <rFont val="ＭＳ Ｐゴシック"/>
            <family val="3"/>
            <charset val="128"/>
          </rPr>
          <t xml:space="preserve">　       </t>
        </r>
        <r>
          <rPr>
            <b/>
            <sz val="12"/>
            <color indexed="37"/>
            <rFont val="ＭＳ Ｐ明朝"/>
            <family val="1"/>
            <charset val="128"/>
          </rPr>
          <t>運 搬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(Ｂ材＋Ａ材) × n.nn％</t>
        </r>
        <r>
          <rPr>
            <sz val="10"/>
            <color indexed="32"/>
            <rFont val="Meiryo UI"/>
            <family val="3"/>
            <charset val="128"/>
          </rPr>
          <t>　</t>
        </r>
        <r>
          <rPr>
            <sz val="10"/>
            <color indexed="9"/>
            <rFont val="Meiryo UI"/>
            <family val="3"/>
            <charset val="128"/>
          </rPr>
          <t xml:space="preserve">
</t>
        </r>
      </text>
    </comment>
    <comment ref="AM5" authorId="0">
      <text>
        <r>
          <rPr>
            <b/>
            <sz val="9"/>
            <color indexed="81"/>
            <rFont val="ＭＳ Ｐゴシック"/>
            <family val="3"/>
            <charset val="128"/>
          </rPr>
          <t xml:space="preserve">　  　  </t>
        </r>
        <r>
          <rPr>
            <b/>
            <sz val="12"/>
            <color indexed="37"/>
            <rFont val="ＭＳ Ｐ明朝"/>
            <family val="1"/>
            <charset val="128"/>
          </rPr>
          <t>現場管理費</t>
        </r>
        <r>
          <rPr>
            <b/>
            <sz val="18"/>
            <color indexed="32"/>
            <rFont val="ＭＳ Ｐゴシック"/>
            <family val="3"/>
            <charset val="128"/>
          </rPr>
          <t xml:space="preserve"> </t>
        </r>
        <r>
          <rPr>
            <b/>
            <sz val="9"/>
            <color indexed="81"/>
            <rFont val="ＭＳ Ｐゴシック"/>
            <family val="3"/>
            <charset val="128"/>
          </rPr>
          <t xml:space="preserve">
</t>
        </r>
        <r>
          <rPr>
            <sz val="10"/>
            <color indexed="81"/>
            <rFont val="Meiryo UI"/>
            <family val="3"/>
            <charset val="128"/>
          </rPr>
          <t xml:space="preserve">  </t>
        </r>
        <r>
          <rPr>
            <sz val="10"/>
            <color indexed="32"/>
            <rFont val="Meiryo UI"/>
            <family val="3"/>
            <charset val="128"/>
          </rPr>
          <t>(工事種目小計) × 2.0％</t>
        </r>
        <r>
          <rPr>
            <sz val="12"/>
            <color indexed="32"/>
            <rFont val="Meiryo UI"/>
            <family val="3"/>
            <charset val="128"/>
          </rPr>
          <t>　</t>
        </r>
        <r>
          <rPr>
            <sz val="10"/>
            <color indexed="9"/>
            <rFont val="Meiryo UI"/>
            <family val="3"/>
            <charset val="128"/>
          </rPr>
          <t xml:space="preserve">
</t>
        </r>
        <r>
          <rPr>
            <sz val="9"/>
            <color indexed="9"/>
            <rFont val="Meiryo UI"/>
            <family val="3"/>
            <charset val="128"/>
          </rPr>
          <t>　 　</t>
        </r>
        <r>
          <rPr>
            <sz val="9"/>
            <color indexed="81"/>
            <rFont val="Meiryo UI"/>
            <family val="3"/>
            <charset val="128"/>
          </rPr>
          <t>専門外注業者が不要な工事</t>
        </r>
        <r>
          <rPr>
            <sz val="10"/>
            <color indexed="9"/>
            <rFont val="Meiryo UI"/>
            <family val="3"/>
            <charset val="128"/>
          </rPr>
          <t xml:space="preserve">
</t>
        </r>
        <r>
          <rPr>
            <sz val="10"/>
            <color indexed="32"/>
            <rFont val="Meiryo UI"/>
            <family val="3"/>
            <charset val="128"/>
          </rPr>
          <t>　(工事種目小計) × 5.0％</t>
        </r>
        <r>
          <rPr>
            <sz val="10"/>
            <color indexed="9"/>
            <rFont val="Meiryo UI"/>
            <family val="3"/>
            <charset val="128"/>
          </rPr>
          <t xml:space="preserve">
</t>
        </r>
        <r>
          <rPr>
            <sz val="9"/>
            <color indexed="9"/>
            <rFont val="Meiryo UI"/>
            <family val="3"/>
            <charset val="128"/>
          </rPr>
          <t>　 　</t>
        </r>
        <r>
          <rPr>
            <sz val="9"/>
            <color indexed="81"/>
            <rFont val="Meiryo UI"/>
            <family val="3"/>
            <charset val="128"/>
          </rPr>
          <t>専門外注業者が必要な工事</t>
        </r>
      </text>
    </comment>
    <comment ref="AC44" authorId="0">
      <text>
        <r>
          <rPr>
            <b/>
            <sz val="9"/>
            <color indexed="81"/>
            <rFont val="ＭＳ Ｐゴシック"/>
            <family val="3"/>
            <charset val="128"/>
          </rPr>
          <t xml:space="preserve">　  　         </t>
        </r>
        <r>
          <rPr>
            <b/>
            <sz val="12"/>
            <color indexed="37"/>
            <rFont val="ＭＳ Ｐ明朝"/>
            <family val="1"/>
            <charset val="128"/>
          </rPr>
          <t>実工数電工単価（円）</t>
        </r>
        <r>
          <rPr>
            <b/>
            <sz val="22"/>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15,000,-　～　21,000,- (全国平均値)</t>
        </r>
        <r>
          <rPr>
            <sz val="14"/>
            <color indexed="32"/>
            <rFont val="Meiryo UI"/>
            <family val="3"/>
            <charset val="128"/>
          </rPr>
          <t>　</t>
        </r>
        <r>
          <rPr>
            <sz val="9"/>
            <color indexed="9"/>
            <rFont val="Meiryo UI"/>
            <family val="3"/>
            <charset val="128"/>
          </rPr>
          <t xml:space="preserve">
    　          </t>
        </r>
        <r>
          <rPr>
            <sz val="9"/>
            <color indexed="32"/>
            <rFont val="Meiryo UI"/>
            <family val="3"/>
            <charset val="128"/>
          </rPr>
          <t>標準実工数電工単価：</t>
        </r>
        <r>
          <rPr>
            <b/>
            <sz val="9"/>
            <color indexed="81"/>
            <rFont val="Meiryo UI"/>
            <family val="3"/>
            <charset val="128"/>
          </rPr>
          <t>18,000,-</t>
        </r>
        <r>
          <rPr>
            <sz val="9"/>
            <color indexed="81"/>
            <rFont val="Meiryo UI"/>
            <family val="3"/>
            <charset val="128"/>
          </rPr>
          <t xml:space="preserve"> </t>
        </r>
        <r>
          <rPr>
            <sz val="9"/>
            <color indexed="9"/>
            <rFont val="Meiryo UI"/>
            <family val="3"/>
            <charset val="128"/>
          </rPr>
          <t xml:space="preserve">
     </t>
        </r>
        <r>
          <rPr>
            <sz val="9"/>
            <color indexed="81"/>
            <rFont val="Meiryo UI"/>
            <family val="3"/>
            <charset val="128"/>
          </rPr>
          <t>実工数単価</t>
        </r>
        <r>
          <rPr>
            <sz val="9"/>
            <color indexed="32"/>
            <rFont val="Meiryo UI"/>
            <family val="3"/>
            <charset val="128"/>
          </rPr>
          <t>：残業をしない一日平均８時間の日当金額 (円)</t>
        </r>
        <r>
          <rPr>
            <sz val="11"/>
            <color indexed="9"/>
            <rFont val="Meiryo UI"/>
            <family val="3"/>
            <charset val="128"/>
          </rPr>
          <t xml:space="preserve"> </t>
        </r>
        <r>
          <rPr>
            <sz val="9"/>
            <color indexed="9"/>
            <rFont val="Meiryo UI"/>
            <family val="3"/>
            <charset val="128"/>
          </rPr>
          <t xml:space="preserve">
     </t>
        </r>
        <r>
          <rPr>
            <sz val="9"/>
            <color indexed="81"/>
            <rFont val="Meiryo UI"/>
            <family val="3"/>
            <charset val="128"/>
          </rPr>
          <t>歩掛り</t>
        </r>
        <r>
          <rPr>
            <sz val="4"/>
            <color indexed="81"/>
            <rFont val="Meiryo UI"/>
            <family val="3"/>
            <charset val="128"/>
          </rPr>
          <t xml:space="preserve"> </t>
        </r>
        <r>
          <rPr>
            <sz val="9"/>
            <color indexed="81"/>
            <rFont val="Meiryo UI"/>
            <family val="3"/>
            <charset val="128"/>
          </rPr>
          <t>(ブガカリ)</t>
        </r>
        <r>
          <rPr>
            <sz val="9"/>
            <color indexed="32"/>
            <rFont val="Meiryo UI"/>
            <family val="3"/>
            <charset val="128"/>
          </rPr>
          <t>：配管・配線・機器取付けに必要な工数 (人)</t>
        </r>
        <r>
          <rPr>
            <sz val="9"/>
            <color indexed="9"/>
            <rFont val="Meiryo UI"/>
            <family val="3"/>
            <charset val="128"/>
          </rPr>
          <t xml:space="preserve">
   　</t>
        </r>
        <r>
          <rPr>
            <sz val="9"/>
            <color indexed="32"/>
            <rFont val="Meiryo UI"/>
            <family val="3"/>
            <charset val="128"/>
          </rPr>
          <t>■</t>
        </r>
        <r>
          <rPr>
            <sz val="9"/>
            <color indexed="18"/>
            <rFont val="Meiryo UI"/>
            <family val="3"/>
            <charset val="128"/>
          </rPr>
          <t>シートNo."建価"の「歩掛り」との整合性</t>
        </r>
        <r>
          <rPr>
            <sz val="14"/>
            <color indexed="18"/>
            <rFont val="Meiryo UI"/>
            <family val="3"/>
            <charset val="128"/>
          </rPr>
          <t xml:space="preserve"> </t>
        </r>
        <r>
          <rPr>
            <sz val="9"/>
            <color indexed="9"/>
            <rFont val="Meiryo UI"/>
            <family val="3"/>
            <charset val="128"/>
          </rPr>
          <t xml:space="preserve">
     </t>
        </r>
        <r>
          <rPr>
            <sz val="9"/>
            <color indexed="13"/>
            <rFont val="Meiryo UI"/>
            <family val="3"/>
            <charset val="128"/>
          </rPr>
          <t xml:space="preserve"> </t>
        </r>
        <r>
          <rPr>
            <sz val="9"/>
            <color indexed="60"/>
            <rFont val="Meiryo UI"/>
            <family val="3"/>
            <charset val="128"/>
          </rPr>
          <t>[例]</t>
        </r>
        <r>
          <rPr>
            <sz val="9"/>
            <color indexed="9"/>
            <rFont val="Meiryo UI"/>
            <family val="3"/>
            <charset val="128"/>
          </rPr>
          <t xml:space="preserve"> </t>
        </r>
        <r>
          <rPr>
            <sz val="9"/>
            <color indexed="32"/>
            <rFont val="Meiryo UI"/>
            <family val="3"/>
            <charset val="128"/>
          </rPr>
          <t>600V CVT 150sq 管内入線の歩掛り：0.137／m
             1／ 0.137≒7.3[m] 入線して、１実工数
            電線管 G-82 露出配管の歩掛り：0.323×1.2／m
              1／0.387≒2.584[m] 配管して、１実工数
            位置ボックス取付の歩掛り：0.1／個
              1／0.1＝10個 取付けして、１実工数</t>
        </r>
        <r>
          <rPr>
            <sz val="9"/>
            <color indexed="9"/>
            <rFont val="Meiryo UI"/>
            <family val="3"/>
            <charset val="128"/>
          </rPr>
          <t xml:space="preserve">
     </t>
        </r>
        <r>
          <rPr>
            <sz val="9"/>
            <color indexed="81"/>
            <rFont val="Meiryo UI"/>
            <family val="3"/>
            <charset val="128"/>
          </rPr>
          <t>■</t>
        </r>
        <r>
          <rPr>
            <sz val="9"/>
            <color indexed="18"/>
            <rFont val="Meiryo UI"/>
            <family val="3"/>
            <charset val="128"/>
          </rPr>
          <t>上記</t>
        </r>
        <r>
          <rPr>
            <sz val="9"/>
            <color indexed="60"/>
            <rFont val="Meiryo UI"/>
            <family val="3"/>
            <charset val="128"/>
          </rPr>
          <t>[例]</t>
        </r>
        <r>
          <rPr>
            <sz val="9"/>
            <color indexed="18"/>
            <rFont val="Meiryo UI"/>
            <family val="3"/>
            <charset val="128"/>
          </rPr>
          <t>の如く、実工数と、かけ離れた「</t>
        </r>
        <r>
          <rPr>
            <sz val="9"/>
            <color indexed="81"/>
            <rFont val="Meiryo UI"/>
            <family val="3"/>
            <charset val="128"/>
          </rPr>
          <t>歩掛り</t>
        </r>
        <r>
          <rPr>
            <sz val="9"/>
            <color indexed="18"/>
            <rFont val="Meiryo UI"/>
            <family val="3"/>
            <charset val="128"/>
          </rPr>
          <t>」を採用して</t>
        </r>
        <r>
          <rPr>
            <sz val="14"/>
            <color indexed="18"/>
            <rFont val="Meiryo UI"/>
            <family val="3"/>
            <charset val="128"/>
          </rPr>
          <t xml:space="preserve"> </t>
        </r>
        <r>
          <rPr>
            <sz val="9"/>
            <color indexed="9"/>
            <rFont val="Meiryo UI"/>
            <family val="3"/>
            <charset val="128"/>
          </rPr>
          <t xml:space="preserve">
        </t>
        </r>
        <r>
          <rPr>
            <sz val="9"/>
            <color indexed="18"/>
            <rFont val="Meiryo UI"/>
            <family val="3"/>
            <charset val="128"/>
          </rPr>
          <t>いているので、実工数に合致する手段として実工数単価が、
        シートNo. "建価"の「歩掛り」の平均 ≒1／3 ～1／4程度
        が実態であることから、標準実工数電工単価：18,000／3
        ≒</t>
        </r>
        <r>
          <rPr>
            <b/>
            <sz val="9"/>
            <color indexed="81"/>
            <rFont val="Meiryo UI"/>
            <family val="3"/>
            <charset val="128"/>
          </rPr>
          <t>6,000,-</t>
        </r>
        <r>
          <rPr>
            <b/>
            <sz val="9"/>
            <color indexed="9"/>
            <rFont val="Meiryo UI"/>
            <family val="3"/>
            <charset val="128"/>
          </rPr>
          <t xml:space="preserve"> </t>
        </r>
        <r>
          <rPr>
            <sz val="9"/>
            <color indexed="32"/>
            <rFont val="Meiryo UI"/>
            <family val="3"/>
            <charset val="128"/>
          </rPr>
          <t>を概算</t>
        </r>
        <r>
          <rPr>
            <sz val="9"/>
            <color indexed="18"/>
            <rFont val="Meiryo UI"/>
            <family val="3"/>
            <charset val="128"/>
          </rPr>
          <t>積算基準として採用しています。</t>
        </r>
      </text>
    </comment>
    <comment ref="AC46" authorId="0">
      <text>
        <r>
          <rPr>
            <b/>
            <sz val="9"/>
            <color indexed="81"/>
            <rFont val="ＭＳ Ｐゴシック"/>
            <family val="3"/>
            <charset val="128"/>
          </rPr>
          <t xml:space="preserve">　 </t>
        </r>
        <r>
          <rPr>
            <b/>
            <sz val="12"/>
            <color indexed="37"/>
            <rFont val="ＭＳ Ｐ明朝"/>
            <family val="1"/>
            <charset val="128"/>
          </rPr>
          <t>雑材消耗品</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Ｂ材 × n.nn％</t>
        </r>
        <r>
          <rPr>
            <sz val="10"/>
            <color indexed="32"/>
            <rFont val="Meiryo UI"/>
            <family val="3"/>
            <charset val="128"/>
          </rPr>
          <t xml:space="preserve">　
</t>
        </r>
      </text>
    </comment>
    <comment ref="AC47" authorId="0">
      <text>
        <r>
          <rPr>
            <b/>
            <sz val="9"/>
            <color indexed="81"/>
            <rFont val="ＭＳ Ｐゴシック"/>
            <family val="3"/>
            <charset val="128"/>
          </rPr>
          <t xml:space="preserve">　       </t>
        </r>
        <r>
          <rPr>
            <b/>
            <sz val="12"/>
            <color indexed="37"/>
            <rFont val="ＭＳ Ｐ明朝"/>
            <family val="1"/>
            <charset val="128"/>
          </rPr>
          <t>運 搬 費</t>
        </r>
        <r>
          <rPr>
            <b/>
            <sz val="18"/>
            <color indexed="32"/>
            <rFont val="ＭＳ Ｐ明朝"/>
            <family val="1"/>
            <charset val="128"/>
          </rPr>
          <t xml:space="preserve"> </t>
        </r>
        <r>
          <rPr>
            <b/>
            <sz val="9"/>
            <color indexed="81"/>
            <rFont val="ＭＳ Ｐゴシック"/>
            <family val="3"/>
            <charset val="128"/>
          </rPr>
          <t xml:space="preserve">
</t>
        </r>
        <r>
          <rPr>
            <b/>
            <sz val="9"/>
            <color indexed="81"/>
            <rFont val="ＭＳ Ｐ明朝"/>
            <family val="1"/>
            <charset val="128"/>
          </rPr>
          <t xml:space="preserve"> </t>
        </r>
        <r>
          <rPr>
            <sz val="9"/>
            <color indexed="81"/>
            <rFont val="Meiryo UI"/>
            <family val="3"/>
            <charset val="128"/>
          </rPr>
          <t xml:space="preserve"> </t>
        </r>
        <r>
          <rPr>
            <sz val="9"/>
            <color indexed="32"/>
            <rFont val="Meiryo UI"/>
            <family val="3"/>
            <charset val="128"/>
          </rPr>
          <t xml:space="preserve"> (Ｂ材＋Ａ材) × n.nn％</t>
        </r>
        <r>
          <rPr>
            <sz val="10"/>
            <color indexed="32"/>
            <rFont val="Meiryo UI"/>
            <family val="3"/>
            <charset val="128"/>
          </rPr>
          <t>　</t>
        </r>
        <r>
          <rPr>
            <sz val="10"/>
            <color indexed="9"/>
            <rFont val="Meiryo UI"/>
            <family val="3"/>
            <charset val="128"/>
          </rPr>
          <t xml:space="preserve">
</t>
        </r>
      </text>
    </comment>
    <comment ref="AC48" authorId="0">
      <text>
        <r>
          <rPr>
            <b/>
            <sz val="9"/>
            <color indexed="81"/>
            <rFont val="ＭＳ Ｐゴシック"/>
            <family val="3"/>
            <charset val="128"/>
          </rPr>
          <t xml:space="preserve">　  　  </t>
        </r>
        <r>
          <rPr>
            <b/>
            <sz val="12"/>
            <color indexed="37"/>
            <rFont val="ＭＳ Ｐ明朝"/>
            <family val="1"/>
            <charset val="128"/>
          </rPr>
          <t>現場管理費</t>
        </r>
        <r>
          <rPr>
            <b/>
            <sz val="18"/>
            <color indexed="32"/>
            <rFont val="ＭＳ Ｐゴシック"/>
            <family val="3"/>
            <charset val="128"/>
          </rPr>
          <t xml:space="preserve"> </t>
        </r>
        <r>
          <rPr>
            <b/>
            <sz val="9"/>
            <color indexed="81"/>
            <rFont val="ＭＳ Ｐゴシック"/>
            <family val="3"/>
            <charset val="128"/>
          </rPr>
          <t xml:space="preserve">
 </t>
        </r>
        <r>
          <rPr>
            <sz val="10"/>
            <color indexed="81"/>
            <rFont val="Meiryo UI"/>
            <family val="3"/>
            <charset val="128"/>
          </rPr>
          <t xml:space="preserve">  </t>
        </r>
        <r>
          <rPr>
            <sz val="10"/>
            <color indexed="32"/>
            <rFont val="Meiryo UI"/>
            <family val="3"/>
            <charset val="128"/>
          </rPr>
          <t>(工事種目小計) × 2.0％</t>
        </r>
        <r>
          <rPr>
            <sz val="12"/>
            <color indexed="32"/>
            <rFont val="Meiryo UI"/>
            <family val="3"/>
            <charset val="128"/>
          </rPr>
          <t>　</t>
        </r>
        <r>
          <rPr>
            <sz val="10"/>
            <color indexed="9"/>
            <rFont val="Meiryo UI"/>
            <family val="3"/>
            <charset val="128"/>
          </rPr>
          <t xml:space="preserve">
 </t>
        </r>
        <r>
          <rPr>
            <sz val="9"/>
            <color indexed="9"/>
            <rFont val="Meiryo UI"/>
            <family val="3"/>
            <charset val="128"/>
          </rPr>
          <t>　 　</t>
        </r>
        <r>
          <rPr>
            <sz val="9"/>
            <color indexed="81"/>
            <rFont val="Meiryo UI"/>
            <family val="3"/>
            <charset val="128"/>
          </rPr>
          <t>専門外注業者が不要な工事</t>
        </r>
        <r>
          <rPr>
            <sz val="10"/>
            <color indexed="9"/>
            <rFont val="Meiryo UI"/>
            <family val="3"/>
            <charset val="128"/>
          </rPr>
          <t xml:space="preserve">
 </t>
        </r>
        <r>
          <rPr>
            <sz val="10"/>
            <color indexed="32"/>
            <rFont val="Meiryo UI"/>
            <family val="3"/>
            <charset val="128"/>
          </rPr>
          <t>　(工事種目小計) × 5.0％</t>
        </r>
        <r>
          <rPr>
            <sz val="10"/>
            <color indexed="9"/>
            <rFont val="Meiryo UI"/>
            <family val="3"/>
            <charset val="128"/>
          </rPr>
          <t xml:space="preserve">
</t>
        </r>
        <r>
          <rPr>
            <sz val="9"/>
            <color indexed="9"/>
            <rFont val="Meiryo UI"/>
            <family val="3"/>
            <charset val="128"/>
          </rPr>
          <t>　  　</t>
        </r>
        <r>
          <rPr>
            <sz val="9"/>
            <color indexed="81"/>
            <rFont val="Meiryo UI"/>
            <family val="3"/>
            <charset val="128"/>
          </rPr>
          <t>専門外注業者が必要な工事</t>
        </r>
      </text>
    </comment>
    <comment ref="AC49" authorId="0">
      <text>
        <r>
          <rPr>
            <b/>
            <sz val="9"/>
            <color indexed="81"/>
            <rFont val="ＭＳ Ｐゴシック"/>
            <family val="3"/>
            <charset val="128"/>
          </rPr>
          <t xml:space="preserve">　            </t>
        </r>
        <r>
          <rPr>
            <b/>
            <sz val="12"/>
            <color indexed="37"/>
            <rFont val="ＭＳ Ｐ明朝"/>
            <family val="1"/>
            <charset val="128"/>
          </rPr>
          <t>原価諸経費率[％]</t>
        </r>
        <r>
          <rPr>
            <b/>
            <sz val="22"/>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(合計)金額＝ Ｎ (円) とすると、</t>
        </r>
        <r>
          <rPr>
            <sz val="12"/>
            <color indexed="9"/>
            <rFont val="Meiryo UI"/>
            <family val="3"/>
            <charset val="128"/>
          </rPr>
          <t>　</t>
        </r>
        <r>
          <rPr>
            <sz val="9"/>
            <color indexed="9"/>
            <rFont val="Meiryo UI"/>
            <family val="3"/>
            <charset val="128"/>
          </rPr>
          <t xml:space="preserve">
   </t>
        </r>
        <r>
          <rPr>
            <sz val="9"/>
            <color indexed="81"/>
            <rFont val="Meiryo UI"/>
            <family val="3"/>
            <charset val="128"/>
          </rPr>
          <t>諸経費率[％]＝0.8×INT[Ｍ]／100</t>
        </r>
        <r>
          <rPr>
            <sz val="11"/>
            <color indexed="9"/>
            <rFont val="Meiryo UI"/>
            <family val="3"/>
            <charset val="128"/>
          </rPr>
          <t xml:space="preserve"> </t>
        </r>
        <r>
          <rPr>
            <sz val="9"/>
            <color indexed="9"/>
            <rFont val="Meiryo UI"/>
            <family val="3"/>
            <charset val="128"/>
          </rPr>
          <t xml:space="preserve">
      </t>
        </r>
        <r>
          <rPr>
            <sz val="9"/>
            <color indexed="39"/>
            <rFont val="Meiryo UI"/>
            <family val="3"/>
            <charset val="128"/>
          </rPr>
          <t>ただし、</t>
        </r>
        <r>
          <rPr>
            <sz val="9"/>
            <color indexed="81"/>
            <rFont val="Meiryo UI"/>
            <family val="3"/>
            <charset val="128"/>
          </rPr>
          <t>Ｍ＝100×[SQRT(Ｎ×10</t>
        </r>
        <r>
          <rPr>
            <vertAlign val="superscript"/>
            <sz val="11"/>
            <color indexed="81"/>
            <rFont val="Meiryo UI"/>
            <family val="3"/>
            <charset val="128"/>
          </rPr>
          <t>－4</t>
        </r>
        <r>
          <rPr>
            <sz val="9"/>
            <color indexed="81"/>
            <rFont val="Meiryo UI"/>
            <family val="3"/>
            <charset val="128"/>
          </rPr>
          <t>)]</t>
        </r>
        <r>
          <rPr>
            <vertAlign val="superscript"/>
            <sz val="11"/>
            <color indexed="81"/>
            <rFont val="Meiryo UI"/>
            <family val="3"/>
            <charset val="128"/>
          </rPr>
          <t>－0.35</t>
        </r>
        <r>
          <rPr>
            <sz val="9"/>
            <color indexed="9"/>
            <rFont val="Meiryo UI"/>
            <family val="3"/>
            <charset val="128"/>
          </rPr>
          <t xml:space="preserve">
     </t>
        </r>
        <r>
          <rPr>
            <sz val="9"/>
            <color indexed="32"/>
            <rFont val="Meiryo UI"/>
            <family val="3"/>
            <charset val="128"/>
          </rPr>
          <t>原価諸経費率とは、各業者の工事実績に基づく
     営業活動に必要な経費であり、この経費率を上回
     れば、純利益を生み、下回れば赤字になります。
     純利益を想定して原価諸経費率を設定している
     業者もありますが、正しい諸経費率ではありません。
     上記の 諸経費率 [％] は、工事金額より算定した
     一般的な値です。</t>
        </r>
      </text>
    </comment>
    <comment ref="AC51" authorId="0">
      <text>
        <r>
          <rPr>
            <b/>
            <sz val="9"/>
            <color indexed="81"/>
            <rFont val="ＭＳ Ｐゴシック"/>
            <family val="3"/>
            <charset val="128"/>
          </rPr>
          <t xml:space="preserve">　        </t>
        </r>
        <r>
          <rPr>
            <b/>
            <sz val="12"/>
            <color indexed="37"/>
            <rFont val="ＭＳ Ｐ明朝"/>
            <family val="1"/>
            <charset val="128"/>
          </rPr>
          <t>消 費 税 率</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わが国では、1989.4/1 消費税法の</t>
        </r>
        <r>
          <rPr>
            <sz val="11"/>
            <color indexed="32"/>
            <rFont val="Meiryo UI"/>
            <family val="3"/>
            <charset val="128"/>
          </rPr>
          <t xml:space="preserve"> </t>
        </r>
        <r>
          <rPr>
            <sz val="9"/>
            <color indexed="32"/>
            <rFont val="Meiryo UI"/>
            <family val="3"/>
            <charset val="128"/>
          </rPr>
          <t xml:space="preserve">
   制定により消費税率が３％、1997.4</t>
        </r>
        <r>
          <rPr>
            <sz val="10"/>
            <color indexed="32"/>
            <rFont val="Meiryo UI"/>
            <family val="3"/>
            <charset val="128"/>
          </rPr>
          <t xml:space="preserve">
   に５％、2014.4 には、８％になり、
   2015.10からは、10％に引き上げ
   られる予定です。</t>
        </r>
        <r>
          <rPr>
            <sz val="10"/>
            <color indexed="9"/>
            <rFont val="Meiryo UI"/>
            <family val="3"/>
            <charset val="128"/>
          </rPr>
          <t xml:space="preserve">
     </t>
        </r>
        <r>
          <rPr>
            <sz val="10"/>
            <color indexed="81"/>
            <rFont val="Meiryo UI"/>
            <family val="3"/>
            <charset val="128"/>
          </rPr>
          <t>標準設定値：８％</t>
        </r>
        <r>
          <rPr>
            <sz val="14"/>
            <color indexed="81"/>
            <rFont val="Meiryo UI"/>
            <family val="3"/>
            <charset val="128"/>
          </rPr>
          <t xml:space="preserve"> 
 </t>
        </r>
      </text>
    </comment>
  </commentList>
</comments>
</file>

<file path=xl/comments4.xml><?xml version="1.0" encoding="utf-8"?>
<comments xmlns="http://schemas.openxmlformats.org/spreadsheetml/2006/main">
  <authors>
    <author>ESE Service</author>
  </authors>
  <commentList>
    <comment ref="BO10" authorId="0">
      <text>
        <r>
          <rPr>
            <b/>
            <sz val="9"/>
            <color indexed="81"/>
            <rFont val="ＭＳ Ｐゴシック"/>
            <family val="3"/>
            <charset val="128"/>
          </rPr>
          <t xml:space="preserve">　　　　　　　　  </t>
        </r>
        <r>
          <rPr>
            <b/>
            <sz val="11"/>
            <color indexed="37"/>
            <rFont val="ＭＳ Ｐ明朝"/>
            <family val="1"/>
            <charset val="128"/>
          </rPr>
          <t>ＥＰＳの設置位置入力</t>
        </r>
        <r>
          <rPr>
            <b/>
            <sz val="18"/>
            <color indexed="81"/>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t>
        </r>
        <r>
          <rPr>
            <b/>
            <sz val="9"/>
            <color indexed="32"/>
            <rFont val="Meiryo UI"/>
            <family val="3"/>
            <charset val="128"/>
          </rPr>
          <t>Ⓐ～Ⓘ</t>
        </r>
        <r>
          <rPr>
            <sz val="9"/>
            <color indexed="32"/>
            <rFont val="Meiryo UI"/>
            <family val="3"/>
            <charset val="128"/>
          </rPr>
          <t>の中から分電盤位置の番号を選択 して下さい。</t>
        </r>
        <r>
          <rPr>
            <sz val="12"/>
            <color indexed="32"/>
            <rFont val="Meiryo UI"/>
            <family val="3"/>
            <charset val="128"/>
          </rPr>
          <t>　</t>
        </r>
        <r>
          <rPr>
            <sz val="11"/>
            <color indexed="32"/>
            <rFont val="Meiryo UI"/>
            <family val="3"/>
            <charset val="128"/>
          </rPr>
          <t xml:space="preserve">
</t>
        </r>
        <r>
          <rPr>
            <sz val="9"/>
            <color indexed="32"/>
            <rFont val="Meiryo UI"/>
            <family val="3"/>
            <charset val="128"/>
          </rPr>
          <t>　　　　　　</t>
        </r>
        <r>
          <rPr>
            <sz val="10"/>
            <color indexed="32"/>
            <rFont val="Meiryo UI"/>
            <family val="3"/>
            <charset val="128"/>
          </rPr>
          <t>照明コンセント設備［分電盤の位置］参照</t>
        </r>
        <r>
          <rPr>
            <sz val="10"/>
            <color indexed="37"/>
            <rFont val="Meiryo UI"/>
            <family val="3"/>
            <charset val="128"/>
          </rPr>
          <t xml:space="preserve">
          </t>
        </r>
        <r>
          <rPr>
            <sz val="10"/>
            <color indexed="81"/>
            <rFont val="Meiryo UI"/>
            <family val="3"/>
            <charset val="128"/>
          </rPr>
          <t xml:space="preserve"> 標準設定値は、</t>
        </r>
        <r>
          <rPr>
            <b/>
            <sz val="10"/>
            <color indexed="81"/>
            <rFont val="Meiryo UI"/>
            <family val="3"/>
            <charset val="128"/>
          </rPr>
          <t>Ⓖ</t>
        </r>
        <r>
          <rPr>
            <sz val="10"/>
            <color indexed="81"/>
            <rFont val="Meiryo UI"/>
            <family val="3"/>
            <charset val="128"/>
          </rPr>
          <t>です。</t>
        </r>
        <r>
          <rPr>
            <sz val="10"/>
            <color indexed="35"/>
            <rFont val="Meiryo UI"/>
            <family val="3"/>
            <charset val="128"/>
          </rPr>
          <t xml:space="preserve">
 </t>
        </r>
        <r>
          <rPr>
            <sz val="9"/>
            <color indexed="81"/>
            <rFont val="ＭＳ ゴシック"/>
            <family val="3"/>
            <charset val="128"/>
          </rPr>
          <t xml:space="preserve">  </t>
        </r>
        <r>
          <rPr>
            <sz val="8"/>
            <color indexed="81"/>
            <rFont val="ＭＳ ゴシック"/>
            <family val="3"/>
            <charset val="128"/>
          </rPr>
          <t xml:space="preserve"> </t>
        </r>
        <r>
          <rPr>
            <b/>
            <sz val="10"/>
            <color indexed="32"/>
            <rFont val="ＭＳ Ｐゴシック"/>
            <family val="3"/>
            <charset val="128"/>
          </rPr>
          <t>Ly</t>
        </r>
        <r>
          <rPr>
            <sz val="6"/>
            <color indexed="32"/>
            <rFont val="Meiryo UI"/>
            <family val="3"/>
            <charset val="128"/>
          </rPr>
          <t xml:space="preserve">    </t>
        </r>
        <r>
          <rPr>
            <b/>
            <sz val="6"/>
            <color indexed="32"/>
            <rFont val="Meiryo UI"/>
            <family val="3"/>
            <charset val="128"/>
          </rPr>
          <t xml:space="preserve"> </t>
        </r>
        <r>
          <rPr>
            <sz val="6"/>
            <color indexed="32"/>
            <rFont val="Meiryo UI"/>
            <family val="3"/>
            <charset val="128"/>
          </rPr>
          <t xml:space="preserve">                            　　　            </t>
        </r>
        <r>
          <rPr>
            <sz val="10"/>
            <color indexed="10"/>
            <rFont val="ＭＳ Ｐゴシック"/>
            <family val="3"/>
            <charset val="128"/>
          </rPr>
          <t>┃</t>
        </r>
        <r>
          <rPr>
            <sz val="9"/>
            <color indexed="81"/>
            <rFont val="Meiryo UI"/>
            <family val="3"/>
            <charset val="128"/>
          </rPr>
          <t xml:space="preserve">
</t>
        </r>
        <r>
          <rPr>
            <sz val="9"/>
            <color indexed="81"/>
            <rFont val="ＭＳ ゴシック"/>
            <family val="3"/>
            <charset val="128"/>
          </rPr>
          <t xml:space="preserve">   </t>
        </r>
        <r>
          <rPr>
            <sz val="8"/>
            <color indexed="81"/>
            <rFont val="ＭＳ ゴシック"/>
            <family val="3"/>
            <charset val="128"/>
          </rPr>
          <t xml:space="preserve"> </t>
        </r>
        <r>
          <rPr>
            <b/>
            <sz val="9"/>
            <color indexed="39"/>
            <rFont val="ＭＳ ゴシック"/>
            <family val="3"/>
            <charset val="128"/>
          </rPr>
          <t>↑</t>
        </r>
        <r>
          <rPr>
            <b/>
            <sz val="9"/>
            <color indexed="81"/>
            <rFont val="ＭＳ ゴシック"/>
            <family val="3"/>
            <charset val="128"/>
          </rPr>
          <t>■</t>
        </r>
        <r>
          <rPr>
            <sz val="9"/>
            <color indexed="81"/>
            <rFont val="ＭＳ ゴシック"/>
            <family val="3"/>
            <charset val="128"/>
          </rPr>
          <t>━━━━■━━━━■</t>
        </r>
        <r>
          <rPr>
            <sz val="7"/>
            <color indexed="10"/>
            <rFont val="ＭＳ ゴシック"/>
            <family val="3"/>
            <charset val="128"/>
          </rPr>
          <t>┃</t>
        </r>
        <r>
          <rPr>
            <sz val="9"/>
            <color indexed="81"/>
            <rFont val="ＭＳ ゴシック"/>
            <family val="3"/>
            <charset val="128"/>
          </rPr>
          <t>━━━■━━━━■
　　　┃　　　　　　　　　　</t>
        </r>
        <r>
          <rPr>
            <sz val="9"/>
            <color indexed="10"/>
            <rFont val="ＭＳ ゴシック"/>
            <family val="3"/>
            <charset val="128"/>
          </rPr>
          <t>┃</t>
        </r>
        <r>
          <rPr>
            <sz val="9"/>
            <color indexed="81"/>
            <rFont val="ＭＳ ゴシック"/>
            <family val="3"/>
            <charset val="128"/>
          </rPr>
          <t>　　　　　　　　┃
　　　■        ■　　　  ■</t>
        </r>
        <r>
          <rPr>
            <sz val="9"/>
            <color indexed="10"/>
            <rFont val="ＭＳ ゴシック"/>
            <family val="3"/>
            <charset val="128"/>
          </rPr>
          <t>┃</t>
        </r>
        <r>
          <rPr>
            <sz val="9"/>
            <color indexed="81"/>
            <rFont val="ＭＳ ゴシック"/>
            <family val="3"/>
            <charset val="128"/>
          </rPr>
          <t>　　　■        ■
　　　┃   　　　　　　　 　</t>
        </r>
        <r>
          <rPr>
            <sz val="9"/>
            <color indexed="10"/>
            <rFont val="ＭＳ ゴシック"/>
            <family val="3"/>
            <charset val="128"/>
          </rPr>
          <t>┃</t>
        </r>
        <r>
          <rPr>
            <sz val="9"/>
            <color indexed="81"/>
            <rFont val="ＭＳ ゴシック"/>
            <family val="3"/>
            <charset val="128"/>
          </rPr>
          <t>　　　　　　　  ┃
　　　Ⓖ</t>
        </r>
        <r>
          <rPr>
            <sz val="9"/>
            <color indexed="10"/>
            <rFont val="ＭＳ ゴシック"/>
            <family val="3"/>
            <charset val="128"/>
          </rPr>
          <t>━━━━</t>
        </r>
        <r>
          <rPr>
            <sz val="9"/>
            <color indexed="81"/>
            <rFont val="ＭＳ ゴシック"/>
            <family val="3"/>
            <charset val="128"/>
          </rPr>
          <t>Ⓗ</t>
        </r>
        <r>
          <rPr>
            <sz val="9"/>
            <color indexed="10"/>
            <rFont val="ＭＳ ゴシック"/>
            <family val="3"/>
            <charset val="128"/>
          </rPr>
          <t>━━━━</t>
        </r>
        <r>
          <rPr>
            <sz val="9"/>
            <color indexed="81"/>
            <rFont val="ＭＳ ゴシック"/>
            <family val="3"/>
            <charset val="128"/>
          </rPr>
          <t>Ⓘ</t>
        </r>
        <r>
          <rPr>
            <sz val="9"/>
            <color indexed="10"/>
            <rFont val="ＭＳ ゴシック"/>
            <family val="3"/>
            <charset val="128"/>
          </rPr>
          <t>┛</t>
        </r>
        <r>
          <rPr>
            <sz val="9"/>
            <color indexed="81"/>
            <rFont val="ＭＳ ゴシック"/>
            <family val="3"/>
            <charset val="128"/>
          </rPr>
          <t xml:space="preserve">　　　■　　 　 ■
　　　┃　　　　　　　　　　　　　　　 </t>
        </r>
        <r>
          <rPr>
            <sz val="9"/>
            <color indexed="10"/>
            <rFont val="ＭＳ ゴシック"/>
            <family val="3"/>
            <charset val="128"/>
          </rPr>
          <t>　</t>
        </r>
        <r>
          <rPr>
            <sz val="9"/>
            <color indexed="81"/>
            <rFont val="ＭＳ ゴシック"/>
            <family val="3"/>
            <charset val="128"/>
          </rPr>
          <t>　 　┃ 
　　　Ⓓ      　Ⓔ　　　　Ⓕ　　　　■　</t>
        </r>
        <r>
          <rPr>
            <sz val="9"/>
            <color indexed="10"/>
            <rFont val="ＭＳ ゴシック"/>
            <family val="3"/>
            <charset val="128"/>
          </rPr>
          <t>　</t>
        </r>
        <r>
          <rPr>
            <sz val="9"/>
            <color indexed="81"/>
            <rFont val="ＭＳ ゴシック"/>
            <family val="3"/>
            <charset val="128"/>
          </rPr>
          <t xml:space="preserve"> 　 ■
　　　┃　　　　　　　　　　　　　　　　　　　┃ 
　    Ⓐ━━━━Ⓑ━━━━Ⓒ━━━━■━━━━■ 
                                       </t>
        </r>
        <r>
          <rPr>
            <sz val="9"/>
            <color indexed="35"/>
            <rFont val="ＭＳ ゴシック"/>
            <family val="3"/>
            <charset val="128"/>
          </rPr>
          <t xml:space="preserve">　　   </t>
        </r>
        <r>
          <rPr>
            <b/>
            <sz val="10"/>
            <color indexed="39"/>
            <rFont val="ＭＳ ゴシック"/>
            <family val="3"/>
            <charset val="128"/>
          </rPr>
          <t>→</t>
        </r>
        <r>
          <rPr>
            <sz val="6"/>
            <color indexed="39"/>
            <rFont val="ＭＳ ゴシック"/>
            <family val="3"/>
            <charset val="128"/>
          </rPr>
          <t xml:space="preserve"> </t>
        </r>
        <r>
          <rPr>
            <b/>
            <sz val="10"/>
            <color indexed="39"/>
            <rFont val="ＭＳ ゴシック"/>
            <family val="3"/>
            <charset val="128"/>
          </rPr>
          <t>Lx</t>
        </r>
        <r>
          <rPr>
            <sz val="9"/>
            <color indexed="35"/>
            <rFont val="ＭＳ ゴシック"/>
            <family val="3"/>
            <charset val="128"/>
          </rPr>
          <t xml:space="preserve">
 </t>
        </r>
      </text>
    </comment>
    <comment ref="S12" authorId="0">
      <text>
        <r>
          <rPr>
            <b/>
            <sz val="9"/>
            <color indexed="81"/>
            <rFont val="ＭＳ Ｐゴシック"/>
            <family val="3"/>
            <charset val="128"/>
          </rPr>
          <t xml:space="preserve">　 </t>
        </r>
        <r>
          <rPr>
            <b/>
            <sz val="11"/>
            <color indexed="37"/>
            <rFont val="ＭＳ Ｐ明朝"/>
            <family val="1"/>
            <charset val="128"/>
          </rPr>
          <t>C</t>
        </r>
        <r>
          <rPr>
            <b/>
            <sz val="10"/>
            <color indexed="37"/>
            <rFont val="ＭＳ Ｐ明朝"/>
            <family val="1"/>
            <charset val="128"/>
          </rPr>
          <t xml:space="preserve">oncrete </t>
        </r>
        <r>
          <rPr>
            <b/>
            <sz val="11"/>
            <color indexed="37"/>
            <rFont val="ＭＳ Ｐ明朝"/>
            <family val="1"/>
            <charset val="128"/>
          </rPr>
          <t>p</t>
        </r>
        <r>
          <rPr>
            <b/>
            <sz val="10"/>
            <color indexed="37"/>
            <rFont val="ＭＳ Ｐ明朝"/>
            <family val="1"/>
            <charset val="128"/>
          </rPr>
          <t>ole</t>
        </r>
        <r>
          <rPr>
            <b/>
            <sz val="9"/>
            <color indexed="37"/>
            <rFont val="ＭＳ Ｐ明朝"/>
            <family val="1"/>
            <charset val="128"/>
          </rPr>
          <t xml:space="preserve"> </t>
        </r>
        <r>
          <rPr>
            <b/>
            <sz val="11"/>
            <color indexed="37"/>
            <rFont val="ＭＳ Ｐ明朝"/>
            <family val="1"/>
            <charset val="128"/>
          </rPr>
          <t>の根入れ深さ</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14m柱 以下：柱長さの 1／6 以上</t>
        </r>
        <r>
          <rPr>
            <sz val="12"/>
            <color indexed="9"/>
            <rFont val="Meiryo UI"/>
            <family val="3"/>
            <charset val="128"/>
          </rPr>
          <t xml:space="preserve"> </t>
        </r>
        <r>
          <rPr>
            <sz val="10"/>
            <color indexed="9"/>
            <rFont val="Meiryo UI"/>
            <family val="3"/>
            <charset val="128"/>
          </rPr>
          <t xml:space="preserve">
</t>
        </r>
        <r>
          <rPr>
            <sz val="9"/>
            <color indexed="32"/>
            <rFont val="Meiryo UI"/>
            <family val="3"/>
            <charset val="128"/>
          </rPr>
          <t xml:space="preserve">   15m柱 以上：2.5m 以上
   </t>
        </r>
        <r>
          <rPr>
            <sz val="8"/>
            <color indexed="81"/>
            <rFont val="Meiryo UI"/>
            <family val="3"/>
            <charset val="128"/>
          </rPr>
          <t>技術基準の解釈 第60条、第61条 参照</t>
        </r>
        <r>
          <rPr>
            <sz val="12"/>
            <color indexed="32"/>
            <rFont val="Meiryo UI"/>
            <family val="3"/>
            <charset val="128"/>
          </rPr>
          <t xml:space="preserve"> 
</t>
        </r>
        <r>
          <rPr>
            <sz val="8"/>
            <color indexed="32"/>
            <rFont val="Meiryo UI"/>
            <family val="3"/>
            <charset val="128"/>
          </rPr>
          <t xml:space="preserve"> </t>
        </r>
      </text>
    </comment>
    <comment ref="C25"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Ｂ種接地工事</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高圧側の一線地絡電流が２[A]の</t>
        </r>
        <r>
          <rPr>
            <sz val="12"/>
            <color indexed="32"/>
            <rFont val="Meiryo UI"/>
            <family val="3"/>
            <charset val="128"/>
          </rPr>
          <t xml:space="preserve"> </t>
        </r>
        <r>
          <rPr>
            <sz val="10"/>
            <color indexed="9"/>
            <rFont val="Meiryo UI"/>
            <family val="3"/>
            <charset val="128"/>
          </rPr>
          <t xml:space="preserve">
</t>
        </r>
        <r>
          <rPr>
            <sz val="9"/>
            <color indexed="32"/>
            <rFont val="Meiryo UI"/>
            <family val="3"/>
            <charset val="128"/>
          </rPr>
          <t xml:space="preserve">   場合は 75、150、300[Ω] 以下で
   あればよい。Ｂ種接地抵抗値を必要
   以上に、低くすると低圧地絡事故時、
   低圧側の地絡電流による対地電圧
   が上昇するので配慮して下さい。
   Ｂ種抵抗値を目標値にする方法の</t>
        </r>
        <r>
          <rPr>
            <sz val="12"/>
            <color indexed="32"/>
            <rFont val="Meiryo UI"/>
            <family val="3"/>
            <charset val="128"/>
          </rPr>
          <t xml:space="preserve"> </t>
        </r>
        <r>
          <rPr>
            <sz val="9"/>
            <color indexed="32"/>
            <rFont val="Meiryo UI"/>
            <family val="3"/>
            <charset val="128"/>
          </rPr>
          <t xml:space="preserve">
    一つとして、"抵抗接地" があります。
  </t>
        </r>
        <r>
          <rPr>
            <sz val="9"/>
            <color indexed="81"/>
            <rFont val="Meiryo UI"/>
            <family val="3"/>
            <charset val="128"/>
          </rPr>
          <t xml:space="preserve">   電技解釈 第19～23条 参照</t>
        </r>
        <r>
          <rPr>
            <sz val="12"/>
            <color indexed="81"/>
            <rFont val="Meiryo UI"/>
            <family val="3"/>
            <charset val="128"/>
          </rPr>
          <t xml:space="preserve"> </t>
        </r>
        <r>
          <rPr>
            <sz val="9"/>
            <color indexed="81"/>
            <rFont val="Meiryo UI"/>
            <family val="3"/>
            <charset val="128"/>
          </rPr>
          <t xml:space="preserve">
 </t>
        </r>
      </text>
    </comment>
    <comment ref="C26"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Ｄ種接地工事</t>
        </r>
        <r>
          <rPr>
            <b/>
            <sz val="18"/>
            <color indexed="32"/>
            <rFont val="ＭＳ Ｐ明朝"/>
            <family val="1"/>
            <charset val="128"/>
          </rPr>
          <t xml:space="preserve"> </t>
        </r>
        <r>
          <rPr>
            <b/>
            <sz val="9"/>
            <color indexed="81"/>
            <rFont val="ＭＳ Ｐゴシック"/>
            <family val="3"/>
            <charset val="128"/>
          </rPr>
          <t xml:space="preserve">
</t>
        </r>
        <r>
          <rPr>
            <sz val="9"/>
            <color indexed="32"/>
            <rFont val="Meiryo UI"/>
            <family val="3"/>
            <charset val="128"/>
          </rPr>
          <t xml:space="preserve">   </t>
        </r>
        <r>
          <rPr>
            <b/>
            <sz val="9"/>
            <color indexed="32"/>
            <rFont val="Meiryo UI"/>
            <family val="3"/>
            <charset val="128"/>
          </rPr>
          <t>D</t>
        </r>
        <r>
          <rPr>
            <sz val="9"/>
            <color indexed="32"/>
            <rFont val="Meiryo UI"/>
            <family val="3"/>
            <charset val="128"/>
          </rPr>
          <t>種、</t>
        </r>
        <r>
          <rPr>
            <b/>
            <sz val="9"/>
            <color indexed="32"/>
            <rFont val="Meiryo UI"/>
            <family val="3"/>
            <charset val="128"/>
          </rPr>
          <t>D</t>
        </r>
        <r>
          <rPr>
            <sz val="8"/>
            <color indexed="32"/>
            <rFont val="Meiryo UI"/>
            <family val="3"/>
            <charset val="128"/>
          </rPr>
          <t>E</t>
        </r>
        <r>
          <rPr>
            <sz val="9"/>
            <color indexed="32"/>
            <rFont val="Meiryo UI"/>
            <family val="3"/>
            <charset val="128"/>
          </rPr>
          <t>種 の接地抵抗値は、</t>
        </r>
        <r>
          <rPr>
            <sz val="12"/>
            <color indexed="32"/>
            <rFont val="Meiryo UI"/>
            <family val="3"/>
            <charset val="128"/>
          </rPr>
          <t xml:space="preserve"> </t>
        </r>
        <r>
          <rPr>
            <sz val="9"/>
            <color indexed="32"/>
            <rFont val="Meiryo UI"/>
            <family val="3"/>
            <charset val="128"/>
          </rPr>
          <t xml:space="preserve">
   100、500[Ω] でよいが、低圧
   側の地絡事故時、対地電圧の
   上昇を抑えるために、D種接地
   の接地抵抗値は、小さくする方
   (10～20[Ω]) が望ましい。
 </t>
        </r>
      </text>
    </comment>
    <comment ref="AY31" authorId="0">
      <text>
        <r>
          <rPr>
            <b/>
            <sz val="9"/>
            <color indexed="81"/>
            <rFont val="ＭＳ Ｐゴシック"/>
            <family val="3"/>
            <charset val="128"/>
          </rPr>
          <t>　</t>
        </r>
        <r>
          <rPr>
            <b/>
            <sz val="9"/>
            <color indexed="81"/>
            <rFont val="ＭＳ Ｐ明朝"/>
            <family val="1"/>
            <charset val="128"/>
          </rPr>
          <t xml:space="preserve"> </t>
        </r>
        <r>
          <rPr>
            <b/>
            <sz val="9"/>
            <color indexed="32"/>
            <rFont val="ＭＳ Ｐ明朝"/>
            <family val="1"/>
            <charset val="128"/>
          </rPr>
          <t xml:space="preserve">     </t>
        </r>
        <r>
          <rPr>
            <b/>
            <sz val="11"/>
            <color indexed="37"/>
            <rFont val="ＭＳ Ｐ明朝"/>
            <family val="1"/>
            <charset val="128"/>
          </rPr>
          <t>高圧予備管路</t>
        </r>
        <r>
          <rPr>
            <b/>
            <sz val="16"/>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受電点(引込点)～受変電設備間に、</t>
        </r>
        <r>
          <rPr>
            <sz val="11"/>
            <color indexed="32"/>
            <rFont val="Meiryo UI"/>
            <family val="3"/>
            <charset val="128"/>
          </rPr>
          <t xml:space="preserve"> </t>
        </r>
        <r>
          <rPr>
            <sz val="8"/>
            <color indexed="32"/>
            <rFont val="Meiryo UI"/>
            <family val="3"/>
            <charset val="128"/>
          </rPr>
          <t xml:space="preserve">
   予備管路 "</t>
        </r>
        <r>
          <rPr>
            <sz val="8"/>
            <color indexed="37"/>
            <rFont val="Meiryo UI"/>
            <family val="3"/>
            <charset val="128"/>
          </rPr>
          <t>要</t>
        </r>
        <r>
          <rPr>
            <sz val="8"/>
            <color indexed="32"/>
            <rFont val="Meiryo UI"/>
            <family val="3"/>
            <charset val="128"/>
          </rPr>
          <t>" の場合には、予備管
   路１条 を計上します。</t>
        </r>
      </text>
    </comment>
    <comment ref="BB43" authorId="0">
      <text>
        <r>
          <rPr>
            <b/>
            <sz val="9"/>
            <color indexed="81"/>
            <rFont val="ＭＳ Ｐゴシック"/>
            <family val="3"/>
            <charset val="128"/>
          </rPr>
          <t xml:space="preserve">　 </t>
        </r>
        <r>
          <rPr>
            <b/>
            <sz val="11"/>
            <color indexed="37"/>
            <rFont val="ＭＳ Ｐ明朝"/>
            <family val="1"/>
            <charset val="128"/>
          </rPr>
          <t>実工数電工単価（円）</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シート"原価"： </t>
        </r>
        <r>
          <rPr>
            <sz val="8"/>
            <color indexed="81"/>
            <rFont val="Meiryo UI"/>
            <family val="3"/>
            <charset val="128"/>
          </rPr>
          <t xml:space="preserve">電工単価 </t>
        </r>
        <r>
          <rPr>
            <sz val="8"/>
            <color indexed="32"/>
            <rFont val="Meiryo UI"/>
            <family val="3"/>
            <charset val="128"/>
          </rPr>
          <t>参照</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 xml:space="preserve">    標準電工単価：</t>
        </r>
        <r>
          <rPr>
            <b/>
            <sz val="9"/>
            <color indexed="81"/>
            <rFont val="Times New Roman"/>
            <family val="1"/>
          </rPr>
          <t>6,000,-</t>
        </r>
        <r>
          <rPr>
            <sz val="8"/>
            <color indexed="32"/>
            <rFont val="Meiryo UI"/>
            <family val="3"/>
            <charset val="128"/>
          </rPr>
          <t xml:space="preserve">(円)
 </t>
        </r>
      </text>
    </comment>
    <comment ref="BB45"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配管配線材料</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小計金額の130％を計上</t>
        </r>
        <r>
          <rPr>
            <sz val="12"/>
            <color indexed="32"/>
            <rFont val="Meiryo UI"/>
            <family val="3"/>
            <charset val="128"/>
          </rPr>
          <t xml:space="preserve"> </t>
        </r>
        <r>
          <rPr>
            <sz val="10"/>
            <color indexed="9"/>
            <rFont val="Meiryo UI"/>
            <family val="3"/>
            <charset val="128"/>
          </rPr>
          <t xml:space="preserve">
</t>
        </r>
      </text>
    </comment>
    <comment ref="BB46"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機　器　類</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小計金額の110％を計上</t>
        </r>
        <r>
          <rPr>
            <sz val="12"/>
            <color indexed="9"/>
            <rFont val="Meiryo UI"/>
            <family val="3"/>
            <charset val="128"/>
          </rPr>
          <t xml:space="preserve"> </t>
        </r>
        <r>
          <rPr>
            <sz val="10"/>
            <color indexed="9"/>
            <rFont val="Meiryo UI"/>
            <family val="3"/>
            <charset val="128"/>
          </rPr>
          <t xml:space="preserve">
</t>
        </r>
      </text>
    </comment>
    <comment ref="BB47"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電 工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小計金額の115％を計上</t>
        </r>
        <r>
          <rPr>
            <sz val="12"/>
            <color indexed="32"/>
            <rFont val="Meiryo UI"/>
            <family val="3"/>
            <charset val="128"/>
          </rPr>
          <t xml:space="preserve"> </t>
        </r>
        <r>
          <rPr>
            <sz val="10"/>
            <color indexed="9"/>
            <rFont val="Meiryo UI"/>
            <family val="3"/>
            <charset val="128"/>
          </rPr>
          <t xml:space="preserve">
</t>
        </r>
      </text>
    </comment>
    <comment ref="BB58" authorId="0">
      <text>
        <r>
          <rPr>
            <b/>
            <sz val="9"/>
            <color indexed="81"/>
            <rFont val="ＭＳ Ｐゴシック"/>
            <family val="3"/>
            <charset val="128"/>
          </rPr>
          <t>　</t>
        </r>
        <r>
          <rPr>
            <b/>
            <sz val="11"/>
            <color indexed="37"/>
            <rFont val="ＭＳ Ｐ明朝"/>
            <family val="1"/>
            <charset val="128"/>
          </rPr>
          <t>単価設定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単価-1：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単価-2,3,4：ユーザ登録</t>
        </r>
      </text>
    </comment>
    <comment ref="BB59" authorId="0">
      <text>
        <r>
          <rPr>
            <b/>
            <sz val="9"/>
            <color indexed="81"/>
            <rFont val="ＭＳ Ｐゴシック"/>
            <family val="3"/>
            <charset val="128"/>
          </rPr>
          <t>　</t>
        </r>
        <r>
          <rPr>
            <b/>
            <sz val="11"/>
            <color indexed="37"/>
            <rFont val="ＭＳ Ｐ明朝"/>
            <family val="1"/>
            <charset val="128"/>
          </rPr>
          <t>歩掛設定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歩掛-1：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歩掛-2,3：ユーザ登録</t>
        </r>
      </text>
    </comment>
  </commentList>
</comments>
</file>

<file path=xl/comments5.xml><?xml version="1.0" encoding="utf-8"?>
<comments xmlns="http://schemas.openxmlformats.org/spreadsheetml/2006/main">
  <authors>
    <author>ESE Service</author>
  </authors>
  <commentList>
    <comment ref="D6" authorId="0">
      <text>
        <r>
          <rPr>
            <b/>
            <sz val="9"/>
            <color indexed="81"/>
            <rFont val="ＭＳ Ｐゴシック"/>
            <family val="3"/>
            <charset val="128"/>
          </rPr>
          <t xml:space="preserve">　     </t>
        </r>
        <r>
          <rPr>
            <b/>
            <sz val="9"/>
            <color indexed="81"/>
            <rFont val="ＭＳ Ｐ明朝"/>
            <family val="1"/>
            <charset val="128"/>
          </rPr>
          <t xml:space="preserve">   </t>
        </r>
        <r>
          <rPr>
            <b/>
            <sz val="11"/>
            <color indexed="37"/>
            <rFont val="ＭＳ Ｐ明朝"/>
            <family val="1"/>
            <charset val="128"/>
          </rPr>
          <t>受電方式・受電電圧</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低圧受電：受電電圧 600V未満</t>
        </r>
        <r>
          <rPr>
            <sz val="12"/>
            <color indexed="32"/>
            <rFont val="Meiryo UI"/>
            <family val="3"/>
            <charset val="128"/>
          </rPr>
          <t xml:space="preserve"> </t>
        </r>
        <r>
          <rPr>
            <sz val="9"/>
            <color indexed="32"/>
            <rFont val="Meiryo UI"/>
            <family val="3"/>
            <charset val="128"/>
          </rPr>
          <t xml:space="preserve">
  </t>
        </r>
        <r>
          <rPr>
            <sz val="9"/>
            <color indexed="81"/>
            <rFont val="Meiryo UI"/>
            <family val="3"/>
            <charset val="128"/>
          </rPr>
          <t>■</t>
        </r>
        <r>
          <rPr>
            <sz val="9"/>
            <color indexed="32"/>
            <rFont val="Meiryo UI"/>
            <family val="3"/>
            <charset val="128"/>
          </rPr>
          <t>高圧受電：受電電圧 0.6KV以上、7KV未満</t>
        </r>
        <r>
          <rPr>
            <sz val="12"/>
            <color indexed="32"/>
            <rFont val="Meiryo UI"/>
            <family val="3"/>
            <charset val="128"/>
          </rPr>
          <t xml:space="preserve"> </t>
        </r>
        <r>
          <rPr>
            <sz val="9"/>
            <color indexed="32"/>
            <rFont val="Meiryo UI"/>
            <family val="3"/>
            <charset val="128"/>
          </rPr>
          <t xml:space="preserve">
       受電方式：契約電力</t>
        </r>
        <r>
          <rPr>
            <b/>
            <sz val="9"/>
            <color indexed="32"/>
            <rFont val="Meiryo UI"/>
            <family val="3"/>
            <charset val="128"/>
          </rPr>
          <t>300</t>
        </r>
        <r>
          <rPr>
            <sz val="9"/>
            <color indexed="32"/>
            <rFont val="Meiryo UI"/>
            <family val="3"/>
            <charset val="128"/>
          </rPr>
          <t xml:space="preserve">KW 未満
       </t>
        </r>
        <r>
          <rPr>
            <b/>
            <sz val="9"/>
            <color indexed="81"/>
            <rFont val="Meiryo UI"/>
            <family val="3"/>
            <charset val="128"/>
          </rPr>
          <t>PF-S 受電</t>
        </r>
        <r>
          <rPr>
            <sz val="9"/>
            <color indexed="32"/>
            <rFont val="Meiryo UI"/>
            <family val="3"/>
            <charset val="128"/>
          </rPr>
          <t xml:space="preserve">  PF(Power Fuse)：短絡保護
                      </t>
        </r>
        <r>
          <rPr>
            <sz val="6"/>
            <color indexed="32"/>
            <rFont val="Meiryo UI"/>
            <family val="3"/>
            <charset val="128"/>
          </rPr>
          <t xml:space="preserve"> </t>
        </r>
        <r>
          <rPr>
            <sz val="9"/>
            <color indexed="32"/>
            <rFont val="Meiryo UI"/>
            <family val="3"/>
            <charset val="128"/>
          </rPr>
          <t>S(負荷開閉器)
       受電方式：契約電力</t>
        </r>
        <r>
          <rPr>
            <b/>
            <sz val="9"/>
            <color indexed="32"/>
            <rFont val="Meiryo UI"/>
            <family val="3"/>
            <charset val="128"/>
          </rPr>
          <t>300</t>
        </r>
        <r>
          <rPr>
            <sz val="9"/>
            <color indexed="32"/>
            <rFont val="Meiryo UI"/>
            <family val="3"/>
            <charset val="128"/>
          </rPr>
          <t>KW 以上、</t>
        </r>
        <r>
          <rPr>
            <b/>
            <sz val="9"/>
            <color indexed="32"/>
            <rFont val="Meiryo UI"/>
            <family val="3"/>
            <charset val="128"/>
          </rPr>
          <t>2000</t>
        </r>
        <r>
          <rPr>
            <sz val="9"/>
            <color indexed="32"/>
            <rFont val="Meiryo UI"/>
            <family val="3"/>
            <charset val="128"/>
          </rPr>
          <t>KW 未満</t>
        </r>
        <r>
          <rPr>
            <sz val="12"/>
            <color indexed="32"/>
            <rFont val="Meiryo UI"/>
            <family val="3"/>
            <charset val="128"/>
          </rPr>
          <t xml:space="preserve"> </t>
        </r>
        <r>
          <rPr>
            <sz val="9"/>
            <color indexed="32"/>
            <rFont val="Meiryo UI"/>
            <family val="3"/>
            <charset val="128"/>
          </rPr>
          <t xml:space="preserve">
       </t>
        </r>
        <r>
          <rPr>
            <b/>
            <sz val="9"/>
            <color indexed="81"/>
            <rFont val="Meiryo UI"/>
            <family val="3"/>
            <charset val="128"/>
          </rPr>
          <t>CB 受電</t>
        </r>
        <r>
          <rPr>
            <sz val="9"/>
            <color indexed="32"/>
            <rFont val="Meiryo UI"/>
            <family val="3"/>
            <charset val="128"/>
          </rPr>
          <t xml:space="preserve">  CB(Circuit Breaker)：しゃ断器
</t>
        </r>
        <r>
          <rPr>
            <sz val="9"/>
            <color indexed="81"/>
            <rFont val="Meiryo UI"/>
            <family val="3"/>
            <charset val="128"/>
          </rPr>
          <t xml:space="preserve">  ■特高受電：受電電圧 7KV以上  (</t>
        </r>
        <r>
          <rPr>
            <sz val="9"/>
            <color indexed="37"/>
            <rFont val="Meiryo UI"/>
            <family val="3"/>
            <charset val="128"/>
          </rPr>
          <t>積算対象外です</t>
        </r>
        <r>
          <rPr>
            <sz val="9"/>
            <color indexed="81"/>
            <rFont val="Meiryo UI"/>
            <family val="3"/>
            <charset val="128"/>
          </rPr>
          <t>)</t>
        </r>
        <r>
          <rPr>
            <sz val="14"/>
            <color indexed="81"/>
            <rFont val="Meiryo UI"/>
            <family val="3"/>
            <charset val="128"/>
          </rPr>
          <t xml:space="preserve"> </t>
        </r>
        <r>
          <rPr>
            <sz val="9"/>
            <color indexed="81"/>
            <rFont val="Meiryo UI"/>
            <family val="3"/>
            <charset val="128"/>
          </rPr>
          <t xml:space="preserve">
                   契約電力 </t>
        </r>
        <r>
          <rPr>
            <b/>
            <sz val="9"/>
            <color indexed="81"/>
            <rFont val="Meiryo UI"/>
            <family val="3"/>
            <charset val="128"/>
          </rPr>
          <t>2000</t>
        </r>
        <r>
          <rPr>
            <sz val="9"/>
            <color indexed="81"/>
            <rFont val="Meiryo UI"/>
            <family val="3"/>
            <charset val="128"/>
          </rPr>
          <t>KW 以上</t>
        </r>
        <r>
          <rPr>
            <sz val="9"/>
            <color indexed="32"/>
            <rFont val="Meiryo UI"/>
            <family val="3"/>
            <charset val="128"/>
          </rPr>
          <t xml:space="preserve">
 </t>
        </r>
      </text>
    </comment>
    <comment ref="T11" authorId="0">
      <text>
        <r>
          <rPr>
            <b/>
            <sz val="9"/>
            <color indexed="81"/>
            <rFont val="ＭＳ Ｐゴシック"/>
            <family val="3"/>
            <charset val="128"/>
          </rPr>
          <t xml:space="preserve">       </t>
        </r>
        <r>
          <rPr>
            <b/>
            <sz val="11"/>
            <color indexed="37"/>
            <rFont val="ＭＳ Ｐ明朝"/>
            <family val="1"/>
            <charset val="128"/>
          </rPr>
          <t xml:space="preserve">設 備 容 量  </t>
        </r>
        <r>
          <rPr>
            <b/>
            <sz val="10"/>
            <color indexed="37"/>
            <rFont val="Meiryo UI"/>
            <family val="3"/>
            <charset val="128"/>
          </rPr>
          <t>Dm</t>
        </r>
        <r>
          <rPr>
            <sz val="10"/>
            <color indexed="37"/>
            <rFont val="Meiryo UI"/>
            <family val="3"/>
            <charset val="128"/>
          </rPr>
          <t>=1.00</t>
        </r>
        <r>
          <rPr>
            <b/>
            <sz val="18"/>
            <color indexed="32"/>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xml:space="preserve">    KVA＝{SQRT(</t>
        </r>
        <r>
          <rPr>
            <b/>
            <sz val="10"/>
            <color indexed="81"/>
            <rFont val="Meiryo UI"/>
            <family val="3"/>
            <charset val="128"/>
          </rPr>
          <t>∑</t>
        </r>
        <r>
          <rPr>
            <sz val="9"/>
            <color indexed="81"/>
            <rFont val="Meiryo UI"/>
            <family val="3"/>
            <charset val="128"/>
          </rPr>
          <t>[KW]</t>
        </r>
        <r>
          <rPr>
            <vertAlign val="superscript"/>
            <sz val="10"/>
            <color indexed="81"/>
            <rFont val="Meiryo UI"/>
            <family val="3"/>
            <charset val="128"/>
          </rPr>
          <t>2</t>
        </r>
        <r>
          <rPr>
            <sz val="9"/>
            <color indexed="81"/>
            <rFont val="Meiryo UI"/>
            <family val="3"/>
            <charset val="128"/>
          </rPr>
          <t>+</t>
        </r>
        <r>
          <rPr>
            <b/>
            <sz val="10"/>
            <color indexed="81"/>
            <rFont val="Meiryo UI"/>
            <family val="3"/>
            <charset val="128"/>
          </rPr>
          <t>∑</t>
        </r>
        <r>
          <rPr>
            <sz val="9"/>
            <color indexed="81"/>
            <rFont val="Meiryo UI"/>
            <family val="3"/>
            <charset val="128"/>
          </rPr>
          <t>[KVar]</t>
        </r>
        <r>
          <rPr>
            <vertAlign val="superscript"/>
            <sz val="10"/>
            <color indexed="81"/>
            <rFont val="Meiryo UI"/>
            <family val="3"/>
            <charset val="128"/>
          </rPr>
          <t>2</t>
        </r>
        <r>
          <rPr>
            <sz val="9"/>
            <color indexed="81"/>
            <rFont val="Meiryo UI"/>
            <family val="3"/>
            <charset val="128"/>
          </rPr>
          <t>)}</t>
        </r>
        <r>
          <rPr>
            <sz val="12"/>
            <color indexed="81"/>
            <rFont val="Meiryo UI"/>
            <family val="3"/>
            <charset val="128"/>
          </rPr>
          <t xml:space="preserve"> </t>
        </r>
        <r>
          <rPr>
            <sz val="9"/>
            <color indexed="81"/>
            <rFont val="Meiryo UI"/>
            <family val="3"/>
            <charset val="128"/>
          </rPr>
          <t xml:space="preserve">
    </t>
        </r>
        <r>
          <rPr>
            <sz val="9"/>
            <color indexed="32"/>
            <rFont val="Meiryo UI"/>
            <family val="3"/>
            <charset val="128"/>
          </rPr>
          <t>KVA ：</t>
        </r>
        <r>
          <rPr>
            <sz val="8"/>
            <color indexed="32"/>
            <rFont val="Meiryo UI"/>
            <family val="3"/>
            <charset val="128"/>
          </rPr>
          <t>(ケーブイエー)</t>
        </r>
        <r>
          <rPr>
            <sz val="9"/>
            <color indexed="81"/>
            <rFont val="Meiryo UI"/>
            <family val="3"/>
            <charset val="128"/>
          </rPr>
          <t xml:space="preserve">
    </t>
        </r>
        <r>
          <rPr>
            <sz val="9"/>
            <color indexed="32"/>
            <rFont val="Meiryo UI"/>
            <family val="3"/>
            <charset val="128"/>
          </rPr>
          <t xml:space="preserve">KW  ：有効電力 </t>
        </r>
        <r>
          <rPr>
            <sz val="8"/>
            <color indexed="32"/>
            <rFont val="Meiryo UI"/>
            <family val="3"/>
            <charset val="128"/>
          </rPr>
          <t>(キロワット)</t>
        </r>
        <r>
          <rPr>
            <sz val="14"/>
            <color indexed="32"/>
            <rFont val="Meiryo UI"/>
            <family val="3"/>
            <charset val="128"/>
          </rPr>
          <t xml:space="preserve"> </t>
        </r>
        <r>
          <rPr>
            <sz val="12"/>
            <color indexed="32"/>
            <rFont val="Meiryo UI"/>
            <family val="3"/>
            <charset val="128"/>
          </rPr>
          <t xml:space="preserve">
</t>
        </r>
        <r>
          <rPr>
            <sz val="9"/>
            <color indexed="32"/>
            <rFont val="Meiryo UI"/>
            <family val="3"/>
            <charset val="128"/>
          </rPr>
          <t>　  KVar</t>
        </r>
        <r>
          <rPr>
            <sz val="3"/>
            <color indexed="32"/>
            <rFont val="Meiryo UI"/>
            <family val="3"/>
            <charset val="128"/>
          </rPr>
          <t xml:space="preserve"> </t>
        </r>
        <r>
          <rPr>
            <sz val="9"/>
            <color indexed="32"/>
            <rFont val="Meiryo UI"/>
            <family val="3"/>
            <charset val="128"/>
          </rPr>
          <t xml:space="preserve">：無効電力 </t>
        </r>
        <r>
          <rPr>
            <sz val="8"/>
            <color indexed="32"/>
            <rFont val="Meiryo UI"/>
            <family val="3"/>
            <charset val="128"/>
          </rPr>
          <t>(キロバール)</t>
        </r>
        <r>
          <rPr>
            <sz val="9"/>
            <color indexed="81"/>
            <rFont val="Meiryo UI"/>
            <family val="3"/>
            <charset val="128"/>
          </rPr>
          <t xml:space="preserve">
    </t>
        </r>
        <r>
          <rPr>
            <sz val="8"/>
            <color indexed="81"/>
            <rFont val="Meiryo UI"/>
            <family val="3"/>
            <charset val="128"/>
          </rPr>
          <t xml:space="preserve"> </t>
        </r>
        <r>
          <rPr>
            <sz val="9"/>
            <color indexed="81"/>
            <rFont val="Meiryo UI"/>
            <family val="3"/>
            <charset val="128"/>
          </rPr>
          <t xml:space="preserve"> </t>
        </r>
        <r>
          <rPr>
            <b/>
            <sz val="9"/>
            <color indexed="37"/>
            <rFont val="Meiryo UI"/>
            <family val="3"/>
            <charset val="128"/>
          </rPr>
          <t>Dm</t>
        </r>
        <r>
          <rPr>
            <sz val="9"/>
            <color indexed="81"/>
            <rFont val="Meiryo UI"/>
            <family val="3"/>
            <charset val="128"/>
          </rPr>
          <t>：</t>
        </r>
        <r>
          <rPr>
            <b/>
            <sz val="9"/>
            <color indexed="37"/>
            <rFont val="Meiryo UI"/>
            <family val="3"/>
            <charset val="128"/>
          </rPr>
          <t>D</t>
        </r>
        <r>
          <rPr>
            <sz val="9"/>
            <color indexed="81"/>
            <rFont val="Meiryo UI"/>
            <family val="3"/>
            <charset val="128"/>
          </rPr>
          <t>e</t>
        </r>
        <r>
          <rPr>
            <b/>
            <sz val="9"/>
            <color indexed="37"/>
            <rFont val="Meiryo UI"/>
            <family val="3"/>
            <charset val="128"/>
          </rPr>
          <t>m</t>
        </r>
        <r>
          <rPr>
            <sz val="9"/>
            <color indexed="81"/>
            <rFont val="Meiryo UI"/>
            <family val="3"/>
            <charset val="128"/>
          </rPr>
          <t>and factor(需要率)</t>
        </r>
        <r>
          <rPr>
            <sz val="14"/>
            <color indexed="81"/>
            <rFont val="Meiryo UI"/>
            <family val="3"/>
            <charset val="128"/>
          </rPr>
          <t xml:space="preserve"> </t>
        </r>
        <r>
          <rPr>
            <sz val="9"/>
            <color indexed="81"/>
            <rFont val="Meiryo UI"/>
            <family val="3"/>
            <charset val="128"/>
          </rPr>
          <t xml:space="preserve">
 </t>
        </r>
      </text>
    </comment>
    <comment ref="AL11" authorId="0">
      <text>
        <r>
          <rPr>
            <b/>
            <sz val="9"/>
            <color indexed="81"/>
            <rFont val="ＭＳ Ｐゴシック"/>
            <family val="3"/>
            <charset val="128"/>
          </rPr>
          <t xml:space="preserve">                     </t>
        </r>
        <r>
          <rPr>
            <b/>
            <sz val="11"/>
            <color indexed="37"/>
            <rFont val="ＭＳ Ｐ明朝"/>
            <family val="1"/>
            <charset val="128"/>
          </rPr>
          <t>需 要 容 量</t>
        </r>
        <r>
          <rPr>
            <b/>
            <sz val="18"/>
            <color indexed="32"/>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xml:space="preserve">    DmKVA＝SQRT (</t>
        </r>
        <r>
          <rPr>
            <b/>
            <sz val="10"/>
            <color indexed="81"/>
            <rFont val="Meiryo UI"/>
            <family val="3"/>
            <charset val="128"/>
          </rPr>
          <t>∑</t>
        </r>
        <r>
          <rPr>
            <sz val="9"/>
            <color indexed="81"/>
            <rFont val="Meiryo UI"/>
            <family val="3"/>
            <charset val="128"/>
          </rPr>
          <t>[DmKW]</t>
        </r>
        <r>
          <rPr>
            <vertAlign val="superscript"/>
            <sz val="10"/>
            <color indexed="81"/>
            <rFont val="Meiryo UI"/>
            <family val="3"/>
            <charset val="128"/>
          </rPr>
          <t>2</t>
        </r>
        <r>
          <rPr>
            <sz val="9"/>
            <color indexed="81"/>
            <rFont val="Meiryo UI"/>
            <family val="3"/>
            <charset val="128"/>
          </rPr>
          <t>+</t>
        </r>
        <r>
          <rPr>
            <b/>
            <sz val="10"/>
            <color indexed="81"/>
            <rFont val="Meiryo UI"/>
            <family val="3"/>
            <charset val="128"/>
          </rPr>
          <t>∑</t>
        </r>
        <r>
          <rPr>
            <sz val="9"/>
            <color indexed="81"/>
            <rFont val="Meiryo UI"/>
            <family val="3"/>
            <charset val="128"/>
          </rPr>
          <t>[DmKVar]</t>
        </r>
        <r>
          <rPr>
            <vertAlign val="superscript"/>
            <sz val="10"/>
            <color indexed="81"/>
            <rFont val="Meiryo UI"/>
            <family val="3"/>
            <charset val="128"/>
          </rPr>
          <t>2</t>
        </r>
        <r>
          <rPr>
            <sz val="9"/>
            <color indexed="81"/>
            <rFont val="Meiryo UI"/>
            <family val="3"/>
            <charset val="128"/>
          </rPr>
          <t>）</t>
        </r>
        <r>
          <rPr>
            <sz val="12"/>
            <color indexed="81"/>
            <rFont val="Meiryo UI"/>
            <family val="3"/>
            <charset val="128"/>
          </rPr>
          <t xml:space="preserve"> </t>
        </r>
        <r>
          <rPr>
            <sz val="9"/>
            <color indexed="81"/>
            <rFont val="Meiryo UI"/>
            <family val="3"/>
            <charset val="128"/>
          </rPr>
          <t xml:space="preserve">
    </t>
        </r>
        <r>
          <rPr>
            <sz val="9"/>
            <color indexed="32"/>
            <rFont val="Meiryo UI"/>
            <family val="3"/>
            <charset val="128"/>
          </rPr>
          <t>DmKVA ：需要KVA (デマンド・ケーブイエー)</t>
        </r>
        <r>
          <rPr>
            <sz val="9"/>
            <color indexed="81"/>
            <rFont val="Meiryo UI"/>
            <family val="3"/>
            <charset val="128"/>
          </rPr>
          <t xml:space="preserve">
    </t>
        </r>
        <r>
          <rPr>
            <sz val="9"/>
            <color indexed="32"/>
            <rFont val="Meiryo UI"/>
            <family val="3"/>
            <charset val="128"/>
          </rPr>
          <t>DmKW  ：需要有効電力 (デマンド・キロワット)</t>
        </r>
        <r>
          <rPr>
            <sz val="14"/>
            <color indexed="32"/>
            <rFont val="Meiryo UI"/>
            <family val="3"/>
            <charset val="128"/>
          </rPr>
          <t xml:space="preserve"> </t>
        </r>
        <r>
          <rPr>
            <sz val="12"/>
            <color indexed="32"/>
            <rFont val="Meiryo UI"/>
            <family val="3"/>
            <charset val="128"/>
          </rPr>
          <t xml:space="preserve">
</t>
        </r>
        <r>
          <rPr>
            <sz val="9"/>
            <color indexed="32"/>
            <rFont val="Meiryo UI"/>
            <family val="3"/>
            <charset val="128"/>
          </rPr>
          <t>　  DmKVar</t>
        </r>
        <r>
          <rPr>
            <sz val="3"/>
            <color indexed="32"/>
            <rFont val="Meiryo UI"/>
            <family val="3"/>
            <charset val="128"/>
          </rPr>
          <t xml:space="preserve"> </t>
        </r>
        <r>
          <rPr>
            <sz val="9"/>
            <color indexed="32"/>
            <rFont val="Meiryo UI"/>
            <family val="3"/>
            <charset val="128"/>
          </rPr>
          <t>：需要無効電力 (デマンド・キロバール)</t>
        </r>
        <r>
          <rPr>
            <sz val="9"/>
            <color indexed="81"/>
            <rFont val="Meiryo UI"/>
            <family val="3"/>
            <charset val="128"/>
          </rPr>
          <t xml:space="preserve">
        </t>
        </r>
        <r>
          <rPr>
            <sz val="8"/>
            <color indexed="81"/>
            <rFont val="Meiryo UI"/>
            <family val="3"/>
            <charset val="128"/>
          </rPr>
          <t xml:space="preserve">  </t>
        </r>
        <r>
          <rPr>
            <sz val="9"/>
            <color indexed="81"/>
            <rFont val="Meiryo UI"/>
            <family val="3"/>
            <charset val="128"/>
          </rPr>
          <t xml:space="preserve"> </t>
        </r>
        <r>
          <rPr>
            <b/>
            <sz val="9"/>
            <color indexed="37"/>
            <rFont val="Meiryo UI"/>
            <family val="3"/>
            <charset val="128"/>
          </rPr>
          <t>Dm</t>
        </r>
        <r>
          <rPr>
            <sz val="9"/>
            <color indexed="81"/>
            <rFont val="Meiryo UI"/>
            <family val="3"/>
            <charset val="128"/>
          </rPr>
          <t xml:space="preserve">：Power </t>
        </r>
        <r>
          <rPr>
            <b/>
            <sz val="9"/>
            <color indexed="37"/>
            <rFont val="Meiryo UI"/>
            <family val="3"/>
            <charset val="128"/>
          </rPr>
          <t>d</t>
        </r>
        <r>
          <rPr>
            <sz val="9"/>
            <color indexed="81"/>
            <rFont val="Meiryo UI"/>
            <family val="3"/>
            <charset val="128"/>
          </rPr>
          <t>e</t>
        </r>
        <r>
          <rPr>
            <b/>
            <sz val="9"/>
            <color indexed="37"/>
            <rFont val="Meiryo UI"/>
            <family val="3"/>
            <charset val="128"/>
          </rPr>
          <t>m</t>
        </r>
        <r>
          <rPr>
            <sz val="9"/>
            <color indexed="81"/>
            <rFont val="Meiryo UI"/>
            <family val="3"/>
            <charset val="128"/>
          </rPr>
          <t>and (需要電力)</t>
        </r>
        <r>
          <rPr>
            <sz val="14"/>
            <color indexed="81"/>
            <rFont val="Meiryo UI"/>
            <family val="3"/>
            <charset val="128"/>
          </rPr>
          <t xml:space="preserve"> </t>
        </r>
      </text>
    </comment>
    <comment ref="T12" authorId="0">
      <text>
        <r>
          <rPr>
            <b/>
            <sz val="9"/>
            <color indexed="81"/>
            <rFont val="ＭＳ Ｐゴシック"/>
            <family val="3"/>
            <charset val="128"/>
          </rPr>
          <t xml:space="preserve">                       </t>
        </r>
        <r>
          <rPr>
            <b/>
            <sz val="12"/>
            <color indexed="37"/>
            <rFont val="ＭＳ Ｐ明朝"/>
            <family val="1"/>
            <charset val="128"/>
          </rPr>
          <t>KVA</t>
        </r>
        <r>
          <rPr>
            <sz val="9"/>
            <color indexed="37"/>
            <rFont val="Meiryo UI"/>
            <family val="3"/>
            <charset val="128"/>
          </rPr>
          <t>（皮相電力：ケーブイエー）</t>
        </r>
        <r>
          <rPr>
            <b/>
            <sz val="18"/>
            <color indexed="32"/>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xml:space="preserve">       KVA＝SQRT(</t>
        </r>
        <r>
          <rPr>
            <b/>
            <sz val="10"/>
            <color indexed="81"/>
            <rFont val="Meiryo UI"/>
            <family val="3"/>
            <charset val="128"/>
          </rPr>
          <t>∑</t>
        </r>
        <r>
          <rPr>
            <sz val="9"/>
            <color indexed="81"/>
            <rFont val="Meiryo UI"/>
            <family val="3"/>
            <charset val="128"/>
          </rPr>
          <t>[KW]</t>
        </r>
        <r>
          <rPr>
            <vertAlign val="superscript"/>
            <sz val="10"/>
            <color indexed="81"/>
            <rFont val="Meiryo UI"/>
            <family val="3"/>
            <charset val="128"/>
          </rPr>
          <t>2</t>
        </r>
        <r>
          <rPr>
            <sz val="9"/>
            <color indexed="81"/>
            <rFont val="Meiryo UI"/>
            <family val="3"/>
            <charset val="128"/>
          </rPr>
          <t>+</t>
        </r>
        <r>
          <rPr>
            <b/>
            <sz val="10"/>
            <color indexed="81"/>
            <rFont val="Meiryo UI"/>
            <family val="3"/>
            <charset val="128"/>
          </rPr>
          <t>∑</t>
        </r>
        <r>
          <rPr>
            <sz val="9"/>
            <color indexed="81"/>
            <rFont val="Meiryo UI"/>
            <family val="3"/>
            <charset val="128"/>
          </rPr>
          <t>[KVar]</t>
        </r>
        <r>
          <rPr>
            <vertAlign val="superscript"/>
            <sz val="10"/>
            <color indexed="81"/>
            <rFont val="Meiryo UI"/>
            <family val="3"/>
            <charset val="128"/>
          </rPr>
          <t>2</t>
        </r>
        <r>
          <rPr>
            <sz val="9"/>
            <color indexed="81"/>
            <rFont val="Meiryo UI"/>
            <family val="3"/>
            <charset val="128"/>
          </rPr>
          <t>) ＝ [KW]／cos Φ</t>
        </r>
        <r>
          <rPr>
            <sz val="12"/>
            <color indexed="81"/>
            <rFont val="Meiryo UI"/>
            <family val="3"/>
            <charset val="128"/>
          </rPr>
          <t xml:space="preserve">  </t>
        </r>
        <r>
          <rPr>
            <sz val="9"/>
            <color indexed="81"/>
            <rFont val="Meiryo UI"/>
            <family val="3"/>
            <charset val="128"/>
          </rPr>
          <t xml:space="preserve">    </t>
        </r>
        <r>
          <rPr>
            <sz val="8"/>
            <color indexed="81"/>
            <rFont val="Meiryo UI"/>
            <family val="3"/>
            <charset val="128"/>
          </rPr>
          <t xml:space="preserve">  </t>
        </r>
        <r>
          <rPr>
            <sz val="9"/>
            <color indexed="81"/>
            <rFont val="Meiryo UI"/>
            <family val="3"/>
            <charset val="128"/>
          </rPr>
          <t xml:space="preserve">
       KW：有効電力、  KVar：無効電力、cos Φ：力率 ([KW]／[KVA])
               </t>
        </r>
        <r>
          <rPr>
            <sz val="8"/>
            <color indexed="81"/>
            <rFont val="Meiryo UI"/>
            <family val="3"/>
            <charset val="128"/>
          </rPr>
          <t>SQRT：</t>
        </r>
        <r>
          <rPr>
            <b/>
            <sz val="8"/>
            <color indexed="81"/>
            <rFont val="Meiryo UI"/>
            <family val="3"/>
            <charset val="128"/>
          </rPr>
          <t>Sq</t>
        </r>
        <r>
          <rPr>
            <sz val="8"/>
            <color indexed="81"/>
            <rFont val="Meiryo UI"/>
            <family val="3"/>
            <charset val="128"/>
          </rPr>
          <t xml:space="preserve">uare </t>
        </r>
        <r>
          <rPr>
            <b/>
            <sz val="8"/>
            <color indexed="81"/>
            <rFont val="Meiryo UI"/>
            <family val="3"/>
            <charset val="128"/>
          </rPr>
          <t>r</t>
        </r>
        <r>
          <rPr>
            <sz val="8"/>
            <color indexed="81"/>
            <rFont val="Meiryo UI"/>
            <family val="3"/>
            <charset val="128"/>
          </rPr>
          <t>oo</t>
        </r>
        <r>
          <rPr>
            <b/>
            <sz val="8"/>
            <color indexed="81"/>
            <rFont val="Meiryo UI"/>
            <family val="3"/>
            <charset val="128"/>
          </rPr>
          <t>t</t>
        </r>
        <r>
          <rPr>
            <sz val="8"/>
            <color indexed="81"/>
            <rFont val="Meiryo UI"/>
            <family val="3"/>
            <charset val="128"/>
          </rPr>
          <t xml:space="preserve"> (平方根)</t>
        </r>
        <r>
          <rPr>
            <sz val="9"/>
            <color indexed="81"/>
            <rFont val="Meiryo UI"/>
            <family val="3"/>
            <charset val="128"/>
          </rPr>
          <t xml:space="preserve">
</t>
        </r>
        <r>
          <rPr>
            <sz val="9"/>
            <color indexed="32"/>
            <rFont val="Meiryo UI"/>
            <family val="3"/>
            <charset val="128"/>
          </rPr>
          <t xml:space="preserve">    </t>
        </r>
        <r>
          <rPr>
            <b/>
            <sz val="9"/>
            <color indexed="37"/>
            <rFont val="Meiryo UI"/>
            <family val="3"/>
            <charset val="128"/>
          </rPr>
          <t>【確認事項】</t>
        </r>
        <r>
          <rPr>
            <sz val="14"/>
            <color indexed="81"/>
            <rFont val="Meiryo UI"/>
            <family val="3"/>
            <charset val="128"/>
          </rPr>
          <t xml:space="preserve"> </t>
        </r>
        <r>
          <rPr>
            <sz val="9"/>
            <color indexed="81"/>
            <rFont val="Meiryo UI"/>
            <family val="3"/>
            <charset val="128"/>
          </rPr>
          <t xml:space="preserve">
</t>
        </r>
        <r>
          <rPr>
            <sz val="9"/>
            <color indexed="32"/>
            <rFont val="Meiryo UI"/>
            <family val="3"/>
            <charset val="128"/>
          </rPr>
          <t xml:space="preserve">      皮相電力[KVA] は、ベクトル・データ(方向性を持つ)です。我国の</t>
        </r>
        <r>
          <rPr>
            <sz val="9"/>
            <color indexed="37"/>
            <rFont val="Meiryo UI"/>
            <family val="3"/>
            <charset val="128"/>
          </rPr>
          <t>建築電気
      設計</t>
        </r>
        <r>
          <rPr>
            <sz val="9"/>
            <color indexed="32"/>
            <rFont val="Meiryo UI"/>
            <family val="3"/>
            <charset val="128"/>
          </rPr>
          <t>では、この力率の異なる[KVA]を</t>
        </r>
        <r>
          <rPr>
            <sz val="9"/>
            <color indexed="81"/>
            <rFont val="Meiryo UI"/>
            <family val="3"/>
            <charset val="128"/>
          </rPr>
          <t>スカラー量</t>
        </r>
        <r>
          <rPr>
            <sz val="9"/>
            <color indexed="32"/>
            <rFont val="Meiryo UI"/>
            <family val="3"/>
            <charset val="128"/>
          </rPr>
          <t xml:space="preserve">として合算し、現場盤の小計
      容量としているため、実際より、数％多めの誤差が生じていて、各変圧器容量
      の決定にも信頼性に欠ける要因となっています。
</t>
        </r>
        <r>
          <rPr>
            <sz val="8.5"/>
            <color indexed="81"/>
            <rFont val="Meiryo UI"/>
            <family val="3"/>
            <charset val="128"/>
          </rPr>
          <t xml:space="preserve">        </t>
        </r>
        <r>
          <rPr>
            <sz val="8.5"/>
            <color indexed="37"/>
            <rFont val="Meiryo UI"/>
            <family val="3"/>
            <charset val="128"/>
          </rPr>
          <t>プラント電装設計</t>
        </r>
        <r>
          <rPr>
            <sz val="8.5"/>
            <color indexed="81"/>
            <rFont val="Meiryo UI"/>
            <family val="3"/>
            <charset val="128"/>
          </rPr>
          <t>では、</t>
        </r>
        <r>
          <rPr>
            <b/>
            <sz val="8.5"/>
            <color indexed="81"/>
            <rFont val="Meiryo UI"/>
            <family val="3"/>
            <charset val="128"/>
          </rPr>
          <t>Load List</t>
        </r>
        <r>
          <rPr>
            <sz val="8.5"/>
            <color indexed="81"/>
            <rFont val="Meiryo UI"/>
            <family val="3"/>
            <charset val="128"/>
          </rPr>
          <t xml:space="preserve"> (電気機器負荷表) により、正しく "KVA" </t>
        </r>
        <r>
          <rPr>
            <sz val="14"/>
            <color indexed="81"/>
            <rFont val="Meiryo UI"/>
            <family val="3"/>
            <charset val="128"/>
          </rPr>
          <t xml:space="preserve"> </t>
        </r>
        <r>
          <rPr>
            <sz val="8.5"/>
            <color indexed="81"/>
            <rFont val="Meiryo UI"/>
            <family val="3"/>
            <charset val="128"/>
          </rPr>
          <t xml:space="preserve">
        が処理されています。
           </t>
        </r>
        <r>
          <rPr>
            <sz val="8"/>
            <color indexed="81"/>
            <rFont val="Meiryo UI"/>
            <family val="3"/>
            <charset val="128"/>
          </rPr>
          <t>スカラー量</t>
        </r>
        <r>
          <rPr>
            <sz val="8"/>
            <color indexed="32"/>
            <rFont val="Meiryo UI"/>
            <family val="3"/>
            <charset val="128"/>
          </rPr>
          <t>：特定の座標系とは無関係な量</t>
        </r>
        <r>
          <rPr>
            <sz val="12"/>
            <color indexed="81"/>
            <rFont val="Meiryo UI"/>
            <family val="3"/>
            <charset val="128"/>
          </rPr>
          <t xml:space="preserve"> </t>
        </r>
        <r>
          <rPr>
            <sz val="8.5"/>
            <color indexed="81"/>
            <rFont val="Meiryo UI"/>
            <family val="3"/>
            <charset val="128"/>
          </rPr>
          <t xml:space="preserve">
 </t>
        </r>
      </text>
    </comment>
    <comment ref="Z12" authorId="0">
      <text>
        <r>
          <rPr>
            <b/>
            <sz val="9"/>
            <color indexed="81"/>
            <rFont val="ＭＳ Ｐゴシック"/>
            <family val="3"/>
            <charset val="128"/>
          </rPr>
          <t xml:space="preserve">      </t>
        </r>
        <r>
          <rPr>
            <b/>
            <sz val="12"/>
            <color indexed="37"/>
            <rFont val="ＭＳ Ｐ明朝"/>
            <family val="1"/>
            <charset val="128"/>
          </rPr>
          <t>W</t>
        </r>
        <r>
          <rPr>
            <sz val="9"/>
            <color indexed="37"/>
            <rFont val="Meiryo UI"/>
            <family val="3"/>
            <charset val="128"/>
          </rPr>
          <t>（有効電力</t>
        </r>
        <r>
          <rPr>
            <sz val="9"/>
            <color indexed="37"/>
            <rFont val="ＭＳ Ｐ明朝"/>
            <family val="1"/>
            <charset val="128"/>
          </rPr>
          <t>)</t>
        </r>
        <r>
          <rPr>
            <sz val="9"/>
            <color indexed="37"/>
            <rFont val="Meiryo UI"/>
            <family val="3"/>
            <charset val="128"/>
          </rPr>
          <t>　</t>
        </r>
        <r>
          <rPr>
            <sz val="10"/>
            <color indexed="37"/>
            <rFont val="Meiryo UI"/>
            <family val="3"/>
            <charset val="128"/>
          </rPr>
          <t>watt：</t>
        </r>
        <r>
          <rPr>
            <sz val="10"/>
            <color indexed="37"/>
            <rFont val="ＭＳ Ｐ明朝"/>
            <family val="1"/>
            <charset val="128"/>
          </rPr>
          <t>(</t>
        </r>
        <r>
          <rPr>
            <sz val="10"/>
            <color indexed="37"/>
            <rFont val="Meiryo UI"/>
            <family val="3"/>
            <charset val="128"/>
          </rPr>
          <t>ワット）</t>
        </r>
        <r>
          <rPr>
            <b/>
            <sz val="18"/>
            <color indexed="32"/>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xml:space="preserve">     W：Ｊ／sec [m</t>
        </r>
        <r>
          <rPr>
            <vertAlign val="superscript"/>
            <sz val="10"/>
            <color indexed="81"/>
            <rFont val="Meiryo UI"/>
            <family val="3"/>
            <charset val="128"/>
          </rPr>
          <t>2</t>
        </r>
        <r>
          <rPr>
            <sz val="9"/>
            <color indexed="81"/>
            <rFont val="Meiryo UI"/>
            <family val="3"/>
            <charset val="128"/>
          </rPr>
          <t>・kg・s</t>
        </r>
        <r>
          <rPr>
            <vertAlign val="superscript"/>
            <sz val="10"/>
            <color indexed="81"/>
            <rFont val="Meiryo UI"/>
            <family val="3"/>
            <charset val="128"/>
          </rPr>
          <t>－3</t>
        </r>
        <r>
          <rPr>
            <sz val="9"/>
            <color indexed="81"/>
            <rFont val="Meiryo UI"/>
            <family val="3"/>
            <charset val="128"/>
          </rPr>
          <t>]</t>
        </r>
        <r>
          <rPr>
            <sz val="14"/>
            <color indexed="81"/>
            <rFont val="Meiryo UI"/>
            <family val="3"/>
            <charset val="128"/>
          </rPr>
          <t xml:space="preserve"> </t>
        </r>
        <r>
          <rPr>
            <sz val="9"/>
            <color indexed="81"/>
            <rFont val="Meiryo UI"/>
            <family val="3"/>
            <charset val="128"/>
          </rPr>
          <t xml:space="preserve">
     Ｊ(joule)：Ｎ・ｍ [m</t>
        </r>
        <r>
          <rPr>
            <vertAlign val="superscript"/>
            <sz val="10"/>
            <color indexed="81"/>
            <rFont val="Meiryo UI"/>
            <family val="3"/>
            <charset val="128"/>
          </rPr>
          <t>2</t>
        </r>
        <r>
          <rPr>
            <sz val="9"/>
            <color indexed="81"/>
            <rFont val="Meiryo UI"/>
            <family val="3"/>
            <charset val="128"/>
          </rPr>
          <t>・kg・s</t>
        </r>
        <r>
          <rPr>
            <vertAlign val="superscript"/>
            <sz val="10"/>
            <color indexed="81"/>
            <rFont val="Meiryo UI"/>
            <family val="3"/>
            <charset val="128"/>
          </rPr>
          <t>－2</t>
        </r>
        <r>
          <rPr>
            <sz val="9"/>
            <color indexed="81"/>
            <rFont val="Meiryo UI"/>
            <family val="3"/>
            <charset val="128"/>
          </rPr>
          <t>] 
　   Ｎ(newton)：Ｊ／ｍ [ｍ・kg・s</t>
        </r>
        <r>
          <rPr>
            <vertAlign val="superscript"/>
            <sz val="10"/>
            <color indexed="81"/>
            <rFont val="Meiryo UI"/>
            <family val="3"/>
            <charset val="128"/>
          </rPr>
          <t>－2</t>
        </r>
        <r>
          <rPr>
            <sz val="9"/>
            <color indexed="81"/>
            <rFont val="Meiryo UI"/>
            <family val="3"/>
            <charset val="128"/>
          </rPr>
          <t xml:space="preserve">]
     </t>
        </r>
        <r>
          <rPr>
            <sz val="9"/>
            <color indexed="37"/>
            <rFont val="Meiryo UI"/>
            <family val="3"/>
            <charset val="128"/>
          </rPr>
          <t>Ｗ：仕事率=100％、電力=100％</t>
        </r>
        <r>
          <rPr>
            <sz val="14"/>
            <color indexed="81"/>
            <rFont val="Meiryo UI"/>
            <family val="3"/>
            <charset val="128"/>
          </rPr>
          <t xml:space="preserve"> 
</t>
        </r>
        <r>
          <rPr>
            <sz val="9"/>
            <color indexed="81"/>
            <rFont val="Meiryo UI"/>
            <family val="3"/>
            <charset val="128"/>
          </rPr>
          <t>　</t>
        </r>
      </text>
    </comment>
    <comment ref="AF12" authorId="0">
      <text>
        <r>
          <rPr>
            <b/>
            <sz val="9"/>
            <color indexed="81"/>
            <rFont val="ＭＳ Ｐゴシック"/>
            <family val="3"/>
            <charset val="128"/>
          </rPr>
          <t xml:space="preserve">      </t>
        </r>
        <r>
          <rPr>
            <b/>
            <sz val="12"/>
            <color indexed="37"/>
            <rFont val="ＭＳ Ｐ明朝"/>
            <family val="1"/>
            <charset val="128"/>
          </rPr>
          <t>ＫVar</t>
        </r>
        <r>
          <rPr>
            <sz val="9"/>
            <color indexed="37"/>
            <rFont val="Meiryo UI"/>
            <family val="3"/>
            <charset val="128"/>
          </rPr>
          <t>（無効電力</t>
        </r>
        <r>
          <rPr>
            <sz val="9"/>
            <color indexed="37"/>
            <rFont val="ＭＳ Ｐ明朝"/>
            <family val="1"/>
            <charset val="128"/>
          </rPr>
          <t>：</t>
        </r>
        <r>
          <rPr>
            <sz val="9"/>
            <color indexed="37"/>
            <rFont val="Meiryo UI"/>
            <family val="3"/>
            <charset val="128"/>
          </rPr>
          <t>キロバール）</t>
        </r>
        <r>
          <rPr>
            <b/>
            <sz val="18"/>
            <color indexed="32"/>
            <rFont val="ＭＳ Ｐゴシック"/>
            <family val="3"/>
            <charset val="128"/>
          </rPr>
          <t xml:space="preserve"> </t>
        </r>
        <r>
          <rPr>
            <b/>
            <sz val="9"/>
            <color indexed="81"/>
            <rFont val="ＭＳ Ｐゴシック"/>
            <family val="3"/>
            <charset val="128"/>
          </rPr>
          <t xml:space="preserve">
</t>
        </r>
        <r>
          <rPr>
            <sz val="9"/>
            <color indexed="81"/>
            <rFont val="Meiryo UI"/>
            <family val="3"/>
            <charset val="128"/>
          </rPr>
          <t xml:space="preserve">    Kvar＝SQRT(</t>
        </r>
        <r>
          <rPr>
            <b/>
            <sz val="10"/>
            <color indexed="81"/>
            <rFont val="Meiryo UI"/>
            <family val="3"/>
            <charset val="128"/>
          </rPr>
          <t>∑</t>
        </r>
        <r>
          <rPr>
            <sz val="9"/>
            <color indexed="81"/>
            <rFont val="Meiryo UI"/>
            <family val="3"/>
            <charset val="128"/>
          </rPr>
          <t>[KVA]</t>
        </r>
        <r>
          <rPr>
            <vertAlign val="superscript"/>
            <sz val="10"/>
            <color indexed="81"/>
            <rFont val="Meiryo UI"/>
            <family val="3"/>
            <charset val="128"/>
          </rPr>
          <t>2</t>
        </r>
        <r>
          <rPr>
            <sz val="9"/>
            <color indexed="81"/>
            <rFont val="Meiryo UI"/>
            <family val="3"/>
            <charset val="128"/>
          </rPr>
          <t>－</t>
        </r>
        <r>
          <rPr>
            <b/>
            <sz val="10"/>
            <color indexed="81"/>
            <rFont val="Meiryo UI"/>
            <family val="3"/>
            <charset val="128"/>
          </rPr>
          <t>∑</t>
        </r>
        <r>
          <rPr>
            <sz val="9"/>
            <color indexed="81"/>
            <rFont val="Meiryo UI"/>
            <family val="3"/>
            <charset val="128"/>
          </rPr>
          <t>[KW]</t>
        </r>
        <r>
          <rPr>
            <vertAlign val="superscript"/>
            <sz val="10"/>
            <color indexed="81"/>
            <rFont val="Meiryo UI"/>
            <family val="3"/>
            <charset val="128"/>
          </rPr>
          <t>2</t>
        </r>
        <r>
          <rPr>
            <sz val="9"/>
            <color indexed="81"/>
            <rFont val="Meiryo UI"/>
            <family val="3"/>
            <charset val="128"/>
          </rPr>
          <t>)</t>
        </r>
        <r>
          <rPr>
            <sz val="14"/>
            <color indexed="81"/>
            <rFont val="Meiryo UI"/>
            <family val="3"/>
            <charset val="128"/>
          </rPr>
          <t xml:space="preserve"> </t>
        </r>
        <r>
          <rPr>
            <sz val="9"/>
            <color indexed="81"/>
            <rFont val="Meiryo UI"/>
            <family val="3"/>
            <charset val="128"/>
          </rPr>
          <t xml:space="preserve">
    </t>
        </r>
        <r>
          <rPr>
            <sz val="9"/>
            <color indexed="37"/>
            <rFont val="Meiryo UI"/>
            <family val="3"/>
            <charset val="128"/>
          </rPr>
          <t>Kvar：仕事率＝0％、電力＝0％</t>
        </r>
        <r>
          <rPr>
            <sz val="10"/>
            <color indexed="32"/>
            <rFont val="Meiryo UI"/>
            <family val="3"/>
            <charset val="128"/>
          </rPr>
          <t xml:space="preserve"> </t>
        </r>
        <r>
          <rPr>
            <sz val="9"/>
            <color indexed="81"/>
            <rFont val="Meiryo UI"/>
            <family val="3"/>
            <charset val="128"/>
          </rPr>
          <t xml:space="preserve">
　</t>
        </r>
      </text>
    </comment>
    <comment ref="BG39" authorId="0">
      <text>
        <r>
          <rPr>
            <b/>
            <sz val="9"/>
            <color indexed="81"/>
            <rFont val="ＭＳ Ｐゴシック"/>
            <family val="3"/>
            <charset val="128"/>
          </rPr>
          <t xml:space="preserve">       </t>
        </r>
        <r>
          <rPr>
            <b/>
            <sz val="12"/>
            <color indexed="37"/>
            <rFont val="ＭＳ Ｐ明朝"/>
            <family val="1"/>
            <charset val="128"/>
          </rPr>
          <t xml:space="preserve"> </t>
        </r>
        <r>
          <rPr>
            <b/>
            <sz val="12"/>
            <color indexed="37"/>
            <rFont val="ＭＳ Ｐゴシック"/>
            <family val="3"/>
            <charset val="128"/>
          </rPr>
          <t xml:space="preserve">   </t>
        </r>
        <r>
          <rPr>
            <b/>
            <sz val="12"/>
            <color indexed="37"/>
            <rFont val="ＭＳ Ｐ明朝"/>
            <family val="1"/>
            <charset val="128"/>
          </rPr>
          <t xml:space="preserve"> 変圧器 負荷率-(1)</t>
        </r>
        <r>
          <rPr>
            <b/>
            <sz val="18"/>
            <color indexed="32"/>
            <rFont val="ＭＳ Ｐゴシック"/>
            <family val="3"/>
            <charset val="128"/>
          </rPr>
          <t xml:space="preserve"> </t>
        </r>
        <r>
          <rPr>
            <b/>
            <sz val="9"/>
            <color indexed="81"/>
            <rFont val="ＭＳ Ｐゴシック"/>
            <family val="3"/>
            <charset val="128"/>
          </rPr>
          <t xml:space="preserve">
</t>
        </r>
        <r>
          <rPr>
            <sz val="9"/>
            <color indexed="32"/>
            <rFont val="Meiryo UI"/>
            <family val="3"/>
            <charset val="128"/>
          </rPr>
          <t xml:space="preserve">    変圧器の定格出力に対する負荷の割合を言い</t>
        </r>
        <r>
          <rPr>
            <sz val="12"/>
            <color indexed="32"/>
            <rFont val="Meiryo UI"/>
            <family val="3"/>
            <charset val="128"/>
          </rPr>
          <t xml:space="preserve"> </t>
        </r>
        <r>
          <rPr>
            <sz val="9"/>
            <color indexed="32"/>
            <rFont val="Meiryo UI"/>
            <family val="3"/>
            <charset val="128"/>
          </rPr>
          <t xml:space="preserve">
    ます。 この定格出力とは、周囲温度が 25[℃]
　  のときに100％であり、周囲温度変化により定格
    出力は、増減します。
　  変圧器を効率よく運転するためには、損失のベー</t>
        </r>
        <r>
          <rPr>
            <sz val="14"/>
            <color indexed="32"/>
            <rFont val="Meiryo UI"/>
            <family val="3"/>
            <charset val="128"/>
          </rPr>
          <t>　</t>
        </r>
        <r>
          <rPr>
            <sz val="9"/>
            <color indexed="32"/>
            <rFont val="Meiryo UI"/>
            <family val="3"/>
            <charset val="128"/>
          </rPr>
          <t xml:space="preserve">
    スである鉄損 </t>
        </r>
        <r>
          <rPr>
            <sz val="8"/>
            <color indexed="32"/>
            <rFont val="Meiryo UI"/>
            <family val="3"/>
            <charset val="128"/>
          </rPr>
          <t xml:space="preserve">(Iron loss) </t>
        </r>
        <r>
          <rPr>
            <sz val="9"/>
            <color indexed="32"/>
            <rFont val="Meiryo UI"/>
            <family val="3"/>
            <charset val="128"/>
          </rPr>
          <t xml:space="preserve">と負荷に応じた銅損
　  </t>
        </r>
        <r>
          <rPr>
            <sz val="8"/>
            <color indexed="32"/>
            <rFont val="Meiryo UI"/>
            <family val="3"/>
            <charset val="128"/>
          </rPr>
          <t xml:space="preserve">(Copper loss) </t>
        </r>
        <r>
          <rPr>
            <sz val="9"/>
            <color indexed="32"/>
            <rFont val="Meiryo UI"/>
            <family val="3"/>
            <charset val="128"/>
          </rPr>
          <t>を考慮し、変圧器電圧変動率を
    増大させないために、"負荷率" を、</t>
        </r>
        <r>
          <rPr>
            <b/>
            <sz val="9"/>
            <color indexed="81"/>
            <rFont val="Meiryo UI"/>
            <family val="3"/>
            <charset val="128"/>
          </rPr>
          <t>50</t>
        </r>
        <r>
          <rPr>
            <sz val="9"/>
            <color indexed="81"/>
            <rFont val="Meiryo UI"/>
            <family val="3"/>
            <charset val="128"/>
          </rPr>
          <t>～</t>
        </r>
        <r>
          <rPr>
            <b/>
            <sz val="9"/>
            <color indexed="81"/>
            <rFont val="Meiryo UI"/>
            <family val="3"/>
            <charset val="128"/>
          </rPr>
          <t xml:space="preserve">70 </t>
        </r>
        <r>
          <rPr>
            <sz val="9"/>
            <color indexed="32"/>
            <rFont val="Meiryo UI"/>
            <family val="3"/>
            <charset val="128"/>
          </rPr>
          <t xml:space="preserve">％
    に選定することが望ましい。
 </t>
        </r>
      </text>
    </comment>
    <comment ref="BG45" authorId="0">
      <text>
        <r>
          <rPr>
            <b/>
            <sz val="9"/>
            <color indexed="81"/>
            <rFont val="ＭＳ Ｐゴシック"/>
            <family val="3"/>
            <charset val="128"/>
          </rPr>
          <t xml:space="preserve">       </t>
        </r>
        <r>
          <rPr>
            <b/>
            <sz val="12"/>
            <color indexed="37"/>
            <rFont val="ＭＳ Ｐゴシック"/>
            <family val="3"/>
            <charset val="128"/>
          </rPr>
          <t xml:space="preserve">    </t>
        </r>
        <r>
          <rPr>
            <b/>
            <sz val="12"/>
            <color indexed="37"/>
            <rFont val="ＭＳ Ｐ明朝"/>
            <family val="1"/>
            <charset val="128"/>
          </rPr>
          <t xml:space="preserve"> 変圧器 負荷率-(2)</t>
        </r>
        <r>
          <rPr>
            <b/>
            <sz val="18"/>
            <color indexed="32"/>
            <rFont val="ＭＳ Ｐゴシック"/>
            <family val="3"/>
            <charset val="128"/>
          </rPr>
          <t xml:space="preserve"> </t>
        </r>
        <r>
          <rPr>
            <b/>
            <sz val="9"/>
            <color indexed="81"/>
            <rFont val="ＭＳ Ｐゴシック"/>
            <family val="3"/>
            <charset val="128"/>
          </rPr>
          <t xml:space="preserve">
</t>
        </r>
        <r>
          <rPr>
            <sz val="9"/>
            <color indexed="32"/>
            <rFont val="Meiryo UI"/>
            <family val="3"/>
            <charset val="128"/>
          </rPr>
          <t xml:space="preserve">    動力変圧器の負荷で、大型誘導電動機等の</t>
        </r>
        <r>
          <rPr>
            <sz val="12"/>
            <color indexed="32"/>
            <rFont val="Meiryo UI"/>
            <family val="3"/>
            <charset val="128"/>
          </rPr>
          <t xml:space="preserve"> 
</t>
        </r>
        <r>
          <rPr>
            <sz val="9"/>
            <color indexed="32"/>
            <rFont val="Meiryo UI"/>
            <family val="3"/>
            <charset val="128"/>
          </rPr>
          <t xml:space="preserve">　　大きな始動時電流が流れる場合には、変圧器
    にかかる最大電流を変圧器定格電流の </t>
        </r>
        <r>
          <rPr>
            <b/>
            <sz val="9"/>
            <color indexed="32"/>
            <rFont val="Meiryo UI"/>
            <family val="3"/>
            <charset val="128"/>
          </rPr>
          <t>150</t>
        </r>
        <r>
          <rPr>
            <sz val="9"/>
            <color indexed="32"/>
            <rFont val="Meiryo UI"/>
            <family val="3"/>
            <charset val="128"/>
          </rPr>
          <t xml:space="preserve">
    ％ 以下になるよう考慮して下さい。
    </t>
        </r>
        <r>
          <rPr>
            <b/>
            <sz val="9"/>
            <color indexed="32"/>
            <rFont val="Meiryo UI"/>
            <family val="3"/>
            <charset val="128"/>
          </rPr>
          <t xml:space="preserve">150 </t>
        </r>
        <r>
          <rPr>
            <sz val="9"/>
            <color indexed="32"/>
            <rFont val="Meiryo UI"/>
            <family val="3"/>
            <charset val="128"/>
          </rPr>
          <t>％を超えると、変圧器の耐用年数(油入</t>
        </r>
        <r>
          <rPr>
            <sz val="14"/>
            <color indexed="32"/>
            <rFont val="Meiryo UI"/>
            <family val="3"/>
            <charset val="128"/>
          </rPr>
          <t xml:space="preserve"> </t>
        </r>
        <r>
          <rPr>
            <sz val="9"/>
            <color indexed="32"/>
            <rFont val="Meiryo UI"/>
            <family val="3"/>
            <charset val="128"/>
          </rPr>
          <t xml:space="preserve">
    変圧器</t>
        </r>
        <r>
          <rPr>
            <b/>
            <sz val="9"/>
            <color indexed="32"/>
            <rFont val="Meiryo UI"/>
            <family val="3"/>
            <charset val="128"/>
          </rPr>
          <t>:</t>
        </r>
        <r>
          <rPr>
            <sz val="9"/>
            <color indexed="32"/>
            <rFont val="Meiryo UI"/>
            <family val="3"/>
            <charset val="128"/>
          </rPr>
          <t xml:space="preserve">30年)が低下します。 </t>
        </r>
        <r>
          <rPr>
            <sz val="8"/>
            <color indexed="32"/>
            <rFont val="Meiryo UI"/>
            <family val="3"/>
            <charset val="128"/>
          </rPr>
          <t xml:space="preserve"> [理由]</t>
        </r>
        <r>
          <rPr>
            <sz val="9"/>
            <color indexed="32"/>
            <rFont val="Meiryo UI"/>
            <family val="3"/>
            <charset val="128"/>
          </rPr>
          <t>：過度
    な電磁力による変圧器巻線の絶縁材に、過大
    の圧縮力が加わり、絶縁破壊を早めるからです。
　</t>
        </r>
      </text>
    </comment>
    <comment ref="BC49" authorId="0">
      <text>
        <r>
          <rPr>
            <b/>
            <sz val="9"/>
            <color indexed="81"/>
            <rFont val="ＭＳ Ｐゴシック"/>
            <family val="3"/>
            <charset val="128"/>
          </rPr>
          <t xml:space="preserve">　               </t>
        </r>
        <r>
          <rPr>
            <b/>
            <sz val="11"/>
            <color indexed="37"/>
            <rFont val="ＭＳ Ｐ明朝"/>
            <family val="1"/>
            <charset val="128"/>
          </rPr>
          <t>力率改善とは</t>
        </r>
        <r>
          <rPr>
            <b/>
            <sz val="18"/>
            <color indexed="32"/>
            <rFont val="ＭＳ Ｐ明朝"/>
            <family val="1"/>
            <charset val="128"/>
          </rPr>
          <t xml:space="preserve"> </t>
        </r>
        <r>
          <rPr>
            <b/>
            <sz val="9"/>
            <color indexed="81"/>
            <rFont val="ＭＳ Ｐゴシック"/>
            <family val="3"/>
            <charset val="128"/>
          </rPr>
          <t xml:space="preserve">
</t>
        </r>
        <r>
          <rPr>
            <b/>
            <sz val="8"/>
            <color indexed="32"/>
            <rFont val="Meiryo UI"/>
            <family val="3"/>
            <charset val="128"/>
          </rPr>
          <t xml:space="preserve"> </t>
        </r>
        <r>
          <rPr>
            <sz val="8"/>
            <color indexed="32"/>
            <rFont val="Meiryo UI"/>
            <family val="3"/>
            <charset val="128"/>
          </rPr>
          <t>　  各配電盤の"電流計"、"電圧計"の値は、皮相電流、</t>
        </r>
        <r>
          <rPr>
            <sz val="12"/>
            <color indexed="32"/>
            <rFont val="Meiryo UI"/>
            <family val="3"/>
            <charset val="128"/>
          </rPr>
          <t>　</t>
        </r>
        <r>
          <rPr>
            <sz val="8"/>
            <color indexed="32"/>
            <rFont val="Meiryo UI"/>
            <family val="3"/>
            <charset val="128"/>
          </rPr>
          <t xml:space="preserve">
     皮相電圧です。  皮相電力 [KVA] とは、有効電力
 　　[KW] と無効電力 [Kvar] の "</t>
        </r>
        <r>
          <rPr>
            <b/>
            <sz val="8"/>
            <color indexed="81"/>
            <rFont val="Meiryo UI"/>
            <family val="3"/>
            <charset val="128"/>
          </rPr>
          <t>ベクトル</t>
        </r>
        <r>
          <rPr>
            <b/>
            <sz val="8"/>
            <color indexed="81"/>
            <rFont val="ＭＳ Ｐ明朝"/>
            <family val="1"/>
            <charset val="128"/>
          </rPr>
          <t>和</t>
        </r>
        <r>
          <rPr>
            <sz val="8"/>
            <color indexed="32"/>
            <rFont val="Meiryo UI"/>
            <family val="3"/>
            <charset val="128"/>
          </rPr>
          <t xml:space="preserve">" であり、
     この無効電力分 (一般的に遅れ力率) を減少させて
     全体として有効電力分を多くすることが力率改善です。
</t>
        </r>
        <r>
          <rPr>
            <sz val="8"/>
            <color indexed="81"/>
            <rFont val="Meiryo UI"/>
            <family val="3"/>
            <charset val="128"/>
          </rPr>
          <t xml:space="preserve">  　　　    －[Kvar]＋[Kvar] ⇒ ０</t>
        </r>
        <r>
          <rPr>
            <sz val="10"/>
            <color indexed="81"/>
            <rFont val="Meiryo UI"/>
            <family val="3"/>
            <charset val="128"/>
          </rPr>
          <t xml:space="preserve"> </t>
        </r>
        <r>
          <rPr>
            <sz val="8"/>
            <color indexed="81"/>
            <rFont val="Meiryo UI"/>
            <family val="3"/>
            <charset val="128"/>
          </rPr>
          <t xml:space="preserve">
      －[Kvar]：無効電力 (遅れ力率) 負荷</t>
        </r>
        <r>
          <rPr>
            <sz val="8"/>
            <color indexed="32"/>
            <rFont val="Meiryo UI"/>
            <family val="3"/>
            <charset val="128"/>
          </rPr>
          <t xml:space="preserve">
</t>
        </r>
        <r>
          <rPr>
            <sz val="8"/>
            <color indexed="81"/>
            <rFont val="Meiryo UI"/>
            <family val="3"/>
            <charset val="128"/>
          </rPr>
          <t xml:space="preserve">      ＋[Kvar]：無効電力 (進み力率)</t>
        </r>
        <r>
          <rPr>
            <sz val="8"/>
            <color indexed="32"/>
            <rFont val="Meiryo UI"/>
            <family val="3"/>
            <charset val="128"/>
          </rPr>
          <t xml:space="preserve"> </t>
        </r>
        <r>
          <rPr>
            <sz val="8"/>
            <color indexed="81"/>
            <rFont val="Meiryo UI"/>
            <family val="3"/>
            <charset val="128"/>
          </rPr>
          <t xml:space="preserve">進相コンデンサ
</t>
        </r>
        <r>
          <rPr>
            <sz val="8"/>
            <color indexed="32"/>
            <rFont val="Meiryo UI"/>
            <family val="3"/>
            <charset val="128"/>
          </rPr>
          <t>　 　負荷の無効電力を把握することで、必要な進相コンデ</t>
        </r>
        <r>
          <rPr>
            <sz val="12"/>
            <color indexed="32"/>
            <rFont val="Meiryo UI"/>
            <family val="3"/>
            <charset val="128"/>
          </rPr>
          <t xml:space="preserve"> </t>
        </r>
        <r>
          <rPr>
            <sz val="8"/>
            <color indexed="32"/>
            <rFont val="Meiryo UI"/>
            <family val="3"/>
            <charset val="128"/>
          </rPr>
          <t xml:space="preserve">
     ンサ容量が決定されます。　
     </t>
        </r>
        <r>
          <rPr>
            <sz val="8"/>
            <color indexed="37"/>
            <rFont val="Meiryo UI"/>
            <family val="3"/>
            <charset val="128"/>
          </rPr>
          <t>【確認】</t>
        </r>
        <r>
          <rPr>
            <sz val="8"/>
            <color indexed="81"/>
            <rFont val="Meiryo UI"/>
            <family val="3"/>
            <charset val="128"/>
          </rPr>
          <t xml:space="preserve"> 改善目標を何％にするかは、"SC・SR設備"</t>
        </r>
        <r>
          <rPr>
            <sz val="14"/>
            <color indexed="81"/>
            <rFont val="Meiryo UI"/>
            <family val="3"/>
            <charset val="128"/>
          </rPr>
          <t xml:space="preserve"> </t>
        </r>
        <r>
          <rPr>
            <sz val="8"/>
            <color indexed="81"/>
            <rFont val="Meiryo UI"/>
            <family val="3"/>
            <charset val="128"/>
          </rPr>
          <t xml:space="preserve">
               の初期費用と"力率割引"による電力料金の
               軽減から判断して決定して下さい。
 </t>
        </r>
      </text>
    </comment>
    <comment ref="BC51" authorId="0">
      <text>
        <r>
          <rPr>
            <b/>
            <sz val="9"/>
            <color indexed="81"/>
            <rFont val="ＭＳ Ｐゴシック"/>
            <family val="3"/>
            <charset val="128"/>
          </rPr>
          <t>　</t>
        </r>
        <r>
          <rPr>
            <b/>
            <sz val="11"/>
            <color indexed="37"/>
            <rFont val="ＭＳ Ｐ明朝"/>
            <family val="1"/>
            <charset val="128"/>
          </rPr>
          <t xml:space="preserve">           ＳＣ／ＳＲ％</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 </t>
        </r>
        <r>
          <rPr>
            <b/>
            <sz val="8"/>
            <color indexed="32"/>
            <rFont val="Meiryo UI"/>
            <family val="3"/>
            <charset val="128"/>
          </rPr>
          <t>SC</t>
        </r>
        <r>
          <rPr>
            <sz val="8"/>
            <color indexed="32"/>
            <rFont val="Meiryo UI"/>
            <family val="3"/>
            <charset val="128"/>
          </rPr>
          <t>：電力コンデンサー (Power Capacitor)</t>
        </r>
        <r>
          <rPr>
            <sz val="12"/>
            <color indexed="32"/>
            <rFont val="Meiryo UI"/>
            <family val="3"/>
            <charset val="128"/>
          </rPr>
          <t>　</t>
        </r>
        <r>
          <rPr>
            <sz val="8"/>
            <color indexed="32"/>
            <rFont val="Meiryo UI"/>
            <family val="3"/>
            <charset val="128"/>
          </rPr>
          <t xml:space="preserve">
　   </t>
        </r>
        <r>
          <rPr>
            <b/>
            <sz val="8"/>
            <color indexed="32"/>
            <rFont val="Meiryo UI"/>
            <family val="3"/>
            <charset val="128"/>
          </rPr>
          <t>SR</t>
        </r>
        <r>
          <rPr>
            <sz val="8"/>
            <color indexed="32"/>
            <rFont val="Meiryo UI"/>
            <family val="3"/>
            <charset val="128"/>
          </rPr>
          <t xml:space="preserve">：直列リアクトル (Series Reactor)
 </t>
        </r>
        <r>
          <rPr>
            <sz val="8"/>
            <color indexed="81"/>
            <rFont val="Meiryo UI"/>
            <family val="3"/>
            <charset val="128"/>
          </rPr>
          <t xml:space="preserve">    </t>
        </r>
        <r>
          <rPr>
            <b/>
            <sz val="8"/>
            <color indexed="81"/>
            <rFont val="Meiryo UI"/>
            <family val="3"/>
            <charset val="128"/>
          </rPr>
          <t>SC</t>
        </r>
        <r>
          <rPr>
            <sz val="8"/>
            <color indexed="81"/>
            <rFont val="Meiryo UI"/>
            <family val="3"/>
            <charset val="128"/>
          </rPr>
          <t xml:space="preserve"> の設置目的</t>
        </r>
        <r>
          <rPr>
            <sz val="12"/>
            <color indexed="81"/>
            <rFont val="Meiryo UI"/>
            <family val="3"/>
            <charset val="128"/>
          </rPr>
          <t xml:space="preserve"> </t>
        </r>
        <r>
          <rPr>
            <sz val="8"/>
            <color indexed="81"/>
            <rFont val="Meiryo UI"/>
            <family val="3"/>
            <charset val="128"/>
          </rPr>
          <t xml:space="preserve">
       ■電源側：全負荷の力率を改善し、配電用
                      電力変圧器を効率よく運転する。
       ■負荷側：個別負荷の力率を改善し、低圧
                      幹線の線路電圧降下の"低減"と
                      現場盤の一次電圧を"上昇"する。
     </t>
        </r>
        <r>
          <rPr>
            <b/>
            <sz val="8"/>
            <color indexed="81"/>
            <rFont val="Meiryo UI"/>
            <family val="3"/>
            <charset val="128"/>
          </rPr>
          <t>SR</t>
        </r>
        <r>
          <rPr>
            <sz val="8"/>
            <color indexed="81"/>
            <rFont val="Meiryo UI"/>
            <family val="3"/>
            <charset val="128"/>
          </rPr>
          <t xml:space="preserve"> の設置目的
       ■SC運転時に発生する"高調波成分"による
          波形歪の低減と"SC投入電流"の抑制。
       ■三相回路の"第５高調波"に対して誘導性
          とするために６％(4％以上)、高調波による
          SC回路の過電流抑制・高調波成分が多い
          場合には 13％ を設置する。
  </t>
        </r>
      </text>
    </comment>
    <comment ref="D53"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 xml:space="preserve">  契約電力[KW]</t>
        </r>
        <r>
          <rPr>
            <b/>
            <sz val="18"/>
            <color indexed="32"/>
            <rFont val="ＭＳ Ｐ明朝"/>
            <family val="1"/>
            <charset val="128"/>
          </rPr>
          <t xml:space="preserve"> </t>
        </r>
        <r>
          <rPr>
            <b/>
            <sz val="9"/>
            <color indexed="81"/>
            <rFont val="ＭＳ Ｐゴシック"/>
            <family val="3"/>
            <charset val="128"/>
          </rPr>
          <t xml:space="preserve">
</t>
        </r>
        <r>
          <rPr>
            <sz val="8"/>
            <color indexed="32"/>
            <rFont val="Meiryo UI"/>
            <family val="3"/>
            <charset val="128"/>
          </rPr>
          <t xml:space="preserve">    </t>
        </r>
        <r>
          <rPr>
            <b/>
            <sz val="9"/>
            <color indexed="81"/>
            <rFont val="Meiryo UI"/>
            <family val="3"/>
            <charset val="128"/>
          </rPr>
          <t>低圧受電</t>
        </r>
        <r>
          <rPr>
            <sz val="12"/>
            <color indexed="32"/>
            <rFont val="Meiryo UI"/>
            <family val="3"/>
            <charset val="128"/>
          </rPr>
          <t xml:space="preserve"> </t>
        </r>
        <r>
          <rPr>
            <sz val="8"/>
            <color indexed="32"/>
            <rFont val="Meiryo UI"/>
            <family val="3"/>
            <charset val="128"/>
          </rPr>
          <t xml:space="preserve">
      ≒INT(84.6×[設備KW]／100)
    </t>
        </r>
        <r>
          <rPr>
            <b/>
            <sz val="9"/>
            <color indexed="81"/>
            <rFont val="Meiryo UI"/>
            <family val="3"/>
            <charset val="128"/>
          </rPr>
          <t>高圧受電</t>
        </r>
        <r>
          <rPr>
            <sz val="8"/>
            <color indexed="81"/>
            <rFont val="Meiryo UI"/>
            <family val="3"/>
            <charset val="128"/>
          </rPr>
          <t xml:space="preserve"> [KW]</t>
        </r>
        <r>
          <rPr>
            <sz val="12"/>
            <color indexed="81"/>
            <rFont val="Meiryo UI"/>
            <family val="3"/>
            <charset val="128"/>
          </rPr>
          <t xml:space="preserve"> </t>
        </r>
        <r>
          <rPr>
            <sz val="8"/>
            <color indexed="32"/>
            <rFont val="Meiryo UI"/>
            <family val="3"/>
            <charset val="128"/>
          </rPr>
          <t xml:space="preserve">
      合計変圧器容量＝</t>
        </r>
        <r>
          <rPr>
            <b/>
            <sz val="8"/>
            <color indexed="32"/>
            <rFont val="Meiryo UI"/>
            <family val="3"/>
            <charset val="128"/>
          </rPr>
          <t>TR</t>
        </r>
        <r>
          <rPr>
            <sz val="8"/>
            <color indexed="32"/>
            <rFont val="Meiryo UI"/>
            <family val="3"/>
            <charset val="128"/>
          </rPr>
          <t>[KVA] とすると、
        TR＜50[KVA]  ：0.8×</t>
        </r>
        <r>
          <rPr>
            <b/>
            <sz val="8"/>
            <color indexed="32"/>
            <rFont val="Meiryo UI"/>
            <family val="3"/>
            <charset val="128"/>
          </rPr>
          <t>TR</t>
        </r>
        <r>
          <rPr>
            <sz val="8"/>
            <color indexed="32"/>
            <rFont val="Meiryo UI"/>
            <family val="3"/>
            <charset val="128"/>
          </rPr>
          <t xml:space="preserve">
        50＜TR＜100</t>
        </r>
        <r>
          <rPr>
            <sz val="6"/>
            <color indexed="32"/>
            <rFont val="Meiryo UI"/>
            <family val="3"/>
            <charset val="128"/>
          </rPr>
          <t xml:space="preserve">   </t>
        </r>
        <r>
          <rPr>
            <sz val="8"/>
            <color indexed="32"/>
            <rFont val="Meiryo UI"/>
            <family val="3"/>
            <charset val="128"/>
          </rPr>
          <t>：0.7×(</t>
        </r>
        <r>
          <rPr>
            <b/>
            <sz val="8"/>
            <color indexed="32"/>
            <rFont val="Meiryo UI"/>
            <family val="3"/>
            <charset val="128"/>
          </rPr>
          <t>TR</t>
        </r>
        <r>
          <rPr>
            <sz val="8"/>
            <color indexed="32"/>
            <rFont val="Meiryo UI"/>
            <family val="3"/>
            <charset val="128"/>
          </rPr>
          <t>－ 50)+40
      100＜TR＜300</t>
        </r>
        <r>
          <rPr>
            <sz val="6"/>
            <color indexed="32"/>
            <rFont val="Meiryo UI"/>
            <family val="3"/>
            <charset val="128"/>
          </rPr>
          <t xml:space="preserve">  </t>
        </r>
        <r>
          <rPr>
            <sz val="8"/>
            <color indexed="32"/>
            <rFont val="Meiryo UI"/>
            <family val="3"/>
            <charset val="128"/>
          </rPr>
          <t xml:space="preserve"> ：0.6×(</t>
        </r>
        <r>
          <rPr>
            <b/>
            <sz val="8"/>
            <color indexed="32"/>
            <rFont val="Meiryo UI"/>
            <family val="3"/>
            <charset val="128"/>
          </rPr>
          <t>TR</t>
        </r>
        <r>
          <rPr>
            <sz val="8"/>
            <color indexed="32"/>
            <rFont val="Meiryo UI"/>
            <family val="3"/>
            <charset val="128"/>
          </rPr>
          <t>－100)+35+40
      300＜TR＜600</t>
        </r>
        <r>
          <rPr>
            <sz val="6"/>
            <color indexed="32"/>
            <rFont val="Meiryo UI"/>
            <family val="3"/>
            <charset val="128"/>
          </rPr>
          <t xml:space="preserve">  </t>
        </r>
        <r>
          <rPr>
            <sz val="8"/>
            <color indexed="32"/>
            <rFont val="Meiryo UI"/>
            <family val="3"/>
            <charset val="128"/>
          </rPr>
          <t xml:space="preserve"> ：0.5×(</t>
        </r>
        <r>
          <rPr>
            <b/>
            <sz val="8"/>
            <color indexed="32"/>
            <rFont val="Meiryo UI"/>
            <family val="3"/>
            <charset val="128"/>
          </rPr>
          <t>TR</t>
        </r>
        <r>
          <rPr>
            <sz val="8"/>
            <color indexed="32"/>
            <rFont val="Meiryo UI"/>
            <family val="3"/>
            <charset val="128"/>
          </rPr>
          <t xml:space="preserve">－300)+120+35+40
      600＜TR         </t>
        </r>
        <r>
          <rPr>
            <sz val="6"/>
            <color indexed="32"/>
            <rFont val="Meiryo UI"/>
            <family val="3"/>
            <charset val="128"/>
          </rPr>
          <t xml:space="preserve"> </t>
        </r>
        <r>
          <rPr>
            <sz val="8"/>
            <color indexed="32"/>
            <rFont val="Meiryo UI"/>
            <family val="3"/>
            <charset val="128"/>
          </rPr>
          <t xml:space="preserve"> ：0.4×(</t>
        </r>
        <r>
          <rPr>
            <b/>
            <sz val="8"/>
            <color indexed="32"/>
            <rFont val="Meiryo UI"/>
            <family val="3"/>
            <charset val="128"/>
          </rPr>
          <t>TR</t>
        </r>
        <r>
          <rPr>
            <sz val="8"/>
            <color indexed="32"/>
            <rFont val="Meiryo UI"/>
            <family val="3"/>
            <charset val="128"/>
          </rPr>
          <t>－600)+150+120+35+40
　</t>
        </r>
      </text>
    </comment>
    <comment ref="AQ53" authorId="0">
      <text>
        <r>
          <rPr>
            <b/>
            <sz val="9"/>
            <color indexed="81"/>
            <rFont val="ＭＳ Ｐゴシック"/>
            <family val="3"/>
            <charset val="128"/>
          </rPr>
          <t>　</t>
        </r>
        <r>
          <rPr>
            <b/>
            <sz val="11"/>
            <color indexed="37"/>
            <rFont val="ＭＳ Ｐ明朝"/>
            <family val="1"/>
            <charset val="128"/>
          </rPr>
          <t xml:space="preserve">      基本料金</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欄外右上の各電力会社 URL</t>
        </r>
        <r>
          <rPr>
            <sz val="12"/>
            <color indexed="32"/>
            <rFont val="Meiryo UI"/>
            <family val="3"/>
            <charset val="128"/>
          </rPr>
          <t>　</t>
        </r>
        <r>
          <rPr>
            <sz val="8"/>
            <color indexed="32"/>
            <rFont val="Meiryo UI"/>
            <family val="3"/>
            <charset val="128"/>
          </rPr>
          <t xml:space="preserve">
　  (ホームページ) 契約約款 参照
　 </t>
        </r>
      </text>
    </comment>
    <comment ref="BF53"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力率割引／割増</t>
        </r>
        <r>
          <rPr>
            <b/>
            <sz val="18"/>
            <color indexed="32"/>
            <rFont val="ＭＳ Ｐ明朝"/>
            <family val="1"/>
            <charset val="128"/>
          </rPr>
          <t xml:space="preserve"> </t>
        </r>
        <r>
          <rPr>
            <b/>
            <sz val="9"/>
            <color indexed="81"/>
            <rFont val="ＭＳ Ｐゴシック"/>
            <family val="3"/>
            <charset val="128"/>
          </rPr>
          <t xml:space="preserve">
</t>
        </r>
        <r>
          <rPr>
            <sz val="9"/>
            <color indexed="32"/>
            <rFont val="Meiryo UI"/>
            <family val="3"/>
            <charset val="128"/>
          </rPr>
          <t xml:space="preserve">    1０電力会社共通の制度で月平均</t>
        </r>
        <r>
          <rPr>
            <sz val="12"/>
            <color indexed="32"/>
            <rFont val="Meiryo UI"/>
            <family val="3"/>
            <charset val="128"/>
          </rPr>
          <t xml:space="preserve"> </t>
        </r>
        <r>
          <rPr>
            <sz val="9"/>
            <color indexed="32"/>
            <rFont val="Meiryo UI"/>
            <family val="3"/>
            <charset val="128"/>
          </rPr>
          <t xml:space="preserve">
    力率85％を基準とし、１％単位で
    基本料金に対して割引又は割増を
    する制度です。 (月額料金)
        </t>
        </r>
        <r>
          <rPr>
            <b/>
            <sz val="9"/>
            <color indexed="10"/>
            <rFont val="Meiryo UI"/>
            <family val="3"/>
            <charset val="128"/>
          </rPr>
          <t>赤字:割引</t>
        </r>
        <r>
          <rPr>
            <b/>
            <sz val="9"/>
            <color indexed="32"/>
            <rFont val="Meiryo UI"/>
            <family val="3"/>
            <charset val="128"/>
          </rPr>
          <t xml:space="preserve">、  </t>
        </r>
        <r>
          <rPr>
            <b/>
            <sz val="9"/>
            <color indexed="81"/>
            <rFont val="Meiryo UI"/>
            <family val="3"/>
            <charset val="128"/>
          </rPr>
          <t>黒字:割増</t>
        </r>
        <r>
          <rPr>
            <sz val="12"/>
            <color indexed="32"/>
            <rFont val="Meiryo UI"/>
            <family val="3"/>
            <charset val="128"/>
          </rPr>
          <t xml:space="preserve"> </t>
        </r>
        <r>
          <rPr>
            <sz val="9"/>
            <color indexed="32"/>
            <rFont val="Meiryo UI"/>
            <family val="3"/>
            <charset val="128"/>
          </rPr>
          <t xml:space="preserve">
 </t>
        </r>
      </text>
    </comment>
    <comment ref="D55" authorId="0">
      <text>
        <r>
          <rPr>
            <b/>
            <sz val="9"/>
            <color indexed="81"/>
            <rFont val="ＭＳ Ｐゴシック"/>
            <family val="3"/>
            <charset val="128"/>
          </rPr>
          <t xml:space="preserve">　     </t>
        </r>
        <r>
          <rPr>
            <b/>
            <sz val="9"/>
            <color indexed="81"/>
            <rFont val="ＭＳ Ｐ明朝"/>
            <family val="1"/>
            <charset val="128"/>
          </rPr>
          <t xml:space="preserve"> </t>
        </r>
        <r>
          <rPr>
            <b/>
            <sz val="11"/>
            <color indexed="37"/>
            <rFont val="ＭＳ Ｐ明朝"/>
            <family val="1"/>
            <charset val="128"/>
          </rPr>
          <t>年間電気料金</t>
        </r>
        <r>
          <rPr>
            <b/>
            <sz val="9"/>
            <color indexed="37"/>
            <rFont val="ＭＳ Ｐ明朝"/>
            <family val="1"/>
            <charset val="128"/>
          </rPr>
          <t>（参考値）</t>
        </r>
        <r>
          <rPr>
            <b/>
            <sz val="18"/>
            <color indexed="32"/>
            <rFont val="ＭＳ Ｐ明朝"/>
            <family val="1"/>
            <charset val="128"/>
          </rPr>
          <t xml:space="preserve"> </t>
        </r>
        <r>
          <rPr>
            <b/>
            <sz val="9"/>
            <color indexed="81"/>
            <rFont val="ＭＳ Ｐゴシック"/>
            <family val="3"/>
            <charset val="128"/>
          </rPr>
          <t xml:space="preserve">
</t>
        </r>
        <r>
          <rPr>
            <sz val="9"/>
            <color indexed="81"/>
            <rFont val="ＭＳ Ｐ明朝"/>
            <family val="1"/>
            <charset val="128"/>
          </rPr>
          <t xml:space="preserve">     </t>
        </r>
        <r>
          <rPr>
            <sz val="9"/>
            <color indexed="32"/>
            <rFont val="Meiryo UI"/>
            <family val="3"/>
            <charset val="128"/>
          </rPr>
          <t>高圧受電の 「</t>
        </r>
        <r>
          <rPr>
            <sz val="9"/>
            <color indexed="81"/>
            <rFont val="Meiryo UI"/>
            <family val="3"/>
            <charset val="128"/>
          </rPr>
          <t>想定年間電気料金</t>
        </r>
        <r>
          <rPr>
            <sz val="9"/>
            <color indexed="32"/>
            <rFont val="Meiryo UI"/>
            <family val="3"/>
            <charset val="128"/>
          </rPr>
          <t>」 を表示</t>
        </r>
        <r>
          <rPr>
            <sz val="12"/>
            <color indexed="32"/>
            <rFont val="Meiryo UI"/>
            <family val="3"/>
            <charset val="128"/>
          </rPr>
          <t xml:space="preserve"> </t>
        </r>
        <r>
          <rPr>
            <sz val="9"/>
            <color indexed="32"/>
            <rFont val="Meiryo UI"/>
            <family val="3"/>
            <charset val="128"/>
          </rPr>
          <t xml:space="preserve">
    していす。 実際の料金とは異なる場合があり
    ますので、参考値として、ご了承して下さい。
</t>
        </r>
        <r>
          <rPr>
            <sz val="9"/>
            <color indexed="81"/>
            <rFont val="Meiryo UI"/>
            <family val="3"/>
            <charset val="128"/>
          </rPr>
          <t xml:space="preserve">    この理由は、算定の根拠には、不確定要素</t>
        </r>
        <r>
          <rPr>
            <sz val="12"/>
            <color indexed="81"/>
            <rFont val="Meiryo UI"/>
            <family val="3"/>
            <charset val="128"/>
          </rPr>
          <t xml:space="preserve"> </t>
        </r>
        <r>
          <rPr>
            <sz val="9"/>
            <color indexed="81"/>
            <rFont val="Meiryo UI"/>
            <family val="3"/>
            <charset val="128"/>
          </rPr>
          <t xml:space="preserve">
    があり、想定が難しいこと、及び各電力会社
    の複雑な料金体系があり、電力会社と協議
    をする必要があるからです。</t>
        </r>
        <r>
          <rPr>
            <sz val="9"/>
            <color indexed="32"/>
            <rFont val="Meiryo UI"/>
            <family val="3"/>
            <charset val="128"/>
          </rPr>
          <t xml:space="preserve">
 </t>
        </r>
      </text>
    </comment>
    <comment ref="AY55" authorId="0">
      <text>
        <r>
          <rPr>
            <b/>
            <sz val="9"/>
            <color indexed="81"/>
            <rFont val="ＭＳ Ｐゴシック"/>
            <family val="3"/>
            <charset val="128"/>
          </rPr>
          <t>　</t>
        </r>
        <r>
          <rPr>
            <b/>
            <sz val="11"/>
            <color indexed="37"/>
            <rFont val="ＭＳ Ｐ明朝"/>
            <family val="1"/>
            <charset val="128"/>
          </rPr>
          <t xml:space="preserve">           電力料金</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 この建物の電力使用の "不等率"＝</t>
        </r>
        <r>
          <rPr>
            <b/>
            <sz val="8"/>
            <color indexed="81"/>
            <rFont val="Meiryo UI"/>
            <family val="3"/>
            <charset val="128"/>
          </rPr>
          <t xml:space="preserve">1.5 </t>
        </r>
        <r>
          <rPr>
            <sz val="8"/>
            <color indexed="81"/>
            <rFont val="Meiryo UI"/>
            <family val="3"/>
            <charset val="128"/>
          </rPr>
          <t>と</t>
        </r>
        <r>
          <rPr>
            <sz val="12"/>
            <color indexed="32"/>
            <rFont val="Meiryo UI"/>
            <family val="3"/>
            <charset val="128"/>
          </rPr>
          <t>　</t>
        </r>
        <r>
          <rPr>
            <sz val="8"/>
            <color indexed="32"/>
            <rFont val="Meiryo UI"/>
            <family val="3"/>
            <charset val="128"/>
          </rPr>
          <t xml:space="preserve">
　   想定して算出しています。
     又、働時間外の使用電力は、稼働時の</t>
        </r>
        <r>
          <rPr>
            <b/>
            <sz val="8"/>
            <color indexed="81"/>
            <rFont val="Meiryo UI"/>
            <family val="3"/>
            <charset val="128"/>
          </rPr>
          <t>２</t>
        </r>
        <r>
          <rPr>
            <sz val="8"/>
            <color indexed="32"/>
            <rFont val="Meiryo UI"/>
            <family val="3"/>
            <charset val="128"/>
          </rPr>
          <t xml:space="preserve">％
     (ベース負荷) と想定して算定しています。
</t>
        </r>
        <r>
          <rPr>
            <sz val="8"/>
            <color indexed="81"/>
            <rFont val="Meiryo UI"/>
            <family val="3"/>
            <charset val="128"/>
          </rPr>
          <t xml:space="preserve">      "不等率"：各負荷の最大需要電力</t>
        </r>
        <r>
          <rPr>
            <sz val="12"/>
            <color indexed="81"/>
            <rFont val="Meiryo UI"/>
            <family val="3"/>
            <charset val="128"/>
          </rPr>
          <t xml:space="preserve"> </t>
        </r>
        <r>
          <rPr>
            <sz val="8"/>
            <color indexed="81"/>
            <rFont val="Meiryo UI"/>
            <family val="3"/>
            <charset val="128"/>
          </rPr>
          <t xml:space="preserve">
                     の合計／合成最大需要電力</t>
        </r>
      </text>
    </comment>
    <comment ref="AF61"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ＶＴ（</t>
        </r>
        <r>
          <rPr>
            <b/>
            <sz val="11"/>
            <color indexed="37"/>
            <rFont val="Times New Roman"/>
            <family val="1"/>
          </rPr>
          <t>Voltage Tansformer</t>
        </r>
        <r>
          <rPr>
            <b/>
            <sz val="11"/>
            <color indexed="37"/>
            <rFont val="ＭＳ Ｐ明朝"/>
            <family val="1"/>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計器用変圧器：6600V／110V</t>
        </r>
        <r>
          <rPr>
            <sz val="12"/>
            <color indexed="32"/>
            <rFont val="Meiryo UI"/>
            <family val="3"/>
            <charset val="128"/>
          </rPr>
          <t xml:space="preserve">　
</t>
        </r>
        <r>
          <rPr>
            <sz val="8"/>
            <color indexed="32"/>
            <rFont val="Meiryo UI"/>
            <family val="3"/>
            <charset val="128"/>
          </rPr>
          <t>　</t>
        </r>
      </text>
    </comment>
    <comment ref="AJ61"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VT-T</t>
        </r>
        <r>
          <rPr>
            <b/>
            <sz val="11"/>
            <color indexed="37"/>
            <rFont val="Times New Roman"/>
            <family val="1"/>
          </rPr>
          <t xml:space="preserve"> (VT-Test Terminal)</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 VT用試験端子</t>
        </r>
        <r>
          <rPr>
            <sz val="12"/>
            <color indexed="32"/>
            <rFont val="Meiryo UI"/>
            <family val="3"/>
            <charset val="128"/>
          </rPr>
          <t xml:space="preserve">　
</t>
        </r>
        <r>
          <rPr>
            <sz val="8"/>
            <color indexed="32"/>
            <rFont val="Meiryo UI"/>
            <family val="3"/>
            <charset val="128"/>
          </rPr>
          <t xml:space="preserve"> </t>
        </r>
      </text>
    </comment>
    <comment ref="AN61"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 xml:space="preserve">Ｖ </t>
        </r>
        <r>
          <rPr>
            <b/>
            <sz val="11"/>
            <color indexed="37"/>
            <rFont val="Times New Roman"/>
            <family val="1"/>
          </rPr>
          <t>(Voltmeter)</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電圧計</t>
        </r>
        <r>
          <rPr>
            <sz val="12"/>
            <color indexed="32"/>
            <rFont val="Meiryo UI"/>
            <family val="3"/>
            <charset val="128"/>
          </rPr>
          <t xml:space="preserve"> 
</t>
        </r>
        <r>
          <rPr>
            <sz val="8"/>
            <color indexed="32"/>
            <rFont val="Meiryo UI"/>
            <family val="3"/>
            <charset val="128"/>
          </rPr>
          <t xml:space="preserve"> </t>
        </r>
      </text>
    </comment>
    <comment ref="AR61"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VCT</t>
        </r>
        <r>
          <rPr>
            <b/>
            <sz val="11"/>
            <color indexed="37"/>
            <rFont val="Microsoft JhengHei Light"/>
            <family val="3"/>
            <charset val="128"/>
          </rPr>
          <t>（</t>
        </r>
        <r>
          <rPr>
            <b/>
            <sz val="11"/>
            <color indexed="37"/>
            <rFont val="Times New Roman"/>
            <family val="1"/>
          </rPr>
          <t>Voltage &amp; Current Transformer</t>
        </r>
        <r>
          <rPr>
            <b/>
            <sz val="11"/>
            <color indexed="37"/>
            <rFont val="Microsoft JhengHei Light"/>
            <family val="3"/>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計器用変成器 (電力会社施工取付) </t>
        </r>
        <r>
          <rPr>
            <sz val="12"/>
            <color indexed="32"/>
            <rFont val="Meiryo UI"/>
            <family val="3"/>
            <charset val="128"/>
          </rPr>
          <t xml:space="preserve">　
</t>
        </r>
        <r>
          <rPr>
            <sz val="8"/>
            <color indexed="32"/>
            <rFont val="Meiryo UI"/>
            <family val="3"/>
            <charset val="128"/>
          </rPr>
          <t xml:space="preserve"> </t>
        </r>
      </text>
    </comment>
    <comment ref="AV61" authorId="0">
      <text>
        <r>
          <rPr>
            <b/>
            <sz val="9"/>
            <color indexed="81"/>
            <rFont val="ＭＳ Ｐゴシック"/>
            <family val="3"/>
            <charset val="128"/>
          </rPr>
          <t>　</t>
        </r>
        <r>
          <rPr>
            <b/>
            <sz val="11"/>
            <color indexed="37"/>
            <rFont val="ＭＳ Ｐ明朝"/>
            <family val="1"/>
            <charset val="128"/>
          </rPr>
          <t>ZCT（</t>
        </r>
        <r>
          <rPr>
            <b/>
            <sz val="11"/>
            <color indexed="37"/>
            <rFont val="Times New Roman"/>
            <family val="1"/>
          </rPr>
          <t>Zero phase CT</t>
        </r>
        <r>
          <rPr>
            <b/>
            <sz val="11"/>
            <color indexed="37"/>
            <rFont val="ＭＳ Ｐ明朝"/>
            <family val="1"/>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 零相変流器</t>
        </r>
        <r>
          <rPr>
            <sz val="12"/>
            <color indexed="32"/>
            <rFont val="Meiryo UI"/>
            <family val="3"/>
            <charset val="128"/>
          </rPr>
          <t>　</t>
        </r>
        <r>
          <rPr>
            <sz val="8"/>
            <color indexed="32"/>
            <rFont val="Meiryo UI"/>
            <family val="3"/>
            <charset val="128"/>
          </rPr>
          <t xml:space="preserve">
　</t>
        </r>
      </text>
    </comment>
    <comment ref="AZ61" authorId="0">
      <text>
        <r>
          <rPr>
            <b/>
            <sz val="9"/>
            <color indexed="81"/>
            <rFont val="ＭＳ Ｐゴシック"/>
            <family val="3"/>
            <charset val="128"/>
          </rPr>
          <t>　</t>
        </r>
        <r>
          <rPr>
            <b/>
            <sz val="11"/>
            <color indexed="37"/>
            <rFont val="Times New Roman"/>
            <family val="1"/>
          </rPr>
          <t>Sequence No.51G</t>
        </r>
        <r>
          <rPr>
            <b/>
            <sz val="18"/>
            <color indexed="32"/>
            <rFont val="ＭＳ Ｐ明朝"/>
            <family val="1"/>
            <charset val="128"/>
          </rPr>
          <t xml:space="preserve"> </t>
        </r>
        <r>
          <rPr>
            <b/>
            <sz val="9"/>
            <color indexed="81"/>
            <rFont val="ＭＳ Ｐ明朝"/>
            <family val="1"/>
            <charset val="128"/>
          </rPr>
          <t xml:space="preserve">
   </t>
        </r>
        <r>
          <rPr>
            <b/>
            <sz val="9"/>
            <color indexed="32"/>
            <rFont val="ＭＳ Ｐゴシック"/>
            <family val="3"/>
            <charset val="128"/>
          </rPr>
          <t xml:space="preserve"> </t>
        </r>
        <r>
          <rPr>
            <sz val="9"/>
            <color indexed="32"/>
            <rFont val="Meiryo UI"/>
            <family val="3"/>
            <charset val="128"/>
          </rPr>
          <t>地絡継電器</t>
        </r>
        <r>
          <rPr>
            <sz val="8"/>
            <color indexed="9"/>
            <rFont val="Meiryo UI"/>
            <family val="3"/>
            <charset val="128"/>
          </rPr>
          <t xml:space="preserve">
</t>
        </r>
        <r>
          <rPr>
            <b/>
            <sz val="9"/>
            <color indexed="9"/>
            <rFont val="Meiryo UI"/>
            <family val="3"/>
            <charset val="128"/>
          </rPr>
          <t xml:space="preserve">  </t>
        </r>
        <r>
          <rPr>
            <b/>
            <sz val="11"/>
            <color indexed="37"/>
            <rFont val="Times New Roman"/>
            <family val="1"/>
          </rPr>
          <t>Sequence No.67G</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 </t>
        </r>
        <r>
          <rPr>
            <sz val="9"/>
            <color indexed="32"/>
            <rFont val="Meiryo UI"/>
            <family val="3"/>
            <charset val="128"/>
          </rPr>
          <t xml:space="preserve">地絡方向継電器
 </t>
        </r>
      </text>
    </comment>
    <comment ref="BD61"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ZCT-T</t>
        </r>
        <r>
          <rPr>
            <b/>
            <sz val="11"/>
            <color indexed="37"/>
            <rFont val="Times New Roman"/>
            <family val="1"/>
          </rPr>
          <t xml:space="preserve"> (ZCT-Test Terminal)</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ZCT用試験端子</t>
        </r>
        <r>
          <rPr>
            <sz val="12"/>
            <color indexed="32"/>
            <rFont val="Meiryo UI"/>
            <family val="3"/>
            <charset val="128"/>
          </rPr>
          <t>　</t>
        </r>
        <r>
          <rPr>
            <sz val="8"/>
            <color indexed="32"/>
            <rFont val="Meiryo UI"/>
            <family val="3"/>
            <charset val="128"/>
          </rPr>
          <t xml:space="preserve">
　</t>
        </r>
      </text>
    </comment>
    <comment ref="BH61" authorId="0">
      <text>
        <r>
          <rPr>
            <b/>
            <sz val="9"/>
            <color indexed="81"/>
            <rFont val="ＭＳ Ｐゴシック"/>
            <family val="3"/>
            <charset val="128"/>
          </rPr>
          <t>　</t>
        </r>
        <r>
          <rPr>
            <b/>
            <sz val="9"/>
            <color indexed="81"/>
            <rFont val="ＭＳ Ｐ明朝"/>
            <family val="1"/>
            <charset val="128"/>
          </rPr>
          <t xml:space="preserve"> </t>
        </r>
        <r>
          <rPr>
            <b/>
            <sz val="11"/>
            <color indexed="37"/>
            <rFont val="Times New Roman"/>
            <family val="1"/>
          </rPr>
          <t>Sequence No.27</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交流不足電圧継電器</t>
        </r>
        <r>
          <rPr>
            <sz val="12"/>
            <color indexed="32"/>
            <rFont val="Meiryo UI"/>
            <family val="3"/>
            <charset val="128"/>
          </rPr>
          <t xml:space="preserve">　
</t>
        </r>
        <r>
          <rPr>
            <sz val="8"/>
            <color indexed="32"/>
            <rFont val="Meiryo UI"/>
            <family val="3"/>
            <charset val="128"/>
          </rPr>
          <t xml:space="preserve"> </t>
        </r>
      </text>
    </comment>
    <comment ref="BL61" authorId="0">
      <text>
        <r>
          <rPr>
            <b/>
            <sz val="9"/>
            <color indexed="81"/>
            <rFont val="ＭＳ Ｐゴシック"/>
            <family val="3"/>
            <charset val="128"/>
          </rPr>
          <t>　</t>
        </r>
        <r>
          <rPr>
            <b/>
            <sz val="9"/>
            <color indexed="81"/>
            <rFont val="ＭＳ Ｐ明朝"/>
            <family val="1"/>
            <charset val="128"/>
          </rPr>
          <t xml:space="preserve"> </t>
        </r>
        <r>
          <rPr>
            <b/>
            <sz val="11"/>
            <color indexed="37"/>
            <rFont val="Times New Roman"/>
            <family val="1"/>
          </rPr>
          <t>Sequence No.59</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交流過電圧継電器</t>
        </r>
        <r>
          <rPr>
            <sz val="12"/>
            <color indexed="32"/>
            <rFont val="Meiryo UI"/>
            <family val="3"/>
            <charset val="128"/>
          </rPr>
          <t xml:space="preserve">　
</t>
        </r>
        <r>
          <rPr>
            <sz val="8"/>
            <color indexed="32"/>
            <rFont val="Meiryo UI"/>
            <family val="3"/>
            <charset val="128"/>
          </rPr>
          <t xml:space="preserve"> </t>
        </r>
      </text>
    </comment>
    <comment ref="BP61"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Ｈｚ（</t>
        </r>
        <r>
          <rPr>
            <b/>
            <sz val="11"/>
            <color indexed="37"/>
            <rFont val="Times New Roman"/>
            <family val="1"/>
          </rPr>
          <t>Hertz</t>
        </r>
        <r>
          <rPr>
            <b/>
            <sz val="11"/>
            <color indexed="37"/>
            <rFont val="ＭＳ Ｐ明朝"/>
            <family val="1"/>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周波数計</t>
        </r>
        <r>
          <rPr>
            <sz val="12"/>
            <color indexed="32"/>
            <rFont val="Meiryo UI"/>
            <family val="3"/>
            <charset val="128"/>
          </rPr>
          <t xml:space="preserve">　
</t>
        </r>
        <r>
          <rPr>
            <sz val="8"/>
            <color indexed="32"/>
            <rFont val="Meiryo UI"/>
            <family val="3"/>
            <charset val="128"/>
          </rPr>
          <t xml:space="preserve"> </t>
        </r>
      </text>
    </comment>
    <comment ref="AF63"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ＣＴ（</t>
        </r>
        <r>
          <rPr>
            <b/>
            <sz val="11"/>
            <color indexed="37"/>
            <rFont val="Times New Roman"/>
            <family val="1"/>
          </rPr>
          <t>Current Tansformer</t>
        </r>
        <r>
          <rPr>
            <b/>
            <sz val="11"/>
            <color indexed="37"/>
            <rFont val="ＭＳ Ｐ明朝"/>
            <family val="1"/>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計器用変流器：nnnnA／5A</t>
        </r>
        <r>
          <rPr>
            <sz val="12"/>
            <color indexed="32"/>
            <rFont val="Meiryo UI"/>
            <family val="3"/>
            <charset val="128"/>
          </rPr>
          <t xml:space="preserve">　
</t>
        </r>
        <r>
          <rPr>
            <sz val="8"/>
            <color indexed="32"/>
            <rFont val="Meiryo UI"/>
            <family val="3"/>
            <charset val="128"/>
          </rPr>
          <t xml:space="preserve"> </t>
        </r>
      </text>
    </comment>
    <comment ref="AJ63"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 xml:space="preserve">CT-T </t>
        </r>
        <r>
          <rPr>
            <b/>
            <sz val="11"/>
            <color indexed="37"/>
            <rFont val="Times New Roman"/>
            <family val="1"/>
          </rPr>
          <t>(CT-Test Terminal)</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 CT用試験端子</t>
        </r>
        <r>
          <rPr>
            <sz val="12"/>
            <color indexed="32"/>
            <rFont val="Meiryo UI"/>
            <family val="3"/>
            <charset val="128"/>
          </rPr>
          <t xml:space="preserve">　
</t>
        </r>
        <r>
          <rPr>
            <sz val="8"/>
            <color indexed="32"/>
            <rFont val="Meiryo UI"/>
            <family val="3"/>
            <charset val="128"/>
          </rPr>
          <t xml:space="preserve"> </t>
        </r>
      </text>
    </comment>
    <comment ref="AN63"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 xml:space="preserve">Ａ </t>
        </r>
        <r>
          <rPr>
            <b/>
            <sz val="11"/>
            <color indexed="37"/>
            <rFont val="Times New Roman"/>
            <family val="1"/>
          </rPr>
          <t>(Anmeter)</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電流計</t>
        </r>
        <r>
          <rPr>
            <sz val="12"/>
            <color indexed="32"/>
            <rFont val="Meiryo UI"/>
            <family val="3"/>
            <charset val="128"/>
          </rPr>
          <t xml:space="preserve">　
</t>
        </r>
        <r>
          <rPr>
            <sz val="8"/>
            <color indexed="32"/>
            <rFont val="Meiryo UI"/>
            <family val="3"/>
            <charset val="128"/>
          </rPr>
          <t xml:space="preserve"> </t>
        </r>
      </text>
    </comment>
    <comment ref="AR63" authorId="0">
      <text>
        <r>
          <rPr>
            <b/>
            <sz val="9"/>
            <color indexed="81"/>
            <rFont val="ＭＳ Ｐゴシック"/>
            <family val="3"/>
            <charset val="128"/>
          </rPr>
          <t>　</t>
        </r>
        <r>
          <rPr>
            <b/>
            <sz val="9"/>
            <color indexed="81"/>
            <rFont val="ＭＳ Ｐ明朝"/>
            <family val="1"/>
            <charset val="128"/>
          </rPr>
          <t xml:space="preserve"> </t>
        </r>
        <r>
          <rPr>
            <b/>
            <sz val="11"/>
            <color indexed="37"/>
            <rFont val="Times New Roman"/>
            <family val="1"/>
          </rPr>
          <t>Sequence No.51</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交流過電流継電器</t>
        </r>
        <r>
          <rPr>
            <sz val="12"/>
            <color indexed="32"/>
            <rFont val="Meiryo UI"/>
            <family val="3"/>
            <charset val="128"/>
          </rPr>
          <t xml:space="preserve">　
</t>
        </r>
        <r>
          <rPr>
            <sz val="8"/>
            <color indexed="32"/>
            <rFont val="Meiryo UI"/>
            <family val="3"/>
            <charset val="128"/>
          </rPr>
          <t xml:space="preserve"> </t>
        </r>
      </text>
    </comment>
    <comment ref="AV63" authorId="0">
      <text>
        <r>
          <rPr>
            <b/>
            <sz val="9"/>
            <color indexed="81"/>
            <rFont val="ＭＳ Ｐゴシック"/>
            <family val="3"/>
            <charset val="128"/>
          </rPr>
          <t xml:space="preserve">   </t>
        </r>
        <r>
          <rPr>
            <b/>
            <sz val="11"/>
            <color indexed="37"/>
            <rFont val="ＭＳ Ｐゴシック"/>
            <family val="3"/>
            <charset val="128"/>
          </rPr>
          <t>cos</t>
        </r>
        <r>
          <rPr>
            <b/>
            <sz val="11"/>
            <color indexed="37"/>
            <rFont val="Times New Roman"/>
            <family val="1"/>
          </rPr>
          <t>φ</t>
        </r>
        <r>
          <rPr>
            <b/>
            <sz val="11"/>
            <color indexed="37"/>
            <rFont val="ＭＳ Ｐ明朝"/>
            <family val="1"/>
            <charset val="128"/>
          </rPr>
          <t>（力率計）</t>
        </r>
        <r>
          <rPr>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 cosΦ=KW／Sqrt(∑KW</t>
        </r>
        <r>
          <rPr>
            <vertAlign val="superscript"/>
            <sz val="10"/>
            <color indexed="32"/>
            <rFont val="Meiryo UI"/>
            <family val="3"/>
            <charset val="128"/>
          </rPr>
          <t>2</t>
        </r>
        <r>
          <rPr>
            <sz val="8"/>
            <color indexed="32"/>
            <rFont val="Meiryo UI"/>
            <family val="3"/>
            <charset val="128"/>
          </rPr>
          <t>+∑KVar</t>
        </r>
        <r>
          <rPr>
            <vertAlign val="superscript"/>
            <sz val="10"/>
            <color indexed="32"/>
            <rFont val="Meiryo UI"/>
            <family val="3"/>
            <charset val="128"/>
          </rPr>
          <t>2</t>
        </r>
        <r>
          <rPr>
            <sz val="8"/>
            <color indexed="32"/>
            <rFont val="Meiryo UI"/>
            <family val="3"/>
            <charset val="128"/>
          </rPr>
          <t>)</t>
        </r>
        <r>
          <rPr>
            <sz val="12"/>
            <color indexed="32"/>
            <rFont val="Meiryo UI"/>
            <family val="3"/>
            <charset val="128"/>
          </rPr>
          <t xml:space="preserve">　
</t>
        </r>
        <r>
          <rPr>
            <sz val="8"/>
            <color indexed="32"/>
            <rFont val="Meiryo UI"/>
            <family val="3"/>
            <charset val="128"/>
          </rPr>
          <t xml:space="preserve"> </t>
        </r>
      </text>
    </comment>
    <comment ref="AZ63" authorId="0">
      <text>
        <r>
          <rPr>
            <b/>
            <sz val="9"/>
            <color indexed="81"/>
            <rFont val="ＭＳ Ｐゴシック"/>
            <family val="3"/>
            <charset val="128"/>
          </rPr>
          <t>　</t>
        </r>
        <r>
          <rPr>
            <b/>
            <sz val="9"/>
            <color indexed="81"/>
            <rFont val="ＭＳ Ｐ明朝"/>
            <family val="1"/>
            <charset val="128"/>
          </rPr>
          <t xml:space="preserve"> </t>
        </r>
        <r>
          <rPr>
            <b/>
            <sz val="11"/>
            <color indexed="37"/>
            <rFont val="Times New Roman"/>
            <family val="1"/>
          </rPr>
          <t>Sequence No.55</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自動力率調整継電器</t>
        </r>
        <r>
          <rPr>
            <sz val="12"/>
            <color indexed="32"/>
            <rFont val="Meiryo UI"/>
            <family val="3"/>
            <charset val="128"/>
          </rPr>
          <t xml:space="preserve">　
</t>
        </r>
        <r>
          <rPr>
            <sz val="8"/>
            <color indexed="32"/>
            <rFont val="Meiryo UI"/>
            <family val="3"/>
            <charset val="128"/>
          </rPr>
          <t xml:space="preserve"> </t>
        </r>
      </text>
    </comment>
    <comment ref="BD63" authorId="0">
      <text>
        <r>
          <rPr>
            <b/>
            <sz val="9"/>
            <color indexed="81"/>
            <rFont val="ＭＳ Ｐゴシック"/>
            <family val="3"/>
            <charset val="128"/>
          </rPr>
          <t>　</t>
        </r>
        <r>
          <rPr>
            <b/>
            <sz val="11"/>
            <color indexed="37"/>
            <rFont val="ＭＳ Ｐ明朝"/>
            <family val="1"/>
            <charset val="128"/>
          </rPr>
          <t>ＷＭ（</t>
        </r>
        <r>
          <rPr>
            <b/>
            <sz val="11"/>
            <color indexed="37"/>
            <rFont val="Times New Roman"/>
            <family val="1"/>
          </rPr>
          <t>Watt Meter</t>
        </r>
        <r>
          <rPr>
            <b/>
            <sz val="11"/>
            <color indexed="37"/>
            <rFont val="ＭＳ Ｐ明朝"/>
            <family val="1"/>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 電力計</t>
        </r>
        <r>
          <rPr>
            <sz val="12"/>
            <color indexed="32"/>
            <rFont val="Meiryo UI"/>
            <family val="3"/>
            <charset val="128"/>
          </rPr>
          <t xml:space="preserve">　
</t>
        </r>
        <r>
          <rPr>
            <sz val="8"/>
            <color indexed="32"/>
            <rFont val="Meiryo UI"/>
            <family val="3"/>
            <charset val="128"/>
          </rPr>
          <t xml:space="preserve"> </t>
        </r>
      </text>
    </comment>
    <comment ref="BH63" authorId="0">
      <text>
        <r>
          <rPr>
            <b/>
            <sz val="9"/>
            <color indexed="81"/>
            <rFont val="ＭＳ Ｐゴシック"/>
            <family val="3"/>
            <charset val="128"/>
          </rPr>
          <t>　</t>
        </r>
        <r>
          <rPr>
            <b/>
            <sz val="11"/>
            <color indexed="37"/>
            <rFont val="ＭＳ Ｐ明朝"/>
            <family val="1"/>
            <charset val="128"/>
          </rPr>
          <t>ＷＨＭ（</t>
        </r>
        <r>
          <rPr>
            <b/>
            <sz val="11"/>
            <color indexed="37"/>
            <rFont val="Times New Roman"/>
            <family val="1"/>
          </rPr>
          <t>Watt Hour Meter</t>
        </r>
        <r>
          <rPr>
            <b/>
            <sz val="11"/>
            <color indexed="37"/>
            <rFont val="ＭＳ Ｐ明朝"/>
            <family val="1"/>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電力量計</t>
        </r>
        <r>
          <rPr>
            <sz val="12"/>
            <color indexed="32"/>
            <rFont val="Meiryo UI"/>
            <family val="3"/>
            <charset val="128"/>
          </rPr>
          <t xml:space="preserve">　
</t>
        </r>
        <r>
          <rPr>
            <sz val="8"/>
            <color indexed="32"/>
            <rFont val="Meiryo UI"/>
            <family val="3"/>
            <charset val="128"/>
          </rPr>
          <t xml:space="preserve"> </t>
        </r>
      </text>
    </comment>
    <comment ref="BL63" authorId="0">
      <text>
        <r>
          <rPr>
            <b/>
            <sz val="9"/>
            <color indexed="81"/>
            <rFont val="ＭＳ Ｐゴシック"/>
            <family val="3"/>
            <charset val="128"/>
          </rPr>
          <t>　</t>
        </r>
        <r>
          <rPr>
            <b/>
            <sz val="11"/>
            <color indexed="37"/>
            <rFont val="Times New Roman"/>
            <family val="1"/>
          </rPr>
          <t>VarHW</t>
        </r>
        <r>
          <rPr>
            <b/>
            <sz val="11"/>
            <color indexed="37"/>
            <rFont val="ＭＳ Ｐ明朝"/>
            <family val="1"/>
            <charset val="128"/>
          </rPr>
          <t>（</t>
        </r>
        <r>
          <rPr>
            <b/>
            <sz val="11"/>
            <color indexed="37"/>
            <rFont val="Times New Roman"/>
            <family val="1"/>
          </rPr>
          <t>Var Hour Meter</t>
        </r>
        <r>
          <rPr>
            <b/>
            <sz val="11"/>
            <color indexed="37"/>
            <rFont val="ＭＳ Ｐ明朝"/>
            <family val="1"/>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無効電力量計</t>
        </r>
        <r>
          <rPr>
            <sz val="12"/>
            <color indexed="32"/>
            <rFont val="Meiryo UI"/>
            <family val="3"/>
            <charset val="128"/>
          </rPr>
          <t xml:space="preserve">　
</t>
        </r>
        <r>
          <rPr>
            <sz val="8"/>
            <color indexed="32"/>
            <rFont val="Meiryo UI"/>
            <family val="3"/>
            <charset val="128"/>
          </rPr>
          <t xml:space="preserve"> </t>
        </r>
      </text>
    </comment>
    <comment ref="AI66" authorId="0">
      <text>
        <r>
          <rPr>
            <b/>
            <sz val="9"/>
            <color indexed="81"/>
            <rFont val="ＭＳ Ｐゴシック"/>
            <family val="3"/>
            <charset val="128"/>
          </rPr>
          <t>　</t>
        </r>
        <r>
          <rPr>
            <b/>
            <sz val="11"/>
            <color indexed="37"/>
            <rFont val="ＭＳ Ｐ明朝"/>
            <family val="1"/>
            <charset val="128"/>
          </rPr>
          <t>ＰＦ（</t>
        </r>
        <r>
          <rPr>
            <b/>
            <sz val="11"/>
            <color indexed="37"/>
            <rFont val="Times New Roman"/>
            <family val="1"/>
          </rPr>
          <t>Power Fuse</t>
        </r>
        <r>
          <rPr>
            <b/>
            <sz val="11"/>
            <color indexed="37"/>
            <rFont val="ＭＳ Ｐ明朝"/>
            <family val="1"/>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電力ヒューズ</t>
        </r>
        <r>
          <rPr>
            <sz val="12"/>
            <color indexed="32"/>
            <rFont val="Meiryo UI"/>
            <family val="3"/>
            <charset val="128"/>
          </rPr>
          <t xml:space="preserve"> </t>
        </r>
        <r>
          <rPr>
            <sz val="8"/>
            <color indexed="32"/>
            <rFont val="Meiryo UI"/>
            <family val="3"/>
            <charset val="128"/>
          </rPr>
          <t xml:space="preserve">
 </t>
        </r>
      </text>
    </comment>
    <comment ref="AT66" authorId="0">
      <text>
        <r>
          <rPr>
            <b/>
            <sz val="9"/>
            <color indexed="81"/>
            <rFont val="ＭＳ Ｐゴシック"/>
            <family val="3"/>
            <charset val="128"/>
          </rPr>
          <t>　</t>
        </r>
        <r>
          <rPr>
            <b/>
            <sz val="11"/>
            <color indexed="37"/>
            <rFont val="ＭＳ Ｐ明朝"/>
            <family val="1"/>
            <charset val="128"/>
          </rPr>
          <t>ＶＭＣ</t>
        </r>
        <r>
          <rPr>
            <sz val="9"/>
            <color indexed="37"/>
            <rFont val="Meiryo UI"/>
            <family val="3"/>
            <charset val="128"/>
          </rPr>
          <t>（</t>
        </r>
        <r>
          <rPr>
            <sz val="11"/>
            <color theme="1"/>
            <rFont val="Times New Roman"/>
            <family val="1"/>
          </rPr>
          <t>Vacuum electro-</t>
        </r>
        <r>
          <rPr>
            <sz val="18"/>
            <color indexed="37"/>
            <rFont val="Times New Roman"/>
            <family val="1"/>
          </rPr>
          <t xml:space="preserve">  </t>
        </r>
        <r>
          <rPr>
            <sz val="9"/>
            <color indexed="37"/>
            <rFont val="Times New Roman"/>
            <family val="1"/>
          </rPr>
          <t xml:space="preserve">
              </t>
        </r>
        <r>
          <rPr>
            <sz val="11"/>
            <color theme="1"/>
            <rFont val="Times New Roman"/>
            <family val="1"/>
          </rPr>
          <t>Magnetic Contactor</t>
        </r>
        <r>
          <rPr>
            <sz val="9"/>
            <color indexed="37"/>
            <rFont val="Meiryo UI"/>
            <family val="3"/>
            <charset val="128"/>
          </rPr>
          <t>）</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真空電磁接触器</t>
        </r>
        <r>
          <rPr>
            <sz val="12"/>
            <color indexed="32"/>
            <rFont val="Meiryo UI"/>
            <family val="3"/>
            <charset val="128"/>
          </rPr>
          <t>　</t>
        </r>
      </text>
    </comment>
    <comment ref="BI71" authorId="0">
      <text>
        <r>
          <rPr>
            <b/>
            <sz val="9"/>
            <color indexed="81"/>
            <rFont val="ＭＳ Ｐゴシック"/>
            <family val="3"/>
            <charset val="128"/>
          </rPr>
          <t>　</t>
        </r>
        <r>
          <rPr>
            <b/>
            <sz val="9"/>
            <color indexed="81"/>
            <rFont val="ＭＳ Ｐ明朝"/>
            <family val="1"/>
            <charset val="128"/>
          </rPr>
          <t xml:space="preserve"> </t>
        </r>
        <r>
          <rPr>
            <b/>
            <sz val="11"/>
            <color indexed="37"/>
            <rFont val="Times New Roman"/>
            <family val="1"/>
          </rPr>
          <t>Sequence No.51G</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  低圧地絡過電流継電器</t>
        </r>
        <r>
          <rPr>
            <sz val="12"/>
            <color indexed="32"/>
            <rFont val="Meiryo UI"/>
            <family val="3"/>
            <charset val="128"/>
          </rPr>
          <t xml:space="preserve">　
</t>
        </r>
        <r>
          <rPr>
            <sz val="8"/>
            <color indexed="32"/>
            <rFont val="Meiryo UI"/>
            <family val="3"/>
            <charset val="128"/>
          </rPr>
          <t>　</t>
        </r>
      </text>
    </comment>
    <comment ref="AQ73" authorId="0">
      <text>
        <r>
          <rPr>
            <b/>
            <sz val="9"/>
            <color indexed="81"/>
            <rFont val="ＭＳ Ｐゴシック"/>
            <family val="3"/>
            <charset val="128"/>
          </rPr>
          <t>　</t>
        </r>
        <r>
          <rPr>
            <b/>
            <sz val="9"/>
            <color indexed="81"/>
            <rFont val="ＭＳ Ｐ明朝"/>
            <family val="1"/>
            <charset val="128"/>
          </rPr>
          <t xml:space="preserve"> </t>
        </r>
        <r>
          <rPr>
            <b/>
            <sz val="11"/>
            <color indexed="37"/>
            <rFont val="Times New Roman"/>
            <family val="1"/>
          </rPr>
          <t>Sequence No.26</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81"/>
            <rFont val="ＭＳ Ｐ明朝"/>
            <family val="1"/>
            <charset val="128"/>
          </rPr>
          <t xml:space="preserve">    </t>
        </r>
        <r>
          <rPr>
            <sz val="8"/>
            <color indexed="32"/>
            <rFont val="Meiryo UI"/>
            <family val="3"/>
            <charset val="128"/>
          </rPr>
          <t>静止温度継電器</t>
        </r>
        <r>
          <rPr>
            <sz val="12"/>
            <color indexed="32"/>
            <rFont val="Meiryo UI"/>
            <family val="3"/>
            <charset val="128"/>
          </rPr>
          <t xml:space="preserve">　
</t>
        </r>
        <r>
          <rPr>
            <sz val="9"/>
            <color indexed="32"/>
            <rFont val="Meiryo UI"/>
            <family val="3"/>
            <charset val="128"/>
          </rPr>
          <t xml:space="preserve"> </t>
        </r>
      </text>
    </comment>
    <comment ref="BM73" authorId="0">
      <text>
        <r>
          <rPr>
            <b/>
            <sz val="9"/>
            <color indexed="81"/>
            <rFont val="ＭＳ Ｐゴシック"/>
            <family val="3"/>
            <charset val="128"/>
          </rPr>
          <t>　</t>
        </r>
        <r>
          <rPr>
            <b/>
            <sz val="9"/>
            <color indexed="81"/>
            <rFont val="ＭＳ Ｐ明朝"/>
            <family val="1"/>
            <charset val="128"/>
          </rPr>
          <t xml:space="preserve"> </t>
        </r>
        <r>
          <rPr>
            <b/>
            <sz val="11"/>
            <color indexed="37"/>
            <rFont val="Times New Roman"/>
            <family val="1"/>
          </rPr>
          <t>Sequence No.49</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32"/>
            <rFont val="Meiryo UI"/>
            <family val="3"/>
            <charset val="128"/>
          </rPr>
          <t xml:space="preserve">      過負荷継電器</t>
        </r>
        <r>
          <rPr>
            <sz val="12"/>
            <color indexed="32"/>
            <rFont val="Meiryo UI"/>
            <family val="3"/>
            <charset val="128"/>
          </rPr>
          <t xml:space="preserve">　
</t>
        </r>
        <r>
          <rPr>
            <sz val="8"/>
            <color indexed="32"/>
            <rFont val="Meiryo UI"/>
            <family val="3"/>
            <charset val="128"/>
          </rPr>
          <t>　      (Thermal relay)</t>
        </r>
        <r>
          <rPr>
            <sz val="9"/>
            <color indexed="32"/>
            <rFont val="Meiryo UI"/>
            <family val="3"/>
            <charset val="128"/>
          </rPr>
          <t xml:space="preserve">
 </t>
        </r>
      </text>
    </comment>
    <comment ref="AR152" authorId="0">
      <text>
        <r>
          <rPr>
            <b/>
            <sz val="9"/>
            <color indexed="81"/>
            <rFont val="ＭＳ Ｐゴシック"/>
            <family val="3"/>
            <charset val="128"/>
          </rPr>
          <t>　</t>
        </r>
        <r>
          <rPr>
            <b/>
            <sz val="11"/>
            <color indexed="37"/>
            <rFont val="ＭＳ Ｐ明朝"/>
            <family val="1"/>
            <charset val="128"/>
          </rPr>
          <t>単価設定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単価-1：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単価-2,3,4：ユーザ登録</t>
        </r>
      </text>
    </comment>
    <comment ref="C153"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機　器　類</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小計金額の110％を計上</t>
        </r>
        <r>
          <rPr>
            <sz val="12"/>
            <color indexed="32"/>
            <rFont val="Meiryo UI"/>
            <family val="3"/>
            <charset val="128"/>
          </rPr>
          <t xml:space="preserve"> </t>
        </r>
        <r>
          <rPr>
            <sz val="10"/>
            <color indexed="9"/>
            <rFont val="Meiryo UI"/>
            <family val="3"/>
            <charset val="128"/>
          </rPr>
          <t xml:space="preserve">
 </t>
        </r>
      </text>
    </comment>
    <comment ref="AR153" authorId="0">
      <text>
        <r>
          <rPr>
            <b/>
            <sz val="9"/>
            <color indexed="81"/>
            <rFont val="ＭＳ Ｐゴシック"/>
            <family val="3"/>
            <charset val="128"/>
          </rPr>
          <t>　</t>
        </r>
        <r>
          <rPr>
            <b/>
            <sz val="11"/>
            <color indexed="37"/>
            <rFont val="ＭＳ Ｐ明朝"/>
            <family val="1"/>
            <charset val="128"/>
          </rPr>
          <t>歩掛設定</t>
        </r>
        <r>
          <rPr>
            <sz val="9"/>
            <color indexed="37"/>
            <rFont val="Meiryo UI"/>
            <family val="3"/>
            <charset val="128"/>
          </rPr>
          <t>（シート"建価"）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歩掛-1： </t>
        </r>
        <r>
          <rPr>
            <sz val="8"/>
            <color indexed="81"/>
            <rFont val="Meiryo UI"/>
            <family val="3"/>
            <charset val="128"/>
          </rPr>
          <t>標準設定</t>
        </r>
        <r>
          <rPr>
            <sz val="12"/>
            <color indexed="81"/>
            <rFont val="Meiryo UI"/>
            <family val="3"/>
            <charset val="128"/>
          </rPr>
          <t xml:space="preserve"> </t>
        </r>
        <r>
          <rPr>
            <sz val="8"/>
            <color indexed="9"/>
            <rFont val="Meiryo UI"/>
            <family val="3"/>
            <charset val="128"/>
          </rPr>
          <t xml:space="preserve">
</t>
        </r>
        <r>
          <rPr>
            <sz val="8"/>
            <color indexed="32"/>
            <rFont val="Meiryo UI"/>
            <family val="3"/>
            <charset val="128"/>
          </rPr>
          <t xml:space="preserve">    歩掛-2,3：ユーザ登録</t>
        </r>
      </text>
    </comment>
    <comment ref="C156" authorId="0">
      <text>
        <r>
          <rPr>
            <b/>
            <sz val="9"/>
            <color indexed="81"/>
            <rFont val="ＭＳ Ｐゴシック"/>
            <family val="3"/>
            <charset val="128"/>
          </rPr>
          <t xml:space="preserve">　 </t>
        </r>
        <r>
          <rPr>
            <b/>
            <sz val="11"/>
            <color indexed="32"/>
            <rFont val="ＭＳ Ｐゴシック"/>
            <family val="3"/>
            <charset val="128"/>
          </rPr>
          <t xml:space="preserve"> 　   </t>
        </r>
        <r>
          <rPr>
            <b/>
            <sz val="11"/>
            <color indexed="37"/>
            <rFont val="ＭＳ Ｐ明朝"/>
            <family val="1"/>
            <charset val="128"/>
          </rPr>
          <t>電 工 費</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xml:space="preserve">  </t>
        </r>
        <r>
          <rPr>
            <sz val="9"/>
            <color indexed="32"/>
            <rFont val="Meiryo UI"/>
            <family val="3"/>
            <charset val="128"/>
          </rPr>
          <t xml:space="preserve"> 小計金額の115％を計上</t>
        </r>
      </text>
    </comment>
    <comment ref="V156" authorId="0">
      <text>
        <r>
          <rPr>
            <b/>
            <sz val="9"/>
            <color indexed="81"/>
            <rFont val="ＭＳ Ｐゴシック"/>
            <family val="3"/>
            <charset val="128"/>
          </rPr>
          <t xml:space="preserve">　 </t>
        </r>
        <r>
          <rPr>
            <b/>
            <sz val="11"/>
            <color indexed="37"/>
            <rFont val="ＭＳ Ｐ明朝"/>
            <family val="1"/>
            <charset val="128"/>
          </rPr>
          <t>実工数電工単価（円）</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xml:space="preserve">    </t>
        </r>
        <r>
          <rPr>
            <sz val="8"/>
            <color indexed="32"/>
            <rFont val="Meiryo UI"/>
            <family val="3"/>
            <charset val="128"/>
          </rPr>
          <t xml:space="preserve">シート"原価"： </t>
        </r>
        <r>
          <rPr>
            <sz val="8"/>
            <color indexed="81"/>
            <rFont val="Meiryo UI"/>
            <family val="3"/>
            <charset val="128"/>
          </rPr>
          <t xml:space="preserve">電工単価 </t>
        </r>
        <r>
          <rPr>
            <sz val="8"/>
            <color indexed="32"/>
            <rFont val="Meiryo UI"/>
            <family val="3"/>
            <charset val="128"/>
          </rPr>
          <t>参照</t>
        </r>
        <r>
          <rPr>
            <sz val="12"/>
            <color indexed="32"/>
            <rFont val="Meiryo UI"/>
            <family val="3"/>
            <charset val="128"/>
          </rPr>
          <t xml:space="preserve"> </t>
        </r>
        <r>
          <rPr>
            <sz val="8"/>
            <color indexed="9"/>
            <rFont val="Meiryo UI"/>
            <family val="3"/>
            <charset val="128"/>
          </rPr>
          <t xml:space="preserve">
</t>
        </r>
        <r>
          <rPr>
            <sz val="8"/>
            <color indexed="32"/>
            <rFont val="Meiryo UI"/>
            <family val="3"/>
            <charset val="128"/>
          </rPr>
          <t xml:space="preserve">    標準電工単価：</t>
        </r>
        <r>
          <rPr>
            <b/>
            <sz val="9"/>
            <color indexed="81"/>
            <rFont val="Times New Roman"/>
            <family val="1"/>
          </rPr>
          <t>6,000,-</t>
        </r>
        <r>
          <rPr>
            <sz val="8"/>
            <color indexed="32"/>
            <rFont val="Meiryo UI"/>
            <family val="3"/>
            <charset val="128"/>
          </rPr>
          <t>(円)</t>
        </r>
      </text>
    </comment>
  </commentList>
</comments>
</file>

<file path=xl/comments6.xml><?xml version="1.0" encoding="utf-8"?>
<comments xmlns="http://schemas.openxmlformats.org/spreadsheetml/2006/main">
  <authors>
    <author>ESE Service</author>
  </authors>
  <commentList>
    <comment ref="U8" authorId="0">
      <text>
        <r>
          <rPr>
            <b/>
            <sz val="9"/>
            <color indexed="81"/>
            <rFont val="ＭＳ Ｐゴシック"/>
            <family val="3"/>
            <charset val="128"/>
          </rPr>
          <t xml:space="preserve">　 　       </t>
        </r>
        <r>
          <rPr>
            <b/>
            <sz val="9"/>
            <color indexed="32"/>
            <rFont val="ＭＳ Ｐゴシック"/>
            <family val="3"/>
            <charset val="128"/>
          </rPr>
          <t xml:space="preserve"> 　　</t>
        </r>
        <r>
          <rPr>
            <b/>
            <sz val="11"/>
            <color indexed="37"/>
            <rFont val="ＭＳ Ｐ明朝"/>
            <family val="1"/>
            <charset val="128"/>
          </rPr>
          <t>エンジンの種類</t>
        </r>
        <r>
          <rPr>
            <b/>
            <sz val="18"/>
            <color indexed="32"/>
            <rFont val="ＭＳ Ｐ明朝"/>
            <family val="1"/>
            <charset val="128"/>
          </rPr>
          <t xml:space="preserve"> </t>
        </r>
        <r>
          <rPr>
            <b/>
            <sz val="9"/>
            <color indexed="81"/>
            <rFont val="ＭＳ Ｐゴシック"/>
            <family val="3"/>
            <charset val="128"/>
          </rPr>
          <t xml:space="preserve">
</t>
        </r>
        <r>
          <rPr>
            <sz val="9"/>
            <color indexed="32"/>
            <rFont val="Meiryo UI"/>
            <family val="3"/>
            <charset val="128"/>
          </rPr>
          <t xml:space="preserve">   Diesel engine：ディーゼル・エンジン</t>
        </r>
        <r>
          <rPr>
            <sz val="12"/>
            <color indexed="32"/>
            <rFont val="Meiryo UI"/>
            <family val="3"/>
            <charset val="128"/>
          </rPr>
          <t>　</t>
        </r>
        <r>
          <rPr>
            <sz val="10"/>
            <color indexed="32"/>
            <rFont val="Meiryo UI"/>
            <family val="3"/>
            <charset val="128"/>
          </rPr>
          <t xml:space="preserve">
</t>
        </r>
        <r>
          <rPr>
            <sz val="9"/>
            <color indexed="32"/>
            <rFont val="Meiryo UI"/>
            <family val="3"/>
            <charset val="128"/>
          </rPr>
          <t xml:space="preserve">   Gas turbine engine：ガスタービン・エンジン
   Steam turbine engines：蒸気タービン・エンジン</t>
        </r>
        <r>
          <rPr>
            <sz val="9"/>
            <color indexed="9"/>
            <rFont val="Meiryo UI"/>
            <family val="3"/>
            <charset val="128"/>
          </rPr>
          <t xml:space="preserve">
</t>
        </r>
        <r>
          <rPr>
            <sz val="8"/>
            <color indexed="81"/>
            <rFont val="Meiryo UI"/>
            <family val="3"/>
            <charset val="128"/>
          </rPr>
          <t xml:space="preserve">     (注) 蒸気タービン・エンジン (Rankine cycle／</t>
        </r>
        <r>
          <rPr>
            <sz val="12"/>
            <color indexed="81"/>
            <rFont val="Meiryo UI"/>
            <family val="3"/>
            <charset val="128"/>
          </rPr>
          <t>　</t>
        </r>
        <r>
          <rPr>
            <sz val="8"/>
            <color indexed="81"/>
            <rFont val="Meiryo UI"/>
            <family val="3"/>
            <charset val="128"/>
          </rPr>
          <t xml:space="preserve"> 
            Combined Cycle) については、積算対象外です。
 </t>
        </r>
      </text>
    </comment>
    <comment ref="AB10" authorId="0">
      <text>
        <r>
          <rPr>
            <b/>
            <sz val="9"/>
            <color indexed="81"/>
            <rFont val="ＭＳ Ｐゴシック"/>
            <family val="3"/>
            <charset val="128"/>
          </rPr>
          <t>　</t>
        </r>
        <r>
          <rPr>
            <b/>
            <sz val="9"/>
            <color indexed="32"/>
            <rFont val="ＭＳ Ｐゴシック"/>
            <family val="3"/>
            <charset val="128"/>
          </rPr>
          <t xml:space="preserve"> 　　　</t>
        </r>
        <r>
          <rPr>
            <b/>
            <sz val="11"/>
            <color indexed="37"/>
            <rFont val="ＭＳ Ｐ明朝"/>
            <family val="1"/>
            <charset val="128"/>
          </rPr>
          <t>発電機の極数・同期回転数</t>
        </r>
        <r>
          <rPr>
            <b/>
            <sz val="18"/>
            <color indexed="32"/>
            <rFont val="ＭＳ Ｐ明朝"/>
            <family val="1"/>
            <charset val="128"/>
          </rPr>
          <t xml:space="preserve"> </t>
        </r>
        <r>
          <rPr>
            <b/>
            <sz val="9"/>
            <color indexed="81"/>
            <rFont val="ＭＳ Ｐゴシック"/>
            <family val="3"/>
            <charset val="128"/>
          </rPr>
          <t xml:space="preserve">
</t>
        </r>
        <r>
          <rPr>
            <sz val="9"/>
            <color indexed="81"/>
            <rFont val="ＭＳ Ｐ明朝"/>
            <family val="1"/>
            <charset val="128"/>
          </rPr>
          <t xml:space="preserve">　              </t>
        </r>
        <r>
          <rPr>
            <sz val="10"/>
            <color indexed="81"/>
            <rFont val="Meiryo UI"/>
            <family val="3"/>
            <charset val="128"/>
          </rPr>
          <t>N・P=120・ｆ</t>
        </r>
        <r>
          <rPr>
            <sz val="12"/>
            <color indexed="9"/>
            <rFont val="Meiryo UI"/>
            <family val="3"/>
            <charset val="128"/>
          </rPr>
          <t>　</t>
        </r>
        <r>
          <rPr>
            <sz val="10"/>
            <color indexed="9"/>
            <rFont val="Meiryo UI"/>
            <family val="3"/>
            <charset val="128"/>
          </rPr>
          <t xml:space="preserve">
</t>
        </r>
        <r>
          <rPr>
            <sz val="9"/>
            <color indexed="81"/>
            <rFont val="Meiryo UI"/>
            <family val="3"/>
            <charset val="128"/>
          </rPr>
          <t xml:space="preserve">  　</t>
        </r>
        <r>
          <rPr>
            <b/>
            <sz val="9"/>
            <color indexed="81"/>
            <rFont val="Meiryo UI"/>
            <family val="3"/>
            <charset val="128"/>
          </rPr>
          <t>N</t>
        </r>
        <r>
          <rPr>
            <sz val="9"/>
            <color indexed="81"/>
            <rFont val="Meiryo UI"/>
            <family val="3"/>
            <charset val="128"/>
          </rPr>
          <t>(</t>
        </r>
        <r>
          <rPr>
            <sz val="8"/>
            <color indexed="81"/>
            <rFont val="Meiryo UI"/>
            <family val="3"/>
            <charset val="128"/>
          </rPr>
          <t>Synchronous speed</t>
        </r>
        <r>
          <rPr>
            <sz val="9"/>
            <color indexed="81"/>
            <rFont val="Meiryo UI"/>
            <family val="3"/>
            <charset val="128"/>
          </rPr>
          <t>)：</t>
        </r>
        <r>
          <rPr>
            <sz val="9"/>
            <color indexed="32"/>
            <rFont val="Meiryo UI"/>
            <family val="3"/>
            <charset val="128"/>
          </rPr>
          <t>同期回転数 [rpm]</t>
        </r>
        <r>
          <rPr>
            <sz val="9"/>
            <color indexed="81"/>
            <rFont val="Meiryo UI"/>
            <family val="3"/>
            <charset val="128"/>
          </rPr>
          <t xml:space="preserve">
  　              </t>
        </r>
        <r>
          <rPr>
            <sz val="6"/>
            <color indexed="81"/>
            <rFont val="Meiryo UI"/>
            <family val="3"/>
            <charset val="128"/>
          </rPr>
          <t xml:space="preserve"> </t>
        </r>
        <r>
          <rPr>
            <sz val="9"/>
            <color indexed="81"/>
            <rFont val="Meiryo UI"/>
            <family val="3"/>
            <charset val="128"/>
          </rPr>
          <t xml:space="preserve"> </t>
        </r>
        <r>
          <rPr>
            <sz val="7"/>
            <color indexed="81"/>
            <rFont val="Meiryo UI"/>
            <family val="3"/>
            <charset val="128"/>
          </rPr>
          <t xml:space="preserve"> </t>
        </r>
        <r>
          <rPr>
            <sz val="9"/>
            <color indexed="81"/>
            <rFont val="Meiryo UI"/>
            <family val="3"/>
            <charset val="128"/>
          </rPr>
          <t xml:space="preserve">  </t>
        </r>
        <r>
          <rPr>
            <sz val="6"/>
            <color indexed="81"/>
            <rFont val="Meiryo UI"/>
            <family val="3"/>
            <charset val="128"/>
          </rPr>
          <t xml:space="preserve"> </t>
        </r>
        <r>
          <rPr>
            <b/>
            <sz val="9"/>
            <color indexed="81"/>
            <rFont val="Meiryo UI"/>
            <family val="3"/>
            <charset val="128"/>
          </rPr>
          <t>P</t>
        </r>
        <r>
          <rPr>
            <sz val="9"/>
            <color indexed="81"/>
            <rFont val="Meiryo UI"/>
            <family val="3"/>
            <charset val="128"/>
          </rPr>
          <t>(Pole)：</t>
        </r>
        <r>
          <rPr>
            <sz val="9"/>
            <color indexed="32"/>
            <rFont val="Meiryo UI"/>
            <family val="3"/>
            <charset val="128"/>
          </rPr>
          <t>発電機の極数</t>
        </r>
        <r>
          <rPr>
            <sz val="9"/>
            <color indexed="81"/>
            <rFont val="Meiryo UI"/>
            <family val="3"/>
            <charset val="128"/>
          </rPr>
          <t xml:space="preserve">
            </t>
        </r>
        <r>
          <rPr>
            <sz val="6"/>
            <color indexed="81"/>
            <rFont val="Meiryo UI"/>
            <family val="3"/>
            <charset val="128"/>
          </rPr>
          <t xml:space="preserve">  </t>
        </r>
        <r>
          <rPr>
            <b/>
            <sz val="9"/>
            <color indexed="81"/>
            <rFont val="Meiryo UI"/>
            <family val="3"/>
            <charset val="128"/>
          </rPr>
          <t>ｆ</t>
        </r>
        <r>
          <rPr>
            <sz val="9"/>
            <color indexed="81"/>
            <rFont val="Meiryo UI"/>
            <family val="3"/>
            <charset val="128"/>
          </rPr>
          <t>(Frequency)：</t>
        </r>
        <r>
          <rPr>
            <sz val="9"/>
            <color indexed="32"/>
            <rFont val="Meiryo UI"/>
            <family val="3"/>
            <charset val="128"/>
          </rPr>
          <t>周波数[Hz]</t>
        </r>
        <r>
          <rPr>
            <sz val="9"/>
            <color indexed="9"/>
            <rFont val="Meiryo UI"/>
            <family val="3"/>
            <charset val="128"/>
          </rPr>
          <t xml:space="preserve">
</t>
        </r>
        <r>
          <rPr>
            <sz val="9"/>
            <color indexed="32"/>
            <rFont val="Meiryo UI"/>
            <family val="3"/>
            <charset val="128"/>
          </rPr>
          <t xml:space="preserve">
</t>
        </r>
        <r>
          <rPr>
            <sz val="8.5"/>
            <color indexed="81"/>
            <rFont val="Meiryo UI"/>
            <family val="3"/>
            <charset val="128"/>
          </rPr>
          <t xml:space="preserve">    (注) 常用発電機(DE)の場合、750[rpm](50Hz)、
           900[rpm](60Hz) 以下の回転数が望ましい。
           離島等に設置する電力会社の DE発電機の回
           転数は、60[Hz]の場合、300[rpm]以下です。</t>
        </r>
      </text>
    </comment>
    <comment ref="AG17" authorId="0">
      <text>
        <r>
          <rPr>
            <b/>
            <sz val="9"/>
            <color indexed="81"/>
            <rFont val="ＭＳ Ｐゴシック"/>
            <family val="3"/>
            <charset val="128"/>
          </rPr>
          <t xml:space="preserve">　 　            </t>
        </r>
        <r>
          <rPr>
            <b/>
            <sz val="9"/>
            <color indexed="32"/>
            <rFont val="ＭＳ Ｐゴシック"/>
            <family val="3"/>
            <charset val="128"/>
          </rPr>
          <t xml:space="preserve"> </t>
        </r>
        <r>
          <rPr>
            <b/>
            <sz val="11"/>
            <color indexed="37"/>
            <rFont val="ＭＳ Ｐ明朝"/>
            <family val="1"/>
            <charset val="128"/>
          </rPr>
          <t>電動機の始動方式</t>
        </r>
        <r>
          <rPr>
            <b/>
            <sz val="18"/>
            <color indexed="32"/>
            <rFont val="ＭＳ Ｐ明朝"/>
            <family val="1"/>
            <charset val="128"/>
          </rPr>
          <t xml:space="preserve"> </t>
        </r>
        <r>
          <rPr>
            <b/>
            <sz val="9"/>
            <color indexed="81"/>
            <rFont val="ＭＳ Ｐゴシック"/>
            <family val="3"/>
            <charset val="128"/>
          </rPr>
          <t xml:space="preserve">
</t>
        </r>
        <r>
          <rPr>
            <sz val="9"/>
            <color indexed="81"/>
            <rFont val="ＭＳ Ｐ明朝"/>
            <family val="1"/>
            <charset val="128"/>
          </rPr>
          <t xml:space="preserve">    </t>
        </r>
        <r>
          <rPr>
            <sz val="9"/>
            <color indexed="81"/>
            <rFont val="Meiryo UI"/>
            <family val="3"/>
            <charset val="128"/>
          </rPr>
          <t>L-S</t>
        </r>
        <r>
          <rPr>
            <sz val="9"/>
            <color indexed="32"/>
            <rFont val="Meiryo UI"/>
            <family val="3"/>
            <charset val="128"/>
          </rPr>
          <t>：Line starting (直入れ:ジカイレ)全電圧始動</t>
        </r>
        <r>
          <rPr>
            <sz val="12"/>
            <color indexed="9"/>
            <rFont val="Meiryo UI"/>
            <family val="3"/>
            <charset val="128"/>
          </rPr>
          <t>　</t>
        </r>
        <r>
          <rPr>
            <sz val="10"/>
            <color indexed="9"/>
            <rFont val="Meiryo UI"/>
            <family val="3"/>
            <charset val="128"/>
          </rPr>
          <t xml:space="preserve">
 </t>
        </r>
        <r>
          <rPr>
            <sz val="9"/>
            <color indexed="9"/>
            <rFont val="Meiryo UI"/>
            <family val="3"/>
            <charset val="128"/>
          </rPr>
          <t xml:space="preserve">  </t>
        </r>
        <r>
          <rPr>
            <sz val="9"/>
            <color indexed="81"/>
            <rFont val="Meiryo UI"/>
            <family val="3"/>
            <charset val="128"/>
          </rPr>
          <t>Y-Δ</t>
        </r>
        <r>
          <rPr>
            <sz val="9"/>
            <color indexed="32"/>
            <rFont val="Meiryo UI"/>
            <family val="3"/>
            <charset val="128"/>
          </rPr>
          <t>：Open Star-delta starting</t>
        </r>
        <r>
          <rPr>
            <sz val="9"/>
            <color indexed="9"/>
            <rFont val="Meiryo UI"/>
            <family val="3"/>
            <charset val="128"/>
          </rPr>
          <t xml:space="preserve">
 　　　　　</t>
        </r>
        <r>
          <rPr>
            <sz val="9"/>
            <color indexed="32"/>
            <rFont val="Meiryo UI"/>
            <family val="3"/>
            <charset val="128"/>
          </rPr>
          <t xml:space="preserve"> Y-Δ 切替時、電路が開放される。  </t>
        </r>
        <r>
          <rPr>
            <sz val="7"/>
            <color indexed="32"/>
            <rFont val="Meiryo UI"/>
            <family val="3"/>
            <charset val="128"/>
          </rPr>
          <t xml:space="preserve"> </t>
        </r>
        <r>
          <rPr>
            <sz val="6"/>
            <color indexed="32"/>
            <rFont val="Meiryo UI"/>
            <family val="3"/>
            <charset val="128"/>
          </rPr>
          <t xml:space="preserve"> </t>
        </r>
        <r>
          <rPr>
            <sz val="9"/>
            <color indexed="32"/>
            <rFont val="Meiryo UI"/>
            <family val="3"/>
            <charset val="128"/>
          </rPr>
          <t>QVA=(L-S)×2/3</t>
        </r>
        <r>
          <rPr>
            <sz val="9"/>
            <color indexed="9"/>
            <rFont val="Meiryo UI"/>
            <family val="3"/>
            <charset val="128"/>
          </rPr>
          <t xml:space="preserve">
   </t>
        </r>
        <r>
          <rPr>
            <sz val="9"/>
            <color indexed="81"/>
            <rFont val="Meiryo UI"/>
            <family val="3"/>
            <charset val="128"/>
          </rPr>
          <t>Y-Δ</t>
        </r>
        <r>
          <rPr>
            <sz val="9"/>
            <color indexed="32"/>
            <rFont val="Meiryo UI"/>
            <family val="3"/>
            <charset val="128"/>
          </rPr>
          <t>：Closed Star-delta starting
　 　　　　 Y-Δ 切替時、電路が開放されない。 QVA=(L-S)×1/3</t>
        </r>
        <r>
          <rPr>
            <sz val="9"/>
            <color indexed="9"/>
            <rFont val="Meiryo UI"/>
            <family val="3"/>
            <charset val="128"/>
          </rPr>
          <t xml:space="preserve">
   </t>
        </r>
        <r>
          <rPr>
            <sz val="9"/>
            <color indexed="81"/>
            <rFont val="Meiryo UI"/>
            <family val="3"/>
            <charset val="128"/>
          </rPr>
          <t xml:space="preserve">リアクトル </t>
        </r>
        <r>
          <rPr>
            <sz val="6"/>
            <color indexed="32"/>
            <rFont val="Meiryo UI"/>
            <family val="3"/>
            <charset val="128"/>
          </rPr>
          <t xml:space="preserve"> </t>
        </r>
        <r>
          <rPr>
            <sz val="9"/>
            <color indexed="32"/>
            <rFont val="Meiryo UI"/>
            <family val="3"/>
            <charset val="128"/>
          </rPr>
          <t xml:space="preserve">：Reactor starting   </t>
        </r>
        <r>
          <rPr>
            <sz val="6"/>
            <color indexed="32"/>
            <rFont val="Meiryo UI"/>
            <family val="3"/>
            <charset val="128"/>
          </rPr>
          <t xml:space="preserve">  </t>
        </r>
        <r>
          <rPr>
            <sz val="9"/>
            <color indexed="32"/>
            <rFont val="Meiryo UI"/>
            <family val="3"/>
            <charset val="128"/>
          </rPr>
          <t>(50,60,80％)</t>
        </r>
        <r>
          <rPr>
            <sz val="9"/>
            <color indexed="9"/>
            <rFont val="Meiryo UI"/>
            <family val="3"/>
            <charset val="128"/>
          </rPr>
          <t xml:space="preserve">
   </t>
        </r>
        <r>
          <rPr>
            <sz val="9"/>
            <color indexed="81"/>
            <rFont val="Meiryo UI"/>
            <family val="3"/>
            <charset val="128"/>
          </rPr>
          <t>コンドルファ</t>
        </r>
        <r>
          <rPr>
            <sz val="9"/>
            <color indexed="32"/>
            <rFont val="Meiryo UI"/>
            <family val="3"/>
            <charset val="128"/>
          </rPr>
          <t>：Kondorfer starting (50,65,80％)</t>
        </r>
        <r>
          <rPr>
            <sz val="9"/>
            <color indexed="9"/>
            <rFont val="Meiryo UI"/>
            <family val="3"/>
            <charset val="128"/>
          </rPr>
          <t xml:space="preserve">
   </t>
        </r>
        <r>
          <rPr>
            <sz val="9"/>
            <color indexed="81"/>
            <rFont val="Meiryo UI"/>
            <family val="3"/>
            <charset val="128"/>
          </rPr>
          <t xml:space="preserve">インバータ </t>
        </r>
        <r>
          <rPr>
            <sz val="9"/>
            <color indexed="32"/>
            <rFont val="Meiryo UI"/>
            <family val="3"/>
            <charset val="128"/>
          </rPr>
          <t xml:space="preserve">：Inverter starting
 </t>
        </r>
      </text>
    </comment>
    <comment ref="BI21" authorId="0">
      <text>
        <r>
          <rPr>
            <b/>
            <sz val="9"/>
            <color indexed="81"/>
            <rFont val="ＭＳ Ｐゴシック"/>
            <family val="3"/>
            <charset val="128"/>
          </rPr>
          <t>　 　</t>
        </r>
        <r>
          <rPr>
            <b/>
            <sz val="9"/>
            <color indexed="32"/>
            <rFont val="ＭＳ Ｐゴシック"/>
            <family val="3"/>
            <charset val="128"/>
          </rPr>
          <t xml:space="preserve"> </t>
        </r>
        <r>
          <rPr>
            <b/>
            <sz val="11"/>
            <color indexed="37"/>
            <rFont val="ＭＳ Ｐ明朝"/>
            <family val="1"/>
            <charset val="128"/>
          </rPr>
          <t>Ｘ'd（発電機の過度リアクタンス）</t>
        </r>
        <r>
          <rPr>
            <b/>
            <sz val="18"/>
            <color indexed="32"/>
            <rFont val="ＭＳ Ｐ明朝"/>
            <family val="1"/>
            <charset val="128"/>
          </rPr>
          <t xml:space="preserve"> </t>
        </r>
        <r>
          <rPr>
            <b/>
            <sz val="9"/>
            <color indexed="81"/>
            <rFont val="ＭＳ Ｐゴシック"/>
            <family val="3"/>
            <charset val="128"/>
          </rPr>
          <t xml:space="preserve">
</t>
        </r>
        <r>
          <rPr>
            <sz val="9"/>
            <color indexed="81"/>
            <rFont val="ＭＳ Ｐ明朝"/>
            <family val="1"/>
            <charset val="128"/>
          </rPr>
          <t>　</t>
        </r>
        <r>
          <rPr>
            <b/>
            <sz val="9"/>
            <color indexed="81"/>
            <rFont val="Meiryo UI"/>
            <family val="3"/>
            <charset val="128"/>
          </rPr>
          <t>ディーゼル発電機</t>
        </r>
        <r>
          <rPr>
            <sz val="9"/>
            <color indexed="81"/>
            <rFont val="Meiryo UI"/>
            <family val="3"/>
            <charset val="128"/>
          </rPr>
          <t xml:space="preserve"> 50Hz／60Hz</t>
        </r>
        <r>
          <rPr>
            <sz val="12"/>
            <color indexed="9"/>
            <rFont val="Meiryo UI"/>
            <family val="3"/>
            <charset val="128"/>
          </rPr>
          <t>　</t>
        </r>
        <r>
          <rPr>
            <sz val="10"/>
            <color indexed="9"/>
            <rFont val="Meiryo UI"/>
            <family val="3"/>
            <charset val="128"/>
          </rPr>
          <t xml:space="preserve">
</t>
        </r>
        <r>
          <rPr>
            <sz val="9"/>
            <color indexed="9"/>
            <rFont val="Meiryo UI"/>
            <family val="3"/>
            <charset val="128"/>
          </rPr>
          <t xml:space="preserve">  </t>
        </r>
        <r>
          <rPr>
            <sz val="9"/>
            <color indexed="32"/>
            <rFont val="Meiryo UI"/>
            <family val="3"/>
            <charset val="128"/>
          </rPr>
          <t>　7</t>
        </r>
        <r>
          <rPr>
            <sz val="9"/>
            <color indexed="81"/>
            <rFont val="Meiryo UI"/>
            <family val="3"/>
            <charset val="128"/>
          </rPr>
          <t>50／900～1000／1200[rpm]</t>
        </r>
        <r>
          <rPr>
            <sz val="9"/>
            <color indexed="32"/>
            <rFont val="Meiryo UI"/>
            <family val="3"/>
            <charset val="128"/>
          </rPr>
          <t>：0.35～0.30</t>
        </r>
        <r>
          <rPr>
            <sz val="9"/>
            <color indexed="9"/>
            <rFont val="Meiryo UI"/>
            <family val="3"/>
            <charset val="128"/>
          </rPr>
          <t xml:space="preserve">
</t>
        </r>
        <r>
          <rPr>
            <sz val="9"/>
            <color indexed="18"/>
            <rFont val="Meiryo UI"/>
            <family val="3"/>
            <charset val="128"/>
          </rPr>
          <t xml:space="preserve">  　</t>
        </r>
        <r>
          <rPr>
            <sz val="9"/>
            <color indexed="81"/>
            <rFont val="Meiryo UI"/>
            <family val="3"/>
            <charset val="128"/>
          </rPr>
          <t>1500／1800[rpm]</t>
        </r>
        <r>
          <rPr>
            <sz val="9"/>
            <color indexed="32"/>
            <rFont val="Meiryo UI"/>
            <family val="3"/>
            <charset val="128"/>
          </rPr>
          <t>：0.25</t>
        </r>
        <r>
          <rPr>
            <sz val="9"/>
            <color indexed="9"/>
            <rFont val="Meiryo UI"/>
            <family val="3"/>
            <charset val="128"/>
          </rPr>
          <t xml:space="preserve">
    </t>
        </r>
        <r>
          <rPr>
            <sz val="9"/>
            <color indexed="81"/>
            <rFont val="Meiryo UI"/>
            <family val="3"/>
            <charset val="128"/>
          </rPr>
          <t>3000／3600[rpm]</t>
        </r>
        <r>
          <rPr>
            <sz val="9"/>
            <color indexed="32"/>
            <rFont val="Meiryo UI"/>
            <family val="3"/>
            <charset val="128"/>
          </rPr>
          <t>：0.20</t>
        </r>
        <r>
          <rPr>
            <sz val="9"/>
            <color indexed="9"/>
            <rFont val="Meiryo UI"/>
            <family val="3"/>
            <charset val="128"/>
          </rPr>
          <t xml:space="preserve">
</t>
        </r>
        <r>
          <rPr>
            <sz val="9"/>
            <color indexed="9"/>
            <rFont val="ＭＳ Ｐ明朝"/>
            <family val="1"/>
            <charset val="128"/>
          </rPr>
          <t>　</t>
        </r>
        <r>
          <rPr>
            <b/>
            <sz val="9"/>
            <color indexed="81"/>
            <rFont val="Meiryo UI"/>
            <family val="3"/>
            <charset val="128"/>
          </rPr>
          <t>ガスタービン発電機</t>
        </r>
        <r>
          <rPr>
            <sz val="9"/>
            <color indexed="81"/>
            <rFont val="Meiryo UI"/>
            <family val="3"/>
            <charset val="128"/>
          </rPr>
          <t xml:space="preserve"> 50Hz／60Hz</t>
        </r>
        <r>
          <rPr>
            <sz val="14"/>
            <color indexed="81"/>
            <rFont val="Meiryo UI"/>
            <family val="3"/>
            <charset val="128"/>
          </rPr>
          <t>　</t>
        </r>
        <r>
          <rPr>
            <sz val="9"/>
            <color indexed="81"/>
            <rFont val="Meiryo UI"/>
            <family val="3"/>
            <charset val="128"/>
          </rPr>
          <t xml:space="preserve">
    37000～18000[rpm]</t>
        </r>
        <r>
          <rPr>
            <sz val="9"/>
            <color indexed="32"/>
            <rFont val="Meiryo UI"/>
            <family val="3"/>
            <charset val="128"/>
          </rPr>
          <t>：0.12～0.15</t>
        </r>
        <r>
          <rPr>
            <sz val="9"/>
            <color indexed="81"/>
            <rFont val="Meiryo UI"/>
            <family val="3"/>
            <charset val="128"/>
          </rPr>
          <t xml:space="preserve">
 </t>
        </r>
      </text>
    </comment>
    <comment ref="AC30"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計　算　式</t>
        </r>
        <r>
          <rPr>
            <b/>
            <sz val="18"/>
            <color indexed="32"/>
            <rFont val="ＭＳ Ｐ明朝"/>
            <family val="1"/>
            <charset val="128"/>
          </rPr>
          <t xml:space="preserve"> </t>
        </r>
        <r>
          <rPr>
            <b/>
            <sz val="9"/>
            <color indexed="81"/>
            <rFont val="ＭＳ Ｐゴシック"/>
            <family val="3"/>
            <charset val="128"/>
          </rPr>
          <t xml:space="preserve">
</t>
        </r>
        <r>
          <rPr>
            <sz val="9"/>
            <color indexed="32"/>
            <rFont val="Meiryo UI"/>
            <family val="3"/>
            <charset val="128"/>
          </rPr>
          <t>　</t>
        </r>
        <r>
          <rPr>
            <sz val="9"/>
            <color indexed="32"/>
            <rFont val="ＭＳ Ｐ明朝"/>
            <family val="1"/>
            <charset val="128"/>
          </rPr>
          <t xml:space="preserve"> </t>
        </r>
        <r>
          <rPr>
            <sz val="9"/>
            <color indexed="32"/>
            <rFont val="Meiryo UI"/>
            <family val="3"/>
            <charset val="128"/>
          </rPr>
          <t>「消防用設備等の非常用電源として用いる自家</t>
        </r>
        <r>
          <rPr>
            <sz val="12"/>
            <color indexed="32"/>
            <rFont val="ＭＳ Ｐ明朝"/>
            <family val="1"/>
            <charset val="128"/>
          </rPr>
          <t xml:space="preserve"> </t>
        </r>
        <r>
          <rPr>
            <sz val="9"/>
            <color indexed="32"/>
            <rFont val="Meiryo UI"/>
            <family val="3"/>
            <charset val="128"/>
          </rPr>
          <t xml:space="preserve">
</t>
        </r>
        <r>
          <rPr>
            <sz val="9"/>
            <color indexed="32"/>
            <rFont val="ＭＳ Ｐ明朝"/>
            <family val="1"/>
            <charset val="128"/>
          </rPr>
          <t xml:space="preserve">   </t>
        </r>
        <r>
          <rPr>
            <sz val="9"/>
            <color indexed="32"/>
            <rFont val="Meiryo UI"/>
            <family val="3"/>
            <charset val="128"/>
          </rPr>
          <t xml:space="preserve">発電設備の出力の算定方法について(通知) (昭
   和63年8月1日消防予第100号)」 による。
 </t>
        </r>
      </text>
    </comment>
    <comment ref="AX57"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ＯＳＴ</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b/>
            <sz val="9"/>
            <color indexed="18"/>
            <rFont val="ＭＳ Ｐ明朝"/>
            <family val="1"/>
            <charset val="128"/>
          </rPr>
          <t>Oil service tank</t>
        </r>
        <r>
          <rPr>
            <b/>
            <sz val="14"/>
            <color indexed="18"/>
            <rFont val="ＭＳ Ｐ明朝"/>
            <family val="1"/>
            <charset val="128"/>
          </rPr>
          <t xml:space="preserve"> </t>
        </r>
      </text>
    </comment>
    <comment ref="BD57"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地下ＯＴ</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b/>
            <sz val="9"/>
            <color indexed="18"/>
            <rFont val="ＭＳ Ｐ明朝"/>
            <family val="1"/>
            <charset val="128"/>
          </rPr>
          <t>Underground oil tank</t>
        </r>
        <r>
          <rPr>
            <sz val="12"/>
            <color indexed="18"/>
            <rFont val="ＭＳ Ｐ明朝"/>
            <family val="1"/>
            <charset val="128"/>
          </rPr>
          <t>　</t>
        </r>
      </text>
    </comment>
    <comment ref="BP57" authorId="0">
      <text>
        <r>
          <rPr>
            <b/>
            <sz val="9"/>
            <color indexed="81"/>
            <rFont val="ＭＳ Ｐゴシック"/>
            <family val="3"/>
            <charset val="128"/>
          </rPr>
          <t>　</t>
        </r>
        <r>
          <rPr>
            <b/>
            <sz val="9"/>
            <color indexed="81"/>
            <rFont val="ＭＳ Ｐ明朝"/>
            <family val="1"/>
            <charset val="128"/>
          </rPr>
          <t xml:space="preserve"> </t>
        </r>
        <r>
          <rPr>
            <b/>
            <sz val="9"/>
            <color indexed="81"/>
            <rFont val="ＭＳ Ｐゴシック"/>
            <family val="3"/>
            <charset val="128"/>
          </rPr>
          <t xml:space="preserve">    </t>
        </r>
        <r>
          <rPr>
            <b/>
            <sz val="11"/>
            <color indexed="37"/>
            <rFont val="ＭＳ Ｐ明朝"/>
            <family val="1"/>
            <charset val="128"/>
          </rPr>
          <t>ＯＧＰ</t>
        </r>
        <r>
          <rPr>
            <b/>
            <sz val="18"/>
            <color indexed="32"/>
            <rFont val="ＭＳ Ｐ明朝"/>
            <family val="1"/>
            <charset val="128"/>
          </rPr>
          <t xml:space="preserve"> </t>
        </r>
        <r>
          <rPr>
            <b/>
            <sz val="9"/>
            <color indexed="81"/>
            <rFont val="ＭＳ Ｐゴシック"/>
            <family val="3"/>
            <charset val="128"/>
          </rPr>
          <t xml:space="preserve">
</t>
        </r>
        <r>
          <rPr>
            <b/>
            <sz val="9"/>
            <color indexed="81"/>
            <rFont val="ＭＳ Ｐ明朝"/>
            <family val="1"/>
            <charset val="128"/>
          </rPr>
          <t xml:space="preserve">　 </t>
        </r>
        <r>
          <rPr>
            <b/>
            <sz val="9"/>
            <color indexed="18"/>
            <rFont val="ＭＳ Ｐ明朝"/>
            <family val="1"/>
            <charset val="128"/>
          </rPr>
          <t>Gear oil pump</t>
        </r>
        <r>
          <rPr>
            <sz val="9"/>
            <color indexed="18"/>
            <rFont val="ＭＳ Ｐ明朝"/>
            <family val="1"/>
            <charset val="128"/>
          </rPr>
          <t xml:space="preserve"> </t>
        </r>
        <r>
          <rPr>
            <b/>
            <sz val="9"/>
            <color indexed="18"/>
            <rFont val="ＭＳ Ｐ明朝"/>
            <family val="1"/>
            <charset val="128"/>
          </rPr>
          <t xml:space="preserve">
</t>
        </r>
        <r>
          <rPr>
            <sz val="8"/>
            <color indexed="18"/>
            <rFont val="ＭＳ Ｐ明朝"/>
            <family val="1"/>
            <charset val="128"/>
          </rPr>
          <t xml:space="preserve">    オイル・ギァ・ポンプは、</t>
        </r>
        <r>
          <rPr>
            <b/>
            <sz val="9"/>
            <color indexed="18"/>
            <rFont val="ＭＳ Ｐ明朝"/>
            <family val="1"/>
            <charset val="128"/>
          </rPr>
          <t xml:space="preserve">
</t>
        </r>
        <r>
          <rPr>
            <sz val="8"/>
            <color indexed="18"/>
            <rFont val="ＭＳ Ｐ明朝"/>
            <family val="1"/>
            <charset val="128"/>
          </rPr>
          <t xml:space="preserve">    "日本語英語"です。
 </t>
        </r>
      </text>
    </comment>
    <comment ref="AE63"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発電機KVA単価</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81"/>
            <rFont val="ＭＳ Ｐ明朝"/>
            <family val="1"/>
            <charset val="128"/>
          </rPr>
          <t xml:space="preserve">    </t>
        </r>
        <r>
          <rPr>
            <b/>
            <sz val="9"/>
            <color indexed="81"/>
            <rFont val="ＭＳ Ｐ明朝"/>
            <family val="1"/>
            <charset val="128"/>
          </rPr>
          <t>1,000円／KVA</t>
        </r>
        <r>
          <rPr>
            <b/>
            <sz val="12"/>
            <color indexed="9"/>
            <rFont val="ＭＳ Ｐ明朝"/>
            <family val="1"/>
            <charset val="128"/>
          </rPr>
          <t>　</t>
        </r>
      </text>
    </comment>
    <comment ref="BN63" authorId="0">
      <text>
        <r>
          <rPr>
            <b/>
            <sz val="9"/>
            <color indexed="81"/>
            <rFont val="ＭＳ Ｐ明朝"/>
            <family val="1"/>
            <charset val="128"/>
          </rPr>
          <t xml:space="preserve">  </t>
        </r>
        <r>
          <rPr>
            <b/>
            <sz val="11"/>
            <color indexed="37"/>
            <rFont val="ＭＳ Ｐ明朝"/>
            <family val="1"/>
            <charset val="128"/>
          </rPr>
          <t>エンジンKVA単価</t>
        </r>
        <r>
          <rPr>
            <b/>
            <sz val="18"/>
            <color indexed="32"/>
            <rFont val="ＭＳ Ｐ明朝"/>
            <family val="1"/>
            <charset val="128"/>
          </rPr>
          <t xml:space="preserve"> </t>
        </r>
        <r>
          <rPr>
            <b/>
            <sz val="9"/>
            <color indexed="81"/>
            <rFont val="ＭＳ Ｐゴシック"/>
            <family val="3"/>
            <charset val="128"/>
          </rPr>
          <t xml:space="preserve">
</t>
        </r>
        <r>
          <rPr>
            <b/>
            <sz val="9"/>
            <color indexed="81"/>
            <rFont val="ＭＳ Ｐ明朝"/>
            <family val="1"/>
            <charset val="128"/>
          </rPr>
          <t xml:space="preserve">  </t>
        </r>
        <r>
          <rPr>
            <b/>
            <sz val="9"/>
            <color indexed="81"/>
            <rFont val="ＭＳ Ｐゴシック"/>
            <family val="3"/>
            <charset val="128"/>
          </rPr>
          <t>　</t>
        </r>
        <r>
          <rPr>
            <b/>
            <sz val="9"/>
            <color indexed="81"/>
            <rFont val="ＭＳ Ｐ明朝"/>
            <family val="1"/>
            <charset val="128"/>
          </rPr>
          <t xml:space="preserve"> 1,000円／KVA</t>
        </r>
        <r>
          <rPr>
            <b/>
            <sz val="12"/>
            <color indexed="81"/>
            <rFont val="ＭＳ Ｐ明朝"/>
            <family val="1"/>
            <charset val="128"/>
          </rPr>
          <t>　</t>
        </r>
      </text>
    </comment>
    <comment ref="AL66"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ゴシック"/>
            <family val="3"/>
            <charset val="128"/>
          </rPr>
          <t xml:space="preserve">燃料消費量／ｈｏｕｒ </t>
        </r>
        <r>
          <rPr>
            <sz val="11"/>
            <color indexed="37"/>
            <rFont val="Meiryo UI"/>
            <family val="3"/>
            <charset val="128"/>
          </rPr>
          <t>(</t>
        </r>
        <r>
          <rPr>
            <sz val="10"/>
            <color indexed="37"/>
            <rFont val="Meiryo UI"/>
            <family val="3"/>
            <charset val="128"/>
          </rPr>
          <t>100％負荷時</t>
        </r>
        <r>
          <rPr>
            <sz val="11"/>
            <color indexed="37"/>
            <rFont val="Meiryo UI"/>
            <family val="3"/>
            <charset val="128"/>
          </rPr>
          <t>)</t>
        </r>
        <r>
          <rPr>
            <b/>
            <sz val="18"/>
            <color indexed="32"/>
            <rFont val="ＭＳ Ｐ明朝"/>
            <family val="1"/>
            <charset val="128"/>
          </rPr>
          <t xml:space="preserve"> </t>
        </r>
        <r>
          <rPr>
            <b/>
            <sz val="9"/>
            <color indexed="81"/>
            <rFont val="ＭＳ Ｐゴシック"/>
            <family val="3"/>
            <charset val="128"/>
          </rPr>
          <t xml:space="preserve">
</t>
        </r>
        <r>
          <rPr>
            <sz val="8"/>
            <color indexed="81"/>
            <rFont val="Meiryo UI"/>
            <family val="3"/>
            <charset val="128"/>
          </rPr>
          <t>　</t>
        </r>
        <r>
          <rPr>
            <sz val="8"/>
            <color indexed="81"/>
            <rFont val="ＭＳ Ｐ明朝"/>
            <family val="1"/>
            <charset val="128"/>
          </rPr>
          <t xml:space="preserve"> </t>
        </r>
        <r>
          <rPr>
            <sz val="8"/>
            <color indexed="81"/>
            <rFont val="Meiryo UI"/>
            <family val="3"/>
            <charset val="128"/>
          </rPr>
          <t xml:space="preserve"> </t>
        </r>
        <r>
          <rPr>
            <b/>
            <sz val="9"/>
            <color indexed="32"/>
            <rFont val="ＭＳ Ｐ明朝"/>
            <family val="1"/>
            <charset val="128"/>
          </rPr>
          <t>MJ</t>
        </r>
        <r>
          <rPr>
            <sz val="9"/>
            <color indexed="32"/>
            <rFont val="ＭＳ Ｐ明朝"/>
            <family val="1"/>
            <charset val="128"/>
          </rPr>
          <t>（メガ・ジュール）</t>
        </r>
        <r>
          <rPr>
            <b/>
            <sz val="9"/>
            <color indexed="32"/>
            <rFont val="ＭＳ Ｐ明朝"/>
            <family val="1"/>
            <charset val="128"/>
          </rPr>
          <t>／L</t>
        </r>
        <r>
          <rPr>
            <b/>
            <sz val="12"/>
            <color indexed="9"/>
            <rFont val="ＭＳ Ｐ明朝"/>
            <family val="1"/>
            <charset val="128"/>
          </rPr>
          <t xml:space="preserve"> </t>
        </r>
        <r>
          <rPr>
            <b/>
            <sz val="9"/>
            <color indexed="9"/>
            <rFont val="ＭＳ Ｐ明朝"/>
            <family val="1"/>
            <charset val="128"/>
          </rPr>
          <t xml:space="preserve">
 </t>
        </r>
        <r>
          <rPr>
            <sz val="9"/>
            <color indexed="81"/>
            <rFont val="ＭＳ Ｐ明朝"/>
            <family val="1"/>
            <charset val="128"/>
          </rPr>
          <t>　　</t>
        </r>
        <r>
          <rPr>
            <sz val="9"/>
            <color indexed="81"/>
            <rFont val="Meiryo UI"/>
            <family val="3"/>
            <charset val="128"/>
          </rPr>
          <t>ディーゼル軽油・Ａ重油・軽油</t>
        </r>
        <r>
          <rPr>
            <sz val="9"/>
            <color indexed="81"/>
            <rFont val="ＭＳ Ｐ明朝"/>
            <family val="1"/>
            <charset val="128"/>
          </rPr>
          <t xml:space="preserve">
 </t>
        </r>
        <r>
          <rPr>
            <sz val="8"/>
            <color indexed="9"/>
            <rFont val="Meiryo UI"/>
            <family val="3"/>
            <charset val="128"/>
          </rPr>
          <t xml:space="preserve">　 </t>
        </r>
        <r>
          <rPr>
            <b/>
            <sz val="9"/>
            <color indexed="32"/>
            <rFont val="ＭＳ Ｐ明朝"/>
            <family val="1"/>
            <charset val="128"/>
          </rPr>
          <t>MJ／Ｎm3</t>
        </r>
        <r>
          <rPr>
            <sz val="9"/>
            <color indexed="32"/>
            <rFont val="ＭＳ Ｐ明朝"/>
            <family val="1"/>
            <charset val="128"/>
          </rPr>
          <t>（ノルマル立方メートル）</t>
        </r>
        <r>
          <rPr>
            <sz val="12"/>
            <color indexed="9"/>
            <rFont val="ＭＳ Ｐ明朝"/>
            <family val="1"/>
            <charset val="128"/>
          </rPr>
          <t xml:space="preserve"> </t>
        </r>
        <r>
          <rPr>
            <sz val="9"/>
            <color indexed="9"/>
            <rFont val="ＭＳ Ｐ明朝"/>
            <family val="1"/>
            <charset val="128"/>
          </rPr>
          <t xml:space="preserve">
　 　</t>
        </r>
        <r>
          <rPr>
            <sz val="9"/>
            <color indexed="81"/>
            <rFont val="Meiryo UI"/>
            <family val="3"/>
            <charset val="128"/>
          </rPr>
          <t xml:space="preserve">天然ガス・都市ガス-13A 
</t>
        </r>
        <r>
          <rPr>
            <sz val="8.5"/>
            <color indexed="9"/>
            <rFont val="ＭＳ ゴシック"/>
            <family val="3"/>
            <charset val="128"/>
          </rPr>
          <t xml:space="preserve"> 　</t>
        </r>
        <r>
          <rPr>
            <sz val="8.5"/>
            <color indexed="32"/>
            <rFont val="ＭＳ ゴシック"/>
            <family val="3"/>
            <charset val="128"/>
          </rPr>
          <t>ディーゼル軽油：38.2[MJ／L]  ( L:</t>
        </r>
        <r>
          <rPr>
            <sz val="8.5"/>
            <color indexed="32"/>
            <rFont val="ＭＳ Ｐゴシック"/>
            <family val="3"/>
            <charset val="128"/>
          </rPr>
          <t>リットル</t>
        </r>
        <r>
          <rPr>
            <sz val="8.5"/>
            <color indexed="32"/>
            <rFont val="ＭＳ ゴシック"/>
            <family val="3"/>
            <charset val="128"/>
          </rPr>
          <t>)</t>
        </r>
        <r>
          <rPr>
            <sz val="14"/>
            <color indexed="32"/>
            <rFont val="ＭＳ ゴシック"/>
            <family val="3"/>
            <charset val="128"/>
          </rPr>
          <t xml:space="preserve"> </t>
        </r>
        <r>
          <rPr>
            <sz val="8.5"/>
            <color indexed="32"/>
            <rFont val="ＭＳ ゴシック"/>
            <family val="3"/>
            <charset val="128"/>
          </rPr>
          <t xml:space="preserve">
 　Ａ 重 油      ：39.1[MJ／L]
 　軽  　 油     ：34.1[MJ／L]
 　天然ガス      ：40.9[MJ／Ｎm3]
 　都市ガス-13A  ：41.1[MJ／Ｎm3]</t>
        </r>
      </text>
    </comment>
    <comment ref="BM79" authorId="0">
      <text>
        <r>
          <rPr>
            <b/>
            <sz val="9"/>
            <color indexed="81"/>
            <rFont val="ＭＳ Ｐゴシック"/>
            <family val="3"/>
            <charset val="128"/>
          </rPr>
          <t>　</t>
        </r>
        <r>
          <rPr>
            <b/>
            <sz val="9"/>
            <color indexed="81"/>
            <rFont val="ＭＳ Ｐ明朝"/>
            <family val="1"/>
            <charset val="128"/>
          </rPr>
          <t xml:space="preserve">    </t>
        </r>
        <r>
          <rPr>
            <b/>
            <sz val="11"/>
            <color indexed="37"/>
            <rFont val="ＭＳ Ｐ明朝"/>
            <family val="1"/>
            <charset val="128"/>
          </rPr>
          <t>発電機KVA単価</t>
        </r>
        <r>
          <rPr>
            <b/>
            <sz val="18"/>
            <color indexed="32"/>
            <rFont val="ＭＳ Ｐ明朝"/>
            <family val="1"/>
            <charset val="128"/>
          </rPr>
          <t xml:space="preserve"> </t>
        </r>
        <r>
          <rPr>
            <b/>
            <sz val="9"/>
            <color indexed="81"/>
            <rFont val="ＭＳ Ｐゴシック"/>
            <family val="3"/>
            <charset val="128"/>
          </rPr>
          <t xml:space="preserve">
</t>
        </r>
        <r>
          <rPr>
            <sz val="9"/>
            <color indexed="81"/>
            <rFont val="Meiryo UI"/>
            <family val="3"/>
            <charset val="128"/>
          </rPr>
          <t>　　発電機ユニット</t>
        </r>
        <r>
          <rPr>
            <b/>
            <sz val="9"/>
            <color indexed="81"/>
            <rFont val="ＭＳ Ｐゴシック"/>
            <family val="3"/>
            <charset val="128"/>
          </rPr>
          <t xml:space="preserve"> [円／KVA]</t>
        </r>
        <r>
          <rPr>
            <b/>
            <sz val="12"/>
            <color indexed="81"/>
            <rFont val="ＭＳ Ｐゴシック"/>
            <family val="3"/>
            <charset val="128"/>
          </rPr>
          <t xml:space="preserve"> </t>
        </r>
        <r>
          <rPr>
            <b/>
            <sz val="9"/>
            <color indexed="9"/>
            <rFont val="ＭＳ Ｐ明朝"/>
            <family val="1"/>
            <charset val="128"/>
          </rPr>
          <t xml:space="preserve">
　</t>
        </r>
      </text>
    </comment>
  </commentList>
</comments>
</file>

<file path=xl/sharedStrings.xml><?xml version="1.0" encoding="utf-8"?>
<sst xmlns="http://schemas.openxmlformats.org/spreadsheetml/2006/main" count="5158" uniqueCount="3261">
  <si>
    <t xml:space="preserve">  2012.04.23-Ver.1.1.0</t>
    <phoneticPr fontId="1"/>
  </si>
  <si>
    <t xml:space="preserve">   by  ESE Ｓervice</t>
    <phoneticPr fontId="1"/>
  </si>
  <si>
    <t xml:space="preserve">          </t>
    <phoneticPr fontId="1"/>
  </si>
  <si>
    <t>物 件 名</t>
    <rPh sb="0" eb="1">
      <t>モノ</t>
    </rPh>
    <rPh sb="2" eb="3">
      <t>ケン</t>
    </rPh>
    <rPh sb="4" eb="5">
      <t>メイ</t>
    </rPh>
    <phoneticPr fontId="8"/>
  </si>
  <si>
    <t>担 当</t>
    <rPh sb="0" eb="1">
      <t>タン</t>
    </rPh>
    <rPh sb="2" eb="3">
      <t>トウ</t>
    </rPh>
    <phoneticPr fontId="8"/>
  </si>
  <si>
    <t>建 築 主</t>
    <rPh sb="0" eb="1">
      <t>ケン</t>
    </rPh>
    <rPh sb="2" eb="3">
      <t>チク</t>
    </rPh>
    <rPh sb="4" eb="5">
      <t>シュ</t>
    </rPh>
    <phoneticPr fontId="8"/>
  </si>
  <si>
    <t>設 計 者</t>
    <rPh sb="0" eb="1">
      <t>セツ</t>
    </rPh>
    <rPh sb="2" eb="3">
      <t>ケイ</t>
    </rPh>
    <rPh sb="4" eb="5">
      <t>モノ</t>
    </rPh>
    <phoneticPr fontId="8"/>
  </si>
  <si>
    <t>一次請負</t>
    <rPh sb="0" eb="2">
      <t>イチジ</t>
    </rPh>
    <rPh sb="2" eb="4">
      <t>ウケオイ</t>
    </rPh>
    <phoneticPr fontId="8"/>
  </si>
  <si>
    <t>受注確率</t>
    <rPh sb="0" eb="2">
      <t>ジュチュウ</t>
    </rPh>
    <rPh sb="2" eb="4">
      <t>カクリツ</t>
    </rPh>
    <phoneticPr fontId="8"/>
  </si>
  <si>
    <t>営業情報</t>
    <rPh sb="0" eb="2">
      <t>エイギョウ</t>
    </rPh>
    <rPh sb="2" eb="4">
      <t>ジョウホウ</t>
    </rPh>
    <phoneticPr fontId="8"/>
  </si>
  <si>
    <t>消令別表第一</t>
    <rPh sb="0" eb="1">
      <t>ケ</t>
    </rPh>
    <rPh sb="1" eb="2">
      <t>レイ</t>
    </rPh>
    <rPh sb="2" eb="4">
      <t>ベッピョウ</t>
    </rPh>
    <phoneticPr fontId="8"/>
  </si>
  <si>
    <t>専用部</t>
    <rPh sb="0" eb="2">
      <t>センヨウ</t>
    </rPh>
    <rPh sb="2" eb="3">
      <t>ブ</t>
    </rPh>
    <phoneticPr fontId="8"/>
  </si>
  <si>
    <t>共用部</t>
    <rPh sb="0" eb="2">
      <t>キョウヨウ</t>
    </rPh>
    <rPh sb="2" eb="3">
      <t>ブ</t>
    </rPh>
    <phoneticPr fontId="8"/>
  </si>
  <si>
    <t>有無窓</t>
    <rPh sb="0" eb="1">
      <t>ユウ</t>
    </rPh>
    <rPh sb="1" eb="3">
      <t>ムソウ</t>
    </rPh>
    <phoneticPr fontId="1"/>
  </si>
  <si>
    <t>収容</t>
    <rPh sb="0" eb="2">
      <t>シュウヨウ</t>
    </rPh>
    <phoneticPr fontId="1"/>
  </si>
  <si>
    <t>％</t>
    <phoneticPr fontId="1"/>
  </si>
  <si>
    <t>m2</t>
    <phoneticPr fontId="1"/>
  </si>
  <si>
    <t>建</t>
    <rPh sb="0" eb="1">
      <t>ケン</t>
    </rPh>
    <phoneticPr fontId="1"/>
  </si>
  <si>
    <t>消</t>
    <rPh sb="0" eb="1">
      <t>ショウ</t>
    </rPh>
    <phoneticPr fontId="1"/>
  </si>
  <si>
    <t>人員</t>
    <rPh sb="0" eb="2">
      <t>ジンイン</t>
    </rPh>
    <phoneticPr fontId="1"/>
  </si>
  <si>
    <t>照明器具-1</t>
    <rPh sb="0" eb="2">
      <t>ショウメイ</t>
    </rPh>
    <rPh sb="2" eb="4">
      <t>キグ</t>
    </rPh>
    <phoneticPr fontId="1"/>
  </si>
  <si>
    <t>Ｕ</t>
    <phoneticPr fontId="1"/>
  </si>
  <si>
    <t>Ｍ</t>
    <phoneticPr fontId="1"/>
  </si>
  <si>
    <t>Ｄｆ</t>
    <phoneticPr fontId="1"/>
  </si>
  <si>
    <t>平均照度</t>
    <rPh sb="0" eb="2">
      <t>ヘイキン</t>
    </rPh>
    <rPh sb="2" eb="4">
      <t>ショウド</t>
    </rPh>
    <phoneticPr fontId="1"/>
  </si>
  <si>
    <t>照明器具-2</t>
    <rPh sb="0" eb="2">
      <t>ショウメイ</t>
    </rPh>
    <rPh sb="2" eb="4">
      <t>キグ</t>
    </rPh>
    <phoneticPr fontId="1"/>
  </si>
  <si>
    <t>一般</t>
    <rPh sb="0" eb="2">
      <t>イッパン</t>
    </rPh>
    <phoneticPr fontId="1"/>
  </si>
  <si>
    <t>専用</t>
    <rPh sb="0" eb="2">
      <t>センヨウ</t>
    </rPh>
    <phoneticPr fontId="1"/>
  </si>
  <si>
    <t>入力年月日</t>
    <rPh sb="0" eb="2">
      <t>ニュウリョク</t>
    </rPh>
    <rPh sb="2" eb="5">
      <t>ネンガッピ</t>
    </rPh>
    <phoneticPr fontId="8"/>
  </si>
  <si>
    <t>劇場等</t>
    <phoneticPr fontId="8"/>
  </si>
  <si>
    <t>特</t>
    <rPh sb="0" eb="1">
      <t>トク</t>
    </rPh>
    <phoneticPr fontId="8"/>
  </si>
  <si>
    <t>無窓</t>
    <rPh sb="0" eb="2">
      <t>ムソウ</t>
    </rPh>
    <phoneticPr fontId="1"/>
  </si>
  <si>
    <t>D15-321PH</t>
    <phoneticPr fontId="1"/>
  </si>
  <si>
    <t>d21-241PN</t>
    <phoneticPr fontId="1"/>
  </si>
  <si>
    <t>A15-321PH</t>
    <phoneticPr fontId="1"/>
  </si>
  <si>
    <t>d21-241PX</t>
    <phoneticPr fontId="1"/>
  </si>
  <si>
    <t>LSS1-3150LM-LJ</t>
    <phoneticPr fontId="1"/>
  </si>
  <si>
    <t>LBS1-1900LM-LZ</t>
    <phoneticPr fontId="1"/>
  </si>
  <si>
    <t>(1) イ</t>
    <phoneticPr fontId="8"/>
  </si>
  <si>
    <t>集会所等</t>
    <phoneticPr fontId="8"/>
  </si>
  <si>
    <t>D9-321PH</t>
    <phoneticPr fontId="1"/>
  </si>
  <si>
    <t>LSS3-6300LM-LX</t>
    <phoneticPr fontId="1"/>
  </si>
  <si>
    <t>LBS1-3300LM-LZ</t>
    <phoneticPr fontId="1"/>
  </si>
  <si>
    <t>(1) ロ</t>
    <phoneticPr fontId="8"/>
  </si>
  <si>
    <t>電力会社</t>
    <rPh sb="0" eb="2">
      <t>デンリョク</t>
    </rPh>
    <rPh sb="2" eb="4">
      <t>カイシャ</t>
    </rPh>
    <phoneticPr fontId="1"/>
  </si>
  <si>
    <t>(2) イ</t>
    <phoneticPr fontId="8"/>
  </si>
  <si>
    <t>キャバレー等</t>
    <phoneticPr fontId="8"/>
  </si>
  <si>
    <t>C9-323PR</t>
  </si>
  <si>
    <t>d22-241PN</t>
    <phoneticPr fontId="1"/>
  </si>
  <si>
    <t>LRS1-950LM-LZ</t>
    <phoneticPr fontId="1"/>
  </si>
  <si>
    <t>地点</t>
    <rPh sb="0" eb="2">
      <t>チテン</t>
    </rPh>
    <phoneticPr fontId="1"/>
  </si>
  <si>
    <t>新　潟</t>
    <rPh sb="0" eb="1">
      <t>シン</t>
    </rPh>
    <rPh sb="2" eb="3">
      <t>カタ</t>
    </rPh>
    <phoneticPr fontId="1"/>
  </si>
  <si>
    <t>▼</t>
    <phoneticPr fontId="1"/>
  </si>
  <si>
    <t>▼</t>
    <phoneticPr fontId="1"/>
  </si>
  <si>
    <t>(2) ロ</t>
    <phoneticPr fontId="8"/>
  </si>
  <si>
    <t>遊技場等</t>
    <phoneticPr fontId="8"/>
  </si>
  <si>
    <t>D12-454PN</t>
    <phoneticPr fontId="1"/>
  </si>
  <si>
    <t>d23-422PN</t>
    <phoneticPr fontId="1"/>
  </si>
  <si>
    <t>LRS3-6300LM-LX</t>
    <phoneticPr fontId="1"/>
  </si>
  <si>
    <t>(2) ロ</t>
    <phoneticPr fontId="8"/>
  </si>
  <si>
    <t>修正</t>
    <rPh sb="0" eb="2">
      <t>シュウセイ</t>
    </rPh>
    <phoneticPr fontId="1"/>
  </si>
  <si>
    <t>(2) ハ</t>
    <phoneticPr fontId="8"/>
  </si>
  <si>
    <t>性風俗関連特殊営業店舗等</t>
    <phoneticPr fontId="8"/>
  </si>
  <si>
    <t>B7-321PH</t>
    <phoneticPr fontId="1"/>
  </si>
  <si>
    <t>A15-162PX</t>
    <phoneticPr fontId="1"/>
  </si>
  <si>
    <t>(2) ハ</t>
    <phoneticPr fontId="8"/>
  </si>
  <si>
    <t>防火地域</t>
    <rPh sb="0" eb="1">
      <t>ボウカ</t>
    </rPh>
    <rPh sb="1" eb="3">
      <t>チイキ</t>
    </rPh>
    <phoneticPr fontId="8"/>
  </si>
  <si>
    <t>建設物価</t>
    <rPh sb="0" eb="2">
      <t>ケンセツ</t>
    </rPh>
    <rPh sb="2" eb="4">
      <t>ブッカ</t>
    </rPh>
    <phoneticPr fontId="1"/>
  </si>
  <si>
    <t>(2) ニ</t>
    <phoneticPr fontId="8"/>
  </si>
  <si>
    <t>カラオケボックス等</t>
    <phoneticPr fontId="8"/>
  </si>
  <si>
    <t>C9-323PR</t>
    <phoneticPr fontId="1"/>
  </si>
  <si>
    <t>D15-162PH</t>
    <phoneticPr fontId="1"/>
  </si>
  <si>
    <t>(2) ニ</t>
    <phoneticPr fontId="8"/>
  </si>
  <si>
    <t>(3) イ</t>
    <phoneticPr fontId="8"/>
  </si>
  <si>
    <t>料理店等</t>
    <phoneticPr fontId="8"/>
  </si>
  <si>
    <t>有窓</t>
    <rPh sb="0" eb="1">
      <t>ユウ</t>
    </rPh>
    <rPh sb="1" eb="2">
      <t>マド</t>
    </rPh>
    <phoneticPr fontId="1"/>
  </si>
  <si>
    <t>C9-454PN</t>
    <phoneticPr fontId="1"/>
  </si>
  <si>
    <t>V9MP-322PH</t>
    <phoneticPr fontId="1"/>
  </si>
  <si>
    <t>準防火地域</t>
    <rPh sb="0" eb="2">
      <t>ボウカ</t>
    </rPh>
    <rPh sb="2" eb="4">
      <t>チイキ</t>
    </rPh>
    <phoneticPr fontId="8"/>
  </si>
  <si>
    <t>敷地N</t>
    <rPh sb="0" eb="2">
      <t>シキチ</t>
    </rPh>
    <phoneticPr fontId="1"/>
  </si>
  <si>
    <t>容積率[%]</t>
    <rPh sb="0" eb="2">
      <t>ヨウセキ</t>
    </rPh>
    <rPh sb="2" eb="3">
      <t>リツ</t>
    </rPh>
    <phoneticPr fontId="1"/>
  </si>
  <si>
    <t>(3) ロ</t>
    <phoneticPr fontId="8"/>
  </si>
  <si>
    <t>飲食店</t>
    <phoneticPr fontId="8"/>
  </si>
  <si>
    <t>(3) ロ</t>
    <phoneticPr fontId="8"/>
  </si>
  <si>
    <t>指定なし</t>
    <rPh sb="0" eb="1">
      <t>シテイ</t>
    </rPh>
    <phoneticPr fontId="8"/>
  </si>
  <si>
    <t>？天井高？</t>
    <rPh sb="1" eb="3">
      <t>テンジョウ</t>
    </rPh>
    <rPh sb="3" eb="4">
      <t>タカ</t>
    </rPh>
    <phoneticPr fontId="1"/>
  </si>
  <si>
    <t>XY確認</t>
    <rPh sb="2" eb="4">
      <t>カクニン</t>
    </rPh>
    <phoneticPr fontId="1"/>
  </si>
  <si>
    <t>百貨店等</t>
    <phoneticPr fontId="1"/>
  </si>
  <si>
    <t>D11-454PN</t>
    <phoneticPr fontId="1"/>
  </si>
  <si>
    <t>LBS1-6800LM-LZ</t>
    <phoneticPr fontId="1"/>
  </si>
  <si>
    <t>( 4 )</t>
    <phoneticPr fontId="1"/>
  </si>
  <si>
    <t>第一種低層住居専用地域</t>
    <phoneticPr fontId="1"/>
  </si>
  <si>
    <t>摘要</t>
    <rPh sb="0" eb="1">
      <t>テキ</t>
    </rPh>
    <rPh sb="1" eb="2">
      <t>ヨウ</t>
    </rPh>
    <phoneticPr fontId="1"/>
  </si>
  <si>
    <t>階
名称</t>
    <rPh sb="0" eb="1">
      <t>カイ</t>
    </rPh>
    <rPh sb="2" eb="4">
      <t>メイショウ</t>
    </rPh>
    <phoneticPr fontId="1"/>
  </si>
  <si>
    <t>階高</t>
    <rPh sb="0" eb="2">
      <t>カイダカ</t>
    </rPh>
    <phoneticPr fontId="1"/>
  </si>
  <si>
    <t>天井高</t>
    <rPh sb="0" eb="2">
      <t>テンジョウ</t>
    </rPh>
    <rPh sb="2" eb="3">
      <t>タカ</t>
    </rPh>
    <phoneticPr fontId="1"/>
  </si>
  <si>
    <t>1FL</t>
    <phoneticPr fontId="1"/>
  </si>
  <si>
    <t>床面積</t>
    <rPh sb="0" eb="1">
      <t>ユカ</t>
    </rPh>
    <rPh sb="1" eb="3">
      <t>メンセキ</t>
    </rPh>
    <phoneticPr fontId="1"/>
  </si>
  <si>
    <t>専用部</t>
    <rPh sb="0" eb="2">
      <t>センヨウ</t>
    </rPh>
    <rPh sb="2" eb="3">
      <t>ブ</t>
    </rPh>
    <phoneticPr fontId="1"/>
  </si>
  <si>
    <t>⇐修正</t>
    <rPh sb="1" eb="3">
      <t>シュウセイ</t>
    </rPh>
    <phoneticPr fontId="1"/>
  </si>
  <si>
    <t>共用部</t>
    <rPh sb="0" eb="2">
      <t>キョウヨウ</t>
    </rPh>
    <rPh sb="2" eb="3">
      <t>ブ</t>
    </rPh>
    <phoneticPr fontId="1"/>
  </si>
  <si>
    <t>建基法上</t>
    <rPh sb="0" eb="3">
      <t>ケンキホウ</t>
    </rPh>
    <rPh sb="3" eb="4">
      <t>ウエ</t>
    </rPh>
    <phoneticPr fontId="1"/>
  </si>
  <si>
    <t>消防法上</t>
    <rPh sb="0" eb="3">
      <t>ショウボウホウ</t>
    </rPh>
    <rPh sb="3" eb="4">
      <t>ウエ</t>
    </rPh>
    <phoneticPr fontId="1"/>
  </si>
  <si>
    <t>消防法</t>
    <rPh sb="0" eb="3">
      <t>ショウボウホウ</t>
    </rPh>
    <phoneticPr fontId="1"/>
  </si>
  <si>
    <t>入</t>
    <rPh sb="0" eb="1">
      <t>イ</t>
    </rPh>
    <phoneticPr fontId="1"/>
  </si>
  <si>
    <t>(5) イ</t>
    <phoneticPr fontId="8"/>
  </si>
  <si>
    <t>旅館等</t>
    <phoneticPr fontId="8"/>
  </si>
  <si>
    <t>C9-323PR</t>
    <phoneticPr fontId="1"/>
  </si>
  <si>
    <t>d22-241PN</t>
    <phoneticPr fontId="1"/>
  </si>
  <si>
    <t>A15-321PH</t>
    <phoneticPr fontId="1"/>
  </si>
  <si>
    <t>d21-241PX</t>
    <phoneticPr fontId="1"/>
  </si>
  <si>
    <t>LSS1-3150LM-LJ</t>
    <phoneticPr fontId="1"/>
  </si>
  <si>
    <t>LRS1-950LM-LZ</t>
    <phoneticPr fontId="1"/>
  </si>
  <si>
    <t>LBS1-3300LM-LZ</t>
    <phoneticPr fontId="1"/>
  </si>
  <si>
    <t>LBS1-1900LM-LZ</t>
    <phoneticPr fontId="1"/>
  </si>
  <si>
    <t>(5) イ</t>
    <phoneticPr fontId="8"/>
  </si>
  <si>
    <t>第二種低層住居専用地域</t>
    <phoneticPr fontId="1"/>
  </si>
  <si>
    <t>[ｍ]</t>
    <phoneticPr fontId="1"/>
  </si>
  <si>
    <t>GL+ｍ</t>
    <phoneticPr fontId="1"/>
  </si>
  <si>
    <t>[ｍ2]</t>
    <phoneticPr fontId="1"/>
  </si>
  <si>
    <t>面積[ｍ2]</t>
    <phoneticPr fontId="1"/>
  </si>
  <si>
    <t>室数</t>
    <rPh sb="0" eb="1">
      <t>シツ</t>
    </rPh>
    <rPh sb="1" eb="2">
      <t>スウ</t>
    </rPh>
    <phoneticPr fontId="1"/>
  </si>
  <si>
    <t>有無</t>
    <rPh sb="0" eb="1">
      <t>ユウ</t>
    </rPh>
    <rPh sb="1" eb="2">
      <t>ム</t>
    </rPh>
    <phoneticPr fontId="1"/>
  </si>
  <si>
    <t>令別表</t>
    <rPh sb="0" eb="1">
      <t>レイ</t>
    </rPh>
    <rPh sb="1" eb="3">
      <t>ベッピョウ</t>
    </rPh>
    <phoneticPr fontId="1"/>
  </si>
  <si>
    <t>力</t>
    <rPh sb="0" eb="1">
      <t>リョク</t>
    </rPh>
    <phoneticPr fontId="1"/>
  </si>
  <si>
    <t>B</t>
    <phoneticPr fontId="1"/>
  </si>
  <si>
    <t>F</t>
    <phoneticPr fontId="1"/>
  </si>
  <si>
    <t>P</t>
    <phoneticPr fontId="1"/>
  </si>
  <si>
    <t>表</t>
    <rPh sb="0" eb="1">
      <t>ヒョウ</t>
    </rPh>
    <phoneticPr fontId="1"/>
  </si>
  <si>
    <t>無</t>
    <rPh sb="0" eb="1">
      <t>ム</t>
    </rPh>
    <phoneticPr fontId="1"/>
  </si>
  <si>
    <t>PH</t>
    <phoneticPr fontId="1"/>
  </si>
  <si>
    <t>ES</t>
    <phoneticPr fontId="1"/>
  </si>
  <si>
    <t>(5) ロ 共同住宅等</t>
    <phoneticPr fontId="8"/>
  </si>
  <si>
    <t>第一種中高層住居専用地域</t>
    <phoneticPr fontId="1"/>
  </si>
  <si>
    <t>(6) イ</t>
    <phoneticPr fontId="8"/>
  </si>
  <si>
    <t>病院等</t>
    <phoneticPr fontId="8"/>
  </si>
  <si>
    <t>A15-322PH</t>
    <phoneticPr fontId="1"/>
  </si>
  <si>
    <t>(6) イ</t>
    <phoneticPr fontId="8"/>
  </si>
  <si>
    <t xml:space="preserve">第二種中高層住居専用地域 </t>
    <phoneticPr fontId="1"/>
  </si>
  <si>
    <t>(6) ロ</t>
    <phoneticPr fontId="8"/>
  </si>
  <si>
    <t>老人短期入所施設等</t>
    <phoneticPr fontId="8"/>
  </si>
  <si>
    <t>LRS3-6300LM-LX</t>
    <phoneticPr fontId="1"/>
  </si>
  <si>
    <t>(6) ロ</t>
    <phoneticPr fontId="8"/>
  </si>
  <si>
    <t>第一種住居地域</t>
    <phoneticPr fontId="1"/>
  </si>
  <si>
    <t>(6) ハ</t>
    <phoneticPr fontId="8"/>
  </si>
  <si>
    <t>老人ディサービスセンター等</t>
    <phoneticPr fontId="8"/>
  </si>
  <si>
    <t>第二種住居地域</t>
    <phoneticPr fontId="1"/>
  </si>
  <si>
    <t>(6) ニ</t>
    <phoneticPr fontId="8"/>
  </si>
  <si>
    <t>特殊支援学校等</t>
    <phoneticPr fontId="8"/>
  </si>
  <si>
    <t>V9-322PH</t>
    <phoneticPr fontId="1"/>
  </si>
  <si>
    <t>V9-321PH</t>
    <phoneticPr fontId="1"/>
  </si>
  <si>
    <t>準住居地域</t>
    <phoneticPr fontId="1"/>
  </si>
  <si>
    <t>( 7 )</t>
    <phoneticPr fontId="8"/>
  </si>
  <si>
    <t>学校等</t>
    <phoneticPr fontId="8"/>
  </si>
  <si>
    <t>近隣商業地域</t>
    <phoneticPr fontId="1"/>
  </si>
  <si>
    <t>( 8 )</t>
    <phoneticPr fontId="8"/>
  </si>
  <si>
    <t>図書館等</t>
    <phoneticPr fontId="8"/>
  </si>
  <si>
    <t>d21-424PN</t>
    <phoneticPr fontId="1"/>
  </si>
  <si>
    <t>( 8 )</t>
    <phoneticPr fontId="8"/>
  </si>
  <si>
    <t>商業地域</t>
    <phoneticPr fontId="1"/>
  </si>
  <si>
    <t>(9) イ 蒸気浴場等</t>
    <phoneticPr fontId="8"/>
  </si>
  <si>
    <t>準工業地域</t>
    <phoneticPr fontId="1"/>
  </si>
  <si>
    <t>(9) ロ 一般浴場</t>
    <phoneticPr fontId="8"/>
  </si>
  <si>
    <t>工業地域</t>
    <phoneticPr fontId="1"/>
  </si>
  <si>
    <t>( 10)</t>
    <phoneticPr fontId="8"/>
  </si>
  <si>
    <t>車両停車場</t>
    <phoneticPr fontId="8"/>
  </si>
  <si>
    <t>V9-322PH</t>
    <phoneticPr fontId="1"/>
  </si>
  <si>
    <t>V9-321PH</t>
    <phoneticPr fontId="1"/>
  </si>
  <si>
    <t>工業専用地域</t>
    <phoneticPr fontId="1"/>
  </si>
  <si>
    <t>( 11) 神社等</t>
    <phoneticPr fontId="8"/>
  </si>
  <si>
    <t>特別用途地区</t>
    <phoneticPr fontId="1"/>
  </si>
  <si>
    <t>(12)イ</t>
    <phoneticPr fontId="8"/>
  </si>
  <si>
    <t>工場等</t>
    <phoneticPr fontId="8"/>
  </si>
  <si>
    <t>R2-322PH</t>
    <phoneticPr fontId="1"/>
  </si>
  <si>
    <t>R2-321PH</t>
    <phoneticPr fontId="1"/>
  </si>
  <si>
    <t>(12)ロ スタジオ等</t>
    <phoneticPr fontId="8"/>
  </si>
  <si>
    <t>(13)イ</t>
    <phoneticPr fontId="8"/>
  </si>
  <si>
    <t>車庫等</t>
    <phoneticPr fontId="8"/>
  </si>
  <si>
    <t>( 14)</t>
    <phoneticPr fontId="8"/>
  </si>
  <si>
    <t>倉庫</t>
    <phoneticPr fontId="8"/>
  </si>
  <si>
    <t>( 15)</t>
    <phoneticPr fontId="8"/>
  </si>
  <si>
    <t>前各項以外</t>
    <phoneticPr fontId="8"/>
  </si>
  <si>
    <t>(16)イ</t>
    <phoneticPr fontId="8"/>
  </si>
  <si>
    <t>特定用途の存する複合</t>
    <phoneticPr fontId="8"/>
  </si>
  <si>
    <t>(16)ロ</t>
    <phoneticPr fontId="8"/>
  </si>
  <si>
    <t>イ以外の複合</t>
    <phoneticPr fontId="8"/>
  </si>
  <si>
    <t>16 の2 地下街</t>
    <phoneticPr fontId="8"/>
  </si>
  <si>
    <t>16 の3 準地下街</t>
    <phoneticPr fontId="8"/>
  </si>
  <si>
    <t>( 17) 文化財</t>
    <phoneticPr fontId="8"/>
  </si>
  <si>
    <t>提出内訳</t>
    <rPh sb="0" eb="2">
      <t>テイシュツ</t>
    </rPh>
    <rPh sb="2" eb="4">
      <t>ウチワケ</t>
    </rPh>
    <phoneticPr fontId="1"/>
  </si>
  <si>
    <t>┬</t>
    <phoneticPr fontId="1"/>
  </si>
  <si>
    <t>─</t>
    <phoneticPr fontId="1"/>
  </si>
  <si>
    <t>建物</t>
    <rPh sb="0" eb="2">
      <t>タテモノ</t>
    </rPh>
    <phoneticPr fontId="1"/>
  </si>
  <si>
    <t>B</t>
    <phoneticPr fontId="1"/>
  </si>
  <si>
    <t>F</t>
    <phoneticPr fontId="1"/>
  </si>
  <si>
    <t>P</t>
    <phoneticPr fontId="1"/>
  </si>
  <si>
    <t>( 18) アーケード</t>
    <phoneticPr fontId="8"/>
  </si>
  <si>
    <t>計算Help</t>
    <rPh sb="0" eb="2">
      <t>ケイサン</t>
    </rPh>
    <phoneticPr fontId="1"/>
  </si>
  <si>
    <t>原価内訳</t>
    <rPh sb="0" eb="2">
      <t>ゲンカ</t>
    </rPh>
    <rPh sb="2" eb="4">
      <t>ウチワケ</t>
    </rPh>
    <phoneticPr fontId="1"/>
  </si>
  <si>
    <t>┴</t>
    <phoneticPr fontId="1"/>
  </si>
  <si>
    <t>歩掛</t>
    <rPh sb="0" eb="2">
      <t>ブガカ</t>
    </rPh>
    <phoneticPr fontId="1"/>
  </si>
  <si>
    <t>Help</t>
    <phoneticPr fontId="1"/>
  </si>
  <si>
    <t>Help</t>
    <phoneticPr fontId="1"/>
  </si>
  <si>
    <t>( 19)</t>
    <phoneticPr fontId="1"/>
  </si>
  <si>
    <t>市町村長の指定する山林</t>
    <phoneticPr fontId="8"/>
  </si>
  <si>
    <r>
      <t>法的規制</t>
    </r>
    <r>
      <rPr>
        <sz val="9"/>
        <color rgb="FF002060"/>
        <rFont val="HGP明朝B"/>
        <family val="1"/>
        <charset val="128"/>
      </rPr>
      <t>(参考)</t>
    </r>
    <rPh sb="0" eb="1">
      <t>ホウ</t>
    </rPh>
    <rPh sb="1" eb="2">
      <t>マト</t>
    </rPh>
    <rPh sb="2" eb="3">
      <t>タダシ</t>
    </rPh>
    <rPh sb="3" eb="4">
      <t>セイ</t>
    </rPh>
    <rPh sb="5" eb="7">
      <t>サンコウ</t>
    </rPh>
    <phoneticPr fontId="1"/>
  </si>
  <si>
    <t>記号</t>
    <rPh sb="0" eb="1">
      <t>キ</t>
    </rPh>
    <rPh sb="1" eb="2">
      <t>ゴウ</t>
    </rPh>
    <phoneticPr fontId="1"/>
  </si>
  <si>
    <t>誘 導 灯</t>
  </si>
  <si>
    <t>基準</t>
    <rPh sb="0" eb="1">
      <t>キ</t>
    </rPh>
    <rPh sb="1" eb="2">
      <t>ジュン</t>
    </rPh>
    <phoneticPr fontId="1"/>
  </si>
  <si>
    <t>非常警報</t>
    <rPh sb="0" eb="2">
      <t>ヒジョウ</t>
    </rPh>
    <rPh sb="2" eb="3">
      <t>ケイ</t>
    </rPh>
    <rPh sb="3" eb="4">
      <t>ホウ</t>
    </rPh>
    <phoneticPr fontId="1"/>
  </si>
  <si>
    <t>通</t>
    <rPh sb="0" eb="1">
      <t>ツウ</t>
    </rPh>
    <phoneticPr fontId="1"/>
  </si>
  <si>
    <t>自　動　火　災　報　知　設　備</t>
    <rPh sb="0" eb="1">
      <t>ジ</t>
    </rPh>
    <rPh sb="2" eb="3">
      <t>ドウ</t>
    </rPh>
    <rPh sb="4" eb="5">
      <t>ヒ</t>
    </rPh>
    <rPh sb="6" eb="7">
      <t>サイ</t>
    </rPh>
    <rPh sb="8" eb="9">
      <t>ホウ</t>
    </rPh>
    <rPh sb="10" eb="11">
      <t>チ</t>
    </rPh>
    <rPh sb="12" eb="13">
      <t>セツ</t>
    </rPh>
    <rPh sb="14" eb="15">
      <t>ソナエ</t>
    </rPh>
    <phoneticPr fontId="1"/>
  </si>
  <si>
    <t>ガス</t>
    <phoneticPr fontId="1"/>
  </si>
  <si>
    <t>非常</t>
    <rPh sb="0" eb="2">
      <t>ヒジョウ</t>
    </rPh>
    <phoneticPr fontId="1"/>
  </si>
  <si>
    <t>屋内消火</t>
    <rPh sb="0" eb="1">
      <t>ヤ</t>
    </rPh>
    <rPh sb="1" eb="2">
      <t>ナイ</t>
    </rPh>
    <rPh sb="2" eb="4">
      <t>ショウカ</t>
    </rPh>
    <phoneticPr fontId="1"/>
  </si>
  <si>
    <t>スプリン</t>
    <phoneticPr fontId="1"/>
  </si>
  <si>
    <t>排  煙</t>
    <rPh sb="0" eb="1">
      <t>ハイ</t>
    </rPh>
    <rPh sb="3" eb="4">
      <t>ケムリ</t>
    </rPh>
    <phoneticPr fontId="1"/>
  </si>
  <si>
    <t>避雷</t>
    <rPh sb="0" eb="1">
      <t>ヒ</t>
    </rPh>
    <rPh sb="1" eb="2">
      <t>カミナリ</t>
    </rPh>
    <phoneticPr fontId="1"/>
  </si>
  <si>
    <t>User 登録(担当者指名)</t>
    <rPh sb="5" eb="7">
      <t>トウロク</t>
    </rPh>
    <rPh sb="8" eb="11">
      <t>タントウシャ</t>
    </rPh>
    <rPh sb="11" eb="13">
      <t>シメイ</t>
    </rPh>
    <phoneticPr fontId="1"/>
  </si>
  <si>
    <t>User 登録(建築主名)</t>
    <rPh sb="5" eb="7">
      <t>トウロク</t>
    </rPh>
    <rPh sb="8" eb="10">
      <t>ケンチク</t>
    </rPh>
    <rPh sb="10" eb="11">
      <t>シュ</t>
    </rPh>
    <rPh sb="11" eb="12">
      <t>メイ</t>
    </rPh>
    <phoneticPr fontId="1"/>
  </si>
  <si>
    <t>User 登録(設計者名)</t>
    <rPh sb="5" eb="7">
      <t>トウロク</t>
    </rPh>
    <rPh sb="8" eb="11">
      <t>セッケイシャ</t>
    </rPh>
    <rPh sb="11" eb="12">
      <t>メイ</t>
    </rPh>
    <phoneticPr fontId="1"/>
  </si>
  <si>
    <t>User 登録(一次請負)</t>
    <rPh sb="5" eb="7">
      <t>トウロク</t>
    </rPh>
    <rPh sb="8" eb="10">
      <t>イチジ</t>
    </rPh>
    <rPh sb="10" eb="12">
      <t>ウケオイ</t>
    </rPh>
    <phoneticPr fontId="1"/>
  </si>
  <si>
    <t>X1</t>
    <phoneticPr fontId="1"/>
  </si>
  <si>
    <t>Y1・X2</t>
    <phoneticPr fontId="1"/>
  </si>
  <si>
    <t>Y2・Z</t>
    <phoneticPr fontId="1"/>
  </si>
  <si>
    <t>X3</t>
    <phoneticPr fontId="1"/>
  </si>
  <si>
    <t>Yk</t>
    <phoneticPr fontId="1"/>
  </si>
  <si>
    <t>ベル</t>
    <phoneticPr fontId="1"/>
  </si>
  <si>
    <t>放送</t>
    <rPh sb="0" eb="2">
      <t>ホウソウ</t>
    </rPh>
    <phoneticPr fontId="1"/>
  </si>
  <si>
    <t>報</t>
    <rPh sb="0" eb="1">
      <t>ホウ</t>
    </rPh>
    <phoneticPr fontId="1"/>
  </si>
  <si>
    <t>設　　置　　基　　準</t>
    <rPh sb="0" eb="1">
      <t>セツ</t>
    </rPh>
    <rPh sb="3" eb="4">
      <t>チ</t>
    </rPh>
    <rPh sb="6" eb="7">
      <t>キ</t>
    </rPh>
    <rPh sb="9" eb="10">
      <t>ジュン</t>
    </rPh>
    <phoneticPr fontId="1"/>
  </si>
  <si>
    <t>煙</t>
    <rPh sb="0" eb="1">
      <t>ケムリ</t>
    </rPh>
    <phoneticPr fontId="1"/>
  </si>
  <si>
    <t>熱</t>
    <rPh sb="0" eb="1">
      <t>ネツ</t>
    </rPh>
    <phoneticPr fontId="1"/>
  </si>
  <si>
    <t>炎</t>
    <rPh sb="0" eb="1">
      <t>ホノオ</t>
    </rPh>
    <phoneticPr fontId="1"/>
  </si>
  <si>
    <t>漏れ</t>
    <rPh sb="0" eb="1">
      <t>モ</t>
    </rPh>
    <phoneticPr fontId="1"/>
  </si>
  <si>
    <t>コン</t>
    <phoneticPr fontId="1"/>
  </si>
  <si>
    <t>栓設備</t>
    <phoneticPr fontId="1"/>
  </si>
  <si>
    <t>クラ設備</t>
    <rPh sb="2" eb="4">
      <t>セツビ</t>
    </rPh>
    <phoneticPr fontId="1"/>
  </si>
  <si>
    <t>設備</t>
    <rPh sb="0" eb="1">
      <t>セツ</t>
    </rPh>
    <rPh sb="1" eb="2">
      <t>ソナエ</t>
    </rPh>
    <phoneticPr fontId="1"/>
  </si>
  <si>
    <t>収容</t>
    <phoneticPr fontId="1"/>
  </si>
  <si>
    <t>苗字 名前</t>
    <rPh sb="0" eb="2">
      <t>ミョウジ</t>
    </rPh>
    <rPh sb="3" eb="5">
      <t>ナマエ</t>
    </rPh>
    <phoneticPr fontId="1"/>
  </si>
  <si>
    <t>官公庁社・部署名</t>
    <rPh sb="0" eb="3">
      <t>カンコウチョウ</t>
    </rPh>
    <rPh sb="3" eb="4">
      <t>シャ</t>
    </rPh>
    <rPh sb="5" eb="7">
      <t>ブショ</t>
    </rPh>
    <rPh sb="7" eb="8">
      <t>メイ</t>
    </rPh>
    <phoneticPr fontId="1"/>
  </si>
  <si>
    <t>請負業者名</t>
    <rPh sb="0" eb="2">
      <t>ウケオイ</t>
    </rPh>
    <rPh sb="2" eb="4">
      <t>ギョウシャ</t>
    </rPh>
    <rPh sb="4" eb="5">
      <t>メイ</t>
    </rPh>
    <phoneticPr fontId="1"/>
  </si>
  <si>
    <t xml:space="preserve"> 地階 居室・通路</t>
    <rPh sb="1" eb="3">
      <t>チカイ</t>
    </rPh>
    <rPh sb="4" eb="6">
      <t>キョシツ</t>
    </rPh>
    <rPh sb="7" eb="9">
      <t>ツウロ</t>
    </rPh>
    <phoneticPr fontId="1"/>
  </si>
  <si>
    <r>
      <t xml:space="preserve">一般 </t>
    </r>
    <r>
      <rPr>
        <sz val="7"/>
        <rFont val="Meiryo UI"/>
        <family val="3"/>
        <charset val="128"/>
      </rPr>
      <t>[m</t>
    </r>
    <r>
      <rPr>
        <vertAlign val="superscript"/>
        <sz val="7"/>
        <rFont val="Meiryo UI"/>
        <family val="3"/>
        <charset val="128"/>
      </rPr>
      <t>2</t>
    </r>
    <r>
      <rPr>
        <sz val="7"/>
        <rFont val="Meiryo UI"/>
        <family val="3"/>
        <charset val="128"/>
      </rPr>
      <t>] 延床面積</t>
    </r>
    <rPh sb="0" eb="2">
      <t>イッパン</t>
    </rPh>
    <rPh sb="8" eb="9">
      <t>ノ</t>
    </rPh>
    <rPh sb="9" eb="10">
      <t>ユカ</t>
    </rPh>
    <rPh sb="10" eb="12">
      <t>メンセキ</t>
    </rPh>
    <phoneticPr fontId="1"/>
  </si>
  <si>
    <t>建築物1</t>
    <rPh sb="0" eb="3">
      <t>ケンチクブツ</t>
    </rPh>
    <phoneticPr fontId="1"/>
  </si>
  <si>
    <t>人員</t>
    <phoneticPr fontId="1"/>
  </si>
  <si>
    <t xml:space="preserve"> 1階 通路・階段室</t>
    <rPh sb="2" eb="3">
      <t>カイ</t>
    </rPh>
    <rPh sb="4" eb="6">
      <t>ツウロ</t>
    </rPh>
    <rPh sb="7" eb="9">
      <t>カイダン</t>
    </rPh>
    <rPh sb="9" eb="10">
      <t>シツ</t>
    </rPh>
    <phoneticPr fontId="1"/>
  </si>
  <si>
    <r>
      <t>階段対象物</t>
    </r>
    <r>
      <rPr>
        <sz val="7"/>
        <rFont val="Meiryo UI"/>
        <family val="3"/>
        <charset val="128"/>
      </rPr>
      <t xml:space="preserve"> (階段､PS)</t>
    </r>
    <rPh sb="0" eb="2">
      <t>カイダン</t>
    </rPh>
    <rPh sb="2" eb="5">
      <t>タイショウブツ</t>
    </rPh>
    <rPh sb="4" eb="5">
      <t>ブツ</t>
    </rPh>
    <rPh sb="7" eb="9">
      <t>カイダン</t>
    </rPh>
    <phoneticPr fontId="1"/>
  </si>
  <si>
    <t>inHP</t>
    <phoneticPr fontId="1"/>
  </si>
  <si>
    <t>outHP</t>
    <phoneticPr fontId="1"/>
  </si>
  <si>
    <t>SP</t>
    <phoneticPr fontId="1"/>
  </si>
  <si>
    <t>SP一般</t>
    <rPh sb="2" eb="4">
      <t>イッパン</t>
    </rPh>
    <phoneticPr fontId="1"/>
  </si>
  <si>
    <t>機械排煙</t>
    <rPh sb="0" eb="2">
      <t>キカイ</t>
    </rPh>
    <rPh sb="2" eb="4">
      <t>ハイエン</t>
    </rPh>
    <phoneticPr fontId="1"/>
  </si>
  <si>
    <t xml:space="preserve"> 1階 居室</t>
    <rPh sb="2" eb="3">
      <t>カイ</t>
    </rPh>
    <rPh sb="4" eb="6">
      <t>キョシツ</t>
    </rPh>
    <phoneticPr fontId="1"/>
  </si>
  <si>
    <r>
      <t xml:space="preserve">地階・≧2階 </t>
    </r>
    <r>
      <rPr>
        <sz val="7"/>
        <rFont val="Meiryo UI"/>
        <family val="3"/>
        <charset val="128"/>
      </rPr>
      <t>[m</t>
    </r>
    <r>
      <rPr>
        <vertAlign val="superscript"/>
        <sz val="7"/>
        <rFont val="Meiryo UI"/>
        <family val="3"/>
        <charset val="128"/>
      </rPr>
      <t>2</t>
    </r>
    <r>
      <rPr>
        <sz val="7"/>
        <rFont val="Meiryo UI"/>
        <family val="3"/>
        <charset val="128"/>
      </rPr>
      <t>]</t>
    </r>
    <r>
      <rPr>
        <sz val="8"/>
        <rFont val="Meiryo UI"/>
        <family val="3"/>
        <charset val="128"/>
      </rPr>
      <t xml:space="preserve"> </t>
    </r>
    <r>
      <rPr>
        <sz val="7"/>
        <rFont val="Meiryo UI"/>
        <family val="3"/>
        <charset val="128"/>
      </rPr>
      <t>駐車場</t>
    </r>
    <rPh sb="0" eb="2">
      <t>チカイ</t>
    </rPh>
    <rPh sb="5" eb="6">
      <t>カイ</t>
    </rPh>
    <rPh sb="12" eb="15">
      <t>チュウシャジョウ</t>
    </rPh>
    <phoneticPr fontId="1"/>
  </si>
  <si>
    <t>地・無窓階</t>
    <rPh sb="0" eb="1">
      <t>チ</t>
    </rPh>
    <rPh sb="2" eb="5">
      <t>ムソウカイ</t>
    </rPh>
    <phoneticPr fontId="1"/>
  </si>
  <si>
    <t>建築物2</t>
    <rPh sb="0" eb="3">
      <t>ケンチクブツ</t>
    </rPh>
    <phoneticPr fontId="1"/>
  </si>
  <si>
    <t>≧11F</t>
    <phoneticPr fontId="1"/>
  </si>
  <si>
    <t xml:space="preserve"> 2階 通路・階段室</t>
    <rPh sb="2" eb="3">
      <t>カイ</t>
    </rPh>
    <rPh sb="4" eb="6">
      <t>ツウロ</t>
    </rPh>
    <rPh sb="7" eb="9">
      <t>カイダン</t>
    </rPh>
    <rPh sb="9" eb="10">
      <t>シツ</t>
    </rPh>
    <phoneticPr fontId="1"/>
  </si>
  <si>
    <r>
      <t xml:space="preserve">地階・無窓階 </t>
    </r>
    <r>
      <rPr>
        <sz val="7"/>
        <rFont val="Meiryo UI"/>
        <family val="3"/>
        <charset val="128"/>
      </rPr>
      <t>[m</t>
    </r>
    <r>
      <rPr>
        <vertAlign val="superscript"/>
        <sz val="7"/>
        <rFont val="Meiryo UI"/>
        <family val="3"/>
        <charset val="128"/>
      </rPr>
      <t>2</t>
    </r>
    <r>
      <rPr>
        <sz val="7"/>
        <rFont val="Meiryo UI"/>
        <family val="3"/>
        <charset val="128"/>
      </rPr>
      <t>]</t>
    </r>
    <rPh sb="0" eb="2">
      <t>チカイ</t>
    </rPh>
    <rPh sb="3" eb="5">
      <t>ムソウ</t>
    </rPh>
    <rPh sb="5" eb="6">
      <t>カイ</t>
    </rPh>
    <phoneticPr fontId="1"/>
  </si>
  <si>
    <t>非常電源</t>
    <rPh sb="0" eb="2">
      <t>ヒジョウ</t>
    </rPh>
    <rPh sb="2" eb="4">
      <t>デンゲン</t>
    </rPh>
    <phoneticPr fontId="1"/>
  </si>
  <si>
    <t>＜11F</t>
    <phoneticPr fontId="1"/>
  </si>
  <si>
    <t xml:space="preserve"> 2階 居室</t>
    <rPh sb="2" eb="3">
      <t>カイ</t>
    </rPh>
    <rPh sb="4" eb="6">
      <t>キョシツ</t>
    </rPh>
    <phoneticPr fontId="1"/>
  </si>
  <si>
    <t>収容人員</t>
    <rPh sb="0" eb="2">
      <t>シュウヨウ</t>
    </rPh>
    <rPh sb="2" eb="4">
      <t>ジンイン</t>
    </rPh>
    <phoneticPr fontId="1"/>
  </si>
  <si>
    <t>消火器</t>
    <rPh sb="0" eb="3">
      <t>ショウカキ</t>
    </rPh>
    <phoneticPr fontId="1"/>
  </si>
  <si>
    <r>
      <t xml:space="preserve">≧　3階 </t>
    </r>
    <r>
      <rPr>
        <sz val="7"/>
        <rFont val="Meiryo UI"/>
        <family val="3"/>
        <charset val="128"/>
      </rPr>
      <t>[m</t>
    </r>
    <r>
      <rPr>
        <vertAlign val="superscript"/>
        <sz val="7"/>
        <rFont val="Meiryo UI"/>
        <family val="3"/>
        <charset val="128"/>
      </rPr>
      <t>2</t>
    </r>
    <r>
      <rPr>
        <sz val="7"/>
        <rFont val="Meiryo UI"/>
        <family val="3"/>
        <charset val="128"/>
      </rPr>
      <t>]</t>
    </r>
    <rPh sb="3" eb="4">
      <t>カイ</t>
    </rPh>
    <phoneticPr fontId="1"/>
  </si>
  <si>
    <t>A</t>
    <phoneticPr fontId="1"/>
  </si>
  <si>
    <t>屋外消火</t>
    <rPh sb="0" eb="1">
      <t>ヤ</t>
    </rPh>
    <rPh sb="1" eb="2">
      <t>ガイ</t>
    </rPh>
    <rPh sb="2" eb="4">
      <t>ショウカ</t>
    </rPh>
    <phoneticPr fontId="1"/>
  </si>
  <si>
    <t>4-10階</t>
    <rPh sb="4" eb="5">
      <t>カイ</t>
    </rPh>
    <phoneticPr fontId="1"/>
  </si>
  <si>
    <t>建築物3</t>
    <rPh sb="0" eb="3">
      <t>ケンチクブツ</t>
    </rPh>
    <phoneticPr fontId="1"/>
  </si>
  <si>
    <t>ガス漏れ</t>
    <rPh sb="2" eb="3">
      <t>モ</t>
    </rPh>
    <phoneticPr fontId="1"/>
  </si>
  <si>
    <t xml:space="preserve"> 3階 通路・階段室</t>
    <rPh sb="2" eb="3">
      <t>カイ</t>
    </rPh>
    <rPh sb="4" eb="6">
      <t>ツウロ</t>
    </rPh>
    <rPh sb="7" eb="9">
      <t>カイダン</t>
    </rPh>
    <rPh sb="9" eb="10">
      <t>シツ</t>
    </rPh>
    <phoneticPr fontId="1"/>
  </si>
  <si>
    <t>標準</t>
    <rPh sb="0" eb="2">
      <t>ヒョウジュン</t>
    </rPh>
    <phoneticPr fontId="1"/>
  </si>
  <si>
    <r>
      <t xml:space="preserve">≧11階 </t>
    </r>
    <r>
      <rPr>
        <sz val="7"/>
        <rFont val="Meiryo UI"/>
        <family val="3"/>
        <charset val="128"/>
      </rPr>
      <t>[m</t>
    </r>
    <r>
      <rPr>
        <vertAlign val="superscript"/>
        <sz val="7"/>
        <rFont val="Meiryo UI"/>
        <family val="3"/>
        <charset val="128"/>
      </rPr>
      <t>2</t>
    </r>
    <r>
      <rPr>
        <sz val="7"/>
        <rFont val="Meiryo UI"/>
        <family val="3"/>
        <charset val="128"/>
      </rPr>
      <t>]</t>
    </r>
    <rPh sb="3" eb="4">
      <t>カイ</t>
    </rPh>
    <phoneticPr fontId="1"/>
  </si>
  <si>
    <t>栓設備</t>
    <phoneticPr fontId="1"/>
  </si>
  <si>
    <t xml:space="preserve"> 3階 居室</t>
    <rPh sb="2" eb="3">
      <t>カイ</t>
    </rPh>
    <rPh sb="4" eb="6">
      <t>キョシツ</t>
    </rPh>
    <phoneticPr fontId="1"/>
  </si>
  <si>
    <t>(人)</t>
    <rPh sb="1" eb="2">
      <t>ニン</t>
    </rPh>
    <phoneticPr fontId="1"/>
  </si>
  <si>
    <t>←</t>
    <phoneticPr fontId="1"/>
  </si>
  <si>
    <t>泡　　　消　　　火</t>
    <rPh sb="0" eb="1">
      <t>アワ</t>
    </rPh>
    <rPh sb="4" eb="5">
      <t>ショウ</t>
    </rPh>
    <rPh sb="8" eb="9">
      <t>ヒ</t>
    </rPh>
    <phoneticPr fontId="1"/>
  </si>
  <si>
    <t>C</t>
    <phoneticPr fontId="1"/>
  </si>
  <si>
    <t>階数≧11</t>
    <rPh sb="1" eb="2">
      <t>スウ</t>
    </rPh>
    <phoneticPr fontId="1"/>
  </si>
  <si>
    <t>建築物4</t>
    <rPh sb="0" eb="3">
      <t>ケンチクブツ</t>
    </rPh>
    <phoneticPr fontId="1"/>
  </si>
  <si>
    <t>感知器</t>
    <rPh sb="0" eb="3">
      <t>カンチキ</t>
    </rPh>
    <phoneticPr fontId="1"/>
  </si>
  <si>
    <t>駐車場</t>
    <rPh sb="0" eb="3">
      <t>チュウシャジョウ</t>
    </rPh>
    <phoneticPr fontId="1"/>
  </si>
  <si>
    <t xml:space="preserve"> ≧ 4階 通路・階段室</t>
    <rPh sb="4" eb="5">
      <t>カイ</t>
    </rPh>
    <rPh sb="6" eb="8">
      <t>ツウロ</t>
    </rPh>
    <rPh sb="9" eb="11">
      <t>カイダン</t>
    </rPh>
    <rPh sb="11" eb="12">
      <t>シツ</t>
    </rPh>
    <phoneticPr fontId="1"/>
  </si>
  <si>
    <t>不活性ガス消火</t>
    <rPh sb="0" eb="3">
      <t>フカッセイ</t>
    </rPh>
    <rPh sb="5" eb="7">
      <t>ショウカ</t>
    </rPh>
    <phoneticPr fontId="1"/>
  </si>
  <si>
    <t>D</t>
    <phoneticPr fontId="1"/>
  </si>
  <si>
    <t xml:space="preserve"> ≧ 4階 居室</t>
    <rPh sb="4" eb="5">
      <t>カイ</t>
    </rPh>
    <rPh sb="6" eb="8">
      <t>キョシツ</t>
    </rPh>
    <phoneticPr fontId="1"/>
  </si>
  <si>
    <t>ハロゲン化物消火</t>
    <rPh sb="4" eb="5">
      <t>カ</t>
    </rPh>
    <rPh sb="5" eb="6">
      <t>ブツ</t>
    </rPh>
    <rPh sb="6" eb="8">
      <t>ショウカ</t>
    </rPh>
    <phoneticPr fontId="1"/>
  </si>
  <si>
    <t>E</t>
    <phoneticPr fontId="1"/>
  </si>
  <si>
    <t>≧11階</t>
    <rPh sb="3" eb="4">
      <t>カイ</t>
    </rPh>
    <phoneticPr fontId="1"/>
  </si>
  <si>
    <t xml:space="preserve"> ≧11階 ／ PH</t>
    <rPh sb="4" eb="5">
      <t>カイ</t>
    </rPh>
    <phoneticPr fontId="1"/>
  </si>
  <si>
    <t>粉　末　消　火</t>
    <rPh sb="0" eb="1">
      <t>コナ</t>
    </rPh>
    <rPh sb="2" eb="3">
      <t>スエ</t>
    </rPh>
    <rPh sb="4" eb="5">
      <t>ショウ</t>
    </rPh>
    <rPh sb="6" eb="7">
      <t>ヒ</t>
    </rPh>
    <phoneticPr fontId="1"/>
  </si>
  <si>
    <t>感知器
地・無窓階</t>
    <rPh sb="0" eb="3">
      <t>カンチキ</t>
    </rPh>
    <phoneticPr fontId="1"/>
  </si>
  <si>
    <t>感知器
≧3階</t>
    <rPh sb="0" eb="3">
      <t>カンチキ</t>
    </rPh>
    <phoneticPr fontId="1"/>
  </si>
  <si>
    <t>摘 要</t>
    <rPh sb="0" eb="1">
      <t>テキ</t>
    </rPh>
    <rPh sb="2" eb="3">
      <t>ヨウ</t>
    </rPh>
    <phoneticPr fontId="1"/>
  </si>
  <si>
    <t>No.</t>
    <phoneticPr fontId="1"/>
  </si>
  <si>
    <t>工　　　事　　　種　　　目</t>
    <rPh sb="0" eb="1">
      <t>コウ</t>
    </rPh>
    <rPh sb="4" eb="5">
      <t>コト</t>
    </rPh>
    <rPh sb="8" eb="9">
      <t>タネ</t>
    </rPh>
    <rPh sb="12" eb="13">
      <t>メ</t>
    </rPh>
    <phoneticPr fontId="1"/>
  </si>
  <si>
    <t>確認事項</t>
    <rPh sb="0" eb="2">
      <t>カクニン</t>
    </rPh>
    <rPh sb="2" eb="4">
      <t>ジコウ</t>
    </rPh>
    <phoneticPr fontId="1"/>
  </si>
  <si>
    <t>北海道</t>
    <rPh sb="0" eb="3">
      <t>ホッカイドウ</t>
    </rPh>
    <phoneticPr fontId="1"/>
  </si>
  <si>
    <t>--北海道--</t>
    <rPh sb="3" eb="6">
      <t>ホッカイドウ</t>
    </rPh>
    <phoneticPr fontId="1"/>
  </si>
  <si>
    <t>電力</t>
    <rPh sb="0" eb="1">
      <t>デンリョク</t>
    </rPh>
    <phoneticPr fontId="1"/>
  </si>
  <si>
    <t>標高</t>
    <rPh sb="0" eb="2">
      <t>ヒョウコウ</t>
    </rPh>
    <phoneticPr fontId="1"/>
  </si>
  <si>
    <t>東北</t>
    <rPh sb="0" eb="2">
      <t>トウホク</t>
    </rPh>
    <phoneticPr fontId="1"/>
  </si>
  <si>
    <t>稚　内</t>
    <rPh sb="0" eb="1">
      <t>ワカ</t>
    </rPh>
    <rPh sb="2" eb="3">
      <t>ウチ</t>
    </rPh>
    <phoneticPr fontId="1"/>
  </si>
  <si>
    <t>関東</t>
    <rPh sb="0" eb="2">
      <t>カントウ</t>
    </rPh>
    <phoneticPr fontId="1"/>
  </si>
  <si>
    <t>留　萌</t>
    <rPh sb="0" eb="1">
      <t>トメ</t>
    </rPh>
    <rPh sb="2" eb="3">
      <t>ハジメ</t>
    </rPh>
    <phoneticPr fontId="1"/>
  </si>
  <si>
    <t>中部</t>
    <rPh sb="0" eb="2">
      <t>チュウブ</t>
    </rPh>
    <phoneticPr fontId="1"/>
  </si>
  <si>
    <t>旭　川</t>
    <rPh sb="0" eb="1">
      <t>アサヒ</t>
    </rPh>
    <rPh sb="2" eb="3">
      <t>カワ</t>
    </rPh>
    <phoneticPr fontId="1"/>
  </si>
  <si>
    <t>近畿</t>
    <rPh sb="0" eb="2">
      <t>キンキ</t>
    </rPh>
    <phoneticPr fontId="1"/>
  </si>
  <si>
    <t>網　走</t>
    <rPh sb="0" eb="1">
      <t>アミ</t>
    </rPh>
    <rPh sb="2" eb="3">
      <t>ソウ</t>
    </rPh>
    <phoneticPr fontId="1"/>
  </si>
  <si>
    <t>北陸</t>
    <rPh sb="0" eb="2">
      <t>ホクリク</t>
    </rPh>
    <phoneticPr fontId="1"/>
  </si>
  <si>
    <t>札　幌</t>
    <rPh sb="0" eb="1">
      <t>サツ</t>
    </rPh>
    <rPh sb="2" eb="3">
      <t>ホロ</t>
    </rPh>
    <phoneticPr fontId="1"/>
  </si>
  <si>
    <t>中国</t>
    <rPh sb="0" eb="2">
      <t>チュウゴク</t>
    </rPh>
    <phoneticPr fontId="1"/>
  </si>
  <si>
    <t>帯　広</t>
    <rPh sb="0" eb="1">
      <t>オビ</t>
    </rPh>
    <rPh sb="2" eb="3">
      <t>ヒロシ</t>
    </rPh>
    <phoneticPr fontId="1"/>
  </si>
  <si>
    <t>四国</t>
    <rPh sb="0" eb="2">
      <t>シコク</t>
    </rPh>
    <phoneticPr fontId="1"/>
  </si>
  <si>
    <t>釧　路</t>
    <rPh sb="0" eb="1">
      <t>セン</t>
    </rPh>
    <rPh sb="2" eb="3">
      <t>ミチ</t>
    </rPh>
    <phoneticPr fontId="1"/>
  </si>
  <si>
    <t>九州</t>
    <rPh sb="0" eb="2">
      <t>キュウシュウ</t>
    </rPh>
    <phoneticPr fontId="1"/>
  </si>
  <si>
    <t>根　室</t>
    <rPh sb="0" eb="1">
      <t>ネ</t>
    </rPh>
    <rPh sb="2" eb="3">
      <t>シツ</t>
    </rPh>
    <phoneticPr fontId="1"/>
  </si>
  <si>
    <t>沖縄</t>
    <rPh sb="0" eb="2">
      <t>オキナワ</t>
    </rPh>
    <phoneticPr fontId="1"/>
  </si>
  <si>
    <t>寿　都</t>
    <rPh sb="0" eb="1">
      <t>コトブキ</t>
    </rPh>
    <rPh sb="2" eb="3">
      <t>ト</t>
    </rPh>
    <phoneticPr fontId="1"/>
  </si>
  <si>
    <t>浦　河</t>
    <rPh sb="0" eb="1">
      <t>ウラ</t>
    </rPh>
    <rPh sb="2" eb="3">
      <t>カワ</t>
    </rPh>
    <phoneticPr fontId="1"/>
  </si>
  <si>
    <t>函　館</t>
    <rPh sb="0" eb="1">
      <t>ハコ</t>
    </rPh>
    <rPh sb="2" eb="3">
      <t>カン</t>
    </rPh>
    <phoneticPr fontId="1"/>
  </si>
  <si>
    <t>--東北--</t>
    <rPh sb="3" eb="5">
      <t>トウホク</t>
    </rPh>
    <phoneticPr fontId="1"/>
  </si>
  <si>
    <t>青　森</t>
    <rPh sb="0" eb="1">
      <t>アオ</t>
    </rPh>
    <rPh sb="2" eb="3">
      <t>モリ</t>
    </rPh>
    <phoneticPr fontId="1"/>
  </si>
  <si>
    <t>秋　田</t>
    <rPh sb="0" eb="1">
      <t>アキ</t>
    </rPh>
    <rPh sb="2" eb="3">
      <t>タ</t>
    </rPh>
    <phoneticPr fontId="1"/>
  </si>
  <si>
    <t>盛　岡</t>
    <rPh sb="0" eb="1">
      <t>モリ</t>
    </rPh>
    <rPh sb="2" eb="3">
      <t>オカ</t>
    </rPh>
    <phoneticPr fontId="1"/>
  </si>
  <si>
    <t>宮　古</t>
    <rPh sb="0" eb="1">
      <t>ミヤ</t>
    </rPh>
    <rPh sb="2" eb="3">
      <t>フル</t>
    </rPh>
    <phoneticPr fontId="1"/>
  </si>
  <si>
    <t>酒　田</t>
    <rPh sb="0" eb="1">
      <t>サケ</t>
    </rPh>
    <rPh sb="2" eb="3">
      <t>タ</t>
    </rPh>
    <phoneticPr fontId="1"/>
  </si>
  <si>
    <t>山　形</t>
    <rPh sb="0" eb="1">
      <t>ヤマ</t>
    </rPh>
    <rPh sb="2" eb="3">
      <t>カタチ</t>
    </rPh>
    <phoneticPr fontId="1"/>
  </si>
  <si>
    <t>仙　台</t>
    <rPh sb="0" eb="1">
      <t>セン</t>
    </rPh>
    <rPh sb="2" eb="3">
      <t>ダイ</t>
    </rPh>
    <phoneticPr fontId="1"/>
  </si>
  <si>
    <t>福　島</t>
    <rPh sb="0" eb="1">
      <t>フク</t>
    </rPh>
    <rPh sb="2" eb="3">
      <t>シマ</t>
    </rPh>
    <phoneticPr fontId="1"/>
  </si>
  <si>
    <t>小名浜</t>
    <rPh sb="0" eb="2">
      <t>オナ</t>
    </rPh>
    <rPh sb="2" eb="3">
      <t>ハマ</t>
    </rPh>
    <phoneticPr fontId="1"/>
  </si>
  <si>
    <t>--北陸・中部・関東--</t>
    <rPh sb="3" eb="5">
      <t>ホクリク</t>
    </rPh>
    <rPh sb="5" eb="7">
      <t>チュウブ</t>
    </rPh>
    <rPh sb="8" eb="10">
      <t>カントウ</t>
    </rPh>
    <phoneticPr fontId="1"/>
  </si>
  <si>
    <t>輪　島</t>
    <rPh sb="0" eb="1">
      <t>ワ</t>
    </rPh>
    <rPh sb="2" eb="3">
      <t>シマ</t>
    </rPh>
    <phoneticPr fontId="1"/>
  </si>
  <si>
    <t>相　川</t>
    <rPh sb="0" eb="1">
      <t>ソウ</t>
    </rPh>
    <rPh sb="2" eb="3">
      <t>カワ</t>
    </rPh>
    <phoneticPr fontId="1"/>
  </si>
  <si>
    <t>金　沢</t>
    <rPh sb="0" eb="1">
      <t>キン</t>
    </rPh>
    <rPh sb="2" eb="3">
      <t>サワ</t>
    </rPh>
    <phoneticPr fontId="1"/>
  </si>
  <si>
    <t>富　山</t>
    <rPh sb="0" eb="1">
      <t>トミ</t>
    </rPh>
    <rPh sb="2" eb="3">
      <t>ヤマ</t>
    </rPh>
    <phoneticPr fontId="1"/>
  </si>
  <si>
    <t>長　野</t>
    <rPh sb="0" eb="1">
      <t>ナガ</t>
    </rPh>
    <rPh sb="2" eb="3">
      <t>ノ</t>
    </rPh>
    <phoneticPr fontId="1"/>
  </si>
  <si>
    <t>高　田</t>
    <rPh sb="0" eb="1">
      <t>コウ</t>
    </rPh>
    <rPh sb="2" eb="3">
      <t>タ</t>
    </rPh>
    <phoneticPr fontId="1"/>
  </si>
  <si>
    <t>宇都宮</t>
    <rPh sb="0" eb="3">
      <t>ウツノミヤ</t>
    </rPh>
    <phoneticPr fontId="1"/>
  </si>
  <si>
    <t>福　井</t>
    <rPh sb="0" eb="1">
      <t>フク</t>
    </rPh>
    <rPh sb="2" eb="3">
      <t>イ</t>
    </rPh>
    <phoneticPr fontId="1"/>
  </si>
  <si>
    <t>高　山</t>
    <rPh sb="0" eb="1">
      <t>コウ</t>
    </rPh>
    <rPh sb="2" eb="3">
      <t>ヤマ</t>
    </rPh>
    <phoneticPr fontId="1"/>
  </si>
  <si>
    <t>松　本</t>
    <rPh sb="0" eb="1">
      <t>マツ</t>
    </rPh>
    <rPh sb="2" eb="3">
      <t>ホン</t>
    </rPh>
    <phoneticPr fontId="1"/>
  </si>
  <si>
    <t>軽井沢</t>
    <rPh sb="0" eb="3">
      <t>カルイザワ</t>
    </rPh>
    <phoneticPr fontId="1"/>
  </si>
  <si>
    <t>前　橋</t>
    <rPh sb="0" eb="1">
      <t>マエ</t>
    </rPh>
    <rPh sb="2" eb="3">
      <t>ハシ</t>
    </rPh>
    <phoneticPr fontId="1"/>
  </si>
  <si>
    <t>熊　谷</t>
    <rPh sb="0" eb="1">
      <t>クマ</t>
    </rPh>
    <rPh sb="2" eb="3">
      <t>タニ</t>
    </rPh>
    <phoneticPr fontId="1"/>
  </si>
  <si>
    <t>水　戸</t>
    <rPh sb="0" eb="1">
      <t>ミズ</t>
    </rPh>
    <rPh sb="2" eb="3">
      <t>ト</t>
    </rPh>
    <phoneticPr fontId="1"/>
  </si>
  <si>
    <t>敦　賀</t>
    <rPh sb="0" eb="1">
      <t>アツシ</t>
    </rPh>
    <rPh sb="2" eb="3">
      <t>ガ</t>
    </rPh>
    <phoneticPr fontId="1"/>
  </si>
  <si>
    <t>岐　阜</t>
    <rPh sb="0" eb="1">
      <t>チマタ</t>
    </rPh>
    <rPh sb="2" eb="3">
      <t>ユタカ</t>
    </rPh>
    <phoneticPr fontId="1"/>
  </si>
  <si>
    <t>名古屋</t>
    <rPh sb="0" eb="3">
      <t>ナゴヤ</t>
    </rPh>
    <phoneticPr fontId="1"/>
  </si>
  <si>
    <t>飯　田</t>
    <rPh sb="0" eb="1">
      <t>メシ</t>
    </rPh>
    <rPh sb="2" eb="3">
      <t>タ</t>
    </rPh>
    <phoneticPr fontId="1"/>
  </si>
  <si>
    <t>甲　府</t>
    <rPh sb="0" eb="1">
      <t>コウ</t>
    </rPh>
    <rPh sb="2" eb="3">
      <t>フ</t>
    </rPh>
    <phoneticPr fontId="1"/>
  </si>
  <si>
    <t>銚　子</t>
    <rPh sb="0" eb="1">
      <t>チョウ</t>
    </rPh>
    <rPh sb="2" eb="3">
      <t>コ</t>
    </rPh>
    <phoneticPr fontId="1"/>
  </si>
  <si>
    <t>津</t>
    <rPh sb="0" eb="1">
      <t>ツ</t>
    </rPh>
    <phoneticPr fontId="1"/>
  </si>
  <si>
    <t>浜　松</t>
    <rPh sb="0" eb="1">
      <t>ハマ</t>
    </rPh>
    <rPh sb="2" eb="3">
      <t>マツ</t>
    </rPh>
    <phoneticPr fontId="1"/>
  </si>
  <si>
    <t>静　岡</t>
    <rPh sb="0" eb="1">
      <t>セイ</t>
    </rPh>
    <rPh sb="2" eb="3">
      <t>オカ</t>
    </rPh>
    <phoneticPr fontId="1"/>
  </si>
  <si>
    <t>東　京</t>
    <rPh sb="0" eb="1">
      <t>ヒガシ</t>
    </rPh>
    <rPh sb="2" eb="3">
      <t>キョウ</t>
    </rPh>
    <phoneticPr fontId="1"/>
  </si>
  <si>
    <t>尾　鷲</t>
    <rPh sb="0" eb="1">
      <t>オ</t>
    </rPh>
    <rPh sb="2" eb="3">
      <t>ワシ</t>
    </rPh>
    <phoneticPr fontId="1"/>
  </si>
  <si>
    <t>浜　田</t>
    <rPh sb="0" eb="1">
      <t>ハマ</t>
    </rPh>
    <rPh sb="2" eb="3">
      <t>タ</t>
    </rPh>
    <phoneticPr fontId="1"/>
  </si>
  <si>
    <t>京　都</t>
    <rPh sb="0" eb="1">
      <t>キョウ</t>
    </rPh>
    <rPh sb="2" eb="3">
      <t>ト</t>
    </rPh>
    <phoneticPr fontId="1"/>
  </si>
  <si>
    <t>滋　賀</t>
    <rPh sb="0" eb="1">
      <t>シゲル</t>
    </rPh>
    <rPh sb="2" eb="3">
      <t>ガ</t>
    </rPh>
    <phoneticPr fontId="1"/>
  </si>
  <si>
    <t>下　関</t>
    <rPh sb="0" eb="1">
      <t>シタ</t>
    </rPh>
    <rPh sb="2" eb="3">
      <t>セキ</t>
    </rPh>
    <phoneticPr fontId="1"/>
  </si>
  <si>
    <t>広　島</t>
    <rPh sb="0" eb="1">
      <t>ヒロ</t>
    </rPh>
    <rPh sb="2" eb="3">
      <t>シマ</t>
    </rPh>
    <phoneticPr fontId="1"/>
  </si>
  <si>
    <t>岡　山</t>
    <rPh sb="0" eb="1">
      <t>オカ</t>
    </rPh>
    <rPh sb="2" eb="3">
      <t>ヤマ</t>
    </rPh>
    <phoneticPr fontId="1"/>
  </si>
  <si>
    <t>神　戸</t>
    <rPh sb="0" eb="1">
      <t>カミ</t>
    </rPh>
    <rPh sb="2" eb="3">
      <t>ト</t>
    </rPh>
    <phoneticPr fontId="1"/>
  </si>
  <si>
    <t>大　阪</t>
    <rPh sb="0" eb="1">
      <t>ダイ</t>
    </rPh>
    <rPh sb="2" eb="3">
      <t>サカ</t>
    </rPh>
    <phoneticPr fontId="1"/>
  </si>
  <si>
    <t>和歌山</t>
    <rPh sb="0" eb="3">
      <t>ワカヤマ</t>
    </rPh>
    <phoneticPr fontId="1"/>
  </si>
  <si>
    <t>潮　岬</t>
    <rPh sb="0" eb="1">
      <t>シオ</t>
    </rPh>
    <rPh sb="2" eb="3">
      <t>ミサキ</t>
    </rPh>
    <phoneticPr fontId="1"/>
  </si>
  <si>
    <t>奈　良</t>
    <rPh sb="0" eb="1">
      <t>ナ</t>
    </rPh>
    <rPh sb="2" eb="3">
      <t>リョウ</t>
    </rPh>
    <phoneticPr fontId="1"/>
  </si>
  <si>
    <t>厳　原</t>
    <rPh sb="0" eb="1">
      <t>ゲン</t>
    </rPh>
    <rPh sb="2" eb="3">
      <t>ハラ</t>
    </rPh>
    <phoneticPr fontId="1"/>
  </si>
  <si>
    <t>--九州・四国--</t>
    <rPh sb="3" eb="5">
      <t>キュウシュウ</t>
    </rPh>
    <rPh sb="6" eb="8">
      <t>シコク</t>
    </rPh>
    <phoneticPr fontId="1"/>
  </si>
  <si>
    <t>福　岡</t>
    <rPh sb="0" eb="1">
      <t>フク</t>
    </rPh>
    <rPh sb="2" eb="3">
      <t>オカ</t>
    </rPh>
    <phoneticPr fontId="1"/>
  </si>
  <si>
    <t>佐　賀</t>
    <rPh sb="0" eb="1">
      <t>サ</t>
    </rPh>
    <rPh sb="2" eb="3">
      <t>ガ</t>
    </rPh>
    <phoneticPr fontId="1"/>
  </si>
  <si>
    <t>大　分</t>
    <rPh sb="0" eb="1">
      <t>ダイ</t>
    </rPh>
    <rPh sb="2" eb="3">
      <t>ブン</t>
    </rPh>
    <phoneticPr fontId="1"/>
  </si>
  <si>
    <t>長　崎</t>
    <rPh sb="0" eb="1">
      <t>ナガ</t>
    </rPh>
    <rPh sb="2" eb="3">
      <t>ザキ</t>
    </rPh>
    <phoneticPr fontId="1"/>
  </si>
  <si>
    <t>熊　本</t>
    <rPh sb="0" eb="1">
      <t>クマ</t>
    </rPh>
    <rPh sb="2" eb="3">
      <t>ホン</t>
    </rPh>
    <phoneticPr fontId="1"/>
  </si>
  <si>
    <t>鹿児島</t>
    <rPh sb="0" eb="3">
      <t>カゴシマ</t>
    </rPh>
    <phoneticPr fontId="1"/>
  </si>
  <si>
    <t>宮　崎</t>
    <rPh sb="0" eb="1">
      <t>ミヤ</t>
    </rPh>
    <rPh sb="2" eb="3">
      <t>ザキ</t>
    </rPh>
    <phoneticPr fontId="1"/>
  </si>
  <si>
    <t>福　江</t>
    <rPh sb="0" eb="1">
      <t>フク</t>
    </rPh>
    <rPh sb="2" eb="3">
      <t>エ</t>
    </rPh>
    <phoneticPr fontId="1"/>
  </si>
  <si>
    <t>松　山</t>
    <rPh sb="0" eb="1">
      <t>マツ</t>
    </rPh>
    <rPh sb="2" eb="3">
      <t>ヤマ</t>
    </rPh>
    <phoneticPr fontId="1"/>
  </si>
  <si>
    <t>高　松</t>
    <rPh sb="0" eb="1">
      <t>コウ</t>
    </rPh>
    <rPh sb="2" eb="3">
      <t>マツ</t>
    </rPh>
    <phoneticPr fontId="1"/>
  </si>
  <si>
    <t>高　知</t>
    <rPh sb="0" eb="1">
      <t>コウ</t>
    </rPh>
    <rPh sb="2" eb="3">
      <t>チ</t>
    </rPh>
    <phoneticPr fontId="1"/>
  </si>
  <si>
    <t>徳　島</t>
    <rPh sb="0" eb="1">
      <t>トク</t>
    </rPh>
    <rPh sb="2" eb="3">
      <t>シマ</t>
    </rPh>
    <phoneticPr fontId="1"/>
  </si>
  <si>
    <t>清　水</t>
    <rPh sb="0" eb="1">
      <t>キヨシ</t>
    </rPh>
    <rPh sb="2" eb="3">
      <t>ミズ</t>
    </rPh>
    <phoneticPr fontId="1"/>
  </si>
  <si>
    <t>室戸岬</t>
    <rPh sb="0" eb="3">
      <t>ムロトミサキ</t>
    </rPh>
    <phoneticPr fontId="1"/>
  </si>
  <si>
    <t>那　覇</t>
    <phoneticPr fontId="1"/>
  </si>
  <si>
    <t>項　　別</t>
    <rPh sb="0" eb="1">
      <t>コウ</t>
    </rPh>
    <rPh sb="3" eb="4">
      <t>ベツ</t>
    </rPh>
    <phoneticPr fontId="8"/>
  </si>
  <si>
    <t>公会堂・集会場</t>
    <rPh sb="0" eb="3">
      <t>コウカイドウ</t>
    </rPh>
    <rPh sb="4" eb="7">
      <t>シュウカイジョウ</t>
    </rPh>
    <phoneticPr fontId="8"/>
  </si>
  <si>
    <t>遊技場・ダンスホール</t>
    <phoneticPr fontId="8"/>
  </si>
  <si>
    <t>ハ</t>
    <phoneticPr fontId="8"/>
  </si>
  <si>
    <t>●</t>
    <phoneticPr fontId="1"/>
  </si>
  <si>
    <t>風俗営業等の規制及び業務の適正化等に関する法律に規定する性風俗関連特殊営業を営む店舗｛ニ並びに(1)イ、(4)、(5)イ及び(9)イに掲げる防火対象物の用途に供されているものを除く。｝その他これに類するものとして総務省令(規5-1)で定めるもの</t>
    <phoneticPr fontId="8"/>
  </si>
  <si>
    <t>ニ</t>
    <phoneticPr fontId="8"/>
  </si>
  <si>
    <t>カラオケボックスその他遊興のための設備又は物品を個室（これに類する施設を含む。）において客に利用させる役務を提供する業務を営む店舗で総務省令(規5-2)で定めるもの</t>
    <phoneticPr fontId="8"/>
  </si>
  <si>
    <t>(3)</t>
    <phoneticPr fontId="8"/>
  </si>
  <si>
    <t>イ</t>
    <phoneticPr fontId="8"/>
  </si>
  <si>
    <t>待合・料理店その他これらに類するもの</t>
    <phoneticPr fontId="8"/>
  </si>
  <si>
    <t>ロ</t>
    <phoneticPr fontId="8"/>
  </si>
  <si>
    <t>飲食店</t>
    <phoneticPr fontId="8"/>
  </si>
  <si>
    <t>(4)</t>
    <phoneticPr fontId="8"/>
  </si>
  <si>
    <t>百貨店・マーケツトその他の物品販売業を営む店舗・展示場</t>
    <phoneticPr fontId="8"/>
  </si>
  <si>
    <t>(5)</t>
    <phoneticPr fontId="8"/>
  </si>
  <si>
    <t>旅館・ホテル・宿泊所その他これらに類するもの</t>
    <phoneticPr fontId="8"/>
  </si>
  <si>
    <t>－</t>
    <phoneticPr fontId="1"/>
  </si>
  <si>
    <t>寄宿舎・下宿・共同住宅</t>
    <phoneticPr fontId="8"/>
  </si>
  <si>
    <t>(6)</t>
    <phoneticPr fontId="8"/>
  </si>
  <si>
    <t>病院・診療所・助産所</t>
    <phoneticPr fontId="8"/>
  </si>
  <si>
    <t>老人短期入所施設・養護老人ホーム・特別養護老人ホーム・有料老人ホーム（主として要介護状態にある者を入居させるものに限る。）、介護老人保健施設・救護施設・乳児院・障害児入所施設（主として障害の程度が重い者を入所させるものに限る。）・老人福祉法に規定する老人短期入所事業若しくは認知症対応型老人共同生活援助事業を行う施設又は障害者自立支援法に規定する短期入所若しくは共同生活介護を行う施設（主として障害の程度が重い者を入所させるものに限る。ハにおいて「短期入所等施設」という。）</t>
    <rPh sb="82" eb="83">
      <t>ジ</t>
    </rPh>
    <rPh sb="83" eb="85">
      <t>ニュウショ</t>
    </rPh>
    <rPh sb="85" eb="87">
      <t>シセツ</t>
    </rPh>
    <rPh sb="88" eb="89">
      <t>シュ</t>
    </rPh>
    <rPh sb="92" eb="94">
      <t>ショウガイ</t>
    </rPh>
    <rPh sb="95" eb="97">
      <t>テイド</t>
    </rPh>
    <phoneticPr fontId="8"/>
  </si>
  <si>
    <t>老人デイサービスセンター・軽費老人ホーム・老人福祉センター・老人介護支援センター・有料老人ホーム（主として要介護状態にある者を入居させるものを除く。）、更生施設・助産施設・保育所・児童養護施設・児童発達支援センター・情緒障害短期治療施設・児童自立支援施設・児童家庭支援センター・身体障害者福祉センター・障害者支援施設（主として障害の程度が重い者を入所させるものを除く。）・地域活動支援センター・福祉ホーム・老人福祉法に規定する老人デイサービス事業若しくは放課後等ディサービスを行う施設（児童発達支援センターを除く。）又は障害者自立支援法に規定する生活介護・短期入所・共同生活介護・自立訓練・就労移行支援・就労継続支援若しくは共同生活援助を行う施設（短期入所等施設を除く。）</t>
    <rPh sb="97" eb="99">
      <t>ジドウ</t>
    </rPh>
    <rPh sb="99" eb="101">
      <t>ハッタツ</t>
    </rPh>
    <rPh sb="101" eb="103">
      <t>シエン</t>
    </rPh>
    <rPh sb="108" eb="110">
      <t>ジョウチョ</t>
    </rPh>
    <rPh sb="227" eb="230">
      <t>ホウカゴ</t>
    </rPh>
    <rPh sb="230" eb="231">
      <t>トウ</t>
    </rPh>
    <rPh sb="254" eb="255">
      <t>ノゾ</t>
    </rPh>
    <phoneticPr fontId="8"/>
  </si>
  <si>
    <t>幼稚園・特別支援学校</t>
    <phoneticPr fontId="8"/>
  </si>
  <si>
    <t>(7)</t>
    <phoneticPr fontId="8"/>
  </si>
  <si>
    <t>小学校・中学校・高等学校・中等教育学校・高等専門学校・大学・専修学校・各種学校その他これらに類するもの</t>
    <phoneticPr fontId="8"/>
  </si>
  <si>
    <t>(8)</t>
    <phoneticPr fontId="8"/>
  </si>
  <si>
    <t>図書館・博物館・美術館その他これらに類するもの</t>
    <phoneticPr fontId="8"/>
  </si>
  <si>
    <t>(9)</t>
    <phoneticPr fontId="8"/>
  </si>
  <si>
    <t>公衆浴場のうち、蒸気浴場・熱気浴場・その他これらに類するもの</t>
    <phoneticPr fontId="8"/>
  </si>
  <si>
    <t>イに掲げる公衆浴場以外の公衆浴場</t>
    <phoneticPr fontId="8"/>
  </si>
  <si>
    <t>(10)</t>
    <phoneticPr fontId="8"/>
  </si>
  <si>
    <t>車両の停車場又は船舶若しくは航空機の発着場（旅客の乗降又は待合いの用に供する建築物に限る。）</t>
    <phoneticPr fontId="8"/>
  </si>
  <si>
    <t>(11)</t>
    <phoneticPr fontId="8"/>
  </si>
  <si>
    <t>神社・寺院・教会その他これらに類するもの</t>
    <phoneticPr fontId="8"/>
  </si>
  <si>
    <t>(12)</t>
    <phoneticPr fontId="8"/>
  </si>
  <si>
    <t>工場・作業場</t>
    <phoneticPr fontId="8"/>
  </si>
  <si>
    <t>映画スタジオ・テレビスタジオ</t>
    <phoneticPr fontId="8"/>
  </si>
  <si>
    <t>(13)</t>
    <phoneticPr fontId="8"/>
  </si>
  <si>
    <t>自動車車庫・駐車場</t>
    <phoneticPr fontId="8"/>
  </si>
  <si>
    <t>飛行機又は回転翼航空機の格納庫</t>
    <phoneticPr fontId="8"/>
  </si>
  <si>
    <t>(14)</t>
    <phoneticPr fontId="8"/>
  </si>
  <si>
    <t>倉庫</t>
    <phoneticPr fontId="8"/>
  </si>
  <si>
    <t>(15)</t>
    <phoneticPr fontId="8"/>
  </si>
  <si>
    <t>前各項に該当しない事業場</t>
    <phoneticPr fontId="8"/>
  </si>
  <si>
    <t>(16)</t>
    <phoneticPr fontId="8"/>
  </si>
  <si>
    <t>複合用途防火対象物のうち、その一部が(1)～(4)・(5)イ・(6)又は(9)イに掲げる防火対象物の用途に供されているもの</t>
    <phoneticPr fontId="8"/>
  </si>
  <si>
    <t>イに掲げる複合用途防火対象物以外の複合用途防火対象物</t>
    <phoneticPr fontId="8"/>
  </si>
  <si>
    <t>(16の2)</t>
    <phoneticPr fontId="8"/>
  </si>
  <si>
    <t>地下街</t>
    <phoneticPr fontId="8"/>
  </si>
  <si>
    <t>(16の3)</t>
    <phoneticPr fontId="8"/>
  </si>
  <si>
    <t>建築物の地階｛(16の2)に掲げるものの各階を除く。｝で連続して地下道に面して設けられたものと当該地下道とを合わせたもの｛(1)～(4)・(5)イ・(6)又は(9)イに掲げる防火対象物の用途に供される部分が存するものに限る。｝</t>
    <phoneticPr fontId="8"/>
  </si>
  <si>
    <t>(17)</t>
    <phoneticPr fontId="8"/>
  </si>
  <si>
    <t>文化財保護法の規定により、重要文化財・重要有形民俗文化財・史跡若しくは重要な文化財として指定され、又は旧重要美術品等の保存に関する法律の規定によつて重要美術品として認定された建造物</t>
    <phoneticPr fontId="8"/>
  </si>
  <si>
    <t>(18)</t>
    <phoneticPr fontId="8"/>
  </si>
  <si>
    <t>(19)</t>
    <phoneticPr fontId="8"/>
  </si>
  <si>
    <t>市町村長の指定する山林</t>
    <phoneticPr fontId="8"/>
  </si>
  <si>
    <t>(20)</t>
    <phoneticPr fontId="8"/>
  </si>
  <si>
    <t>総務省令で定める舟車(規5-3)</t>
    <rPh sb="11" eb="12">
      <t>タダシ</t>
    </rPh>
    <phoneticPr fontId="8"/>
  </si>
  <si>
    <t>備　 考</t>
    <phoneticPr fontId="8"/>
  </si>
  <si>
    <t>・上表中●印は「特定防火対象物」に該当。－は該当せず。(令34の4)
・「特定防火対象物」は上表のように多数の者が出入りするもので政令で定めるもの（法17の2の5-2-4）
・（16の3）は、通称「準地下街」といわれている。</t>
    <rPh sb="1" eb="2">
      <t>ウエ</t>
    </rPh>
    <rPh sb="2" eb="3">
      <t>ヒョウ</t>
    </rPh>
    <rPh sb="3" eb="4">
      <t>ナカ</t>
    </rPh>
    <rPh sb="5" eb="6">
      <t>シルシ</t>
    </rPh>
    <rPh sb="8" eb="10">
      <t>トクテイ</t>
    </rPh>
    <rPh sb="10" eb="12">
      <t>ボウカ</t>
    </rPh>
    <rPh sb="12" eb="15">
      <t>タイショウブツ</t>
    </rPh>
    <rPh sb="17" eb="19">
      <t>ガイトウ</t>
    </rPh>
    <rPh sb="22" eb="24">
      <t>ガイトウ</t>
    </rPh>
    <rPh sb="28" eb="29">
      <t>レイ</t>
    </rPh>
    <rPh sb="46" eb="47">
      <t>ウエ</t>
    </rPh>
    <rPh sb="47" eb="48">
      <t>ヒョウ</t>
    </rPh>
    <rPh sb="52" eb="54">
      <t>タスウ</t>
    </rPh>
    <rPh sb="55" eb="56">
      <t>モノ</t>
    </rPh>
    <rPh sb="57" eb="59">
      <t>デイ</t>
    </rPh>
    <rPh sb="65" eb="67">
      <t>セイレイ</t>
    </rPh>
    <rPh sb="68" eb="69">
      <t>サダ</t>
    </rPh>
    <rPh sb="74" eb="75">
      <t>ホウ</t>
    </rPh>
    <rPh sb="96" eb="98">
      <t>ツウショウ</t>
    </rPh>
    <rPh sb="99" eb="100">
      <t>ジュン</t>
    </rPh>
    <rPh sb="100" eb="103">
      <t>チカガイ</t>
    </rPh>
    <phoneticPr fontId="8"/>
  </si>
  <si>
    <t>(1)</t>
    <phoneticPr fontId="8"/>
  </si>
  <si>
    <t>劇場・映画館・演芸場・観覧場</t>
    <phoneticPr fontId="8"/>
  </si>
  <si>
    <t>(2)</t>
    <phoneticPr fontId="8"/>
  </si>
  <si>
    <t>キャバレー、カフェー、ナイトクラブその他これらに類するもの</t>
    <phoneticPr fontId="8"/>
  </si>
  <si>
    <t>△</t>
    <phoneticPr fontId="155"/>
  </si>
  <si>
    <t xml:space="preserve">No. </t>
    <phoneticPr fontId="155"/>
  </si>
  <si>
    <t>TopPage</t>
    <phoneticPr fontId="1"/>
  </si>
  <si>
    <t>Help</t>
  </si>
  <si>
    <t>Cell No.[E2]～[E4]の範囲のセルには、企業情報・ロゴ等の表示に、活用</t>
    <rPh sb="18" eb="20">
      <t>ハンイ</t>
    </rPh>
    <rPh sb="39" eb="41">
      <t>カツヨウ</t>
    </rPh>
    <phoneticPr fontId="1"/>
  </si>
  <si>
    <t>できます。 　ここに入力したデータは、関連する各ページに自動転記されます。</t>
    <rPh sb="10" eb="12">
      <t>ニュウリョク</t>
    </rPh>
    <rPh sb="19" eb="21">
      <t>カンレン</t>
    </rPh>
    <rPh sb="23" eb="24">
      <t>カク</t>
    </rPh>
    <rPh sb="28" eb="30">
      <t>ジドウ</t>
    </rPh>
    <rPh sb="30" eb="32">
      <t>テンキ</t>
    </rPh>
    <phoneticPr fontId="1"/>
  </si>
  <si>
    <t>　　FACSIMILE:</t>
    <phoneticPr fontId="155"/>
  </si>
  <si>
    <t>原　　価</t>
    <rPh sb="0" eb="1">
      <t>ハラ</t>
    </rPh>
    <rPh sb="3" eb="4">
      <t>アタイ</t>
    </rPh>
    <phoneticPr fontId="1"/>
  </si>
  <si>
    <t>提 出 用</t>
    <rPh sb="0" eb="1">
      <t>ツツミ</t>
    </rPh>
    <rPh sb="2" eb="3">
      <t>デ</t>
    </rPh>
    <rPh sb="4" eb="5">
      <t>ヨウ</t>
    </rPh>
    <phoneticPr fontId="1"/>
  </si>
  <si>
    <t>提　　　　 出　　　　 用</t>
    <rPh sb="0" eb="1">
      <t>ツツミ</t>
    </rPh>
    <rPh sb="6" eb="7">
      <t>デ</t>
    </rPh>
    <rPh sb="12" eb="13">
      <t>ヨウ</t>
    </rPh>
    <phoneticPr fontId="1"/>
  </si>
  <si>
    <t>雑材
消耗費</t>
    <phoneticPr fontId="1"/>
  </si>
  <si>
    <t>運搬費</t>
    <phoneticPr fontId="1"/>
  </si>
  <si>
    <t>現場
管理費</t>
    <phoneticPr fontId="1"/>
  </si>
  <si>
    <t>諸経費</t>
    <phoneticPr fontId="1"/>
  </si>
  <si>
    <t>番号</t>
    <rPh sb="0" eb="2">
      <t>バンゴウ</t>
    </rPh>
    <phoneticPr fontId="1"/>
  </si>
  <si>
    <t>工　 事　 種　 目</t>
    <rPh sb="0" eb="1">
      <t>コウ</t>
    </rPh>
    <rPh sb="3" eb="4">
      <t>コト</t>
    </rPh>
    <rPh sb="6" eb="7">
      <t>シュ</t>
    </rPh>
    <rPh sb="9" eb="10">
      <t>メ</t>
    </rPh>
    <phoneticPr fontId="1"/>
  </si>
  <si>
    <t>数量</t>
    <rPh sb="0" eb="2">
      <t>スウリョウ</t>
    </rPh>
    <phoneticPr fontId="1"/>
  </si>
  <si>
    <t>呼称</t>
    <rPh sb="0" eb="2">
      <t>コショウ</t>
    </rPh>
    <phoneticPr fontId="1"/>
  </si>
  <si>
    <t>単　　　価</t>
    <rPh sb="0" eb="1">
      <t>タン</t>
    </rPh>
    <rPh sb="4" eb="5">
      <t>アタイ</t>
    </rPh>
    <phoneticPr fontId="1"/>
  </si>
  <si>
    <t>金　　　額</t>
    <rPh sb="0" eb="1">
      <t>キン</t>
    </rPh>
    <rPh sb="4" eb="5">
      <t>ガク</t>
    </rPh>
    <phoneticPr fontId="1"/>
  </si>
  <si>
    <t>備　　　考</t>
    <rPh sb="0" eb="1">
      <t>ソナエ</t>
    </rPh>
    <rPh sb="4" eb="5">
      <t>コウ</t>
    </rPh>
    <phoneticPr fontId="1"/>
  </si>
  <si>
    <t>原価金額 (円)</t>
    <rPh sb="0" eb="2">
      <t>ゲンカ</t>
    </rPh>
    <rPh sb="2" eb="4">
      <t>キンガク</t>
    </rPh>
    <rPh sb="6" eb="7">
      <t>エン</t>
    </rPh>
    <phoneticPr fontId="1"/>
  </si>
  <si>
    <t>原価掛け率 [％]</t>
    <rPh sb="0" eb="2">
      <t>ゲンカ</t>
    </rPh>
    <rPh sb="2" eb="3">
      <t>カ</t>
    </rPh>
    <rPh sb="4" eb="5">
      <t>リツ</t>
    </rPh>
    <phoneticPr fontId="1"/>
  </si>
  <si>
    <t>電工単価 (円)</t>
    <rPh sb="0" eb="1">
      <t>デン</t>
    </rPh>
    <rPh sb="1" eb="2">
      <t>コウ</t>
    </rPh>
    <rPh sb="2" eb="4">
      <t>タンカ</t>
    </rPh>
    <rPh sb="6" eb="7">
      <t>エン</t>
    </rPh>
    <phoneticPr fontId="1"/>
  </si>
  <si>
    <t>雑材消耗費</t>
    <rPh sb="0" eb="2">
      <t>ザツザイ</t>
    </rPh>
    <rPh sb="2" eb="4">
      <t>ショウモウ</t>
    </rPh>
    <rPh sb="4" eb="5">
      <t>ヒ</t>
    </rPh>
    <phoneticPr fontId="1"/>
  </si>
  <si>
    <t>運　搬　費</t>
    <phoneticPr fontId="1"/>
  </si>
  <si>
    <t>運　搬　費</t>
    <phoneticPr fontId="1"/>
  </si>
  <si>
    <t>現場管理費</t>
    <phoneticPr fontId="1"/>
  </si>
  <si>
    <t>現場管理費</t>
    <phoneticPr fontId="1"/>
  </si>
  <si>
    <t>諸　経　費</t>
    <phoneticPr fontId="1"/>
  </si>
  <si>
    <t>諸　経　費</t>
    <phoneticPr fontId="1"/>
  </si>
  <si>
    <t>B材</t>
    <rPh sb="1" eb="2">
      <t>ザイ</t>
    </rPh>
    <phoneticPr fontId="1"/>
  </si>
  <si>
    <t>A材</t>
    <rPh sb="1" eb="2">
      <t>ザイ</t>
    </rPh>
    <phoneticPr fontId="1"/>
  </si>
  <si>
    <t>工費</t>
    <rPh sb="0" eb="2">
      <t>コウヒ</t>
    </rPh>
    <phoneticPr fontId="1"/>
  </si>
  <si>
    <t>小計</t>
    <rPh sb="0" eb="2">
      <t>ショウケイ</t>
    </rPh>
    <phoneticPr fontId="1"/>
  </si>
  <si>
    <t>▼</t>
    <phoneticPr fontId="1"/>
  </si>
  <si>
    <t>配管配線材料</t>
    <phoneticPr fontId="1"/>
  </si>
  <si>
    <t>機 　器　 類</t>
    <phoneticPr fontId="1"/>
  </si>
  <si>
    <t>電 　工　 費</t>
    <phoneticPr fontId="1"/>
  </si>
  <si>
    <t>▼</t>
    <phoneticPr fontId="1"/>
  </si>
  <si>
    <t>配管配線材料</t>
    <phoneticPr fontId="1"/>
  </si>
  <si>
    <t>機 　器　 類</t>
    <phoneticPr fontId="1"/>
  </si>
  <si>
    <t>電 　工　 費</t>
    <phoneticPr fontId="1"/>
  </si>
  <si>
    <t>配管付属品・支持材</t>
    <rPh sb="0" eb="2">
      <t>ハイカン</t>
    </rPh>
    <rPh sb="2" eb="4">
      <t>フゾク</t>
    </rPh>
    <rPh sb="4" eb="5">
      <t>ヒン</t>
    </rPh>
    <rPh sb="6" eb="9">
      <t>シジザイ</t>
    </rPh>
    <phoneticPr fontId="1"/>
  </si>
  <si>
    <t>配線 器具 類</t>
    <phoneticPr fontId="1"/>
  </si>
  <si>
    <t>照 明　器 具</t>
    <phoneticPr fontId="1"/>
  </si>
  <si>
    <t>照明器具取付材料</t>
    <phoneticPr fontId="1"/>
  </si>
  <si>
    <t>機器、取付調整費</t>
    <phoneticPr fontId="1"/>
  </si>
  <si>
    <t>小計</t>
    <rPh sb="0" eb="1">
      <t>ショウ</t>
    </rPh>
    <rPh sb="1" eb="2">
      <t>ケイ</t>
    </rPh>
    <phoneticPr fontId="1"/>
  </si>
  <si>
    <t>小計のうち工費</t>
    <rPh sb="0" eb="2">
      <t>ショウケイ</t>
    </rPh>
    <rPh sb="5" eb="7">
      <t>コウヒ</t>
    </rPh>
    <phoneticPr fontId="1"/>
  </si>
  <si>
    <t>合計</t>
    <rPh sb="0" eb="1">
      <t>ゴウ</t>
    </rPh>
    <rPh sb="1" eb="2">
      <t>ケイ</t>
    </rPh>
    <phoneticPr fontId="1"/>
  </si>
  <si>
    <t>掛け率</t>
    <rPh sb="0" eb="1">
      <t>カ</t>
    </rPh>
    <rPh sb="2" eb="3">
      <t>リツ</t>
    </rPh>
    <phoneticPr fontId="1"/>
  </si>
  <si>
    <t>電工単価</t>
    <rPh sb="0" eb="1">
      <t>デン</t>
    </rPh>
    <rPh sb="1" eb="2">
      <t>コウ</t>
    </rPh>
    <rPh sb="2" eb="4">
      <t>タンカ</t>
    </rPh>
    <phoneticPr fontId="1"/>
  </si>
  <si>
    <t>雑材消耗費</t>
    <phoneticPr fontId="1"/>
  </si>
  <si>
    <t>△</t>
    <phoneticPr fontId="155"/>
  </si>
  <si>
    <t xml:space="preserve">No. </t>
    <phoneticPr fontId="155"/>
  </si>
  <si>
    <t>△</t>
    <phoneticPr fontId="155"/>
  </si>
  <si>
    <t xml:space="preserve">No. </t>
    <phoneticPr fontId="155"/>
  </si>
  <si>
    <t>　　FACSIMILE:</t>
    <phoneticPr fontId="155"/>
  </si>
  <si>
    <t>TopPage</t>
    <phoneticPr fontId="1"/>
  </si>
  <si>
    <t>原 　　　　　価　　　　　 用</t>
    <rPh sb="0" eb="1">
      <t>ハラ</t>
    </rPh>
    <rPh sb="7" eb="8">
      <t>アタイ</t>
    </rPh>
    <rPh sb="14" eb="15">
      <t>ヨウ</t>
    </rPh>
    <phoneticPr fontId="1"/>
  </si>
  <si>
    <t>雑材
消耗費</t>
    <phoneticPr fontId="1"/>
  </si>
  <si>
    <t>運搬費</t>
    <phoneticPr fontId="1"/>
  </si>
  <si>
    <t>現場
管理費</t>
    <phoneticPr fontId="1"/>
  </si>
  <si>
    <t>諸経費</t>
    <phoneticPr fontId="1"/>
  </si>
  <si>
    <t>Help</t>
    <phoneticPr fontId="1"/>
  </si>
  <si>
    <t>運　搬　費</t>
    <phoneticPr fontId="1"/>
  </si>
  <si>
    <t>現場管理費</t>
    <phoneticPr fontId="1"/>
  </si>
  <si>
    <t>諸　経　費</t>
    <phoneticPr fontId="1"/>
  </si>
  <si>
    <t>▼</t>
    <phoneticPr fontId="1"/>
  </si>
  <si>
    <t>▼</t>
    <phoneticPr fontId="1"/>
  </si>
  <si>
    <t>配管配線材料</t>
    <phoneticPr fontId="1"/>
  </si>
  <si>
    <t>機 　器　 類</t>
    <phoneticPr fontId="1"/>
  </si>
  <si>
    <t>電 　工　 費</t>
    <phoneticPr fontId="1"/>
  </si>
  <si>
    <t>▼</t>
    <phoneticPr fontId="1"/>
  </si>
  <si>
    <t>配管配線材料</t>
    <phoneticPr fontId="1"/>
  </si>
  <si>
    <t>機 　器　 類</t>
    <phoneticPr fontId="1"/>
  </si>
  <si>
    <t>電 　工　 費</t>
    <phoneticPr fontId="1"/>
  </si>
  <si>
    <t>配管配線材料</t>
    <phoneticPr fontId="1"/>
  </si>
  <si>
    <t>機 　器　 類</t>
    <phoneticPr fontId="1"/>
  </si>
  <si>
    <t>電 　工　 費</t>
    <phoneticPr fontId="1"/>
  </si>
  <si>
    <t>▼</t>
    <phoneticPr fontId="1"/>
  </si>
  <si>
    <t>配管配線材料</t>
    <phoneticPr fontId="1"/>
  </si>
  <si>
    <t>機 　器　 類</t>
    <phoneticPr fontId="1"/>
  </si>
  <si>
    <t>電 　工　 費</t>
    <phoneticPr fontId="1"/>
  </si>
  <si>
    <t>配線 器具 類</t>
    <phoneticPr fontId="1"/>
  </si>
  <si>
    <t>照 明　器 具</t>
    <phoneticPr fontId="1"/>
  </si>
  <si>
    <t>照明器具取付材料</t>
    <phoneticPr fontId="1"/>
  </si>
  <si>
    <t>機器、取付調整費</t>
    <phoneticPr fontId="1"/>
  </si>
  <si>
    <t>単価指定</t>
    <rPh sb="0" eb="2">
      <t>タンカ</t>
    </rPh>
    <rPh sb="2" eb="4">
      <t>シテイ</t>
    </rPh>
    <phoneticPr fontId="1"/>
  </si>
  <si>
    <t>歩掛指定</t>
    <rPh sb="0" eb="2">
      <t>ブガカリ</t>
    </rPh>
    <rPh sb="2" eb="4">
      <t>シテイ</t>
    </rPh>
    <phoneticPr fontId="1"/>
  </si>
  <si>
    <t>電工単価</t>
    <rPh sb="0" eb="2">
      <t>デンコウ</t>
    </rPh>
    <rPh sb="2" eb="4">
      <t>タンカ</t>
    </rPh>
    <phoneticPr fontId="1"/>
  </si>
  <si>
    <t>△</t>
    <phoneticPr fontId="155"/>
  </si>
  <si>
    <t xml:space="preserve">No. </t>
    <phoneticPr fontId="155"/>
  </si>
  <si>
    <t>消費税率</t>
    <rPh sb="0" eb="3">
      <t>ショウヒゼイ</t>
    </rPh>
    <rPh sb="3" eb="4">
      <t>リツ</t>
    </rPh>
    <phoneticPr fontId="1"/>
  </si>
  <si>
    <t>階</t>
    <rPh sb="0" eb="1">
      <t>カイ</t>
    </rPh>
    <phoneticPr fontId="1"/>
  </si>
  <si>
    <t>[m]</t>
    <phoneticPr fontId="1"/>
  </si>
  <si>
    <t>非常照明</t>
    <rPh sb="0" eb="2">
      <t>ヒジョウ</t>
    </rPh>
    <rPh sb="2" eb="4">
      <t>ショウメイ</t>
    </rPh>
    <phoneticPr fontId="1"/>
  </si>
  <si>
    <t>戻 る</t>
    <rPh sb="0" eb="1">
      <t>モド</t>
    </rPh>
    <phoneticPr fontId="1"/>
  </si>
  <si>
    <t>ヘ　ル　プ    目    次</t>
    <rPh sb="9" eb="10">
      <t>メ</t>
    </rPh>
    <rPh sb="14" eb="15">
      <t>ツギ</t>
    </rPh>
    <phoneticPr fontId="1"/>
  </si>
  <si>
    <t xml:space="preserve">　 </t>
    <phoneticPr fontId="1"/>
  </si>
  <si>
    <t>　･･･････････････････････････････････････････････････････････････････････</t>
    <phoneticPr fontId="1"/>
  </si>
  <si>
    <t>提 出 用 内 訳 書　　</t>
    <rPh sb="0" eb="1">
      <t>テイ</t>
    </rPh>
    <rPh sb="2" eb="3">
      <t>デ</t>
    </rPh>
    <rPh sb="4" eb="5">
      <t>ヨウ</t>
    </rPh>
    <rPh sb="6" eb="7">
      <t>ウチ</t>
    </rPh>
    <rPh sb="8" eb="9">
      <t>ヤク</t>
    </rPh>
    <rPh sb="10" eb="11">
      <t>ショ</t>
    </rPh>
    <phoneticPr fontId="1"/>
  </si>
  <si>
    <t xml:space="preserve">  </t>
    <phoneticPr fontId="1"/>
  </si>
  <si>
    <t>原 価 用 内 訳 書　　</t>
    <rPh sb="0" eb="1">
      <t>ハラ</t>
    </rPh>
    <rPh sb="2" eb="3">
      <t>アタイ</t>
    </rPh>
    <rPh sb="4" eb="5">
      <t>ヨウ</t>
    </rPh>
    <rPh sb="6" eb="7">
      <t>ウチ</t>
    </rPh>
    <rPh sb="8" eb="9">
      <t>ヤク</t>
    </rPh>
    <rPh sb="10" eb="11">
      <t>ショ</t>
    </rPh>
    <phoneticPr fontId="1"/>
  </si>
  <si>
    <t>　･･･････････････････････････････････････････････････････････････････････</t>
    <phoneticPr fontId="1"/>
  </si>
  <si>
    <t>引  込  工  事  　　　</t>
    <rPh sb="0" eb="1">
      <t>イン</t>
    </rPh>
    <rPh sb="3" eb="4">
      <t>コ</t>
    </rPh>
    <rPh sb="6" eb="7">
      <t>コウ</t>
    </rPh>
    <rPh sb="9" eb="10">
      <t>コト</t>
    </rPh>
    <phoneticPr fontId="1"/>
  </si>
  <si>
    <t xml:space="preserve">動 力 配 線 工 事      </t>
    <phoneticPr fontId="1"/>
  </si>
  <si>
    <t>照明コンセント設備工事</t>
    <phoneticPr fontId="1"/>
  </si>
  <si>
    <t>非常照明・誘導灯設備工事</t>
    <phoneticPr fontId="1"/>
  </si>
  <si>
    <t>自火報防排煙設備工事</t>
    <phoneticPr fontId="1"/>
  </si>
  <si>
    <t>構内放送設備工事</t>
    <phoneticPr fontId="1"/>
  </si>
  <si>
    <t>テレビ共聴設備工事</t>
    <phoneticPr fontId="1"/>
  </si>
  <si>
    <t>(参考)  技  術  計  算　他</t>
    <rPh sb="1" eb="3">
      <t>サンコウ</t>
    </rPh>
    <rPh sb="6" eb="7">
      <t>ワザ</t>
    </rPh>
    <rPh sb="9" eb="10">
      <t>ジュツ</t>
    </rPh>
    <rPh sb="12" eb="13">
      <t>ケイ</t>
    </rPh>
    <rPh sb="15" eb="16">
      <t>サン</t>
    </rPh>
    <rPh sb="17" eb="18">
      <t>ホカ</t>
    </rPh>
    <phoneticPr fontId="1"/>
  </si>
  <si>
    <t>■</t>
    <phoneticPr fontId="1"/>
  </si>
  <si>
    <t>セルl "Cell" の 色分け</t>
    <rPh sb="13" eb="15">
      <t>イロワ</t>
    </rPh>
    <phoneticPr fontId="1"/>
  </si>
  <si>
    <t xml:space="preserve"> 基本設定値の修正</t>
    <phoneticPr fontId="1"/>
  </si>
  <si>
    <t>RECS概要</t>
    <rPh sb="4" eb="6">
      <t>ガイヨウ</t>
    </rPh>
    <phoneticPr fontId="1"/>
  </si>
  <si>
    <t>[本システムのファイル構成]　</t>
    <phoneticPr fontId="1"/>
  </si>
  <si>
    <t>基本登録</t>
    <rPh sb="0" eb="2">
      <t>キホン</t>
    </rPh>
    <rPh sb="2" eb="4">
      <t>トウロク</t>
    </rPh>
    <phoneticPr fontId="1"/>
  </si>
  <si>
    <t>法的規制</t>
    <rPh sb="0" eb="2">
      <t>ホウテキ</t>
    </rPh>
    <rPh sb="2" eb="4">
      <t>キセイ</t>
    </rPh>
    <phoneticPr fontId="1"/>
  </si>
  <si>
    <t>動作環境</t>
    <rPh sb="0" eb="2">
      <t>ドウサ</t>
    </rPh>
    <rPh sb="2" eb="4">
      <t>カンキョウ</t>
    </rPh>
    <phoneticPr fontId="1"/>
  </si>
  <si>
    <t>[本システムの使用目的]</t>
    <phoneticPr fontId="1"/>
  </si>
  <si>
    <t>Help目次</t>
    <rPh sb="4" eb="6">
      <t>モクジ</t>
    </rPh>
    <phoneticPr fontId="1"/>
  </si>
  <si>
    <t>[入力項目]</t>
    <rPh sb="1" eb="3">
      <t>ニュウリョク</t>
    </rPh>
    <rPh sb="3" eb="5">
      <t>コウモク</t>
    </rPh>
    <phoneticPr fontId="1"/>
  </si>
  <si>
    <t>[法的規制の有無確認]</t>
    <rPh sb="6" eb="8">
      <t>ウム</t>
    </rPh>
    <phoneticPr fontId="1"/>
  </si>
  <si>
    <t>[出力項目]</t>
    <rPh sb="1" eb="3">
      <t>シュツリョク</t>
    </rPh>
    <rPh sb="3" eb="5">
      <t>コウモク</t>
    </rPh>
    <phoneticPr fontId="1"/>
  </si>
  <si>
    <t>[出力項目の修正]</t>
    <rPh sb="1" eb="3">
      <t>シュツリョク</t>
    </rPh>
    <rPh sb="3" eb="5">
      <t>コウモク</t>
    </rPh>
    <rPh sb="6" eb="8">
      <t>シュウセイ</t>
    </rPh>
    <phoneticPr fontId="1"/>
  </si>
  <si>
    <t>[本システムで複合単価を採用しない根拠]</t>
    <rPh sb="1" eb="2">
      <t>ホン</t>
    </rPh>
    <rPh sb="7" eb="9">
      <t>フクゴウ</t>
    </rPh>
    <rPh sb="9" eb="11">
      <t>タンカ</t>
    </rPh>
    <rPh sb="12" eb="14">
      <t>サイヨウ</t>
    </rPh>
    <rPh sb="17" eb="19">
      <t>コンキョ</t>
    </rPh>
    <phoneticPr fontId="1"/>
  </si>
  <si>
    <t>　 ■簡易計算 (照度計算・インピーダンス合成計算・低圧幹線インピーダンス合成計算・二次、三次方程式</t>
    <phoneticPr fontId="1"/>
  </si>
  <si>
    <t>　 解) ■耐震措置計算、■歩掛表・盤工数計算・配線器具歩掛・単価計算、■ケーブルの連続許容電流計算</t>
    <phoneticPr fontId="1"/>
  </si>
  <si>
    <t>基本データ登録</t>
    <rPh sb="0" eb="2">
      <t>キホン</t>
    </rPh>
    <rPh sb="5" eb="7">
      <t>トウロク</t>
    </rPh>
    <phoneticPr fontId="1"/>
  </si>
  <si>
    <t>戻　る</t>
    <rPh sb="0" eb="1">
      <t>モド</t>
    </rPh>
    <phoneticPr fontId="1"/>
  </si>
  <si>
    <t>標高／海抜</t>
    <rPh sb="0" eb="2">
      <t>ヒョウコウ</t>
    </rPh>
    <rPh sb="3" eb="5">
      <t>カイバツ</t>
    </rPh>
    <phoneticPr fontId="1"/>
  </si>
  <si>
    <t>建物形状係数</t>
    <rPh sb="0" eb="2">
      <t>タテモノ</t>
    </rPh>
    <rPh sb="2" eb="4">
      <t>ケイジョウ</t>
    </rPh>
    <rPh sb="4" eb="6">
      <t>ケイスウ</t>
    </rPh>
    <phoneticPr fontId="1"/>
  </si>
  <si>
    <t>敷地形状係数</t>
    <rPh sb="0" eb="2">
      <t>シキチ</t>
    </rPh>
    <rPh sb="2" eb="4">
      <t>ケイジョウ</t>
    </rPh>
    <rPh sb="4" eb="6">
      <t>ケイスウ</t>
    </rPh>
    <phoneticPr fontId="1"/>
  </si>
  <si>
    <t>X・Y の入力確認</t>
    <rPh sb="5" eb="7">
      <t>ニュウリョク</t>
    </rPh>
    <rPh sb="7" eb="9">
      <t>カクニン</t>
    </rPh>
    <phoneticPr fontId="1"/>
  </si>
  <si>
    <t>　Ｘ､Ｙを変更する場合は、"引込工事" の離隔距離の項目で Ｘ､Ｙを入力して下さい。</t>
    <rPh sb="5" eb="7">
      <t>ヘンコウ</t>
    </rPh>
    <rPh sb="9" eb="11">
      <t>バアイ</t>
    </rPh>
    <rPh sb="14" eb="16">
      <t>ヒキコミ</t>
    </rPh>
    <rPh sb="16" eb="18">
      <t>コウジ</t>
    </rPh>
    <rPh sb="21" eb="23">
      <t>リカク</t>
    </rPh>
    <rPh sb="23" eb="25">
      <t>キョリ</t>
    </rPh>
    <rPh sb="26" eb="28">
      <t>コウモク</t>
    </rPh>
    <rPh sb="34" eb="36">
      <t>ニュウリョク</t>
    </rPh>
    <rPh sb="38" eb="39">
      <t>クダ</t>
    </rPh>
    <phoneticPr fontId="1"/>
  </si>
  <si>
    <t>　耐 火 構 造：主要構造部を耐火構造としたもので内装制限をした建築物</t>
    <rPh sb="9" eb="11">
      <t>シュヨウ</t>
    </rPh>
    <phoneticPr fontId="1"/>
  </si>
  <si>
    <t>　容  積 率：敷地面積に対する延べ床面積の割合</t>
    <rPh sb="8" eb="10">
      <t>シキチ</t>
    </rPh>
    <rPh sb="10" eb="12">
      <t>メンセキ</t>
    </rPh>
    <rPh sb="13" eb="14">
      <t>タイ</t>
    </rPh>
    <rPh sb="16" eb="17">
      <t>ノ</t>
    </rPh>
    <rPh sb="18" eb="21">
      <t>ユカメンセキ</t>
    </rPh>
    <rPh sb="22" eb="24">
      <t>ワリアイ</t>
    </rPh>
    <phoneticPr fontId="1"/>
  </si>
  <si>
    <t>(消防法)防火対象物の入力</t>
    <rPh sb="1" eb="4">
      <t>ショウボウホウ</t>
    </rPh>
    <rPh sb="5" eb="7">
      <t>ボウカ</t>
    </rPh>
    <rPh sb="7" eb="10">
      <t>タイショウブツ</t>
    </rPh>
    <rPh sb="11" eb="13">
      <t>ニュウリョク</t>
    </rPh>
    <phoneticPr fontId="1"/>
  </si>
  <si>
    <t>　プルダウン・リストから選択して入力して下さい。</t>
    <rPh sb="12" eb="14">
      <t>センタク</t>
    </rPh>
    <rPh sb="16" eb="18">
      <t>ニュウリョク</t>
    </rPh>
    <rPh sb="20" eb="21">
      <t>クダ</t>
    </rPh>
    <phoneticPr fontId="1"/>
  </si>
  <si>
    <t>　専用部：(15)項 オフィスビルの場合、事務室、会議室、応接室、役員室等</t>
    <phoneticPr fontId="1"/>
  </si>
  <si>
    <t>有窓階／無窓階</t>
    <rPh sb="0" eb="3">
      <t>ユウソウカイ</t>
    </rPh>
    <rPh sb="4" eb="7">
      <t>ムソウカイ</t>
    </rPh>
    <phoneticPr fontId="1"/>
  </si>
  <si>
    <t>　建築基準法上の無窓　　有効採光上の点から有窓・無窓を判定。</t>
    <rPh sb="12" eb="14">
      <t>ユウコウ</t>
    </rPh>
    <rPh sb="14" eb="16">
      <t>サイコウ</t>
    </rPh>
    <phoneticPr fontId="1"/>
  </si>
  <si>
    <t>　　　　の面積が、その居室の床面積の 1／50 未満の居室。</t>
    <phoneticPr fontId="1"/>
  </si>
  <si>
    <t>　　　　(注)判定単位：居室－無窓居室　地階は、無窓居室</t>
    <phoneticPr fontId="1"/>
  </si>
  <si>
    <t>　消防法上の無窓　　避難上、消火活動上の点から有窓・無窓を判定。</t>
    <rPh sb="1" eb="3">
      <t>ショウボウ</t>
    </rPh>
    <phoneticPr fontId="1"/>
  </si>
  <si>
    <t>　　　[１] 地階：無窓階</t>
    <phoneticPr fontId="1"/>
  </si>
  <si>
    <t>　　　　(注)判定単位：階－無窓階</t>
    <phoneticPr fontId="1"/>
  </si>
  <si>
    <t>法的規制(参考)</t>
    <rPh sb="0" eb="2">
      <t>ホウテキ</t>
    </rPh>
    <rPh sb="2" eb="4">
      <t>キセイ</t>
    </rPh>
    <rPh sb="5" eb="7">
      <t>サンコウ</t>
    </rPh>
    <phoneticPr fontId="1"/>
  </si>
  <si>
    <t>非常照明 (建築基準法)</t>
    <rPh sb="0" eb="2">
      <t>ヒジョウ</t>
    </rPh>
    <rPh sb="2" eb="4">
      <t>ショウメイ</t>
    </rPh>
    <phoneticPr fontId="1"/>
  </si>
  <si>
    <t>避雷･排煙</t>
    <rPh sb="0" eb="2">
      <t>ヒライ</t>
    </rPh>
    <rPh sb="3" eb="5">
      <t>ハイエン</t>
    </rPh>
    <phoneticPr fontId="1"/>
  </si>
  <si>
    <t>　1. 特殊建築物</t>
    <rPh sb="4" eb="6">
      <t>トクシュ</t>
    </rPh>
    <rPh sb="6" eb="9">
      <t>ケンチクブツ</t>
    </rPh>
    <phoneticPr fontId="1"/>
  </si>
  <si>
    <t>誘 導 灯</t>
    <rPh sb="0" eb="1">
      <t>ユウ</t>
    </rPh>
    <rPh sb="2" eb="3">
      <t>シルベ</t>
    </rPh>
    <rPh sb="4" eb="5">
      <t>ヒ</t>
    </rPh>
    <phoneticPr fontId="1"/>
  </si>
  <si>
    <t>警報･通報</t>
    <rPh sb="0" eb="2">
      <t>ケイホウ</t>
    </rPh>
    <rPh sb="3" eb="5">
      <t>ツウホウ</t>
    </rPh>
    <phoneticPr fontId="1"/>
  </si>
  <si>
    <t>自 火 報</t>
    <rPh sb="0" eb="1">
      <t>ジ</t>
    </rPh>
    <rPh sb="2" eb="3">
      <t>ヒ</t>
    </rPh>
    <rPh sb="4" eb="5">
      <t>ホウ</t>
    </rPh>
    <phoneticPr fontId="1"/>
  </si>
  <si>
    <t>　　③ 学校等、博物館、美術館、図書館</t>
    <phoneticPr fontId="1"/>
  </si>
  <si>
    <t>非常コン</t>
    <rPh sb="0" eb="2">
      <t>ヒジョウ</t>
    </rPh>
    <phoneticPr fontId="1"/>
  </si>
  <si>
    <t>消火設備</t>
    <rPh sb="0" eb="2">
      <t>ショウカ</t>
    </rPh>
    <rPh sb="2" eb="4">
      <t>セツビ</t>
    </rPh>
    <phoneticPr fontId="1"/>
  </si>
  <si>
    <t>　4. 無窓の居室を有する建築物</t>
    <phoneticPr fontId="1"/>
  </si>
  <si>
    <t>非常照明 (対象建築物のうち設置義務のある部分)</t>
    <rPh sb="0" eb="2">
      <t>ヒジョウ</t>
    </rPh>
    <rPh sb="2" eb="4">
      <t>ショウメイ</t>
    </rPh>
    <rPh sb="6" eb="8">
      <t>タイショウ</t>
    </rPh>
    <rPh sb="8" eb="11">
      <t>ケンチクブツ</t>
    </rPh>
    <rPh sb="14" eb="16">
      <t>セッチ</t>
    </rPh>
    <rPh sb="16" eb="18">
      <t>ギム</t>
    </rPh>
    <rPh sb="21" eb="23">
      <t>ブブン</t>
    </rPh>
    <phoneticPr fontId="1"/>
  </si>
  <si>
    <t xml:space="preserve">　1. ① 居室 </t>
    <phoneticPr fontId="1"/>
  </si>
  <si>
    <t>　　 ③ ①及び②の居室から、地上へ通ずる避難路となる廊下、階段その他の通路</t>
    <phoneticPr fontId="1"/>
  </si>
  <si>
    <t>　　 ④ ①②又は③に類する部分、例えば、廊下に接するロビー、通り抜け避難に用いられる場所、その他</t>
    <rPh sb="48" eb="49">
      <t>タ</t>
    </rPh>
    <phoneticPr fontId="1"/>
  </si>
  <si>
    <t>　　　  通常、照明設備が必要とされる部分</t>
    <phoneticPr fontId="1"/>
  </si>
  <si>
    <t>　4. ① 無窓の居室</t>
    <phoneticPr fontId="1"/>
  </si>
  <si>
    <t>　　 ② ①の居室から、地上へ通ずる避難路となる廊下、階段その他の通路</t>
    <phoneticPr fontId="1"/>
  </si>
  <si>
    <t>非常照明 (対象建築物のうち設置義務免除の建築物又は部分)</t>
    <rPh sb="0" eb="2">
      <t>ヒジョウ</t>
    </rPh>
    <rPh sb="2" eb="4">
      <t>ショウメイ</t>
    </rPh>
    <phoneticPr fontId="1"/>
  </si>
  <si>
    <t>　１. ① イ. 病院の病室　　ロ. 下宿の宿泊室　　ハ. 寄宿舎の寝室　　ニ. これらの類似室</t>
    <phoneticPr fontId="1"/>
  </si>
  <si>
    <t>　　  ⑤ 平12建告示第1411号による居室等　　⑥ その他</t>
    <phoneticPr fontId="1"/>
  </si>
  <si>
    <t>　2. 上記の①②③④⑤⑥１戸建住宅</t>
    <phoneticPr fontId="1"/>
  </si>
  <si>
    <t>　3. 上記の①②③④⑤⑥１戸建住宅</t>
    <phoneticPr fontId="1"/>
  </si>
  <si>
    <t>　4. 上記の①②③④</t>
    <phoneticPr fontId="1"/>
  </si>
  <si>
    <t>　　 ⑥その他とは、</t>
    <phoneticPr fontId="1"/>
  </si>
  <si>
    <t>　　　　ただし、ふすま等を開放した状態で法定照度を確保すること。</t>
    <phoneticPr fontId="1"/>
  </si>
  <si>
    <t>避雷設備 (建築基準法)　　建築基準法第33条</t>
    <rPh sb="0" eb="2">
      <t>ヒライ</t>
    </rPh>
    <rPh sb="2" eb="4">
      <t>セツビ</t>
    </rPh>
    <phoneticPr fontId="1"/>
  </si>
  <si>
    <t>機械排煙設備設置基準（建基法／消防法）</t>
    <rPh sb="0" eb="2">
      <t>キカイ</t>
    </rPh>
    <rPh sb="2" eb="4">
      <t>ハイエン</t>
    </rPh>
    <rPh sb="4" eb="6">
      <t>セツビ</t>
    </rPh>
    <rPh sb="6" eb="8">
      <t>セッチ</t>
    </rPh>
    <rPh sb="8" eb="10">
      <t>キジュン</t>
    </rPh>
    <rPh sb="11" eb="14">
      <t>ケンキホウ</t>
    </rPh>
    <rPh sb="15" eb="18">
      <t>ショウボウホウ</t>
    </rPh>
    <phoneticPr fontId="1"/>
  </si>
  <si>
    <t>　　　　　　 仕上げを不燃材料でし、かつ、その下地を不燃材料で造ったもの。</t>
    <phoneticPr fontId="1"/>
  </si>
  <si>
    <t>　　① 消火活動上支障がない部分。[消防法令28-3]</t>
    <rPh sb="18" eb="21">
      <t>ショウボウホウ</t>
    </rPh>
    <phoneticPr fontId="1"/>
  </si>
  <si>
    <t>　　② 直接外気に開放されている部分。[消防法施行規則29-1]</t>
    <rPh sb="23" eb="25">
      <t>セコウ</t>
    </rPh>
    <phoneticPr fontId="1"/>
  </si>
  <si>
    <t>　　③ 固定式の特殊消火設備が設置されている部分。[消防法施行規則29-2]</t>
    <phoneticPr fontId="1"/>
  </si>
  <si>
    <t>　　④ 消火活動上支障を生じるおそれがないものとして消防庁長官が定める部分。[消防法施行規則29-3]</t>
    <phoneticPr fontId="1"/>
  </si>
  <si>
    <t>誘導灯設備設置基準（消防法）</t>
    <rPh sb="0" eb="3">
      <t>ユウドウトウ</t>
    </rPh>
    <rPh sb="3" eb="5">
      <t>セツビ</t>
    </rPh>
    <rPh sb="5" eb="7">
      <t>セッチ</t>
    </rPh>
    <rPh sb="7" eb="9">
      <t>キジュン</t>
    </rPh>
    <rPh sb="10" eb="13">
      <t>ショウボウホウ</t>
    </rPh>
    <phoneticPr fontId="1"/>
  </si>
  <si>
    <t>　　① 令別表第１の特定用途防火対象物（ただし、(9)イ[蒸気浴場等]は除く。)</t>
    <phoneticPr fontId="1"/>
  </si>
  <si>
    <t>　　② 上記以外の防火対象物で、地階、無窓階、11階以上の部分</t>
    <phoneticPr fontId="1"/>
  </si>
  <si>
    <t>　　③ 客席誘導灯：令別表第１の特定用途防火対象物 (1)イ、ロ [劇場・集会場等]</t>
    <phoneticPr fontId="1"/>
  </si>
  <si>
    <t>非常警報設備設置基準（消防法）</t>
    <rPh sb="0" eb="2">
      <t>ヒジョウ</t>
    </rPh>
    <rPh sb="2" eb="4">
      <t>ケイホウ</t>
    </rPh>
    <rPh sb="4" eb="6">
      <t>セツビ</t>
    </rPh>
    <rPh sb="6" eb="8">
      <t>セッチ</t>
    </rPh>
    <rPh sb="8" eb="10">
      <t>キジュン</t>
    </rPh>
    <rPh sb="11" eb="14">
      <t>ショウボウホウ</t>
    </rPh>
    <phoneticPr fontId="1"/>
  </si>
  <si>
    <t>　　① 非常ベル・自動式サイレン・放送設備のうち、いずれかを設置する。</t>
    <phoneticPr fontId="1"/>
  </si>
  <si>
    <t>　　② 放送設備を設置し、非常ベル・自動式サイレンを併設する。</t>
    <phoneticPr fontId="1"/>
  </si>
  <si>
    <t>　　   ホ．16の2、16の3：全て設置</t>
    <phoneticPr fontId="1"/>
  </si>
  <si>
    <t>消防機関へ通報する火災報知設備設置基準（消防法）</t>
    <rPh sb="0" eb="2">
      <t>ショウボウ</t>
    </rPh>
    <rPh sb="2" eb="4">
      <t>キカン</t>
    </rPh>
    <rPh sb="5" eb="7">
      <t>ツウホウ</t>
    </rPh>
    <rPh sb="9" eb="11">
      <t>カサイ</t>
    </rPh>
    <rPh sb="11" eb="13">
      <t>ホウチ</t>
    </rPh>
    <rPh sb="13" eb="15">
      <t>セツビ</t>
    </rPh>
    <rPh sb="15" eb="17">
      <t>セッチ</t>
    </rPh>
    <rPh sb="17" eb="19">
      <t>キジュン</t>
    </rPh>
    <rPh sb="20" eb="23">
      <t>ショウボウホウ</t>
    </rPh>
    <phoneticPr fontId="1"/>
  </si>
  <si>
    <t>　　③ (16)：各用途区分の設置基準に従って設置する。</t>
    <rPh sb="9" eb="12">
      <t>カクヨウト</t>
    </rPh>
    <rPh sb="12" eb="14">
      <t>クブン</t>
    </rPh>
    <rPh sb="15" eb="17">
      <t>セッチ</t>
    </rPh>
    <rPh sb="17" eb="19">
      <t>キジュン</t>
    </rPh>
    <rPh sb="20" eb="21">
      <t>シタガ</t>
    </rPh>
    <rPh sb="23" eb="25">
      <t>セッチ</t>
    </rPh>
    <phoneticPr fontId="1"/>
  </si>
  <si>
    <t>　　④ (6)ロ、16の2、16の3：全て設置</t>
    <rPh sb="19" eb="20">
      <t>スベ</t>
    </rPh>
    <rPh sb="21" eb="23">
      <t>セッチ</t>
    </rPh>
    <phoneticPr fontId="1"/>
  </si>
  <si>
    <t>　　緩和規程　イ．消防機関から著しく離れた場所</t>
    <phoneticPr fontId="1"/>
  </si>
  <si>
    <t>自動火災報知設備設置基準（消防法）</t>
    <rPh sb="0" eb="2">
      <t>ジドウ</t>
    </rPh>
    <rPh sb="2" eb="4">
      <t>カサイ</t>
    </rPh>
    <rPh sb="4" eb="6">
      <t>ホウチ</t>
    </rPh>
    <rPh sb="6" eb="8">
      <t>セツビ</t>
    </rPh>
    <rPh sb="8" eb="10">
      <t>セッチ</t>
    </rPh>
    <rPh sb="10" eb="12">
      <t>キジュン</t>
    </rPh>
    <rPh sb="13" eb="16">
      <t>ショウボウホウ</t>
    </rPh>
    <phoneticPr fontId="1"/>
  </si>
  <si>
    <t>　　　　　　　　　     (6)イ・ハ・ニ、(16)イ、16の2</t>
    <phoneticPr fontId="1"/>
  </si>
  <si>
    <t>　　　　　　　　 　 　(6)イ・ロ・ハ・ニ、(9)イ、(13)ロ、(16)イ、(17)</t>
    <phoneticPr fontId="1"/>
  </si>
  <si>
    <t>　　　　　　　　　 ① その階の床面積 ≧ 100平米：(2)イ・ロ・ハ、(3)イ・ロ、(16)イ</t>
    <phoneticPr fontId="1"/>
  </si>
  <si>
    <t xml:space="preserve">　　　　　　　　　 ① すべて設置：(2)ニ、(6)ロ、(13)ロ、(17) </t>
    <phoneticPr fontId="1"/>
  </si>
  <si>
    <t>　　　　　　　　　 ② 延床面積 ≧ 300m2：(1)イ・ロ、(2)イ・ロ・ハ、(3)イ・ロ、(4)、(5)イ・ロ、</t>
    <phoneticPr fontId="1"/>
  </si>
  <si>
    <t>　　　　　　　 　　　 (6)イ・ハ・ニ、(7)、(8)、(9)イ・ロ、(10)、(11)、(12)イ・ロ、(13)イ、(14)、</t>
    <phoneticPr fontId="1"/>
  </si>
  <si>
    <t>　　　　　　　 　　　 (15)、(16)イ・ロ、16の2</t>
    <phoneticPr fontId="1"/>
  </si>
  <si>
    <t>　　　　　　　　　 ① すべて設置</t>
    <phoneticPr fontId="1"/>
  </si>
  <si>
    <t>　　　　　　  　　　ロ 外部の気流が流通する場所で、有効に感知できない場所。</t>
    <phoneticPr fontId="1"/>
  </si>
  <si>
    <t>　　　　　　  　　　　 1. じんあい・微粉・水蒸気が大量に滞留する場所。</t>
    <phoneticPr fontId="1"/>
  </si>
  <si>
    <t>　　　　　　  　　　　 2. 腐食性ガスが発生する場所。</t>
    <phoneticPr fontId="1"/>
  </si>
  <si>
    <t>　　　　　　  　　　　 3. 厨房等常時煙が滞留する場所。</t>
    <phoneticPr fontId="1"/>
  </si>
  <si>
    <t>　　　　　　  　　　　 4. 著しく高温となる場所。</t>
    <phoneticPr fontId="1"/>
  </si>
  <si>
    <t>　　　　　　  　　　　 5. 排気ガスが多量に滞留する場所。</t>
    <phoneticPr fontId="1"/>
  </si>
  <si>
    <t>　　　　　　  　　　　 6. 煙が多量に流入する場所。</t>
    <phoneticPr fontId="1"/>
  </si>
  <si>
    <t>　　　　　　  　　　　 7. 結露が生じる場所。</t>
    <phoneticPr fontId="1"/>
  </si>
  <si>
    <t>　　　　　　  　　　　 8. その他、感知器の機能に支障を及ぼす場所。</t>
    <phoneticPr fontId="1"/>
  </si>
  <si>
    <t>収容人員算定基準（消防法）</t>
    <rPh sb="0" eb="2">
      <t>シュウヨウ</t>
    </rPh>
    <rPh sb="2" eb="4">
      <t>ジンイン</t>
    </rPh>
    <rPh sb="4" eb="6">
      <t>サンテイ</t>
    </rPh>
    <rPh sb="6" eb="8">
      <t>キジュン</t>
    </rPh>
    <rPh sb="9" eb="12">
      <t>ショウボウホウ</t>
    </rPh>
    <phoneticPr fontId="1"/>
  </si>
  <si>
    <t>　　(1) イ、ロ　劇場・集会所：従業者数＋客席の人員</t>
    <phoneticPr fontId="1"/>
  </si>
  <si>
    <t>　　(2) イ、ロ、ハ、ニ  (3)イ、ロ</t>
    <phoneticPr fontId="1"/>
  </si>
  <si>
    <t>　　  　遊技場：イ．従業者数＋遊戯用機器の遊戯人数</t>
    <phoneticPr fontId="1"/>
  </si>
  <si>
    <t>　　  　そ の 他：従業者数＋客席の人員　</t>
    <phoneticPr fontId="1"/>
  </si>
  <si>
    <t>　　(4) 百貨店等：従業者数＋従業員以外の使用部分</t>
    <phoneticPr fontId="1"/>
  </si>
  <si>
    <t>　　　  従業者以外の使用部分</t>
    <phoneticPr fontId="1"/>
  </si>
  <si>
    <t>　　(5) イ　ホテル等：従業者数＋宿泊人員＋集会・飲食・休憩の部分</t>
    <phoneticPr fontId="1"/>
  </si>
  <si>
    <t>　　(5) ロ　共同住宅：居住者数</t>
    <phoneticPr fontId="1"/>
  </si>
  <si>
    <t>　　(6) ロ、ハ　老人施設：従業者数＋要保護者の数</t>
    <phoneticPr fontId="1"/>
  </si>
  <si>
    <t>　　(6) ニ　幼稚園等：教職員数＋幼児・児童・生徒の数</t>
    <phoneticPr fontId="1"/>
  </si>
  <si>
    <t>　　(7) 学 校 等　 ：教職員数＋児童・生徒・学生の数</t>
    <phoneticPr fontId="1"/>
  </si>
  <si>
    <t>　　(9) イ、ロ　浴場等：従業者数＋利用者数</t>
    <phoneticPr fontId="1"/>
  </si>
  <si>
    <t>　 (10) 停車場等：従業員数</t>
    <phoneticPr fontId="1"/>
  </si>
  <si>
    <t>　 (12) イ、ロ　(13)イ、ロ　(14)：従業者数</t>
    <phoneticPr fontId="1"/>
  </si>
  <si>
    <t>　 (16)イ、ロ　複合建物：各用途部分ごとに算定した人員の合計数</t>
    <phoneticPr fontId="1"/>
  </si>
  <si>
    <t>ガス漏れ火災警報設備設置基準（消防法）</t>
    <rPh sb="2" eb="3">
      <t>モ</t>
    </rPh>
    <rPh sb="4" eb="6">
      <t>カサイ</t>
    </rPh>
    <rPh sb="6" eb="8">
      <t>ケイホウ</t>
    </rPh>
    <rPh sb="8" eb="10">
      <t>セツビ</t>
    </rPh>
    <rPh sb="10" eb="12">
      <t>セッチ</t>
    </rPh>
    <rPh sb="12" eb="14">
      <t>キジュン</t>
    </rPh>
    <rPh sb="15" eb="18">
      <t>ショウボウホウ</t>
    </rPh>
    <phoneticPr fontId="1"/>
  </si>
  <si>
    <t>　　緩和規程　① 燃料ガス以外のもの</t>
    <phoneticPr fontId="1"/>
  </si>
  <si>
    <t>　　　　　　　② 都道府県知事の確認を受けた温泉を採取するための設備</t>
    <phoneticPr fontId="1"/>
  </si>
  <si>
    <t>　　　　　　　④ 収容人員が１人に満たないもの(温泉の採掘のための設備に設けるものに限る)</t>
    <phoneticPr fontId="1"/>
  </si>
  <si>
    <t>非常コンセント設備設置基準（消防法）</t>
    <rPh sb="0" eb="2">
      <t>ヒジョウ</t>
    </rPh>
    <rPh sb="7" eb="9">
      <t>セツビ</t>
    </rPh>
    <rPh sb="9" eb="11">
      <t>セッチ</t>
    </rPh>
    <rPh sb="11" eb="13">
      <t>キジュン</t>
    </rPh>
    <rPh sb="14" eb="17">
      <t>ショウボウホウ</t>
    </rPh>
    <phoneticPr fontId="1"/>
  </si>
  <si>
    <t xml:space="preserve">　　① 11階以上の階 </t>
    <phoneticPr fontId="1"/>
  </si>
  <si>
    <t>消火設備設置基準（消防法）</t>
    <rPh sb="0" eb="2">
      <t>ショウカ</t>
    </rPh>
    <rPh sb="2" eb="4">
      <t>セツビ</t>
    </rPh>
    <rPh sb="4" eb="6">
      <t>セッチ</t>
    </rPh>
    <rPh sb="6" eb="8">
      <t>キジュン</t>
    </rPh>
    <rPh sb="9" eb="12">
      <t>ショウボウホウ</t>
    </rPh>
    <phoneticPr fontId="1"/>
  </si>
  <si>
    <t>　　① すべて設置　　(1)イ、(2)イ・ロ・ハ・ニ、(6)ロ、16の2、16の3</t>
    <phoneticPr fontId="1"/>
  </si>
  <si>
    <t>　　　　　　　ロ．消大型消火器を設置した場合、能力単位数の１／２まで減少</t>
    <phoneticPr fontId="1"/>
  </si>
  <si>
    <t xml:space="preserve">　　① 一般　延床面積 平米 (準耐火建築物)　[耐火建築物] </t>
    <phoneticPr fontId="1"/>
  </si>
  <si>
    <t>　　② 地階・無窓階・４階以上　床面積 平米</t>
    <phoneticPr fontId="1"/>
  </si>
  <si>
    <t>　　緩和規程　(1) スプリンクラ・水噴霧・泡・不活性ガス・ハロゲン化物・粉末・屋外消火栓・動力消防</t>
    <rPh sb="46" eb="48">
      <t>ドウリョク</t>
    </rPh>
    <rPh sb="48" eb="50">
      <t>ショウボウ</t>
    </rPh>
    <phoneticPr fontId="1"/>
  </si>
  <si>
    <t>　　緩和規程　(1) スプリンクラー設備等による代替</t>
    <rPh sb="18" eb="20">
      <t>セツビ</t>
    </rPh>
    <rPh sb="20" eb="21">
      <t>トウ</t>
    </rPh>
    <rPh sb="24" eb="26">
      <t>ダイタイ</t>
    </rPh>
    <phoneticPr fontId="1"/>
  </si>
  <si>
    <t>　　　　　　　(2) 令32条の規定による省略</t>
    <phoneticPr fontId="1"/>
  </si>
  <si>
    <t>　　下記、各項目による。（ただし、ラック式倉庫は非対応）</t>
    <phoneticPr fontId="1"/>
  </si>
  <si>
    <t>　　階数が１１階以上のもの　(地階を除く階数)</t>
    <phoneticPr fontId="1"/>
  </si>
  <si>
    <t>　　　　　　　  　　  (1)、(2)、(3)、(4)、(5)イ、(6)、(9)イ、(16)イ 必要</t>
    <phoneticPr fontId="1"/>
  </si>
  <si>
    <t>　　緩和規程</t>
    <phoneticPr fontId="1"/>
  </si>
  <si>
    <t>　　 　又はその部分全体を区画している場合。</t>
    <phoneticPr fontId="1"/>
  </si>
  <si>
    <t>　　② 設置が免除される部分</t>
    <phoneticPr fontId="1"/>
  </si>
  <si>
    <t>　　　　   [規則15]</t>
    <phoneticPr fontId="1"/>
  </si>
  <si>
    <t>　　　　   場合[規則13-1]</t>
    <phoneticPr fontId="1"/>
  </si>
  <si>
    <t>　　③ スプリンクラヘッドの設置を要しない部分</t>
    <phoneticPr fontId="1"/>
  </si>
  <si>
    <t>　　　　　 [S49消防予133][S49消防安129][S52消防予217][規則13-3-8]</t>
    <phoneticPr fontId="1"/>
  </si>
  <si>
    <t>　　必要と判断した場合は、Pull Down List から "要" を入力して下さい。</t>
    <rPh sb="2" eb="4">
      <t>ヒツヨウ</t>
    </rPh>
    <rPh sb="5" eb="7">
      <t>ハンダン</t>
    </rPh>
    <rPh sb="9" eb="11">
      <t>バアイ</t>
    </rPh>
    <rPh sb="40" eb="41">
      <t>クダ</t>
    </rPh>
    <phoneticPr fontId="1"/>
  </si>
  <si>
    <t>　非常電源設備設置基準（消防法）</t>
    <rPh sb="1" eb="3">
      <t>ヒジョウ</t>
    </rPh>
    <rPh sb="3" eb="5">
      <t>デンゲン</t>
    </rPh>
    <rPh sb="5" eb="7">
      <t>セツビ</t>
    </rPh>
    <rPh sb="7" eb="9">
      <t>セッチ</t>
    </rPh>
    <rPh sb="9" eb="11">
      <t>キジュン</t>
    </rPh>
    <phoneticPr fontId="1"/>
  </si>
  <si>
    <t>　　　 屋内消火栓・屋外消火栓・スプリンクラ・泡消火・排煙・非常コンセント</t>
    <phoneticPr fontId="1"/>
  </si>
  <si>
    <t>　　Ｃ 発電機設備・蓄電池設備・燃料電池設備</t>
    <phoneticPr fontId="1"/>
  </si>
  <si>
    <t>　　 　不活性ガス消火・ハロゲン化物消火・粉末消火</t>
    <phoneticPr fontId="1"/>
  </si>
  <si>
    <t>　　Ｄ 非常電源専用受電設備または蓄電池設備　　</t>
    <phoneticPr fontId="1"/>
  </si>
  <si>
    <t>　　Ｅ 蓄電池設備・専用回路</t>
    <phoneticPr fontId="1"/>
  </si>
  <si>
    <t>　　 　通報</t>
    <phoneticPr fontId="1"/>
  </si>
  <si>
    <t>　　Ｆ 常用電源・非常電源(蓄電池設備)・予備電源</t>
    <phoneticPr fontId="1"/>
  </si>
  <si>
    <t>　　 　ガス漏れ</t>
    <phoneticPr fontId="1"/>
  </si>
  <si>
    <t>　　緩和規程なし</t>
    <phoneticPr fontId="1"/>
  </si>
  <si>
    <t>動 作 環 境</t>
    <rPh sb="0" eb="1">
      <t>ドウ</t>
    </rPh>
    <rPh sb="2" eb="3">
      <t>サク</t>
    </rPh>
    <rPh sb="4" eb="5">
      <t>ワ</t>
    </rPh>
    <rPh sb="6" eb="7">
      <t>サカイ</t>
    </rPh>
    <phoneticPr fontId="1"/>
  </si>
  <si>
    <t>　インターネットに接続されていること。</t>
    <rPh sb="9" eb="11">
      <t>セツゾク</t>
    </rPh>
    <phoneticPr fontId="1"/>
  </si>
  <si>
    <t>提 出 用 内 訳 書</t>
    <phoneticPr fontId="1"/>
  </si>
  <si>
    <t>　Ａ材：高低圧・情報用盤類、高低圧機器類、照明器具、情報機器類等</t>
    <rPh sb="2" eb="3">
      <t>ザイ</t>
    </rPh>
    <rPh sb="4" eb="5">
      <t>コウ</t>
    </rPh>
    <rPh sb="5" eb="7">
      <t>テイアツ</t>
    </rPh>
    <rPh sb="8" eb="10">
      <t>ジョウホウ</t>
    </rPh>
    <rPh sb="10" eb="11">
      <t>ヨウ</t>
    </rPh>
    <rPh sb="11" eb="12">
      <t>バン</t>
    </rPh>
    <rPh sb="12" eb="13">
      <t>ルイ</t>
    </rPh>
    <rPh sb="14" eb="15">
      <t>コウ</t>
    </rPh>
    <rPh sb="15" eb="17">
      <t>テイアツ</t>
    </rPh>
    <rPh sb="17" eb="20">
      <t>キキルイ</t>
    </rPh>
    <rPh sb="21" eb="23">
      <t>ショウメイ</t>
    </rPh>
    <rPh sb="23" eb="25">
      <t>キグ</t>
    </rPh>
    <rPh sb="26" eb="28">
      <t>ジョウホウ</t>
    </rPh>
    <rPh sb="28" eb="30">
      <t>キキ</t>
    </rPh>
    <rPh sb="30" eb="31">
      <t>ルイ</t>
    </rPh>
    <rPh sb="31" eb="32">
      <t>トウ</t>
    </rPh>
    <phoneticPr fontId="1"/>
  </si>
  <si>
    <t>　Ｂ材：配管配線材料、配線器具類等</t>
    <rPh sb="2" eb="3">
      <t>ザイ</t>
    </rPh>
    <rPh sb="4" eb="6">
      <t>ハイカン</t>
    </rPh>
    <rPh sb="6" eb="8">
      <t>ハイセン</t>
    </rPh>
    <rPh sb="8" eb="10">
      <t>ザイリョウ</t>
    </rPh>
    <rPh sb="11" eb="13">
      <t>ハイセン</t>
    </rPh>
    <rPh sb="13" eb="15">
      <t>キグ</t>
    </rPh>
    <rPh sb="15" eb="16">
      <t>ルイ</t>
    </rPh>
    <rPh sb="16" eb="17">
      <t>トウ</t>
    </rPh>
    <phoneticPr fontId="1"/>
  </si>
  <si>
    <t>原 価 用 内 訳 書</t>
    <rPh sb="0" eb="1">
      <t>ハラ</t>
    </rPh>
    <rPh sb="2" eb="3">
      <t>アタイ</t>
    </rPh>
    <phoneticPr fontId="1"/>
  </si>
  <si>
    <t>　　　　　  　　　 単価-２、単価-３、単価-４：ユーザー登録必要</t>
    <rPh sb="11" eb="13">
      <t>タンカ</t>
    </rPh>
    <rPh sb="30" eb="32">
      <t>トウロク</t>
    </rPh>
    <rPh sb="32" eb="34">
      <t>ヒツヨウ</t>
    </rPh>
    <phoneticPr fontId="1"/>
  </si>
  <si>
    <t>　　　■シートNo."建価"の「歩掛り」との整合性</t>
    <phoneticPr fontId="1"/>
  </si>
  <si>
    <t>引 込 工 事</t>
    <rPh sb="0" eb="1">
      <t>イン</t>
    </rPh>
    <rPh sb="2" eb="3">
      <t>コ</t>
    </rPh>
    <rPh sb="4" eb="5">
      <t>コウ</t>
    </rPh>
    <rPh sb="6" eb="7">
      <t>コト</t>
    </rPh>
    <phoneticPr fontId="1"/>
  </si>
  <si>
    <t>　　①～⑨の中から "EPS" 位置を選択 して下さい。</t>
    <phoneticPr fontId="1"/>
  </si>
  <si>
    <t>　　　 ④――――――⑤――――――⑥――――――■――――――■</t>
    <phoneticPr fontId="1"/>
  </si>
  <si>
    <t>　　　 ①――――――②――――――③――――――■――――――■</t>
    <phoneticPr fontId="1"/>
  </si>
  <si>
    <t>　コンクリート柱（Concrete pole）の根入れ深さ</t>
    <rPh sb="7" eb="8">
      <t>バシラ</t>
    </rPh>
    <rPh sb="24" eb="26">
      <t>ネイ</t>
    </rPh>
    <rPh sb="27" eb="28">
      <t>フカ</t>
    </rPh>
    <phoneticPr fontId="1"/>
  </si>
  <si>
    <t>　　　　　　　　電圧が上昇するので配慮して下さい。</t>
    <phoneticPr fontId="1"/>
  </si>
  <si>
    <t>　　　　　　　　Ｂ種抵抗値を目標値にする方法の一つとして、"抵抗接地" があります。</t>
    <phoneticPr fontId="1"/>
  </si>
  <si>
    <t>　　　　　　　　電技解釈 第19～23条 参照</t>
    <phoneticPr fontId="1"/>
  </si>
  <si>
    <t>　漏電した機器に接触し、人体に印加される電圧を接触電圧といい、下記の４種類があります。</t>
    <phoneticPr fontId="1"/>
  </si>
  <si>
    <t>　予備管路：受電点(引込点)～受変電設備間に、予備管路 "要" の場合には、予備管路１条 を計上します。</t>
    <rPh sb="1" eb="3">
      <t>ヨビ</t>
    </rPh>
    <rPh sb="3" eb="5">
      <t>カンロ</t>
    </rPh>
    <phoneticPr fontId="1"/>
  </si>
  <si>
    <t>受変電設備工事</t>
    <rPh sb="0" eb="5">
      <t>ジュヘンデンセツビ</t>
    </rPh>
    <rPh sb="5" eb="7">
      <t>コウジ</t>
    </rPh>
    <phoneticPr fontId="1"/>
  </si>
  <si>
    <t>　　　　　　　　　を、50～70 ％ に選定することが望ましい。</t>
    <phoneticPr fontId="1"/>
  </si>
  <si>
    <t>　　　　　　　　　基本料金に対して割引又は割増をする制度です。 (月額料金)</t>
    <phoneticPr fontId="1"/>
  </si>
  <si>
    <t>　年間電気料金（参考値）</t>
    <phoneticPr fontId="1"/>
  </si>
  <si>
    <t>　　として、ご了承して下さい。</t>
    <phoneticPr fontId="1"/>
  </si>
  <si>
    <t>　　あり、電力会社と協議をする必要があるからです。</t>
    <phoneticPr fontId="1"/>
  </si>
  <si>
    <t>自家用発電設備工事</t>
    <rPh sb="0" eb="3">
      <t>ジカヨウ</t>
    </rPh>
    <rPh sb="3" eb="5">
      <t>ハツデン</t>
    </rPh>
    <rPh sb="5" eb="7">
      <t>セツビ</t>
    </rPh>
    <rPh sb="7" eb="9">
      <t>コウジ</t>
    </rPh>
    <phoneticPr fontId="1"/>
  </si>
  <si>
    <t>　電動機の始動方式</t>
    <phoneticPr fontId="1"/>
  </si>
  <si>
    <t>　Ｘ'd（発電機の過度リアクタンス）</t>
    <phoneticPr fontId="1"/>
  </si>
  <si>
    <t>　燃料消費量／hour (100％負荷時)</t>
    <phoneticPr fontId="1"/>
  </si>
  <si>
    <t>　　　　ディーゼル軽油：38.2[MJ／L]  ( L:リットル)</t>
    <phoneticPr fontId="1"/>
  </si>
  <si>
    <t>　　　　Ａ　重　油　　：39.1[MJ／L]</t>
    <phoneticPr fontId="1"/>
  </si>
  <si>
    <t>　発電機設備KVA単価：発電機ユニット [円／KVA]</t>
    <rPh sb="4" eb="6">
      <t>セツビ</t>
    </rPh>
    <phoneticPr fontId="1"/>
  </si>
  <si>
    <t>低圧幹線設備工事</t>
    <rPh sb="0" eb="2">
      <t>テイアツ</t>
    </rPh>
    <rPh sb="2" eb="4">
      <t>カンセン</t>
    </rPh>
    <rPh sb="4" eb="6">
      <t>セツビ</t>
    </rPh>
    <rPh sb="6" eb="8">
      <t>コウジ</t>
    </rPh>
    <phoneticPr fontId="1"/>
  </si>
  <si>
    <t>　　　　  確認して下さい。</t>
    <phoneticPr fontId="1"/>
  </si>
  <si>
    <t>　ケーブル基底温度-１</t>
    <phoneticPr fontId="1"/>
  </si>
  <si>
    <t>　　より算出するための基準値です。</t>
    <phoneticPr fontId="1"/>
  </si>
  <si>
    <t>　ケーブル基底温度-２</t>
    <phoneticPr fontId="1"/>
  </si>
  <si>
    <t>　函体係数</t>
    <rPh sb="1" eb="2">
      <t>ハコ</t>
    </rPh>
    <rPh sb="2" eb="3">
      <t>タイ</t>
    </rPh>
    <rPh sb="3" eb="5">
      <t>ケイスウ</t>
    </rPh>
    <phoneticPr fontId="1"/>
  </si>
  <si>
    <t>　　主幹、分岐開閉器の容量と個数により、函体の概算値を算出する係数です。</t>
    <phoneticPr fontId="1"/>
  </si>
  <si>
    <t>　電流動作型漏電遮断器について</t>
    <rPh sb="1" eb="3">
      <t>デンリュウ</t>
    </rPh>
    <rPh sb="3" eb="5">
      <t>ドウサ</t>
    </rPh>
    <rPh sb="5" eb="6">
      <t>カタ</t>
    </rPh>
    <rPh sb="6" eb="11">
      <t>ロウデンシャダンキ</t>
    </rPh>
    <phoneticPr fontId="1"/>
  </si>
  <si>
    <t>　　1.法的根拠</t>
    <phoneticPr fontId="1"/>
  </si>
  <si>
    <t>　　　1-1 電気設備技術基準第11条、15条</t>
    <phoneticPr fontId="1"/>
  </si>
  <si>
    <t>　　　1-2 内線規程1350-13[接地線及び接地極の共用の制限]</t>
    <phoneticPr fontId="1"/>
  </si>
  <si>
    <t>　　　　　でない。(勧告)</t>
    <phoneticPr fontId="1"/>
  </si>
  <si>
    <t>　　2.専用接地</t>
    <phoneticPr fontId="1"/>
  </si>
  <si>
    <t>　　　漏電遮断器は、省令第15条 (旧電技第40条) に規程されているとおり、地絡電流による電線、電気機</t>
    <rPh sb="51" eb="52">
      <t>キ</t>
    </rPh>
    <phoneticPr fontId="1"/>
  </si>
  <si>
    <t>　　3.地絡事故時の地絡事故電流値 (Ig) と対地上昇電位 (Eg)</t>
    <phoneticPr fontId="1"/>
  </si>
  <si>
    <t>　　　[Fig.-1] で地絡事故電流値(Ｉg)と対地上昇電位(Ｅg)は、電圧側完全地絡事故の場合には、</t>
    <phoneticPr fontId="1"/>
  </si>
  <si>
    <t>　　　ＥA･Dとし、旧ＥDをＥDELB 専用接地とする改善提案をした事例です。</t>
    <phoneticPr fontId="1"/>
  </si>
  <si>
    <t>[Fig.-1]</t>
    <phoneticPr fontId="155"/>
  </si>
  <si>
    <t>　　4.ダルジールの致死電流曲線</t>
    <phoneticPr fontId="1"/>
  </si>
  <si>
    <t>　　　　　　　　　　　　　 　　Ｉ：感電電流[ｍA]（実効値）</t>
    <phoneticPr fontId="1"/>
  </si>
  <si>
    <t>　　　翌年、より安全性を高め</t>
    <phoneticPr fontId="1"/>
  </si>
  <si>
    <t>　　　修正した、修正ダルジー</t>
    <phoneticPr fontId="1"/>
  </si>
  <si>
    <t>　　　致死電流の上限値 (安全</t>
    <phoneticPr fontId="1"/>
  </si>
  <si>
    <t>　　　限界) として認知されて</t>
    <phoneticPr fontId="1"/>
  </si>
  <si>
    <t>　　　いる。 [Fig.-2] 参照。</t>
    <phoneticPr fontId="1"/>
  </si>
  <si>
    <t>　　　漏電遮断器の感度電流値</t>
    <rPh sb="3" eb="8">
      <t>ロウデンシャダンキ</t>
    </rPh>
    <rPh sb="9" eb="11">
      <t>カンド</t>
    </rPh>
    <rPh sb="11" eb="14">
      <t>デンリュウチ</t>
    </rPh>
    <phoneticPr fontId="1"/>
  </si>
  <si>
    <t>　　　の基準になっています。</t>
    <rPh sb="4" eb="6">
      <t>キジュン</t>
    </rPh>
    <phoneticPr fontId="1"/>
  </si>
  <si>
    <t xml:space="preserve">　　　　　　　　　　　　　　　　　　　　　　　　　　　 　　　[Fig.-2] </t>
    <phoneticPr fontId="1"/>
  </si>
  <si>
    <t>　　5.電流動作型漏電遮断器のダルジール値(√Ｔ･Ｉ)と安全性</t>
    <phoneticPr fontId="1"/>
  </si>
  <si>
    <t>　　　　 　√Ｔ･Ｉ＝√0.1・(15／2)＝2.37　　√0.1・(30／2)＝4.74</t>
    <phoneticPr fontId="1"/>
  </si>
  <si>
    <t>　　　　 値 10 ～ 15 [mA] を考慮すると、感度電流 30 [mA]は、人命尊重の観点からは、やや危険性が</t>
    <phoneticPr fontId="1"/>
  </si>
  <si>
    <t>　　　　　 √Ｔ･Ｉ＝√0.1･(100/2)＝15.8　　√0.1･(200/2)＝ 31.6　　√0.1･(500/2)＝ 79.1</t>
    <phoneticPr fontId="1"/>
  </si>
  <si>
    <t>　　　　 ろう。また、漏電遮断器の製造者もこの危険性を周知徹底する義務がある。</t>
    <phoneticPr fontId="1"/>
  </si>
  <si>
    <t>　　6.感電に関する用語(抜粋)</t>
    <phoneticPr fontId="1"/>
  </si>
  <si>
    <t>　　　(1) 最小感知電流(Perception Current)</t>
    <phoneticPr fontId="1"/>
  </si>
  <si>
    <t>　　　　　人体に流れる電流で、通電を感じることのできる最小の電流値を言う。</t>
    <phoneticPr fontId="1"/>
  </si>
  <si>
    <t>　　　　　(a) 60Hz正弦波交流による最小感知電流</t>
    <phoneticPr fontId="1"/>
  </si>
  <si>
    <t>　　　　　(b)最小感知電流におよぼす周波数の影響 (Dalziel、Mansfieldの実験結果)</t>
    <phoneticPr fontId="1"/>
  </si>
  <si>
    <t>　　　　　(c)直流による最小感知電流 (Dalzielの実験結果)</t>
    <phoneticPr fontId="1"/>
  </si>
  <si>
    <t>　　　　　(d)衝撃電圧による最小感知電流 (笠井氏の報告)</t>
    <phoneticPr fontId="1"/>
  </si>
  <si>
    <t>　　　　　(e)我慢しうる電流(苦痛電流) (米国火災保険協会試験所の報告)</t>
    <phoneticPr fontId="1"/>
  </si>
  <si>
    <t>　　　(2) 可隋電流(Let-go Current)</t>
    <phoneticPr fontId="1"/>
  </si>
  <si>
    <t>　　　　　(a)60Hz正弦波交流における可隋電流 (Dalzielの実験結果)</t>
    <phoneticPr fontId="1"/>
  </si>
  <si>
    <t>　　　　　(b)直流に対する解放電流 (Dalzielの実験結果)</t>
    <phoneticPr fontId="1"/>
  </si>
  <si>
    <t>　　　　　(c)可隋電流に対する脱出時間 (Dalzielの実験結果)</t>
    <phoneticPr fontId="1"/>
  </si>
  <si>
    <t>　　　(3) 不隋電流 (Freezing Current)</t>
    <phoneticPr fontId="1"/>
  </si>
  <si>
    <t>　　　(4) 心室細動電流 (Ventricular Fibrillating Current)</t>
    <phoneticPr fontId="1"/>
  </si>
  <si>
    <t>　　　　　　Ｉ(1/2％)＝(2.18Ｗ＋12.8)／√Ｔ　[mA]</t>
    <phoneticPr fontId="1"/>
  </si>
  <si>
    <t>　　　　　　　　　(ElectricShock Hazards) 労働省産業安全研究所 電気課 上月 三郎、田中 隆二、</t>
    <phoneticPr fontId="1"/>
  </si>
  <si>
    <t>　　　　　　　　　大関 親 共著</t>
    <phoneticPr fontId="1"/>
  </si>
  <si>
    <t>動 力 配 線 工 事</t>
    <rPh sb="0" eb="1">
      <t>ドウ</t>
    </rPh>
    <rPh sb="2" eb="3">
      <t>チカラ</t>
    </rPh>
    <rPh sb="4" eb="5">
      <t>ハイ</t>
    </rPh>
    <rPh sb="6" eb="7">
      <t>セン</t>
    </rPh>
    <rPh sb="8" eb="9">
      <t>コウ</t>
    </rPh>
    <rPh sb="10" eb="11">
      <t>コト</t>
    </rPh>
    <phoneticPr fontId="1"/>
  </si>
  <si>
    <t>　　　　　　　　　④ 建築動力機器　　　　⑤ 衛生動力機器　　　　⑥ 防災動力機器</t>
    <phoneticPr fontId="1"/>
  </si>
  <si>
    <t>　　　　　　② 室内負荷：機器・人体 による発熱</t>
    <phoneticPr fontId="1"/>
  </si>
  <si>
    <t>　　　　　　③ 室内エァコンの 温・湿度 設定値</t>
    <phoneticPr fontId="1"/>
  </si>
  <si>
    <t>　　　　　　④ ロスナイ換気扇 の 熱回収率</t>
    <phoneticPr fontId="1"/>
  </si>
  <si>
    <t>　　　　　　④ 外気負荷：換気回数による。</t>
    <phoneticPr fontId="1"/>
  </si>
  <si>
    <t>　　　　　　　　　　　　　　　　▽FL</t>
    <phoneticPr fontId="1"/>
  </si>
  <si>
    <t>▁▁▁▁▁▁▁▁▁▁▁▁▁▁▁▁▁▁▁▁▁▁▁▁▁▁▁▁▁　天井材</t>
    <rPh sb="30" eb="32">
      <t>テンジョウ</t>
    </rPh>
    <rPh sb="32" eb="33">
      <t>ザイ</t>
    </rPh>
    <phoneticPr fontId="1"/>
  </si>
  <si>
    <t>　　　　　　　　　　　　　　　　△Ch</t>
    <phoneticPr fontId="1"/>
  </si>
  <si>
    <t>　　①～⑨の中から分電盤位置の番号を選択 して下さい。</t>
    <phoneticPr fontId="1"/>
  </si>
  <si>
    <t>　　Ly</t>
    <phoneticPr fontId="1"/>
  </si>
  <si>
    <t>　　　 ■――――――■――――――■――――――■――――――■</t>
    <phoneticPr fontId="1"/>
  </si>
  <si>
    <t>　　　 ⑦――――――⑧――――――⑨――――――■――――――■</t>
    <phoneticPr fontId="1"/>
  </si>
  <si>
    <t>　電気方式　基準設定値＝1Φ3W　210／105V</t>
    <rPh sb="1" eb="3">
      <t>デンキ</t>
    </rPh>
    <rPh sb="3" eb="5">
      <t>ホウシキ</t>
    </rPh>
    <rPh sb="6" eb="8">
      <t>キジュン</t>
    </rPh>
    <rPh sb="8" eb="11">
      <t>セッテイチ</t>
    </rPh>
    <phoneticPr fontId="1"/>
  </si>
  <si>
    <t>　　　　　　　　　　　200V、210V、220V、380V、400V、420V、440V、460V</t>
    <phoneticPr fontId="1"/>
  </si>
  <si>
    <t>　施工方法 (照明工事)　基準設定値＝照:天井ケーブル</t>
    <rPh sb="1" eb="3">
      <t>セコウ</t>
    </rPh>
    <rPh sb="3" eb="5">
      <t>ホウホウ</t>
    </rPh>
    <rPh sb="7" eb="9">
      <t>ショウメイ</t>
    </rPh>
    <rPh sb="9" eb="11">
      <t>コウジ</t>
    </rPh>
    <rPh sb="13" eb="15">
      <t>キジュン</t>
    </rPh>
    <rPh sb="15" eb="18">
      <t>セッテイチ</t>
    </rPh>
    <phoneticPr fontId="1"/>
  </si>
  <si>
    <t>　施工方法 (差込工事)　基準設定値＝差:床(CD管)</t>
    <rPh sb="1" eb="3">
      <t>セコウ</t>
    </rPh>
    <rPh sb="3" eb="5">
      <t>ホウホウ</t>
    </rPh>
    <rPh sb="7" eb="9">
      <t>サシコミ</t>
    </rPh>
    <rPh sb="9" eb="11">
      <t>コウジ</t>
    </rPh>
    <rPh sb="13" eb="15">
      <t>キジュン</t>
    </rPh>
    <rPh sb="15" eb="18">
      <t>セッテイチ</t>
    </rPh>
    <phoneticPr fontId="1"/>
  </si>
  <si>
    <t>　施工方法 (専用差込)　基準設定値＝専:天井ケーブル</t>
    <rPh sb="1" eb="3">
      <t>セコウ</t>
    </rPh>
    <rPh sb="3" eb="5">
      <t>ホウホウ</t>
    </rPh>
    <rPh sb="7" eb="9">
      <t>センヨウ</t>
    </rPh>
    <rPh sb="9" eb="11">
      <t>サシコミ</t>
    </rPh>
    <rPh sb="13" eb="15">
      <t>キジュン</t>
    </rPh>
    <rPh sb="15" eb="18">
      <t>セッテイチ</t>
    </rPh>
    <phoneticPr fontId="1"/>
  </si>
  <si>
    <t>　　　　　　Ｄf (需要率) = (最大需要電力[KW] ／ 設備容量[KW] )</t>
    <phoneticPr fontId="1"/>
  </si>
  <si>
    <t>　電気方式　基準設定値＝1Φ3W　210／105V (誘導灯回路)</t>
    <rPh sb="1" eb="3">
      <t>デンキ</t>
    </rPh>
    <rPh sb="3" eb="5">
      <t>ホウシキ</t>
    </rPh>
    <rPh sb="6" eb="8">
      <t>キジュン</t>
    </rPh>
    <rPh sb="8" eb="11">
      <t>セッテイチ</t>
    </rPh>
    <rPh sb="27" eb="30">
      <t>ユウドウトウ</t>
    </rPh>
    <rPh sb="30" eb="32">
      <t>カイロ</t>
    </rPh>
    <phoneticPr fontId="1"/>
  </si>
  <si>
    <t>　非常照明：電池内蔵型</t>
    <rPh sb="1" eb="3">
      <t>ヒジョウ</t>
    </rPh>
    <rPh sb="3" eb="5">
      <t>ショウメイ</t>
    </rPh>
    <rPh sb="6" eb="8">
      <t>デンチ</t>
    </rPh>
    <rPh sb="8" eb="10">
      <t>ナイゾウ</t>
    </rPh>
    <rPh sb="10" eb="11">
      <t>カタ</t>
    </rPh>
    <phoneticPr fontId="1"/>
  </si>
  <si>
    <t>　施工方法 (非常照明)　基準設定値＝非:天井ケーブル</t>
    <rPh sb="1" eb="3">
      <t>セコウ</t>
    </rPh>
    <rPh sb="3" eb="5">
      <t>ホウホウ</t>
    </rPh>
    <rPh sb="7" eb="9">
      <t>ヒジョウ</t>
    </rPh>
    <rPh sb="9" eb="11">
      <t>ショウメイ</t>
    </rPh>
    <rPh sb="13" eb="15">
      <t>キジュン</t>
    </rPh>
    <rPh sb="15" eb="18">
      <t>セッテイチ</t>
    </rPh>
    <rPh sb="19" eb="20">
      <t>ヒ</t>
    </rPh>
    <phoneticPr fontId="1"/>
  </si>
  <si>
    <t>　施工方法 (誘 導 灯)　基準設定値＝誘:天井ケーブル</t>
    <rPh sb="1" eb="3">
      <t>セコウ</t>
    </rPh>
    <rPh sb="3" eb="5">
      <t>ホウホウ</t>
    </rPh>
    <rPh sb="7" eb="8">
      <t>ユウ</t>
    </rPh>
    <rPh sb="9" eb="10">
      <t>シルベ</t>
    </rPh>
    <rPh sb="11" eb="12">
      <t>ヒ</t>
    </rPh>
    <rPh sb="14" eb="16">
      <t>キジュン</t>
    </rPh>
    <rPh sb="16" eb="19">
      <t>セッテイチ</t>
    </rPh>
    <phoneticPr fontId="1"/>
  </si>
  <si>
    <t>　　　　　　　　　単価-２、単価-３、単価-４：ユーザー登録必要</t>
    <rPh sb="9" eb="11">
      <t>タンカ</t>
    </rPh>
    <rPh sb="28" eb="30">
      <t>トウロク</t>
    </rPh>
    <rPh sb="30" eb="32">
      <t>ヒツヨウ</t>
    </rPh>
    <phoneticPr fontId="1"/>
  </si>
  <si>
    <t>　　　　　  　　　 歩掛-２、歩掛-３：ユーザー登録必要</t>
    <rPh sb="25" eb="27">
      <t>トウロク</t>
    </rPh>
    <rPh sb="27" eb="29">
      <t>ヒツヨウ</t>
    </rPh>
    <phoneticPr fontId="1"/>
  </si>
  <si>
    <t>　施工方法 (自火報)　基準設定値＝天井ケーブル</t>
    <rPh sb="1" eb="3">
      <t>セコウ</t>
    </rPh>
    <rPh sb="3" eb="5">
      <t>ホウホウ</t>
    </rPh>
    <rPh sb="7" eb="10">
      <t>ジカホウ</t>
    </rPh>
    <rPh sb="12" eb="14">
      <t>キジュン</t>
    </rPh>
    <rPh sb="14" eb="17">
      <t>セッテイチ</t>
    </rPh>
    <rPh sb="18" eb="20">
      <t>テンジョウ</t>
    </rPh>
    <phoneticPr fontId="1"/>
  </si>
  <si>
    <t>　　　　　　選択変更：天井(PF管)、天井(CD管)、天井(C管)、天井(G管)</t>
    <rPh sb="6" eb="8">
      <t>センタク</t>
    </rPh>
    <rPh sb="8" eb="10">
      <t>ヘンコウ</t>
    </rPh>
    <phoneticPr fontId="1"/>
  </si>
  <si>
    <t>雷保護設備工事</t>
    <rPh sb="0" eb="1">
      <t>ライ</t>
    </rPh>
    <rPh sb="1" eb="3">
      <t>ホゴ</t>
    </rPh>
    <phoneticPr fontId="1"/>
  </si>
  <si>
    <t>避雷突針の設置場所入力</t>
    <rPh sb="0" eb="2">
      <t>ヒライ</t>
    </rPh>
    <rPh sb="2" eb="3">
      <t>トツ</t>
    </rPh>
    <rPh sb="3" eb="4">
      <t>ハリ</t>
    </rPh>
    <rPh sb="5" eb="7">
      <t>セッチ</t>
    </rPh>
    <rPh sb="7" eb="9">
      <t>バショ</t>
    </rPh>
    <rPh sb="9" eb="11">
      <t>ニュウリョク</t>
    </rPh>
    <phoneticPr fontId="1"/>
  </si>
  <si>
    <t>　①～⑨の中から避雷突針位置の番号を選択 して下さい。</t>
    <phoneticPr fontId="1"/>
  </si>
  <si>
    <t>保護角余裕度　基準設定値：１[ｍ]　　　変更修正可</t>
    <rPh sb="0" eb="2">
      <t>ホゴ</t>
    </rPh>
    <rPh sb="2" eb="3">
      <t>カド</t>
    </rPh>
    <rPh sb="3" eb="5">
      <t>ヨユウ</t>
    </rPh>
    <rPh sb="5" eb="6">
      <t>ド</t>
    </rPh>
    <rPh sb="7" eb="9">
      <t>キジュン</t>
    </rPh>
    <phoneticPr fontId="1"/>
  </si>
  <si>
    <t>　です。</t>
    <phoneticPr fontId="1"/>
  </si>
  <si>
    <t>受雷部（突針部）</t>
    <phoneticPr fontId="1"/>
  </si>
  <si>
    <t>　1. 突針部の取付位置および取付数は、被保護物の保護しようとする部分の全体が保護範囲内に入るように</t>
    <phoneticPr fontId="1"/>
  </si>
  <si>
    <t>　 　する。</t>
    <phoneticPr fontId="1"/>
  </si>
  <si>
    <t>　2. 突針部は、建基法施行令第87条の規定による風圧力に対して安全な構造とする。</t>
    <rPh sb="32" eb="34">
      <t>アンゼン</t>
    </rPh>
    <rPh sb="35" eb="37">
      <t>コウゾウ</t>
    </rPh>
    <phoneticPr fontId="1"/>
  </si>
  <si>
    <t>　5. 突針部は、はしご、旗ざお等建築物に附属した金属体をもって代えてもよい。</t>
    <phoneticPr fontId="1"/>
  </si>
  <si>
    <t>　6. 突針は、避雷導線によって接地極に接続する。</t>
    <phoneticPr fontId="1"/>
  </si>
  <si>
    <t>受雷部（むね上げ導体）</t>
    <phoneticPr fontId="1"/>
  </si>
  <si>
    <t>　1. むね上げ導体は、むね、パラペット、屋根その他雷撃を受けやすい部分の上に設置し、陸屋根に設置す</t>
    <phoneticPr fontId="1"/>
  </si>
  <si>
    <t xml:space="preserve">　　 る場合は外周に沿ってループ状とする。 </t>
    <phoneticPr fontId="1"/>
  </si>
  <si>
    <t>　2. むね上げ導体の材料は、銅又はアルミニウムの単線、より線、平 角線若しくは菅とする。断面積は、</t>
    <phoneticPr fontId="1"/>
  </si>
  <si>
    <t>避雷導線</t>
    <phoneticPr fontId="1"/>
  </si>
  <si>
    <t>　3. 引下げ導線は、被保護物の外周にほぼ均等に、かつ、できるだけ突角部に近く配置する。</t>
    <phoneticPr fontId="1"/>
  </si>
  <si>
    <t>　4. 受雷部が２以上ある場合は、避雷導線により連接するかループ状に接続する。</t>
    <phoneticPr fontId="1"/>
  </si>
  <si>
    <t>　5. 避雷導線の材料は銅又はアルミニウムの単線、より線、平角線若しくは菅とする。断面積は､銅の場合</t>
    <phoneticPr fontId="1"/>
  </si>
  <si>
    <t>　6. 避雷導線は、銅・黄銅又はアルミニウムの止め金具を使用して堅固に取付ける。</t>
    <phoneticPr fontId="1"/>
  </si>
  <si>
    <t>接地極</t>
    <phoneticPr fontId="1"/>
  </si>
  <si>
    <t>　1. 接地極は、各引下げ導線に１個以上接続する。</t>
    <phoneticPr fontId="1"/>
  </si>
  <si>
    <t>保護レベル</t>
    <phoneticPr fontId="1"/>
  </si>
  <si>
    <t>　対する雷保護システムの保護効率は、このシステムにより、確率的に構築する必要があることから、保護</t>
    <phoneticPr fontId="1"/>
  </si>
  <si>
    <t>　　保護　　　　　　　　最大　　　最少　　　最小雷撃電流　　回転球体　　　　　　導体　　　屋上</t>
    <rPh sb="41" eb="42">
      <t>タイ</t>
    </rPh>
    <phoneticPr fontId="1"/>
  </si>
  <si>
    <t>　　原子力発電所、化学工場、大規模　　　　　保護レベルⅠ～保護レベルⅡ</t>
    <phoneticPr fontId="1"/>
  </si>
  <si>
    <t xml:space="preserve">　　電算センター、研究施設等　　　　　　　　※ 追加措置を考慮するとよい </t>
    <phoneticPr fontId="1"/>
  </si>
  <si>
    <t>　　医療施設、病院、銀行、商社、本社　　　　保護レベルⅠ～保護レベルⅢ</t>
    <phoneticPr fontId="1"/>
  </si>
  <si>
    <t>　　ビル (管理部門)、危険物施設等</t>
    <phoneticPr fontId="1"/>
  </si>
  <si>
    <t>　　一般住宅(中、高層住宅)　　　　　　　　　保護レベルⅢ～保護レベルⅣ</t>
    <phoneticPr fontId="1"/>
  </si>
  <si>
    <t xml:space="preserve">　　事務所ビル、通信・情報基地局 </t>
    <phoneticPr fontId="1"/>
  </si>
  <si>
    <t>　　※：追加措置とは、例えば、接触電圧及び歩幅電圧を抑制する手段、火災の伝搬を抑制する手段、敏感</t>
    <rPh sb="46" eb="48">
      <t>ビンカン</t>
    </rPh>
    <phoneticPr fontId="1"/>
  </si>
  <si>
    <t>避雷突針高さ（自立型）</t>
    <phoneticPr fontId="1"/>
  </si>
  <si>
    <t>避雷接地用端子箱記号</t>
    <phoneticPr fontId="1"/>
  </si>
  <si>
    <t>　　箱：ＴＢ</t>
    <phoneticPr fontId="1"/>
  </si>
  <si>
    <t>TV.Ant.ポール高さ</t>
    <phoneticPr fontId="1"/>
  </si>
  <si>
    <t>　自立型／外壁取付 の 選択は、テレビ共聴設備工事[基本設定] で"変更"して下さい。</t>
    <phoneticPr fontId="1"/>
  </si>
  <si>
    <t>構内電話設備工事</t>
    <rPh sb="0" eb="2">
      <t>コウナイ</t>
    </rPh>
    <rPh sb="2" eb="4">
      <t>デンワ</t>
    </rPh>
    <rPh sb="4" eb="6">
      <t>セツビ</t>
    </rPh>
    <rPh sb="6" eb="8">
      <t>コウジ</t>
    </rPh>
    <phoneticPr fontId="1"/>
  </si>
  <si>
    <t>　　①～⑨の中から端子盤位置の番号を選択 して下さい。</t>
    <phoneticPr fontId="1"/>
  </si>
  <si>
    <t>　受信電界強度の目安</t>
    <phoneticPr fontId="1"/>
  </si>
  <si>
    <t>　　┌┃───┐</t>
    <phoneticPr fontId="1"/>
  </si>
  <si>
    <t xml:space="preserve">　　│┣▽●●│　　　　　　　　　　　　　　　　　　▽：増幅器 (2段) </t>
    <phoneticPr fontId="1"/>
  </si>
  <si>
    <t>　　└┃──┃┘　　　　　　　　　　　　　　　　　　●：分配器 (2D,4D,6Ｄ)</t>
    <phoneticPr fontId="1"/>
  </si>
  <si>
    <t>　　　　　　　　　　各直列ユニットへ</t>
    <phoneticPr fontId="1"/>
  </si>
  <si>
    <t>　┌──┃───┐</t>
    <phoneticPr fontId="1"/>
  </si>
  <si>
    <t xml:space="preserve">　│  1C┣▽●┓│　　　　　　　　　　　　　　　　　　▽：増幅器 (2段) </t>
    <phoneticPr fontId="1"/>
  </si>
  <si>
    <t>　└──┃──┃┘　　　　　　　　　　　　　　　　　　●：分配器 (2D,4D,6Ｄ)</t>
    <phoneticPr fontId="1"/>
  </si>
  <si>
    <t>　　┌──┃───┐</t>
    <phoneticPr fontId="1"/>
  </si>
  <si>
    <t xml:space="preserve">　　│  1C┣▽●┓│　　　　　　　　　　　　　　　　▽：増幅器 (2段) </t>
    <phoneticPr fontId="1"/>
  </si>
  <si>
    <t>　　└──┃──┃┘　　　　　　　　　　　　　　　　●：分配器 (2D,4D,6Ｄ)</t>
    <phoneticPr fontId="1"/>
  </si>
  <si>
    <t>　各階の共聴機器設置の有無　基準設定値：設置</t>
    <rPh sb="1" eb="2">
      <t>カク</t>
    </rPh>
    <rPh sb="14" eb="16">
      <t>キジュン</t>
    </rPh>
    <rPh sb="16" eb="19">
      <t>セッテイチ</t>
    </rPh>
    <rPh sb="20" eb="22">
      <t>セッチ</t>
    </rPh>
    <phoneticPr fontId="1"/>
  </si>
  <si>
    <t>　施工方法　基準設定値：天井ケーブル</t>
    <rPh sb="1" eb="3">
      <t>セコウ</t>
    </rPh>
    <rPh sb="3" eb="5">
      <t>ホウホウ</t>
    </rPh>
    <rPh sb="6" eb="8">
      <t>キジュン</t>
    </rPh>
    <rPh sb="8" eb="11">
      <t>セッテイチ</t>
    </rPh>
    <rPh sb="12" eb="14">
      <t>テンジョウ</t>
    </rPh>
    <phoneticPr fontId="1"/>
  </si>
  <si>
    <t>　　　　　　選択変更：7C-FB、10C-FB、5D-FB、8D-FB、12D-FB、3C-2V、5C-2V、7C-2V、10C-2V</t>
    <rPh sb="6" eb="8">
      <t>センタク</t>
    </rPh>
    <rPh sb="8" eb="10">
      <t>ヘンコウ</t>
    </rPh>
    <phoneticPr fontId="1"/>
  </si>
  <si>
    <t>　施工方法  (アンテナ部)配管　基準設定値＝G配管</t>
    <rPh sb="1" eb="3">
      <t>セコウ</t>
    </rPh>
    <rPh sb="3" eb="5">
      <t>ホウホウ</t>
    </rPh>
    <rPh sb="12" eb="13">
      <t>ブ</t>
    </rPh>
    <rPh sb="14" eb="16">
      <t>ハイカン</t>
    </rPh>
    <rPh sb="17" eb="19">
      <t>キジュン</t>
    </rPh>
    <rPh sb="19" eb="22">
      <t>セッテイチ</t>
    </rPh>
    <rPh sb="24" eb="26">
      <t>ハイカン</t>
    </rPh>
    <phoneticPr fontId="1"/>
  </si>
  <si>
    <t>　　　　　　選択変更：PF管、CD管、C管、G管</t>
    <rPh sb="6" eb="8">
      <t>センタク</t>
    </rPh>
    <rPh sb="8" eb="10">
      <t>ヘンコウ</t>
    </rPh>
    <rPh sb="13" eb="14">
      <t>カン</t>
    </rPh>
    <rPh sb="17" eb="18">
      <t>カン</t>
    </rPh>
    <rPh sb="20" eb="21">
      <t>カン</t>
    </rPh>
    <rPh sb="23" eb="24">
      <t>カン</t>
    </rPh>
    <phoneticPr fontId="1"/>
  </si>
  <si>
    <t>　　　　　　選択変更：5～10C-FB、5～12D-FB、3～10Cｰ2V</t>
    <rPh sb="6" eb="8">
      <t>センタク</t>
    </rPh>
    <rPh sb="8" eb="10">
      <t>ヘンコウ</t>
    </rPh>
    <phoneticPr fontId="1"/>
  </si>
  <si>
    <t>建設物価データ</t>
    <phoneticPr fontId="1"/>
  </si>
  <si>
    <t>　建設物価は下記による。</t>
    <rPh sb="1" eb="3">
      <t>ケンセツ</t>
    </rPh>
    <rPh sb="3" eb="5">
      <t>ブッカ</t>
    </rPh>
    <rPh sb="6" eb="8">
      <t>カキ</t>
    </rPh>
    <phoneticPr fontId="1"/>
  </si>
  <si>
    <t>　　1．毎月のデータを提供します。（ＣＤを郵送）</t>
    <rPh sb="4" eb="6">
      <t>マイツキ</t>
    </rPh>
    <rPh sb="11" eb="13">
      <t>テイキョウ</t>
    </rPh>
    <rPh sb="21" eb="23">
      <t>ユウソウ</t>
    </rPh>
    <phoneticPr fontId="1"/>
  </si>
  <si>
    <t>　　2．建設物価の種類</t>
    <rPh sb="4" eb="6">
      <t>ケンセツ</t>
    </rPh>
    <rPh sb="6" eb="8">
      <t>ブッカ</t>
    </rPh>
    <rPh sb="9" eb="11">
      <t>シュルイ</t>
    </rPh>
    <phoneticPr fontId="1"/>
  </si>
  <si>
    <t>　　　 注．①：製造業者と直接取引　②：一次問屋取引　③二次問屋取引　公示価格：製造業者定価</t>
    <rPh sb="4" eb="5">
      <t>チュウ</t>
    </rPh>
    <rPh sb="8" eb="11">
      <t>セイゾウギョウ</t>
    </rPh>
    <rPh sb="11" eb="12">
      <t>シャ</t>
    </rPh>
    <rPh sb="13" eb="15">
      <t>チョクセツ</t>
    </rPh>
    <rPh sb="15" eb="17">
      <t>トリヒキ</t>
    </rPh>
    <rPh sb="20" eb="22">
      <t>イチジ</t>
    </rPh>
    <rPh sb="22" eb="24">
      <t>トイヤ</t>
    </rPh>
    <rPh sb="24" eb="26">
      <t>トリヒキ</t>
    </rPh>
    <rPh sb="28" eb="30">
      <t>ニジ</t>
    </rPh>
    <rPh sb="30" eb="32">
      <t>トイヤ</t>
    </rPh>
    <rPh sb="32" eb="34">
      <t>トリヒキ</t>
    </rPh>
    <rPh sb="35" eb="37">
      <t>コウジ</t>
    </rPh>
    <rPh sb="37" eb="39">
      <t>カカク</t>
    </rPh>
    <rPh sb="40" eb="43">
      <t>セイゾウギョウ</t>
    </rPh>
    <rPh sb="43" eb="44">
      <t>シャ</t>
    </rPh>
    <rPh sb="44" eb="46">
      <t>テイカ</t>
    </rPh>
    <phoneticPr fontId="1"/>
  </si>
  <si>
    <t>　分類（Ａ）の活用方法</t>
    <phoneticPr fontId="1"/>
  </si>
  <si>
    <t>　　1．マウス で セル「分類 (Ａ)、(Ｂ)」  を選択する。</t>
    <phoneticPr fontId="1"/>
  </si>
  <si>
    <t>　　2．リボン「データ」⇒「フィルター」 を選択する。</t>
    <phoneticPr fontId="1"/>
  </si>
  <si>
    <t>　　3．ボタン(▼) を [クリック] する。</t>
    <phoneticPr fontId="1"/>
  </si>
  <si>
    <t>　　4．(すべて選択)を [クリック] し、[チェック] を外す。</t>
    <phoneticPr fontId="1"/>
  </si>
  <si>
    <t>　　5．Ａ～Ｗ を選択し、[チェック] を入れて、[OK] ボタン を [クリック] する。</t>
    <phoneticPr fontId="1"/>
  </si>
  <si>
    <t>　　6．選択した 「データ」 のみが表示される。</t>
    <phoneticPr fontId="1"/>
  </si>
  <si>
    <t>　　8．「フィルター」 を [クリック] し、完了する。</t>
    <phoneticPr fontId="1"/>
  </si>
  <si>
    <t>　分類（Ｂ）の活用方法</t>
    <phoneticPr fontId="1"/>
  </si>
  <si>
    <t>　　分類 (Ａ) と同様に操作すると、分類 (Ａ) で選択した項目のみの 分類 (Ｂ) が表示される。</t>
    <phoneticPr fontId="1"/>
  </si>
  <si>
    <t>換気風量</t>
    <phoneticPr fontId="1"/>
  </si>
  <si>
    <t>耐震措置</t>
    <phoneticPr fontId="1"/>
  </si>
  <si>
    <t>励磁突入</t>
    <phoneticPr fontId="1"/>
  </si>
  <si>
    <t>許容電流</t>
    <phoneticPr fontId="1"/>
  </si>
  <si>
    <t>簡易計算</t>
    <rPh sb="0" eb="2">
      <t>カンイ</t>
    </rPh>
    <rPh sb="2" eb="4">
      <t>ケイサン</t>
    </rPh>
    <phoneticPr fontId="1"/>
  </si>
  <si>
    <t>架線弛度</t>
    <rPh sb="0" eb="2">
      <t>ガセン</t>
    </rPh>
    <phoneticPr fontId="1"/>
  </si>
  <si>
    <t>　　　　　　　 3 ≦Ｎ＜  4 :  3　   4 ≦Ｎ＜  5 :  4　 　5 ≦Ｎ＜  6 :  5　 　6 ≦Ｎ＜  7 :  6</t>
    <phoneticPr fontId="1"/>
  </si>
  <si>
    <t>　　　　　　　 7 ≦Ｎ＜8.5 :  7　　8.5≦Ｎ＜ 10 :  8　　10 ≦Ｎ＜ 13 : 10　　13 ≦Ｎ＜ 16 : 11</t>
    <phoneticPr fontId="1"/>
  </si>
  <si>
    <t>　　　　　　　16 ≦Ｎ＜ 19 : 12　　19 ≦Ｎ＜ 22 : 15　　22 ≦Ｎ＜ 26 : 18　　26 ≦Ｎ＜ 30 : 21</t>
    <phoneticPr fontId="1"/>
  </si>
  <si>
    <t>　　　　　　　26 ≦Ｎ＜ 30 : 21　　30 ≦Ｎ＜ 35 : 24　　35 ≦Ｎ＜ 41 : 28　　41 ≦Ｎ＜ 48 : 33</t>
    <phoneticPr fontId="1"/>
  </si>
  <si>
    <t>　　　 　"小林係数"とは、1933年 小林勲 (こばやし いさお)氏 (当時、東京電灯会社、現東京電力) に在</t>
    <rPh sb="47" eb="48">
      <t>ゲン</t>
    </rPh>
    <rPh sb="48" eb="50">
      <t>トウキョウ</t>
    </rPh>
    <rPh sb="50" eb="52">
      <t>デンリョク</t>
    </rPh>
    <phoneticPr fontId="1"/>
  </si>
  <si>
    <t>　　　　　しかなく、２本入線(直流２線)の場合の "許容電流減少係数" は、0.79 としても問題はない。</t>
    <rPh sb="11" eb="12">
      <t>ホン</t>
    </rPh>
    <rPh sb="12" eb="14">
      <t>ニュウセン</t>
    </rPh>
    <rPh sb="15" eb="17">
      <t>チョクリュウ</t>
    </rPh>
    <rPh sb="18" eb="19">
      <t>セン</t>
    </rPh>
    <rPh sb="21" eb="23">
      <t>バアイ</t>
    </rPh>
    <rPh sb="47" eb="49">
      <t>モンダイ</t>
    </rPh>
    <phoneticPr fontId="1"/>
  </si>
  <si>
    <t>　　反射率：ρc＝天井面反射率、 ρw＝壁面反射率、 ρf＝床面反射率より４回反射までを考慮した照明率</t>
    <phoneticPr fontId="1"/>
  </si>
  <si>
    <t>　　　　　　　ただし、 ｆ(Ｕ)，ｆ(ρ)，ｆ(Ｋ) ：Ｕ，ρ，Ｋ に関する函数。</t>
    <phoneticPr fontId="1"/>
  </si>
  <si>
    <t>　　　　Ｎ：照明器具台数　　Ｅ：設計照度 [Lx]　　Ｍ：保守率　　Ｕt：照明率</t>
    <phoneticPr fontId="1"/>
  </si>
  <si>
    <t>　ランプ光束 [lm]：FPL etc.</t>
    <phoneticPr fontId="1"/>
  </si>
  <si>
    <t>　　28W  1970～2100</t>
    <phoneticPr fontId="1"/>
  </si>
  <si>
    <t>　ランプ光束 [lm]：FCL・LED</t>
    <phoneticPr fontId="1"/>
  </si>
  <si>
    <t>　　　　　　　　　　　　　　　　　　　100形(97W)  8620～9850　　　　　　　　　　　　(7.2W)  485</t>
    <phoneticPr fontId="1"/>
  </si>
  <si>
    <t>　　　　　　　　　　　　　　　　　　　　　　　　　　　　　　　　　　　　　　　　　　(7.6W)  530</t>
    <phoneticPr fontId="1"/>
  </si>
  <si>
    <t>　　　　　　　　　　　　　　　　　　　　　　　　　　　　　　　　　　　　　　　　　　(6.0W)  480</t>
    <phoneticPr fontId="1"/>
  </si>
  <si>
    <t>　　　　　　　　　　　　　　　　　　　　　　　　　　　　　　　　　　　　　　　　　　(6.4W)  450</t>
    <phoneticPr fontId="1"/>
  </si>
  <si>
    <t>　ランプ光束 [lm]：Hf・FL・FLR</t>
    <phoneticPr fontId="1"/>
  </si>
  <si>
    <t xml:space="preserve">      　　　　　　　　　　　　　　　　　　  　　　　　　　　FL(G)　　　　　　 FLR</t>
    <phoneticPr fontId="1"/>
  </si>
  <si>
    <t>　　　G-Ｈf 63形(63)W　　　　　6560　　　　　　10形(10W)　　460</t>
    <phoneticPr fontId="1"/>
  </si>
  <si>
    <t>　　　　　　32形(32W/45W)　　3520／4950　　　　20形(18W)　 1170</t>
    <phoneticPr fontId="1"/>
  </si>
  <si>
    <t>　　　　　　50形(50W/65W)　　5200／6400　　　　30形(30W)　 1700</t>
    <phoneticPr fontId="1"/>
  </si>
  <si>
    <t>　　No.2 Impedance 合成計算の公式 (F-1～4) により、構内配電網を合成して回路の解析ができます。</t>
    <phoneticPr fontId="1"/>
  </si>
  <si>
    <t>　　解析項目：変圧器電圧変動率、変圧器負荷率、変圧器定格電流、進相コンデンサの設置 （配電側、</t>
    <phoneticPr fontId="1"/>
  </si>
  <si>
    <t>　　変圧器・進相コンデンサの入力　計算する幹線毎に「電気方式」､「二次電圧」､「ＴＲ容量」､</t>
    <phoneticPr fontId="1"/>
  </si>
  <si>
    <t>　　　　　　　　　　　　　　　　 「ＳＣ[KVar]」 の各項目を入力して下さい。</t>
    <phoneticPr fontId="1"/>
  </si>
  <si>
    <t>　　Ｘｂ を求めるとき、係数Ａ､Ｂ､Ｃ を数値入力します。"Ａ", "Ｂ", "Ｃ" を "入力セル" に入力すると、</t>
    <phoneticPr fontId="1"/>
  </si>
  <si>
    <t>　　計算を行います。</t>
    <phoneticPr fontId="1"/>
  </si>
  <si>
    <t>　　ｆ(Ｘ) の一次導函数ｆ’(Ｘ)＝０ より、極大値 又は 極小値 (Ｘ０) を求めます。ここで、判別式 D＝</t>
    <phoneticPr fontId="1"/>
  </si>
  <si>
    <t>　　実務例：架線弛度計算</t>
    <phoneticPr fontId="1"/>
  </si>
  <si>
    <t>　　　　　　 　Ｌ:最大荷重,平均温度または最低温度ｔ[℃]における電線実長[ｍ]</t>
    <phoneticPr fontId="1"/>
  </si>
  <si>
    <t>　　　　　　　 Ｔ:最大荷重,平均温度または最低温度ｔ[℃]における電線張力[Kg]</t>
    <phoneticPr fontId="1"/>
  </si>
  <si>
    <t>　　　　　　　 Ｗ:電線単位長あたりの最大荷重[Kg/ｍ]</t>
    <phoneticPr fontId="1"/>
  </si>
  <si>
    <t>　5. ご使用上の注意事項</t>
    <phoneticPr fontId="1"/>
  </si>
  <si>
    <t>　　・計算シートの入力箇所：黄色セル(各項目のコメント文参照)</t>
    <phoneticPr fontId="1"/>
  </si>
  <si>
    <t>　　基準弛度＝0.6[ｍ]：その他の電線</t>
    <phoneticPr fontId="1"/>
  </si>
  <si>
    <t>　</t>
    <phoneticPr fontId="1"/>
  </si>
  <si>
    <t>受　　変　　電　　設　　備　　工　　事</t>
  </si>
  <si>
    <t>照　明　コ　ン　セ　ン　ト　設　備　工　事</t>
  </si>
  <si>
    <t xml:space="preserve">自  家  用  発  電  設  備  工  事    </t>
  </si>
  <si>
    <t>低  圧  幹  線  設  備  工  事</t>
  </si>
  <si>
    <t>非 常 照 明・誘 導 灯 設 備 工 事</t>
  </si>
  <si>
    <t>自 火 報 防 排 煙 設 備 工 事</t>
  </si>
  <si>
    <t>雷　　保　　護　　設　　備　　工　　事</t>
  </si>
  <si>
    <t>構  内  電  話  設  備  工  事</t>
  </si>
  <si>
    <t>構  内  放  送  設  備  工  事</t>
  </si>
  <si>
    <t>テ 　レ 　ビ 　共　聴　設　備　工　事</t>
  </si>
  <si>
    <t>建物形状</t>
  </si>
  <si>
    <t>yyyy.mm/dd</t>
  </si>
  <si>
    <t>非常照明</t>
  </si>
  <si>
    <t xml:space="preserve">Top Page (トップ・ページ)        </t>
  </si>
  <si>
    <t>ト　　ッ　　プ　　・　　ペ　　ー　　ジ</t>
  </si>
  <si>
    <t>確 認 事 項</t>
  </si>
  <si>
    <r>
      <t xml:space="preserve"> </t>
    </r>
    <r>
      <rPr>
        <sz val="14"/>
        <color rgb="FFFFFF99"/>
        <rFont val="Meiryo UI"/>
        <family val="3"/>
        <charset val="128"/>
      </rPr>
      <t>■</t>
    </r>
    <r>
      <rPr>
        <sz val="9"/>
        <color theme="0"/>
        <rFont val="Meiryo UI"/>
        <family val="3"/>
        <charset val="128"/>
      </rPr>
      <t>：入力が必要なセル［薄黄色］</t>
    </r>
  </si>
  <si>
    <r>
      <t xml:space="preserve"> </t>
    </r>
    <r>
      <rPr>
        <sz val="14"/>
        <color rgb="FFE1FFFF"/>
        <rFont val="Meiryo UI"/>
        <family val="3"/>
        <charset val="128"/>
      </rPr>
      <t>■</t>
    </r>
    <r>
      <rPr>
        <sz val="9"/>
        <color theme="0"/>
        <rFont val="Meiryo UI"/>
        <family val="3"/>
        <charset val="128"/>
      </rPr>
      <t>：Pull  Down  List 選択セル［薄青色］</t>
    </r>
  </si>
  <si>
    <r>
      <t xml:space="preserve"> </t>
    </r>
    <r>
      <rPr>
        <sz val="14"/>
        <color theme="0" tint="-0.14996795556505021"/>
        <rFont val="Meiryo UI"/>
        <family val="3"/>
        <charset val="128"/>
      </rPr>
      <t>■</t>
    </r>
    <r>
      <rPr>
        <sz val="9"/>
        <color theme="0"/>
        <rFont val="Meiryo UI"/>
        <family val="3"/>
        <charset val="128"/>
      </rPr>
      <t>：自動表示 セル［白色］</t>
    </r>
  </si>
  <si>
    <r>
      <t xml:space="preserve"> </t>
    </r>
    <r>
      <rPr>
        <sz val="14"/>
        <color theme="0"/>
        <rFont val="Meiryo UI"/>
        <family val="3"/>
        <charset val="128"/>
      </rPr>
      <t>■</t>
    </r>
    <r>
      <rPr>
        <sz val="9"/>
        <color theme="0"/>
        <rFont val="Meiryo UI"/>
        <family val="3"/>
        <charset val="128"/>
      </rPr>
      <t>：自動計算 セル［白色］</t>
    </r>
  </si>
  <si>
    <r>
      <t xml:space="preserve"> </t>
    </r>
    <r>
      <rPr>
        <sz val="14"/>
        <color rgb="FF0000FF"/>
        <rFont val="Meiryo UI"/>
        <family val="3"/>
        <charset val="128"/>
      </rPr>
      <t>■</t>
    </r>
    <r>
      <rPr>
        <sz val="9"/>
        <color theme="0"/>
        <rFont val="Meiryo UI"/>
        <family val="3"/>
        <charset val="128"/>
      </rPr>
      <t>：シート移動(Hyperlink) セル</t>
    </r>
  </si>
  <si>
    <r>
      <rPr>
        <sz val="6"/>
        <color theme="0"/>
        <rFont val="Meiryo UI"/>
        <family val="3"/>
        <charset val="128"/>
      </rPr>
      <t xml:space="preserve">  </t>
    </r>
    <r>
      <rPr>
        <sz val="9"/>
        <rFont val="Meiryo UI"/>
        <family val="3"/>
        <charset val="128"/>
      </rPr>
      <t>◀:</t>
    </r>
  </si>
  <si>
    <r>
      <t xml:space="preserve"> </t>
    </r>
    <r>
      <rPr>
        <sz val="14"/>
        <color rgb="FFFF0000"/>
        <rFont val="Meiryo UI"/>
        <family val="3"/>
        <charset val="128"/>
      </rPr>
      <t>■</t>
    </r>
    <r>
      <rPr>
        <sz val="9"/>
        <color theme="0"/>
        <rFont val="Meiryo UI"/>
        <family val="3"/>
        <charset val="128"/>
      </rPr>
      <t>：TopPage入力後、要確認 セル</t>
    </r>
  </si>
  <si>
    <r>
      <t>建物の耐火構造　基準設定値：</t>
    </r>
    <r>
      <rPr>
        <sz val="10"/>
        <color theme="1"/>
        <rFont val="Meiryo UI"/>
        <family val="3"/>
        <charset val="128"/>
      </rPr>
      <t xml:space="preserve">準耐火構造 </t>
    </r>
  </si>
  <si>
    <r>
      <t>建ぺい率／容積率　</t>
    </r>
    <r>
      <rPr>
        <sz val="10"/>
        <color theme="1" tint="4.9989318521683403E-2"/>
        <rFont val="Meiryo UI"/>
        <family val="3"/>
        <charset val="128"/>
      </rPr>
      <t>(注) 所轄建築主事に確認要</t>
    </r>
  </si>
  <si>
    <r>
      <t>建物概要入力</t>
    </r>
    <r>
      <rPr>
        <sz val="10"/>
        <color theme="1" tint="4.9989318521683403E-2"/>
        <rFont val="Meiryo UI"/>
        <family val="3"/>
        <charset val="128"/>
      </rPr>
      <t>　　欄外、標準設定値(表)による。</t>
    </r>
  </si>
  <si>
    <r>
      <t>　　</t>
    </r>
    <r>
      <rPr>
        <sz val="9"/>
        <color theme="1"/>
        <rFont val="Meiryo UI"/>
        <family val="3"/>
        <charset val="128"/>
      </rPr>
      <t>地階・無窓階 設置基準</t>
    </r>
  </si>
  <si>
    <r>
      <t>　　</t>
    </r>
    <r>
      <rPr>
        <sz val="9"/>
        <color theme="1"/>
        <rFont val="Meiryo UI"/>
        <family val="3"/>
        <charset val="128"/>
      </rPr>
      <t>３階以上 設置基準</t>
    </r>
  </si>
  <si>
    <r>
      <t>　　</t>
    </r>
    <r>
      <rPr>
        <sz val="9"/>
        <color theme="1"/>
        <rFont val="Meiryo UI"/>
        <family val="3"/>
        <charset val="128"/>
      </rPr>
      <t>1１階以上 設置基準</t>
    </r>
  </si>
  <si>
    <r>
      <rPr>
        <b/>
        <sz val="9"/>
        <color theme="1"/>
        <rFont val="Meiryo UI"/>
        <family val="3"/>
        <charset val="128"/>
      </rPr>
      <t xml:space="preserve">　　　　　　　　　　　　　　　　　　　　　　　　　 　　　　→ </t>
    </r>
    <r>
      <rPr>
        <sz val="9"/>
        <color rgb="FF800000"/>
        <rFont val="Meiryo UI"/>
        <family val="3"/>
        <charset val="128"/>
      </rPr>
      <t>Lx</t>
    </r>
  </si>
  <si>
    <r>
      <t>　梁巻配線長 [mm]</t>
    </r>
    <r>
      <rPr>
        <sz val="9"/>
        <color rgb="FF0000FF"/>
        <rFont val="Meiryo UI"/>
        <family val="3"/>
        <charset val="128"/>
      </rPr>
      <t>天井内配線の位置</t>
    </r>
    <r>
      <rPr>
        <sz val="9"/>
        <color theme="1" tint="4.9989318521683403E-2"/>
        <rFont val="Meiryo UI"/>
        <family val="3"/>
        <charset val="128"/>
      </rPr>
      <t>　基準設定値：スラブ下 0.1ｍ</t>
    </r>
  </si>
  <si>
    <r>
      <t>　</t>
    </r>
    <r>
      <rPr>
        <sz val="9"/>
        <color theme="1" tint="4.9989318521683403E-2"/>
        <rFont val="Meiryo UI"/>
        <family val="3"/>
        <charset val="128"/>
      </rPr>
      <t>梁成＝"０"</t>
    </r>
    <r>
      <rPr>
        <sz val="9"/>
        <color rgb="FF0000FF"/>
        <rFont val="Meiryo UI"/>
        <family val="3"/>
        <charset val="128"/>
      </rPr>
      <t xml:space="preserve"> にすると、　梁巻き配線長 ＝　　　0 [m]　　　梁渡り配管長 ＝ 1.5 [m]×必要本数</t>
    </r>
  </si>
  <si>
    <r>
      <t>　</t>
    </r>
    <r>
      <rPr>
        <sz val="9"/>
        <color theme="1" tint="4.9989318521683403E-2"/>
        <rFont val="Meiryo UI"/>
        <family val="3"/>
        <charset val="128"/>
      </rPr>
      <t>梁成＝"０"</t>
    </r>
    <r>
      <rPr>
        <sz val="9"/>
        <color rgb="FF0000FF"/>
        <rFont val="Meiryo UI"/>
        <family val="3"/>
        <charset val="128"/>
      </rPr>
      <t xml:space="preserve"> でないとき、梁巻き配線長 ＝ 必要数  [m]　　　梁渡り配管長 ＝　 0 [m]</t>
    </r>
  </si>
  <si>
    <r>
      <t>　</t>
    </r>
    <r>
      <rPr>
        <sz val="9"/>
        <color theme="1" tint="4.9989318521683403E-2"/>
        <rFont val="Meiryo UI"/>
        <family val="3"/>
        <charset val="128"/>
      </rPr>
      <t>梁間隔　基準設定値＝6,000 [mm]　　　変更修正可</t>
    </r>
  </si>
  <si>
    <r>
      <t>　　</t>
    </r>
    <r>
      <rPr>
        <b/>
        <sz val="9"/>
        <color rgb="FF800000"/>
        <rFont val="Meiryo UI"/>
        <family val="3"/>
        <charset val="128"/>
      </rPr>
      <t>↑</t>
    </r>
    <r>
      <rPr>
        <sz val="9"/>
        <color theme="1"/>
        <rFont val="Meiryo UI"/>
        <family val="3"/>
        <charset val="128"/>
      </rPr>
      <t xml:space="preserve"> ■――――――■――――――■――――――■――――――■</t>
    </r>
  </si>
  <si>
    <r>
      <rPr>
        <sz val="9"/>
        <color theme="1" tint="4.9989318521683403E-2"/>
        <rFont val="Meiryo UI"/>
        <family val="3"/>
        <charset val="128"/>
      </rPr>
      <t>雷害リスク解析による保護レベルの傾向</t>
    </r>
    <r>
      <rPr>
        <sz val="8"/>
        <color rgb="FF800000"/>
        <rFont val="Meiryo UI"/>
        <family val="3"/>
        <charset val="128"/>
      </rPr>
      <t xml:space="preserve">  [エースライオン(株)資料による]</t>
    </r>
  </si>
  <si>
    <r>
      <t>　　標準設定値は､⑦です。</t>
    </r>
    <r>
      <rPr>
        <sz val="9"/>
        <color rgb="FF0000FF"/>
        <rFont val="メイリオ"/>
        <family val="3"/>
        <charset val="128"/>
      </rPr>
      <t/>
    </r>
  </si>
  <si>
    <r>
      <t>参考技術資料－S2</t>
    </r>
    <r>
      <rPr>
        <sz val="9"/>
        <color rgb="FF0000FF"/>
        <rFont val="Meiryo UI"/>
        <family val="3"/>
        <charset val="128"/>
      </rPr>
      <t>　歩掛</t>
    </r>
  </si>
  <si>
    <r>
      <t>参考技術資料－S7</t>
    </r>
    <r>
      <rPr>
        <sz val="9"/>
        <color rgb="FF0000FF"/>
        <rFont val="Meiryo UI"/>
        <family val="3"/>
        <charset val="128"/>
      </rPr>
      <t>　簡易計算</t>
    </r>
  </si>
  <si>
    <r>
      <t>　</t>
    </r>
    <r>
      <rPr>
        <b/>
        <sz val="9"/>
        <color theme="1"/>
        <rFont val="Meiryo UI"/>
        <family val="3"/>
        <charset val="128"/>
      </rPr>
      <t>Calc 01</t>
    </r>
    <r>
      <rPr>
        <sz val="9"/>
        <color theme="1"/>
        <rFont val="Meiryo UI"/>
        <family val="3"/>
        <charset val="128"/>
      </rPr>
      <t>　</t>
    </r>
    <r>
      <rPr>
        <sz val="9"/>
        <color rgb="FF0000FF"/>
        <rFont val="Meiryo UI"/>
        <family val="3"/>
        <charset val="128"/>
      </rPr>
      <t>簡易照度計算 （平均照度法）</t>
    </r>
  </si>
  <si>
    <r>
      <t>　</t>
    </r>
    <r>
      <rPr>
        <b/>
        <sz val="9"/>
        <color theme="1"/>
        <rFont val="Meiryo UI"/>
        <family val="3"/>
        <charset val="128"/>
      </rPr>
      <t>Calc 02</t>
    </r>
    <r>
      <rPr>
        <sz val="9"/>
        <color theme="1"/>
        <rFont val="Meiryo UI"/>
        <family val="3"/>
        <charset val="128"/>
      </rPr>
      <t>　</t>
    </r>
    <r>
      <rPr>
        <sz val="9"/>
        <color rgb="FF0000FF"/>
        <rFont val="Meiryo UI"/>
        <family val="3"/>
        <charset val="128"/>
      </rPr>
      <t>インピーダンス (Impedance) 合成計算</t>
    </r>
  </si>
  <si>
    <r>
      <t>　</t>
    </r>
    <r>
      <rPr>
        <b/>
        <sz val="9"/>
        <color theme="1"/>
        <rFont val="Meiryo UI"/>
        <family val="3"/>
        <charset val="128"/>
      </rPr>
      <t>Calc 03</t>
    </r>
    <r>
      <rPr>
        <sz val="9"/>
        <color theme="1"/>
        <rFont val="Meiryo UI"/>
        <family val="3"/>
        <charset val="128"/>
      </rPr>
      <t>　</t>
    </r>
    <r>
      <rPr>
        <sz val="9"/>
        <color rgb="FF0000FF"/>
        <rFont val="Meiryo UI"/>
        <family val="3"/>
        <charset val="128"/>
      </rPr>
      <t>低圧電力幹線の諸計算</t>
    </r>
  </si>
  <si>
    <r>
      <t>　</t>
    </r>
    <r>
      <rPr>
        <b/>
        <sz val="9"/>
        <color theme="1"/>
        <rFont val="Meiryo UI"/>
        <family val="3"/>
        <charset val="128"/>
      </rPr>
      <t>Calc 04</t>
    </r>
    <r>
      <rPr>
        <sz val="9"/>
        <color theme="1"/>
        <rFont val="Meiryo UI"/>
        <family val="3"/>
        <charset val="128"/>
      </rPr>
      <t>　</t>
    </r>
    <r>
      <rPr>
        <sz val="9"/>
        <color rgb="FF0000FF"/>
        <rFont val="Meiryo UI"/>
        <family val="3"/>
        <charset val="128"/>
      </rPr>
      <t>二次方程式 ｆ(Ｘ)＝０ の解</t>
    </r>
  </si>
  <si>
    <r>
      <t>　</t>
    </r>
    <r>
      <rPr>
        <b/>
        <sz val="9"/>
        <color theme="1"/>
        <rFont val="Meiryo UI"/>
        <family val="3"/>
        <charset val="128"/>
      </rPr>
      <t>Calc 05</t>
    </r>
    <r>
      <rPr>
        <sz val="9"/>
        <color theme="1"/>
        <rFont val="Meiryo UI"/>
        <family val="3"/>
        <charset val="128"/>
      </rPr>
      <t>　</t>
    </r>
    <r>
      <rPr>
        <sz val="9"/>
        <color rgb="FF0000FF"/>
        <rFont val="Meiryo UI"/>
        <family val="3"/>
        <charset val="128"/>
      </rPr>
      <t>三次方程式 ｆ(Ｘ)＝０ の実根解（ニュートン微分法）</t>
    </r>
  </si>
  <si>
    <r>
      <t>S8-</t>
    </r>
    <r>
      <rPr>
        <sz val="11"/>
        <color rgb="FF990000"/>
        <rFont val="Meiryo UI"/>
        <family val="3"/>
        <charset val="128"/>
      </rPr>
      <t>wiredip</t>
    </r>
    <r>
      <rPr>
        <sz val="9"/>
        <color rgb="FF0000FF"/>
        <rFont val="Meiryo UI"/>
        <family val="3"/>
        <charset val="128"/>
      </rPr>
      <t>　参考技術計算：架線弛度計算</t>
    </r>
  </si>
  <si>
    <r>
      <t xml:space="preserve"> </t>
    </r>
    <r>
      <rPr>
        <b/>
        <i/>
        <sz val="16"/>
        <color rgb="FF800000"/>
        <rFont val="Meiryo UI"/>
        <family val="3"/>
        <charset val="128"/>
      </rPr>
      <t>ESE Service</t>
    </r>
    <r>
      <rPr>
        <sz val="9"/>
        <color theme="1" tint="4.9989318521683403E-2"/>
        <rFont val="メイリオ"/>
        <family val="3"/>
        <charset val="128"/>
      </rPr>
      <t/>
    </r>
  </si>
  <si>
    <t>ESE　Service   (Developer)</t>
  </si>
  <si>
    <t>建　　設　　物　　価　  　デ　　ー　　タ</t>
  </si>
  <si>
    <t>　　　  ■――――――■――――――■――――――■――――――■</t>
  </si>
  <si>
    <t>　 　　 ⑦――――――⑧――――――⑨――――――■――――――■</t>
  </si>
  <si>
    <t>　 　　 ④――――――⑤――――――⑥――――――■――――――■</t>
  </si>
  <si>
    <t>　 　　 ①――――――②――――――③――――――■――――――■</t>
  </si>
  <si>
    <t>　━━━━━━┯━━━━━━━━━━━━━━━━━━━</t>
  </si>
  <si>
    <t>　    　　　　┗━┷━━┛</t>
  </si>
  <si>
    <t>　    　　　　┃ 　│　　　┃</t>
  </si>
  <si>
    <t>　    　　　　┃　 │　　　┃</t>
  </si>
  <si>
    <t>　　    　　　┃ 　│　　　┃</t>
  </si>
  <si>
    <t>　　　    　　┃ 　│　　　┃　　ケーブル配線</t>
  </si>
  <si>
    <t>　    　　　　┃　 │　　　┃▃▃▃▃▃▃▃▃▃▃▃▃▃　0.1m (スラブ下)</t>
  </si>
  <si>
    <t>　━━━━┓ 　│　　　┏━━━━━━━━━━━━━━━━</t>
  </si>
  <si>
    <t>　　　　　　　      │梁成 (梁高さ)</t>
  </si>
  <si>
    <t>date:</t>
  </si>
  <si>
    <t xml:space="preserve">    TELEPHONE:</t>
  </si>
  <si>
    <r>
      <t xml:space="preserve">防 火 対 象 物 の 用 途 等 　　　      </t>
    </r>
    <r>
      <rPr>
        <b/>
        <sz val="1"/>
        <color indexed="9"/>
        <rFont val="Meiryo UI"/>
        <family val="3"/>
        <charset val="128"/>
      </rPr>
      <t>.</t>
    </r>
  </si>
  <si>
    <t>延長≧５０ｍのアーケード</t>
  </si>
  <si>
    <r>
      <t>専用部照明器具(</t>
    </r>
    <r>
      <rPr>
        <sz val="9"/>
        <color rgb="FFFF0000"/>
        <rFont val="Meiryo UI"/>
        <family val="3"/>
        <charset val="128"/>
      </rPr>
      <t>LED</t>
    </r>
    <r>
      <rPr>
        <sz val="9"/>
        <color rgb="FF800000"/>
        <rFont val="Meiryo UI"/>
        <family val="3"/>
        <charset val="128"/>
      </rPr>
      <t>)</t>
    </r>
  </si>
  <si>
    <r>
      <t>共用部照明器具(</t>
    </r>
    <r>
      <rPr>
        <sz val="9"/>
        <color rgb="FFFF0000"/>
        <rFont val="Meiryo UI"/>
        <family val="3"/>
        <charset val="128"/>
      </rPr>
      <t>LED</t>
    </r>
    <r>
      <rPr>
        <sz val="9"/>
        <color rgb="FF800000"/>
        <rFont val="Meiryo UI"/>
        <family val="3"/>
        <charset val="128"/>
      </rPr>
      <t>)</t>
    </r>
  </si>
  <si>
    <r>
      <t>差込(個/ｍ</t>
    </r>
    <r>
      <rPr>
        <vertAlign val="superscript"/>
        <sz val="6"/>
        <color theme="1"/>
        <rFont val="Meiryo UI"/>
        <family val="3"/>
        <charset val="128"/>
      </rPr>
      <t>２</t>
    </r>
    <r>
      <rPr>
        <sz val="6"/>
        <color theme="1"/>
        <rFont val="Meiryo UI"/>
        <family val="3"/>
        <charset val="128"/>
      </rPr>
      <t>)</t>
    </r>
  </si>
  <si>
    <t>0nn-nnn-nnnn</t>
    <phoneticPr fontId="1"/>
  </si>
  <si>
    <t>形状</t>
    <rPh sb="0" eb="2">
      <t>ケイジョウ</t>
    </rPh>
    <phoneticPr fontId="1"/>
  </si>
  <si>
    <t>形 状</t>
    <rPh sb="0" eb="1">
      <t>カタチ</t>
    </rPh>
    <rPh sb="2" eb="3">
      <t>ジョウ</t>
    </rPh>
    <phoneticPr fontId="1"/>
  </si>
  <si>
    <t>係数</t>
    <rPh sb="0" eb="2">
      <t>ケイスウ</t>
    </rPh>
    <phoneticPr fontId="1"/>
  </si>
  <si>
    <t>X1</t>
    <phoneticPr fontId="1"/>
  </si>
  <si>
    <t>X2</t>
    <phoneticPr fontId="1"/>
  </si>
  <si>
    <t>X3</t>
    <phoneticPr fontId="1"/>
  </si>
  <si>
    <t>X4</t>
    <phoneticPr fontId="1"/>
  </si>
  <si>
    <t>X5</t>
    <phoneticPr fontId="1"/>
  </si>
  <si>
    <t>Y1</t>
    <phoneticPr fontId="1"/>
  </si>
  <si>
    <t>Y2</t>
    <phoneticPr fontId="1"/>
  </si>
  <si>
    <t>Y3</t>
    <phoneticPr fontId="1"/>
  </si>
  <si>
    <t>Y4</t>
    <phoneticPr fontId="1"/>
  </si>
  <si>
    <t>Y5</t>
    <phoneticPr fontId="1"/>
  </si>
  <si>
    <t>建物寸法 -Ｘ[ｍ]</t>
    <rPh sb="0" eb="2">
      <t>タテモノ</t>
    </rPh>
    <rPh sb="2" eb="4">
      <t>スンポウ</t>
    </rPh>
    <phoneticPr fontId="1"/>
  </si>
  <si>
    <t>建物寸法 -Ｙ[ｍ]</t>
    <rPh sb="0" eb="2">
      <t>タテモノ</t>
    </rPh>
    <rPh sb="2" eb="4">
      <t>スンポウ</t>
    </rPh>
    <phoneticPr fontId="1"/>
  </si>
  <si>
    <t>建物外周</t>
    <rPh sb="0" eb="1">
      <t>ケン</t>
    </rPh>
    <rPh sb="1" eb="2">
      <t>モノ</t>
    </rPh>
    <phoneticPr fontId="1"/>
  </si>
  <si>
    <t>[ｍ]</t>
    <phoneticPr fontId="1"/>
  </si>
  <si>
    <t>建物高さ</t>
    <rPh sb="0" eb="1">
      <t>ケン</t>
    </rPh>
    <rPh sb="1" eb="2">
      <t>モノ</t>
    </rPh>
    <rPh sb="2" eb="3">
      <t>タカ</t>
    </rPh>
    <phoneticPr fontId="1"/>
  </si>
  <si>
    <t>GL+[ｍ]</t>
    <phoneticPr fontId="1"/>
  </si>
  <si>
    <t>ΣX</t>
    <phoneticPr fontId="1"/>
  </si>
  <si>
    <t>ΣY</t>
    <phoneticPr fontId="1"/>
  </si>
  <si>
    <t>建物形状</t>
    <rPh sb="0" eb="2">
      <t>タテモノ</t>
    </rPh>
    <rPh sb="2" eb="4">
      <t>ケイジョウ</t>
    </rPh>
    <phoneticPr fontId="1"/>
  </si>
  <si>
    <t>名称</t>
    <phoneticPr fontId="1"/>
  </si>
  <si>
    <t>←「建物形状」 クリック　</t>
    <rPh sb="2" eb="4">
      <t>タテモノ</t>
    </rPh>
    <rPh sb="4" eb="6">
      <t>ケイジョウ</t>
    </rPh>
    <phoneticPr fontId="1"/>
  </si>
  <si>
    <r>
      <t>形状type "A"～"I" の建物寸法 Ｘ</t>
    </r>
    <r>
      <rPr>
        <b/>
        <sz val="8"/>
        <color rgb="FFC00000"/>
        <rFont val="ＭＳ Ｐゴシック"/>
        <family val="3"/>
        <charset val="128"/>
        <scheme val="minor"/>
      </rPr>
      <t>1-5</t>
    </r>
    <r>
      <rPr>
        <b/>
        <sz val="9"/>
        <color rgb="FFC00000"/>
        <rFont val="ＭＳ Ｐゴシック"/>
        <family val="3"/>
        <charset val="128"/>
        <scheme val="minor"/>
      </rPr>
      <t>[m]、Ｙ</t>
    </r>
    <r>
      <rPr>
        <b/>
        <sz val="8"/>
        <color rgb="FFC00000"/>
        <rFont val="ＭＳ Ｐゴシック"/>
        <family val="3"/>
        <charset val="128"/>
        <scheme val="minor"/>
      </rPr>
      <t>1-5</t>
    </r>
    <r>
      <rPr>
        <b/>
        <sz val="9"/>
        <color rgb="FFC00000"/>
        <rFont val="ＭＳ Ｐゴシック"/>
        <family val="3"/>
        <charset val="128"/>
        <scheme val="minor"/>
      </rPr>
      <t xml:space="preserve">[m] を </t>
    </r>
    <r>
      <rPr>
        <b/>
        <sz val="9"/>
        <color rgb="FF002060"/>
        <rFont val="ＭＳ Ｐゴシック"/>
        <family val="3"/>
        <charset val="128"/>
        <scheme val="minor"/>
      </rPr>
      <t>階ごと</t>
    </r>
    <r>
      <rPr>
        <b/>
        <sz val="9"/>
        <color rgb="FFC00000"/>
        <rFont val="ＭＳ Ｐゴシック"/>
        <family val="3"/>
        <charset val="128"/>
        <scheme val="minor"/>
      </rPr>
      <t>に入力して下さい</t>
    </r>
    <rPh sb="39" eb="40">
      <t>カイ</t>
    </rPh>
    <phoneticPr fontId="1"/>
  </si>
  <si>
    <t>X2</t>
    <phoneticPr fontId="1"/>
  </si>
  <si>
    <t>X3</t>
    <phoneticPr fontId="1"/>
  </si>
  <si>
    <t>Y2</t>
    <phoneticPr fontId="1"/>
  </si>
  <si>
    <t>軒高</t>
    <rPh sb="0" eb="1">
      <t>ノキ</t>
    </rPh>
    <rPh sb="1" eb="2">
      <t>タカ</t>
    </rPh>
    <phoneticPr fontId="1"/>
  </si>
  <si>
    <r>
      <rPr>
        <i/>
        <sz val="16"/>
        <color theme="0"/>
        <rFont val="Meiryo UI"/>
        <family val="3"/>
        <charset val="128"/>
      </rPr>
      <t>RECS-</t>
    </r>
    <r>
      <rPr>
        <b/>
        <i/>
        <sz val="12"/>
        <color theme="0"/>
        <rFont val="Meiryo UI"/>
        <family val="3"/>
        <charset val="128"/>
      </rPr>
      <t xml:space="preserve">5000E </t>
    </r>
    <r>
      <rPr>
        <sz val="11"/>
        <color theme="0"/>
        <rFont val="Times New Roman"/>
        <family val="1"/>
      </rPr>
      <t/>
    </r>
    <phoneticPr fontId="1"/>
  </si>
  <si>
    <r>
      <t xml:space="preserve">  (</t>
    </r>
    <r>
      <rPr>
        <b/>
        <i/>
        <sz val="11"/>
        <color theme="0"/>
        <rFont val="Meiryo UI"/>
        <family val="3"/>
        <charset val="128"/>
      </rPr>
      <t>Rapid  Estimate  Computation  Systems</t>
    </r>
    <r>
      <rPr>
        <sz val="11"/>
        <color theme="0"/>
        <rFont val="Meiryo UI"/>
        <family val="3"/>
        <charset val="128"/>
      </rPr>
      <t>)</t>
    </r>
    <phoneticPr fontId="1"/>
  </si>
  <si>
    <t>　建ぺい率 ：敷地面積に対する建築面積 (１階床面積) の割合</t>
    <rPh sb="7" eb="9">
      <t>シキチ</t>
    </rPh>
    <rPh sb="9" eb="11">
      <t>メンセキ</t>
    </rPh>
    <rPh sb="12" eb="13">
      <t>タイ</t>
    </rPh>
    <rPh sb="15" eb="17">
      <t>ケンチク</t>
    </rPh>
    <rPh sb="17" eb="19">
      <t>メンセキ</t>
    </rPh>
    <rPh sb="22" eb="23">
      <t>カイ</t>
    </rPh>
    <rPh sb="23" eb="26">
      <t>ユカメンセキ</t>
    </rPh>
    <rPh sb="29" eb="31">
      <t>ワリアイ</t>
    </rPh>
    <phoneticPr fontId="1"/>
  </si>
  <si>
    <r>
      <t>参考技術資料－S</t>
    </r>
    <r>
      <rPr>
        <sz val="9"/>
        <rFont val="Meiryo UI"/>
        <family val="3"/>
        <charset val="128"/>
      </rPr>
      <t>1</t>
    </r>
    <r>
      <rPr>
        <sz val="9"/>
        <color rgb="FF0000FF"/>
        <rFont val="Meiryo UI"/>
        <family val="3"/>
        <charset val="128"/>
      </rPr>
      <t>　形状係数</t>
    </r>
    <phoneticPr fontId="1"/>
  </si>
  <si>
    <t>丨</t>
    <rPh sb="0" eb="1">
      <t>コン</t>
    </rPh>
    <phoneticPr fontId="1"/>
  </si>
  <si>
    <t>(13)ロ</t>
    <phoneticPr fontId="8"/>
  </si>
  <si>
    <t>特殊格納庫</t>
    <phoneticPr fontId="8"/>
  </si>
  <si>
    <t>━</t>
    <phoneticPr fontId="1"/>
  </si>
  <si>
    <t>配管配線材料</t>
    <phoneticPr fontId="1"/>
  </si>
  <si>
    <t>m2・坪 単価</t>
    <rPh sb="3" eb="4">
      <t>ツボ</t>
    </rPh>
    <rPh sb="5" eb="7">
      <t>タンカ</t>
    </rPh>
    <phoneticPr fontId="1"/>
  </si>
  <si>
    <t>m2・坪 単価</t>
    <phoneticPr fontId="1"/>
  </si>
  <si>
    <t xml:space="preserve"> (原価セル番号[F2],[F3],[F4] )  この三行は、入力可能"セル"です。</t>
    <rPh sb="2" eb="4">
      <t>ゲンカ</t>
    </rPh>
    <rPh sb="6" eb="8">
      <t>バンゴウ</t>
    </rPh>
    <rPh sb="27" eb="28">
      <t>３</t>
    </rPh>
    <rPh sb="28" eb="29">
      <t>ギョウ</t>
    </rPh>
    <rPh sb="31" eb="33">
      <t>ニュウリョク</t>
    </rPh>
    <rPh sb="33" eb="35">
      <t>カノウ</t>
    </rPh>
    <phoneticPr fontId="1"/>
  </si>
  <si>
    <t>表示</t>
  </si>
  <si>
    <t>--近畿・中国--</t>
    <rPh sb="2" eb="4">
      <t>キンキ</t>
    </rPh>
    <rPh sb="5" eb="7">
      <t>チュウゴク</t>
    </rPh>
    <phoneticPr fontId="1"/>
  </si>
  <si>
    <t>名　瀬</t>
    <phoneticPr fontId="1"/>
  </si>
  <si>
    <t>奄美大島</t>
    <phoneticPr fontId="1"/>
  </si>
  <si>
    <t>　　   　　　┗━┷━━━┛</t>
    <phoneticPr fontId="1"/>
  </si>
  <si>
    <t>　　    　 　┃ 　│　 　　　┃</t>
    <phoneticPr fontId="1"/>
  </si>
  <si>
    <t>　　　   　　┃ 　│　 　　　┃　　ケーブル配線</t>
    <rPh sb="24" eb="26">
      <t>ハイセン</t>
    </rPh>
    <phoneticPr fontId="1"/>
  </si>
  <si>
    <t>　　　   　　┃　 │　　 　　┃▃▃▃▃▃▃▃▃▃▃▃▃▃　0.1m (スラブ下)</t>
    <rPh sb="41" eb="42">
      <t>シタ</t>
    </rPh>
    <phoneticPr fontId="1"/>
  </si>
  <si>
    <t>　  ━━━┓　 │　 　　　┏━━━━━━━━━━━━━━━━</t>
    <phoneticPr fontId="1"/>
  </si>
  <si>
    <t>　　　　　     　　│梁成 (梁高さ)</t>
    <rPh sb="13" eb="15">
      <t>ハリセイ</t>
    </rPh>
    <rPh sb="17" eb="18">
      <t>ハリ</t>
    </rPh>
    <rPh sb="18" eb="19">
      <t>タカ</t>
    </rPh>
    <phoneticPr fontId="1"/>
  </si>
  <si>
    <t>　  ━━━━━┯━━━━━━━━━━━━━━━━━━━━</t>
    <phoneticPr fontId="1"/>
  </si>
  <si>
    <r>
      <t>　　Ly　　　　　　　　　　　　    　　</t>
    </r>
    <r>
      <rPr>
        <sz val="9"/>
        <color rgb="FFFF0000"/>
        <rFont val="HG明朝B"/>
        <family val="1"/>
        <charset val="128"/>
      </rPr>
      <t>┃</t>
    </r>
    <phoneticPr fontId="1"/>
  </si>
  <si>
    <r>
      <t>　</t>
    </r>
    <r>
      <rPr>
        <sz val="8"/>
        <color theme="1"/>
        <rFont val="HG明朝B"/>
        <family val="1"/>
        <charset val="128"/>
      </rPr>
      <t>　</t>
    </r>
    <r>
      <rPr>
        <sz val="9"/>
        <color theme="1"/>
        <rFont val="HG明朝B"/>
        <family val="1"/>
        <charset val="128"/>
      </rPr>
      <t>　  | 　　　 　   |        　　 |</t>
    </r>
    <r>
      <rPr>
        <sz val="11"/>
        <color theme="1"/>
        <rFont val="HG明朝B"/>
        <family val="1"/>
        <charset val="128"/>
      </rPr>
      <t xml:space="preserve"> </t>
    </r>
    <r>
      <rPr>
        <sz val="9"/>
        <color rgb="FFFF0000"/>
        <rFont val="HG明朝B"/>
        <family val="1"/>
        <charset val="128"/>
      </rPr>
      <t>┃</t>
    </r>
    <r>
      <rPr>
        <sz val="9"/>
        <color theme="1"/>
        <rFont val="HG明朝B"/>
        <family val="1"/>
        <charset val="128"/>
      </rPr>
      <t xml:space="preserve">　  　  </t>
    </r>
    <r>
      <rPr>
        <sz val="6"/>
        <color theme="1"/>
        <rFont val="HG明朝B"/>
        <family val="1"/>
        <charset val="128"/>
      </rPr>
      <t xml:space="preserve"> </t>
    </r>
    <r>
      <rPr>
        <sz val="9"/>
        <color theme="1"/>
        <rFont val="HG明朝B"/>
        <family val="1"/>
        <charset val="128"/>
      </rPr>
      <t xml:space="preserve"> | 　  　 　   |</t>
    </r>
    <phoneticPr fontId="1"/>
  </si>
  <si>
    <r>
      <t xml:space="preserve">　　　 ■――――――■――――――■ </t>
    </r>
    <r>
      <rPr>
        <sz val="9"/>
        <color rgb="FFFF0000"/>
        <rFont val="HG明朝B"/>
        <family val="1"/>
        <charset val="128"/>
      </rPr>
      <t>╂</t>
    </r>
    <r>
      <rPr>
        <sz val="9"/>
        <color theme="1"/>
        <rFont val="HG明朝B"/>
        <family val="1"/>
        <charset val="128"/>
      </rPr>
      <t>―――― ■――――――■</t>
    </r>
    <phoneticPr fontId="1"/>
  </si>
  <si>
    <r>
      <t>　</t>
    </r>
    <r>
      <rPr>
        <sz val="8"/>
        <color theme="1"/>
        <rFont val="HG明朝B"/>
        <family val="1"/>
        <charset val="128"/>
      </rPr>
      <t>　</t>
    </r>
    <r>
      <rPr>
        <sz val="9"/>
        <color theme="1"/>
        <rFont val="HG明朝B"/>
        <family val="1"/>
        <charset val="128"/>
      </rPr>
      <t>　  | 　　　 　   | 　　     　 | 　　   　   | 　  　 　   |</t>
    </r>
    <phoneticPr fontId="1"/>
  </si>
  <si>
    <r>
      <t>　　</t>
    </r>
    <r>
      <rPr>
        <b/>
        <sz val="9"/>
        <color rgb="FF800000"/>
        <rFont val="HG明朝B"/>
        <family val="1"/>
        <charset val="128"/>
      </rPr>
      <t>↑</t>
    </r>
    <r>
      <rPr>
        <sz val="9"/>
        <color theme="1"/>
        <rFont val="HG明朝B"/>
        <family val="1"/>
        <charset val="128"/>
      </rPr>
      <t xml:space="preserve"> ■――――――■――――――■――――――■――――――■</t>
    </r>
  </si>
  <si>
    <r>
      <t>　</t>
    </r>
    <r>
      <rPr>
        <sz val="8"/>
        <color theme="1"/>
        <rFont val="HG明朝B"/>
        <family val="1"/>
        <charset val="128"/>
      </rPr>
      <t>　</t>
    </r>
    <r>
      <rPr>
        <sz val="9"/>
        <color theme="1"/>
        <rFont val="HG明朝B"/>
        <family val="1"/>
        <charset val="128"/>
      </rPr>
      <t>　  | 　　　 　   | 　　　 　　 |</t>
    </r>
    <r>
      <rPr>
        <sz val="11"/>
        <color theme="1"/>
        <rFont val="HG明朝B"/>
        <family val="1"/>
        <charset val="128"/>
      </rPr>
      <t xml:space="preserve"> </t>
    </r>
    <r>
      <rPr>
        <sz val="9"/>
        <color theme="1"/>
        <rFont val="HG明朝B"/>
        <family val="1"/>
        <charset val="128"/>
      </rPr>
      <t xml:space="preserve"> </t>
    </r>
    <r>
      <rPr>
        <sz val="9"/>
        <color rgb="FFFF0000"/>
        <rFont val="HG明朝B"/>
        <family val="1"/>
        <charset val="128"/>
      </rPr>
      <t>　</t>
    </r>
    <r>
      <rPr>
        <sz val="9"/>
        <color theme="1"/>
        <rFont val="HG明朝B"/>
        <family val="1"/>
        <charset val="128"/>
      </rPr>
      <t xml:space="preserve">　 　  </t>
    </r>
    <r>
      <rPr>
        <sz val="6"/>
        <color theme="1"/>
        <rFont val="HG明朝B"/>
        <family val="1"/>
        <charset val="128"/>
      </rPr>
      <t xml:space="preserve"> </t>
    </r>
    <r>
      <rPr>
        <sz val="9"/>
        <color theme="1"/>
        <rFont val="HG明朝B"/>
        <family val="1"/>
        <charset val="128"/>
      </rPr>
      <t xml:space="preserve"> | 　　　 　   |</t>
    </r>
  </si>
  <si>
    <t>　　　 ■――――――■――――――■――――――■――――――■</t>
    <phoneticPr fontId="1"/>
  </si>
  <si>
    <t>　　│┃    　┃│　　　　　　　　　　　　　　　　　　┣：分岐器 (1,2Ｃ)</t>
    <phoneticPr fontId="1"/>
  </si>
  <si>
    <t>　 　　┃　  　┗━━┓━━━━━┓</t>
    <phoneticPr fontId="1"/>
  </si>
  <si>
    <r>
      <t>　　　　　　　       　　◎━━◎　  　◎━━◎　　　　　　　</t>
    </r>
    <r>
      <rPr>
        <sz val="9"/>
        <color rgb="FF0000FF"/>
        <rFont val="Meiryo UI"/>
        <family val="3"/>
        <charset val="128"/>
      </rPr>
      <t>分配器：Distributor</t>
    </r>
    <phoneticPr fontId="1"/>
  </si>
  <si>
    <r>
      <t>　　　　　　       　　　┃　　　     　　┃　　　　　　   　　　　</t>
    </r>
    <r>
      <rPr>
        <sz val="9"/>
        <color rgb="FF0000FF"/>
        <rFont val="Meiryo UI"/>
        <family val="3"/>
        <charset val="128"/>
      </rPr>
      <t>分岐器：Splitter</t>
    </r>
    <phoneticPr fontId="1"/>
  </si>
  <si>
    <t>　│  　　┃   6D  │</t>
    <phoneticPr fontId="1"/>
  </si>
  <si>
    <t>　│　  　┃　  　┃│　　　　　　　　　　　　　　　　　　┣：分岐器 (1,2Ｃ)</t>
    <phoneticPr fontId="1"/>
  </si>
  <si>
    <t>　　　   　┃　  　┗━━┓━━━━━┓</t>
    <phoneticPr fontId="1"/>
  </si>
  <si>
    <t>　　　　　　　　　         　┃　　　     　　┃</t>
    <phoneticPr fontId="1"/>
  </si>
  <si>
    <t>　　　　　　　　　         　◎　　　     　　◎</t>
    <phoneticPr fontId="1"/>
  </si>
  <si>
    <t>　　　 　　　　　  　各直列ユニットへ</t>
    <phoneticPr fontId="1"/>
  </si>
  <si>
    <t>　　　　　　　　　         　　●　　　     　　●</t>
    <phoneticPr fontId="1"/>
  </si>
  <si>
    <t>　　　 　　　　　    　　各直列ユニットへ</t>
    <phoneticPr fontId="1"/>
  </si>
  <si>
    <t>　　　　　　　　         　　　┃　     　　　　┃</t>
    <phoneticPr fontId="1"/>
  </si>
  <si>
    <r>
      <t>　　　   　　┃  　　┗━━</t>
    </r>
    <r>
      <rPr>
        <sz val="9"/>
        <color rgb="FFFF0000"/>
        <rFont val="Meiryo UI"/>
        <family val="3"/>
        <charset val="128"/>
      </rPr>
      <t>┳</t>
    </r>
    <r>
      <rPr>
        <sz val="9"/>
        <color theme="1"/>
        <rFont val="Meiryo UI"/>
        <family val="3"/>
        <charset val="128"/>
      </rPr>
      <t>━━━━━┓</t>
    </r>
    <phoneticPr fontId="1"/>
  </si>
  <si>
    <t>　　　 ・近畿②　 　・中国③　　・四国③　　・北陸③　　・九州③　　・沖縄③</t>
    <rPh sb="5" eb="7">
      <t>キンキ</t>
    </rPh>
    <rPh sb="12" eb="14">
      <t>チュウゴク</t>
    </rPh>
    <rPh sb="18" eb="20">
      <t>シコク</t>
    </rPh>
    <rPh sb="24" eb="26">
      <t>ホクリク</t>
    </rPh>
    <rPh sb="30" eb="32">
      <t>キュウシュウ</t>
    </rPh>
    <rPh sb="36" eb="38">
      <t>オキナワ</t>
    </rPh>
    <phoneticPr fontId="1"/>
  </si>
  <si>
    <t>　　　　    　　Ａ以外は、Ａに置換えた場合の"形状係数"で、配管配線数量は正しく積算されます。</t>
    <rPh sb="11" eb="13">
      <t>イガイ</t>
    </rPh>
    <rPh sb="17" eb="19">
      <t>オキカ</t>
    </rPh>
    <rPh sb="21" eb="23">
      <t>バアイ</t>
    </rPh>
    <rPh sb="25" eb="27">
      <t>ケイジョウ</t>
    </rPh>
    <rPh sb="27" eb="29">
      <t>ケイスウ</t>
    </rPh>
    <rPh sb="32" eb="34">
      <t>ハイカン</t>
    </rPh>
    <rPh sb="34" eb="36">
      <t>ハイセン</t>
    </rPh>
    <rPh sb="36" eb="38">
      <t>スウリョウ</t>
    </rPh>
    <rPh sb="39" eb="40">
      <t>タダ</t>
    </rPh>
    <rPh sb="42" eb="44">
      <t>セキサン</t>
    </rPh>
    <phoneticPr fontId="1"/>
  </si>
  <si>
    <t>　　　　　　 FPL   　             FML              FDL　　　　　　　　　　　　FHT                  FHP</t>
    <phoneticPr fontId="1"/>
  </si>
  <si>
    <t>　　　　　　　　　　メッセンジャワイヤ：JIS-C-3537　亜鉛メッキ鋼より線</t>
    <rPh sb="31" eb="33">
      <t>アエン</t>
    </rPh>
    <rPh sb="36" eb="37">
      <t>コウ</t>
    </rPh>
    <rPh sb="39" eb="40">
      <t>セン</t>
    </rPh>
    <phoneticPr fontId="1"/>
  </si>
  <si>
    <t>　消費税相当額　    　　：原価用内訳書で入力</t>
    <rPh sb="1" eb="4">
      <t>ショウヒゼイ</t>
    </rPh>
    <rPh sb="4" eb="6">
      <t>ソウトウ</t>
    </rPh>
    <rPh sb="6" eb="7">
      <t>ガク</t>
    </rPh>
    <rPh sb="15" eb="17">
      <t>ゲンカ</t>
    </rPh>
    <rPh sb="17" eb="18">
      <t>ヨウ</t>
    </rPh>
    <rPh sb="18" eb="20">
      <t>ウチワケ</t>
    </rPh>
    <rPh sb="20" eb="21">
      <t>ショ</t>
    </rPh>
    <rPh sb="22" eb="24">
      <t>ニュウリョク</t>
    </rPh>
    <phoneticPr fontId="1"/>
  </si>
  <si>
    <r>
      <t>　　</t>
    </r>
    <r>
      <rPr>
        <b/>
        <sz val="9"/>
        <color rgb="FF800000"/>
        <rFont val="HG明朝B"/>
        <family val="1"/>
        <charset val="128"/>
      </rPr>
      <t>↑</t>
    </r>
    <r>
      <rPr>
        <sz val="9"/>
        <color theme="1"/>
        <rFont val="HG明朝B"/>
        <family val="1"/>
        <charset val="128"/>
      </rPr>
      <t xml:space="preserve"> ■――――――■――――――■─</t>
    </r>
    <r>
      <rPr>
        <sz val="9"/>
        <color rgb="FFFF0000"/>
        <rFont val="HG明朝B"/>
        <family val="1"/>
        <charset val="128"/>
      </rPr>
      <t>╂</t>
    </r>
    <r>
      <rPr>
        <sz val="9"/>
        <color theme="1"/>
        <rFont val="HG明朝B"/>
        <family val="1"/>
        <charset val="128"/>
      </rPr>
      <t>――――■――――――■</t>
    </r>
  </si>
  <si>
    <r>
      <t>　</t>
    </r>
    <r>
      <rPr>
        <sz val="8"/>
        <color theme="1"/>
        <rFont val="HG明朝B"/>
        <family val="1"/>
        <charset val="128"/>
      </rPr>
      <t>　</t>
    </r>
    <r>
      <rPr>
        <sz val="9"/>
        <color theme="1"/>
        <rFont val="HG明朝B"/>
        <family val="1"/>
        <charset val="128"/>
      </rPr>
      <t>　  | 　　　 　   | 　　　 　　 |</t>
    </r>
    <r>
      <rPr>
        <sz val="11"/>
        <color theme="1"/>
        <rFont val="HG明朝B"/>
        <family val="1"/>
        <charset val="128"/>
      </rPr>
      <t xml:space="preserve"> </t>
    </r>
    <r>
      <rPr>
        <sz val="9"/>
        <color theme="1"/>
        <rFont val="HG明朝B"/>
        <family val="1"/>
        <charset val="128"/>
      </rPr>
      <t xml:space="preserve"> </t>
    </r>
    <r>
      <rPr>
        <sz val="9"/>
        <color rgb="FFFF0000"/>
        <rFont val="HG明朝B"/>
        <family val="1"/>
        <charset val="128"/>
      </rPr>
      <t>┃</t>
    </r>
    <r>
      <rPr>
        <sz val="9"/>
        <color theme="1"/>
        <rFont val="HG明朝B"/>
        <family val="1"/>
        <charset val="128"/>
      </rPr>
      <t xml:space="preserve">　 　  </t>
    </r>
    <r>
      <rPr>
        <sz val="6"/>
        <color theme="1"/>
        <rFont val="HG明朝B"/>
        <family val="1"/>
        <charset val="128"/>
      </rPr>
      <t xml:space="preserve"> </t>
    </r>
    <r>
      <rPr>
        <sz val="9"/>
        <color theme="1"/>
        <rFont val="HG明朝B"/>
        <family val="1"/>
        <charset val="128"/>
      </rPr>
      <t xml:space="preserve"> | 　　　 　   |</t>
    </r>
  </si>
  <si>
    <r>
      <t>　　　 ■――――――■――――――■─</t>
    </r>
    <r>
      <rPr>
        <sz val="9"/>
        <color rgb="FFFF0000"/>
        <rFont val="HG明朝B"/>
        <family val="1"/>
        <charset val="128"/>
      </rPr>
      <t>╂</t>
    </r>
    <r>
      <rPr>
        <sz val="9"/>
        <color theme="1"/>
        <rFont val="HG明朝B"/>
        <family val="1"/>
        <charset val="128"/>
      </rPr>
      <t>――――■――――――■</t>
    </r>
  </si>
  <si>
    <r>
      <t>　　　 ⑦</t>
    </r>
    <r>
      <rPr>
        <sz val="9"/>
        <color rgb="FFFF0000"/>
        <rFont val="HG明朝B"/>
        <family val="1"/>
        <charset val="128"/>
      </rPr>
      <t>━━━━━━</t>
    </r>
    <r>
      <rPr>
        <sz val="9"/>
        <color theme="1"/>
        <rFont val="HG明朝B"/>
        <family val="1"/>
        <charset val="128"/>
      </rPr>
      <t>⑧</t>
    </r>
    <r>
      <rPr>
        <sz val="9"/>
        <color rgb="FFFF0000"/>
        <rFont val="HG明朝B"/>
        <family val="1"/>
        <charset val="128"/>
      </rPr>
      <t>━━━━━━</t>
    </r>
    <r>
      <rPr>
        <sz val="9"/>
        <color theme="1"/>
        <rFont val="HG明朝B"/>
        <family val="1"/>
        <charset val="128"/>
      </rPr>
      <t>⑨</t>
    </r>
    <r>
      <rPr>
        <sz val="9"/>
        <color rgb="FFFF0000"/>
        <rFont val="HG明朝B"/>
        <family val="1"/>
        <charset val="128"/>
      </rPr>
      <t>━┛</t>
    </r>
    <r>
      <rPr>
        <sz val="9"/>
        <color theme="1"/>
        <rFont val="HG明朝B"/>
        <family val="1"/>
        <charset val="128"/>
      </rPr>
      <t>――――■――――――■</t>
    </r>
  </si>
  <si>
    <r>
      <t>　</t>
    </r>
    <r>
      <rPr>
        <sz val="8"/>
        <color theme="1"/>
        <rFont val="HG明朝B"/>
        <family val="1"/>
        <charset val="128"/>
      </rPr>
      <t>　</t>
    </r>
    <r>
      <rPr>
        <sz val="9"/>
        <color theme="1"/>
        <rFont val="HG明朝B"/>
        <family val="1"/>
        <charset val="128"/>
      </rPr>
      <t>　  | 　　　 　   | 　　　 　　 | 　　　 　   | 　　　 　   |</t>
    </r>
  </si>
  <si>
    <t>　　　　　   　　－[Kvar]＋[Kvar] ⇒ ０</t>
    <phoneticPr fontId="1"/>
  </si>
  <si>
    <t>　　　　　   　　－[Kvar]：無効電力 (遅れ力率) 負荷</t>
    <phoneticPr fontId="1"/>
  </si>
  <si>
    <t>　　　　　   　　＋[Kvar]：無効電力 (進み力率) 進相コンデンサ</t>
    <phoneticPr fontId="1"/>
  </si>
  <si>
    <t xml:space="preserve">  </t>
    <phoneticPr fontId="1"/>
  </si>
  <si>
    <t>　　入力内容に対して、建築基準法、消防法、電気設備技術基準等 の 規制内容の確認を行います。</t>
    <phoneticPr fontId="1"/>
  </si>
  <si>
    <t>　　各工事種目別の細目・中項目・大項目 (原価／提出内訳書)、　シートNo."建物"：資材単価：建設物価</t>
    <rPh sb="2" eb="5">
      <t>カクコウジ</t>
    </rPh>
    <rPh sb="5" eb="8">
      <t>シュモクベツ</t>
    </rPh>
    <rPh sb="9" eb="11">
      <t>サイモク</t>
    </rPh>
    <rPh sb="12" eb="13">
      <t>チュウ</t>
    </rPh>
    <rPh sb="13" eb="15">
      <t>コウモク</t>
    </rPh>
    <rPh sb="16" eb="19">
      <t>ダイコウモク</t>
    </rPh>
    <rPh sb="21" eb="23">
      <t>ゲンカ</t>
    </rPh>
    <rPh sb="24" eb="26">
      <t>テイシュツ</t>
    </rPh>
    <rPh sb="26" eb="29">
      <t>ウチワケショ</t>
    </rPh>
    <rPh sb="39" eb="41">
      <t>タテモノ</t>
    </rPh>
    <rPh sb="43" eb="45">
      <t>シザイ</t>
    </rPh>
    <rPh sb="45" eb="47">
      <t>タンカ</t>
    </rPh>
    <rPh sb="48" eb="50">
      <t>ケンセツ</t>
    </rPh>
    <rPh sb="50" eb="52">
      <t>ブッカ</t>
    </rPh>
    <phoneticPr fontId="1"/>
  </si>
  <si>
    <t>　（財団法人 建設物価調査会編)、 　電工歩掛：標準歩掛り</t>
    <rPh sb="8" eb="9">
      <t>セツ</t>
    </rPh>
    <rPh sb="9" eb="11">
      <t>ブッカ</t>
    </rPh>
    <rPh sb="11" eb="14">
      <t>チョウサカイ</t>
    </rPh>
    <rPh sb="14" eb="15">
      <t>ヘン</t>
    </rPh>
    <rPh sb="19" eb="21">
      <t>デンコウ</t>
    </rPh>
    <rPh sb="21" eb="23">
      <t>ブガケ</t>
    </rPh>
    <rPh sb="24" eb="26">
      <t>ヒョウジュン</t>
    </rPh>
    <rPh sb="26" eb="28">
      <t>ブガカ</t>
    </rPh>
    <phoneticPr fontId="1"/>
  </si>
  <si>
    <t>[参考技術計算（S2・S3・S4・S5・S6・S7) について]</t>
    <rPh sb="1" eb="3">
      <t>サンコウ</t>
    </rPh>
    <rPh sb="3" eb="5">
      <t>ギジュツ</t>
    </rPh>
    <rPh sb="5" eb="7">
      <t>ケイサン</t>
    </rPh>
    <phoneticPr fontId="1"/>
  </si>
  <si>
    <t>　 [任意基底温度] 、■室内開放型電気室換気風量計算 を搭載 しています。</t>
    <phoneticPr fontId="1"/>
  </si>
  <si>
    <t>　 設計者名  登録　　：欄外、右[標準設定値(表)] の下部表に登録できます。</t>
    <phoneticPr fontId="1"/>
  </si>
  <si>
    <t>　 建築主名 登 録  　：欄外、右[標準設定値(表)] の下部表に登録できます。</t>
    <phoneticPr fontId="1"/>
  </si>
  <si>
    <t>　 担当者氏名登録　  ：欄外、右[標準設定値(表)] の下部表に登録できます。</t>
    <rPh sb="18" eb="20">
      <t>ヒョウジュン</t>
    </rPh>
    <rPh sb="20" eb="23">
      <t>セッテイチ</t>
    </rPh>
    <rPh sb="30" eb="31">
      <t>ブ</t>
    </rPh>
    <rPh sb="31" eb="32">
      <t>ヒョウ</t>
    </rPh>
    <rPh sb="33" eb="35">
      <t>トウロク</t>
    </rPh>
    <phoneticPr fontId="1"/>
  </si>
  <si>
    <t>　の手法には、"プラント電装設計"と"建築電気設計"があり、本システムでは､"プラント電装設計" を採用</t>
    <phoneticPr fontId="1"/>
  </si>
  <si>
    <t>　　また我国では、電気設備技術が欧米の 英語圏 から導入された経緯から､できるだけ "日本語" と "英語"</t>
    <phoneticPr fontId="1"/>
  </si>
  <si>
    <t>　を併記しています。</t>
    <phoneticPr fontId="1"/>
  </si>
  <si>
    <t>　　消防法による防火対象物用途区分、耐火構造、建設場所 [地点・標高または海抜]、敷地・建物の形状</t>
    <rPh sb="47" eb="49">
      <t>ケイジョウ</t>
    </rPh>
    <phoneticPr fontId="1"/>
  </si>
  <si>
    <t>　係数敷地面積・各階の [階名称・床面積・階高・天井高] 等。</t>
    <phoneticPr fontId="1"/>
  </si>
  <si>
    <t>　　各基準設定値､算出数量､一式％､各項目のＡ材､Ｂ材､電工費等の掛率は､工事種目ごとに修正が可能です。</t>
    <phoneticPr fontId="1"/>
  </si>
  <si>
    <t>　    どうか判断ができないこと。および物件ごとに、"代価表"を作成しなければならない煩雑さがあり、</t>
    <rPh sb="8" eb="10">
      <t>ハンダン</t>
    </rPh>
    <phoneticPr fontId="1"/>
  </si>
  <si>
    <t>　 　 概算算出には、速度性に欠けること。</t>
    <rPh sb="11" eb="13">
      <t>ソクド</t>
    </rPh>
    <rPh sb="13" eb="14">
      <t>セイ</t>
    </rPh>
    <rPh sb="15" eb="16">
      <t>カ</t>
    </rPh>
    <phoneticPr fontId="1"/>
  </si>
  <si>
    <t>　 ② 各自治体等が独自の複合単価を制定していて、各"複合単価表"のご提供等、対応が難しいこと。</t>
    <rPh sb="4" eb="8">
      <t>カクジチタイ</t>
    </rPh>
    <rPh sb="8" eb="9">
      <t>トウ</t>
    </rPh>
    <rPh sb="10" eb="12">
      <t>ドクジ</t>
    </rPh>
    <rPh sb="13" eb="15">
      <t>フクゴウ</t>
    </rPh>
    <rPh sb="15" eb="17">
      <t>タンカ</t>
    </rPh>
    <rPh sb="18" eb="20">
      <t>セイテイ</t>
    </rPh>
    <rPh sb="25" eb="26">
      <t>カク</t>
    </rPh>
    <rPh sb="27" eb="29">
      <t>フクゴウ</t>
    </rPh>
    <rPh sb="29" eb="31">
      <t>タンカ</t>
    </rPh>
    <rPh sb="31" eb="32">
      <t>オモテ</t>
    </rPh>
    <rPh sb="35" eb="38">
      <t>テイキョウナド</t>
    </rPh>
    <rPh sb="39" eb="41">
      <t>タイオウ</t>
    </rPh>
    <rPh sb="42" eb="43">
      <t>ムズカ</t>
    </rPh>
    <phoneticPr fontId="1"/>
  </si>
  <si>
    <t>　 ③ 昭和40年代後半に、電気工事費の "高騰"に対して入札価格の上限を設ける目的で当時の建設省</t>
    <rPh sb="4" eb="6">
      <t>ショウワ</t>
    </rPh>
    <rPh sb="8" eb="12">
      <t>ネンダイコウハン</t>
    </rPh>
    <rPh sb="14" eb="16">
      <t>デンキ</t>
    </rPh>
    <rPh sb="16" eb="18">
      <t>コウジ</t>
    </rPh>
    <rPh sb="18" eb="19">
      <t>ヒ</t>
    </rPh>
    <rPh sb="22" eb="24">
      <t>コウトウ</t>
    </rPh>
    <rPh sb="26" eb="27">
      <t>タイ</t>
    </rPh>
    <rPh sb="29" eb="31">
      <t>ニュウサツ</t>
    </rPh>
    <rPh sb="31" eb="33">
      <t>カカク</t>
    </rPh>
    <rPh sb="34" eb="36">
      <t>ジョウゲン</t>
    </rPh>
    <rPh sb="37" eb="38">
      <t>モウ</t>
    </rPh>
    <rPh sb="40" eb="42">
      <t>モクテキ</t>
    </rPh>
    <rPh sb="43" eb="45">
      <t>トウジ</t>
    </rPh>
    <rPh sb="46" eb="49">
      <t>ケンセツショウ</t>
    </rPh>
    <phoneticPr fontId="1"/>
  </si>
  <si>
    <t>　 　(現国 土交通省)が、採用した複合単価は、電気工事費が実勢価格より高額 (機器類の代価表単価</t>
    <rPh sb="7" eb="8">
      <t>ツチ</t>
    </rPh>
    <rPh sb="8" eb="11">
      <t>コウツウショウ</t>
    </rPh>
    <phoneticPr fontId="1"/>
  </si>
  <si>
    <t>　 　 および電工費が高額）になる傾向があり、実情にそぐわないこと。</t>
    <rPh sb="11" eb="13">
      <t>コウガク</t>
    </rPh>
    <rPh sb="17" eb="19">
      <t>ケイコウ</t>
    </rPh>
    <rPh sb="23" eb="25">
      <t>ジツジョウ</t>
    </rPh>
    <phoneticPr fontId="1"/>
  </si>
  <si>
    <r>
      <t>　　本システムは、建築物の概要が決定した時点で電気設備工事の実施設計作業に着手する前に、各"</t>
    </r>
    <r>
      <rPr>
        <sz val="9"/>
        <color rgb="FFC00000"/>
        <rFont val="HGS明朝B"/>
        <family val="1"/>
        <charset val="128"/>
      </rPr>
      <t>基準</t>
    </r>
    <phoneticPr fontId="1"/>
  </si>
  <si>
    <r>
      <t>　</t>
    </r>
    <r>
      <rPr>
        <sz val="9"/>
        <color rgb="FFC00000"/>
        <rFont val="HGS明朝B"/>
        <family val="1"/>
        <charset val="128"/>
      </rPr>
      <t>設定値</t>
    </r>
    <r>
      <rPr>
        <sz val="9"/>
        <color theme="1" tint="4.9989318521683403E-2"/>
        <rFont val="HGS明朝B"/>
        <family val="1"/>
        <charset val="128"/>
      </rPr>
      <t>"を基に、積算に必要な詳細設計を行うことにより、適正な工事金額を算出します。電気設備設計</t>
    </r>
    <phoneticPr fontId="1"/>
  </si>
  <si>
    <r>
      <t>　RECS</t>
    </r>
    <r>
      <rPr>
        <sz val="9"/>
        <color theme="1" tint="4.9989318521683403E-2"/>
        <rFont val="Meiryo UI"/>
        <family val="3"/>
        <charset val="128"/>
      </rPr>
      <t>e</t>
    </r>
    <r>
      <rPr>
        <sz val="9"/>
        <color rgb="FF0000FF"/>
        <rFont val="Meiryo UI"/>
        <family val="3"/>
        <charset val="128"/>
      </rPr>
      <t>（</t>
    </r>
    <r>
      <rPr>
        <b/>
        <sz val="9"/>
        <color theme="1" tint="4.9989318521683403E-2"/>
        <rFont val="Meiryo UI"/>
        <family val="3"/>
        <charset val="128"/>
      </rPr>
      <t>e</t>
    </r>
    <r>
      <rPr>
        <sz val="9"/>
        <color rgb="FF0000FF"/>
        <rFont val="Meiryo UI"/>
        <family val="3"/>
        <charset val="128"/>
      </rPr>
      <t>stimates） 　：</t>
    </r>
    <r>
      <rPr>
        <sz val="9"/>
        <color rgb="FF0000FF"/>
        <rFont val="HG明朝B"/>
        <family val="1"/>
        <charset val="128"/>
      </rPr>
      <t>電気設備工事概算算出 ／ 資材単価（建設物価）・歩掛・資材基準データ／</t>
    </r>
    <phoneticPr fontId="1"/>
  </si>
  <si>
    <r>
      <t>　wiredip（Calculation）：</t>
    </r>
    <r>
      <rPr>
        <sz val="9"/>
        <color rgb="FF0000FF"/>
        <rFont val="HG明朝B"/>
        <family val="1"/>
        <charset val="128"/>
      </rPr>
      <t>架線弛度計算 ／ RECSvd：実務例集 ／ RECS 操作説明書</t>
    </r>
    <rPh sb="22" eb="24">
      <t>ガセン</t>
    </rPh>
    <rPh sb="24" eb="26">
      <t>シド</t>
    </rPh>
    <rPh sb="26" eb="28">
      <t>ケイサン</t>
    </rPh>
    <rPh sb="38" eb="40">
      <t>ジツム</t>
    </rPh>
    <rPh sb="40" eb="41">
      <t>レイ</t>
    </rPh>
    <rPh sb="41" eb="42">
      <t>シュウ</t>
    </rPh>
    <rPh sb="50" eb="52">
      <t>ソウサ</t>
    </rPh>
    <rPh sb="52" eb="55">
      <t>セツメイショ</t>
    </rPh>
    <phoneticPr fontId="1"/>
  </si>
  <si>
    <t>　 ①"資材単価" と "電工単価" を複合した内訳明細書は、一見して電気設備工事金額が妥当であるか</t>
    <rPh sb="4" eb="6">
      <t>シザイ</t>
    </rPh>
    <rPh sb="6" eb="8">
      <t>タンカ</t>
    </rPh>
    <rPh sb="13" eb="15">
      <t>デンコウ</t>
    </rPh>
    <rPh sb="15" eb="17">
      <t>タンカ</t>
    </rPh>
    <rPh sb="20" eb="22">
      <t>フクゴウ</t>
    </rPh>
    <rPh sb="24" eb="26">
      <t>ウチワケ</t>
    </rPh>
    <rPh sb="26" eb="29">
      <t>メイサイショ</t>
    </rPh>
    <rPh sb="31" eb="33">
      <t>イッケン</t>
    </rPh>
    <rPh sb="35" eb="37">
      <t>デンキ</t>
    </rPh>
    <rPh sb="37" eb="39">
      <t>セツビ</t>
    </rPh>
    <rPh sb="39" eb="41">
      <t>コウジ</t>
    </rPh>
    <rPh sb="41" eb="43">
      <t>キンガク</t>
    </rPh>
    <rPh sb="44" eb="46">
      <t>ダトウ</t>
    </rPh>
    <phoneticPr fontId="1"/>
  </si>
  <si>
    <t>　 一次請負業者名登録：欄外、右[標準設定値(表)] の下部表に登録できます。</t>
    <phoneticPr fontId="1"/>
  </si>
  <si>
    <t>　　標高は、東京湾平均海面 (T.P.) を基準とし、海抜とは、離島等の場合、その島の 平均海面 を基準と</t>
    <phoneticPr fontId="1"/>
  </si>
  <si>
    <t>　しています。標高の基準は、各都道府県の県庁・市町村庁所在地の値を国土交通省・国土地理院の地形図</t>
    <phoneticPr fontId="1"/>
  </si>
  <si>
    <t>　から読取った値を採用しています。この標高の値は、空調熱源負荷想定の基準にしていまので正確な建設</t>
    <phoneticPr fontId="1"/>
  </si>
  <si>
    <t>　地の正しい標高、又は海抜を入力して下さい。</t>
    <phoneticPr fontId="1"/>
  </si>
  <si>
    <t xml:space="preserve">   [注] 各地域の気象データは、国立天文台編 「理科年表」、日最高気温の月別平均値[℃]、日最低気温</t>
    <phoneticPr fontId="1"/>
  </si>
  <si>
    <t>　　　　の月別平均値[℃]、月別平均相対湿度[％] の各値を採用 しています。</t>
    <phoneticPr fontId="1"/>
  </si>
  <si>
    <t>　建物の形状とは、Ｙ方向(縦)の距離に対するＸ方向(横)の距離の割合ｎで、正方形の場合は ｎ=1、横の</t>
    <phoneticPr fontId="1"/>
  </si>
  <si>
    <r>
      <t>　を "Top Page" 欄外下の "建物寸法表" に入力して下さい。建物の形状は、"</t>
    </r>
    <r>
      <rPr>
        <b/>
        <sz val="9"/>
        <color theme="1" tint="4.9989318521683403E-2"/>
        <rFont val="HG明朝B"/>
        <family val="1"/>
        <charset val="128"/>
      </rPr>
      <t>ｎ</t>
    </r>
    <r>
      <rPr>
        <sz val="9"/>
        <color theme="1" tint="4.9989318521683403E-2"/>
        <rFont val="HG明朝B"/>
        <family val="1"/>
        <charset val="128"/>
      </rPr>
      <t>参照</t>
    </r>
    <r>
      <rPr>
        <sz val="9"/>
        <color rgb="FF0000FF"/>
        <rFont val="HG明朝B"/>
        <family val="1"/>
        <charset val="128"/>
      </rPr>
      <t>" 又は "</t>
    </r>
    <r>
      <rPr>
        <b/>
        <sz val="9"/>
        <rFont val="HG明朝B"/>
        <family val="1"/>
        <charset val="128"/>
      </rPr>
      <t>S1</t>
    </r>
    <r>
      <rPr>
        <sz val="9"/>
        <color rgb="FF0000FF"/>
        <rFont val="HG明朝B"/>
        <family val="1"/>
        <charset val="128"/>
      </rPr>
      <t>" を 参照</t>
    </r>
    <rPh sb="14" eb="16">
      <t>ランガイ</t>
    </rPh>
    <rPh sb="16" eb="17">
      <t>シタ</t>
    </rPh>
    <rPh sb="20" eb="22">
      <t>タテモノ</t>
    </rPh>
    <rPh sb="22" eb="24">
      <t>スンポウ</t>
    </rPh>
    <rPh sb="24" eb="25">
      <t>ヒョウ</t>
    </rPh>
    <rPh sb="49" eb="50">
      <t>マタ</t>
    </rPh>
    <phoneticPr fontId="1"/>
  </si>
  <si>
    <t>　して下さい。</t>
    <phoneticPr fontId="1"/>
  </si>
  <si>
    <t xml:space="preserve">　　敷地の形状とは、敷地の縦の距離に対する横の距離の割合Ｎで、正方形の場合はＮ=1、横の距離が、 </t>
    <phoneticPr fontId="1"/>
  </si>
  <si>
    <t>　２倍の場合は、Ｎ=2 です。</t>
    <phoneticPr fontId="1"/>
  </si>
  <si>
    <t xml:space="preserve">　距離が、２倍の場合は、ｎ=2 です。各階で ”建物形状” が異なる場合には、それぞれの"Ｘn"，"Ｙn" </t>
    <phoneticPr fontId="1"/>
  </si>
  <si>
    <r>
      <t>　建物の原点（左下）と敷地の原点（左下）との離隔距離</t>
    </r>
    <r>
      <rPr>
        <sz val="9"/>
        <color theme="3" tint="-0.249977111117893"/>
        <rFont val="HG明朝B"/>
        <family val="1"/>
        <charset val="128"/>
      </rPr>
      <t>　　基準設定値：Ｘ＝３[ｍ]、Ｙ＝３[ｍ]</t>
    </r>
    <phoneticPr fontId="1"/>
  </si>
  <si>
    <t>　準耐火構造 ：主要構造部を準耐火構造としたもの (または同等の準耐火性能を有するもの) で内装制限</t>
    <phoneticPr fontId="1"/>
  </si>
  <si>
    <t>　　　　　　　 をしたもの、または主要構造部を耐火構造とした建築物</t>
    <phoneticPr fontId="1"/>
  </si>
  <si>
    <t>　非耐火構造 ：上記に該当しない建築物</t>
    <phoneticPr fontId="1"/>
  </si>
  <si>
    <r>
      <t>　ただし、複合用途防火対象物：</t>
    </r>
    <r>
      <rPr>
        <sz val="9"/>
        <color theme="1" tint="4.9989318521683403E-2"/>
        <rFont val="HG明朝B"/>
        <family val="1"/>
        <charset val="128"/>
      </rPr>
      <t>(16)イ</t>
    </r>
    <r>
      <rPr>
        <sz val="9"/>
        <color rgb="FF0000FF"/>
        <rFont val="HG明朝B"/>
        <family val="1"/>
        <charset val="128"/>
      </rPr>
      <t>、</t>
    </r>
    <r>
      <rPr>
        <sz val="9"/>
        <color theme="1" tint="4.9989318521683403E-2"/>
        <rFont val="HG明朝B"/>
        <family val="1"/>
        <charset val="128"/>
      </rPr>
      <t>(16)ロ</t>
    </r>
    <r>
      <rPr>
        <sz val="9"/>
        <color rgb="FF0000FF"/>
        <rFont val="HG明朝B"/>
        <family val="1"/>
        <charset val="128"/>
      </rPr>
      <t xml:space="preserve"> の場合は、各階ごとに入力して下さい。</t>
    </r>
    <phoneticPr fontId="1"/>
  </si>
  <si>
    <t>　塔屋（Penthouse)：建築面積の１／８ 以内を言う。</t>
    <phoneticPr fontId="1"/>
  </si>
  <si>
    <t>　地階：床面が地盤面(基準ＧＬ)より下(地下) にあり、その低さが 天井高の１／３ 以上ある階を言う。</t>
    <rPh sb="1" eb="3">
      <t>チカイ</t>
    </rPh>
    <phoneticPr fontId="1"/>
  </si>
  <si>
    <r>
      <t>　１階入力：1ＦＬ＝ＧＬ＋</t>
    </r>
    <r>
      <rPr>
        <sz val="9"/>
        <color theme="1" tint="4.9989318521683403E-2"/>
        <rFont val="HG明朝B"/>
        <family val="1"/>
        <charset val="128"/>
      </rPr>
      <t>n.nn</t>
    </r>
    <r>
      <rPr>
        <sz val="9"/>
        <color rgb="FF0000FF"/>
        <rFont val="HG明朝B"/>
        <family val="1"/>
        <charset val="128"/>
      </rPr>
      <t>[ｍ] を入力して下さい。</t>
    </r>
    <phoneticPr fontId="1"/>
  </si>
  <si>
    <t>　共用部：(15)項 オフィスビルの場合、廊下、階段室、便所、更衣室、倉庫、機械室、電気室、ＥＬＶ、</t>
    <phoneticPr fontId="1"/>
  </si>
  <si>
    <t>　　　　 エントランス・ホール、ＰＳ・ＤＳ・ＥＰＳ 等</t>
    <phoneticPr fontId="1"/>
  </si>
  <si>
    <t>　　　①採光上の無窓居室窓などの有効採光面積が、その居室の床面積の 1/20 未満の居室</t>
    <phoneticPr fontId="1"/>
  </si>
  <si>
    <t>　　　②換気上の無窓居室窓などの有効換気面積が、その居室の床面積の 1/20 未満の居室。</t>
    <phoneticPr fontId="1"/>
  </si>
  <si>
    <t>　　　③排煙上の無窓居室窓などの開口部で天井又は天井から下方80cm以内の距離にある開放できる部分</t>
    <phoneticPr fontId="1"/>
  </si>
  <si>
    <t>　　　[２] １０階以下の階での無窓階</t>
    <phoneticPr fontId="1"/>
  </si>
  <si>
    <t>　　　　①：直径１ｍ以上の円が内接することができる「開口部」又は、幅７５ｃｍ以上、高さ1.2ｍ以上</t>
    <phoneticPr fontId="1"/>
  </si>
  <si>
    <t>　　　　　 の大型開口部が道や道に通じる幅員１ｍ以上の通路に２箇所以上面していること。</t>
    <phoneticPr fontId="1"/>
  </si>
  <si>
    <t>　　  　②：①の条件を満たし、かつ直径５０ｃｍ以上の円が内接することができる「開口部」の面積の</t>
    <phoneticPr fontId="1"/>
  </si>
  <si>
    <t>　　　　　  合計がその階の床面積の 1／３０ 以下である場合。</t>
    <phoneticPr fontId="1"/>
  </si>
  <si>
    <t>　　　[３]１１階以上の階での無窓階</t>
    <phoneticPr fontId="1"/>
  </si>
  <si>
    <t>　　 　　   直径５０ｃｍ以上の円が内接することができる「開口部」の面積の合計がその階の床面積の</t>
    <phoneticPr fontId="1"/>
  </si>
  <si>
    <t>　　　　　 1／３０以下である場合。型開口部が道や道に通じる幅員１ｍ以上の通路に２箇所以上面して</t>
    <phoneticPr fontId="1"/>
  </si>
  <si>
    <t>　　　　　 いること。</t>
    <phoneticPr fontId="1"/>
  </si>
  <si>
    <t>　　① 劇場、映画館、演芸場、観覧場、公会堂、集会場</t>
    <phoneticPr fontId="1"/>
  </si>
  <si>
    <t>　　② 病院、診療所（患者の収容施設があるものに限る）、ホテル、旅館、下宿、共同住宅、寄宿舎、</t>
    <phoneticPr fontId="1"/>
  </si>
  <si>
    <t>　　　 児童福祉施設 等</t>
    <phoneticPr fontId="1"/>
  </si>
  <si>
    <t>　　④ 百貨店､マーケット､展示場､キャバレー､カフェー､ナイトクラブ､バー､ダンスホール､遊技場､</t>
    <phoneticPr fontId="1"/>
  </si>
  <si>
    <t>　　 　公衆浴場､待合､料理店､飲食店､物品販売業を営む店舗（床面積１０平米以内のものを除く）</t>
    <phoneticPr fontId="1"/>
  </si>
  <si>
    <t>　2. 階数≧３ で、延べ面積≧５００平米 の建築物</t>
    <phoneticPr fontId="1"/>
  </si>
  <si>
    <t>　3. 延べ面積＞１,０００平米 の建築物</t>
    <phoneticPr fontId="1"/>
  </si>
  <si>
    <t>　　　学校等とは、学校、体育館、ボーリング場、スキー場、スケート場、水泳場又はスポーツの練習場</t>
    <phoneticPr fontId="1"/>
  </si>
  <si>
    <t>　　　をいう。(「建基令」第126条の2）</t>
    <phoneticPr fontId="1"/>
  </si>
  <si>
    <t>　　 ② 令第116条の2 第1項第一号に該当する窓その他の開口部を有しない居室（無窓居室）</t>
    <phoneticPr fontId="1"/>
  </si>
  <si>
    <t>　2. 階数≧３ で、延べ面積≧５００平米 の建築物</t>
    <phoneticPr fontId="1"/>
  </si>
  <si>
    <t>　3. 延べ面積＞１,０００平米 の建築物</t>
    <phoneticPr fontId="1"/>
  </si>
  <si>
    <t>　　 ③ ①又は②に類する部分、例えば、廊下に接するロビー、通り抜け避難に用いられる場所､その他</t>
    <phoneticPr fontId="1"/>
  </si>
  <si>
    <t>　　　  通常照明設備が必要とされる部分</t>
    <phoneticPr fontId="1"/>
  </si>
  <si>
    <t>　　 居室とは、居住､執務､作業､集会､娯楽その他これらに類する目的のために継続的に使用する室をい</t>
    <phoneticPr fontId="1"/>
  </si>
  <si>
    <t>　　 う。無窓居室とは、採光に有効な部分の面積の合計が、当該居室の床面積の1/20以上の開口部を有</t>
    <phoneticPr fontId="1"/>
  </si>
  <si>
    <t>　　 しない居室をいう。</t>
    <phoneticPr fontId="1"/>
  </si>
  <si>
    <t>　　  ② 共同住宅、長屋の住戸　　③ 学校等　　④ 採光上有効に直接外気に開放された廊下や屋外階段等</t>
    <phoneticPr fontId="1"/>
  </si>
  <si>
    <t>　　 平12建告示第1411号による居室とは、避難階で歩行距離３０ｍ 以内の居室､直下階､直上階では歩行</t>
    <phoneticPr fontId="1"/>
  </si>
  <si>
    <t>　　 距離２０ｍ以内の居室(通路は必要)</t>
    <phoneticPr fontId="1"/>
  </si>
  <si>
    <t>　　 a）ホテル、旅館等において、前室と奥の部屋の間がふすま、障子等随時開放することができるもので</t>
    <phoneticPr fontId="1"/>
  </si>
  <si>
    <t>　　　　仕切られた２部屋は、１部屋と見なしてよいので、避難経路に近い前室に設置すればよい。</t>
    <phoneticPr fontId="1"/>
  </si>
  <si>
    <t>　　 b）地下駐車場の駐車スペースは居室に該当せず、車路は、人が通常出入りする通路ではないので必ず</t>
    <phoneticPr fontId="1"/>
  </si>
  <si>
    <t>　　　　しも法的には必要がない。ただし避難のために通路として使用されることがあるので設置すること</t>
    <phoneticPr fontId="1"/>
  </si>
  <si>
    <t>　　　　が望ましい。</t>
    <phoneticPr fontId="1"/>
  </si>
  <si>
    <t>　 高さ２０ｍを越える建築物には、有効な避雷設備を設けなければならない。</t>
    <phoneticPr fontId="1"/>
  </si>
  <si>
    <r>
      <t>　 　　　　　</t>
    </r>
    <r>
      <rPr>
        <sz val="9"/>
        <color theme="1" tint="4.9989318521683403E-2"/>
        <rFont val="HG明朝B"/>
        <family val="1"/>
        <charset val="128"/>
      </rPr>
      <t>消防法</t>
    </r>
    <r>
      <rPr>
        <sz val="9"/>
        <color rgb="FF0000FF"/>
        <rFont val="HG明朝B"/>
        <family val="1"/>
        <charset val="128"/>
      </rPr>
      <t>：規定なし</t>
    </r>
  </si>
  <si>
    <r>
      <t xml:space="preserve">　 建築物-1：劇場 </t>
    </r>
    <r>
      <rPr>
        <sz val="9"/>
        <color theme="1" tint="4.9989318521683403E-2"/>
        <rFont val="HG明朝B"/>
        <family val="1"/>
        <charset val="128"/>
      </rPr>
      <t>建築基準法</t>
    </r>
    <r>
      <rPr>
        <sz val="9"/>
        <color rgb="FF0000FF"/>
        <rFont val="HG明朝B"/>
        <family val="1"/>
        <charset val="128"/>
      </rPr>
      <t>：延床面積＞５００平米／</t>
    </r>
    <r>
      <rPr>
        <sz val="9"/>
        <color theme="1" tint="4.9989318521683403E-2"/>
        <rFont val="HG明朝B"/>
        <family val="1"/>
        <charset val="128"/>
      </rPr>
      <t>(1)イ・ロ消防法</t>
    </r>
    <r>
      <rPr>
        <sz val="9"/>
        <color rgb="FF0000FF"/>
        <rFont val="HG明朝B"/>
        <family val="1"/>
        <charset val="128"/>
      </rPr>
      <t>：舞台部床面積 ≧５００平米</t>
    </r>
    <phoneticPr fontId="1"/>
  </si>
  <si>
    <r>
      <t xml:space="preserve">　 建築物-2：キャバレー・遊技場・百貨店 </t>
    </r>
    <r>
      <rPr>
        <sz val="9"/>
        <color theme="1" tint="4.9989318521683403E-2"/>
        <rFont val="HG明朝B"/>
        <family val="1"/>
        <charset val="128"/>
      </rPr>
      <t>建築基準法</t>
    </r>
    <r>
      <rPr>
        <sz val="9"/>
        <color rgb="FF0000FF"/>
        <rFont val="HG明朝B"/>
        <family val="1"/>
        <charset val="128"/>
      </rPr>
      <t>：延床面積＞５００平米</t>
    </r>
    <phoneticPr fontId="1"/>
  </si>
  <si>
    <r>
      <t xml:space="preserve">　　　　　　 </t>
    </r>
    <r>
      <rPr>
        <sz val="9"/>
        <color theme="1" tint="4.9989318521683403E-2"/>
        <rFont val="HG明朝B"/>
        <family val="1"/>
        <charset val="128"/>
      </rPr>
      <t>(2)、(4)、(10)、(13)、消防法</t>
    </r>
    <r>
      <rPr>
        <sz val="9"/>
        <color rgb="FF0000FF"/>
        <rFont val="HG明朝B"/>
        <family val="1"/>
        <charset val="128"/>
      </rPr>
      <t>：地階・無窓階床面積 ≧１,０００平米</t>
    </r>
    <phoneticPr fontId="1"/>
  </si>
  <si>
    <r>
      <t xml:space="preserve">　 建築物-3：病院・旅館・共同住宅・福祉施設・飲食店等 </t>
    </r>
    <r>
      <rPr>
        <sz val="9"/>
        <color theme="1" tint="4.9989318521683403E-2"/>
        <rFont val="HG明朝B"/>
        <family val="1"/>
        <charset val="128"/>
      </rPr>
      <t>建築基準法</t>
    </r>
    <r>
      <rPr>
        <sz val="9"/>
        <color rgb="FF0000FF"/>
        <rFont val="HG明朝B"/>
        <family val="1"/>
        <charset val="128"/>
      </rPr>
      <t>：延床面積＞５００平米</t>
    </r>
    <phoneticPr fontId="1"/>
  </si>
  <si>
    <r>
      <t xml:space="preserve">　 建築物-4：地下街 </t>
    </r>
    <r>
      <rPr>
        <sz val="9"/>
        <color theme="1" tint="4.9989318521683403E-2"/>
        <rFont val="HG明朝B"/>
        <family val="1"/>
        <charset val="128"/>
      </rPr>
      <t>建築基準法</t>
    </r>
    <r>
      <rPr>
        <sz val="9"/>
        <color rgb="FF0000FF"/>
        <rFont val="HG明朝B"/>
        <family val="1"/>
        <charset val="128"/>
      </rPr>
      <t>：すべて必要／</t>
    </r>
    <r>
      <rPr>
        <sz val="9"/>
        <color theme="1" tint="4.9989318521683403E-2"/>
        <rFont val="HG明朝B"/>
        <family val="1"/>
        <charset val="128"/>
      </rPr>
      <t>16の2 消防法</t>
    </r>
    <r>
      <rPr>
        <sz val="9"/>
        <color rgb="FF0000FF"/>
        <rFont val="HG明朝B"/>
        <family val="1"/>
        <charset val="128"/>
      </rPr>
      <t>：延床面積 ≧１,０００平米</t>
    </r>
    <phoneticPr fontId="1"/>
  </si>
  <si>
    <t>　 緩和規程：建設省告示1436号四-ハ-(4) 床面積が１００平米以下 で、壁及び天井の室内に面する部分の</t>
    <phoneticPr fontId="1"/>
  </si>
  <si>
    <r>
      <t xml:space="preserve">　　　 </t>
    </r>
    <r>
      <rPr>
        <sz val="8.5"/>
        <color rgb="FF0000FF"/>
        <rFont val="HG明朝B"/>
        <family val="1"/>
        <charset val="128"/>
      </rPr>
      <t>この設置基準は、建築基準法と消防法で基準が異なり、本ソフトでは、</t>
    </r>
    <r>
      <rPr>
        <sz val="8.5"/>
        <color rgb="FFC00000"/>
        <rFont val="HG明朝B"/>
        <family val="1"/>
        <charset val="128"/>
      </rPr>
      <t>建築基準法</t>
    </r>
    <r>
      <rPr>
        <sz val="8.5"/>
        <color rgb="FF0000FF"/>
        <rFont val="HG明朝B"/>
        <family val="1"/>
        <charset val="128"/>
      </rPr>
      <t>に従っています。</t>
    </r>
    <phoneticPr fontId="1"/>
  </si>
  <si>
    <t>　　誘導灯記号　Ｘ1：避難口誘導灯(外部出口)　Ｙ1：室内通路誘導灯　Ｘ2：室内避難口誘導灯</t>
    <phoneticPr fontId="1"/>
  </si>
  <si>
    <t>　　　　　　　　Ｙ2：廊下通路誘導灯　Ｚ：廊下通路誘導灯　Ｘ3：階段通路誘導灯　Ｙk：客席誘導灯</t>
    <phoneticPr fontId="1"/>
  </si>
  <si>
    <t>　　   イ．(1)～(17)：収容人員 ≧５０、収容人員 ≧２０ (地階・無窓階)</t>
    <phoneticPr fontId="1"/>
  </si>
  <si>
    <t>　　   ロ．(5)イ、(6)イ、(9)イ：収容人員 ≧２０</t>
    <phoneticPr fontId="1"/>
  </si>
  <si>
    <t>　　   イ．(1)～(18)：階数 ≧１１、　地階の階数 ≧３</t>
    <phoneticPr fontId="1"/>
  </si>
  <si>
    <t>　　   ロ．(1)～(4)、(5)イ、(6)、(9)イ：収容人員 ≧３００</t>
    <phoneticPr fontId="1"/>
  </si>
  <si>
    <t>　　   ハ．(16)：収容人員 ≧５００</t>
    <phoneticPr fontId="1"/>
  </si>
  <si>
    <t>　　   ニ．(5)ロ、(7)、(8)：収容人員 ≧８００</t>
    <phoneticPr fontId="1"/>
  </si>
  <si>
    <t>　　緩和規程　① 自動火災報知設備を設置した場合、その有効範囲内の部分には非常ベル等を省略できる。</t>
    <phoneticPr fontId="1"/>
  </si>
  <si>
    <t>　　　　　　　② 自動火災報知設備を設置した場合、放送設備 (有効音響機能を有するもの) のみ設置す</t>
    <phoneticPr fontId="1"/>
  </si>
  <si>
    <t>　　　　　　   ることができる。</t>
    <phoneticPr fontId="1"/>
  </si>
  <si>
    <t>　　① (1)、(2)、(4)、(5)イ、(6)イ、ハ、ニ、(12)：延床面積 ≧５００平米</t>
    <rPh sb="44" eb="46">
      <t>ヘイベイ</t>
    </rPh>
    <phoneticPr fontId="1"/>
  </si>
  <si>
    <t>　　② (3)、(5)ロ、(7)～(11)、(13)～(15)：延床面積 ≧１,０００平米</t>
    <rPh sb="32" eb="36">
      <t>ノベユカメンセキ</t>
    </rPh>
    <phoneticPr fontId="1"/>
  </si>
  <si>
    <t>　　　　　　　ロ．消防機関から５００ｍ以下の場所</t>
    <phoneticPr fontId="1"/>
  </si>
  <si>
    <t>　　　　    ハ．消防機関へ常時通報できる電話を設置したもの [(5)イ、(6)イ、(6)ハは除く]</t>
    <phoneticPr fontId="1"/>
  </si>
  <si>
    <r>
      <t>　　</t>
    </r>
    <r>
      <rPr>
        <sz val="9"/>
        <color theme="1"/>
        <rFont val="HG明朝B"/>
        <family val="1"/>
        <charset val="128"/>
      </rPr>
      <t>一般 設置基準</t>
    </r>
    <r>
      <rPr>
        <sz val="9"/>
        <color rgb="FF0000FF"/>
        <rFont val="HG明朝B"/>
        <family val="1"/>
        <charset val="128"/>
      </rPr>
      <t>　① すべて設置：(2)ニ、(6)ロ、(13)ロ、(17)</t>
    </r>
  </si>
  <si>
    <r>
      <t>　　</t>
    </r>
    <r>
      <rPr>
        <sz val="9"/>
        <color theme="1"/>
        <rFont val="HG明朝B"/>
        <family val="1"/>
        <charset val="128"/>
      </rPr>
      <t>階段 設置基準</t>
    </r>
    <r>
      <rPr>
        <sz val="9"/>
        <color rgb="FF0000FF"/>
        <rFont val="HG明朝B"/>
        <family val="1"/>
        <charset val="128"/>
      </rPr>
      <t>　① すべて設置：(1)イ・ロ、(2)イ・ロ・ハ・ニ、(3)イ・ロ、(4)、 (5)イ、</t>
    </r>
  </si>
  <si>
    <r>
      <t>　　</t>
    </r>
    <r>
      <rPr>
        <sz val="9"/>
        <color theme="1"/>
        <rFont val="HG明朝B"/>
        <family val="1"/>
        <charset val="128"/>
      </rPr>
      <t>地階･２階以上 設置基準</t>
    </r>
  </si>
  <si>
    <t xml:space="preserve">　　　　　　　　 　② 延床面積 ≧２００平米：(9)イ </t>
    <phoneticPr fontId="1"/>
  </si>
  <si>
    <t>　　　　　　　　　 ③ 延床面積 ≧３００平米：(1)イ・ロ、(2)イ・ロ・ハ、(3)イ・ロ、(4)、(5)イ、</t>
    <rPh sb="12" eb="16">
      <t>ノベユカメンセキ</t>
    </rPh>
    <phoneticPr fontId="1"/>
  </si>
  <si>
    <t>　　　　　　　　 　④ 延床面積 ≧３００平米：(5)ロ、(7)､(8)､(9)ロ､(10)､(12)イ・ロ､(13)イ､(14)</t>
    <phoneticPr fontId="1"/>
  </si>
  <si>
    <t>　　　　　　　　 　⑤ 延床面積 ≧１,０００平米：(11)、(15)</t>
    <phoneticPr fontId="1"/>
  </si>
  <si>
    <t>　　　　　　　　　 ② 延床面積 ≧３００平米：(16)イ、16の2</t>
    <phoneticPr fontId="1"/>
  </si>
  <si>
    <t>　　　　　　　　　 ③ 延床面積 ≧５００平米：(5)ロ、(9)ロ、(10)、(12)イ・ロ、(13)イ、(14)</t>
    <phoneticPr fontId="1"/>
  </si>
  <si>
    <t>　　　　　　　　　 ④ 延床面積 ≧１,０００平米：(11)、(15)</t>
    <phoneticPr fontId="1"/>
  </si>
  <si>
    <t>　　　　　　　　　 ① その階の床面積 ≧２００平米：すべて設置</t>
    <phoneticPr fontId="1"/>
  </si>
  <si>
    <t>　　緩和規程　① 自動火災報知設備の設置が免除部分  [令21-3] [規則23-2]　スプリンクラ、水噴霧、泡</t>
    <phoneticPr fontId="1"/>
  </si>
  <si>
    <t>　　　　　　　　 消火設備を設置したとき､その有効範囲内の部分には、自動火災報知設備の設置が免除さ</t>
    <phoneticPr fontId="1"/>
  </si>
  <si>
    <t>　　　　　   　れる。また、特定防火対象物は、免除されない。</t>
    <phoneticPr fontId="1"/>
  </si>
  <si>
    <t>　　　　　　　② 感知器の設置に適さない場所 イ 感知器の取付高さが２０ｍ以上の場所。</t>
    <phoneticPr fontId="1"/>
  </si>
  <si>
    <t>　　　　　　　　 イ 感知器の取付高さが２０ｍ以上の場所。</t>
    <phoneticPr fontId="1"/>
  </si>
  <si>
    <t>　　　  　　　   ロ 外部の気流が流通する場所で、有効に感知できない場所。</t>
    <phoneticPr fontId="1"/>
  </si>
  <si>
    <t>　　　　　  　 　ハ 天井内の有効高さが０.５ｍ未満の場所。</t>
    <phoneticPr fontId="1"/>
  </si>
  <si>
    <t>　　　　　 　  　ニ 煙、熱煙複合式感知器で下記の場所。</t>
    <phoneticPr fontId="1"/>
  </si>
  <si>
    <t>　　　　　  　　　　イ 感知器の取付高さが２０ｍ以上の場所。</t>
    <phoneticPr fontId="1"/>
  </si>
  <si>
    <t>　　　　　　  　　　ハ 天井内の有効高さが０.５ｍ未満の場所。</t>
    <phoneticPr fontId="1"/>
  </si>
  <si>
    <t>　　　　　　  　　  ニ 煙、熱煙複合式感知器で下記の場所。</t>
    <phoneticPr fontId="1"/>
  </si>
  <si>
    <t>　　　  客席の人員　イ．固定式いす席数 (長いす：正面幅／０.４ｍ)　 ロ．立見席：床面積／０.２平米</t>
    <phoneticPr fontId="1"/>
  </si>
  <si>
    <t>　　　　　　　　　  ハ．その他の部分：床面積／０.５平米</t>
    <phoneticPr fontId="1"/>
  </si>
  <si>
    <t>　　　　　　　  ロ．観覧・飲食・休憩用固定式いす席数 (長いす：正面幅／０.５m)</t>
    <phoneticPr fontId="1"/>
  </si>
  <si>
    <t>　　　  客席の人員　イ．固定式いす席数 (長いす：正面幅／０.５m)</t>
    <phoneticPr fontId="1"/>
  </si>
  <si>
    <t>　　　　　　　　　  ロ．その他の部分：床面積／３平米</t>
    <phoneticPr fontId="1"/>
  </si>
  <si>
    <t>　　　  　　　　　　イ．飲食・休憩部分：床面積／３平米</t>
    <phoneticPr fontId="1"/>
  </si>
  <si>
    <t>　　　  　　　　　　ロ．その他の部分：床面積／４平米</t>
    <phoneticPr fontId="1"/>
  </si>
  <si>
    <t>　　　  宿泊人員　イ．洋式宿泊室：ベッド数 (長いす：正面幅／０.４m)</t>
    <phoneticPr fontId="1"/>
  </si>
  <si>
    <t>　　　  　　　　　ハ．簡 易 宿 所：床面積／３平米</t>
    <phoneticPr fontId="1"/>
  </si>
  <si>
    <t>　　　  　　　　　ロ．和式 宿泊室：床面積／６平米</t>
    <phoneticPr fontId="1"/>
  </si>
  <si>
    <t>　　　  客席の人員　イ．固定式いす席数 (長いす：正面幅／０.４m)　 ロ．立見席：床面積／０.２平米</t>
    <phoneticPr fontId="1"/>
  </si>
  <si>
    <t>　　　  　　居住者数の実態調査が困難な場合には、下記による。</t>
    <phoneticPr fontId="1"/>
  </si>
  <si>
    <t>　　　　 　 居住者数：1K･1DK=１人､1LDK･2DK=２人､2LDK･3DK=３人､3LDK･4DK･4LDK･5DK以上=４人</t>
    <phoneticPr fontId="1"/>
  </si>
  <si>
    <t>　　(6) イ　病院等：従業者数＋病室内の病床数＋待合室の合計床面積／３平米</t>
    <phoneticPr fontId="1"/>
  </si>
  <si>
    <t>　　(8) 図書館等：従業者数＋閲覧・展示・展覧室等の合計床面積／３平米</t>
    <phoneticPr fontId="1"/>
  </si>
  <si>
    <t>　　　  利用者数：浴場・脱衣場・マッサージ室・飲食・休憩室等の合計床面積／３平米</t>
    <phoneticPr fontId="1"/>
  </si>
  <si>
    <t>　 (11) 神社等：従業員数＋礼拝・集合・休憩所等の合計床面積／３平米</t>
    <phoneticPr fontId="1"/>
  </si>
  <si>
    <t xml:space="preserve"> 　(15) 事業所等：従業員数＋従業員以外の使用部分の合計床面積／３平米</t>
    <phoneticPr fontId="1"/>
  </si>
  <si>
    <t xml:space="preserve"> 　(17)　文化財等：合計床面積／５平米</t>
    <phoneticPr fontId="1"/>
  </si>
  <si>
    <t xml:space="preserve">   (16)の2 　地下街：各用途部分ごとに算定した人員の合計数</t>
    <phoneticPr fontId="1"/>
  </si>
  <si>
    <r>
      <t>　</t>
    </r>
    <r>
      <rPr>
        <sz val="9"/>
        <color theme="1"/>
        <rFont val="HG明朝B"/>
        <family val="1"/>
        <charset val="128"/>
      </rPr>
      <t>消火器設備設置基準</t>
    </r>
  </si>
  <si>
    <r>
      <t>　</t>
    </r>
    <r>
      <rPr>
        <sz val="9"/>
        <color theme="1"/>
        <rFont val="HG明朝B"/>
        <family val="1"/>
        <charset val="128"/>
      </rPr>
      <t>屋内消火栓設備設置基準</t>
    </r>
  </si>
  <si>
    <t>　　① 地階の延床面積 ≧１,０００平米　　(1)、(2)、(3)、(5)イ、(6)、(9)イ、16の2</t>
    <phoneticPr fontId="1"/>
  </si>
  <si>
    <t>　　② 地階の延床面積 ≧１,０００平米、特定防火対象物の延床面積 ≧５００平米　　 (16)イ、16の3</t>
    <phoneticPr fontId="1"/>
  </si>
  <si>
    <t>　　　　　　　③ 可燃性ガスが自然発生するおそれがあるとして消防長等が指定するもの以外のもの</t>
    <phoneticPr fontId="1"/>
  </si>
  <si>
    <t>　　② 地下街で延床面積 ≧１,０００平米、延床面積 ≧５００平米　　16の2</t>
    <phoneticPr fontId="1"/>
  </si>
  <si>
    <t>　　② 延床面積 ≧１５０平米　(1)ロ、(3)イ、(3)ロ、(4)、(5)イ、(5)ロ、(6)イ・ハ・ニ、(9)イ・ロ、</t>
    <phoneticPr fontId="1"/>
  </si>
  <si>
    <t>　　　　　　　　　　　　　　 (12)、(13)、(14)</t>
    <phoneticPr fontId="1"/>
  </si>
  <si>
    <t>　　③ 延床面積 ≧３００平米　(7)、(8)、(15)</t>
    <phoneticPr fontId="1"/>
  </si>
  <si>
    <t>　　緩和規程　イ．階数が１０階以下の部分にスプリンクラー等を設置した場合､能力単位数の１／３まで減少</t>
    <phoneticPr fontId="1"/>
  </si>
  <si>
    <t>　　　　16の2：≧１５０ (300) [450] 　(1)イ、ロ：≧５００ (1000) [1500] 　(2)～(5)、(6)イ・ハ・</t>
    <phoneticPr fontId="1"/>
  </si>
  <si>
    <t>　　　　ニ、(7)～(10)、(12)、(14)　　≧７００ (1400) [2100]</t>
    <phoneticPr fontId="1"/>
  </si>
  <si>
    <t>　　　  (6) ロ：≧７００ (1000) [1000]　　(11)、(15)：≧１,０００ (2000) [3000]</t>
    <phoneticPr fontId="1"/>
  </si>
  <si>
    <t>　　　　(1)イ・ロ：≧１００ (200) [300]　　(2)～(10)、(12)、(14)：≧１５０ (300) [450]</t>
    <phoneticPr fontId="1"/>
  </si>
  <si>
    <t>　　 　(11)、(15)：≧２００ (400) [600]</t>
    <phoneticPr fontId="1"/>
  </si>
  <si>
    <t>　　　　　　　　　ポンプの各消火設備の有効範囲の部分は設置免除 (ただし、屋外消火栓・動力消防ポン</t>
    <phoneticPr fontId="1"/>
  </si>
  <si>
    <t>　　　　　　   　 プは１階・２階部分に限る)</t>
    <phoneticPr fontId="1"/>
  </si>
  <si>
    <t>　　　　　    (2) パッケージ型消火設備を設置した場合は設置免除</t>
    <phoneticPr fontId="1"/>
  </si>
  <si>
    <r>
      <t>　</t>
    </r>
    <r>
      <rPr>
        <sz val="9"/>
        <color theme="1"/>
        <rFont val="HG明朝B"/>
        <family val="1"/>
        <charset val="128"/>
      </rPr>
      <t>屋外消火栓設備設置基準</t>
    </r>
  </si>
  <si>
    <r>
      <t>　</t>
    </r>
    <r>
      <rPr>
        <sz val="9"/>
        <color theme="1"/>
        <rFont val="HG明朝B"/>
        <family val="1"/>
        <charset val="128"/>
      </rPr>
      <t>スプリンクラー設備設置基準</t>
    </r>
  </si>
  <si>
    <t xml:space="preserve">　　① 耐 火 建築物：１階又は１階･２階の延床面積：≧９,０００平米 </t>
    <phoneticPr fontId="1"/>
  </si>
  <si>
    <t>　　② 準耐火建築物：１階又は１階･２階の延床面積：≧６,０００平米</t>
    <phoneticPr fontId="1"/>
  </si>
  <si>
    <t>　　③ 非耐火建築物：１階又は１階･２階の延床面積：≧３,０００平米</t>
    <phoneticPr fontId="1"/>
  </si>
  <si>
    <t>　　 　 同一敷地内にある２以上の非耐火建築物建物相互の外壁の壁芯間水平距離が、１階：≦３ｍ、</t>
    <phoneticPr fontId="1"/>
  </si>
  <si>
    <t>　　 　 ２階：≦５ｍの場合、１の建築物とみなす。</t>
    <phoneticPr fontId="1"/>
  </si>
  <si>
    <t>　　　　　ラック式倉庫：天井高＞１０ｍ，延床面積 ≧ 700(1400)[2100]</t>
    <phoneticPr fontId="1"/>
  </si>
  <si>
    <t>　　一般 (延床面積)   延床面積 ≧　 ２７５平米：(6)ロ</t>
    <phoneticPr fontId="1"/>
  </si>
  <si>
    <t>　　　　　　　　　　　延床面積 ≧１,０００平米：16の2、16の3</t>
    <phoneticPr fontId="1"/>
  </si>
  <si>
    <t>　　　　　　　　　　　延床面積 ≧３,０００平米 (平屋建以外)：(4)、(6)イ　</t>
    <phoneticPr fontId="1"/>
  </si>
  <si>
    <t>　　　　　　　　　　　延床面積 ≧６,０００平米 (平屋建以外)：(1)､(2)､(3)､(5)イ､(6)ハ､(6)ニ､(9)イ</t>
    <phoneticPr fontId="1"/>
  </si>
  <si>
    <t>　　　　　　　　　　　　　　床面積 ≧１,０００平米：(1)､(2)､(3)､(4)､(5)イ､(6)イ､(6)ハ､(6)ニ､(9)イ</t>
    <phoneticPr fontId="1"/>
  </si>
  <si>
    <t>　　地階・無窓階（床面積）　床面積 ≧ 　２７５平米：(6)ロ</t>
    <phoneticPr fontId="1"/>
  </si>
  <si>
    <t>　　４階 ～ 10階（床面積）　床面積 ≧ 　２７５平米：(6)ロ</t>
    <phoneticPr fontId="1"/>
  </si>
  <si>
    <t>　　　　　　　　　　　　　　床面積 ≧１,０００平米：(2)､(4)</t>
    <phoneticPr fontId="1"/>
  </si>
  <si>
    <t>　　　　　　　　　　　　　　床面積 ≧１,５００平米：(1)､(3)､(5)イ､(6)イ､(6)ハ､(6)ニ､(9)イ</t>
    <phoneticPr fontId="1"/>
  </si>
  <si>
    <t>　　１１階以上の階　　16の2、16の3、(18) 以外はすべて必要</t>
    <phoneticPr fontId="1"/>
  </si>
  <si>
    <t>　　① 設置が免除される防火対象物又はその部分 [規則12-2] の規定に適合している区画で、防火対象物</t>
    <phoneticPr fontId="1"/>
  </si>
  <si>
    <t>　　　 (1) 水噴霧・泡・不活性ガス・ハロゲン化物・粉末の各消火設備の有効範囲内の部分[令12-3]</t>
    <phoneticPr fontId="1"/>
  </si>
  <si>
    <t>　　　 (2) 防火対象物の１０階以下の部分にある開口部で防火設備が設けられている開口部[令12-2-3]</t>
    <phoneticPr fontId="1"/>
  </si>
  <si>
    <t>　　　 (3) 代替えとしてパッケージ型自動消火設備を設置した場合 [H16総務令92]</t>
    <phoneticPr fontId="1"/>
  </si>
  <si>
    <t>　　　 (4) グループホーム等の居住型福祉施設が一部入居している共同住宅で一定の基準を満たしている</t>
    <phoneticPr fontId="1"/>
  </si>
  <si>
    <t>　　　 (1) 火災発生の危険の少ない場所　　　　　[規則13-3-1][規則13-3-3][規則13-3-9-2][規則13-3-10]</t>
    <phoneticPr fontId="1"/>
  </si>
  <si>
    <t>　　　 (2) 二次的な被害を出すおそれのある場所　[規則13-3-2][規則13-3-4][規則13-3-7]</t>
    <phoneticPr fontId="1"/>
  </si>
  <si>
    <t>　　　 (3) 効果が期待できない場所　　[規則13-3-5][規則13-3-6][規則13-3-9]</t>
    <phoneticPr fontId="1"/>
  </si>
  <si>
    <t>　　　 (4) スプリンクラ代区画部分　　[規則13-3-11]</t>
    <phoneticPr fontId="1"/>
  </si>
  <si>
    <t>　　　 (5) 主要構造部 が 耐火構造 　 [規則13-3-12]</t>
    <phoneticPr fontId="1"/>
  </si>
  <si>
    <r>
      <t>　</t>
    </r>
    <r>
      <rPr>
        <sz val="9"/>
        <color theme="1"/>
        <rFont val="HG明朝B"/>
        <family val="1"/>
        <charset val="128"/>
      </rPr>
      <t>泡消火設備 ／ 不活性ガス消火設備 ／ ハロゲン化物消火設備 ／ 粉末消火設備</t>
    </r>
  </si>
  <si>
    <t>　　Ａ 非常電源専用受電設備または発電機設備・蓄電池設備・燃料電池設備(特定防火対象物以外)</t>
    <phoneticPr fontId="1"/>
  </si>
  <si>
    <t>　　Ｂ 発電機設備・蓄電池設備・燃料電池設備　特定防火対象物で延床面積 ≧１,０００平米</t>
    <phoneticPr fontId="1"/>
  </si>
  <si>
    <t>　　 　非常警報　ただし、特定防火対象物で延床面積 ≧１,０００平米は蓄電池設備</t>
    <phoneticPr fontId="1"/>
  </si>
  <si>
    <r>
      <t xml:space="preserve">             </t>
    </r>
    <r>
      <rPr>
        <sz val="9"/>
        <color theme="1" tint="4.9989318521683403E-2"/>
        <rFont val="HG明朝B"/>
        <family val="1"/>
        <charset val="128"/>
      </rPr>
      <t>CPU</t>
    </r>
    <r>
      <rPr>
        <sz val="9"/>
        <color rgb="FF0000FF"/>
        <rFont val="HG明朝B"/>
        <family val="1"/>
        <charset val="128"/>
      </rPr>
      <t xml:space="preserve"> (</t>
    </r>
    <r>
      <rPr>
        <b/>
        <sz val="9"/>
        <color theme="1" tint="4.9989318521683403E-2"/>
        <rFont val="HG明朝B"/>
        <family val="1"/>
        <charset val="128"/>
      </rPr>
      <t>C</t>
    </r>
    <r>
      <rPr>
        <sz val="9"/>
        <color rgb="FF0000FF"/>
        <rFont val="HG明朝B"/>
        <family val="1"/>
        <charset val="128"/>
      </rPr>
      <t xml:space="preserve">entral </t>
    </r>
    <r>
      <rPr>
        <b/>
        <sz val="9"/>
        <color theme="1" tint="4.9989318521683403E-2"/>
        <rFont val="HG明朝B"/>
        <family val="1"/>
        <charset val="128"/>
      </rPr>
      <t>P</t>
    </r>
    <r>
      <rPr>
        <sz val="9"/>
        <color rgb="FF0000FF"/>
        <rFont val="HG明朝B"/>
        <family val="1"/>
        <charset val="128"/>
      </rPr>
      <t xml:space="preserve">rocessing </t>
    </r>
    <r>
      <rPr>
        <b/>
        <sz val="9"/>
        <color theme="1" tint="4.9989318521683403E-2"/>
        <rFont val="HG明朝B"/>
        <family val="1"/>
        <charset val="128"/>
      </rPr>
      <t>U</t>
    </r>
    <r>
      <rPr>
        <sz val="9"/>
        <color rgb="FF0000FF"/>
        <rFont val="HG明朝B"/>
        <family val="1"/>
        <charset val="128"/>
      </rPr>
      <t>nit) ：中央演算装置</t>
    </r>
  </si>
  <si>
    <r>
      <t xml:space="preserve">　　　　　　 </t>
    </r>
    <r>
      <rPr>
        <sz val="9"/>
        <color theme="1" tint="4.9989318521683403E-2"/>
        <rFont val="HG明朝B"/>
        <family val="1"/>
        <charset val="128"/>
      </rPr>
      <t>CPU</t>
    </r>
    <r>
      <rPr>
        <sz val="9"/>
        <color rgb="FF0000FF"/>
        <rFont val="HG明朝B"/>
        <family val="1"/>
        <charset val="128"/>
      </rPr>
      <t xml:space="preserve"> が同時に、データ (Data) を処理できる数とは、</t>
    </r>
  </si>
  <si>
    <r>
      <t>　　　　　　　</t>
    </r>
    <r>
      <rPr>
        <sz val="9"/>
        <color rgb="FFC00000"/>
        <rFont val="HG明朝B"/>
        <family val="1"/>
        <charset val="128"/>
      </rPr>
      <t>4 Bit</t>
    </r>
    <r>
      <rPr>
        <sz val="9"/>
        <color theme="1"/>
        <rFont val="HG明朝B"/>
        <family val="1"/>
        <charset val="128"/>
      </rPr>
      <t xml:space="preserve"> Machine：2</t>
    </r>
    <r>
      <rPr>
        <vertAlign val="superscript"/>
        <sz val="10"/>
        <color theme="1"/>
        <rFont val="HG明朝B"/>
        <family val="1"/>
        <charset val="128"/>
      </rPr>
      <t>4</t>
    </r>
    <r>
      <rPr>
        <sz val="9"/>
        <color theme="1"/>
        <rFont val="HG明朝B"/>
        <family val="1"/>
        <charset val="128"/>
      </rPr>
      <t>=16、　</t>
    </r>
    <r>
      <rPr>
        <sz val="9"/>
        <color rgb="FFC00000"/>
        <rFont val="HG明朝B"/>
        <family val="1"/>
        <charset val="128"/>
      </rPr>
      <t>8 Bit</t>
    </r>
    <r>
      <rPr>
        <sz val="9"/>
        <color theme="1"/>
        <rFont val="HG明朝B"/>
        <family val="1"/>
        <charset val="128"/>
      </rPr>
      <t xml:space="preserve"> Machine：2</t>
    </r>
    <r>
      <rPr>
        <vertAlign val="superscript"/>
        <sz val="10"/>
        <color theme="1"/>
        <rFont val="HG明朝B"/>
        <family val="1"/>
        <charset val="128"/>
      </rPr>
      <t>8</t>
    </r>
    <r>
      <rPr>
        <sz val="9"/>
        <color theme="1"/>
        <rFont val="HG明朝B"/>
        <family val="1"/>
        <charset val="128"/>
      </rPr>
      <t>=256、　</t>
    </r>
    <r>
      <rPr>
        <sz val="9"/>
        <color rgb="FFC00000"/>
        <rFont val="HG明朝B"/>
        <family val="1"/>
        <charset val="128"/>
      </rPr>
      <t>16 Bit</t>
    </r>
    <r>
      <rPr>
        <sz val="9"/>
        <color theme="1"/>
        <rFont val="HG明朝B"/>
        <family val="1"/>
        <charset val="128"/>
      </rPr>
      <t xml:space="preserve"> Machine：2</t>
    </r>
    <r>
      <rPr>
        <vertAlign val="superscript"/>
        <sz val="10"/>
        <color theme="1"/>
        <rFont val="HG明朝B"/>
        <family val="1"/>
        <charset val="128"/>
      </rPr>
      <t>16</t>
    </r>
    <r>
      <rPr>
        <sz val="9"/>
        <color theme="1"/>
        <rFont val="HG明朝B"/>
        <family val="1"/>
        <charset val="128"/>
      </rPr>
      <t xml:space="preserve"> Bit=65,536</t>
    </r>
  </si>
  <si>
    <r>
      <t>画面の表示倍率：</t>
    </r>
    <r>
      <rPr>
        <sz val="9"/>
        <rFont val="HG明朝B"/>
        <family val="1"/>
        <charset val="128"/>
      </rPr>
      <t>基準設定値＝</t>
    </r>
    <r>
      <rPr>
        <b/>
        <sz val="9"/>
        <rFont val="HG明朝B"/>
        <family val="1"/>
        <charset val="128"/>
      </rPr>
      <t>120 ％</t>
    </r>
    <r>
      <rPr>
        <sz val="9"/>
        <rFont val="HG明朝B"/>
        <family val="1"/>
        <charset val="128"/>
      </rPr>
      <t>　　　　　　　</t>
    </r>
    <r>
      <rPr>
        <sz val="9"/>
        <color rgb="FFC00000"/>
        <rFont val="HG明朝B"/>
        <family val="1"/>
        <charset val="128"/>
      </rPr>
      <t>リボン</t>
    </r>
    <r>
      <rPr>
        <sz val="9"/>
        <rFont val="HG明朝B"/>
        <family val="1"/>
        <charset val="128"/>
      </rPr>
      <t>：折りたたむ</t>
    </r>
  </si>
  <si>
    <r>
      <t xml:space="preserve">　　　　　   </t>
    </r>
    <r>
      <rPr>
        <sz val="9"/>
        <color rgb="FFC00000"/>
        <rFont val="HG明朝B"/>
        <family val="1"/>
        <charset val="128"/>
      </rPr>
      <t>32 Bit</t>
    </r>
    <r>
      <rPr>
        <sz val="9"/>
        <color theme="1"/>
        <rFont val="HG明朝B"/>
        <family val="1"/>
        <charset val="128"/>
      </rPr>
      <t xml:space="preserve"> Machine：2</t>
    </r>
    <r>
      <rPr>
        <vertAlign val="superscript"/>
        <sz val="10"/>
        <color theme="1"/>
        <rFont val="HG明朝B"/>
        <family val="1"/>
        <charset val="128"/>
      </rPr>
      <t>32</t>
    </r>
    <r>
      <rPr>
        <sz val="9"/>
        <color theme="1"/>
        <rFont val="HG明朝B"/>
        <family val="1"/>
        <charset val="128"/>
      </rPr>
      <t>=42,9496,7296、　</t>
    </r>
    <r>
      <rPr>
        <sz val="9"/>
        <color rgb="FFC00000"/>
        <rFont val="HG明朝B"/>
        <family val="1"/>
        <charset val="128"/>
      </rPr>
      <t>64 Bit</t>
    </r>
    <r>
      <rPr>
        <sz val="9"/>
        <color theme="1"/>
        <rFont val="HG明朝B"/>
        <family val="1"/>
        <charset val="128"/>
      </rPr>
      <t xml:space="preserve"> Machine：2</t>
    </r>
    <r>
      <rPr>
        <vertAlign val="superscript"/>
        <sz val="10"/>
        <color theme="1"/>
        <rFont val="HG明朝B"/>
        <family val="1"/>
        <charset val="128"/>
      </rPr>
      <t>64</t>
    </r>
    <r>
      <rPr>
        <sz val="10"/>
        <color theme="1"/>
        <rFont val="HG明朝B"/>
        <family val="1"/>
        <charset val="128"/>
      </rPr>
      <t xml:space="preserve"> </t>
    </r>
    <r>
      <rPr>
        <sz val="9"/>
        <color theme="1"/>
        <rFont val="HG明朝B"/>
        <family val="1"/>
        <charset val="128"/>
      </rPr>
      <t>≒1.844674407×10</t>
    </r>
    <r>
      <rPr>
        <vertAlign val="superscript"/>
        <sz val="10"/>
        <color theme="1"/>
        <rFont val="HG明朝B"/>
        <family val="1"/>
        <charset val="128"/>
      </rPr>
      <t>19</t>
    </r>
    <phoneticPr fontId="1"/>
  </si>
  <si>
    <r>
      <t>　　　　　　</t>
    </r>
    <r>
      <rPr>
        <sz val="9"/>
        <color rgb="FFC00000"/>
        <rFont val="HG明朝B"/>
        <family val="1"/>
        <charset val="128"/>
      </rPr>
      <t>128 Bit</t>
    </r>
    <r>
      <rPr>
        <sz val="9"/>
        <color theme="1"/>
        <rFont val="HG明朝B"/>
        <family val="1"/>
        <charset val="128"/>
      </rPr>
      <t xml:space="preserve"> Machine：2</t>
    </r>
    <r>
      <rPr>
        <vertAlign val="superscript"/>
        <sz val="10"/>
        <color theme="1"/>
        <rFont val="HG明朝B"/>
        <family val="1"/>
        <charset val="128"/>
      </rPr>
      <t>128</t>
    </r>
    <r>
      <rPr>
        <sz val="9"/>
        <color theme="1"/>
        <rFont val="HG明朝B"/>
        <family val="1"/>
        <charset val="128"/>
      </rPr>
      <t>≒3.402823668×10</t>
    </r>
    <r>
      <rPr>
        <vertAlign val="superscript"/>
        <sz val="10"/>
        <color theme="1"/>
        <rFont val="HG明朝B"/>
        <family val="1"/>
        <charset val="128"/>
      </rPr>
      <t>38</t>
    </r>
    <phoneticPr fontId="1"/>
  </si>
  <si>
    <r>
      <t>　登録セル(E2,E3,E4)：企業情報等</t>
    </r>
    <r>
      <rPr>
        <sz val="9"/>
        <color rgb="FF0000FF"/>
        <rFont val="HG明朝B"/>
        <family val="1"/>
        <charset val="128"/>
      </rPr>
      <t>　関連する各ページに自動転記します。</t>
    </r>
  </si>
  <si>
    <r>
      <t>　雑材消耗品：Ｂ材 × n.nn％</t>
    </r>
    <r>
      <rPr>
        <sz val="9"/>
        <color theme="1" tint="4.9989318521683403E-2"/>
        <rFont val="HG明朝B"/>
        <family val="1"/>
        <charset val="128"/>
      </rPr>
      <t>　　　　　  基準設定値＝３.00 ％（変更修正可）</t>
    </r>
    <phoneticPr fontId="1"/>
  </si>
  <si>
    <r>
      <t>　運　搬　費：(Ｂ材＋Ａ材) × n.nn％</t>
    </r>
    <r>
      <rPr>
        <sz val="9"/>
        <color theme="1" tint="4.9989318521683403E-2"/>
        <rFont val="HG明朝B"/>
        <family val="1"/>
        <charset val="128"/>
      </rPr>
      <t>　　基準設定値＝１.50 ％（変更修正可）</t>
    </r>
    <phoneticPr fontId="1"/>
  </si>
  <si>
    <r>
      <t>　現場管理費：専門外注業者が不要な工事 (工事種目小計) × n.n％</t>
    </r>
    <r>
      <rPr>
        <sz val="9"/>
        <color theme="1" tint="4.9989318521683403E-2"/>
        <rFont val="HG明朝B"/>
        <family val="1"/>
        <charset val="128"/>
      </rPr>
      <t>　基準設定値＝２.0％（変更修正可）</t>
    </r>
    <phoneticPr fontId="1"/>
  </si>
  <si>
    <r>
      <t>　　　　　　　専門外注業者が必要な工事 (工事種目小計) × n.n％</t>
    </r>
    <r>
      <rPr>
        <sz val="9"/>
        <color theme="1" tint="4.9989318521683403E-2"/>
        <rFont val="HG明朝B"/>
        <family val="1"/>
        <charset val="128"/>
      </rPr>
      <t>　基準設定値＝５.0％（変更修正可）</t>
    </r>
    <phoneticPr fontId="1"/>
  </si>
  <si>
    <r>
      <t xml:space="preserve">　電　工　費 (円)　 ：一括 ／ 各工事種目　　　　　　　     </t>
    </r>
    <r>
      <rPr>
        <sz val="9"/>
        <color theme="1" tint="4.9989318521683403E-2"/>
        <rFont val="HG明朝B"/>
        <family val="1"/>
        <charset val="128"/>
      </rPr>
      <t>基準設定値＝6,000,-（変更修正可）</t>
    </r>
    <phoneticPr fontId="1"/>
  </si>
  <si>
    <r>
      <t>　原価に対する掛け率：一括 ／ 各工事種目 × n.nn％</t>
    </r>
    <r>
      <rPr>
        <sz val="9"/>
        <color theme="1" tint="4.9989318521683403E-2"/>
        <rFont val="HG明朝B"/>
        <family val="1"/>
        <charset val="128"/>
      </rPr>
      <t>　　　　 基準設定値＝ 10 ％ （変更修正可）</t>
    </r>
    <phoneticPr fontId="1"/>
  </si>
  <si>
    <r>
      <t>　提出用諸経費率[％] ：諸経費率[％]＝0.1× 合計金額</t>
    </r>
    <r>
      <rPr>
        <sz val="9"/>
        <color theme="1" tint="4.9989318521683403E-2"/>
        <rFont val="HG明朝B"/>
        <family val="1"/>
        <charset val="128"/>
      </rPr>
      <t>　  　　基準設定値＝７.0％  (変更修正可）</t>
    </r>
    <phoneticPr fontId="1"/>
  </si>
  <si>
    <r>
      <t>　Ａ材：高低圧・情報用盤類、高低圧機器類、照明器具、情報機器類等　　　</t>
    </r>
    <r>
      <rPr>
        <sz val="9"/>
        <color theme="1" tint="4.9989318521683403E-2"/>
        <rFont val="HG明朝B"/>
        <family val="1"/>
        <charset val="128"/>
      </rPr>
      <t>変更修正可</t>
    </r>
  </si>
  <si>
    <r>
      <t>　Ｂ材：配管配線材料、配線器具類等</t>
    </r>
    <r>
      <rPr>
        <sz val="9"/>
        <color theme="1" tint="4.9989318521683403E-2"/>
        <rFont val="HG明朝B"/>
        <family val="1"/>
        <charset val="128"/>
      </rPr>
      <t>　　 変更修正可</t>
    </r>
  </si>
  <si>
    <r>
      <t>　雑材消耗品：Ｂ材 × n.nn％</t>
    </r>
    <r>
      <rPr>
        <sz val="9"/>
        <color theme="1" tint="4.9989318521683403E-2"/>
        <rFont val="HG明朝B"/>
        <family val="1"/>
        <charset val="128"/>
      </rPr>
      <t>　  　　　  基準設定値＝３.00 ％（変更修正可）</t>
    </r>
    <phoneticPr fontId="1"/>
  </si>
  <si>
    <r>
      <t>　原価諸経費率[％]：0.8×INT[Ｍ]／100　　</t>
    </r>
    <r>
      <rPr>
        <sz val="9"/>
        <color theme="1" tint="4.9989318521683403E-2"/>
        <rFont val="HG明朝B"/>
        <family val="1"/>
        <charset val="128"/>
      </rPr>
      <t>ただし、Ｍ＝100×[SQRT(合計金額×10</t>
    </r>
    <r>
      <rPr>
        <vertAlign val="superscript"/>
        <sz val="9"/>
        <color theme="1" tint="4.9989318521683403E-2"/>
        <rFont val="HG明朝B"/>
        <family val="1"/>
        <charset val="128"/>
      </rPr>
      <t>－4</t>
    </r>
    <r>
      <rPr>
        <sz val="9"/>
        <color theme="1" tint="4.9989318521683403E-2"/>
        <rFont val="HG明朝B"/>
        <family val="1"/>
        <charset val="128"/>
      </rPr>
      <t>)]</t>
    </r>
    <r>
      <rPr>
        <vertAlign val="superscript"/>
        <sz val="9"/>
        <color theme="1" tint="4.9989318521683403E-2"/>
        <rFont val="HG明朝B"/>
        <family val="1"/>
        <charset val="128"/>
      </rPr>
      <t>－0.35</t>
    </r>
    <phoneticPr fontId="1"/>
  </si>
  <si>
    <t>　　原価諸経費率とは、各業者の工事実績に基づく営業活動に必要な経費であり、この経費率を上回れば、</t>
    <phoneticPr fontId="1"/>
  </si>
  <si>
    <t>　　純利益を生み、下回れば赤字になります。上記の 諸経費率 [％] は、工事金額より算定した値です。</t>
    <phoneticPr fontId="1"/>
  </si>
  <si>
    <r>
      <t>　消費税相当額：消費税率[％] × 合計金額　</t>
    </r>
    <r>
      <rPr>
        <sz val="9"/>
        <color theme="1" tint="4.9989318521683403E-2"/>
        <rFont val="HG明朝B"/>
        <family val="1"/>
        <charset val="128"/>
      </rPr>
      <t>　　　　　　　　　　  基準設定値＝８.0％ (変更修正可）</t>
    </r>
    <phoneticPr fontId="1"/>
  </si>
  <si>
    <t>　　わが国では、1989.4/1 消費税法の制定により消費税率が３％、1997.4 に５％､2014.4 には､８％に</t>
    <phoneticPr fontId="1"/>
  </si>
  <si>
    <t>　　なり、2015.10からは､10％ に引き上げられる予定です。</t>
    <phoneticPr fontId="1"/>
  </si>
  <si>
    <r>
      <t>　材料単価指定　：</t>
    </r>
    <r>
      <rPr>
        <sz val="9"/>
        <color theme="1" tint="4.9989318521683403E-2"/>
        <rFont val="HG明朝B"/>
        <family val="1"/>
        <charset val="128"/>
      </rPr>
      <t>基準設定値＝単価-１</t>
    </r>
    <r>
      <rPr>
        <sz val="9"/>
        <color rgb="FF0000FF"/>
        <rFont val="HG明朝B"/>
        <family val="1"/>
        <charset val="128"/>
      </rPr>
      <t>　（単価-２、単価-３、単価-４ 選択可）</t>
    </r>
  </si>
  <si>
    <r>
      <t>　電工歩掛指定　：</t>
    </r>
    <r>
      <rPr>
        <sz val="9"/>
        <color theme="1" tint="4.9989318521683403E-2"/>
        <rFont val="HG明朝B"/>
        <family val="1"/>
        <charset val="128"/>
      </rPr>
      <t>基準設定値＝歩掛-１</t>
    </r>
    <r>
      <rPr>
        <sz val="9"/>
        <color rgb="FF0000FF"/>
        <rFont val="HG明朝B"/>
        <family val="1"/>
        <charset val="128"/>
      </rPr>
      <t>　（歩掛-２、歩掛-３ 選択可）</t>
    </r>
  </si>
  <si>
    <r>
      <t>　実工数電工単価：</t>
    </r>
    <r>
      <rPr>
        <sz val="9"/>
        <color theme="1" tint="4.9989318521683403E-2"/>
        <rFont val="HG明朝B"/>
        <family val="1"/>
        <charset val="128"/>
      </rPr>
      <t>基準設定値＝6,000,-(円)</t>
    </r>
  </si>
  <si>
    <t>　　　　　  　 　 単価-２、単価-３、単価-４：ユーザー登録必要</t>
    <rPh sb="11" eb="13">
      <t>タンカ</t>
    </rPh>
    <rPh sb="30" eb="32">
      <t>トウロク</t>
    </rPh>
    <rPh sb="32" eb="34">
      <t>ヒツヨウ</t>
    </rPh>
    <phoneticPr fontId="1"/>
  </si>
  <si>
    <t>　　　　　  　　　歩掛-２、歩掛-３：ユーザー登録必要</t>
    <rPh sb="24" eb="26">
      <t>トウロク</t>
    </rPh>
    <rPh sb="26" eb="28">
      <t>ヒツヨウ</t>
    </rPh>
    <phoneticPr fontId="1"/>
  </si>
  <si>
    <t>　　　　　　　　　標準実工数電工単価：18,000,- 　（15,000,- ～ 21,000,-　全国平均値 )</t>
    <phoneticPr fontId="1"/>
  </si>
  <si>
    <t>　　　実工数単価：残業をしない一日平均８時間の日当金額(円) 歩掛り (ブガカリ)：配管・配線・機器</t>
    <phoneticPr fontId="1"/>
  </si>
  <si>
    <t>　　　　　　　　　取付に必要な工数(人)</t>
    <phoneticPr fontId="1"/>
  </si>
  <si>
    <t>　　　[例] 600V CVT 150sq 管内入線の歩掛り：0.137／m、1／ 0.137≒7.3[m] 入線して､１実工数</t>
    <phoneticPr fontId="1"/>
  </si>
  <si>
    <t>　　　　 　電線管 G-82 露出配管の歩掛り：0.323×1.2／m､1／0.387≒2.584[m] 配管して､１実工数</t>
    <phoneticPr fontId="1"/>
  </si>
  <si>
    <t>　　　　 　位置ボックス取付の歩掛り：0.1／個、1／0.1＝10個 取付けして､１実工数</t>
    <phoneticPr fontId="1"/>
  </si>
  <si>
    <t>　　　■上記[例]の如く実工数と､かけ離れた「歩掛り」を採用していているので､実工数に合致する手段</t>
    <phoneticPr fontId="1"/>
  </si>
  <si>
    <t>　　　　として実工数単価が、シートNo. "建価"の ｢歩掛り｣の平均 ≒ 1／3 ～ 1／4 程度が実態である</t>
    <phoneticPr fontId="1"/>
  </si>
  <si>
    <t>　　　　ことから、標準実工数電工単価：18,000／3 ≒ 6,000,-を概算積算基準として採用しています。</t>
    <phoneticPr fontId="1"/>
  </si>
  <si>
    <r>
      <t>　　照明コンセント設備［分電盤の位置］参照</t>
    </r>
    <r>
      <rPr>
        <sz val="9"/>
        <color theme="1" tint="4.9989318521683403E-2"/>
        <rFont val="HG明朝B"/>
        <family val="1"/>
        <charset val="128"/>
      </rPr>
      <t>　　基準設定値は、⑦です。</t>
    </r>
    <rPh sb="23" eb="25">
      <t>キジュン</t>
    </rPh>
    <phoneticPr fontId="1"/>
  </si>
  <si>
    <t>　ＥＰＳ（Electric pipe shaft）の位置入力</t>
    <rPh sb="26" eb="28">
      <t>イチ</t>
    </rPh>
    <rPh sb="28" eb="30">
      <t>ニュウリョク</t>
    </rPh>
    <phoneticPr fontId="1"/>
  </si>
  <si>
    <r>
      <t>　受変電設備の設置場所　</t>
    </r>
    <r>
      <rPr>
        <sz val="9"/>
        <color theme="1" tint="4.9989318521683403E-2"/>
        <rFont val="HG明朝B"/>
        <family val="1"/>
        <charset val="128"/>
      </rPr>
      <t>基準設定値＝D1 屋上キュービクル</t>
    </r>
  </si>
  <si>
    <r>
      <t>　引込方式　</t>
    </r>
    <r>
      <rPr>
        <sz val="9"/>
        <color theme="1" tint="4.9989318521683403E-2"/>
        <rFont val="HG明朝B"/>
        <family val="1"/>
        <charset val="128"/>
      </rPr>
      <t>基準設定値＝架空引込</t>
    </r>
  </si>
  <si>
    <r>
      <t>　支線・支柱</t>
    </r>
    <r>
      <rPr>
        <sz val="9"/>
        <color theme="1" tint="4.9989318521683403E-2"/>
        <rFont val="HG明朝B"/>
        <family val="1"/>
        <charset val="128"/>
      </rPr>
      <t>　架線の平面角度が５度以上ある場合には、支線または支柱が必要です。</t>
    </r>
    <r>
      <rPr>
        <sz val="9"/>
        <color rgb="FF0000FF"/>
        <rFont val="HG明朝B"/>
        <family val="1"/>
        <charset val="128"/>
      </rPr>
      <t>　配電規程</t>
    </r>
  </si>
  <si>
    <r>
      <t>　ハンドホール　</t>
    </r>
    <r>
      <rPr>
        <sz val="9"/>
        <color theme="1" tint="4.9989318521683403E-2"/>
        <rFont val="HG明朝B"/>
        <family val="1"/>
        <charset val="128"/>
      </rPr>
      <t>基準設定値＝KK 900×900×1200</t>
    </r>
  </si>
  <si>
    <r>
      <t>　　　　  　　　　</t>
    </r>
    <r>
      <rPr>
        <sz val="9"/>
        <color theme="1" tint="4.9989318521683403E-2"/>
        <rFont val="HG明朝B"/>
        <family val="1"/>
        <charset val="128"/>
      </rPr>
      <t>選択変更</t>
    </r>
    <r>
      <rPr>
        <sz val="9"/>
        <color rgb="FF0000FF"/>
        <rFont val="HG明朝B"/>
        <family val="1"/>
        <charset val="128"/>
      </rPr>
      <t>：KK 600×600 ～ KK 2000×2000</t>
    </r>
    <phoneticPr fontId="1"/>
  </si>
  <si>
    <r>
      <t>　　　　　　　</t>
    </r>
    <r>
      <rPr>
        <sz val="9"/>
        <color theme="1" tint="4.9989318521683403E-2"/>
        <rFont val="HG明朝B"/>
        <family val="1"/>
        <charset val="128"/>
      </rPr>
      <t>選択変更</t>
    </r>
    <r>
      <rPr>
        <sz val="9"/>
        <color rgb="FF0000FF"/>
        <rFont val="HG明朝B"/>
        <family val="1"/>
        <charset val="128"/>
      </rPr>
      <t>：B 屋外キュービクル、 C 屋外キュービクル、 D2 屋内電気室</t>
    </r>
    <phoneticPr fontId="1"/>
  </si>
  <si>
    <r>
      <t>　　　  　　　</t>
    </r>
    <r>
      <rPr>
        <sz val="9"/>
        <color theme="1" tint="4.9989318521683403E-2"/>
        <rFont val="HG明朝B"/>
        <family val="1"/>
        <charset val="128"/>
      </rPr>
      <t>選択変更</t>
    </r>
    <r>
      <rPr>
        <sz val="9"/>
        <color rgb="FF0000FF"/>
        <rFont val="HG明朝B"/>
        <family val="1"/>
        <charset val="128"/>
      </rPr>
      <t>：地中引込</t>
    </r>
    <phoneticPr fontId="1"/>
  </si>
  <si>
    <r>
      <t>　引 込 柱　</t>
    </r>
    <r>
      <rPr>
        <sz val="9"/>
        <color theme="1" tint="4.9989318521683403E-2"/>
        <rFont val="HG明朝B"/>
        <family val="1"/>
        <charset val="128"/>
      </rPr>
      <t>基準設定値＝CP 10-19-350Kg　　　</t>
    </r>
    <r>
      <rPr>
        <sz val="9"/>
        <color rgb="FF0000FF"/>
        <rFont val="HG明朝B"/>
        <family val="1"/>
        <charset val="128"/>
      </rPr>
      <t>引込開閉器</t>
    </r>
    <r>
      <rPr>
        <sz val="9"/>
        <color theme="1" tint="4.9989318521683403E-2"/>
        <rFont val="HG明朝B"/>
        <family val="1"/>
        <charset val="128"/>
      </rPr>
      <t>　基準設定値＝PAS 7.2KV300A 重DGR・LA</t>
    </r>
    <phoneticPr fontId="1"/>
  </si>
  <si>
    <r>
      <t>　　　　　　　</t>
    </r>
    <r>
      <rPr>
        <sz val="9"/>
        <color theme="1" tint="4.9989318521683403E-2"/>
        <rFont val="HG明朝B"/>
        <family val="1"/>
        <charset val="128"/>
      </rPr>
      <t>選択変更</t>
    </r>
    <r>
      <rPr>
        <sz val="9"/>
        <color rgb="FF0000FF"/>
        <rFont val="HG明朝B"/>
        <family val="1"/>
        <charset val="128"/>
      </rPr>
      <t>：CP-10 ～ CP-17</t>
    </r>
    <r>
      <rPr>
        <sz val="9"/>
        <color theme="1" tint="4.9989318521683403E-2"/>
        <rFont val="HG明朝B"/>
        <family val="1"/>
        <charset val="128"/>
      </rPr>
      <t>　　      　　　　選択変更：</t>
    </r>
    <r>
      <rPr>
        <sz val="9"/>
        <color rgb="FF0000FF"/>
        <rFont val="HG明朝B"/>
        <family val="1"/>
        <charset val="128"/>
      </rPr>
      <t>PAS 7.2KV200A ～ 400A</t>
    </r>
    <phoneticPr fontId="1"/>
  </si>
  <si>
    <r>
      <t>　　14m柱 以下：柱長さの 1／6 以上､15m柱 以上：2.5m 以上</t>
    </r>
    <r>
      <rPr>
        <sz val="9"/>
        <color theme="1" tint="4.9989318521683403E-2"/>
        <rFont val="HG明朝B"/>
        <family val="1"/>
        <charset val="128"/>
      </rPr>
      <t xml:space="preserve">　技術基準の解釈 第60条、第61条 参照 </t>
    </r>
    <phoneticPr fontId="1"/>
  </si>
  <si>
    <r>
      <t>　　　　　　　　</t>
    </r>
    <r>
      <rPr>
        <sz val="9"/>
        <color theme="1" tint="4.9989318521683403E-2"/>
        <rFont val="HG明朝B"/>
        <family val="1"/>
        <charset val="128"/>
      </rPr>
      <t>第１種接触状態</t>
    </r>
    <r>
      <rPr>
        <sz val="9"/>
        <color rgb="FF0000FF"/>
        <rFont val="HG明朝B"/>
        <family val="1"/>
        <charset val="128"/>
      </rPr>
      <t xml:space="preserve">：人体の大部分が水中にある状態（接触電圧は </t>
    </r>
    <r>
      <rPr>
        <sz val="9"/>
        <color theme="1" tint="4.9989318521683403E-2"/>
        <rFont val="HG明朝B"/>
        <family val="1"/>
        <charset val="128"/>
      </rPr>
      <t>2.5Ｖ</t>
    </r>
    <r>
      <rPr>
        <sz val="9"/>
        <color rgb="FF0000FF"/>
        <rFont val="HG明朝B"/>
        <family val="1"/>
        <charset val="128"/>
      </rPr>
      <t xml:space="preserve"> 以下）</t>
    </r>
  </si>
  <si>
    <r>
      <t>　　　　　　　　</t>
    </r>
    <r>
      <rPr>
        <sz val="9"/>
        <color theme="1" tint="4.9989318521683403E-2"/>
        <rFont val="HG明朝B"/>
        <family val="1"/>
        <charset val="128"/>
      </rPr>
      <t>第４種接触状態</t>
    </r>
    <r>
      <rPr>
        <sz val="9"/>
        <color rgb="FF0000FF"/>
        <rFont val="HG明朝B"/>
        <family val="1"/>
        <charset val="128"/>
      </rPr>
      <t>：人が触れるおそれが無い場所（接触電圧は 制限なし）</t>
    </r>
  </si>
  <si>
    <r>
      <t>　材料単価指定 ：</t>
    </r>
    <r>
      <rPr>
        <sz val="9"/>
        <color theme="1" tint="4.9989318521683403E-2"/>
        <rFont val="HG明朝B"/>
        <family val="1"/>
        <charset val="128"/>
      </rPr>
      <t>基準設定値＝単価-１</t>
    </r>
    <r>
      <rPr>
        <sz val="9"/>
        <color rgb="FF0000FF"/>
        <rFont val="HG明朝B"/>
        <family val="1"/>
        <charset val="128"/>
      </rPr>
      <t>　（単価-２、単価-３、単価-４　選択可）</t>
    </r>
  </si>
  <si>
    <t>　Ｂ種接地工事：高圧側の一線地絡電流が２[A]の場合は 75、150、300[Ω] 以下であればよい。</t>
    <phoneticPr fontId="1"/>
  </si>
  <si>
    <t>　　　　　　　　Ｂ種接地抵抗値を必要以上に、低くすると低圧地絡事故時、低圧側の地絡電流による対地</t>
    <phoneticPr fontId="1"/>
  </si>
  <si>
    <t>　Ｄ種接地工事：D種、DE種 の接地抵抗値は、100、500[Ω] でよいが、低圧側の地絡事故時、対地電圧の</t>
    <phoneticPr fontId="1"/>
  </si>
  <si>
    <r>
      <t>　　　　　　　　上昇を抑えるために､D種接地の接地抵抗値</t>
    </r>
    <r>
      <rPr>
        <sz val="9"/>
        <color theme="1" tint="4.9989318521683403E-2"/>
        <rFont val="HG明朝B"/>
        <family val="1"/>
        <charset val="128"/>
      </rPr>
      <t>RD</t>
    </r>
    <r>
      <rPr>
        <sz val="9"/>
        <color rgb="FF0000FF"/>
        <rFont val="HG明朝B"/>
        <family val="1"/>
        <charset val="128"/>
      </rPr>
      <t>は､小さくする方(10～20[Ω])が望ましい。</t>
    </r>
    <phoneticPr fontId="1"/>
  </si>
  <si>
    <r>
      <t>　　　　　　　　地絡事故時の対地電圧＝電源電圧 × R</t>
    </r>
    <r>
      <rPr>
        <vertAlign val="subscript"/>
        <sz val="10"/>
        <color theme="1" tint="4.9989318521683403E-2"/>
        <rFont val="HG明朝B"/>
        <family val="1"/>
        <charset val="128"/>
      </rPr>
      <t>D</t>
    </r>
    <r>
      <rPr>
        <sz val="9"/>
        <color theme="1" tint="4.9989318521683403E-2"/>
        <rFont val="HG明朝B"/>
        <family val="1"/>
        <charset val="128"/>
      </rPr>
      <t>／(R</t>
    </r>
    <r>
      <rPr>
        <vertAlign val="subscript"/>
        <sz val="10"/>
        <color theme="1" tint="4.9989318521683403E-2"/>
        <rFont val="HG明朝B"/>
        <family val="1"/>
        <charset val="128"/>
      </rPr>
      <t>B</t>
    </r>
    <r>
      <rPr>
        <sz val="9"/>
        <color theme="1" tint="4.9989318521683403E-2"/>
        <rFont val="HG明朝B"/>
        <family val="1"/>
        <charset val="128"/>
      </rPr>
      <t>＋R</t>
    </r>
    <r>
      <rPr>
        <vertAlign val="subscript"/>
        <sz val="10"/>
        <color theme="1" tint="4.9989318521683403E-2"/>
        <rFont val="HG明朝B"/>
        <family val="1"/>
        <charset val="128"/>
      </rPr>
      <t>D</t>
    </r>
    <r>
      <rPr>
        <sz val="9"/>
        <color theme="1" tint="4.9989318521683403E-2"/>
        <rFont val="HG明朝B"/>
        <family val="1"/>
        <charset val="128"/>
      </rPr>
      <t>)</t>
    </r>
    <phoneticPr fontId="1"/>
  </si>
  <si>
    <r>
      <t>　　　　　　　　</t>
    </r>
    <r>
      <rPr>
        <sz val="9"/>
        <color theme="1" tint="4.9989318521683403E-2"/>
        <rFont val="HG明朝B"/>
        <family val="1"/>
        <charset val="128"/>
      </rPr>
      <t>第２種接触状態</t>
    </r>
    <r>
      <rPr>
        <sz val="9"/>
        <color rgb="FF0000FF"/>
        <rFont val="HG明朝B"/>
        <family val="1"/>
        <charset val="128"/>
      </rPr>
      <t>：人体が著しく濡れた状態（接触電圧は２５</t>
    </r>
    <r>
      <rPr>
        <sz val="9"/>
        <color theme="1" tint="4.9989318521683403E-2"/>
        <rFont val="HG明朝B"/>
        <family val="1"/>
        <charset val="128"/>
      </rPr>
      <t>Ｖ</t>
    </r>
    <r>
      <rPr>
        <sz val="9"/>
        <color rgb="FF0000FF"/>
        <rFont val="HG明朝B"/>
        <family val="1"/>
        <charset val="128"/>
      </rPr>
      <t xml:space="preserve"> 以下）</t>
    </r>
    <phoneticPr fontId="1"/>
  </si>
  <si>
    <r>
      <t>　　　　　　　　</t>
    </r>
    <r>
      <rPr>
        <sz val="9"/>
        <color theme="1" tint="4.9989318521683403E-2"/>
        <rFont val="HG明朝B"/>
        <family val="1"/>
        <charset val="128"/>
      </rPr>
      <t>第３種接触状態</t>
    </r>
    <r>
      <rPr>
        <sz val="9"/>
        <color rgb="FF0000FF"/>
        <rFont val="HG明朝B"/>
        <family val="1"/>
        <charset val="128"/>
      </rPr>
      <t>：人が触れるおそれがある電路がある環境（接触電圧は５０</t>
    </r>
    <r>
      <rPr>
        <sz val="9"/>
        <color theme="1" tint="4.9989318521683403E-2"/>
        <rFont val="HG明朝B"/>
        <family val="1"/>
        <charset val="128"/>
      </rPr>
      <t>Ｖ</t>
    </r>
    <r>
      <rPr>
        <sz val="9"/>
        <color rgb="FF0000FF"/>
        <rFont val="HG明朝B"/>
        <family val="1"/>
        <charset val="128"/>
      </rPr>
      <t xml:space="preserve"> 以下）</t>
    </r>
    <phoneticPr fontId="1"/>
  </si>
  <si>
    <r>
      <t>　機 器 類 材料：Ａ材小計金額の １１０％ を計上</t>
    </r>
    <r>
      <rPr>
        <sz val="9"/>
        <color theme="1" tint="4.9989318521683403E-2"/>
        <rFont val="HG明朝B"/>
        <family val="1"/>
        <charset val="128"/>
      </rPr>
      <t>　　　　変更修正可</t>
    </r>
    <phoneticPr fontId="1"/>
  </si>
  <si>
    <r>
      <t>　配管配線材料 ：Ｂ材小計金額の １３０％ を計上</t>
    </r>
    <r>
      <rPr>
        <sz val="9"/>
        <color theme="1" tint="4.9989318521683403E-2"/>
        <rFont val="HG明朝B"/>
        <family val="1"/>
        <charset val="128"/>
      </rPr>
      <t>　　　　変更修正可</t>
    </r>
    <phoneticPr fontId="1"/>
  </si>
  <si>
    <t>　　　　　  　　　　 　  単価-２、単価-３、単価-４：ユーザー登録必要</t>
    <rPh sb="15" eb="17">
      <t>タンカ</t>
    </rPh>
    <rPh sb="20" eb="22">
      <t>タンカ</t>
    </rPh>
    <rPh sb="25" eb="27">
      <t>タンカ</t>
    </rPh>
    <rPh sb="34" eb="36">
      <t>トウロク</t>
    </rPh>
    <rPh sb="36" eb="38">
      <t>ヒツヨウ</t>
    </rPh>
    <phoneticPr fontId="1"/>
  </si>
  <si>
    <r>
      <t>　電工歩掛指定 ：</t>
    </r>
    <r>
      <rPr>
        <sz val="9"/>
        <color theme="1" tint="4.9989318521683403E-2"/>
        <rFont val="HG明朝B"/>
        <family val="1"/>
        <charset val="128"/>
      </rPr>
      <t>基準設定値＝歩掛-１</t>
    </r>
    <r>
      <rPr>
        <sz val="9"/>
        <color rgb="FF0000FF"/>
        <rFont val="HG明朝B"/>
        <family val="1"/>
        <charset val="128"/>
      </rPr>
      <t>　（歩掛-２、歩掛-３ 選択可）</t>
    </r>
    <phoneticPr fontId="1"/>
  </si>
  <si>
    <t>　　　　　  　　 歩掛-２、歩掛-３：ユーザー登録必要</t>
    <rPh sb="24" eb="26">
      <t>トウロク</t>
    </rPh>
    <rPh sb="26" eb="28">
      <t>ヒツヨウ</t>
    </rPh>
    <phoneticPr fontId="1"/>
  </si>
  <si>
    <r>
      <t>　電 工 単 価  ：原価内訳書で設定した値を表示。</t>
    </r>
    <r>
      <rPr>
        <sz val="9"/>
        <color theme="1" tint="4.9989318521683403E-2"/>
        <rFont val="HG明朝B"/>
        <family val="1"/>
        <charset val="128"/>
      </rPr>
      <t>（この工事種目のみの変更修正可）</t>
    </r>
    <phoneticPr fontId="1"/>
  </si>
  <si>
    <t>　電　 工　 費 ：電 工 費 金額の １１５％ を計上</t>
    <rPh sb="1" eb="2">
      <t>デン</t>
    </rPh>
    <rPh sb="4" eb="5">
      <t>コウ</t>
    </rPh>
    <rPh sb="7" eb="8">
      <t>ヒ</t>
    </rPh>
    <rPh sb="10" eb="11">
      <t>デン</t>
    </rPh>
    <rPh sb="12" eb="13">
      <t>コウ</t>
    </rPh>
    <rPh sb="14" eb="15">
      <t>ヒ</t>
    </rPh>
    <rPh sb="16" eb="18">
      <t>キンガク</t>
    </rPh>
    <rPh sb="26" eb="28">
      <t>ケイジョウ</t>
    </rPh>
    <phoneticPr fontId="1"/>
  </si>
  <si>
    <r>
      <t>　受電方式・受電電圧：</t>
    </r>
    <r>
      <rPr>
        <sz val="9"/>
        <color theme="1" tint="4.9989318521683403E-2"/>
        <rFont val="HG明朝B"/>
        <family val="1"/>
        <charset val="128"/>
      </rPr>
      <t>■低圧受電</t>
    </r>
    <r>
      <rPr>
        <sz val="9"/>
        <color rgb="FF0000FF"/>
        <rFont val="HG明朝B"/>
        <family val="1"/>
        <charset val="128"/>
      </rPr>
      <t>　受電電圧 600V未満</t>
    </r>
  </si>
  <si>
    <r>
      <t>　　　　　　    　　　■高圧受電</t>
    </r>
    <r>
      <rPr>
        <sz val="9"/>
        <color rgb="FF0000FF"/>
        <rFont val="HG明朝B"/>
        <family val="1"/>
        <charset val="128"/>
      </rPr>
      <t>　受電電圧 0.6KV以上、7KV未満</t>
    </r>
    <phoneticPr fontId="1"/>
  </si>
  <si>
    <r>
      <t>　　　　  　受電方式：</t>
    </r>
    <r>
      <rPr>
        <sz val="9"/>
        <color theme="1" tint="4.9989318521683403E-2"/>
        <rFont val="HG明朝B"/>
        <family val="1"/>
        <charset val="128"/>
      </rPr>
      <t>PF-S 受電</t>
    </r>
    <r>
      <rPr>
        <sz val="9"/>
        <color rgb="FF0000FF"/>
        <rFont val="HG明朝B"/>
        <family val="1"/>
        <charset val="128"/>
      </rPr>
      <t>　契約電力300KW 未満</t>
    </r>
    <phoneticPr fontId="1"/>
  </si>
  <si>
    <t>　　　　　　　　　　　PF(Power Fuse)：短絡保護、S(Load switch）負荷開閉器</t>
    <phoneticPr fontId="1"/>
  </si>
  <si>
    <r>
      <t>　　　　　　　　　　　CB 受電</t>
    </r>
    <r>
      <rPr>
        <sz val="9"/>
        <color rgb="FF0000FF"/>
        <rFont val="HG明朝B"/>
        <family val="1"/>
        <charset val="128"/>
      </rPr>
      <t xml:space="preserve">　　契約電力300KW 以上、2,000KW 未満 </t>
    </r>
    <phoneticPr fontId="1"/>
  </si>
  <si>
    <t>　　　　　　　　　　　CB(Circuit Breaker／Switch gear) しゃ断器</t>
    <phoneticPr fontId="1"/>
  </si>
  <si>
    <r>
      <t>　　　　      　　　　■特高受電　</t>
    </r>
    <r>
      <rPr>
        <sz val="9"/>
        <color rgb="FF0000FF"/>
        <rFont val="HG明朝B"/>
        <family val="1"/>
        <charset val="128"/>
      </rPr>
      <t>受電電圧 7KV以上</t>
    </r>
    <r>
      <rPr>
        <sz val="9"/>
        <color theme="1"/>
        <rFont val="HG明朝B"/>
        <family val="1"/>
        <charset val="128"/>
      </rPr>
      <t>　</t>
    </r>
    <r>
      <rPr>
        <sz val="9"/>
        <color rgb="FF0000FF"/>
        <rFont val="HG明朝B"/>
        <family val="1"/>
        <charset val="128"/>
      </rPr>
      <t>契約電力 2000KW 以上</t>
    </r>
    <r>
      <rPr>
        <sz val="9"/>
        <color theme="1"/>
        <rFont val="HG明朝B"/>
        <family val="1"/>
        <charset val="128"/>
      </rPr>
      <t xml:space="preserve"> (積算対象外です)</t>
    </r>
    <phoneticPr fontId="1"/>
  </si>
  <si>
    <r>
      <t>　設備容量：Ｄｍ=1.00　　Ｄｍ：</t>
    </r>
    <r>
      <rPr>
        <b/>
        <sz val="9"/>
        <color rgb="FF0000FF"/>
        <rFont val="HG明朝B"/>
        <family val="1"/>
        <charset val="128"/>
      </rPr>
      <t>D</t>
    </r>
    <r>
      <rPr>
        <sz val="9"/>
        <color rgb="FF0000FF"/>
        <rFont val="HG明朝B"/>
        <family val="1"/>
        <charset val="128"/>
      </rPr>
      <t>e</t>
    </r>
    <r>
      <rPr>
        <b/>
        <sz val="9"/>
        <color rgb="FF0000FF"/>
        <rFont val="HG明朝B"/>
        <family val="1"/>
        <charset val="128"/>
      </rPr>
      <t>m</t>
    </r>
    <r>
      <rPr>
        <sz val="9"/>
        <color rgb="FF0000FF"/>
        <rFont val="HG明朝B"/>
        <family val="1"/>
        <charset val="128"/>
      </rPr>
      <t xml:space="preserve">and factor(需要率) 
 </t>
    </r>
    <phoneticPr fontId="1"/>
  </si>
  <si>
    <r>
      <t>　　　　　　無効電力：</t>
    </r>
    <r>
      <rPr>
        <sz val="9"/>
        <color rgb="FF0000FF"/>
        <rFont val="HG明朝B"/>
        <family val="1"/>
        <charset val="128"/>
      </rPr>
      <t>Ｋｖａｒ（キロバール)</t>
    </r>
    <phoneticPr fontId="1"/>
  </si>
  <si>
    <r>
      <t>　　　　　　有効電力：</t>
    </r>
    <r>
      <rPr>
        <sz val="9"/>
        <color rgb="FF0000FF"/>
        <rFont val="HG明朝B"/>
        <family val="1"/>
        <charset val="128"/>
      </rPr>
      <t>ＫＷ　　（キロワット)</t>
    </r>
    <phoneticPr fontId="1"/>
  </si>
  <si>
    <r>
      <t>　　　　　　皮相電力：</t>
    </r>
    <r>
      <rPr>
        <sz val="9"/>
        <color rgb="FF0000FF"/>
        <rFont val="HG明朝B"/>
        <family val="1"/>
        <charset val="128"/>
      </rPr>
      <t>ＫＶＡ　（ケーブイエー)　　KVA=SQRT(∑[KW]</t>
    </r>
    <r>
      <rPr>
        <vertAlign val="superscript"/>
        <sz val="10"/>
        <color rgb="FF0000FF"/>
        <rFont val="HG明朝B"/>
        <family val="1"/>
        <charset val="128"/>
      </rPr>
      <t xml:space="preserve"> </t>
    </r>
    <r>
      <rPr>
        <vertAlign val="superscript"/>
        <sz val="9"/>
        <color rgb="FF0000FF"/>
        <rFont val="HG明朝B"/>
        <family val="1"/>
        <charset val="128"/>
      </rPr>
      <t>2</t>
    </r>
    <r>
      <rPr>
        <sz val="9"/>
        <color rgb="FF0000FF"/>
        <rFont val="HG明朝B"/>
        <family val="1"/>
        <charset val="128"/>
      </rPr>
      <t>+∑[KVar]</t>
    </r>
    <r>
      <rPr>
        <vertAlign val="superscript"/>
        <sz val="10"/>
        <color rgb="FF0000FF"/>
        <rFont val="HG明朝B"/>
        <family val="1"/>
        <charset val="128"/>
      </rPr>
      <t xml:space="preserve"> </t>
    </r>
    <r>
      <rPr>
        <vertAlign val="superscript"/>
        <sz val="9"/>
        <color rgb="FF0000FF"/>
        <rFont val="HG明朝B"/>
        <family val="1"/>
        <charset val="128"/>
      </rPr>
      <t>2</t>
    </r>
    <r>
      <rPr>
        <sz val="9"/>
        <color rgb="FF0000FF"/>
        <rFont val="HG明朝B"/>
        <family val="1"/>
        <charset val="128"/>
      </rPr>
      <t xml:space="preserve"> )</t>
    </r>
    <phoneticPr fontId="1"/>
  </si>
  <si>
    <r>
      <t>　　　　  　　　　　　力率：</t>
    </r>
    <r>
      <rPr>
        <sz val="9"/>
        <color rgb="FF0000FF"/>
        <rFont val="HG明朝B"/>
        <family val="1"/>
        <charset val="128"/>
      </rPr>
      <t>cosφ＝([KW]／[KVA])</t>
    </r>
    <phoneticPr fontId="1"/>
  </si>
  <si>
    <r>
      <t>　　　　 　　　　　　</t>
    </r>
    <r>
      <rPr>
        <sz val="6"/>
        <color theme="1"/>
        <rFont val="HG明朝B"/>
        <family val="1"/>
        <charset val="128"/>
      </rPr>
      <t xml:space="preserve"> </t>
    </r>
    <r>
      <rPr>
        <sz val="9"/>
        <color theme="1"/>
        <rFont val="HG明朝B"/>
        <family val="1"/>
        <charset val="128"/>
      </rPr>
      <t>ＳＱＲＴ：</t>
    </r>
    <r>
      <rPr>
        <b/>
        <sz val="9"/>
        <color rgb="FF0000FF"/>
        <rFont val="HG明朝B"/>
        <family val="1"/>
        <charset val="128"/>
      </rPr>
      <t>Sq</t>
    </r>
    <r>
      <rPr>
        <sz val="9"/>
        <color rgb="FF0000FF"/>
        <rFont val="HG明朝B"/>
        <family val="1"/>
        <charset val="128"/>
      </rPr>
      <t xml:space="preserve">uare </t>
    </r>
    <r>
      <rPr>
        <b/>
        <sz val="9"/>
        <color rgb="FF0000FF"/>
        <rFont val="HG明朝B"/>
        <family val="1"/>
        <charset val="128"/>
      </rPr>
      <t>r</t>
    </r>
    <r>
      <rPr>
        <sz val="9"/>
        <color rgb="FF0000FF"/>
        <rFont val="HG明朝B"/>
        <family val="1"/>
        <charset val="128"/>
      </rPr>
      <t>oo</t>
    </r>
    <r>
      <rPr>
        <b/>
        <sz val="9"/>
        <color rgb="FF0000FF"/>
        <rFont val="HG明朝B"/>
        <family val="1"/>
        <charset val="128"/>
      </rPr>
      <t>t</t>
    </r>
    <r>
      <rPr>
        <sz val="9"/>
        <color rgb="FF0000FF"/>
        <rFont val="HG明朝B"/>
        <family val="1"/>
        <charset val="128"/>
      </rPr>
      <t xml:space="preserve"> (平方根)</t>
    </r>
    <phoneticPr fontId="1"/>
  </si>
  <si>
    <r>
      <t>　　　　　　需要無効電力：</t>
    </r>
    <r>
      <rPr>
        <sz val="9"/>
        <color rgb="FF0000FF"/>
        <rFont val="HG明朝B"/>
        <family val="1"/>
        <charset val="128"/>
      </rPr>
      <t>ＤｍＫｖａｒ（デマンド･キロバール)</t>
    </r>
    <phoneticPr fontId="1"/>
  </si>
  <si>
    <r>
      <t>　　　　　　需要有効電力：</t>
    </r>
    <r>
      <rPr>
        <sz val="9"/>
        <color rgb="FF0000FF"/>
        <rFont val="HG明朝B"/>
        <family val="1"/>
        <charset val="128"/>
      </rPr>
      <t>ＤｍＫＷ　　（デマンド･キロワット)</t>
    </r>
    <phoneticPr fontId="1"/>
  </si>
  <si>
    <r>
      <t>　　　　　　    　　　　　力率：</t>
    </r>
    <r>
      <rPr>
        <sz val="9"/>
        <color rgb="FF0000FF"/>
        <rFont val="HG明朝B"/>
        <family val="1"/>
        <charset val="128"/>
      </rPr>
      <t>cosφ＝([DmKW]／[DmKVA])</t>
    </r>
    <phoneticPr fontId="1"/>
  </si>
  <si>
    <r>
      <t>　　　　　　需要皮相電力：</t>
    </r>
    <r>
      <rPr>
        <sz val="9"/>
        <color rgb="FF0000FF"/>
        <rFont val="HG明朝B"/>
        <family val="1"/>
        <charset val="128"/>
      </rPr>
      <t>ＤｍＫＶＡ　（デマンド･ケーブイエー)　＝SQRT(∑[DmKW]</t>
    </r>
    <r>
      <rPr>
        <vertAlign val="superscript"/>
        <sz val="10"/>
        <color rgb="FF0000FF"/>
        <rFont val="HG明朝B"/>
        <family val="1"/>
        <charset val="128"/>
      </rPr>
      <t xml:space="preserve"> </t>
    </r>
    <r>
      <rPr>
        <vertAlign val="superscript"/>
        <sz val="9"/>
        <color rgb="FF0000FF"/>
        <rFont val="HG明朝B"/>
        <family val="1"/>
        <charset val="128"/>
      </rPr>
      <t>2</t>
    </r>
    <r>
      <rPr>
        <sz val="9"/>
        <color rgb="FF0000FF"/>
        <rFont val="HG明朝B"/>
        <family val="1"/>
        <charset val="128"/>
      </rPr>
      <t>+∑[DmKVar]</t>
    </r>
    <r>
      <rPr>
        <vertAlign val="superscript"/>
        <sz val="10"/>
        <color rgb="FF0000FF"/>
        <rFont val="HG明朝B"/>
        <family val="1"/>
        <charset val="128"/>
      </rPr>
      <t xml:space="preserve"> </t>
    </r>
    <r>
      <rPr>
        <vertAlign val="superscript"/>
        <sz val="9"/>
        <color rgb="FF0000FF"/>
        <rFont val="HG明朝B"/>
        <family val="1"/>
        <charset val="128"/>
      </rPr>
      <t>2</t>
    </r>
    <r>
      <rPr>
        <sz val="9"/>
        <color rgb="FF0000FF"/>
        <rFont val="HG明朝B"/>
        <family val="1"/>
        <charset val="128"/>
      </rPr>
      <t>)</t>
    </r>
    <phoneticPr fontId="1"/>
  </si>
  <si>
    <r>
      <t xml:space="preserve"> </t>
    </r>
    <r>
      <rPr>
        <sz val="9"/>
        <color rgb="FF800000"/>
        <rFont val="HG明朝B"/>
        <family val="1"/>
        <charset val="128"/>
      </rPr>
      <t>【確認事項】</t>
    </r>
    <r>
      <rPr>
        <sz val="9"/>
        <color rgb="FF0000FF"/>
        <rFont val="HG明朝B"/>
        <family val="1"/>
        <charset val="128"/>
      </rPr>
      <t xml:space="preserve"> 皮相電力[KVA] は、ベクトル・データ(方向性を持つ)です。我国の建築電気設計では、この</t>
    </r>
    <phoneticPr fontId="1"/>
  </si>
  <si>
    <t>　　　　　　  力率の異なる[KVA]をスカラー量として合算し､現場盤の小計容量としているため実際より、</t>
    <phoneticPr fontId="1"/>
  </si>
  <si>
    <t>　　　　　　  数％多めの誤差が生じ、各変圧器容量の決定にも信頼性に欠ける要因となっています。</t>
    <phoneticPr fontId="1"/>
  </si>
  <si>
    <r>
      <t>　　　　　　  プラント電装設計では、</t>
    </r>
    <r>
      <rPr>
        <sz val="9"/>
        <color rgb="FF0000FF"/>
        <rFont val="Times New Roman"/>
        <family val="1"/>
      </rPr>
      <t>Load List</t>
    </r>
    <r>
      <rPr>
        <sz val="9"/>
        <color rgb="FF0000FF"/>
        <rFont val="HG明朝B"/>
        <family val="1"/>
        <charset val="128"/>
      </rPr>
      <t>(電気機器負荷表) により、正しく "KVA" が処理されて</t>
    </r>
    <phoneticPr fontId="1"/>
  </si>
  <si>
    <r>
      <t>　　　　　　  います。　　</t>
    </r>
    <r>
      <rPr>
        <sz val="9"/>
        <rFont val="HG明朝B"/>
        <family val="1"/>
        <charset val="128"/>
      </rPr>
      <t>⇒</t>
    </r>
    <r>
      <rPr>
        <sz val="9"/>
        <color theme="1" tint="4.9989318521683403E-2"/>
        <rFont val="HG明朝B"/>
        <family val="1"/>
        <charset val="128"/>
      </rPr>
      <t>スカラー量：特定の座標系とは無関係な量</t>
    </r>
    <phoneticPr fontId="1"/>
  </si>
  <si>
    <r>
      <t xml:space="preserve"> </t>
    </r>
    <r>
      <rPr>
        <sz val="9"/>
        <color rgb="FF800000"/>
        <rFont val="HG明朝B"/>
        <family val="1"/>
        <charset val="128"/>
      </rPr>
      <t xml:space="preserve">【参考】 </t>
    </r>
    <r>
      <rPr>
        <sz val="9"/>
        <color rgb="FF0000FF"/>
        <rFont val="HG明朝B"/>
        <family val="1"/>
        <charset val="128"/>
      </rPr>
      <t xml:space="preserve"> Ｗ(有効電力)ｗａｔｔ：(ワット）　</t>
    </r>
    <r>
      <rPr>
        <sz val="9"/>
        <color theme="1" tint="4.9989318521683403E-2"/>
        <rFont val="HG明朝B"/>
        <family val="1"/>
        <charset val="128"/>
      </rPr>
      <t>Ｗ：仕事率=100％、電力=100％</t>
    </r>
    <phoneticPr fontId="1"/>
  </si>
  <si>
    <r>
      <t xml:space="preserve"> 　　　　  Ｗ：Ｊ／sec [m</t>
    </r>
    <r>
      <rPr>
        <vertAlign val="superscript"/>
        <sz val="9"/>
        <color rgb="FF0000FF"/>
        <rFont val="HG明朝B"/>
        <family val="1"/>
        <charset val="128"/>
      </rPr>
      <t>2</t>
    </r>
    <r>
      <rPr>
        <sz val="9"/>
        <color rgb="FF0000FF"/>
        <rFont val="HG明朝B"/>
        <family val="1"/>
        <charset val="128"/>
      </rPr>
      <t>･kg･s</t>
    </r>
    <r>
      <rPr>
        <vertAlign val="superscript"/>
        <sz val="10"/>
        <color rgb="FF0000FF"/>
        <rFont val="HG明朝B"/>
        <family val="1"/>
        <charset val="128"/>
      </rPr>
      <t>－3</t>
    </r>
    <r>
      <rPr>
        <sz val="9"/>
        <color rgb="FF0000FF"/>
        <rFont val="HG明朝B"/>
        <family val="1"/>
        <charset val="128"/>
      </rPr>
      <t>]、Ｊ(joule):Ｎ･ｍ [m</t>
    </r>
    <r>
      <rPr>
        <vertAlign val="superscript"/>
        <sz val="9"/>
        <color rgb="FF0000FF"/>
        <rFont val="HG明朝B"/>
        <family val="1"/>
        <charset val="128"/>
      </rPr>
      <t>2</t>
    </r>
    <r>
      <rPr>
        <sz val="9"/>
        <color rgb="FF0000FF"/>
        <rFont val="HG明朝B"/>
        <family val="1"/>
        <charset val="128"/>
      </rPr>
      <t>･kg･s</t>
    </r>
    <r>
      <rPr>
        <vertAlign val="superscript"/>
        <sz val="9"/>
        <color rgb="FF0000FF"/>
        <rFont val="HG明朝B"/>
        <family val="1"/>
        <charset val="128"/>
      </rPr>
      <t>－2</t>
    </r>
    <r>
      <rPr>
        <sz val="9"/>
        <color rgb="FF0000FF"/>
        <rFont val="HG明朝B"/>
        <family val="1"/>
        <charset val="128"/>
      </rPr>
      <t>]、Ｎ(newton):Ｊ／ｍ [ｍ･kg･s</t>
    </r>
    <r>
      <rPr>
        <vertAlign val="superscript"/>
        <sz val="9"/>
        <color rgb="FF0000FF"/>
        <rFont val="HG明朝B"/>
        <family val="1"/>
        <charset val="128"/>
      </rPr>
      <t>－2</t>
    </r>
    <r>
      <rPr>
        <sz val="9"/>
        <color rgb="FF0000FF"/>
        <rFont val="HG明朝B"/>
        <family val="1"/>
        <charset val="128"/>
      </rPr>
      <t>]</t>
    </r>
    <phoneticPr fontId="1"/>
  </si>
  <si>
    <r>
      <t>　 　　  　Ｋｖａｒ(無効電力)</t>
    </r>
    <r>
      <rPr>
        <sz val="9"/>
        <color theme="1" tint="4.9989318521683403E-2"/>
        <rFont val="HG明朝B"/>
        <family val="1"/>
        <charset val="128"/>
      </rPr>
      <t>　　　　　　Ｋvar：仕事率＝０％、電力＝０％</t>
    </r>
    <phoneticPr fontId="1"/>
  </si>
  <si>
    <r>
      <t>　</t>
    </r>
    <r>
      <rPr>
        <sz val="9"/>
        <color theme="1" tint="4.9989318521683403E-2"/>
        <rFont val="HG明朝B"/>
        <family val="1"/>
        <charset val="128"/>
      </rPr>
      <t>変圧器負荷率-1</t>
    </r>
    <r>
      <rPr>
        <sz val="9"/>
        <color rgb="FF0000FF"/>
        <rFont val="HG明朝B"/>
        <family val="1"/>
        <charset val="128"/>
      </rPr>
      <t>：変圧器の定格出力に対する負荷の割合を言います。 この定格出力とは、周囲温度が</t>
    </r>
  </si>
  <si>
    <r>
      <t>　　　　　　　　　</t>
    </r>
    <r>
      <rPr>
        <sz val="9"/>
        <color theme="1" tint="4.9989318521683403E-2"/>
        <rFont val="HG明朝B"/>
        <family val="1"/>
        <charset val="128"/>
      </rPr>
      <t xml:space="preserve"> [理由]</t>
    </r>
    <r>
      <rPr>
        <sz val="9"/>
        <color rgb="FF0000FF"/>
        <rFont val="HG明朝B"/>
        <family val="1"/>
        <charset val="128"/>
      </rPr>
      <t>：過度な電磁力による変圧器巻線の絶縁材に、過大の圧縮力が加わり、絶縁破壊</t>
    </r>
  </si>
  <si>
    <t>　　　　　　　　　２５[℃]のときに100％であり、周囲温度変化により定格出力は、増減します。</t>
    <phoneticPr fontId="1"/>
  </si>
  <si>
    <r>
      <t>　　　　　　　　　変圧器を効率よく運転するためには、損失のベースである鉄損 (</t>
    </r>
    <r>
      <rPr>
        <b/>
        <sz val="9"/>
        <color rgb="FF0000FF"/>
        <rFont val="Times New Roman"/>
        <family val="1"/>
      </rPr>
      <t>Iron loss</t>
    </r>
    <r>
      <rPr>
        <sz val="9"/>
        <color rgb="FF0000FF"/>
        <rFont val="HG明朝B"/>
        <family val="1"/>
        <charset val="128"/>
      </rPr>
      <t>) と負荷に応</t>
    </r>
    <phoneticPr fontId="1"/>
  </si>
  <si>
    <r>
      <t>　　　　　　　　　じた銅損 (</t>
    </r>
    <r>
      <rPr>
        <b/>
        <sz val="9"/>
        <color rgb="FF0000FF"/>
        <rFont val="Times New Roman"/>
        <family val="1"/>
      </rPr>
      <t>Copper loss</t>
    </r>
    <r>
      <rPr>
        <sz val="9"/>
        <color rgb="FF0000FF"/>
        <rFont val="HG明朝B"/>
        <family val="1"/>
        <charset val="128"/>
      </rPr>
      <t>)</t>
    </r>
    <r>
      <rPr>
        <sz val="11"/>
        <color rgb="FF0000FF"/>
        <rFont val="HG明朝B"/>
        <family val="1"/>
        <charset val="128"/>
      </rPr>
      <t xml:space="preserve"> </t>
    </r>
    <r>
      <rPr>
        <sz val="9"/>
        <color rgb="FF0000FF"/>
        <rFont val="HG明朝B"/>
        <family val="1"/>
        <charset val="128"/>
      </rPr>
      <t>を考慮し、変圧器電圧変動率を増大させないために、"負荷率"</t>
    </r>
    <phoneticPr fontId="1"/>
  </si>
  <si>
    <r>
      <t>　</t>
    </r>
    <r>
      <rPr>
        <sz val="9"/>
        <color theme="1" tint="4.9989318521683403E-2"/>
        <rFont val="HG明朝B"/>
        <family val="1"/>
        <charset val="128"/>
      </rPr>
      <t>変圧器負荷率-2</t>
    </r>
    <r>
      <rPr>
        <sz val="9"/>
        <color rgb="FF0000FF"/>
        <rFont val="HG明朝B"/>
        <family val="1"/>
        <charset val="128"/>
      </rPr>
      <t>：動力変圧器の負荷で、大型誘導電動機等の大きな始動時電流が流れる場合には、変圧器</t>
    </r>
    <phoneticPr fontId="1"/>
  </si>
  <si>
    <t>　　　　　　　　　にかかる最大電流を変圧器定格電流の１５０％ 以下になるよう考慮して下さい。</t>
    <phoneticPr fontId="1"/>
  </si>
  <si>
    <t xml:space="preserve">　　　　　　　　　１５０％を超えると、変圧器の耐用年数（油入変圧器：３０年）が低下します。 </t>
    <phoneticPr fontId="1"/>
  </si>
  <si>
    <t>　　　　　　　　    　　　 を早めるからです。</t>
    <phoneticPr fontId="1"/>
  </si>
  <si>
    <r>
      <t xml:space="preserve">　　　   　　 </t>
    </r>
    <r>
      <rPr>
        <sz val="9"/>
        <color rgb="FF800000"/>
        <rFont val="HG明朝B"/>
        <family val="1"/>
        <charset val="128"/>
      </rPr>
      <t>【確認】</t>
    </r>
    <r>
      <rPr>
        <sz val="9"/>
        <color rgb="FF0000FF"/>
        <rFont val="HG明朝B"/>
        <family val="1"/>
        <charset val="128"/>
      </rPr>
      <t xml:space="preserve"> 改善目標を何％にするかは、"SC・SR設備"の初期費用と"力率割引"による電力料金の</t>
    </r>
    <phoneticPr fontId="1"/>
  </si>
  <si>
    <r>
      <t>　</t>
    </r>
    <r>
      <rPr>
        <sz val="9"/>
        <color theme="1" tint="4.9989318521683403E-2"/>
        <rFont val="HG明朝B"/>
        <family val="1"/>
        <charset val="128"/>
      </rPr>
      <t>力率割引／割増</t>
    </r>
    <r>
      <rPr>
        <sz val="9"/>
        <color rgb="FF0000FF"/>
        <rFont val="HG明朝B"/>
        <family val="1"/>
        <charset val="128"/>
      </rPr>
      <t>：1０電力会社共通の制度で月平均力率 85％ を基準とし､１％単位で基本料金に対して割</t>
    </r>
  </si>
  <si>
    <r>
      <t>　</t>
    </r>
    <r>
      <rPr>
        <sz val="9"/>
        <color theme="1" tint="4.9989318521683403E-2"/>
        <rFont val="HG明朝B"/>
        <family val="1"/>
        <charset val="128"/>
      </rPr>
      <t>力率改善</t>
    </r>
    <r>
      <rPr>
        <sz val="9"/>
        <color rgb="FF0000FF"/>
        <rFont val="HG明朝B"/>
        <family val="1"/>
        <charset val="128"/>
      </rPr>
      <t>：各配電盤の "電流計"、"電圧計" の値は､皮相電流､皮相電圧です。皮相電力 [KVA] とは、有効</t>
    </r>
    <phoneticPr fontId="1"/>
  </si>
  <si>
    <t xml:space="preserve">　　　　　　電力[KW] と無効電力 [Kvar] の "ベクトル和" であり､この無効電力分 (一般的に遅れ力率) </t>
    <phoneticPr fontId="1"/>
  </si>
  <si>
    <t>　　　      を減少させて全体として有効電力分を多くすることが力率改善です。</t>
    <phoneticPr fontId="1"/>
  </si>
  <si>
    <t>　　  　　　負荷の無効電力を把握することで、必要な進相コンデンサ容量が決定されます。　</t>
    <phoneticPr fontId="1"/>
  </si>
  <si>
    <t>　　　　     　　　　  軽減から判断して決定して下さい。</t>
    <phoneticPr fontId="1"/>
  </si>
  <si>
    <r>
      <t>　　　　　　　　　</t>
    </r>
    <r>
      <rPr>
        <sz val="9"/>
        <color rgb="FF0000FF"/>
        <rFont val="HG明朝B"/>
        <family val="1"/>
        <charset val="128"/>
      </rPr>
      <t>画面表示</t>
    </r>
    <r>
      <rPr>
        <sz val="9"/>
        <color theme="1"/>
        <rFont val="HG明朝B"/>
        <family val="1"/>
        <charset val="128"/>
      </rPr>
      <t>：</t>
    </r>
    <r>
      <rPr>
        <sz val="9"/>
        <color rgb="FFFF0000"/>
        <rFont val="HG明朝B"/>
        <family val="1"/>
        <charset val="128"/>
      </rPr>
      <t>赤字</t>
    </r>
    <r>
      <rPr>
        <sz val="9"/>
        <color theme="1"/>
        <rFont val="HG明朝B"/>
        <family val="1"/>
        <charset val="128"/>
      </rPr>
      <t>=割引、　黒字=割増</t>
    </r>
    <phoneticPr fontId="1"/>
  </si>
  <si>
    <r>
      <t>　</t>
    </r>
    <r>
      <rPr>
        <sz val="9"/>
        <color theme="1" tint="4.9989318521683403E-2"/>
        <rFont val="HG明朝B"/>
        <family val="1"/>
        <charset val="128"/>
      </rPr>
      <t>契約電力[KW]</t>
    </r>
    <r>
      <rPr>
        <sz val="9"/>
        <color rgb="FF0000FF"/>
        <rFont val="HG明朝B"/>
        <family val="1"/>
        <charset val="128"/>
      </rPr>
      <t>：低圧受電 ≒ INT(84.6×[設備KW]／100)</t>
    </r>
  </si>
  <si>
    <r>
      <t>　ＳＣ：電力コンデンサ (</t>
    </r>
    <r>
      <rPr>
        <b/>
        <sz val="9"/>
        <color theme="1" tint="4.9989318521683403E-2"/>
        <rFont val="Times New Roman"/>
        <family val="1"/>
      </rPr>
      <t>Power Capacitor</t>
    </r>
    <r>
      <rPr>
        <sz val="9"/>
        <color theme="1" tint="4.9989318521683403E-2"/>
        <rFont val="HG明朝B"/>
        <family val="1"/>
        <charset val="128"/>
      </rPr>
      <t>) ／ ＳＲ：直列リアクトル (</t>
    </r>
    <r>
      <rPr>
        <b/>
        <sz val="9"/>
        <color theme="1" tint="4.9989318521683403E-2"/>
        <rFont val="Times New Roman"/>
        <family val="1"/>
      </rPr>
      <t>Series Reactor</t>
    </r>
    <r>
      <rPr>
        <sz val="9"/>
        <color theme="1" tint="4.9989318521683403E-2"/>
        <rFont val="HG明朝B"/>
        <family val="1"/>
        <charset val="128"/>
      </rPr>
      <t>)</t>
    </r>
    <rPh sb="4" eb="6">
      <t>デンリョク</t>
    </rPh>
    <phoneticPr fontId="1"/>
  </si>
  <si>
    <t>　　　　　　   　　  ■負荷側：個別負荷の力率を改善し、低圧幹線の線路電圧降下の"低減"と現場盤の</t>
    <phoneticPr fontId="1"/>
  </si>
  <si>
    <t>　　　　　　　　       一次電圧を"上昇"する。</t>
    <phoneticPr fontId="1"/>
  </si>
  <si>
    <r>
      <t>　</t>
    </r>
    <r>
      <rPr>
        <sz val="9"/>
        <color theme="1" tint="4.9989318521683403E-2"/>
        <rFont val="HG明朝B"/>
        <family val="1"/>
        <charset val="128"/>
      </rPr>
      <t>ＳＣ の設置目的　　</t>
    </r>
    <r>
      <rPr>
        <sz val="9"/>
        <color rgb="FF0000FF"/>
        <rFont val="HG明朝B"/>
        <family val="1"/>
        <charset val="128"/>
      </rPr>
      <t>■電源側：全負荷の力率を改善し、配電用電力変圧器を効率よく運転する。</t>
    </r>
    <phoneticPr fontId="1"/>
  </si>
  <si>
    <r>
      <t>　</t>
    </r>
    <r>
      <rPr>
        <sz val="9"/>
        <color theme="1" tint="4.9989318521683403E-2"/>
        <rFont val="HG明朝B"/>
        <family val="1"/>
        <charset val="128"/>
      </rPr>
      <t>ＳＲ の設置目的</t>
    </r>
    <r>
      <rPr>
        <sz val="9"/>
        <color rgb="FF0000FF"/>
        <rFont val="HG明朝B"/>
        <family val="1"/>
        <charset val="128"/>
      </rPr>
      <t>　　■SC運転時に発生する"高調波成分"による波形歪の低減と"SC投入電流"の抑制。</t>
    </r>
    <phoneticPr fontId="1"/>
  </si>
  <si>
    <t>　　  　　   　　　　■三相回路の "第５高調波" に対して誘導性とするために６％(4％以上)、高調波に</t>
    <phoneticPr fontId="1"/>
  </si>
  <si>
    <t>　　　　　　　      　 よるＳＣ回路の過電流抑制。高調波成分が多い場合には 13％ を設置する。</t>
    <phoneticPr fontId="1"/>
  </si>
  <si>
    <t>　　　　　　　  高圧受電 [KW]　合計変圧器容量＝ＴＲ[KVA] とすると、</t>
    <phoneticPr fontId="1"/>
  </si>
  <si>
    <t>　　　　　　　　　　　　　　　　　 TR ＜ 50 [KVA] ：0.8× TR</t>
    <phoneticPr fontId="1"/>
  </si>
  <si>
    <t>　　　　　　　　　　　　　   50 ＜ TR ＜ 100 　   ：0.7×(TR－ 50) ＋40</t>
    <phoneticPr fontId="1"/>
  </si>
  <si>
    <t>　　　　　　　　　　　　　　100 ＜ TR ＜ 300 　   ：0.6×(TR－100) ＋35 ＋40</t>
    <phoneticPr fontId="1"/>
  </si>
  <si>
    <t>　　　　　　　　　　　　　　300 ＜ TR ＜ 600  　  ：0.5×(TR－300) ＋120 ＋35 ＋40</t>
    <phoneticPr fontId="1"/>
  </si>
  <si>
    <t>　　　　　　　　　　　　　　600 ＜ TR　　　　　   ：0.4×(TR－600) ＋150 ＋120 ＋35 ＋40</t>
    <phoneticPr fontId="1"/>
  </si>
  <si>
    <t>　　高圧受電の 「想定年間電気料金」を表示していす。実際の料金とは異なる場合がありますので､参考値</t>
    <phoneticPr fontId="1"/>
  </si>
  <si>
    <t>　　この理由は、算定の根拠には不確定要素があり、想定が難しいこと及び各電力会社の複雑な料金体系が</t>
    <phoneticPr fontId="1"/>
  </si>
  <si>
    <t>　　この建物の電力使用の"不等率"＝1.5 と想定して算出しています。また働時間外の使用電力は、稼働</t>
    <phoneticPr fontId="1"/>
  </si>
  <si>
    <r>
      <t>　年間稼働日数：</t>
    </r>
    <r>
      <rPr>
        <sz val="9"/>
        <color rgb="FF0000FF"/>
        <rFont val="HG明朝B"/>
        <family val="1"/>
        <charset val="128"/>
      </rPr>
      <t>基準設定値=２５０日</t>
    </r>
    <r>
      <rPr>
        <sz val="9"/>
        <color theme="1" tint="4.9989318521683403E-2"/>
        <rFont val="HG明朝B"/>
        <family val="1"/>
        <charset val="128"/>
      </rPr>
      <t>　　1日稼働時間：</t>
    </r>
    <r>
      <rPr>
        <sz val="9"/>
        <color rgb="FF0000FF"/>
        <rFont val="HG明朝B"/>
        <family val="1"/>
        <charset val="128"/>
      </rPr>
      <t xml:space="preserve">基準設定値=８時間　 </t>
    </r>
    <r>
      <rPr>
        <sz val="9"/>
        <color theme="1" tint="4.9989318521683403E-2"/>
        <rFont val="HG明朝B"/>
        <family val="1"/>
        <charset val="128"/>
      </rPr>
      <t>変更修正可</t>
    </r>
    <phoneticPr fontId="1"/>
  </si>
  <si>
    <t>　　時の２％ をベース負荷と想定して算定しています。</t>
    <phoneticPr fontId="1"/>
  </si>
  <si>
    <r>
      <t>　　　 "不等率"：</t>
    </r>
    <r>
      <rPr>
        <sz val="9"/>
        <color rgb="FF0000FF"/>
        <rFont val="HG明朝B"/>
        <family val="1"/>
        <charset val="128"/>
      </rPr>
      <t>各負荷の最大需要電力の合計／合成最大需要電力</t>
    </r>
    <phoneticPr fontId="1"/>
  </si>
  <si>
    <r>
      <t>　　基本料金：欄外右上の各電力会社 ＵＲＬ（</t>
    </r>
    <r>
      <rPr>
        <b/>
        <sz val="9"/>
        <color rgb="FF0000FF"/>
        <rFont val="Times New Roman"/>
        <family val="1"/>
      </rPr>
      <t>Uniform Resource Locator</t>
    </r>
    <r>
      <rPr>
        <sz val="9"/>
        <color rgb="FF0000FF"/>
        <rFont val="HG明朝B"/>
        <family val="1"/>
        <charset val="128"/>
      </rPr>
      <t>）契約約款 参照。</t>
    </r>
    <rPh sb="2" eb="4">
      <t>キホン</t>
    </rPh>
    <rPh sb="4" eb="6">
      <t>リョウキン</t>
    </rPh>
    <phoneticPr fontId="1"/>
  </si>
  <si>
    <r>
      <t>　　ｃosΦ（力率計）　</t>
    </r>
    <r>
      <rPr>
        <sz val="9"/>
        <color theme="1" tint="4.9989318521683403E-2"/>
        <rFont val="HG明朝B"/>
        <family val="1"/>
        <charset val="128"/>
      </rPr>
      <t>cosΦ=</t>
    </r>
    <r>
      <rPr>
        <sz val="8"/>
        <color theme="1" tint="4.9989318521683403E-2"/>
        <rFont val="HG明朝B"/>
        <family val="1"/>
        <charset val="128"/>
      </rPr>
      <t>KW／SQRT([∑KW]</t>
    </r>
    <r>
      <rPr>
        <vertAlign val="superscript"/>
        <sz val="9"/>
        <color theme="1" tint="4.9989318521683403E-2"/>
        <rFont val="HG明朝B"/>
        <family val="1"/>
        <charset val="128"/>
      </rPr>
      <t>2</t>
    </r>
    <r>
      <rPr>
        <sz val="9"/>
        <color theme="1" tint="4.9989318521683403E-2"/>
        <rFont val="HG明朝B"/>
        <family val="1"/>
        <charset val="128"/>
      </rPr>
      <t>+</t>
    </r>
    <r>
      <rPr>
        <sz val="8"/>
        <color theme="1" tint="4.9989318521683403E-2"/>
        <rFont val="HG明朝B"/>
        <family val="1"/>
        <charset val="128"/>
      </rPr>
      <t>[∑Kvar]</t>
    </r>
    <r>
      <rPr>
        <vertAlign val="superscript"/>
        <sz val="9"/>
        <color theme="1" tint="4.9989318521683403E-2"/>
        <rFont val="HG明朝B"/>
        <family val="1"/>
        <charset val="128"/>
      </rPr>
      <t>2</t>
    </r>
    <r>
      <rPr>
        <sz val="8"/>
        <color theme="1" tint="4.9989318521683403E-2"/>
        <rFont val="HG明朝B"/>
        <family val="1"/>
        <charset val="128"/>
      </rPr>
      <t>)</t>
    </r>
    <phoneticPr fontId="1"/>
  </si>
  <si>
    <r>
      <t>　　Ｓequence No.</t>
    </r>
    <r>
      <rPr>
        <sz val="9"/>
        <color theme="1" tint="4.9989318521683403E-2"/>
        <rFont val="HG明朝B"/>
        <family val="1"/>
        <charset val="128"/>
      </rPr>
      <t>51G</t>
    </r>
    <r>
      <rPr>
        <sz val="9"/>
        <color rgb="FF0000FF"/>
        <rFont val="HG明朝B"/>
        <family val="1"/>
        <charset val="128"/>
      </rPr>
      <t xml:space="preserve"> ：低圧地絡過電流継電器</t>
    </r>
  </si>
  <si>
    <r>
      <t>　計器類・継電器類のシーケンス番号 (</t>
    </r>
    <r>
      <rPr>
        <b/>
        <sz val="9"/>
        <color theme="1" tint="4.9989318521683403E-2"/>
        <rFont val="Times New Roman"/>
        <family val="1"/>
      </rPr>
      <t>Sequence number</t>
    </r>
    <r>
      <rPr>
        <sz val="9"/>
        <color theme="1" tint="4.9989318521683403E-2"/>
        <rFont val="HG明朝B"/>
        <family val="1"/>
        <charset val="128"/>
      </rPr>
      <t xml:space="preserve">) </t>
    </r>
    <rPh sb="1" eb="3">
      <t>ケイキ</t>
    </rPh>
    <rPh sb="3" eb="4">
      <t>ルイ</t>
    </rPh>
    <rPh sb="5" eb="8">
      <t>ケイデンキ</t>
    </rPh>
    <rPh sb="8" eb="9">
      <t>ルイ</t>
    </rPh>
    <rPh sb="15" eb="17">
      <t>バンゴウ</t>
    </rPh>
    <phoneticPr fontId="1"/>
  </si>
  <si>
    <r>
      <t>　　ＰＦ(</t>
    </r>
    <r>
      <rPr>
        <b/>
        <sz val="9"/>
        <color rgb="FF0000FF"/>
        <rFont val="Times New Roman"/>
        <family val="1"/>
      </rPr>
      <t>Power Fuse</t>
    </r>
    <r>
      <rPr>
        <sz val="9"/>
        <color rgb="FF0000FF"/>
        <rFont val="HG明朝B"/>
        <family val="1"/>
        <charset val="128"/>
      </rPr>
      <t>)：電力ヒューズ　　ＶＭＣ（</t>
    </r>
    <r>
      <rPr>
        <b/>
        <sz val="9"/>
        <color rgb="FF0000FF"/>
        <rFont val="Times New Roman"/>
        <family val="1"/>
      </rPr>
      <t>Vacuum electro Magnetic Contactor</t>
    </r>
    <r>
      <rPr>
        <sz val="9"/>
        <color rgb="FF0000FF"/>
        <rFont val="HG明朝B"/>
        <family val="1"/>
        <charset val="128"/>
      </rPr>
      <t>)：真空電磁接触器</t>
    </r>
    <phoneticPr fontId="1"/>
  </si>
  <si>
    <r>
      <t>　　ＣＴ(</t>
    </r>
    <r>
      <rPr>
        <b/>
        <sz val="9"/>
        <color rgb="FF0000FF"/>
        <rFont val="Times New Roman"/>
        <family val="1"/>
      </rPr>
      <t>Current Tansformer</t>
    </r>
    <r>
      <rPr>
        <sz val="9"/>
        <color rgb="FF0000FF"/>
        <rFont val="HG明朝B"/>
        <family val="1"/>
        <charset val="128"/>
      </rPr>
      <t>)  ：計器用変流器：nnnnA／5A</t>
    </r>
    <phoneticPr fontId="1"/>
  </si>
  <si>
    <r>
      <t>　　ＶＴ(</t>
    </r>
    <r>
      <rPr>
        <b/>
        <sz val="9"/>
        <color rgb="FF0000FF"/>
        <rFont val="Times New Roman"/>
        <family val="1"/>
      </rPr>
      <t>Voltage Tansformer</t>
    </r>
    <r>
      <rPr>
        <sz val="9"/>
        <color rgb="FF0000FF"/>
        <rFont val="HG明朝B"/>
        <family val="1"/>
        <charset val="128"/>
      </rPr>
      <t>)  ：計器用変圧器：6600V／110V</t>
    </r>
    <phoneticPr fontId="1"/>
  </si>
  <si>
    <r>
      <t>　　ＶＴ-T (</t>
    </r>
    <r>
      <rPr>
        <b/>
        <sz val="9"/>
        <color rgb="FF0000FF"/>
        <rFont val="Times New Roman"/>
        <family val="1"/>
      </rPr>
      <t>VT-Test Terminal</t>
    </r>
    <r>
      <rPr>
        <sz val="9"/>
        <color rgb="FF0000FF"/>
        <rFont val="HG明朝B"/>
        <family val="1"/>
        <charset val="128"/>
      </rPr>
      <t>)</t>
    </r>
    <r>
      <rPr>
        <sz val="8"/>
        <color rgb="FF0000FF"/>
        <rFont val="HG明朝B"/>
        <family val="1"/>
        <charset val="128"/>
      </rPr>
      <t xml:space="preserve"> </t>
    </r>
    <r>
      <rPr>
        <sz val="9"/>
        <color rgb="FF0000FF"/>
        <rFont val="HG明朝B"/>
        <family val="1"/>
        <charset val="128"/>
      </rPr>
      <t>：VT用試験端子　　　ＣＴ-T (</t>
    </r>
    <r>
      <rPr>
        <b/>
        <sz val="9"/>
        <color rgb="FF0000FF"/>
        <rFont val="Times New Roman"/>
        <family val="1"/>
      </rPr>
      <t>CT-Test Terminal</t>
    </r>
    <r>
      <rPr>
        <sz val="9"/>
        <color rgb="FF0000FF"/>
        <rFont val="HG明朝B"/>
        <family val="1"/>
        <charset val="128"/>
      </rPr>
      <t>)：CT用試験端子</t>
    </r>
    <phoneticPr fontId="1"/>
  </si>
  <si>
    <r>
      <t>　　Ⓥ：Ｖ (</t>
    </r>
    <r>
      <rPr>
        <b/>
        <sz val="9"/>
        <color rgb="FF0000FF"/>
        <rFont val="Times New Roman"/>
        <family val="1"/>
      </rPr>
      <t>Voltmeter</t>
    </r>
    <r>
      <rPr>
        <sz val="9"/>
        <color rgb="FF0000FF"/>
        <rFont val="HG明朝B"/>
        <family val="1"/>
        <charset val="128"/>
      </rPr>
      <t>) 電圧計　　Ⓐ：Ａ (</t>
    </r>
    <r>
      <rPr>
        <b/>
        <sz val="9"/>
        <color rgb="FF0000FF"/>
        <rFont val="Times New Roman"/>
        <family val="1"/>
      </rPr>
      <t>Anmeter</t>
    </r>
    <r>
      <rPr>
        <sz val="9"/>
        <color rgb="FF0000FF"/>
        <rFont val="HG明朝B"/>
        <family val="1"/>
        <charset val="128"/>
      </rPr>
      <t>) 電流計</t>
    </r>
    <rPh sb="18" eb="21">
      <t>デンアツケイ</t>
    </rPh>
    <rPh sb="37" eb="40">
      <t>デンリュウケイ</t>
    </rPh>
    <phoneticPr fontId="1"/>
  </si>
  <si>
    <r>
      <t>　　ＷＭ(</t>
    </r>
    <r>
      <rPr>
        <b/>
        <sz val="9"/>
        <color rgb="FF0000FF"/>
        <rFont val="Times New Roman"/>
        <family val="1"/>
      </rPr>
      <t>Watt Meter</t>
    </r>
    <r>
      <rPr>
        <sz val="9"/>
        <color rgb="FF0000FF"/>
        <rFont val="HG明朝B"/>
        <family val="1"/>
        <charset val="128"/>
      </rPr>
      <t>)：電力計　　ＷＨＭ(</t>
    </r>
    <r>
      <rPr>
        <b/>
        <sz val="9"/>
        <color rgb="FF0000FF"/>
        <rFont val="Times New Roman"/>
        <family val="1"/>
      </rPr>
      <t>Watt Hour Meter</t>
    </r>
    <r>
      <rPr>
        <sz val="9"/>
        <color rgb="FF0000FF"/>
        <rFont val="HG明朝B"/>
        <family val="1"/>
        <charset val="128"/>
      </rPr>
      <t>)：電力量計</t>
    </r>
    <phoneticPr fontId="1"/>
  </si>
  <si>
    <r>
      <t>　　ＶarHW(</t>
    </r>
    <r>
      <rPr>
        <b/>
        <sz val="9"/>
        <color rgb="FF0000FF"/>
        <rFont val="Times New Roman"/>
        <family val="1"/>
      </rPr>
      <t>Var Hour Meter</t>
    </r>
    <r>
      <rPr>
        <sz val="9"/>
        <color rgb="FF0000FF"/>
        <rFont val="HG明朝B"/>
        <family val="1"/>
        <charset val="128"/>
      </rPr>
      <t>)：無効電力量計　　　Ｈz (</t>
    </r>
    <r>
      <rPr>
        <b/>
        <sz val="9"/>
        <color rgb="FF0000FF"/>
        <rFont val="Times New Roman"/>
        <family val="1"/>
      </rPr>
      <t>Hertz</t>
    </r>
    <r>
      <rPr>
        <sz val="9"/>
        <color rgb="FF0000FF"/>
        <rFont val="HG明朝B"/>
        <family val="1"/>
        <charset val="128"/>
      </rPr>
      <t>)：周波数計</t>
    </r>
    <phoneticPr fontId="1"/>
  </si>
  <si>
    <r>
      <t>　　ＶＣＴ (</t>
    </r>
    <r>
      <rPr>
        <b/>
        <sz val="9"/>
        <color rgb="FF0000FF"/>
        <rFont val="Times New Roman"/>
        <family val="1"/>
      </rPr>
      <t>Voltage &amp; Current Transformer</t>
    </r>
    <r>
      <rPr>
        <sz val="9"/>
        <color rgb="FF0000FF"/>
        <rFont val="HG明朝B"/>
        <family val="1"/>
        <charset val="128"/>
      </rPr>
      <t>)　計器用変成器 (電力会社施工取付)</t>
    </r>
    <phoneticPr fontId="1"/>
  </si>
  <si>
    <r>
      <t>　　ＺＣＴ (</t>
    </r>
    <r>
      <rPr>
        <b/>
        <sz val="9"/>
        <color rgb="FF0000FF"/>
        <rFont val="Times New Roman"/>
        <family val="1"/>
      </rPr>
      <t>Zero phase CT</t>
    </r>
    <r>
      <rPr>
        <sz val="9"/>
        <color rgb="FF0000FF"/>
        <rFont val="HG明朝B"/>
        <family val="1"/>
        <charset val="128"/>
      </rPr>
      <t>)　零相変流器　　　ＺＣＴ-T (</t>
    </r>
    <r>
      <rPr>
        <b/>
        <sz val="9"/>
        <color rgb="FF0000FF"/>
        <rFont val="Times New Roman"/>
        <family val="1"/>
      </rPr>
      <t>ZCT-Test Terminal</t>
    </r>
    <r>
      <rPr>
        <sz val="9"/>
        <color rgb="FF0000FF"/>
        <rFont val="HG明朝B"/>
        <family val="1"/>
        <charset val="128"/>
      </rPr>
      <t>)：ZCT用試験端子</t>
    </r>
    <phoneticPr fontId="1"/>
  </si>
  <si>
    <r>
      <t>　　Ｓequence No.</t>
    </r>
    <r>
      <rPr>
        <sz val="9"/>
        <color theme="1" tint="4.9989318521683403E-2"/>
        <rFont val="HG明朝B"/>
        <family val="1"/>
        <charset val="128"/>
      </rPr>
      <t>51</t>
    </r>
    <r>
      <rPr>
        <sz val="9"/>
        <color rgb="FF0000FF"/>
        <rFont val="HG明朝B"/>
        <family val="1"/>
        <charset val="128"/>
      </rPr>
      <t>　：交流過電流継電器　　　Ｓequence No.</t>
    </r>
    <r>
      <rPr>
        <sz val="9"/>
        <color theme="1" tint="4.9989318521683403E-2"/>
        <rFont val="HG明朝B"/>
        <family val="1"/>
        <charset val="128"/>
      </rPr>
      <t>55</t>
    </r>
    <r>
      <rPr>
        <sz val="9"/>
        <color rgb="FF0000FF"/>
        <rFont val="HG明朝B"/>
        <family val="1"/>
        <charset val="128"/>
      </rPr>
      <t>：自動力率調整継電器</t>
    </r>
    <phoneticPr fontId="1"/>
  </si>
  <si>
    <r>
      <t>　　Ｓequence No.</t>
    </r>
    <r>
      <rPr>
        <sz val="9"/>
        <color theme="1" tint="4.9989318521683403E-2"/>
        <rFont val="HG明朝B"/>
        <family val="1"/>
        <charset val="128"/>
      </rPr>
      <t>27</t>
    </r>
    <r>
      <rPr>
        <sz val="9"/>
        <color rgb="FF0000FF"/>
        <rFont val="HG明朝B"/>
        <family val="1"/>
        <charset val="128"/>
      </rPr>
      <t>　：交流不足電圧継電器　　Ｓequence No.</t>
    </r>
    <r>
      <rPr>
        <sz val="9"/>
        <color theme="1" tint="4.9989318521683403E-2"/>
        <rFont val="HG明朝B"/>
        <family val="1"/>
        <charset val="128"/>
      </rPr>
      <t>59</t>
    </r>
    <r>
      <rPr>
        <sz val="9"/>
        <color rgb="FF0000FF"/>
        <rFont val="HG明朝B"/>
        <family val="1"/>
        <charset val="128"/>
      </rPr>
      <t>：交流過電圧継電器</t>
    </r>
    <phoneticPr fontId="1"/>
  </si>
  <si>
    <r>
      <t>　　Ｓequence No.</t>
    </r>
    <r>
      <rPr>
        <sz val="9"/>
        <color theme="1" tint="4.9989318521683403E-2"/>
        <rFont val="HG明朝B"/>
        <family val="1"/>
        <charset val="128"/>
      </rPr>
      <t>51G</t>
    </r>
    <r>
      <rPr>
        <sz val="9"/>
        <color rgb="FF0000FF"/>
        <rFont val="HG明朝B"/>
        <family val="1"/>
        <charset val="128"/>
      </rPr>
      <t xml:space="preserve"> ：地絡継電器　　　　　　</t>
    </r>
    <r>
      <rPr>
        <sz val="9"/>
        <color rgb="FF0000FF"/>
        <rFont val="HG明朝B"/>
        <family val="1"/>
        <charset val="128"/>
      </rPr>
      <t>Ｓequence No.</t>
    </r>
    <r>
      <rPr>
        <sz val="9"/>
        <color theme="1" tint="4.9989318521683403E-2"/>
        <rFont val="HG明朝B"/>
        <family val="1"/>
        <charset val="128"/>
      </rPr>
      <t>67G</t>
    </r>
    <r>
      <rPr>
        <sz val="9"/>
        <color rgb="FF0000FF"/>
        <rFont val="HG明朝B"/>
        <family val="1"/>
        <charset val="128"/>
      </rPr>
      <t>：地絡方向継電器</t>
    </r>
    <phoneticPr fontId="1"/>
  </si>
  <si>
    <r>
      <t>　　Ｓequence No.</t>
    </r>
    <r>
      <rPr>
        <sz val="9"/>
        <color theme="1" tint="4.9989318521683403E-2"/>
        <rFont val="HG明朝B"/>
        <family val="1"/>
        <charset val="128"/>
      </rPr>
      <t>26</t>
    </r>
    <r>
      <rPr>
        <sz val="9"/>
        <color rgb="FF0000FF"/>
        <rFont val="HG明朝B"/>
        <family val="1"/>
        <charset val="128"/>
      </rPr>
      <t>　：静止温度継電器　　　  Ｓequence No.</t>
    </r>
    <r>
      <rPr>
        <sz val="9"/>
        <color theme="1" tint="4.9989318521683403E-2"/>
        <rFont val="HG明朝B"/>
        <family val="1"/>
        <charset val="128"/>
      </rPr>
      <t>49</t>
    </r>
    <r>
      <rPr>
        <sz val="9"/>
        <color rgb="FF0000FF"/>
        <rFont val="HG明朝B"/>
        <family val="1"/>
        <charset val="128"/>
      </rPr>
      <t>：過負荷継電器 (</t>
    </r>
    <r>
      <rPr>
        <b/>
        <sz val="9"/>
        <color rgb="FF0000FF"/>
        <rFont val="Times New Roman"/>
        <family val="1"/>
      </rPr>
      <t>Thermal relay</t>
    </r>
    <r>
      <rPr>
        <sz val="9"/>
        <color rgb="FF0000FF"/>
        <rFont val="HG明朝B"/>
        <family val="1"/>
        <charset val="128"/>
      </rPr>
      <t>)</t>
    </r>
    <phoneticPr fontId="1"/>
  </si>
  <si>
    <r>
      <t>　</t>
    </r>
    <r>
      <rPr>
        <sz val="9"/>
        <color theme="1" tint="4.9989318521683403E-2"/>
        <rFont val="HG明朝B"/>
        <family val="1"/>
        <charset val="128"/>
      </rPr>
      <t>フレーム・パイプ材料</t>
    </r>
    <r>
      <rPr>
        <sz val="9"/>
        <color rgb="FF0000FF"/>
        <rFont val="HG明朝B"/>
        <family val="1"/>
        <charset val="128"/>
      </rPr>
      <t>：フレーム・パイプ､組立付属品､高低圧配線､制御配線材料､高低圧碍子等を含む。</t>
    </r>
    <phoneticPr fontId="1"/>
  </si>
  <si>
    <r>
      <t>　材料単価指定　 ：</t>
    </r>
    <r>
      <rPr>
        <sz val="9"/>
        <color theme="1" tint="4.9989318521683403E-2"/>
        <rFont val="HG明朝B"/>
        <family val="1"/>
        <charset val="128"/>
      </rPr>
      <t>基準設定値＝単価-１</t>
    </r>
    <r>
      <rPr>
        <sz val="9"/>
        <color rgb="FF0000FF"/>
        <rFont val="HG明朝B"/>
        <family val="1"/>
        <charset val="128"/>
      </rPr>
      <t>　（単価-２、単価-３、単価-４ 選択可）</t>
    </r>
    <phoneticPr fontId="1"/>
  </si>
  <si>
    <t>　　　　　   　　  単価-２、単価-３、単価-４：ユーザー登録必要</t>
    <rPh sb="12" eb="14">
      <t>タンカ</t>
    </rPh>
    <rPh sb="31" eb="33">
      <t>トウロク</t>
    </rPh>
    <rPh sb="33" eb="35">
      <t>ヒツヨウ</t>
    </rPh>
    <phoneticPr fontId="1"/>
  </si>
  <si>
    <r>
      <t>　電工歩掛指定 　：</t>
    </r>
    <r>
      <rPr>
        <sz val="9"/>
        <color theme="1" tint="4.9989318521683403E-2"/>
        <rFont val="HG明朝B"/>
        <family val="1"/>
        <charset val="128"/>
      </rPr>
      <t>基準設定値＝歩掛-１</t>
    </r>
    <r>
      <rPr>
        <sz val="9"/>
        <color rgb="FF0000FF"/>
        <rFont val="HG明朝B"/>
        <family val="1"/>
        <charset val="128"/>
      </rPr>
      <t>　（歩掛-２、歩掛-３ 選択可）</t>
    </r>
    <phoneticPr fontId="1"/>
  </si>
  <si>
    <r>
      <t>　電 工 単 価　  ：原価内訳書で設定した値を表示。</t>
    </r>
    <r>
      <rPr>
        <sz val="9"/>
        <color theme="1" tint="4.9989318521683403E-2"/>
        <rFont val="HG明朝B"/>
        <family val="1"/>
        <charset val="128"/>
      </rPr>
      <t>（この工事種目のみの変更修正可）</t>
    </r>
    <phoneticPr fontId="1"/>
  </si>
  <si>
    <r>
      <t>　機 器 類 材料  ：Ａ材小計金額の１１０％ を計上</t>
    </r>
    <r>
      <rPr>
        <sz val="9"/>
        <color theme="1" tint="4.9989318521683403E-2"/>
        <rFont val="HG明朝B"/>
        <family val="1"/>
        <charset val="128"/>
      </rPr>
      <t>　　　　　　　　　　　　　　変更修正可</t>
    </r>
    <phoneticPr fontId="1"/>
  </si>
  <si>
    <r>
      <t>　監視警報制御盤 ：</t>
    </r>
    <r>
      <rPr>
        <sz val="9"/>
        <color theme="1" tint="4.9989318521683403E-2"/>
        <rFont val="HG明朝B"/>
        <family val="1"/>
        <charset val="128"/>
      </rPr>
      <t>基準設定値＝2,000,000 (円)</t>
    </r>
    <r>
      <rPr>
        <sz val="9"/>
        <color rgb="FF0000FF"/>
        <rFont val="HG明朝B"/>
        <family val="1"/>
        <charset val="128"/>
      </rPr>
      <t>　契約電力５００[KW] 以上</t>
    </r>
    <r>
      <rPr>
        <sz val="9"/>
        <color theme="1" tint="4.9989318521683403E-2"/>
        <rFont val="HG明朝B"/>
        <family val="1"/>
        <charset val="128"/>
      </rPr>
      <t>　　　変更修正可</t>
    </r>
    <phoneticPr fontId="1"/>
  </si>
  <si>
    <t>　電　 工　 費   ：電 工 費 金額の１１５％ を計上</t>
    <rPh sb="1" eb="2">
      <t>デン</t>
    </rPh>
    <rPh sb="4" eb="5">
      <t>コウ</t>
    </rPh>
    <rPh sb="7" eb="8">
      <t>ヒ</t>
    </rPh>
    <rPh sb="12" eb="13">
      <t>デン</t>
    </rPh>
    <rPh sb="14" eb="15">
      <t>コウ</t>
    </rPh>
    <rPh sb="16" eb="17">
      <t>ヒ</t>
    </rPh>
    <rPh sb="18" eb="20">
      <t>キンガク</t>
    </rPh>
    <rPh sb="27" eb="29">
      <t>ケイジョウ</t>
    </rPh>
    <phoneticPr fontId="1"/>
  </si>
  <si>
    <r>
      <t xml:space="preserve">　エンジンの種類　 </t>
    </r>
    <r>
      <rPr>
        <sz val="9"/>
        <color theme="1" tint="4.9989318521683403E-2"/>
        <rFont val="HG明朝B"/>
        <family val="1"/>
        <charset val="128"/>
      </rPr>
      <t>基準設定値：ディーゼル・エンジン</t>
    </r>
    <r>
      <rPr>
        <sz val="9"/>
        <color rgb="FF0000FF"/>
        <rFont val="HG明朝B"/>
        <family val="1"/>
        <charset val="128"/>
      </rPr>
      <t>　選択変更：ガスタービン・エンジン</t>
    </r>
    <phoneticPr fontId="1"/>
  </si>
  <si>
    <r>
      <t xml:space="preserve">　発電機の型式　　 </t>
    </r>
    <r>
      <rPr>
        <sz val="9"/>
        <color theme="1" tint="4.9989318521683403E-2"/>
        <rFont val="HG明朝B"/>
        <family val="1"/>
        <charset val="128"/>
      </rPr>
      <t>基準設定値：屋外用　　</t>
    </r>
    <r>
      <rPr>
        <sz val="9"/>
        <color rgb="FF0000FF"/>
        <rFont val="HG明朝B"/>
        <family val="1"/>
        <charset val="128"/>
      </rPr>
      <t>　　　　　　選択変更：屋内用</t>
    </r>
    <phoneticPr fontId="1"/>
  </si>
  <si>
    <r>
      <t>　発電機の用途　 　</t>
    </r>
    <r>
      <rPr>
        <sz val="9"/>
        <color theme="1" tint="4.9989318521683403E-2"/>
        <rFont val="HG明朝B"/>
        <family val="1"/>
        <charset val="128"/>
      </rPr>
      <t>基準設定値：非常用　　</t>
    </r>
    <r>
      <rPr>
        <sz val="9"/>
        <color rgb="FF0000FF"/>
        <rFont val="HG明朝B"/>
        <family val="1"/>
        <charset val="128"/>
      </rPr>
      <t>　　　　　　選択変更：常用</t>
    </r>
    <phoneticPr fontId="1"/>
  </si>
  <si>
    <r>
      <t>　発電機の極数　 　</t>
    </r>
    <r>
      <rPr>
        <sz val="9"/>
        <color theme="1" tint="4.9989318521683403E-2"/>
        <rFont val="HG明朝B"/>
        <family val="1"/>
        <charset val="128"/>
      </rPr>
      <t>基準設定値：４極　　　</t>
    </r>
    <r>
      <rPr>
        <sz val="9"/>
        <color rgb="FF0000FF"/>
        <rFont val="HG明朝B"/>
        <family val="1"/>
        <charset val="128"/>
      </rPr>
      <t>　　　　　　選択変更：2、6、8、10、12、16、24 極</t>
    </r>
    <phoneticPr fontId="1"/>
  </si>
  <si>
    <r>
      <t>　　　　    　　　</t>
    </r>
    <r>
      <rPr>
        <b/>
        <sz val="9"/>
        <color rgb="FF0000FF"/>
        <rFont val="Times New Roman"/>
        <family val="1"/>
      </rPr>
      <t>Gas turbine engine</t>
    </r>
    <r>
      <rPr>
        <b/>
        <sz val="9"/>
        <color rgb="FF0000FF"/>
        <rFont val="HG明朝B"/>
        <family val="1"/>
        <charset val="128"/>
      </rPr>
      <t xml:space="preserve">　 </t>
    </r>
    <r>
      <rPr>
        <sz val="9"/>
        <color rgb="FF0000FF"/>
        <rFont val="HG明朝B"/>
        <family val="1"/>
        <charset val="128"/>
      </rPr>
      <t>：ガスタービン・エンジン</t>
    </r>
    <phoneticPr fontId="1"/>
  </si>
  <si>
    <r>
      <t>　エンジンの種類：</t>
    </r>
    <r>
      <rPr>
        <b/>
        <sz val="9"/>
        <color rgb="FF0000FF"/>
        <rFont val="Times New Roman"/>
        <family val="1"/>
      </rPr>
      <t>Diesel engine</t>
    </r>
    <r>
      <rPr>
        <b/>
        <sz val="9"/>
        <color rgb="FF0000FF"/>
        <rFont val="HG明朝B"/>
        <family val="1"/>
        <charset val="128"/>
      </rPr>
      <t xml:space="preserve">　　　 </t>
    </r>
    <r>
      <rPr>
        <sz val="9"/>
        <color rgb="FF0000FF"/>
        <rFont val="HG明朝B"/>
        <family val="1"/>
        <charset val="128"/>
      </rPr>
      <t>：ディーゼル・エンジン</t>
    </r>
    <rPh sb="6" eb="8">
      <t>シュルイ</t>
    </rPh>
    <phoneticPr fontId="1"/>
  </si>
  <si>
    <r>
      <t>　　　　    　　　</t>
    </r>
    <r>
      <rPr>
        <b/>
        <sz val="9"/>
        <color rgb="FF0000FF"/>
        <rFont val="Times New Roman"/>
        <family val="1"/>
      </rPr>
      <t xml:space="preserve">Steam turbine engines </t>
    </r>
    <r>
      <rPr>
        <sz val="9"/>
        <color rgb="FF0000FF"/>
        <rFont val="HG明朝B"/>
        <family val="1"/>
        <charset val="128"/>
      </rPr>
      <t>：蒸気タービン・エンジン</t>
    </r>
    <phoneticPr fontId="1"/>
  </si>
  <si>
    <r>
      <t>　　　 　　　　　　(注) 蒸気タービン・エンジン (</t>
    </r>
    <r>
      <rPr>
        <b/>
        <sz val="9"/>
        <color theme="1" tint="4.9989318521683403E-2"/>
        <rFont val="Times New Roman"/>
        <family val="1"/>
      </rPr>
      <t xml:space="preserve">Rankine cycle </t>
    </r>
    <r>
      <rPr>
        <b/>
        <sz val="9"/>
        <color theme="1" tint="4.9989318521683403E-2"/>
        <rFont val="HG明朝B"/>
        <family val="1"/>
        <charset val="128"/>
      </rPr>
      <t>／</t>
    </r>
    <r>
      <rPr>
        <b/>
        <sz val="9"/>
        <color theme="1" tint="4.9989318521683403E-2"/>
        <rFont val="Times New Roman"/>
        <family val="1"/>
      </rPr>
      <t xml:space="preserve"> Combined Cycle</t>
    </r>
    <r>
      <rPr>
        <sz val="9"/>
        <color theme="1" tint="4.9989318521683403E-2"/>
        <rFont val="HG明朝B"/>
        <family val="1"/>
        <charset val="128"/>
      </rPr>
      <t>) は、積算対象外。</t>
    </r>
    <phoneticPr fontId="1"/>
  </si>
  <si>
    <r>
      <t>　発電機の極数・同期回転数 ：</t>
    </r>
    <r>
      <rPr>
        <sz val="9"/>
        <rFont val="HG明朝B"/>
        <family val="1"/>
        <charset val="128"/>
      </rPr>
      <t>Ｎ</t>
    </r>
    <r>
      <rPr>
        <sz val="9"/>
        <color theme="1" tint="4.9989318521683403E-2"/>
        <rFont val="HG明朝B"/>
        <family val="1"/>
        <charset val="128"/>
      </rPr>
      <t>・Ｐ=120・ｆ</t>
    </r>
    <phoneticPr fontId="1"/>
  </si>
  <si>
    <r>
      <t xml:space="preserve">　　　　　　　　　　　　　　　  </t>
    </r>
    <r>
      <rPr>
        <b/>
        <sz val="9"/>
        <color theme="1" tint="4.9989318521683403E-2"/>
        <rFont val="HG明朝B"/>
        <family val="1"/>
        <charset val="128"/>
      </rPr>
      <t>Ｎ</t>
    </r>
    <r>
      <rPr>
        <sz val="9"/>
        <color rgb="FF0000FF"/>
        <rFont val="HG明朝B"/>
        <family val="1"/>
        <charset val="128"/>
      </rPr>
      <t>(</t>
    </r>
    <r>
      <rPr>
        <b/>
        <sz val="9"/>
        <color rgb="FF0000FF"/>
        <rFont val="Times New Roman"/>
        <family val="1"/>
      </rPr>
      <t>Synchronous speed</t>
    </r>
    <r>
      <rPr>
        <sz val="9"/>
        <color rgb="FF0000FF"/>
        <rFont val="HG明朝B"/>
        <family val="1"/>
        <charset val="128"/>
      </rPr>
      <t>)：同期回転数 [</t>
    </r>
    <r>
      <rPr>
        <b/>
        <sz val="9"/>
        <color rgb="FF0000FF"/>
        <rFont val="Times New Roman"/>
        <family val="1"/>
      </rPr>
      <t>rpm</t>
    </r>
    <r>
      <rPr>
        <sz val="9"/>
        <color rgb="FF0000FF"/>
        <rFont val="HG明朝B"/>
        <family val="1"/>
        <charset val="128"/>
      </rPr>
      <t>]</t>
    </r>
    <phoneticPr fontId="1"/>
  </si>
  <si>
    <r>
      <t xml:space="preserve">　　　　　　　　　　　　　　　  </t>
    </r>
    <r>
      <rPr>
        <b/>
        <sz val="9"/>
        <color theme="1" tint="4.9989318521683403E-2"/>
        <rFont val="HG明朝B"/>
        <family val="1"/>
        <charset val="128"/>
      </rPr>
      <t>Ｐ</t>
    </r>
    <r>
      <rPr>
        <sz val="9"/>
        <color rgb="FF0000FF"/>
        <rFont val="HG明朝B"/>
        <family val="1"/>
        <charset val="128"/>
      </rPr>
      <t>(</t>
    </r>
    <r>
      <rPr>
        <b/>
        <sz val="9"/>
        <color rgb="FF0000FF"/>
        <rFont val="Times New Roman"/>
        <family val="1"/>
      </rPr>
      <t>Pole</t>
    </r>
    <r>
      <rPr>
        <sz val="9"/>
        <color rgb="FF0000FF"/>
        <rFont val="HG明朝B"/>
        <family val="1"/>
        <charset val="128"/>
      </rPr>
      <t>)：発電機の極数</t>
    </r>
    <phoneticPr fontId="1"/>
  </si>
  <si>
    <r>
      <t xml:space="preserve">　　　　　　　　　　　　　　　  </t>
    </r>
    <r>
      <rPr>
        <b/>
        <sz val="9"/>
        <color theme="1" tint="4.9989318521683403E-2"/>
        <rFont val="HG明朝B"/>
        <family val="1"/>
        <charset val="128"/>
      </rPr>
      <t>ｆ</t>
    </r>
    <r>
      <rPr>
        <sz val="9"/>
        <color rgb="FF0000FF"/>
        <rFont val="HG明朝B"/>
        <family val="1"/>
        <charset val="128"/>
      </rPr>
      <t>(</t>
    </r>
    <r>
      <rPr>
        <b/>
        <sz val="9"/>
        <color rgb="FF0000FF"/>
        <rFont val="Times New Roman"/>
        <family val="1"/>
      </rPr>
      <t>Frequency</t>
    </r>
    <r>
      <rPr>
        <sz val="9"/>
        <color rgb="FF0000FF"/>
        <rFont val="HG明朝B"/>
        <family val="1"/>
        <charset val="128"/>
      </rPr>
      <t>)：周波数[</t>
    </r>
    <r>
      <rPr>
        <b/>
        <sz val="9"/>
        <color rgb="FF0000FF"/>
        <rFont val="Times New Roman"/>
        <family val="1"/>
      </rPr>
      <t>Hz</t>
    </r>
    <r>
      <rPr>
        <sz val="9"/>
        <color rgb="FF0000FF"/>
        <rFont val="HG明朝B"/>
        <family val="1"/>
        <charset val="128"/>
      </rPr>
      <t>]</t>
    </r>
    <phoneticPr fontId="1"/>
  </si>
  <si>
    <r>
      <t>　　　ディーゼル発電機　 　50Hz／60Hz　　750／900～1000／1200[rpm]：</t>
    </r>
    <r>
      <rPr>
        <sz val="9"/>
        <color theme="1" tint="4.9989318521683403E-2"/>
        <rFont val="HGS明朝B"/>
        <family val="1"/>
        <charset val="128"/>
      </rPr>
      <t>0.35～0.30</t>
    </r>
    <phoneticPr fontId="1"/>
  </si>
  <si>
    <t>　　　Ｌ-S：Line starting (直入れ:ジカイレ) 全電圧始動</t>
    <phoneticPr fontId="1"/>
  </si>
  <si>
    <r>
      <t>　　　リアクトル    ：</t>
    </r>
    <r>
      <rPr>
        <b/>
        <sz val="9"/>
        <color rgb="FF0000FF"/>
        <rFont val="Times New Roman"/>
        <family val="1"/>
      </rPr>
      <t>Reactor starting</t>
    </r>
    <r>
      <rPr>
        <sz val="9"/>
        <color rgb="FF0000FF"/>
        <rFont val="HGS明朝B"/>
        <family val="1"/>
        <charset val="128"/>
      </rPr>
      <t xml:space="preserve">     (50,60,80％)</t>
    </r>
    <phoneticPr fontId="1"/>
  </si>
  <si>
    <r>
      <t>　　　インバータ    ：</t>
    </r>
    <r>
      <rPr>
        <b/>
        <sz val="9"/>
        <color rgb="FF0000FF"/>
        <rFont val="Times New Roman"/>
        <family val="1"/>
      </rPr>
      <t>Inverter starting</t>
    </r>
    <phoneticPr fontId="1"/>
  </si>
  <si>
    <r>
      <t>　　　コンドルファ</t>
    </r>
    <r>
      <rPr>
        <sz val="7"/>
        <color rgb="FF0000FF"/>
        <rFont val="HGS明朝B"/>
        <family val="1"/>
        <charset val="128"/>
      </rPr>
      <t xml:space="preserve"> </t>
    </r>
    <r>
      <rPr>
        <sz val="9"/>
        <color rgb="FF0000FF"/>
        <rFont val="HGS明朝B"/>
        <family val="1"/>
        <charset val="128"/>
      </rPr>
      <t>：</t>
    </r>
    <r>
      <rPr>
        <b/>
        <sz val="9"/>
        <color rgb="FF0000FF"/>
        <rFont val="Times New Roman"/>
        <family val="1"/>
      </rPr>
      <t>Kondorfer starting</t>
    </r>
    <r>
      <rPr>
        <sz val="9"/>
        <color rgb="FF0000FF"/>
        <rFont val="HGS明朝B"/>
        <family val="1"/>
        <charset val="128"/>
      </rPr>
      <t xml:space="preserve">  (50,65,80％)</t>
    </r>
    <phoneticPr fontId="1"/>
  </si>
  <si>
    <r>
      <t>　　　Ｙ-Δ：</t>
    </r>
    <r>
      <rPr>
        <b/>
        <sz val="9"/>
        <color rgb="FF0000FF"/>
        <rFont val="Times New Roman"/>
        <family val="1"/>
      </rPr>
      <t>Open Star-delta starting</t>
    </r>
    <r>
      <rPr>
        <sz val="9"/>
        <color rgb="FF0000FF"/>
        <rFont val="HGS明朝B"/>
        <family val="1"/>
        <charset val="128"/>
      </rPr>
      <t xml:space="preserve">　   Ｙ-Δ 切替時、電路が開放される。　 </t>
    </r>
    <r>
      <rPr>
        <sz val="6"/>
        <color rgb="FF0000FF"/>
        <rFont val="HGS明朝B"/>
        <family val="1"/>
        <charset val="128"/>
      </rPr>
      <t xml:space="preserve"> </t>
    </r>
    <r>
      <rPr>
        <sz val="9"/>
        <color theme="1" tint="4.9989318521683403E-2"/>
        <rFont val="HGS明朝B"/>
        <family val="1"/>
        <charset val="128"/>
      </rPr>
      <t>QVA=(L-S)×2/3</t>
    </r>
    <phoneticPr fontId="1"/>
  </si>
  <si>
    <r>
      <t>　　　Ｙ-Δ：</t>
    </r>
    <r>
      <rPr>
        <b/>
        <sz val="9"/>
        <color rgb="FF0000FF"/>
        <rFont val="Times New Roman"/>
        <family val="1"/>
      </rPr>
      <t>Closed Star-delta starting</t>
    </r>
    <r>
      <rPr>
        <sz val="9"/>
        <color rgb="FF0000FF"/>
        <rFont val="HGS明朝B"/>
        <family val="1"/>
        <charset val="128"/>
      </rPr>
      <t xml:space="preserve">　 Ｙ-Δ 切替時、電路が開放されない。 </t>
    </r>
    <r>
      <rPr>
        <sz val="6"/>
        <color rgb="FF0000FF"/>
        <rFont val="HGS明朝B"/>
        <family val="1"/>
        <charset val="128"/>
      </rPr>
      <t xml:space="preserve"> </t>
    </r>
    <r>
      <rPr>
        <sz val="9"/>
        <color theme="1" tint="4.9989318521683403E-2"/>
        <rFont val="HGS明朝B"/>
        <family val="1"/>
        <charset val="128"/>
      </rPr>
      <t>QVA=(L-S)×1/3</t>
    </r>
    <phoneticPr fontId="1"/>
  </si>
  <si>
    <r>
      <t>　　　　　　　　　　　　　　　　　　　　  　　　　   1500／1800[rpm]：</t>
    </r>
    <r>
      <rPr>
        <sz val="9"/>
        <color theme="1" tint="4.9989318521683403E-2"/>
        <rFont val="HGS明朝B"/>
        <family val="1"/>
        <charset val="128"/>
      </rPr>
      <t>0.25</t>
    </r>
    <phoneticPr fontId="1"/>
  </si>
  <si>
    <r>
      <t>　　　　　　　　　　　　　　　　　　　　  　　　　   3000／3600[rpm]：</t>
    </r>
    <r>
      <rPr>
        <sz val="9"/>
        <color theme="1" tint="4.9989318521683403E-2"/>
        <rFont val="HGS明朝B"/>
        <family val="1"/>
        <charset val="128"/>
      </rPr>
      <t>0.20</t>
    </r>
    <phoneticPr fontId="1"/>
  </si>
  <si>
    <r>
      <t>　　　ガスタービン発電機 　50Hz／60Hz　　　　　　17000～18000[rpm]：</t>
    </r>
    <r>
      <rPr>
        <sz val="9"/>
        <color theme="1" tint="4.9989318521683403E-2"/>
        <rFont val="HGS明朝B"/>
        <family val="1"/>
        <charset val="128"/>
      </rPr>
      <t>0.12～0.15</t>
    </r>
    <phoneticPr fontId="1"/>
  </si>
  <si>
    <t>　　　　軽　　　油　　：34.1[MJ／L]</t>
    <phoneticPr fontId="1"/>
  </si>
  <si>
    <t>　　　　天 然 ガ ス　　：40.9[MJ／Ｎm3]</t>
    <phoneticPr fontId="1"/>
  </si>
  <si>
    <r>
      <t>　　　　都市ガス-13A</t>
    </r>
    <r>
      <rPr>
        <sz val="7"/>
        <color rgb="FF0000FF"/>
        <rFont val="HGS明朝B"/>
        <family val="1"/>
        <charset val="128"/>
      </rPr>
      <t>　</t>
    </r>
    <r>
      <rPr>
        <sz val="9"/>
        <color rgb="FF0000FF"/>
        <rFont val="HGS明朝B"/>
        <family val="1"/>
        <charset val="128"/>
      </rPr>
      <t>：41.1[MJ／Ｎm3]</t>
    </r>
    <phoneticPr fontId="1"/>
  </si>
  <si>
    <r>
      <t>　　　ＭＪ（メガ・ジュール）／L　　　　　　</t>
    </r>
    <r>
      <rPr>
        <sz val="9"/>
        <color theme="1" tint="4.9989318521683403E-2"/>
        <rFont val="HGS明朝B"/>
        <family val="1"/>
        <charset val="128"/>
      </rPr>
      <t>ディーゼル軽油・Ａ重油・軽油</t>
    </r>
    <phoneticPr fontId="1"/>
  </si>
  <si>
    <r>
      <t xml:space="preserve">　　　ＭＪ／Ｎm3（ノルマル立方メートル）　 </t>
    </r>
    <r>
      <rPr>
        <sz val="9"/>
        <color theme="1" tint="4.9989318521683403E-2"/>
        <rFont val="HGS明朝B"/>
        <family val="1"/>
        <charset val="128"/>
      </rPr>
      <t>天然ガス・都市ガス-13A</t>
    </r>
    <phoneticPr fontId="1"/>
  </si>
  <si>
    <r>
      <t>　用語：ＯＳＴ(</t>
    </r>
    <r>
      <rPr>
        <b/>
        <sz val="9"/>
        <color rgb="FF0000FF"/>
        <rFont val="Times New Roman"/>
        <family val="1"/>
      </rPr>
      <t>Oil service tank</t>
    </r>
    <r>
      <rPr>
        <sz val="9"/>
        <color rgb="FF0000FF"/>
        <rFont val="HGS明朝B"/>
        <family val="1"/>
        <charset val="128"/>
      </rPr>
      <t>)　　地下ＯＴ(</t>
    </r>
    <r>
      <rPr>
        <b/>
        <sz val="9"/>
        <color rgb="FF0000FF"/>
        <rFont val="Times New Roman"/>
        <family val="1"/>
      </rPr>
      <t>Underground oil tank</t>
    </r>
    <r>
      <rPr>
        <sz val="9"/>
        <color rgb="FF0000FF"/>
        <rFont val="HGS明朝B"/>
        <family val="1"/>
        <charset val="128"/>
      </rPr>
      <t>)　　ＯＧＰ(</t>
    </r>
    <r>
      <rPr>
        <b/>
        <sz val="9"/>
        <color rgb="FF0000FF"/>
        <rFont val="Times New Roman"/>
        <family val="1"/>
      </rPr>
      <t>Gear oil pump</t>
    </r>
    <r>
      <rPr>
        <sz val="9"/>
        <color rgb="FF0000FF"/>
        <rFont val="HGS明朝B"/>
        <family val="1"/>
        <charset val="128"/>
      </rPr>
      <t>)</t>
    </r>
    <rPh sb="1" eb="3">
      <t>ヨウゴ</t>
    </rPh>
    <phoneticPr fontId="1"/>
  </si>
  <si>
    <t>　発電機KVA単価　　：1,000円／KVA　　　　　　　エンジンKVA単価：1,000円／KVA</t>
    <phoneticPr fontId="1"/>
  </si>
  <si>
    <r>
      <t>　配管工事施工方法　基準設定値：</t>
    </r>
    <r>
      <rPr>
        <sz val="9"/>
        <color rgb="FF0000FF"/>
        <rFont val="HG明朝B"/>
        <family val="1"/>
        <charset val="128"/>
      </rPr>
      <t>ケーブルラック工事(1段)</t>
    </r>
  </si>
  <si>
    <r>
      <t>　配線工事施工方法　基準設定値：</t>
    </r>
    <r>
      <rPr>
        <sz val="9"/>
        <color rgb="FF0000FF"/>
        <rFont val="HG明朝B"/>
        <family val="1"/>
        <charset val="128"/>
      </rPr>
      <t>ケーブル配線工事</t>
    </r>
  </si>
  <si>
    <r>
      <t>　　　　　　    　　</t>
    </r>
    <r>
      <rPr>
        <sz val="9"/>
        <color theme="1" tint="4.9989318521683403E-2"/>
        <rFont val="HG明朝B"/>
        <family val="1"/>
        <charset val="128"/>
      </rPr>
      <t>選択変更　</t>
    </r>
    <r>
      <rPr>
        <sz val="9"/>
        <color rgb="FF0000FF"/>
        <rFont val="HG明朝B"/>
        <family val="1"/>
        <charset val="128"/>
      </rPr>
      <t>：ケーブルラック工事(2段)、配管工事</t>
    </r>
    <phoneticPr fontId="1"/>
  </si>
  <si>
    <r>
      <t>　　　　　　　　　　</t>
    </r>
    <r>
      <rPr>
        <sz val="9"/>
        <color theme="1" tint="4.9989318521683403E-2"/>
        <rFont val="HG明朝B"/>
        <family val="1"/>
        <charset val="128"/>
      </rPr>
      <t>選択変更　</t>
    </r>
    <r>
      <rPr>
        <sz val="9"/>
        <color rgb="FF0000FF"/>
        <rFont val="HG明朝B"/>
        <family val="1"/>
        <charset val="128"/>
      </rPr>
      <t>：管内入線工事</t>
    </r>
    <phoneticPr fontId="1"/>
  </si>
  <si>
    <r>
      <t>　ＥＰＳ (</t>
    </r>
    <r>
      <rPr>
        <b/>
        <sz val="9"/>
        <color theme="1" tint="4.9989318521683403E-2"/>
        <rFont val="Times New Roman"/>
        <family val="1"/>
      </rPr>
      <t>Electric pipe shaft</t>
    </r>
    <r>
      <rPr>
        <sz val="9"/>
        <color theme="1" tint="4.9989318521683403E-2"/>
        <rFont val="HG明朝B"/>
        <family val="1"/>
        <charset val="128"/>
      </rPr>
      <t>)　　：</t>
    </r>
    <r>
      <rPr>
        <sz val="9"/>
        <color rgb="FF0000FF"/>
        <rFont val="HG明朝B"/>
        <family val="1"/>
        <charset val="128"/>
      </rPr>
      <t>各階同一平面位置に配置されていること。</t>
    </r>
    <phoneticPr fontId="1"/>
  </si>
  <si>
    <r>
      <t xml:space="preserve"> 【確認】 </t>
    </r>
    <r>
      <rPr>
        <sz val="9"/>
        <color rgb="FF0000FF"/>
        <rFont val="HG明朝B"/>
        <family val="1"/>
        <charset val="128"/>
      </rPr>
      <t>配線材料規格欄に "</t>
    </r>
    <r>
      <rPr>
        <sz val="9"/>
        <color theme="1" tint="4.9989318521683403E-2"/>
        <rFont val="HG明朝B"/>
        <family val="1"/>
        <charset val="128"/>
      </rPr>
      <t>工事確認</t>
    </r>
    <r>
      <rPr>
        <sz val="9"/>
        <color rgb="FF0000FF"/>
        <rFont val="HG明朝B"/>
        <family val="1"/>
        <charset val="128"/>
      </rPr>
      <t>" が表示されら、"配線工事"、"配管工事"、"保護管の種類"等を</t>
    </r>
    <phoneticPr fontId="1"/>
  </si>
  <si>
    <t>　　ケーブル基底温度(又は周囲温度)とは、ケーブルの連続許容電流を絶縁材料で定まる導体最高許容温度</t>
    <phoneticPr fontId="1"/>
  </si>
  <si>
    <r>
      <t>　　参考(導体最高許容温度) ビニール (Vinyl)：IV･VV･SV･CVV：</t>
    </r>
    <r>
      <rPr>
        <b/>
        <sz val="9"/>
        <color theme="1" tint="4.9989318521683403E-2"/>
        <rFont val="HG明朝B"/>
        <family val="1"/>
        <charset val="128"/>
      </rPr>
      <t>60</t>
    </r>
    <r>
      <rPr>
        <sz val="9"/>
        <color rgb="FF0000FF"/>
        <rFont val="HG明朝B"/>
        <family val="1"/>
        <charset val="128"/>
      </rPr>
      <t>[℃]､ポリエチレン(Polyethylene)：</t>
    </r>
    <phoneticPr fontId="1"/>
  </si>
  <si>
    <r>
      <t>　　IE･CV･CE･CEE：</t>
    </r>
    <r>
      <rPr>
        <b/>
        <sz val="9"/>
        <rFont val="HG明朝B"/>
        <family val="1"/>
        <charset val="128"/>
      </rPr>
      <t>90</t>
    </r>
    <r>
      <rPr>
        <sz val="9"/>
        <color rgb="FF0000FF"/>
        <rFont val="HG明朝B"/>
        <family val="1"/>
        <charset val="128"/>
      </rPr>
      <t>[℃] ビニール系ケーブル類は、直射日光が当たる場所等では使用しないほうが、</t>
    </r>
    <phoneticPr fontId="1"/>
  </si>
  <si>
    <t xml:space="preserve">　　望ましい。ケーブル連続許容電流値[Ａ]は、このシート右上の"ケーブル許容電流"より シート"Ｓ6" </t>
    <phoneticPr fontId="1"/>
  </si>
  <si>
    <t>　　を参照して、確認して下さい。</t>
    <rPh sb="3" eb="5">
      <t>サンショウ</t>
    </rPh>
    <phoneticPr fontId="1"/>
  </si>
  <si>
    <t>　　ケーブル基底温度は、４０／５０[℃] の２種類から選択できます。</t>
    <phoneticPr fontId="1"/>
  </si>
  <si>
    <t>　　温度が常時 ４０[℃]を超える場所 (直射日光が当たる屋外、発熱体等のある室内、密閉され換気のな</t>
    <phoneticPr fontId="1"/>
  </si>
  <si>
    <t>　　いＥＰＳ等 [ただし、地域性は考慮して下さい]) では ５０[℃] を選択して下さい。</t>
    <phoneticPr fontId="1"/>
  </si>
  <si>
    <t>　　また ５０[℃] を超える場合には、シート "Ｓ6" (右上 "ケーブル許容電流" ) で、任意の基底温度を</t>
    <phoneticPr fontId="1"/>
  </si>
  <si>
    <t>　　入力すれば 連続許容電流値が求められます。</t>
    <phoneticPr fontId="1"/>
  </si>
  <si>
    <t>　　　　　接地極は、共用しないこと。ただし、２Ω以下の低抵抗の接地極を使用する場合は、この限り</t>
    <phoneticPr fontId="1"/>
  </si>
  <si>
    <t>　　　　　漏電遮断器で保護されている電路と保護されていない電路に施設される機器などの接地線及び</t>
    <phoneticPr fontId="1"/>
  </si>
  <si>
    <t>　　　械器具の損傷、感電または火災の予防の目的で設置するが、漏電警報器では感電事故を完全に防止で</t>
    <phoneticPr fontId="1"/>
  </si>
  <si>
    <t>　　　きないことから、漏電遮断器の設置主目的は、感電防止にある。内線規程の接地線及び接地極の共用</t>
    <rPh sb="46" eb="48">
      <t>キョウヨウ</t>
    </rPh>
    <phoneticPr fontId="1"/>
  </si>
  <si>
    <t>　　　の制限とは、漏電遮断器で保護されていない回路の地絡電流による接地線にかかる上昇電位が、漏電</t>
    <rPh sb="47" eb="48">
      <t>デン</t>
    </rPh>
    <phoneticPr fontId="1"/>
  </si>
  <si>
    <t>　　　遮断回路の機器フレームに印加されることを防止するためにあります。</t>
    <phoneticPr fontId="1"/>
  </si>
  <si>
    <t>　　　[電灯 一般回路]　  Ｉg1＝105／(16＋1.7)≒ 5.93 [A]　　　Ｅg1＝Ｉg1×1.7≒10.08 [V]</t>
    <phoneticPr fontId="1"/>
  </si>
  <si>
    <t>　　　[電灯 ELCB回路]　  Ｉg2＝105／(16＋8.5)≒ 4.29 [A]　　　Ｅg2＝Ｉg2×8.5≒36.43 [V]</t>
    <phoneticPr fontId="1"/>
  </si>
  <si>
    <t>　　　[動力 一般回路]  　Ｉg3＝220／(16＋1.7)≒12.43 [A]　  　Ｅg3＝Ｉg3×1.7≒21.13 [V]</t>
    <phoneticPr fontId="1"/>
  </si>
  <si>
    <t>　　　[動力 ELCB回路]　  Ｉg4＝220／(16＋8.5)≒ 8.98 [A]　　　Ｅg4＝Ｉg4×8.5≒76.33 [V]</t>
    <phoneticPr fontId="1"/>
  </si>
  <si>
    <t>　　　となり、専用接地線を施設しない場合（ＥA･D＝8.5[Ω]のみと仮定）、一般回路の地絡事故時、</t>
    <phoneticPr fontId="1"/>
  </si>
  <si>
    <t>　　　Ｅg2、Ｅg4 の電位が共用接地線より。 漏電遮断器回路の機器フレームに印加されるが漏電遮断</t>
    <rPh sb="47" eb="49">
      <t>シャダン</t>
    </rPh>
    <phoneticPr fontId="1"/>
  </si>
  <si>
    <t>　　　器は作動しない。感電事故防止の観点から、危険とされる24～30[V] を上回る電位が印加される</t>
    <phoneticPr fontId="1"/>
  </si>
  <si>
    <t>　　　可能性があるので、漏電遮断器専用接地線が必要になります。</t>
    <phoneticPr fontId="1"/>
  </si>
  <si>
    <t>　　　上記は、ある工場でＥA、ＥB、ＥDの各接地極があり、ＥDELB専用接地極がなかったのでＥA を</t>
    <phoneticPr fontId="1"/>
  </si>
  <si>
    <t>　　　旧電技解釈条項 19 条(省令第 10 条､11 条)で、Ｄ種接地工事の接地抵抗値は､「100Ω (低圧電路に</t>
    <phoneticPr fontId="1"/>
  </si>
  <si>
    <t>　　　おいて、当該電路に地絡を生じた場合に0.5秒以内に自動的に電路を遮断する装置を 施設するとき</t>
    <phoneticPr fontId="1"/>
  </si>
  <si>
    <t>　　　は、500Ω)」となっているが、特に 400V 回路においては､対地上昇電位を考慮すると同時にＢ種接</t>
    <phoneticPr fontId="1"/>
  </si>
  <si>
    <t>　　　地の接地抵抗値をできるだけ大きくして (抵抗接地等)Ｄ種接地の接地抵抗値を決めるべきでる。</t>
    <phoneticPr fontId="1"/>
  </si>
  <si>
    <r>
      <t>　　　　</t>
    </r>
    <r>
      <rPr>
        <sz val="9"/>
        <color theme="1" tint="4.9989318521683403E-2"/>
        <rFont val="HG明朝B"/>
        <family val="1"/>
        <charset val="128"/>
      </rPr>
      <t>√Ｔ･Ｉ＝165</t>
    </r>
    <r>
      <rPr>
        <sz val="9"/>
        <color rgb="FF0000FF"/>
        <rFont val="HG明朝B"/>
        <family val="1"/>
        <charset val="128"/>
      </rPr>
      <t xml:space="preserve"> 　　　　　Ｔ：通電時間[sec]（適用範囲：0.01秒 ～ 5.0秒）</t>
    </r>
  </si>
  <si>
    <t>　　　1965年に米国カリフォルニァ大学のダルジール(Dalziel)教授が、人の致死電流（心室細動を起こす</t>
    <phoneticPr fontId="1"/>
  </si>
  <si>
    <t>　　　最小電流)の安全限界に関する、通電時間と通電電流の関係式を世界に発表した。</t>
    <phoneticPr fontId="1"/>
  </si>
  <si>
    <r>
      <t>　　　るため、</t>
    </r>
    <r>
      <rPr>
        <b/>
        <sz val="9"/>
        <color theme="1" tint="4.9989318521683403E-2"/>
        <rFont val="HG明朝B"/>
        <family val="1"/>
        <charset val="128"/>
      </rPr>
      <t>165</t>
    </r>
    <r>
      <rPr>
        <sz val="9"/>
        <color rgb="FF0000FF"/>
        <rFont val="HG明朝B"/>
        <family val="1"/>
        <charset val="128"/>
      </rPr>
      <t xml:space="preserve"> を </t>
    </r>
    <r>
      <rPr>
        <b/>
        <sz val="9"/>
        <color theme="1" tint="4.9989318521683403E-2"/>
        <rFont val="HG明朝B"/>
        <family val="1"/>
        <charset val="128"/>
      </rPr>
      <t>116</t>
    </r>
    <r>
      <rPr>
        <sz val="9"/>
        <color rgb="FF0000FF"/>
        <rFont val="HG明朝B"/>
        <family val="1"/>
        <charset val="128"/>
      </rPr>
      <t xml:space="preserve"> に</t>
    </r>
    <phoneticPr fontId="1"/>
  </si>
  <si>
    <r>
      <t xml:space="preserve">　　　ル値 </t>
    </r>
    <r>
      <rPr>
        <b/>
        <sz val="9"/>
        <color theme="1" tint="4.9989318521683403E-2"/>
        <rFont val="HG明朝B"/>
        <family val="1"/>
        <charset val="128"/>
      </rPr>
      <t>116</t>
    </r>
    <r>
      <rPr>
        <sz val="9"/>
        <color rgb="FF0000FF"/>
        <rFont val="HG明朝B"/>
        <family val="1"/>
        <charset val="128"/>
      </rPr>
      <t xml:space="preserve"> が現在、人の</t>
    </r>
    <phoneticPr fontId="1"/>
  </si>
  <si>
    <r>
      <t>　　　この</t>
    </r>
    <r>
      <rPr>
        <sz val="10"/>
        <color rgb="FF0000FF"/>
        <rFont val="HG明朝B"/>
        <family val="1"/>
        <charset val="128"/>
      </rPr>
      <t xml:space="preserve"> </t>
    </r>
    <r>
      <rPr>
        <b/>
        <sz val="9"/>
        <color theme="1" tint="4.9989318521683403E-2"/>
        <rFont val="HG明朝B"/>
        <family val="1"/>
        <charset val="128"/>
      </rPr>
      <t>116</t>
    </r>
    <r>
      <rPr>
        <sz val="11"/>
        <color rgb="FF0000FF"/>
        <rFont val="HG明朝B"/>
        <family val="1"/>
        <charset val="128"/>
      </rPr>
      <t xml:space="preserve"> </t>
    </r>
    <r>
      <rPr>
        <sz val="9"/>
        <color rgb="FF0000FF"/>
        <rFont val="HG明朝B"/>
        <family val="1"/>
        <charset val="128"/>
      </rPr>
      <t>が電流動作型</t>
    </r>
    <phoneticPr fontId="1"/>
  </si>
  <si>
    <r>
      <t>　　　1. 分岐回路用</t>
    </r>
    <r>
      <rPr>
        <sz val="9"/>
        <color rgb="FF0000FF"/>
        <rFont val="HG明朝B"/>
        <family val="1"/>
        <charset val="128"/>
      </rPr>
      <t xml:space="preserve"> (定格感度電流：15[mA],30[mA]、動作時間：0.1[sec] )</t>
    </r>
  </si>
  <si>
    <r>
      <t xml:space="preserve">　　　　 </t>
    </r>
    <r>
      <rPr>
        <sz val="9"/>
        <color theme="1" tint="4.9989318521683403E-2"/>
        <rFont val="HG明朝B"/>
        <family val="1"/>
        <charset val="128"/>
      </rPr>
      <t>分岐回路の安全性</t>
    </r>
    <r>
      <rPr>
        <sz val="9"/>
        <color rgb="FF0000FF"/>
        <rFont val="HG明朝B"/>
        <family val="1"/>
        <charset val="128"/>
      </rPr>
      <t>：ダルジール値は、</t>
    </r>
    <r>
      <rPr>
        <sz val="9"/>
        <color theme="1" tint="4.9989318521683403E-2"/>
        <rFont val="HG明朝B"/>
        <family val="1"/>
        <charset val="128"/>
      </rPr>
      <t>116</t>
    </r>
    <r>
      <rPr>
        <sz val="9"/>
        <color rgb="FF0000FF"/>
        <rFont val="HG明朝B"/>
        <family val="1"/>
        <charset val="128"/>
      </rPr>
      <t xml:space="preserve"> を大きく下回っているが、後述､6(2)可隋電流の平均</t>
    </r>
  </si>
  <si>
    <r>
      <t xml:space="preserve">　　　2. 主幹回路用 </t>
    </r>
    <r>
      <rPr>
        <sz val="9"/>
        <color rgb="FF0000FF"/>
        <rFont val="HG明朝B"/>
        <family val="1"/>
        <charset val="128"/>
      </rPr>
      <t>(定格感度電流：100，200，500[mA]、動作時間：0.1，0.3，0.8，1.6[sec])</t>
    </r>
  </si>
  <si>
    <r>
      <t>　　　　　 √Ｔ･Ｉ＝√0.3･(100/2)＝27.4　　√0.3･(200/2)＝ 54.8　　√0.3･(500/2)＝</t>
    </r>
    <r>
      <rPr>
        <sz val="9"/>
        <color rgb="FFFF0000"/>
        <rFont val="HG明朝B"/>
        <family val="1"/>
        <charset val="128"/>
      </rPr>
      <t>136.9</t>
    </r>
  </si>
  <si>
    <r>
      <t>　　　　　 √Ｔ･Ｉ＝√0.8･(100/2)＝44.7　　√0.8･(200/2)＝ 89.4　　√0.8･(500/2)＝</t>
    </r>
    <r>
      <rPr>
        <sz val="9"/>
        <color rgb="FFFF0000"/>
        <rFont val="HG明朝B"/>
        <family val="1"/>
        <charset val="128"/>
      </rPr>
      <t>223.6</t>
    </r>
  </si>
  <si>
    <r>
      <t>　　　　　 √Ｔ･Ｉ＝√1.6･(100/2)＝63.2　　√1.6･(200/2)＝</t>
    </r>
    <r>
      <rPr>
        <sz val="9"/>
        <color rgb="FFFF0000"/>
        <rFont val="HG明朝B"/>
        <family val="1"/>
        <charset val="128"/>
      </rPr>
      <t>126.5</t>
    </r>
    <r>
      <rPr>
        <sz val="9"/>
        <color rgb="FF0000FF"/>
        <rFont val="HG明朝B"/>
        <family val="1"/>
        <charset val="128"/>
      </rPr>
      <t>　　√1.6･(500/2)＝</t>
    </r>
    <r>
      <rPr>
        <sz val="9"/>
        <color rgb="FFFF0000"/>
        <rFont val="HG明朝B"/>
        <family val="1"/>
        <charset val="128"/>
      </rPr>
      <t>316.2</t>
    </r>
  </si>
  <si>
    <t>　　　　 ある。ＥＵ では、定格感度電流が可隋電流 10 [mA] の 1/2 である 5[mA]を採用している国も</t>
    <phoneticPr fontId="1"/>
  </si>
  <si>
    <t>　　　　 あり、わが国でも、定格感度電流 15 [mA] (実質 7.5 [mA]) を採用すべきであろう。</t>
    <phoneticPr fontId="1"/>
  </si>
  <si>
    <t>　　　　 設定で重大人身事故が発生した場合、施設所有者が刑事責任を問われる可能性は否定できないであ</t>
    <phoneticPr fontId="1"/>
  </si>
  <si>
    <r>
      <t xml:space="preserve">　　　　 </t>
    </r>
    <r>
      <rPr>
        <sz val="9"/>
        <color theme="1" tint="4.9989318521683403E-2"/>
        <rFont val="HG明朝B"/>
        <family val="1"/>
        <charset val="128"/>
      </rPr>
      <t>主幹回路の安全性</t>
    </r>
    <r>
      <rPr>
        <sz val="9"/>
        <color rgb="FF0000FF"/>
        <rFont val="HG明朝B"/>
        <family val="1"/>
        <charset val="128"/>
      </rPr>
      <t>：主幹回路における感電事故は、皆無ではなく､ダルジール値が</t>
    </r>
    <r>
      <rPr>
        <sz val="8"/>
        <color rgb="FF0000FF"/>
        <rFont val="HG明朝B"/>
        <family val="1"/>
        <charset val="128"/>
      </rPr>
      <t xml:space="preserve"> </t>
    </r>
    <r>
      <rPr>
        <b/>
        <sz val="9"/>
        <color theme="1" tint="4.9989318521683403E-2"/>
        <rFont val="HG明朝B"/>
        <family val="1"/>
        <charset val="128"/>
      </rPr>
      <t>116</t>
    </r>
    <r>
      <rPr>
        <b/>
        <sz val="6"/>
        <color rgb="FF0000FF"/>
        <rFont val="HG明朝B"/>
        <family val="1"/>
        <charset val="128"/>
      </rPr>
      <t xml:space="preserve"> </t>
    </r>
    <r>
      <rPr>
        <sz val="9"/>
        <color rgb="FF0000FF"/>
        <rFont val="HG明朝B"/>
        <family val="1"/>
        <charset val="128"/>
      </rPr>
      <t>を上まわる</t>
    </r>
    <phoneticPr fontId="1"/>
  </si>
  <si>
    <r>
      <t>　　　　　　</t>
    </r>
    <r>
      <rPr>
        <sz val="9"/>
        <color theme="1" tint="4.9989318521683403E-2"/>
        <rFont val="HG明朝B"/>
        <family val="1"/>
        <charset val="128"/>
      </rPr>
      <t>Dalzielの実験結果</t>
    </r>
    <r>
      <rPr>
        <sz val="9"/>
        <color rgb="FF0000FF"/>
        <rFont val="HG明朝B"/>
        <family val="1"/>
        <charset val="128"/>
      </rPr>
      <t>：男子平均値は 1.086 [mA]、女子平均値は約 0.8 [mA]（通電は、直径</t>
    </r>
    <phoneticPr fontId="1"/>
  </si>
  <si>
    <t>　　　　　　3.66 mm、3.25 mm の銅線を握らせる方法で実験)</t>
    <phoneticPr fontId="1"/>
  </si>
  <si>
    <r>
      <t>　　　　　　</t>
    </r>
    <r>
      <rPr>
        <sz val="9"/>
        <color theme="1" tint="4.9989318521683403E-2"/>
        <rFont val="HG明朝B"/>
        <family val="1"/>
        <charset val="128"/>
      </rPr>
      <t>Gorton,Thompson の実験結果</t>
    </r>
    <r>
      <rPr>
        <sz val="9"/>
        <color rgb="FF0000FF"/>
        <rFont val="HG明朝B"/>
        <family val="1"/>
        <charset val="128"/>
      </rPr>
      <t>：４種類の接触条件で実験を行い、男女平均値を出した。</t>
    </r>
    <phoneticPr fontId="1"/>
  </si>
  <si>
    <t>　　　　　　0.675[mA] (軽くたたく)、0.678[mA] (挟む),0.703 [mA] (握る)、0.633 [mA] (水につける)</t>
    <phoneticPr fontId="1"/>
  </si>
  <si>
    <t>　　　　　　人体で最も電流に対して敏感なのは、眼球で 20 [μA]､次に舌端で 45 [μA]であるが、この</t>
    <phoneticPr fontId="1"/>
  </si>
  <si>
    <t>　　　　　　いうことが言える。</t>
    <rPh sb="11" eb="12">
      <t>イ</t>
    </rPh>
    <phoneticPr fontId="1"/>
  </si>
  <si>
    <t>　　　　　　ような部分を除けば、商用周波数程度の正弦波交流の場合には １[mA]程度で電撃を感ずると</t>
    <phoneticPr fontId="1"/>
  </si>
  <si>
    <t>　　　　　　40  ～300 [Hz] の範囲で 1～2 [mA]、5000[Hz]で 10 [mA]、20000[Hz]で 35 [mA]、</t>
    <phoneticPr fontId="1"/>
  </si>
  <si>
    <t>　　　　　　100000[Hz] で 200 [mA] 程度となり、周波数が増していくと最小感知電流も増大し、電流に</t>
    <phoneticPr fontId="1"/>
  </si>
  <si>
    <t>　　　　　　ると、ほとんど熱的感覚のみとなる。</t>
    <phoneticPr fontId="1"/>
  </si>
  <si>
    <t>　　　　　　よる刺激 は、"ちくちく" から "熱い" という感覚に近くなり、100 ～ 200 [KHz] 以上にな</t>
    <phoneticPr fontId="1"/>
  </si>
  <si>
    <t>　　　　　　ている。この値は、商用周波数交流の最小感知電流の約５倍にあたる。</t>
    <phoneticPr fontId="1"/>
  </si>
  <si>
    <t>　　　　　　直径3.66mmの銅線の上に手を軽くのせる方法で測定し、男子平均値で 5.2 [mA]の結果を得</t>
    <phoneticPr fontId="1"/>
  </si>
  <si>
    <t>　　　　　　電圧波形 7×100 [μsec] で電流波高値 40[mA] 以下､同 5×65 で 60[mA] 以下、同 2×30</t>
    <phoneticPr fontId="1"/>
  </si>
  <si>
    <t>　　　　　　で90 [mA] 以下と波尾長が長くなるほど、電流値が小さくなる傾向を示している。</t>
    <phoneticPr fontId="1"/>
  </si>
  <si>
    <t>　　　　　　電流値を最小感知電流からさらに大きくして人体に通電すると、苦痛が増大しこれ以上耐え</t>
    <phoneticPr fontId="1"/>
  </si>
  <si>
    <t>　　　　　　られなくなる。この限界の電流を苦痛電流と呼び、ペンチを握る方法で男子 13 名に実験し</t>
    <phoneticPr fontId="1"/>
  </si>
  <si>
    <t>　　　　　　た結果、最大 10 [mA]、最小 6 [mA]、平均 7.8 [mA] であった。</t>
    <phoneticPr fontId="1"/>
  </si>
  <si>
    <t>　　　　　　人体に通電された状態で、自分の意思で筋肉を動かして通電部分から離脱できる最大の電流　　　　</t>
    <phoneticPr fontId="1"/>
  </si>
  <si>
    <t>　　　　　　値をいう。</t>
    <phoneticPr fontId="1"/>
  </si>
  <si>
    <t>　　　　　　男子 134 名、女子 28 名に実験し、男子平均値 15.87 [mA]、女子平均値 10.5 [mA] の結</t>
    <phoneticPr fontId="1"/>
  </si>
  <si>
    <t>　　　　　　果を得ている。この他にも結果報告があり､可隋電流の平均値は､10 ～ 15 [mA]である。</t>
    <phoneticPr fontId="1"/>
  </si>
  <si>
    <t>　　　　　　ダルジール等は、可隋電流におよぼす周波数の影響実験と同時に 28 名の男子について直流</t>
    <phoneticPr fontId="1"/>
  </si>
  <si>
    <t>　　　　　　の離脱実験を行い､平均値 73.7[mA]の結果を得ている。直流についての実験の 場合には、</t>
    <phoneticPr fontId="1"/>
  </si>
  <si>
    <t>　　　　　　電極を離した瞬間の不快感が強く、離脱できる限界に近づくと、それ以上の実験を嫌う傾向</t>
    <phoneticPr fontId="1"/>
  </si>
  <si>
    <t>　　　　　　している。</t>
    <phoneticPr fontId="1"/>
  </si>
  <si>
    <r>
      <t>　　　　　　があるため､交流の場合とは区別して可隋電流と言わずに､解放電流 (</t>
    </r>
    <r>
      <rPr>
        <b/>
        <sz val="9"/>
        <color rgb="FF0000FF"/>
        <rFont val="Times New Roman"/>
        <family val="1"/>
      </rPr>
      <t>Release Current</t>
    </r>
    <r>
      <rPr>
        <sz val="9"/>
        <color rgb="FF0000FF"/>
        <rFont val="HG明朝B"/>
        <family val="1"/>
        <charset val="128"/>
      </rPr>
      <t>) と称</t>
    </r>
    <phoneticPr fontId="1"/>
  </si>
  <si>
    <t>　　　　　　ダルジールは､18 才から 50 才までの男子 32 名について、それぞれの可隋電流より、わずかに</t>
    <phoneticPr fontId="1"/>
  </si>
  <si>
    <t>　　　　　　多い (2～4[mA]) 電流が遮断されてから直径 3.25 mmの銅線を離すまでの時間を測定し、平均</t>
    <phoneticPr fontId="1"/>
  </si>
  <si>
    <t>　　　　　　し、瞬間的には脱出できないことを示している。</t>
    <phoneticPr fontId="1"/>
  </si>
  <si>
    <t>　　　　　　0.2 [sec] という結果を得た。これは電流が遮断されても腕の筋肉が一時的に凍結した症状を呈</t>
    <phoneticPr fontId="1"/>
  </si>
  <si>
    <t>　　　　　  可隋電流をさらに増していくと、通電経路の筋肉のけいれんが激しくなり、神経がまひして運動</t>
    <phoneticPr fontId="1"/>
  </si>
  <si>
    <t>　　　　　　の自由がきかなくなって、電撃を感じながらも自分でその電源から離脱できなくなる。この状態</t>
    <phoneticPr fontId="1"/>
  </si>
  <si>
    <t>　　　　　　が長時間続くと、遂には意識を失なったり、呼吸困難による窒息死を招くことになる。このよう</t>
    <phoneticPr fontId="1"/>
  </si>
  <si>
    <t>　　　　　　に運動の自由がきかなくなる電流を不随電流と言う。</t>
    <phoneticPr fontId="1"/>
  </si>
  <si>
    <r>
      <t>　　　　　　ＡＥＤ (</t>
    </r>
    <r>
      <rPr>
        <b/>
        <sz val="9"/>
        <color theme="1" tint="4.9989318521683403E-2"/>
        <rFont val="Times New Roman"/>
        <family val="1"/>
      </rPr>
      <t>automated external defibrillator</t>
    </r>
    <r>
      <rPr>
        <sz val="9"/>
        <color theme="1" tint="4.9989318521683403E-2"/>
        <rFont val="HG明朝B"/>
        <family val="1"/>
        <charset val="128"/>
      </rPr>
      <t>)：自動体外式除細動器</t>
    </r>
    <phoneticPr fontId="1"/>
  </si>
  <si>
    <t>　　　　　　通電経路により、電流の一部が心臓部にも流れ、その電流がある値以上に流れると心臓は、けい</t>
    <phoneticPr fontId="1"/>
  </si>
  <si>
    <t>　　　　　　れんを起こし正常な拍動が打てない状態になる。これは心臓の刺激伝導系 (右心房にある洞結節</t>
    <phoneticPr fontId="1"/>
  </si>
  <si>
    <t>　　　　　　で発生した電気信号が心房、少し遅れて心室の順に伝わり、心筋を収縮させる伝導系で、特殊な</t>
    <phoneticPr fontId="1"/>
  </si>
  <si>
    <t>　　　　　　筋肉網で形成されている）が外部から網で形成されている）が外部から流入した電流によって阻</t>
    <phoneticPr fontId="1"/>
  </si>
  <si>
    <t>　　　　　　害されて起こる症状で、この刺激伝導系が機能を失うと心臓は細動（細かいけいれん：以前の心</t>
    <rPh sb="45" eb="47">
      <t>イゼン</t>
    </rPh>
    <rPh sb="48" eb="49">
      <t>ココロ</t>
    </rPh>
    <phoneticPr fontId="1"/>
  </si>
  <si>
    <t>　　　　　　臓麻痺）を起こす。</t>
    <phoneticPr fontId="1"/>
  </si>
  <si>
    <t>　　　　ダルジールは、多くの動物実験 (犬､豚､羊､子牛等) から心室細動を起こす心室細動電流を測定</t>
    <phoneticPr fontId="1"/>
  </si>
  <si>
    <t>　　　　し、統計学の手法を取り、次式 (途中の式は省略) を導き出した。</t>
    <phoneticPr fontId="1"/>
  </si>
  <si>
    <t>　　　　　　　　　Ｉ(1/2％)：0.5％ (200人に一人) の確率で心室細動が起こる電流値[mA]</t>
    <phoneticPr fontId="1"/>
  </si>
  <si>
    <t>　　　　　　　 　　　　  Ｗ：動物または人の体重[Kg]</t>
    <phoneticPr fontId="1"/>
  </si>
  <si>
    <t>　　　　　　　　 　　　  Ｔ：電撃時間[sec]</t>
    <phoneticPr fontId="1"/>
  </si>
  <si>
    <r>
      <t>　　　　ダルジールは、米国人の平均体重 70 [Kg]を上式に代入して2.18×70＋12.8＝</t>
    </r>
    <r>
      <rPr>
        <sz val="9"/>
        <color theme="1" tint="4.9989318521683403E-2"/>
        <rFont val="HG明朝B"/>
        <family val="1"/>
        <charset val="128"/>
      </rPr>
      <t>165</t>
    </r>
    <r>
      <rPr>
        <sz val="9"/>
        <color rgb="FF0000FF"/>
        <rFont val="HG明朝B"/>
        <family val="1"/>
        <charset val="128"/>
      </rPr>
      <t xml:space="preserve"> の 値を得、人</t>
    </r>
    <rPh sb="58" eb="59">
      <t>ヒト</t>
    </rPh>
    <phoneticPr fontId="1"/>
  </si>
  <si>
    <t>　　　　に対する理論的な最小心室細動電流値とした。</t>
    <phoneticPr fontId="1"/>
  </si>
  <si>
    <t>　　　参 考 文 献：[6.感電に関する用語(抜粋)]：電設工業(1965年８月号) ｢電撃危険 について｣</t>
    <rPh sb="3" eb="4">
      <t>サン</t>
    </rPh>
    <rPh sb="5" eb="6">
      <t>コウ</t>
    </rPh>
    <rPh sb="7" eb="8">
      <t>ブン</t>
    </rPh>
    <rPh sb="9" eb="10">
      <t>コン</t>
    </rPh>
    <phoneticPr fontId="1"/>
  </si>
  <si>
    <t>　　　刺激伝導系：国立循環器病センターURL</t>
    <rPh sb="3" eb="5">
      <t>シゲキ</t>
    </rPh>
    <rPh sb="5" eb="7">
      <t>デンドウ</t>
    </rPh>
    <rPh sb="7" eb="8">
      <t>ケイ</t>
    </rPh>
    <rPh sb="9" eb="11">
      <t>コクリツ</t>
    </rPh>
    <rPh sb="11" eb="14">
      <t>ジュンカンキ</t>
    </rPh>
    <rPh sb="14" eb="15">
      <t>ビョウ</t>
    </rPh>
    <phoneticPr fontId="1"/>
  </si>
  <si>
    <t>　　　　　 　　  　　単価-２、単価-３、単価-４：ユーザー登録必要</t>
    <rPh sb="12" eb="14">
      <t>タンカ</t>
    </rPh>
    <rPh sb="31" eb="33">
      <t>トウロク</t>
    </rPh>
    <rPh sb="33" eb="35">
      <t>ヒツヨウ</t>
    </rPh>
    <phoneticPr fontId="1"/>
  </si>
  <si>
    <t>　　　　　　　 　　  歩掛-２、歩掛-３：ユーザー登録必要</t>
    <rPh sb="26" eb="28">
      <t>トウロク</t>
    </rPh>
    <rPh sb="28" eb="30">
      <t>ヒツヨウ</t>
    </rPh>
    <phoneticPr fontId="1"/>
  </si>
  <si>
    <r>
      <rPr>
        <sz val="9"/>
        <rFont val="HG明朝B"/>
        <family val="1"/>
        <charset val="128"/>
      </rPr>
      <t>　材料単価指定</t>
    </r>
    <r>
      <rPr>
        <sz val="9"/>
        <color rgb="FF0000FF"/>
        <rFont val="HG明朝B"/>
        <family val="1"/>
        <charset val="128"/>
      </rPr>
      <t xml:space="preserve"> ：</t>
    </r>
    <r>
      <rPr>
        <sz val="9"/>
        <color theme="1" tint="4.9989318521683403E-2"/>
        <rFont val="HG明朝B"/>
        <family val="1"/>
        <charset val="128"/>
      </rPr>
      <t>基準設定値＝単価-１</t>
    </r>
    <r>
      <rPr>
        <sz val="9"/>
        <color rgb="FF0000FF"/>
        <rFont val="HG明朝B"/>
        <family val="1"/>
        <charset val="128"/>
      </rPr>
      <t>　（単価-２、単価-３、単価-４ 選択可）</t>
    </r>
    <phoneticPr fontId="1"/>
  </si>
  <si>
    <r>
      <rPr>
        <sz val="9"/>
        <rFont val="HG明朝B"/>
        <family val="1"/>
        <charset val="128"/>
      </rPr>
      <t>　配管配線材料</t>
    </r>
    <r>
      <rPr>
        <sz val="9"/>
        <color rgb="FF0000FF"/>
        <rFont val="HG明朝B"/>
        <family val="1"/>
        <charset val="128"/>
      </rPr>
      <t xml:space="preserve"> ：Ｂ材小計金額の１３０％ を計上　　</t>
    </r>
    <r>
      <rPr>
        <sz val="9"/>
        <color theme="1" tint="4.9989318521683403E-2"/>
        <rFont val="HG明朝B"/>
        <family val="1"/>
        <charset val="128"/>
      </rPr>
      <t>変更修正可</t>
    </r>
    <phoneticPr fontId="1"/>
  </si>
  <si>
    <r>
      <t>　電工歩掛指定 ：</t>
    </r>
    <r>
      <rPr>
        <sz val="9"/>
        <color theme="1" tint="4.9989318521683403E-2"/>
        <rFont val="HG明朝B"/>
        <family val="1"/>
        <charset val="128"/>
      </rPr>
      <t>基準設定値＝歩掛-１</t>
    </r>
    <r>
      <rPr>
        <sz val="9"/>
        <color rgb="FF0000FF"/>
        <rFont val="HG明朝B"/>
        <family val="1"/>
        <charset val="128"/>
      </rPr>
      <t>　（歩掛-２、歩掛-３ 選択可）</t>
    </r>
    <phoneticPr fontId="1"/>
  </si>
  <si>
    <r>
      <rPr>
        <sz val="9"/>
        <rFont val="HG明朝B"/>
        <family val="1"/>
        <charset val="128"/>
      </rPr>
      <t>　電 工 単 価</t>
    </r>
    <r>
      <rPr>
        <sz val="9"/>
        <color rgb="FF0000FF"/>
        <rFont val="HG明朝B"/>
        <family val="1"/>
        <charset val="128"/>
      </rPr>
      <t>　：原価内訳書で設定した値を表示。</t>
    </r>
    <r>
      <rPr>
        <sz val="9"/>
        <color theme="1" tint="4.9989318521683403E-2"/>
        <rFont val="HG明朝B"/>
        <family val="1"/>
        <charset val="128"/>
      </rPr>
      <t>（この工事種目のみの変更修正可）</t>
    </r>
    <phoneticPr fontId="1"/>
  </si>
  <si>
    <r>
      <rPr>
        <sz val="9"/>
        <rFont val="HG明朝B"/>
        <family val="1"/>
        <charset val="128"/>
      </rPr>
      <t>　電　工　 費</t>
    </r>
    <r>
      <rPr>
        <sz val="9"/>
        <color rgb="FF0000FF"/>
        <rFont val="HG明朝B"/>
        <family val="1"/>
        <charset val="128"/>
      </rPr>
      <t xml:space="preserve">  ：電 工 費 金額の１１５％ を計上</t>
    </r>
    <rPh sb="1" eb="2">
      <t>デン</t>
    </rPh>
    <rPh sb="3" eb="4">
      <t>コウ</t>
    </rPh>
    <rPh sb="6" eb="7">
      <t>ヒ</t>
    </rPh>
    <rPh sb="10" eb="11">
      <t>デン</t>
    </rPh>
    <rPh sb="12" eb="13">
      <t>コウ</t>
    </rPh>
    <rPh sb="14" eb="15">
      <t>ヒ</t>
    </rPh>
    <rPh sb="16" eb="18">
      <t>キンガク</t>
    </rPh>
    <rPh sb="25" eb="27">
      <t>ケイジョウ</t>
    </rPh>
    <phoneticPr fontId="1"/>
  </si>
  <si>
    <r>
      <t>　配管工事施工方法　基準設定値：</t>
    </r>
    <r>
      <rPr>
        <sz val="9"/>
        <color rgb="FF0000FF"/>
        <rFont val="HG明朝B"/>
        <family val="1"/>
        <charset val="128"/>
      </rPr>
      <t>C電線管工事</t>
    </r>
  </si>
  <si>
    <r>
      <t>　配線工事施工方法　基準設定値：</t>
    </r>
    <r>
      <rPr>
        <sz val="9"/>
        <color rgb="FF0000FF"/>
        <rFont val="HG明朝B"/>
        <family val="1"/>
        <charset val="128"/>
      </rPr>
      <t>管内ケーブル工事</t>
    </r>
  </si>
  <si>
    <r>
      <t>　動力負荷の種類　</t>
    </r>
    <r>
      <rPr>
        <sz val="9"/>
        <color rgb="FF0000FF"/>
        <rFont val="HG明朝B"/>
        <family val="1"/>
        <charset val="128"/>
      </rPr>
      <t>① 生産動力機器　　　　② 熱源動力機器　　　　③ 換気動力機器</t>
    </r>
  </si>
  <si>
    <r>
      <t>　冷房負荷　</t>
    </r>
    <r>
      <rPr>
        <sz val="9"/>
        <color rgb="FF0000FF"/>
        <rFont val="HG明朝B"/>
        <family val="1"/>
        <charset val="128"/>
      </rPr>
      <t>① 外気負荷：換気回数による。</t>
    </r>
  </si>
  <si>
    <r>
      <t>　暖房負荷　</t>
    </r>
    <r>
      <rPr>
        <sz val="9"/>
        <color rgb="FF0000FF"/>
        <rFont val="HG明朝B"/>
        <family val="1"/>
        <charset val="128"/>
      </rPr>
      <t>① 室内エァコンの 温・湿度 設定値</t>
    </r>
  </si>
  <si>
    <r>
      <t xml:space="preserve">　　　　　　② 室内負荷：機器・人体 による発熱　　　　　 </t>
    </r>
    <r>
      <rPr>
        <sz val="9"/>
        <color theme="1" tint="4.9989318521683403E-2"/>
        <rFont val="HG明朝B"/>
        <family val="1"/>
        <charset val="128"/>
      </rPr>
      <t>エンタルピー(Enthalpy)</t>
    </r>
  </si>
  <si>
    <r>
      <t>　　　　　　③ ロスナイ換気扇 の 熱回収率　　　　　　　</t>
    </r>
    <r>
      <rPr>
        <sz val="7"/>
        <color rgb="FF0000FF"/>
        <rFont val="HG明朝B"/>
        <family val="1"/>
        <charset val="128"/>
      </rPr>
      <t xml:space="preserve">　 </t>
    </r>
    <r>
      <rPr>
        <sz val="9"/>
        <color theme="1" tint="4.9989318521683403E-2"/>
        <rFont val="HG明朝B"/>
        <family val="1"/>
        <charset val="128"/>
      </rPr>
      <t>熱力学第一法則によるエネルギー保存法則</t>
    </r>
  </si>
  <si>
    <r>
      <t>　最高気温：</t>
    </r>
    <r>
      <rPr>
        <sz val="9"/>
        <color rgb="FF0000FF"/>
        <rFont val="HG明朝B"/>
        <family val="1"/>
        <charset val="128"/>
      </rPr>
      <t>日最高気温の月別平均値 [８月]</t>
    </r>
    <r>
      <rPr>
        <sz val="9"/>
        <color theme="1" tint="4.9989318521683403E-2"/>
        <rFont val="HG明朝B"/>
        <family val="1"/>
        <charset val="128"/>
      </rPr>
      <t>　　　相対湿度(％)：</t>
    </r>
    <r>
      <rPr>
        <sz val="9"/>
        <color rgb="FF0000FF"/>
        <rFont val="HG明朝B"/>
        <family val="1"/>
        <charset val="128"/>
      </rPr>
      <t>月別平年相対湿度(％) [８月]</t>
    </r>
  </si>
  <si>
    <r>
      <t>　最低気温：</t>
    </r>
    <r>
      <rPr>
        <sz val="9"/>
        <color rgb="FF0000FF"/>
        <rFont val="HG明朝B"/>
        <family val="1"/>
        <charset val="128"/>
      </rPr>
      <t>日最高気温の月別平均値 [２月]</t>
    </r>
    <r>
      <rPr>
        <sz val="9"/>
        <color theme="1" tint="4.9989318521683403E-2"/>
        <rFont val="HG明朝B"/>
        <family val="1"/>
        <charset val="128"/>
      </rPr>
      <t>　　　相対湿度(％)：</t>
    </r>
    <r>
      <rPr>
        <sz val="9"/>
        <color rgb="FF0000FF"/>
        <rFont val="HG明朝B"/>
        <family val="1"/>
        <charset val="128"/>
      </rPr>
      <t>月別平年相対湿度(％) [２月]</t>
    </r>
  </si>
  <si>
    <r>
      <t>　特異日の温度補正</t>
    </r>
    <r>
      <rPr>
        <sz val="9"/>
        <color rgb="FF0000FF"/>
        <rFont val="HG明朝B"/>
        <family val="1"/>
        <charset val="128"/>
      </rPr>
      <t>　８月：＋3.5［℃］　　２月：－2.5［℃］</t>
    </r>
  </si>
  <si>
    <r>
      <t>　　</t>
    </r>
    <r>
      <rPr>
        <sz val="9"/>
        <color rgb="FF800000"/>
        <rFont val="HG明朝B"/>
        <family val="1"/>
        <charset val="128"/>
      </rPr>
      <t>【注】</t>
    </r>
    <r>
      <rPr>
        <sz val="9"/>
        <color rgb="FF0000FF"/>
        <rFont val="HG明朝B"/>
        <family val="1"/>
        <charset val="128"/>
      </rPr>
      <t xml:space="preserve"> 15時不快指数、最高・最低気温、相対湿度の値は、</t>
    </r>
    <r>
      <rPr>
        <sz val="9"/>
        <color theme="1" tint="4.9989318521683403E-2"/>
        <rFont val="HG明朝B"/>
        <family val="1"/>
        <charset val="128"/>
      </rPr>
      <t>国立天文台編 ｢理科年表｣</t>
    </r>
    <r>
      <rPr>
        <sz val="9"/>
        <color rgb="FF0000FF"/>
        <rFont val="HG明朝B"/>
        <family val="1"/>
        <charset val="128"/>
      </rPr>
      <t xml:space="preserve"> による。</t>
    </r>
  </si>
  <si>
    <r>
      <t>　　　　　　　　　　</t>
    </r>
    <r>
      <rPr>
        <sz val="9"/>
        <color theme="1" tint="4.9989318521683403E-2"/>
        <rFont val="HG明朝B"/>
        <family val="1"/>
        <charset val="128"/>
      </rPr>
      <t>選択変更　</t>
    </r>
    <r>
      <rPr>
        <sz val="9"/>
        <color rgb="FF0000FF"/>
        <rFont val="HG明朝B"/>
        <family val="1"/>
        <charset val="128"/>
      </rPr>
      <t>：Ｇ管工事、E管工事、PF管工事、CD管工事、FEP管工事、CR工事</t>
    </r>
    <phoneticPr fontId="1"/>
  </si>
  <si>
    <r>
      <t>　　　　　　　　　　</t>
    </r>
    <r>
      <rPr>
        <sz val="9"/>
        <color theme="1" tint="4.9989318521683403E-2"/>
        <rFont val="HG明朝B"/>
        <family val="1"/>
        <charset val="128"/>
      </rPr>
      <t>選択変更　</t>
    </r>
    <r>
      <rPr>
        <sz val="9"/>
        <color rgb="FF0000FF"/>
        <rFont val="HG明朝B"/>
        <family val="1"/>
        <charset val="128"/>
      </rPr>
      <t>：天井ケーブル工事、ケーブルラック工事</t>
    </r>
    <phoneticPr fontId="1"/>
  </si>
  <si>
    <r>
      <t>　　　　　　　　</t>
    </r>
    <r>
      <rPr>
        <sz val="9"/>
        <color rgb="FF800000"/>
        <rFont val="HG明朝B"/>
        <family val="1"/>
        <charset val="128"/>
      </rPr>
      <t>１5時 不快指数 ≦ 75 に機器を設定</t>
    </r>
    <r>
      <rPr>
        <sz val="9"/>
        <color rgb="FF0000FF"/>
        <rFont val="HG明朝B"/>
        <family val="1"/>
        <charset val="128"/>
      </rPr>
      <t>　　　　　　   Ｑ：熱量 [Ｊ]、 m：質量 [ｇ]</t>
    </r>
    <phoneticPr fontId="1"/>
  </si>
  <si>
    <r>
      <t>　　　　　　　　　　　　　　　　　　　　　　　　　　　　　　　  ｃ：比熱 [Cp/Ｊ・K</t>
    </r>
    <r>
      <rPr>
        <vertAlign val="superscript"/>
        <sz val="10"/>
        <color rgb="FF0000FF"/>
        <rFont val="HG明朝B"/>
        <family val="1"/>
        <charset val="128"/>
      </rPr>
      <t>－1</t>
    </r>
    <r>
      <rPr>
        <sz val="9"/>
        <color rgb="FF0000FF"/>
        <rFont val="HG明朝B"/>
        <family val="1"/>
        <charset val="128"/>
      </rPr>
      <t>・g</t>
    </r>
    <r>
      <rPr>
        <vertAlign val="superscript"/>
        <sz val="10"/>
        <color rgb="FF0000FF"/>
        <rFont val="HG明朝B"/>
        <family val="1"/>
        <charset val="128"/>
      </rPr>
      <t>－1</t>
    </r>
    <r>
      <rPr>
        <sz val="9"/>
        <color rgb="FF0000FF"/>
        <rFont val="HG明朝B"/>
        <family val="1"/>
        <charset val="128"/>
      </rPr>
      <t>]</t>
    </r>
    <phoneticPr fontId="1"/>
  </si>
  <si>
    <r>
      <t>　　　　　　　　冷房負荷 (エンタルピー差)＝(①+②)－(③+④)</t>
    </r>
    <r>
      <rPr>
        <sz val="9"/>
        <color rgb="FF0000FF"/>
        <rFont val="HG明朝B"/>
        <family val="1"/>
        <charset val="128"/>
      </rPr>
      <t>　　 Ｑ=ｍｃＴ</t>
    </r>
    <phoneticPr fontId="1"/>
  </si>
  <si>
    <t>　　　　　　　　　　　　　　　　　　　　　　　　　　　　　　　　Ｔ：物理 (熱力学) 絶対温度</t>
    <rPh sb="43" eb="45">
      <t>ゼッタイ</t>
    </rPh>
    <phoneticPr fontId="1"/>
  </si>
  <si>
    <r>
      <t>　　　　　　　　　　　　　　　　　　　　　　　　　　　　　　　　　　単位[Ｋ] (</t>
    </r>
    <r>
      <rPr>
        <b/>
        <sz val="9"/>
        <color rgb="FF0000FF"/>
        <rFont val="Times New Roman"/>
        <family val="1"/>
      </rPr>
      <t>Kelvin</t>
    </r>
    <r>
      <rPr>
        <sz val="9"/>
        <color rgb="FF0000FF"/>
        <rFont val="HG明朝B"/>
        <family val="1"/>
        <charset val="128"/>
      </rPr>
      <t>)</t>
    </r>
    <rPh sb="34" eb="36">
      <t>タンイ</t>
    </rPh>
    <phoneticPr fontId="1"/>
  </si>
  <si>
    <t>　　　　　　　　暖房負荷 (エンタルピー差)＝(①+②+③)－④</t>
    <rPh sb="8" eb="10">
      <t>ダンボウ</t>
    </rPh>
    <phoneticPr fontId="1"/>
  </si>
  <si>
    <r>
      <t>　１５時 不快指数</t>
    </r>
    <r>
      <rPr>
        <sz val="9"/>
        <color rgb="FF0000FF"/>
        <rFont val="HG明朝B"/>
        <family val="1"/>
        <charset val="128"/>
      </rPr>
      <t xml:space="preserve"> ＤＩ(</t>
    </r>
    <r>
      <rPr>
        <b/>
        <sz val="9"/>
        <color rgb="FF0000FF"/>
        <rFont val="Times New Roman"/>
        <family val="1"/>
      </rPr>
      <t>Discomfort Index</t>
    </r>
    <r>
      <rPr>
        <sz val="9"/>
        <color rgb="FF0000FF"/>
        <rFont val="HG明朝B"/>
        <family val="1"/>
        <charset val="128"/>
      </rPr>
      <t>)：</t>
    </r>
    <r>
      <rPr>
        <sz val="9"/>
        <color theme="1" tint="4.9989318521683403E-2"/>
        <rFont val="HG明朝B"/>
        <family val="1"/>
        <charset val="128"/>
      </rPr>
      <t>ＤＩ＝0.81Ｔ＋0.01Ｕ(0.99Ｔ－14.3)＋46.3</t>
    </r>
    <phoneticPr fontId="1"/>
  </si>
  <si>
    <r>
      <t>　　　　　　　　　　　　　　　　　　     　　　　</t>
    </r>
    <r>
      <rPr>
        <sz val="9"/>
        <color theme="1" tint="4.9989318521683403E-2"/>
        <rFont val="HG明朝B"/>
        <family val="1"/>
        <charset val="128"/>
      </rPr>
      <t>Ｔ</t>
    </r>
    <r>
      <rPr>
        <sz val="9"/>
        <color rgb="FF0000FF"/>
        <rFont val="HG明朝B"/>
        <family val="1"/>
        <charset val="128"/>
      </rPr>
      <t>：気温［℃］、</t>
    </r>
    <r>
      <rPr>
        <sz val="9"/>
        <color theme="1" tint="4.9989318521683403E-2"/>
        <rFont val="HG明朝B"/>
        <family val="1"/>
        <charset val="128"/>
      </rPr>
      <t>Ｕ</t>
    </r>
    <r>
      <rPr>
        <sz val="9"/>
        <color rgb="FF0000FF"/>
        <rFont val="HG明朝B"/>
        <family val="1"/>
        <charset val="128"/>
      </rPr>
      <t>：相対湿度［％］</t>
    </r>
    <phoneticPr fontId="1"/>
  </si>
  <si>
    <r>
      <t>　　　　　　</t>
    </r>
    <r>
      <rPr>
        <sz val="9"/>
        <color theme="1" tint="4.9989318521683403E-2"/>
        <rFont val="HG明朝B"/>
        <family val="1"/>
        <charset val="128"/>
      </rPr>
      <t>ＤＩ</t>
    </r>
    <r>
      <rPr>
        <sz val="9"/>
        <color rgb="FF0000FF"/>
        <rFont val="HG明朝B"/>
        <family val="1"/>
        <charset val="128"/>
      </rPr>
      <t>＝　～75　　不快感なし　　　　　　</t>
    </r>
    <r>
      <rPr>
        <sz val="9"/>
        <color theme="1" tint="4.9989318521683403E-2"/>
        <rFont val="HG明朝B"/>
        <family val="1"/>
        <charset val="128"/>
      </rPr>
      <t>ＤＩ</t>
    </r>
    <r>
      <rPr>
        <sz val="9"/>
        <color rgb="FF0000FF"/>
        <rFont val="HG明朝B"/>
        <family val="1"/>
        <charset val="128"/>
      </rPr>
      <t>＝75～80　　やや暑い</t>
    </r>
    <phoneticPr fontId="1"/>
  </si>
  <si>
    <r>
      <t>　　　　　　</t>
    </r>
    <r>
      <rPr>
        <sz val="9"/>
        <color theme="1" tint="4.9989318521683403E-2"/>
        <rFont val="HG明朝B"/>
        <family val="1"/>
        <charset val="128"/>
      </rPr>
      <t>ＤＩ</t>
    </r>
    <r>
      <rPr>
        <sz val="9"/>
        <color rgb="FF0000FF"/>
        <rFont val="HG明朝B"/>
        <family val="1"/>
        <charset val="128"/>
      </rPr>
      <t>＝80～85　　暑くて汗が出る　　　　</t>
    </r>
    <r>
      <rPr>
        <sz val="9"/>
        <color theme="1" tint="4.9989318521683403E-2"/>
        <rFont val="HG明朝B"/>
        <family val="1"/>
        <charset val="128"/>
      </rPr>
      <t>ＤＩ</t>
    </r>
    <r>
      <rPr>
        <sz val="9"/>
        <color rgb="FF0000FF"/>
        <rFont val="HG明朝B"/>
        <family val="1"/>
        <charset val="128"/>
      </rPr>
      <t>＝85～　　  暑くてたまらない</t>
    </r>
    <phoneticPr fontId="1"/>
  </si>
  <si>
    <r>
      <t>　材料単価指定　　  ：</t>
    </r>
    <r>
      <rPr>
        <sz val="9"/>
        <color theme="1" tint="4.9989318521683403E-2"/>
        <rFont val="HG明朝B"/>
        <family val="1"/>
        <charset val="128"/>
      </rPr>
      <t>基準設定値＝単価-１</t>
    </r>
    <r>
      <rPr>
        <sz val="9"/>
        <color rgb="FF0000FF"/>
        <rFont val="HG明朝B"/>
        <family val="1"/>
        <charset val="128"/>
      </rPr>
      <t>　（単価-２、単価-３、単価-４ 選択可）</t>
    </r>
    <phoneticPr fontId="1"/>
  </si>
  <si>
    <t>　　　　　   　　　　　　 単価-２、単価-３、単価-４：ユーザー登録必要</t>
    <rPh sb="15" eb="17">
      <t>タンカ</t>
    </rPh>
    <rPh sb="34" eb="36">
      <t>トウロク</t>
    </rPh>
    <rPh sb="36" eb="38">
      <t>ヒツヨウ</t>
    </rPh>
    <phoneticPr fontId="1"/>
  </si>
  <si>
    <r>
      <t>　配管配線材料 　　 ：Ｂ材小計金額の 　１００％ を計上</t>
    </r>
    <r>
      <rPr>
        <sz val="9"/>
        <color theme="1" tint="4.9989318521683403E-2"/>
        <rFont val="HG明朝B"/>
        <family val="1"/>
        <charset val="128"/>
      </rPr>
      <t>　　　変更修正可</t>
    </r>
    <phoneticPr fontId="1"/>
  </si>
  <si>
    <r>
      <t>　配管付属品・支持材：配管配線材料金額の ３０％ を計上</t>
    </r>
    <r>
      <rPr>
        <sz val="9"/>
        <color theme="1" tint="4.9989318521683403E-2"/>
        <rFont val="HG明朝B"/>
        <family val="1"/>
        <charset val="128"/>
      </rPr>
      <t>　　　変更修正可</t>
    </r>
    <phoneticPr fontId="1"/>
  </si>
  <si>
    <r>
      <t>　電工歩掛指定　　　：</t>
    </r>
    <r>
      <rPr>
        <sz val="9"/>
        <color theme="1" tint="4.9989318521683403E-2"/>
        <rFont val="HG明朝B"/>
        <family val="1"/>
        <charset val="128"/>
      </rPr>
      <t>基準設定値＝歩掛-１</t>
    </r>
    <r>
      <rPr>
        <sz val="9"/>
        <color rgb="FF0000FF"/>
        <rFont val="HG明朝B"/>
        <family val="1"/>
        <charset val="128"/>
      </rPr>
      <t>　（歩掛-２、歩掛-３ 選択可）</t>
    </r>
    <phoneticPr fontId="1"/>
  </si>
  <si>
    <t>　　　　　  　　　　　　  歩掛-２、歩掛-３：ユーザー登録必要</t>
    <rPh sb="29" eb="31">
      <t>トウロク</t>
    </rPh>
    <rPh sb="31" eb="33">
      <t>ヒツヨウ</t>
    </rPh>
    <phoneticPr fontId="1"/>
  </si>
  <si>
    <r>
      <t>　電 工 単 価　　　 ：原価内訳書で設定した値を表示。</t>
    </r>
    <r>
      <rPr>
        <sz val="9"/>
        <color theme="1" tint="4.9989318521683403E-2"/>
        <rFont val="HG明朝B"/>
        <family val="1"/>
        <charset val="128"/>
      </rPr>
      <t>（この工事種目のみの変更修正可）</t>
    </r>
    <phoneticPr fontId="1"/>
  </si>
  <si>
    <t>　電　 工　 費 　　 ：電 工 費 金額の １１５％ を計上</t>
    <rPh sb="1" eb="2">
      <t>デン</t>
    </rPh>
    <rPh sb="4" eb="5">
      <t>コウ</t>
    </rPh>
    <rPh sb="7" eb="8">
      <t>ヒ</t>
    </rPh>
    <rPh sb="13" eb="14">
      <t>デン</t>
    </rPh>
    <rPh sb="15" eb="16">
      <t>コウ</t>
    </rPh>
    <rPh sb="17" eb="18">
      <t>ヒ</t>
    </rPh>
    <rPh sb="19" eb="21">
      <t>キンガク</t>
    </rPh>
    <rPh sb="29" eb="31">
      <t>ケイジョウ</t>
    </rPh>
    <phoneticPr fontId="1"/>
  </si>
  <si>
    <r>
      <t>　梁巻配線長 [mm]</t>
    </r>
    <r>
      <rPr>
        <sz val="9"/>
        <color rgb="FF0000FF"/>
        <rFont val="HG明朝B"/>
        <family val="1"/>
        <charset val="128"/>
      </rPr>
      <t>天井内配線の位置</t>
    </r>
    <r>
      <rPr>
        <sz val="9"/>
        <color theme="1" tint="4.9989318521683403E-2"/>
        <rFont val="HG明朝B"/>
        <family val="1"/>
        <charset val="128"/>
      </rPr>
      <t>　基準設定値：スラブ下 0.1ｍ</t>
    </r>
  </si>
  <si>
    <r>
      <t>　分電盤（</t>
    </r>
    <r>
      <rPr>
        <b/>
        <sz val="9"/>
        <color rgb="FF0000FF"/>
        <rFont val="Times New Roman"/>
        <family val="1"/>
      </rPr>
      <t>Distribution board</t>
    </r>
    <r>
      <rPr>
        <sz val="9"/>
        <color rgb="FF0000FF"/>
        <rFont val="HG明朝B"/>
        <family val="1"/>
        <charset val="128"/>
      </rPr>
      <t>）の位置入力</t>
    </r>
    <rPh sb="1" eb="4">
      <t>ブンデンバン</t>
    </rPh>
    <rPh sb="25" eb="27">
      <t>イチ</t>
    </rPh>
    <rPh sb="27" eb="29">
      <t>ニュウリョク</t>
    </rPh>
    <phoneticPr fontId="1"/>
  </si>
  <si>
    <r>
      <t>　　標準設定値は､⑦です。</t>
    </r>
    <r>
      <rPr>
        <sz val="9"/>
        <color rgb="FF0000FF"/>
        <rFont val="HG明朝B"/>
        <family val="1"/>
        <charset val="128"/>
      </rPr>
      <t>　"引込工事" で設定した"ＥＰＳ"の位置と同一です。　　</t>
    </r>
    <r>
      <rPr>
        <sz val="9"/>
        <color theme="1" tint="4.9989318521683403E-2"/>
        <rFont val="HG明朝B"/>
        <family val="1"/>
        <charset val="128"/>
      </rPr>
      <t>選択変更可</t>
    </r>
    <phoneticPr fontId="1"/>
  </si>
  <si>
    <r>
      <t>　</t>
    </r>
    <r>
      <rPr>
        <sz val="9"/>
        <color theme="1" tint="4.9989318521683403E-2"/>
        <rFont val="HG明朝B"/>
        <family val="1"/>
        <charset val="128"/>
      </rPr>
      <t>梁成＝"０"</t>
    </r>
    <r>
      <rPr>
        <sz val="9"/>
        <color rgb="FF0000FF"/>
        <rFont val="HG明朝B"/>
        <family val="1"/>
        <charset val="128"/>
      </rPr>
      <t xml:space="preserve"> にすると、　梁巻き配線長 ＝　　　0 [ｍ]　　梁渡り配管長 ＝ 1.5 [ｍ]×必要本数</t>
    </r>
    <phoneticPr fontId="1"/>
  </si>
  <si>
    <r>
      <t>　</t>
    </r>
    <r>
      <rPr>
        <sz val="9"/>
        <color theme="1" tint="4.9989318521683403E-2"/>
        <rFont val="HG明朝B"/>
        <family val="1"/>
        <charset val="128"/>
      </rPr>
      <t>梁成＝"０"</t>
    </r>
    <r>
      <rPr>
        <sz val="9"/>
        <color rgb="FF0000FF"/>
        <rFont val="HG明朝B"/>
        <family val="1"/>
        <charset val="128"/>
      </rPr>
      <t xml:space="preserve"> でないとき、梁巻き配線長 ＝ 必要数 [ｍ]　　梁渡り配管長 ＝　 0 [ｍ]</t>
    </r>
    <phoneticPr fontId="1"/>
  </si>
  <si>
    <r>
      <t>　</t>
    </r>
    <r>
      <rPr>
        <sz val="9"/>
        <color theme="1" tint="4.9989318521683403E-2"/>
        <rFont val="HG明朝B"/>
        <family val="1"/>
        <charset val="128"/>
      </rPr>
      <t>梁間隔　　基準設定値＝6,000 [ｍｍ]　　　変更修正可</t>
    </r>
    <phoneticPr fontId="1"/>
  </si>
  <si>
    <r>
      <t>　ケーブル工事：</t>
    </r>
    <r>
      <rPr>
        <sz val="9"/>
        <color rgb="FF0000FF"/>
        <rFont val="HG明朝B"/>
        <family val="1"/>
        <charset val="128"/>
      </rPr>
      <t>二重天井内のケーブル配線工事を "</t>
    </r>
    <r>
      <rPr>
        <sz val="9"/>
        <color theme="1" tint="4.9989318521683403E-2"/>
        <rFont val="HG明朝B"/>
        <family val="1"/>
        <charset val="128"/>
      </rPr>
      <t>コロガシ配線</t>
    </r>
    <r>
      <rPr>
        <sz val="9"/>
        <color rgb="FF0000FF"/>
        <rFont val="HG明朝B"/>
        <family val="1"/>
        <charset val="128"/>
      </rPr>
      <t xml:space="preserve">" と言うのは、正しい表現ではなく </t>
    </r>
  </si>
  <si>
    <r>
      <t>　　　　　　　　"天井内ケーブル工事" と表現すべきです。　　</t>
    </r>
    <r>
      <rPr>
        <sz val="9"/>
        <color theme="1" tint="4.9989318521683403E-2"/>
        <rFont val="HG明朝B"/>
        <family val="1"/>
        <charset val="128"/>
      </rPr>
      <t>電技解釈 187 条 参照</t>
    </r>
  </si>
  <si>
    <r>
      <t>　　</t>
    </r>
    <r>
      <rPr>
        <sz val="9"/>
        <color rgb="FF0000FF"/>
        <rFont val="HG明朝B"/>
        <family val="1"/>
        <charset val="128"/>
      </rPr>
      <t>専　用　回路　力率：</t>
    </r>
    <r>
      <rPr>
        <sz val="9"/>
        <color theme="1" tint="4.9989318521683403E-2"/>
        <rFont val="HG明朝B"/>
        <family val="1"/>
        <charset val="128"/>
      </rPr>
      <t>基準設定値＝</t>
    </r>
    <r>
      <rPr>
        <sz val="9"/>
        <color theme="1"/>
        <rFont val="HG明朝B"/>
        <family val="1"/>
        <charset val="128"/>
      </rPr>
      <t>0.6　　</t>
    </r>
    <r>
      <rPr>
        <sz val="9"/>
        <color rgb="FF0000FF"/>
        <rFont val="HG明朝B"/>
        <family val="1"/>
        <charset val="128"/>
      </rPr>
      <t>需要率：</t>
    </r>
    <r>
      <rPr>
        <sz val="9"/>
        <color theme="1"/>
        <rFont val="HG明朝B"/>
        <family val="1"/>
        <charset val="128"/>
      </rPr>
      <t>基準設定値＝1.0　　　　変更修正可</t>
    </r>
  </si>
  <si>
    <r>
      <t>　　</t>
    </r>
    <r>
      <rPr>
        <sz val="9"/>
        <color rgb="FF0000FF"/>
        <rFont val="HG明朝B"/>
        <family val="1"/>
        <charset val="128"/>
      </rPr>
      <t>一般差込回路　力率：</t>
    </r>
    <r>
      <rPr>
        <sz val="9"/>
        <color theme="1" tint="4.9989318521683403E-2"/>
        <rFont val="HG明朝B"/>
        <family val="1"/>
        <charset val="128"/>
      </rPr>
      <t>基準設定値＝0.</t>
    </r>
    <r>
      <rPr>
        <sz val="9"/>
        <color theme="1"/>
        <rFont val="HG明朝B"/>
        <family val="1"/>
        <charset val="128"/>
      </rPr>
      <t>6　　</t>
    </r>
    <r>
      <rPr>
        <sz val="9"/>
        <color rgb="FF0000FF"/>
        <rFont val="HG明朝B"/>
        <family val="1"/>
        <charset val="128"/>
      </rPr>
      <t>需要率：</t>
    </r>
    <r>
      <rPr>
        <sz val="9"/>
        <color theme="1" tint="4.9989318521683403E-2"/>
        <rFont val="HG明朝B"/>
        <family val="1"/>
        <charset val="128"/>
      </rPr>
      <t>基準設定値＝</t>
    </r>
    <r>
      <rPr>
        <sz val="9"/>
        <color theme="1"/>
        <rFont val="HG明朝B"/>
        <family val="1"/>
        <charset val="128"/>
      </rPr>
      <t>0.4　　　　変更修正可</t>
    </r>
  </si>
  <si>
    <r>
      <t>　　</t>
    </r>
    <r>
      <rPr>
        <sz val="9"/>
        <color rgb="FF0000FF"/>
        <rFont val="HG明朝B"/>
        <family val="1"/>
        <charset val="128"/>
      </rPr>
      <t>専用差込回路　力率：</t>
    </r>
    <r>
      <rPr>
        <sz val="9"/>
        <color theme="1" tint="4.9989318521683403E-2"/>
        <rFont val="HG明朝B"/>
        <family val="1"/>
        <charset val="128"/>
      </rPr>
      <t>基準設定値＝0.6</t>
    </r>
    <r>
      <rPr>
        <sz val="9"/>
        <color theme="1"/>
        <rFont val="HG明朝B"/>
        <family val="1"/>
        <charset val="128"/>
      </rPr>
      <t>　　</t>
    </r>
    <r>
      <rPr>
        <sz val="9"/>
        <color rgb="FF0000FF"/>
        <rFont val="HG明朝B"/>
        <family val="1"/>
        <charset val="128"/>
      </rPr>
      <t>需要率：</t>
    </r>
    <r>
      <rPr>
        <sz val="9"/>
        <color theme="1" tint="4.9989318521683403E-2"/>
        <rFont val="HG明朝B"/>
        <family val="1"/>
        <charset val="128"/>
      </rPr>
      <t>基準設定値＝</t>
    </r>
    <r>
      <rPr>
        <sz val="9"/>
        <color theme="1"/>
        <rFont val="HG明朝B"/>
        <family val="1"/>
        <charset val="128"/>
      </rPr>
      <t>0.3　　　　変更修正可</t>
    </r>
  </si>
  <si>
    <r>
      <t>　DmKW、DmKVar、DmKVA：</t>
    </r>
    <r>
      <rPr>
        <sz val="9"/>
        <color rgb="FF0000FF"/>
        <rFont val="HG明朝B"/>
        <family val="1"/>
        <charset val="128"/>
      </rPr>
      <t>受変電設備工事 "需要容量" 参照。</t>
    </r>
  </si>
  <si>
    <t>　　　　　　選択変更：3Φ4W、3Φ3W　　200～220/100～110V、380～460/219～266V、</t>
    <rPh sb="6" eb="8">
      <t>センタク</t>
    </rPh>
    <rPh sb="8" eb="10">
      <t>ヘンコウ</t>
    </rPh>
    <phoneticPr fontId="1"/>
  </si>
  <si>
    <t>　　　　　　選択変更 ：天井(PF管)、天井(C管)、天井(G管)</t>
    <rPh sb="6" eb="8">
      <t>センタク</t>
    </rPh>
    <rPh sb="8" eb="10">
      <t>ヘンコウ</t>
    </rPh>
    <phoneticPr fontId="1"/>
  </si>
  <si>
    <t>　　　　　　選択変更 ：天井ケーブル、天井(PF管)、天井(C管)、天井(G管)、床(C管)、床(G管)</t>
    <rPh sb="6" eb="8">
      <t>センタク</t>
    </rPh>
    <rPh sb="8" eb="10">
      <t>ヘンコウ</t>
    </rPh>
    <phoneticPr fontId="1"/>
  </si>
  <si>
    <t>　　　　　　選択変更 ：天井(PF管)、天井(C管)、天井(G管)、床(CD管)、床(C管)、床(G管)</t>
    <rPh sb="6" eb="8">
      <t>センタク</t>
    </rPh>
    <rPh sb="8" eb="10">
      <t>ヘンコウ</t>
    </rPh>
    <rPh sb="34" eb="35">
      <t>ユカ</t>
    </rPh>
    <phoneticPr fontId="1"/>
  </si>
  <si>
    <r>
      <t>　負荷の力率 (</t>
    </r>
    <r>
      <rPr>
        <b/>
        <sz val="9"/>
        <color theme="1"/>
        <rFont val="Times New Roman"/>
        <family val="1"/>
      </rPr>
      <t>Power factor</t>
    </r>
    <r>
      <rPr>
        <sz val="9"/>
        <color theme="1"/>
        <rFont val="HG明朝B"/>
        <family val="1"/>
        <charset val="128"/>
      </rPr>
      <t>) ／ 需要率 (</t>
    </r>
    <r>
      <rPr>
        <b/>
        <sz val="9"/>
        <color theme="1"/>
        <rFont val="Times New Roman"/>
        <family val="1"/>
      </rPr>
      <t>Demand factor</t>
    </r>
    <r>
      <rPr>
        <sz val="9"/>
        <color theme="1"/>
        <rFont val="HG明朝B"/>
        <family val="1"/>
        <charset val="128"/>
      </rPr>
      <t>)</t>
    </r>
    <rPh sb="1" eb="3">
      <t>フカ</t>
    </rPh>
    <rPh sb="4" eb="6">
      <t>リキリツ</t>
    </rPh>
    <rPh sb="24" eb="26">
      <t>ジュヨウ</t>
    </rPh>
    <rPh sb="26" eb="27">
      <t>リツ</t>
    </rPh>
    <phoneticPr fontId="1"/>
  </si>
  <si>
    <r>
      <t>　　</t>
    </r>
    <r>
      <rPr>
        <sz val="9"/>
        <color rgb="FF0000FF"/>
        <rFont val="HG明朝B"/>
        <family val="1"/>
        <charset val="128"/>
      </rPr>
      <t>照　明　回路　力率：</t>
    </r>
    <r>
      <rPr>
        <sz val="9"/>
        <color theme="1"/>
        <rFont val="HG明朝B"/>
        <family val="1"/>
        <charset val="128"/>
      </rPr>
      <t xml:space="preserve">建価データによる。  </t>
    </r>
    <r>
      <rPr>
        <sz val="9"/>
        <color rgb="FF0000FF"/>
        <rFont val="HG明朝B"/>
        <family val="1"/>
        <charset val="128"/>
      </rPr>
      <t>需要率：</t>
    </r>
    <r>
      <rPr>
        <sz val="9"/>
        <color theme="1"/>
        <rFont val="HG明朝B"/>
        <family val="1"/>
        <charset val="128"/>
      </rPr>
      <t>0.9</t>
    </r>
    <phoneticPr fontId="1"/>
  </si>
  <si>
    <r>
      <t>　照明器具取付材：照明器具金額の２％ を計上</t>
    </r>
    <r>
      <rPr>
        <sz val="9"/>
        <color theme="1" tint="4.9989318521683403E-2"/>
        <rFont val="HG明朝B"/>
        <family val="1"/>
        <charset val="128"/>
      </rPr>
      <t>　　変更修正可</t>
    </r>
    <phoneticPr fontId="1"/>
  </si>
  <si>
    <r>
      <t>　照 明  器 具　：100％ を計上</t>
    </r>
    <r>
      <rPr>
        <sz val="9"/>
        <color theme="1" tint="4.9989318521683403E-2"/>
        <rFont val="HG明朝B"/>
        <family val="1"/>
        <charset val="128"/>
      </rPr>
      <t>　　　　 　　　　変更修正可</t>
    </r>
    <phoneticPr fontId="1"/>
  </si>
  <si>
    <r>
      <t xml:space="preserve">　配 線  器 具　：100％ を計上　　　 </t>
    </r>
    <r>
      <rPr>
        <sz val="9"/>
        <color theme="1" tint="4.9989318521683403E-2"/>
        <rFont val="HG明朝B"/>
        <family val="1"/>
        <charset val="128"/>
      </rPr>
      <t>　　　　　変更修正可</t>
    </r>
    <phoneticPr fontId="1"/>
  </si>
  <si>
    <r>
      <t>　配管配線材料　：１３０％ を計上</t>
    </r>
    <r>
      <rPr>
        <sz val="9"/>
        <color theme="1" tint="4.9989318521683403E-2"/>
        <rFont val="HG明朝B"/>
        <family val="1"/>
        <charset val="128"/>
      </rPr>
      <t>　　　　　　　変更修正可</t>
    </r>
    <phoneticPr fontId="1"/>
  </si>
  <si>
    <r>
      <t>　電工歩掛指定  ：</t>
    </r>
    <r>
      <rPr>
        <sz val="9"/>
        <color theme="1" tint="4.9989318521683403E-2"/>
        <rFont val="HG明朝B"/>
        <family val="1"/>
        <charset val="128"/>
      </rPr>
      <t>基準設定値＝歩掛-１</t>
    </r>
    <r>
      <rPr>
        <sz val="9"/>
        <color rgb="FF0000FF"/>
        <rFont val="HG明朝B"/>
        <family val="1"/>
        <charset val="128"/>
      </rPr>
      <t>　（歩掛-２、歩掛-３ 選択可）</t>
    </r>
    <phoneticPr fontId="1"/>
  </si>
  <si>
    <t>　　　　　　　　　 歩掛-２、歩掛-３：ユーザー登録必要</t>
    <rPh sb="24" eb="26">
      <t>トウロク</t>
    </rPh>
    <rPh sb="26" eb="28">
      <t>ヒツヨウ</t>
    </rPh>
    <phoneticPr fontId="1"/>
  </si>
  <si>
    <r>
      <t>　電 工 単 価　 ：原価内訳書で設定した値を表示。</t>
    </r>
    <r>
      <rPr>
        <sz val="9"/>
        <color theme="1" tint="4.9989318521683403E-2"/>
        <rFont val="HG明朝B"/>
        <family val="1"/>
        <charset val="128"/>
      </rPr>
      <t>（この工事種目のみの変更修正可）</t>
    </r>
    <phoneticPr fontId="1"/>
  </si>
  <si>
    <t>　電　 工　 費  ：電 工 費 金額の１１５％ を計上</t>
    <rPh sb="1" eb="2">
      <t>デン</t>
    </rPh>
    <rPh sb="4" eb="5">
      <t>コウ</t>
    </rPh>
    <rPh sb="7" eb="8">
      <t>ヒ</t>
    </rPh>
    <rPh sb="11" eb="12">
      <t>デン</t>
    </rPh>
    <rPh sb="13" eb="14">
      <t>コウ</t>
    </rPh>
    <rPh sb="15" eb="16">
      <t>ヒ</t>
    </rPh>
    <rPh sb="17" eb="19">
      <t>キンガク</t>
    </rPh>
    <rPh sb="26" eb="28">
      <t>ケイジョウ</t>
    </rPh>
    <phoneticPr fontId="1"/>
  </si>
  <si>
    <r>
      <t>　梁巻配線長 [ｍｍ]</t>
    </r>
    <r>
      <rPr>
        <sz val="9"/>
        <color rgb="FF0000FF"/>
        <rFont val="HG明朝B"/>
        <family val="1"/>
        <charset val="128"/>
      </rPr>
      <t>天井内配線の位置</t>
    </r>
    <r>
      <rPr>
        <sz val="9"/>
        <color theme="1" tint="4.9989318521683403E-2"/>
        <rFont val="HG明朝B"/>
        <family val="1"/>
        <charset val="128"/>
      </rPr>
      <t>　基準設定値：スラブ下 ０.１ｍ</t>
    </r>
    <phoneticPr fontId="1"/>
  </si>
  <si>
    <r>
      <t>　</t>
    </r>
    <r>
      <rPr>
        <sz val="9"/>
        <color theme="1" tint="4.9989318521683403E-2"/>
        <rFont val="HG明朝B"/>
        <family val="1"/>
        <charset val="128"/>
      </rPr>
      <t>梁成＝"０"</t>
    </r>
    <r>
      <rPr>
        <sz val="9"/>
        <color rgb="FF0000FF"/>
        <rFont val="HG明朝B"/>
        <family val="1"/>
        <charset val="128"/>
      </rPr>
      <t xml:space="preserve"> にすると、　梁巻き配線長 ＝　　　　０[ｍ]　　梁渡り配管長 ＝１.５[ｍ]×必要本数</t>
    </r>
    <phoneticPr fontId="1"/>
  </si>
  <si>
    <r>
      <t>　</t>
    </r>
    <r>
      <rPr>
        <sz val="9"/>
        <color theme="1" tint="4.9989318521683403E-2"/>
        <rFont val="HG明朝B"/>
        <family val="1"/>
        <charset val="128"/>
      </rPr>
      <t>梁成＝"０"</t>
    </r>
    <r>
      <rPr>
        <sz val="9"/>
        <color rgb="FF0000FF"/>
        <rFont val="HG明朝B"/>
        <family val="1"/>
        <charset val="128"/>
      </rPr>
      <t xml:space="preserve"> でないとき、梁巻き配線長 ＝ 必要数   [ｍ]　　梁渡り配管長 ＝　 ０[ｍ]</t>
    </r>
    <phoneticPr fontId="1"/>
  </si>
  <si>
    <r>
      <t>　</t>
    </r>
    <r>
      <rPr>
        <sz val="9"/>
        <color theme="1" tint="4.9989318521683403E-2"/>
        <rFont val="HG明朝B"/>
        <family val="1"/>
        <charset val="128"/>
      </rPr>
      <t>梁間隔　　基準設定値＝6,000 [ｍｍ]　　　変更修正可</t>
    </r>
    <phoneticPr fontId="1"/>
  </si>
  <si>
    <r>
      <t>　　標準設定値は､⑦です。</t>
    </r>
    <r>
      <rPr>
        <sz val="9"/>
        <color rgb="FF0000FF"/>
        <rFont val="HG明朝B"/>
        <family val="1"/>
        <charset val="128"/>
      </rPr>
      <t>　"引込工事" で設定した "ＥＰＳ" の位置と同一です。　　</t>
    </r>
    <r>
      <rPr>
        <sz val="9"/>
        <color theme="1" tint="4.9989318521683403E-2"/>
        <rFont val="HG明朝B"/>
        <family val="1"/>
        <charset val="128"/>
      </rPr>
      <t>選択変更可</t>
    </r>
    <phoneticPr fontId="1"/>
  </si>
  <si>
    <r>
      <t>　非常照明 (専用部)／(共用部)　　基準設定値＝設置する</t>
    </r>
    <r>
      <rPr>
        <sz val="9"/>
        <color rgb="FF0000FF"/>
        <rFont val="HG明朝B"/>
        <family val="1"/>
        <charset val="128"/>
      </rPr>
      <t>　　選択変更：設置しない</t>
    </r>
    <phoneticPr fontId="1"/>
  </si>
  <si>
    <t>　　　　　　　選択変更：天井(PF管)、天井(C管)、天井(G管)</t>
    <rPh sb="7" eb="9">
      <t>センタク</t>
    </rPh>
    <rPh sb="9" eb="11">
      <t>ヘンコウ</t>
    </rPh>
    <phoneticPr fontId="1"/>
  </si>
  <si>
    <r>
      <t>　　</t>
    </r>
    <r>
      <rPr>
        <sz val="9"/>
        <color rgb="FF0000FF"/>
        <rFont val="HG明朝B"/>
        <family val="1"/>
        <charset val="128"/>
      </rPr>
      <t>非常照明 回路　力率：</t>
    </r>
    <r>
      <rPr>
        <sz val="9"/>
        <color theme="1"/>
        <rFont val="HG明朝B"/>
        <family val="1"/>
        <charset val="128"/>
      </rPr>
      <t xml:space="preserve">建価データによる。  </t>
    </r>
    <r>
      <rPr>
        <sz val="9"/>
        <color rgb="FF0000FF"/>
        <rFont val="HG明朝B"/>
        <family val="1"/>
        <charset val="128"/>
      </rPr>
      <t>需要率：</t>
    </r>
    <r>
      <rPr>
        <sz val="9"/>
        <color theme="1"/>
        <rFont val="HG明朝B"/>
        <family val="1"/>
        <charset val="128"/>
      </rPr>
      <t>１.０</t>
    </r>
    <phoneticPr fontId="1"/>
  </si>
  <si>
    <r>
      <t>　　</t>
    </r>
    <r>
      <rPr>
        <sz val="9"/>
        <color rgb="FF0000FF"/>
        <rFont val="HG明朝B"/>
        <family val="1"/>
        <charset val="128"/>
      </rPr>
      <t>誘 導 灯 回路　力率：</t>
    </r>
    <r>
      <rPr>
        <sz val="9"/>
        <color theme="1" tint="4.9989318521683403E-2"/>
        <rFont val="HG明朝B"/>
        <family val="1"/>
        <charset val="128"/>
      </rPr>
      <t xml:space="preserve">建価データによる。  </t>
    </r>
    <r>
      <rPr>
        <sz val="9"/>
        <color rgb="FF0000FF"/>
        <rFont val="HG明朝B"/>
        <family val="1"/>
        <charset val="128"/>
      </rPr>
      <t>需要率：</t>
    </r>
    <r>
      <rPr>
        <sz val="9"/>
        <color theme="1"/>
        <rFont val="HG明朝B"/>
        <family val="1"/>
        <charset val="128"/>
      </rPr>
      <t>１.０</t>
    </r>
    <phoneticPr fontId="1"/>
  </si>
  <si>
    <r>
      <t>　ＤmKW、ＤmKVar、ＤmKVA：</t>
    </r>
    <r>
      <rPr>
        <sz val="9"/>
        <color rgb="FF0000FF"/>
        <rFont val="HG明朝B"/>
        <family val="1"/>
        <charset val="128"/>
      </rPr>
      <t>受変電設備工事 "需要容量" 参照。</t>
    </r>
    <phoneticPr fontId="1"/>
  </si>
  <si>
    <r>
      <t>　配管配線材料　：１３０％ を計上</t>
    </r>
    <r>
      <rPr>
        <sz val="9"/>
        <color theme="1" tint="4.9989318521683403E-2"/>
        <rFont val="HG明朝B"/>
        <family val="1"/>
        <charset val="128"/>
      </rPr>
      <t>　　　　　変更修正可</t>
    </r>
    <phoneticPr fontId="1"/>
  </si>
  <si>
    <r>
      <t>　照 明 器 具　 ：１００％ を計上</t>
    </r>
    <r>
      <rPr>
        <sz val="9"/>
        <color theme="1" tint="4.9989318521683403E-2"/>
        <rFont val="HG明朝B"/>
        <family val="1"/>
        <charset val="128"/>
      </rPr>
      <t>　　　　　変更修正可</t>
    </r>
    <phoneticPr fontId="1"/>
  </si>
  <si>
    <r>
      <t>　電工歩掛指定　：</t>
    </r>
    <r>
      <rPr>
        <sz val="9"/>
        <color theme="1" tint="4.9989318521683403E-2"/>
        <rFont val="HG明朝B"/>
        <family val="1"/>
        <charset val="128"/>
      </rPr>
      <t>基準設定値＝歩掛-１</t>
    </r>
    <r>
      <rPr>
        <sz val="9"/>
        <color rgb="FF0000FF"/>
        <rFont val="HG明朝B"/>
        <family val="1"/>
        <charset val="128"/>
      </rPr>
      <t>　　（歩掛-２、歩掛-３ 選択可）</t>
    </r>
    <phoneticPr fontId="1"/>
  </si>
  <si>
    <t>　　　　　  　 　 歩掛-２、歩掛-３：ユーザー登録必要</t>
    <rPh sb="25" eb="27">
      <t>トウロク</t>
    </rPh>
    <rPh sb="27" eb="29">
      <t>ヒツヨウ</t>
    </rPh>
    <phoneticPr fontId="1"/>
  </si>
  <si>
    <t>　電  工　 費　 ：電 工 費 金額の １１５％ を計上</t>
    <rPh sb="1" eb="2">
      <t>デン</t>
    </rPh>
    <rPh sb="4" eb="5">
      <t>コウ</t>
    </rPh>
    <rPh sb="7" eb="8">
      <t>ヒ</t>
    </rPh>
    <rPh sb="11" eb="12">
      <t>デン</t>
    </rPh>
    <rPh sb="13" eb="14">
      <t>コウ</t>
    </rPh>
    <rPh sb="15" eb="16">
      <t>ヒ</t>
    </rPh>
    <rPh sb="17" eb="19">
      <t>キンガク</t>
    </rPh>
    <rPh sb="27" eb="29">
      <t>ケイジョウ</t>
    </rPh>
    <phoneticPr fontId="1"/>
  </si>
  <si>
    <r>
      <t>　自火報回路配線長［ｍ］：</t>
    </r>
    <r>
      <rPr>
        <sz val="9"/>
        <color rgb="FF0000FF"/>
        <rFont val="HG明朝B"/>
        <family val="1"/>
        <charset val="128"/>
      </rPr>
      <t>水平配線長＋垂直配線長＋配線余長＋(梁巻配線長)　</t>
    </r>
  </si>
  <si>
    <r>
      <t>　防排煙回路配線長［ｍ］：</t>
    </r>
    <r>
      <rPr>
        <sz val="9"/>
        <color rgb="FF0000FF"/>
        <rFont val="HG明朝B"/>
        <family val="1"/>
        <charset val="128"/>
      </rPr>
      <t>水平配線長＋垂直配線長＋配線余長＋(梁巻配線長)　 総合盤～第１ボックス</t>
    </r>
  </si>
  <si>
    <r>
      <t>　総合盤間　配線長［ｍ］：</t>
    </r>
    <r>
      <rPr>
        <sz val="9"/>
        <color rgb="FF0000FF"/>
        <rFont val="HG明朝B"/>
        <family val="1"/>
        <charset val="128"/>
      </rPr>
      <t>垂直配線長＋配線余長</t>
    </r>
  </si>
  <si>
    <r>
      <t>　</t>
    </r>
    <r>
      <rPr>
        <sz val="9"/>
        <color theme="1" tint="4.9989318521683403E-2"/>
        <rFont val="HG明朝B"/>
        <family val="1"/>
        <charset val="128"/>
      </rPr>
      <t>梁成＝"０"</t>
    </r>
    <r>
      <rPr>
        <sz val="9"/>
        <color rgb="FF0000FF"/>
        <rFont val="HG明朝B"/>
        <family val="1"/>
        <charset val="128"/>
      </rPr>
      <t xml:space="preserve"> でないとき、梁巻き配線長 ＝ 必要数 [ｍ]　　　梁渡り配管長 ＝ ０[ｍ]</t>
    </r>
    <phoneticPr fontId="1"/>
  </si>
  <si>
    <r>
      <t>　</t>
    </r>
    <r>
      <rPr>
        <sz val="9"/>
        <color theme="1" tint="4.9989318521683403E-2"/>
        <rFont val="HG明朝B"/>
        <family val="1"/>
        <charset val="128"/>
      </rPr>
      <t>梁間隔　基準設定値＝6,000 [ｍｍ]　　　変更修正可</t>
    </r>
    <phoneticPr fontId="1"/>
  </si>
  <si>
    <t>　施工方法 (防排煙)　基準設定値＝天井(Ｃ管)</t>
    <rPh sb="1" eb="3">
      <t>セコウ</t>
    </rPh>
    <rPh sb="3" eb="5">
      <t>ホウホウ</t>
    </rPh>
    <rPh sb="7" eb="10">
      <t>ボウハイエン</t>
    </rPh>
    <rPh sb="12" eb="14">
      <t>キジュン</t>
    </rPh>
    <rPh sb="14" eb="17">
      <t>セッテイチ</t>
    </rPh>
    <phoneticPr fontId="1"/>
  </si>
  <si>
    <t>　　　　　　選択変更：天井ケーブル、天井(ＰＦ管)、天井(ＣＤ管)、天井(Ｇ管)</t>
    <rPh sb="6" eb="8">
      <t>センタク</t>
    </rPh>
    <rPh sb="8" eb="10">
      <t>ヘンコウ</t>
    </rPh>
    <rPh sb="11" eb="13">
      <t>テンジョウ</t>
    </rPh>
    <phoneticPr fontId="1"/>
  </si>
  <si>
    <r>
      <t>　材料単価指定　　：</t>
    </r>
    <r>
      <rPr>
        <sz val="9"/>
        <color theme="1" tint="4.9989318521683403E-2"/>
        <rFont val="HG明朝B"/>
        <family val="1"/>
        <charset val="128"/>
      </rPr>
      <t>基準設定値＝単価-１</t>
    </r>
    <r>
      <rPr>
        <sz val="9"/>
        <color rgb="FF0000FF"/>
        <rFont val="HG明朝B"/>
        <family val="1"/>
        <charset val="128"/>
      </rPr>
      <t>　（単価-２、単価-３、単価-４ 選択可）</t>
    </r>
    <phoneticPr fontId="1"/>
  </si>
  <si>
    <t>　　　　　  　　　  単価-２、単価-３、単価-４：ユーザー登録必要</t>
    <rPh sb="12" eb="14">
      <t>タンカ</t>
    </rPh>
    <rPh sb="31" eb="33">
      <t>トウロク</t>
    </rPh>
    <rPh sb="33" eb="35">
      <t>ヒツヨウ</t>
    </rPh>
    <phoneticPr fontId="1"/>
  </si>
  <si>
    <r>
      <t>　配管配線材料　　：１３０％ を計上</t>
    </r>
    <r>
      <rPr>
        <sz val="9"/>
        <color theme="1" tint="4.9989318521683403E-2"/>
        <rFont val="HG明朝B"/>
        <family val="1"/>
        <charset val="128"/>
      </rPr>
      <t>　　　　　　変更修正可</t>
    </r>
    <phoneticPr fontId="1"/>
  </si>
  <si>
    <r>
      <t>　自火報防排煙機器：１００％ を計上</t>
    </r>
    <r>
      <rPr>
        <sz val="9"/>
        <color theme="1" tint="4.9989318521683403E-2"/>
        <rFont val="HG明朝B"/>
        <family val="1"/>
        <charset val="128"/>
      </rPr>
      <t>　　　　　　変更修正可</t>
    </r>
    <phoneticPr fontId="1"/>
  </si>
  <si>
    <r>
      <t>　副受信機の設置　：</t>
    </r>
    <r>
      <rPr>
        <sz val="9"/>
        <color theme="1" tint="4.9989318521683403E-2"/>
        <rFont val="HG明朝B"/>
        <family val="1"/>
        <charset val="128"/>
      </rPr>
      <t>基準設定値＝"要"</t>
    </r>
    <r>
      <rPr>
        <sz val="9"/>
        <color rgb="FF0000FF"/>
        <rFont val="HG明朝B"/>
        <family val="1"/>
        <charset val="128"/>
      </rPr>
      <t>　　　選択変更："不要"</t>
    </r>
    <phoneticPr fontId="1"/>
  </si>
  <si>
    <r>
      <t>　電工歩掛指定　  ：</t>
    </r>
    <r>
      <rPr>
        <sz val="9"/>
        <color theme="1" tint="4.9989318521683403E-2"/>
        <rFont val="HG明朝B"/>
        <family val="1"/>
        <charset val="128"/>
      </rPr>
      <t>基準設定値＝歩掛-１</t>
    </r>
    <r>
      <rPr>
        <sz val="9"/>
        <color rgb="FF0000FF"/>
        <rFont val="HG明朝B"/>
        <family val="1"/>
        <charset val="128"/>
      </rPr>
      <t xml:space="preserve"> （歩掛-２、歩掛-３ 選択可）</t>
    </r>
    <phoneticPr fontId="1"/>
  </si>
  <si>
    <t>　　　　　  　　　  歩掛-２、歩掛-３：ユーザー登録必要</t>
    <rPh sb="26" eb="28">
      <t>トウロク</t>
    </rPh>
    <rPh sb="28" eb="30">
      <t>ヒツヨウ</t>
    </rPh>
    <phoneticPr fontId="1"/>
  </si>
  <si>
    <r>
      <t>　電 工  単 価　　：原価内訳書で設定した値を表示。</t>
    </r>
    <r>
      <rPr>
        <sz val="9"/>
        <color theme="1" tint="4.9989318521683403E-2"/>
        <rFont val="HG明朝B"/>
        <family val="1"/>
        <charset val="128"/>
      </rPr>
      <t>（この工事種目のみの変更修正可）</t>
    </r>
    <phoneticPr fontId="1"/>
  </si>
  <si>
    <t>　電　 工　 費 　 ：電 工 費 金額の １１５％ を計上</t>
    <rPh sb="1" eb="2">
      <t>デン</t>
    </rPh>
    <rPh sb="4" eb="5">
      <t>コウ</t>
    </rPh>
    <rPh sb="7" eb="8">
      <t>ヒ</t>
    </rPh>
    <rPh sb="12" eb="13">
      <t>デン</t>
    </rPh>
    <rPh sb="14" eb="15">
      <t>コウ</t>
    </rPh>
    <rPh sb="16" eb="17">
      <t>ヒ</t>
    </rPh>
    <rPh sb="18" eb="20">
      <t>キンガク</t>
    </rPh>
    <rPh sb="28" eb="30">
      <t>ケイジョウ</t>
    </rPh>
    <phoneticPr fontId="1"/>
  </si>
  <si>
    <t>　標準設定値は、ＰＦで"⑨"です。RFは、床面積に応じて、"⑨"、"⑧"、"⑦"、"⑤"、"④"です。</t>
    <rPh sb="1" eb="3">
      <t>ヒョウジュン</t>
    </rPh>
    <rPh sb="3" eb="6">
      <t>セッテイチ</t>
    </rPh>
    <rPh sb="21" eb="24">
      <t>ユカメンセキ</t>
    </rPh>
    <rPh sb="25" eb="26">
      <t>オウ</t>
    </rPh>
    <phoneticPr fontId="1"/>
  </si>
  <si>
    <t>　ＴＶ.Ant 素子 を 保護角内に入れるために TVポールの頂部から上を何ｍ保護角内とするかで決まる数値</t>
    <phoneticPr fontId="1"/>
  </si>
  <si>
    <r>
      <t>導線取付金物　</t>
    </r>
    <r>
      <rPr>
        <sz val="9"/>
        <color rgb="FF0000FF"/>
        <rFont val="HG明朝B"/>
        <family val="1"/>
        <charset val="128"/>
      </rPr>
      <t>取付間隔：600[ｍｍ]</t>
    </r>
    <phoneticPr fontId="1"/>
  </si>
  <si>
    <t>　3. 突針の先端は、可燃物から０.３ｍ以上、突出させる。</t>
    <phoneticPr fontId="1"/>
  </si>
  <si>
    <t>　4. 突針は、直径１２mm以上の棒（銅、アルミ、亜鉛メッキした鉄若しくは鋼）又は同等以上の強度およ</t>
    <phoneticPr fontId="1"/>
  </si>
  <si>
    <t>　　 び性能のものとする。</t>
    <phoneticPr fontId="1"/>
  </si>
  <si>
    <t>　　 銅の場合３０sqmm以上、アルミニウムの場合５０sqmm 以上。</t>
    <phoneticPr fontId="1"/>
  </si>
  <si>
    <t>　3. むね上げ導体は、陸屋根に設置に設置された手すり、フェンスなどの金属体 (直径１２mm以上の銅棒、</t>
    <phoneticPr fontId="1"/>
  </si>
  <si>
    <t>　　 又はこれと同等以上のもの)をもって代えてもよい。ただし、金属体相互は電気的に完全に接続する。</t>
    <phoneticPr fontId="1"/>
  </si>
  <si>
    <t>　4. むね上げ導体の保護角は、６０度以下（危険物貯蔵庫は４５度とする。</t>
    <phoneticPr fontId="1"/>
  </si>
  <si>
    <t>　5. 保護範囲に入らない屋根の部分は､非保護範囲部分の各点からむね上げ導体までの水平距離が１０ｍ以</t>
    <phoneticPr fontId="1"/>
  </si>
  <si>
    <t>　　 下になるようにする。</t>
    <phoneticPr fontId="1"/>
  </si>
  <si>
    <t>　6. むね上げ導体の可燃物との距離は、０.３ｍ以下とする。</t>
    <phoneticPr fontId="1"/>
  </si>
  <si>
    <t xml:space="preserve">　2. 被保護物の外周に沿って測った引下げ導線の間隔は、原則として ５０ｍ 以内とする。 </t>
    <phoneticPr fontId="1"/>
  </si>
  <si>
    <t>　　 ３０sqmm以上、アルミニウムの場合５０sqmm 以上。</t>
    <phoneticPr fontId="1"/>
  </si>
  <si>
    <t>　7. 引下げ導線が地上から地中に入る部分は、硬質ビニル管又は非磁性金属菅内を通じて、地上２.５ｍ以上</t>
    <phoneticPr fontId="1"/>
  </si>
  <si>
    <t>　　 以下のものについては１条でよい。</t>
    <phoneticPr fontId="1"/>
  </si>
  <si>
    <t>　1. 引下げ導線の数は一つの被保護物について２条以上とする。ただし､被保護物の水平投影面積が５０平米</t>
    <phoneticPr fontId="1"/>
  </si>
  <si>
    <t>　　 のところから地下 ０.３ｍ 以上を機械的に保護する。</t>
    <phoneticPr fontId="1"/>
  </si>
  <si>
    <t>　8. 避雷導線は、電灯線、電話線又はガス管から １.５ｍ以上離す。</t>
    <phoneticPr fontId="1"/>
  </si>
  <si>
    <t>　9. 避雷導線から距離 １.５ｍ以内に接近する鉄はしご等の金属体は接地する。</t>
    <phoneticPr fontId="1"/>
  </si>
  <si>
    <r>
      <t xml:space="preserve"> 10. Ｓ造､ＳＲＣ造､ＲＣ造の場合は、鉄骨・鉄筋(２条以上)をもって引下げ導線に代えてもよい。</t>
    </r>
    <r>
      <rPr>
        <sz val="9"/>
        <color theme="1" tint="4.9989318521683403E-2"/>
        <rFont val="HG明朝B"/>
        <family val="1"/>
        <charset val="128"/>
      </rPr>
      <t>(簡略法)</t>
    </r>
    <phoneticPr fontId="1"/>
  </si>
  <si>
    <t>　2. 接地極は、長さ １.５ｍ以上、外径１２ｍｍ以上の溶融亜鉛めっき銅棒、銅被鋼棒、銅棒等又は面積</t>
    <phoneticPr fontId="1"/>
  </si>
  <si>
    <t xml:space="preserve">　　 が片面 ０.３５平米以上の銅板（厚さ １.４ｍｍ以上）等を使用する。 </t>
    <rPh sb="11" eb="13">
      <t>ヘイベイ</t>
    </rPh>
    <phoneticPr fontId="1"/>
  </si>
  <si>
    <t>　3. 接地極は、地下 ０.５ｍ 以上の深さに埋設する。</t>
    <phoneticPr fontId="1"/>
  </si>
  <si>
    <t>　4. 総合接地抵抗は、１０Ω 以下とする。なお各引下げ導線の単独接地抵抗は ５０Ω 以下とする。</t>
    <phoneticPr fontId="1"/>
  </si>
  <si>
    <t>　5. 接地極又は埋設地線は、なるべく １.５ｍ以上離す。</t>
    <phoneticPr fontId="1"/>
  </si>
  <si>
    <t>　6. 非保護物の基礎の接地抵抗値が５Ω以下の場合、接地極を省略してもよい。</t>
    <phoneticPr fontId="1"/>
  </si>
  <si>
    <r>
      <t>　7. 建築物の地下部分 (くい等を除く) の表面積Ａ平米が、Ａ≧0.0576×ρ</t>
    </r>
    <r>
      <rPr>
        <vertAlign val="superscript"/>
        <sz val="10"/>
        <color rgb="FF0000FF"/>
        <rFont val="HG明朝B"/>
        <family val="1"/>
        <charset val="128"/>
      </rPr>
      <t xml:space="preserve">2 </t>
    </r>
    <r>
      <rPr>
        <sz val="9"/>
        <color rgb="FF0000FF"/>
        <rFont val="HG明朝B"/>
        <family val="1"/>
        <charset val="128"/>
      </rPr>
      <t>場合は、接地極を省略でき</t>
    </r>
    <phoneticPr fontId="1"/>
  </si>
  <si>
    <t>　　 る。 ρ：大地抵抗率 [Ω・ｍ]</t>
    <phoneticPr fontId="1"/>
  </si>
  <si>
    <t>　保護レベルとは､雷保護システムが雷の影響から被保護物を保護する確率を表し、自然現象である雷放電に</t>
    <phoneticPr fontId="1"/>
  </si>
  <si>
    <r>
      <t>　 レベル を Ⅰ、Ⅱ、Ⅲ、Ⅳ の４段階に設定され、</t>
    </r>
    <r>
      <rPr>
        <sz val="9"/>
        <color theme="1" tint="4.9989318521683403E-2"/>
        <rFont val="HG明朝B"/>
        <family val="1"/>
        <charset val="128"/>
      </rPr>
      <t>本ソフトは、この設定により数量を算出しています。</t>
    </r>
    <phoneticPr fontId="1"/>
  </si>
  <si>
    <t>　　レベル　保護効率　雷撃電流　雷撃電流　　波高値以下の　　　半径　　保護角　引下間隔　 メッシュ　</t>
    <phoneticPr fontId="1"/>
  </si>
  <si>
    <t xml:space="preserve">　　　　　　　 　　　　[ＫＡ]　　[ＫＡ]　　　の発生確率　　　　　　　　　　　　　　　　　  間隔 </t>
    <phoneticPr fontId="1"/>
  </si>
  <si>
    <t>　　　Ⅰ　 　 98％　 　 200　　 　 2.9　　　　　1％　　　　　 20 ｍ　　 55゜　  10 ｍ　　　5 ｍ</t>
    <phoneticPr fontId="1"/>
  </si>
  <si>
    <t>　　　Ⅱ　　  95％　　　150　　　　5.4　　 　　 3％　　　　　 30 ｍ　　 45゜　　15 ｍ　　 10 ｍ</t>
    <phoneticPr fontId="1"/>
  </si>
  <si>
    <t>　　　Ⅲ　　  90％　　　100　　　 10.1　　　　　9％　　　　　 45 ｍ　　 35゜　　20 ｍ　　 15 ｍ</t>
    <phoneticPr fontId="1"/>
  </si>
  <si>
    <t xml:space="preserve">　　　Ⅳ　　  80％　　　100　　　 15.7　　     16％　　　　　 60 ｍ　　 25゜　　25 ｍ　　 20 ｍ </t>
    <phoneticPr fontId="1"/>
  </si>
  <si>
    <t xml:space="preserve">　　　　建築物の種類                               推奨保護レベル </t>
    <phoneticPr fontId="1"/>
  </si>
  <si>
    <t>　　一般住宅(低層住宅)　　　　　　　　 　　 保護レベルⅢ～保護レベルⅣ</t>
    <phoneticPr fontId="1"/>
  </si>
  <si>
    <t>　　民家、橋、屋外照明柱　　　　　　 　　 （雷による損失が関係する担当者の判断により小、及び、</t>
    <phoneticPr fontId="1"/>
  </si>
  <si>
    <t>　　　　　　　　　　　　　　　　　　　  　　雷の発生頻度が小と予測される場合は、保護レベルⅣ</t>
    <phoneticPr fontId="1"/>
  </si>
  <si>
    <t>　　　　な機器への誘導雷通過電圧を緩和する手段などである。</t>
    <phoneticPr fontId="1"/>
  </si>
  <si>
    <t>　∑｛[突針長(ＪＩＳ大=0.46 ｍ／ＪＩＳ中=0.33 ｍ)] ､[支持管長 ｍ ]､[コンクリート基礎高さ 0.5ｍ ｝</t>
    <phoneticPr fontId="1"/>
  </si>
  <si>
    <r>
      <t>建物外周：</t>
    </r>
    <r>
      <rPr>
        <sz val="9"/>
        <color rgb="FF0000FF"/>
        <rFont val="HG明朝B"/>
        <family val="1"/>
        <charset val="128"/>
      </rPr>
      <t xml:space="preserve">建物１階部分の通り芯外周長[ｍ]＋４[ｍ]　　　　 (注) ４[ｍ]＝0.5×2×4 </t>
    </r>
    <phoneticPr fontId="1"/>
  </si>
  <si>
    <t>　　材  質：Ａ-黄銅製　　　   　 |　Ｓ-ステンレス　　　　　端子数：１-１組</t>
    <phoneticPr fontId="1"/>
  </si>
  <si>
    <t>　　　　　 ２Ａ-２組 ＋ 測定用１組</t>
    <phoneticPr fontId="1"/>
  </si>
  <si>
    <t>　　箱形式：Ｆ-埋込形平板式　　　|　Ｇ-埋込形折曲式　　　　１Ａ-１組 ＋ 測定用１組</t>
    <phoneticPr fontId="1"/>
  </si>
  <si>
    <t>　　　　　　Ｓ-露出形平板式　    |　Ｔ-露出形折曲式　　　　Ｙ-３方分岐１組</t>
    <phoneticPr fontId="1"/>
  </si>
  <si>
    <t>　　　 　　２-２組</t>
    <phoneticPr fontId="1"/>
  </si>
  <si>
    <r>
      <t>水切端子</t>
    </r>
    <r>
      <rPr>
        <sz val="9"/>
        <color rgb="FF0000FF"/>
        <rFont val="Meiryo UI"/>
        <family val="3"/>
        <charset val="128"/>
      </rPr>
      <t>　　</t>
    </r>
    <r>
      <rPr>
        <sz val="9"/>
        <color rgb="FF0000FF"/>
        <rFont val="HG明朝B"/>
        <family val="1"/>
        <charset val="128"/>
      </rPr>
      <t>水切-1：接続端子 水切型 パラペット</t>
    </r>
    <phoneticPr fontId="1"/>
  </si>
  <si>
    <r>
      <t>　　　　　    　</t>
    </r>
    <r>
      <rPr>
        <sz val="9"/>
        <color rgb="FF0000FF"/>
        <rFont val="HG明朝B"/>
        <family val="1"/>
        <charset val="128"/>
      </rPr>
      <t>水切-2：接続端子 水切型 ツバ付</t>
    </r>
    <phoneticPr fontId="1"/>
  </si>
  <si>
    <t>　ＴＶ.Ant ポール長（自立型）＋ コンクリート基礎高(０.５ｍ)</t>
    <phoneticPr fontId="1"/>
  </si>
  <si>
    <r>
      <t>　電 工 単 価 　：原価内訳書で設定した値を表示。</t>
    </r>
    <r>
      <rPr>
        <sz val="9"/>
        <color theme="1" tint="4.9989318521683403E-2"/>
        <rFont val="HG明朝B"/>
        <family val="1"/>
        <charset val="128"/>
      </rPr>
      <t>（この工事種目のみの変更修正可）</t>
    </r>
  </si>
  <si>
    <r>
      <t>　配管配線材料　：１２０％ を計上</t>
    </r>
    <r>
      <rPr>
        <sz val="9"/>
        <color theme="1" tint="4.9989318521683403E-2"/>
        <rFont val="HG明朝B"/>
        <family val="1"/>
        <charset val="128"/>
      </rPr>
      <t>　　　　　変更修正可</t>
    </r>
    <phoneticPr fontId="1"/>
  </si>
  <si>
    <r>
      <t>　雷設備機器類　：１１０％ を計上</t>
    </r>
    <r>
      <rPr>
        <sz val="9"/>
        <color theme="1" tint="4.9989318521683403E-2"/>
        <rFont val="HG明朝B"/>
        <family val="1"/>
        <charset val="128"/>
      </rPr>
      <t>　　　　　変更修正可</t>
    </r>
    <phoneticPr fontId="1"/>
  </si>
  <si>
    <r>
      <t>　電工歩掛指定  ：</t>
    </r>
    <r>
      <rPr>
        <sz val="9"/>
        <color theme="1" tint="4.9989318521683403E-2"/>
        <rFont val="HG明朝B"/>
        <family val="1"/>
        <charset val="128"/>
      </rPr>
      <t>基準設定値＝歩掛-１　</t>
    </r>
    <r>
      <rPr>
        <sz val="9"/>
        <color rgb="FF0000FF"/>
        <rFont val="HG明朝B"/>
        <family val="1"/>
        <charset val="128"/>
      </rPr>
      <t>　（歩掛-２、歩掛-３ 選択可）</t>
    </r>
    <phoneticPr fontId="1"/>
  </si>
  <si>
    <t>　　　　　  　　  　　　　　　　　　　　　 歩掛-２、歩掛-３：ユーザー登録必要</t>
    <rPh sb="38" eb="40">
      <t>トウロク</t>
    </rPh>
    <rPh sb="40" eb="42">
      <t>ヒツヨウ</t>
    </rPh>
    <phoneticPr fontId="1"/>
  </si>
  <si>
    <t>　電　 工　 費  ：電 工 費 金額の １１５％ を計上</t>
    <rPh sb="1" eb="2">
      <t>デン</t>
    </rPh>
    <rPh sb="4" eb="5">
      <t>コウ</t>
    </rPh>
    <rPh sb="7" eb="8">
      <t>ヒ</t>
    </rPh>
    <rPh sb="11" eb="12">
      <t>デン</t>
    </rPh>
    <rPh sb="13" eb="14">
      <t>コウ</t>
    </rPh>
    <rPh sb="15" eb="16">
      <t>ヒ</t>
    </rPh>
    <rPh sb="17" eb="19">
      <t>キンガク</t>
    </rPh>
    <rPh sb="27" eb="29">
      <t>ケイジョウ</t>
    </rPh>
    <phoneticPr fontId="1"/>
  </si>
  <si>
    <r>
      <t>　受 信 方 式　　　　 基準設定値：共聴アンテナ</t>
    </r>
    <r>
      <rPr>
        <sz val="9"/>
        <color rgb="FF0000FF"/>
        <rFont val="HG明朝B"/>
        <family val="1"/>
        <charset val="128"/>
      </rPr>
      <t>　　　　　　　　　選択変更：ＣＡＴＶ</t>
    </r>
    <phoneticPr fontId="1"/>
  </si>
  <si>
    <r>
      <t>　共聴アンテナ　　　　基準設定値：ＵＨＦ×1，ＢＳ×1，ＣＳ×1</t>
    </r>
    <r>
      <rPr>
        <sz val="9"/>
        <color rgb="FF0000FF"/>
        <rFont val="HG明朝B"/>
        <family val="1"/>
        <charset val="128"/>
      </rPr>
      <t>　 選択変更：ＣＡＴＶ</t>
    </r>
    <phoneticPr fontId="1"/>
  </si>
  <si>
    <t>　　  選択変更：ＵＨＦ×(1～3)、ＵＨＦ×(1～3)＋ＢＳ×1、ＵＨＦ×(2～3)＋BS×1＋ＣＳ×1</t>
    <phoneticPr fontId="1"/>
  </si>
  <si>
    <r>
      <t>　共聴アンテナポール　基準設定値：自立型</t>
    </r>
    <r>
      <rPr>
        <sz val="9"/>
        <color rgb="FF0000FF"/>
        <rFont val="HG明朝B"/>
        <family val="1"/>
        <charset val="128"/>
      </rPr>
      <t>　　　選択変更：外壁取付</t>
    </r>
    <phoneticPr fontId="1"/>
  </si>
  <si>
    <r>
      <t>　直列ユニット　　　　基準設定値：１端子　　</t>
    </r>
    <r>
      <rPr>
        <sz val="9"/>
        <color rgb="FF0000FF"/>
        <rFont val="HG明朝B"/>
        <family val="1"/>
        <charset val="128"/>
      </rPr>
      <t>　選択変更：２端子</t>
    </r>
    <phoneticPr fontId="1"/>
  </si>
  <si>
    <r>
      <t>　端子盤（</t>
    </r>
    <r>
      <rPr>
        <b/>
        <sz val="9"/>
        <color rgb="FF0000FF"/>
        <rFont val="Times New Roman"/>
        <family val="1"/>
      </rPr>
      <t>Terminal board</t>
    </r>
    <r>
      <rPr>
        <sz val="9"/>
        <color rgb="FF0000FF"/>
        <rFont val="HG明朝B"/>
        <family val="1"/>
        <charset val="128"/>
      </rPr>
      <t>）の位置入力</t>
    </r>
    <rPh sb="1" eb="4">
      <t>タンシバン</t>
    </rPh>
    <rPh sb="21" eb="23">
      <t>イチ</t>
    </rPh>
    <rPh sb="23" eb="25">
      <t>ニュウリョク</t>
    </rPh>
    <phoneticPr fontId="1"/>
  </si>
  <si>
    <t>　　強電界地域   ：８０[dBμＶ/ｍ]　共聴アンテナ 推奨</t>
    <phoneticPr fontId="1"/>
  </si>
  <si>
    <t>　　中電界地域 　：７０[dBμＶ/ｍ]　共聴アンテナ 推奨</t>
    <phoneticPr fontId="1"/>
  </si>
  <si>
    <t>　　放送区域の端 ：６０[dBμＶ/ｍ]　受信方式 要検討</t>
    <phoneticPr fontId="1"/>
  </si>
  <si>
    <t>　　放送区域外　 ：５５[dBμＶ/ｍ]　ＣＡＴＶ受信 推奨</t>
    <phoneticPr fontId="1"/>
  </si>
  <si>
    <t>　　　基準設定値 ：６５[dBμＶ/ｍ] ･･････････ 共聴アンテナ</t>
    <rPh sb="3" eb="5">
      <t>キジュン</t>
    </rPh>
    <phoneticPr fontId="1"/>
  </si>
  <si>
    <t>　　　基準設定値 ：７５[dBμＶ/ｍ] ･･････････ ＣＡＴＶ</t>
    <rPh sb="3" eb="5">
      <t>キジュン</t>
    </rPh>
    <phoneticPr fontId="1"/>
  </si>
  <si>
    <t>　　  　　 山影、ビル影等が原因で受信電界強度の低下が予想される場合、実測(測定費用は、原則有料)</t>
    <phoneticPr fontId="1"/>
  </si>
  <si>
    <t>　　  　　 する必要があります。</t>
    <phoneticPr fontId="1"/>
  </si>
  <si>
    <t>　電界強度[dBμV/m]　基準設定値 (共聴アンテナ)＝65[dBμＶ/ｍ] ／ (CATV)＝75[dBμＶ/ｍ]</t>
    <rPh sb="1" eb="3">
      <t>デンカイ</t>
    </rPh>
    <rPh sb="3" eb="5">
      <t>キョウド</t>
    </rPh>
    <rPh sb="14" eb="16">
      <t>キジュン</t>
    </rPh>
    <rPh sb="16" eb="19">
      <t>セッテイチ</t>
    </rPh>
    <rPh sb="21" eb="22">
      <t>トモ</t>
    </rPh>
    <rPh sb="22" eb="23">
      <t>チョウ</t>
    </rPh>
    <phoneticPr fontId="1"/>
  </si>
  <si>
    <r>
      <t>　配線方式（Ａ）</t>
    </r>
    <r>
      <rPr>
        <sz val="9"/>
        <color rgb="FF0000FF"/>
        <rFont val="HG明朝B"/>
        <family val="1"/>
        <charset val="128"/>
      </rPr>
      <t>　　 階の直列ユニット数：２４以下</t>
    </r>
    <phoneticPr fontId="1"/>
  </si>
  <si>
    <r>
      <t>　配線方式（B）</t>
    </r>
    <r>
      <rPr>
        <sz val="9"/>
        <color rgb="FF0000FF"/>
        <rFont val="HG明朝B"/>
        <family val="1"/>
        <charset val="128"/>
      </rPr>
      <t>　　 階の直列ユニット数：１２以下</t>
    </r>
    <phoneticPr fontId="1"/>
  </si>
  <si>
    <r>
      <t>　配線方式（C）</t>
    </r>
    <r>
      <rPr>
        <sz val="9"/>
        <color rgb="FF0000FF"/>
        <rFont val="HG明朝B"/>
        <family val="1"/>
        <charset val="128"/>
      </rPr>
      <t>　　 階の直列ユニット数：１８０以下</t>
    </r>
    <phoneticPr fontId="1"/>
  </si>
  <si>
    <r>
      <t>　　　</t>
    </r>
    <r>
      <rPr>
        <b/>
        <sz val="9"/>
        <color rgb="FF0000FF"/>
        <rFont val="Times New Roman"/>
        <family val="1"/>
      </rPr>
      <t>Pull Down List</t>
    </r>
    <r>
      <rPr>
        <sz val="9"/>
        <color rgb="FF0000FF"/>
        <rFont val="HG明朝B"/>
        <family val="1"/>
        <charset val="128"/>
      </rPr>
      <t xml:space="preserve"> から "設置" または "不要" の何れかを選択可。</t>
    </r>
    <rPh sb="42" eb="43">
      <t>カ</t>
    </rPh>
    <phoneticPr fontId="1"/>
  </si>
  <si>
    <r>
      <t>　使用ケーブルの種類　基準設定値：</t>
    </r>
    <r>
      <rPr>
        <sz val="9"/>
        <color rgb="FF0000FF"/>
        <rFont val="HG明朝B"/>
        <family val="1"/>
        <charset val="128"/>
      </rPr>
      <t>ｎCｰBF　　　選択変更：ｎC-2V･2W</t>
    </r>
    <phoneticPr fontId="1"/>
  </si>
  <si>
    <t>　　　　　　選択変更：天井ＰＦ管、天井ＣＤ管、天井Ｃ管、天井Ｇ管</t>
    <rPh sb="6" eb="8">
      <t>センタク</t>
    </rPh>
    <rPh sb="8" eb="10">
      <t>ヘンコウ</t>
    </rPh>
    <rPh sb="11" eb="13">
      <t>テンジョウ</t>
    </rPh>
    <rPh sb="15" eb="16">
      <t>カン</t>
    </rPh>
    <phoneticPr fontId="1"/>
  </si>
  <si>
    <t>　施工方法  (アンテナ部)配線　基準設定値＝５Ｃ-ＦＢ</t>
    <rPh sb="1" eb="3">
      <t>セコウ</t>
    </rPh>
    <rPh sb="3" eb="5">
      <t>ホウホウ</t>
    </rPh>
    <rPh sb="12" eb="13">
      <t>ブ</t>
    </rPh>
    <rPh sb="14" eb="16">
      <t>ハイセン</t>
    </rPh>
    <rPh sb="17" eb="19">
      <t>キジュン</t>
    </rPh>
    <rPh sb="19" eb="22">
      <t>セッテイチ</t>
    </rPh>
    <phoneticPr fontId="1"/>
  </si>
  <si>
    <t>　　　　　　選択変更：ＰＦ管、ＣＤ管、Ｃ管、Ｇ管</t>
    <rPh sb="6" eb="8">
      <t>センタク</t>
    </rPh>
    <rPh sb="8" eb="10">
      <t>ヘンコウ</t>
    </rPh>
    <rPh sb="13" eb="14">
      <t>カン</t>
    </rPh>
    <rPh sb="17" eb="18">
      <t>カン</t>
    </rPh>
    <rPh sb="20" eb="21">
      <t>カン</t>
    </rPh>
    <rPh sb="23" eb="24">
      <t>カン</t>
    </rPh>
    <phoneticPr fontId="1"/>
  </si>
  <si>
    <t>　施工方法  (幹線部)配線　　　基準設定値＝７Ｃ-ＦＢ</t>
    <rPh sb="1" eb="3">
      <t>セコウ</t>
    </rPh>
    <rPh sb="3" eb="5">
      <t>ホウホウ</t>
    </rPh>
    <rPh sb="8" eb="10">
      <t>カンセン</t>
    </rPh>
    <rPh sb="10" eb="11">
      <t>ブ</t>
    </rPh>
    <rPh sb="12" eb="14">
      <t>ハイセン</t>
    </rPh>
    <rPh sb="17" eb="19">
      <t>キジュン</t>
    </rPh>
    <rPh sb="19" eb="22">
      <t>セッテイチ</t>
    </rPh>
    <phoneticPr fontId="1"/>
  </si>
  <si>
    <t>　施工方法  (幹線部)配管　　　基準設定値＝ＰＦ管</t>
    <rPh sb="1" eb="3">
      <t>セコウ</t>
    </rPh>
    <rPh sb="3" eb="5">
      <t>ホウホウ</t>
    </rPh>
    <rPh sb="8" eb="10">
      <t>カンセン</t>
    </rPh>
    <rPh sb="10" eb="11">
      <t>ブ</t>
    </rPh>
    <rPh sb="12" eb="14">
      <t>ハイカン</t>
    </rPh>
    <rPh sb="17" eb="19">
      <t>キジュン</t>
    </rPh>
    <rPh sb="19" eb="22">
      <t>セッテイチ</t>
    </rPh>
    <rPh sb="25" eb="26">
      <t>カン</t>
    </rPh>
    <phoneticPr fontId="1"/>
  </si>
  <si>
    <t>　施工方法  (分岐部)配線　　　基準設定値＝５Ｃ-ＦＢ</t>
    <rPh sb="1" eb="3">
      <t>セコウ</t>
    </rPh>
    <rPh sb="3" eb="5">
      <t>ホウホウ</t>
    </rPh>
    <rPh sb="8" eb="10">
      <t>ブンキ</t>
    </rPh>
    <rPh sb="10" eb="11">
      <t>ブ</t>
    </rPh>
    <rPh sb="12" eb="14">
      <t>ハイセン</t>
    </rPh>
    <rPh sb="17" eb="19">
      <t>キジュン</t>
    </rPh>
    <rPh sb="19" eb="22">
      <t>セッテイチ</t>
    </rPh>
    <phoneticPr fontId="1"/>
  </si>
  <si>
    <t>　施工方法  (分岐部)配管　　　基準設定値＝ＰＦ管</t>
    <rPh sb="1" eb="3">
      <t>セコウ</t>
    </rPh>
    <rPh sb="3" eb="5">
      <t>ホウホウ</t>
    </rPh>
    <rPh sb="8" eb="10">
      <t>ブンキ</t>
    </rPh>
    <rPh sb="10" eb="11">
      <t>ブ</t>
    </rPh>
    <rPh sb="12" eb="14">
      <t>ハイカン</t>
    </rPh>
    <rPh sb="17" eb="19">
      <t>キジュン</t>
    </rPh>
    <rPh sb="19" eb="22">
      <t>セッテイチ</t>
    </rPh>
    <rPh sb="25" eb="26">
      <t>カン</t>
    </rPh>
    <phoneticPr fontId="1"/>
  </si>
  <si>
    <r>
      <t>　減衰量計算書</t>
    </r>
    <r>
      <rPr>
        <sz val="9"/>
        <color rgb="FF0000FF"/>
        <rFont val="HG明朝B"/>
        <family val="1"/>
        <charset val="128"/>
      </rPr>
      <t>　ＴＶ-Input[dBμV] 　　５０[dB]以上："良"、５０[dB]未満："非"</t>
    </r>
    <phoneticPr fontId="1"/>
  </si>
  <si>
    <t>　　　　　  　　　　単価-２、単価-３、単価-４：ユーザー登録必要</t>
    <rPh sb="11" eb="13">
      <t>タンカ</t>
    </rPh>
    <rPh sb="30" eb="32">
      <t>トウロク</t>
    </rPh>
    <rPh sb="32" eb="34">
      <t>ヒツヨウ</t>
    </rPh>
    <phoneticPr fontId="1"/>
  </si>
  <si>
    <r>
      <t>　配管配線材料　：１３０％ を計上</t>
    </r>
    <r>
      <rPr>
        <sz val="9"/>
        <color theme="1" tint="4.9989318521683403E-2"/>
        <rFont val="HG明朝B"/>
        <family val="1"/>
        <charset val="128"/>
      </rPr>
      <t>　　　　　変更修正可</t>
    </r>
    <phoneticPr fontId="1"/>
  </si>
  <si>
    <r>
      <t>　電工歩掛指定  ：</t>
    </r>
    <r>
      <rPr>
        <sz val="9"/>
        <color theme="1" tint="4.9989318521683403E-2"/>
        <rFont val="HG明朝B"/>
        <family val="1"/>
        <charset val="128"/>
      </rPr>
      <t>基準設定値＝歩掛-１</t>
    </r>
    <r>
      <rPr>
        <sz val="9"/>
        <color rgb="FF0000FF"/>
        <rFont val="HG明朝B"/>
        <family val="1"/>
        <charset val="128"/>
      </rPr>
      <t>　（歩掛-２、歩掛-３ 選択可）</t>
    </r>
    <phoneticPr fontId="1"/>
  </si>
  <si>
    <r>
      <t>　電 工  単 価　：原価内訳書で設定した値を表示。</t>
    </r>
    <r>
      <rPr>
        <sz val="9"/>
        <color theme="1" tint="4.9989318521683403E-2"/>
        <rFont val="HG明朝B"/>
        <family val="1"/>
        <charset val="128"/>
      </rPr>
      <t>（この工事種目のみの変更修正可）</t>
    </r>
    <phoneticPr fontId="1"/>
  </si>
  <si>
    <t>　電　 工　 費  ：電 工 費 金額の １１５ ％ を計上</t>
    <rPh sb="1" eb="2">
      <t>デン</t>
    </rPh>
    <rPh sb="4" eb="5">
      <t>コウ</t>
    </rPh>
    <rPh sb="7" eb="8">
      <t>ヒ</t>
    </rPh>
    <rPh sb="11" eb="12">
      <t>デン</t>
    </rPh>
    <rPh sb="13" eb="14">
      <t>コウ</t>
    </rPh>
    <rPh sb="15" eb="16">
      <t>ヒ</t>
    </rPh>
    <rPh sb="17" eb="19">
      <t>キンガク</t>
    </rPh>
    <rPh sb="28" eb="30">
      <t>ケイジョウ</t>
    </rPh>
    <phoneticPr fontId="1"/>
  </si>
  <si>
    <t>　　　 ・北海道③　 ・東北③　　・関東③　　・関東②　　・中部③　　・中部②　　・近畿③</t>
    <rPh sb="5" eb="8">
      <t>ホッカイドウ</t>
    </rPh>
    <rPh sb="12" eb="14">
      <t>トウホク</t>
    </rPh>
    <rPh sb="18" eb="20">
      <t>カントウ</t>
    </rPh>
    <rPh sb="24" eb="26">
      <t>カントウ</t>
    </rPh>
    <rPh sb="30" eb="32">
      <t>チュウブ</t>
    </rPh>
    <rPh sb="36" eb="38">
      <t>チュウブ</t>
    </rPh>
    <rPh sb="42" eb="44">
      <t>キンキ</t>
    </rPh>
    <phoneticPr fontId="1"/>
  </si>
  <si>
    <r>
      <t>　負荷率 (Lf：Load Factor)　　</t>
    </r>
    <r>
      <rPr>
        <sz val="9"/>
        <color rgb="FF0000FF"/>
        <rFont val="HG明朝B"/>
        <family val="1"/>
        <charset val="128"/>
      </rPr>
      <t>Lf：平均需要電力／最大需要電力</t>
    </r>
  </si>
  <si>
    <r>
      <t xml:space="preserve">　 </t>
    </r>
    <r>
      <rPr>
        <sz val="9"/>
        <color rgb="FF800000"/>
        <rFont val="HG明朝B"/>
        <family val="1"/>
        <charset val="128"/>
      </rPr>
      <t>【参考】</t>
    </r>
    <r>
      <rPr>
        <sz val="9"/>
        <color rgb="FF0000FF"/>
        <rFont val="HG明朝B"/>
        <family val="1"/>
        <charset val="128"/>
      </rPr>
      <t>日本では、"メートル法" や "ヤード・ポンド法" とは別に、歴史ある寺社建築等における "尺貫</t>
    </r>
  </si>
  <si>
    <t>　　7．表示等が終わると、ボタン(▼) を [クリック] し(すべて選択) に [チェック] を入れ [OK] を押す。</t>
    <phoneticPr fontId="1"/>
  </si>
  <si>
    <r>
      <t>　単価-0 (標準単価セル)</t>
    </r>
    <r>
      <rPr>
        <sz val="9"/>
        <color rgb="FF0000FF"/>
        <rFont val="HG明朝B"/>
        <family val="1"/>
        <charset val="128"/>
      </rPr>
      <t>　建設物価(調査段階②,③小口) １[ｍ] 以外の定尺単価　　</t>
    </r>
    <r>
      <rPr>
        <sz val="9"/>
        <color rgb="FFFF0000"/>
        <rFont val="HG明朝B"/>
        <family val="1"/>
        <charset val="128"/>
      </rPr>
      <t>赤字</t>
    </r>
    <r>
      <rPr>
        <sz val="9"/>
        <color rgb="FF0000FF"/>
        <rFont val="HG明朝B"/>
        <family val="1"/>
        <charset val="128"/>
      </rPr>
      <t>は想定単価</t>
    </r>
    <phoneticPr fontId="1"/>
  </si>
  <si>
    <r>
      <t>　単価-1 (標準単価セル)</t>
    </r>
    <r>
      <rPr>
        <sz val="9"/>
        <color rgb="FF0000FF"/>
        <rFont val="HG明朝B"/>
        <family val="1"/>
        <charset val="128"/>
      </rPr>
      <t>　建設物価(調査段階②,③小口) 毎月、更新をします。　１[ｍ] の定尺単価</t>
    </r>
    <phoneticPr fontId="1"/>
  </si>
  <si>
    <r>
      <t>　単価-2～4</t>
    </r>
    <r>
      <rPr>
        <sz val="9"/>
        <color rgb="FF0000FF"/>
        <rFont val="HG明朝B"/>
        <family val="1"/>
        <charset val="128"/>
      </rPr>
      <t>　　　　　ユーザー用単価入力セル</t>
    </r>
    <phoneticPr fontId="1"/>
  </si>
  <si>
    <r>
      <t xml:space="preserve">　歩掛-1　標準歩掛　 </t>
    </r>
    <r>
      <rPr>
        <sz val="9"/>
        <color rgb="FFFF0000"/>
        <rFont val="HG明朝B"/>
        <family val="1"/>
        <charset val="128"/>
      </rPr>
      <t>赤字</t>
    </r>
    <r>
      <rPr>
        <sz val="9"/>
        <color rgb="FF0000FF"/>
        <rFont val="HG明朝B"/>
        <family val="1"/>
        <charset val="128"/>
      </rPr>
      <t>は、想定歩掛り</t>
    </r>
    <phoneticPr fontId="1"/>
  </si>
  <si>
    <r>
      <t>　歩掛-2～3</t>
    </r>
    <r>
      <rPr>
        <sz val="9"/>
        <color rgb="FF0000FF"/>
        <rFont val="HG明朝B"/>
        <family val="1"/>
        <charset val="128"/>
      </rPr>
      <t>　　　　　ユーザー用歩掛入力セル</t>
    </r>
    <phoneticPr fontId="1"/>
  </si>
  <si>
    <r>
      <t>　　　放射束照度１[lx] (ルックス) [lm／m</t>
    </r>
    <r>
      <rPr>
        <vertAlign val="superscript"/>
        <sz val="9"/>
        <color rgb="FF0000FF"/>
        <rFont val="HG明朝B"/>
        <family val="1"/>
        <charset val="128"/>
      </rPr>
      <t>2</t>
    </r>
    <r>
      <rPr>
        <sz val="9"/>
        <color rgb="FF0000FF"/>
        <rFont val="HG明朝B"/>
        <family val="1"/>
        <charset val="128"/>
      </rPr>
      <t>] とは、１[m</t>
    </r>
    <r>
      <rPr>
        <vertAlign val="superscript"/>
        <sz val="9"/>
        <color rgb="FF0000FF"/>
        <rFont val="HG明朝B"/>
        <family val="1"/>
        <charset val="128"/>
      </rPr>
      <t>2</t>
    </r>
    <r>
      <rPr>
        <sz val="9"/>
        <color rgb="FF0000FF"/>
        <rFont val="HG明朝B"/>
        <family val="1"/>
        <charset val="128"/>
      </rPr>
      <t>] の面を１[lm] の光束で一様に照射したとき</t>
    </r>
    <phoneticPr fontId="1"/>
  </si>
  <si>
    <t>　　　の照度、又は、光度１(カンデラ) [ｃｄ] の光源から距離１[ｍ] の鉛直面照度。</t>
    <phoneticPr fontId="1"/>
  </si>
  <si>
    <r>
      <t>　光束［</t>
    </r>
    <r>
      <rPr>
        <b/>
        <sz val="9"/>
        <color theme="1"/>
        <rFont val="Times New Roman"/>
        <family val="1"/>
      </rPr>
      <t>lm</t>
    </r>
    <r>
      <rPr>
        <sz val="9"/>
        <color theme="1"/>
        <rFont val="HG明朝B"/>
        <family val="1"/>
        <charset val="128"/>
      </rPr>
      <t>］(ルーメン)：</t>
    </r>
    <r>
      <rPr>
        <sz val="9"/>
        <color rgb="FF0000FF"/>
        <rFont val="HG明朝B"/>
        <family val="1"/>
        <charset val="128"/>
      </rPr>
      <t>[ｌｍ] 又は、[ｃｄ・ｓｒ](カンデラ・ステラディアン) 光の放射量における</t>
    </r>
    <phoneticPr fontId="1"/>
  </si>
  <si>
    <r>
      <t>　Ｗ (</t>
    </r>
    <r>
      <rPr>
        <b/>
        <sz val="9"/>
        <color theme="1"/>
        <rFont val="Times New Roman"/>
        <family val="1"/>
      </rPr>
      <t>Watt</t>
    </r>
    <r>
      <rPr>
        <sz val="9"/>
        <color theme="1"/>
        <rFont val="HG明朝B"/>
        <family val="1"/>
        <charset val="128"/>
      </rPr>
      <t>：ワット)：</t>
    </r>
    <r>
      <rPr>
        <sz val="9"/>
        <color rgb="FF0000FF"/>
        <rFont val="HG明朝B"/>
        <family val="1"/>
        <charset val="128"/>
      </rPr>
      <t>[Ｊ／Ｓ] (</t>
    </r>
    <r>
      <rPr>
        <b/>
        <sz val="9"/>
        <color rgb="FF0000FF"/>
        <rFont val="Times New Roman"/>
        <family val="1"/>
      </rPr>
      <t>joule</t>
    </r>
    <r>
      <rPr>
        <b/>
        <sz val="9"/>
        <color rgb="FF0000FF"/>
        <rFont val="HG明朝B"/>
        <family val="1"/>
        <charset val="128"/>
      </rPr>
      <t>／</t>
    </r>
    <r>
      <rPr>
        <b/>
        <sz val="9"/>
        <color rgb="FF0000FF"/>
        <rFont val="Times New Roman"/>
        <family val="1"/>
      </rPr>
      <t>second</t>
    </r>
    <r>
      <rPr>
        <sz val="9"/>
        <color rgb="FF0000FF"/>
        <rFont val="HG明朝B"/>
        <family val="1"/>
        <charset val="128"/>
      </rPr>
      <t>) [</t>
    </r>
    <r>
      <rPr>
        <sz val="8"/>
        <color rgb="FF0000FF"/>
        <rFont val="HG明朝B"/>
        <family val="1"/>
        <charset val="128"/>
      </rPr>
      <t>ｍ</t>
    </r>
    <r>
      <rPr>
        <vertAlign val="superscript"/>
        <sz val="8"/>
        <color rgb="FF0000FF"/>
        <rFont val="HG明朝B"/>
        <family val="1"/>
        <charset val="128"/>
      </rPr>
      <t>2</t>
    </r>
    <r>
      <rPr>
        <sz val="8"/>
        <color rgb="FF0000FF"/>
        <rFont val="HG明朝B"/>
        <family val="1"/>
        <charset val="128"/>
      </rPr>
      <t>・Ｋｇ・ｓ</t>
    </r>
    <r>
      <rPr>
        <vertAlign val="superscript"/>
        <sz val="8"/>
        <color rgb="FF0000FF"/>
        <rFont val="HG明朝B"/>
        <family val="1"/>
        <charset val="128"/>
      </rPr>
      <t>-3</t>
    </r>
    <r>
      <rPr>
        <sz val="9"/>
        <color rgb="FF0000FF"/>
        <rFont val="HG明朝B"/>
        <family val="1"/>
        <charset val="128"/>
      </rPr>
      <t>] エネルギー・仕事量</t>
    </r>
    <phoneticPr fontId="1"/>
  </si>
  <si>
    <r>
      <t>　　 [Ｊ](ジュール)：[Ｎ／ｍ]＝[</t>
    </r>
    <r>
      <rPr>
        <sz val="8"/>
        <color rgb="FF0000FF"/>
        <rFont val="HG明朝B"/>
        <family val="1"/>
        <charset val="128"/>
      </rPr>
      <t>ｍ</t>
    </r>
    <r>
      <rPr>
        <vertAlign val="superscript"/>
        <sz val="8"/>
        <color rgb="FF0000FF"/>
        <rFont val="HG明朝B"/>
        <family val="1"/>
        <charset val="128"/>
      </rPr>
      <t>2</t>
    </r>
    <r>
      <rPr>
        <sz val="8"/>
        <color rgb="FF0000FF"/>
        <rFont val="HG明朝B"/>
        <family val="1"/>
        <charset val="128"/>
      </rPr>
      <t>・Ｋｇ・ｓ</t>
    </r>
    <r>
      <rPr>
        <vertAlign val="superscript"/>
        <sz val="8"/>
        <color rgb="FF0000FF"/>
        <rFont val="HG明朝B"/>
        <family val="1"/>
        <charset val="128"/>
      </rPr>
      <t>-2</t>
    </r>
    <r>
      <rPr>
        <sz val="9"/>
        <color rgb="FF0000FF"/>
        <rFont val="HG明朝B"/>
        <family val="1"/>
        <charset val="128"/>
      </rPr>
      <t>]　　　[Ｎ] (ニュートン)：[Ｊ／ｍ]＝[</t>
    </r>
    <r>
      <rPr>
        <sz val="8"/>
        <color rgb="FF0000FF"/>
        <rFont val="HG明朝B"/>
        <family val="1"/>
        <charset val="128"/>
      </rPr>
      <t>ｍ・Ｋｇ・ｓ</t>
    </r>
    <r>
      <rPr>
        <vertAlign val="superscript"/>
        <sz val="8"/>
        <color rgb="FF0000FF"/>
        <rFont val="HG明朝B"/>
        <family val="1"/>
        <charset val="128"/>
      </rPr>
      <t>-2</t>
    </r>
    <r>
      <rPr>
        <sz val="9"/>
        <color rgb="FF0000FF"/>
        <rFont val="HG明朝B"/>
        <family val="1"/>
        <charset val="128"/>
      </rPr>
      <t>]</t>
    </r>
    <phoneticPr fontId="1"/>
  </si>
  <si>
    <r>
      <t>　力率（ＰＦ：</t>
    </r>
    <r>
      <rPr>
        <b/>
        <sz val="9"/>
        <color theme="1"/>
        <rFont val="Times New Roman"/>
        <family val="1"/>
      </rPr>
      <t>Power Factor</t>
    </r>
    <r>
      <rPr>
        <sz val="9"/>
        <color theme="1"/>
        <rFont val="HG明朝B"/>
        <family val="1"/>
        <charset val="128"/>
      </rPr>
      <t>）</t>
    </r>
    <phoneticPr fontId="1"/>
  </si>
  <si>
    <t>　　　ＰＦ(cos Φ)＝[Ｗ]／[ＶＡ]、[Ｗ]：有効電力、[ＶＡ]：皮相電力</t>
    <phoneticPr fontId="1"/>
  </si>
  <si>
    <r>
      <t>　ＶＡ（皮相電力：ブイエー）</t>
    </r>
    <r>
      <rPr>
        <sz val="9"/>
        <color rgb="FF0000FF"/>
        <rFont val="HG明朝B"/>
        <family val="1"/>
        <charset val="128"/>
      </rPr>
      <t>　 ＶＡ＝SQRT(∑</t>
    </r>
    <r>
      <rPr>
        <sz val="8"/>
        <color rgb="FF0000FF"/>
        <rFont val="HG明朝B"/>
        <family val="1"/>
        <charset val="128"/>
      </rPr>
      <t>[Ｗ]</t>
    </r>
    <r>
      <rPr>
        <vertAlign val="superscript"/>
        <sz val="8"/>
        <color rgb="FF0000FF"/>
        <rFont val="HG明朝B"/>
        <family val="1"/>
        <charset val="128"/>
      </rPr>
      <t>2</t>
    </r>
    <r>
      <rPr>
        <sz val="8"/>
        <color rgb="FF0000FF"/>
        <rFont val="HG明朝B"/>
        <family val="1"/>
        <charset val="128"/>
      </rPr>
      <t>+∑[Ｖａｒ]</t>
    </r>
    <r>
      <rPr>
        <vertAlign val="superscript"/>
        <sz val="8"/>
        <color rgb="FF0000FF"/>
        <rFont val="HG明朝B"/>
        <family val="1"/>
        <charset val="128"/>
      </rPr>
      <t>2</t>
    </r>
    <r>
      <rPr>
        <sz val="9"/>
        <color rgb="FF0000FF"/>
        <rFont val="HG明朝B"/>
        <family val="1"/>
        <charset val="128"/>
      </rPr>
      <t>) ＝[Ｗ]／cos Φ</t>
    </r>
    <phoneticPr fontId="1"/>
  </si>
  <si>
    <t>　　　[Ｗ]：有効電力、　[Ｖａｒ]：無効電力、　cos Φ：力率 ([Ｗ]／[ＶＡ])</t>
    <phoneticPr fontId="1"/>
  </si>
  <si>
    <t>　電線管の定尺 3.66［ｍ］とは → → → 12 [フィート] のことです。</t>
    <phoneticPr fontId="1"/>
  </si>
  <si>
    <r>
      <t>　　  １[</t>
    </r>
    <r>
      <rPr>
        <b/>
        <sz val="9"/>
        <color rgb="FF0000FF"/>
        <rFont val="Times New Roman"/>
        <family val="1"/>
      </rPr>
      <t>inch</t>
    </r>
    <r>
      <rPr>
        <sz val="9"/>
        <color rgb="FF0000FF"/>
        <rFont val="HG明朝B"/>
        <family val="1"/>
        <charset val="128"/>
      </rPr>
      <t>]＝2.54 [</t>
    </r>
    <r>
      <rPr>
        <b/>
        <sz val="9"/>
        <color rgb="FF0000FF"/>
        <rFont val="Times New Roman"/>
        <family val="1"/>
      </rPr>
      <t>cm</t>
    </r>
    <r>
      <rPr>
        <sz val="9"/>
        <color rgb="FF0000FF"/>
        <rFont val="HG明朝B"/>
        <family val="1"/>
        <charset val="128"/>
      </rPr>
      <t>]、１[</t>
    </r>
    <r>
      <rPr>
        <b/>
        <sz val="9"/>
        <color rgb="FF0000FF"/>
        <rFont val="Times New Roman"/>
        <family val="1"/>
      </rPr>
      <t>feet</t>
    </r>
    <r>
      <rPr>
        <sz val="9"/>
        <color rgb="FF0000FF"/>
        <rFont val="HG明朝B"/>
        <family val="1"/>
        <charset val="128"/>
      </rPr>
      <t>]＝12 [</t>
    </r>
    <r>
      <rPr>
        <b/>
        <sz val="9"/>
        <color rgb="FF0000FF"/>
        <rFont val="Times New Roman"/>
        <family val="1"/>
      </rPr>
      <t>inch</t>
    </r>
    <r>
      <rPr>
        <sz val="9"/>
        <color rgb="FF0000FF"/>
        <rFont val="HG明朝B"/>
        <family val="1"/>
        <charset val="128"/>
      </rPr>
      <t>]、３[</t>
    </r>
    <r>
      <rPr>
        <b/>
        <sz val="9"/>
        <color rgb="FF0000FF"/>
        <rFont val="Times New Roman"/>
        <family val="1"/>
      </rPr>
      <t>feet</t>
    </r>
    <r>
      <rPr>
        <sz val="9"/>
        <color rgb="FF0000FF"/>
        <rFont val="HG明朝B"/>
        <family val="1"/>
        <charset val="128"/>
      </rPr>
      <t>]＝１[</t>
    </r>
    <r>
      <rPr>
        <b/>
        <sz val="9"/>
        <color rgb="FF0000FF"/>
        <rFont val="Times New Roman"/>
        <family val="1"/>
      </rPr>
      <t>yard</t>
    </r>
    <r>
      <rPr>
        <sz val="9"/>
        <color rgb="FF0000FF"/>
        <rFont val="HG明朝B"/>
        <family val="1"/>
        <charset val="128"/>
      </rPr>
      <t>]、</t>
    </r>
    <phoneticPr fontId="1"/>
  </si>
  <si>
    <r>
      <t>　 　1２[</t>
    </r>
    <r>
      <rPr>
        <b/>
        <sz val="9"/>
        <color rgb="FF0000FF"/>
        <rFont val="Times New Roman"/>
        <family val="1"/>
      </rPr>
      <t>feet</t>
    </r>
    <r>
      <rPr>
        <sz val="9"/>
        <color rgb="FF0000FF"/>
        <rFont val="HG明朝B"/>
        <family val="1"/>
        <charset val="128"/>
      </rPr>
      <t>]＝2.54×12×12 ／100 ＝3.6576≒3.66 [ｍ]</t>
    </r>
    <r>
      <rPr>
        <sz val="6"/>
        <color rgb="FF0000FF"/>
        <rFont val="HG明朝B"/>
        <family val="1"/>
        <charset val="128"/>
      </rPr>
      <t xml:space="preserve"> </t>
    </r>
    <r>
      <rPr>
        <sz val="9"/>
        <color rgb="FF0000FF"/>
        <rFont val="HG明朝B"/>
        <family val="1"/>
        <charset val="128"/>
      </rPr>
      <t>＝４[</t>
    </r>
    <r>
      <rPr>
        <b/>
        <sz val="9"/>
        <color rgb="FF0000FF"/>
        <rFont val="Times New Roman"/>
        <family val="1"/>
      </rPr>
      <t>yard</t>
    </r>
    <r>
      <rPr>
        <sz val="9"/>
        <color rgb="FF0000FF"/>
        <rFont val="HG明朝B"/>
        <family val="1"/>
        <charset val="128"/>
      </rPr>
      <t>])</t>
    </r>
    <phoneticPr fontId="1"/>
  </si>
  <si>
    <r>
      <t xml:space="preserve">　 </t>
    </r>
    <r>
      <rPr>
        <sz val="9"/>
        <color rgb="FF800000"/>
        <rFont val="HG明朝B"/>
        <family val="1"/>
        <charset val="128"/>
      </rPr>
      <t>【参考】</t>
    </r>
    <r>
      <rPr>
        <sz val="9"/>
        <color rgb="FF0000FF"/>
        <rFont val="HG明朝B"/>
        <family val="1"/>
        <charset val="128"/>
      </rPr>
      <t xml:space="preserve"> </t>
    </r>
    <r>
      <rPr>
        <b/>
        <sz val="9"/>
        <color rgb="FF0000FF"/>
        <rFont val="Times New Roman"/>
        <family val="1"/>
      </rPr>
      <t>dpi</t>
    </r>
    <r>
      <rPr>
        <sz val="9"/>
        <color rgb="FF0000FF"/>
        <rFont val="HG明朝B"/>
        <family val="1"/>
        <charset val="128"/>
      </rPr>
      <t>（ディー・ピー・アイ）とは、</t>
    </r>
    <r>
      <rPr>
        <b/>
        <sz val="9"/>
        <color rgb="FF0000FF"/>
        <rFont val="Times New Roman"/>
        <family val="1"/>
      </rPr>
      <t>dots per inch</t>
    </r>
    <r>
      <rPr>
        <sz val="9"/>
        <color rgb="FF0000FF"/>
        <rFont val="HG明朝B"/>
        <family val="1"/>
        <charset val="128"/>
      </rPr>
      <t xml:space="preserve"> のことで、1200[</t>
    </r>
    <r>
      <rPr>
        <b/>
        <sz val="9"/>
        <color rgb="FF0000FF"/>
        <rFont val="Times New Roman"/>
        <family val="1"/>
      </rPr>
      <t>dp</t>
    </r>
    <r>
      <rPr>
        <sz val="9"/>
        <color rgb="FF0000FF"/>
        <rFont val="HG明朝B"/>
        <family val="1"/>
        <charset val="128"/>
      </rPr>
      <t xml:space="preserve">i] とは、25.4／1200 </t>
    </r>
    <phoneticPr fontId="1"/>
  </si>
  <si>
    <t>　　　　　　≒ 0.02117[ｍｍ] のドット密度 を 表しています。</t>
    <phoneticPr fontId="1"/>
  </si>
  <si>
    <r>
      <t>　電線管（</t>
    </r>
    <r>
      <rPr>
        <b/>
        <sz val="9"/>
        <color theme="1"/>
        <rFont val="Times New Roman"/>
        <family val="1"/>
      </rPr>
      <t>Conduit Pipe</t>
    </r>
    <r>
      <rPr>
        <sz val="9"/>
        <color theme="1"/>
        <rFont val="HG明朝B"/>
        <family val="1"/>
        <charset val="128"/>
      </rPr>
      <t>）の定尺 12［フイート］とは</t>
    </r>
    <phoneticPr fontId="1"/>
  </si>
  <si>
    <r>
      <t xml:space="preserve">　　我国では、明治政府の失態により ｍｍ(ミリ圏) と </t>
    </r>
    <r>
      <rPr>
        <b/>
        <sz val="9"/>
        <color rgb="FF0000FF"/>
        <rFont val="Times New Roman"/>
        <family val="1"/>
      </rPr>
      <t>inch</t>
    </r>
    <r>
      <rPr>
        <sz val="9"/>
        <color rgb="FF0000FF"/>
        <rFont val="HG明朝B"/>
        <family val="1"/>
        <charset val="128"/>
      </rPr>
      <t xml:space="preserve"> (インチ圏)が、混在しています。現ＥＵ、フラ</t>
    </r>
    <phoneticPr fontId="1"/>
  </si>
  <si>
    <r>
      <t>　　ンス・ドイツを主にした[ミリ圏] と 英国(</t>
    </r>
    <r>
      <rPr>
        <b/>
        <sz val="9"/>
        <color rgb="FF0000FF"/>
        <rFont val="Times New Roman"/>
        <family val="1"/>
      </rPr>
      <t>United Kingdom</t>
    </r>
    <r>
      <rPr>
        <sz val="9"/>
        <color rgb="FF0000FF"/>
        <rFont val="HG明朝B"/>
        <family val="1"/>
        <charset val="128"/>
      </rPr>
      <t>)・米国 (</t>
    </r>
    <r>
      <rPr>
        <b/>
        <sz val="9"/>
        <color rgb="FF0000FF"/>
        <rFont val="Times New Roman"/>
        <family val="1"/>
      </rPr>
      <t>United States of America</t>
    </r>
    <r>
      <rPr>
        <sz val="9"/>
        <color rgb="FF0000FF"/>
        <rFont val="HG明朝B"/>
        <family val="1"/>
        <charset val="128"/>
      </rPr>
      <t>)を主にした</t>
    </r>
    <phoneticPr fontId="1"/>
  </si>
  <si>
    <t>　　[インチ圏] があり、[ミリ圏] では、商用周波数 ５０[Hz]、[インチ圏] では、６０[Hz] です。</t>
    <phoneticPr fontId="1"/>
  </si>
  <si>
    <t>　　なお、一国で ５０[Hz] と ６０[Hz] が混在しているのは、世界中で我国だけです。</t>
    <rPh sb="5" eb="7">
      <t>イッコク</t>
    </rPh>
    <rPh sb="26" eb="28">
      <t>コンザイ</t>
    </rPh>
    <rPh sb="35" eb="37">
      <t>セカイ</t>
    </rPh>
    <rPh sb="37" eb="38">
      <t>ヂュウ</t>
    </rPh>
    <rPh sb="39" eb="41">
      <t>ワガクニ</t>
    </rPh>
    <phoneticPr fontId="1"/>
  </si>
  <si>
    <t>　　　　　 法" (シャッカンホウ) が存続しています。１毛(モウ)=0.0303030・・[ｍｍ]、10毛=１厘(リン)</t>
    <phoneticPr fontId="1"/>
  </si>
  <si>
    <t>　　　　　 、10厘=１分(ブ)１0分=１寸ン)、１０厘=１分(ブ)、１0分=１寸(スン)､１寸＝3.030303・・[cm]、</t>
    <phoneticPr fontId="1"/>
  </si>
  <si>
    <t xml:space="preserve">　　　　　 １０寸=１尺 (シャク)、６尺 =１間(ケン)、６０間＝１町 (丁)、３６町＝1里 ([リ] ≒ 3.9273 </t>
    <phoneticPr fontId="1"/>
  </si>
  <si>
    <t>　　　　　 [Km] )、１坪 (ツボ：1間角)≒3.3[平米] (正確には、1[平米] = 0.3025 [坪] )、１丈(ジョウ)</t>
    <phoneticPr fontId="1"/>
  </si>
  <si>
    <t>　　　　　 ＝10尺  東大寺盧舎那仏(大仏) の御身丈：５丈３尺５寸､１尋(ヒロ)＝６尺(海の深さ)､1貫(カン)</t>
    <phoneticPr fontId="1"/>
  </si>
  <si>
    <t>　　　　　 ＝1,000匁 (モンメ)＝3.75 Ｋｇ､１石(コク)＝１立方尺≒ 0.027824 [ｍ3] (木材の体積)</t>
    <phoneticPr fontId="1"/>
  </si>
  <si>
    <t>　　　　　 １合(ゴウ)=米 150[ｇ]・酒 180[ｃｃ]､10合=１升(ショウ)､10升=１斗(ト)､４斗=１表(ピョウ)</t>
    <phoneticPr fontId="1"/>
  </si>
  <si>
    <t>　　　　　 米６０[ｋｇ]、酒７２[リットル]</t>
    <rPh sb="6" eb="7">
      <t>コメ</t>
    </rPh>
    <rPh sb="14" eb="15">
      <t>サケ</t>
    </rPh>
    <phoneticPr fontId="1"/>
  </si>
  <si>
    <t xml:space="preserve">             １畝(セ)：30(坪)≒100[ｍ2]、10畝：１反(タン)＝300(坪)、10反＝１町(チョウ)＝3,000(坪)</t>
    <rPh sb="14" eb="15">
      <t>セ</t>
    </rPh>
    <rPh sb="22" eb="23">
      <t>ツボ</t>
    </rPh>
    <rPh sb="35" eb="36">
      <t>セ</t>
    </rPh>
    <rPh sb="38" eb="39">
      <t>タン</t>
    </rPh>
    <rPh sb="53" eb="54">
      <t>タン</t>
    </rPh>
    <rPh sb="56" eb="57">
      <t>チョウ</t>
    </rPh>
    <rPh sb="69" eb="70">
      <t>ツボ</t>
    </rPh>
    <phoneticPr fontId="1"/>
  </si>
  <si>
    <t>　　　　　　 面積について</t>
    <rPh sb="7" eb="9">
      <t>メンセキ</t>
    </rPh>
    <phoneticPr fontId="1"/>
  </si>
  <si>
    <r>
      <t xml:space="preserve">             １</t>
    </r>
    <r>
      <rPr>
        <b/>
        <sz val="9"/>
        <color rgb="FF0000FF"/>
        <rFont val="HG明朝B"/>
        <family val="1"/>
        <charset val="128"/>
      </rPr>
      <t>a</t>
    </r>
    <r>
      <rPr>
        <sz val="9"/>
        <color rgb="FF0000FF"/>
        <rFont val="HG明朝B"/>
        <family val="1"/>
        <charset val="128"/>
      </rPr>
      <t>(アール)＝100[ｍ2]、1</t>
    </r>
    <r>
      <rPr>
        <b/>
        <sz val="9"/>
        <color rgb="FF0000FF"/>
        <rFont val="HG明朝B"/>
        <family val="1"/>
        <charset val="128"/>
      </rPr>
      <t>ha</t>
    </r>
    <r>
      <rPr>
        <sz val="9"/>
        <color rgb="FF0000FF"/>
        <rFont val="HG明朝B"/>
        <family val="1"/>
        <charset val="128"/>
      </rPr>
      <t>[ヘクトアール]＝100[</t>
    </r>
    <r>
      <rPr>
        <b/>
        <sz val="9"/>
        <color rgb="FF0000FF"/>
        <rFont val="HG明朝B"/>
        <family val="1"/>
        <charset val="128"/>
      </rPr>
      <t>a</t>
    </r>
    <r>
      <rPr>
        <sz val="9"/>
        <color rgb="FF0000FF"/>
        <rFont val="HG明朝B"/>
        <family val="1"/>
        <charset val="128"/>
      </rPr>
      <t>]＝10,000[ｍ2]、100[</t>
    </r>
    <r>
      <rPr>
        <b/>
        <sz val="9"/>
        <color rgb="FF0000FF"/>
        <rFont val="HG明朝B"/>
        <family val="1"/>
        <charset val="128"/>
      </rPr>
      <t>ha]</t>
    </r>
    <r>
      <rPr>
        <sz val="9"/>
        <color rgb="FF0000FF"/>
        <rFont val="HG明朝B"/>
        <family val="1"/>
        <charset val="128"/>
      </rPr>
      <t>＝１平方Ｋｍ</t>
    </r>
    <rPh sb="68" eb="70">
      <t>ヘイホウ</t>
    </rPh>
    <phoneticPr fontId="1"/>
  </si>
  <si>
    <r>
      <t>　形状種類</t>
    </r>
    <r>
      <rPr>
        <sz val="9"/>
        <color rgb="FF0000FF"/>
        <rFont val="HG明朝B"/>
        <family val="1"/>
        <charset val="128"/>
      </rPr>
      <t>　Ａ、Ｂ1～4、Ｃ1～4、Ｄ1～4、Ｅ1,2、Ｆ1～4、Ｇ1,2、Ｈ、Ｉ</t>
    </r>
  </si>
  <si>
    <r>
      <t>　形状係数</t>
    </r>
    <r>
      <rPr>
        <sz val="9"/>
        <color rgb="FF0000FF"/>
        <rFont val="HG明朝B"/>
        <family val="1"/>
        <charset val="128"/>
      </rPr>
      <t>　建物形状係数 "n" が求められます。　右側 ⇒ Ｘn、Ｙn を入力する。</t>
    </r>
    <phoneticPr fontId="1"/>
  </si>
  <si>
    <t>　　　  　　または、敷地形状係数 "Ｎ" が求められます。</t>
    <rPh sb="11" eb="13">
      <t>シキチ</t>
    </rPh>
    <phoneticPr fontId="1"/>
  </si>
  <si>
    <r>
      <t>　　    　　　　Ｘn、Ｙn は、</t>
    </r>
    <r>
      <rPr>
        <b/>
        <sz val="9"/>
        <color rgb="FF0000FF"/>
        <rFont val="Times New Roman"/>
        <family val="1"/>
      </rPr>
      <t>Top Page</t>
    </r>
    <r>
      <rPr>
        <sz val="9"/>
        <color rgb="FF0000FF"/>
        <rFont val="HG明朝B"/>
        <family val="1"/>
        <charset val="128"/>
      </rPr>
      <t xml:space="preserve"> の欄外下の表に各階ごとに入力して下さい。</t>
    </r>
    <rPh sb="28" eb="30">
      <t>ランガイ</t>
    </rPh>
    <rPh sb="30" eb="31">
      <t>シタ</t>
    </rPh>
    <rPh sb="32" eb="33">
      <t>ヒョウ</t>
    </rPh>
    <rPh sb="34" eb="36">
      <t>カクカイ</t>
    </rPh>
    <rPh sb="43" eb="44">
      <t>クダ</t>
    </rPh>
    <phoneticPr fontId="1"/>
  </si>
  <si>
    <r>
      <t>　歩 掛 り</t>
    </r>
    <r>
      <rPr>
        <sz val="9"/>
        <color rgb="FF0000FF"/>
        <rFont val="Meiryo UI"/>
        <family val="3"/>
        <charset val="128"/>
      </rPr>
      <t xml:space="preserve">　 </t>
    </r>
    <r>
      <rPr>
        <sz val="9"/>
        <color rgb="FF0000FF"/>
        <rFont val="HG明朝B"/>
        <family val="1"/>
        <charset val="128"/>
      </rPr>
      <t>標準歩掛</t>
    </r>
    <phoneticPr fontId="1"/>
  </si>
  <si>
    <r>
      <t>　分電盤工数</t>
    </r>
    <r>
      <rPr>
        <sz val="9"/>
        <color rgb="FF0000FF"/>
        <rFont val="Meiryo UI"/>
        <family val="3"/>
        <charset val="128"/>
      </rPr>
      <t>　</t>
    </r>
    <r>
      <rPr>
        <sz val="9"/>
        <color rgb="FF0000FF"/>
        <rFont val="HG明朝B"/>
        <family val="1"/>
        <charset val="128"/>
      </rPr>
      <t>各数量(実装数量)を入力すると、人工Ｎ(人/面)が、求められます。</t>
    </r>
    <phoneticPr fontId="1"/>
  </si>
  <si>
    <r>
      <t>　制御盤工数</t>
    </r>
    <r>
      <rPr>
        <sz val="9"/>
        <color rgb="FF0000FF"/>
        <rFont val="Meiryo UI"/>
        <family val="3"/>
        <charset val="128"/>
      </rPr>
      <t>　</t>
    </r>
    <r>
      <rPr>
        <sz val="9"/>
        <color rgb="FF0000FF"/>
        <rFont val="HG明朝B"/>
        <family val="1"/>
        <charset val="128"/>
      </rPr>
      <t>各数量(実装数量)を入力すると、人工Ｎ(人/面)が、求められます。</t>
    </r>
    <phoneticPr fontId="1"/>
  </si>
  <si>
    <t>　　　　　　歩掛り：(配線器具歩掛)Max＋(∑数量×その他の歩掛)／2＋0.02(プレート取付)</t>
    <rPh sb="6" eb="8">
      <t>ブガカ</t>
    </rPh>
    <phoneticPr fontId="1"/>
  </si>
  <si>
    <r>
      <t>　配線器具</t>
    </r>
    <r>
      <rPr>
        <sz val="9"/>
        <color rgb="FF0000FF"/>
        <rFont val="Meiryo UI"/>
        <family val="3"/>
        <charset val="128"/>
      </rPr>
      <t>　　</t>
    </r>
    <r>
      <rPr>
        <sz val="9"/>
        <color rgb="FF0000FF"/>
        <rFont val="HG明朝B"/>
        <family val="1"/>
        <charset val="128"/>
      </rPr>
      <t>材料費：</t>
    </r>
    <r>
      <rPr>
        <b/>
        <sz val="9"/>
        <color rgb="FF0000FF"/>
        <rFont val="Times New Roman"/>
        <family val="1"/>
      </rPr>
      <t>Panasonic</t>
    </r>
    <r>
      <rPr>
        <sz val="9"/>
        <color rgb="FF0000FF"/>
        <rFont val="HG明朝B"/>
        <family val="1"/>
        <charset val="128"/>
      </rPr>
      <t>電工 定価表による。</t>
    </r>
    <phoneticPr fontId="1"/>
  </si>
  <si>
    <r>
      <t>　基本計算式、実施計算式</t>
    </r>
    <r>
      <rPr>
        <sz val="9"/>
        <color rgb="FF0000FF"/>
        <rFont val="HG明朝B"/>
        <family val="1"/>
        <charset val="128"/>
      </rPr>
      <t>　本文参照</t>
    </r>
  </si>
  <si>
    <r>
      <t>　概　要</t>
    </r>
    <r>
      <rPr>
        <sz val="9"/>
        <color rgb="FF0000FF"/>
        <rFont val="HG明朝B"/>
        <family val="1"/>
        <charset val="128"/>
      </rPr>
      <t>　建物内閉空間に於ける発熱源による室内空気の温度上昇計算値より換気量を求める。</t>
    </r>
    <phoneticPr fontId="1"/>
  </si>
  <si>
    <r>
      <t>　飽和蒸気圧 [ｐ／ａｔｍ]</t>
    </r>
    <r>
      <rPr>
        <sz val="9"/>
        <color rgb="FF0000FF"/>
        <rFont val="HG明朝B"/>
        <family val="1"/>
        <charset val="128"/>
      </rPr>
      <t>　変更修正可。</t>
    </r>
    <phoneticPr fontId="1"/>
  </si>
  <si>
    <r>
      <t>　給気ガラリ有効開口率</t>
    </r>
    <r>
      <rPr>
        <sz val="9"/>
        <color rgb="FF0000FF"/>
        <rFont val="HG明朝B"/>
        <family val="1"/>
        <charset val="128"/>
      </rPr>
      <t>　防雨ガラリ、防虫網を考慮し、標準有効開口率は、"０.３５" とする。</t>
    </r>
    <phoneticPr fontId="1"/>
  </si>
  <si>
    <t>　ガラリ通過風速 [ｍ／sec]　基準設定値：５ [ｍ／sec]</t>
    <rPh sb="17" eb="19">
      <t>キジュン</t>
    </rPh>
    <rPh sb="19" eb="21">
      <t>セッテイ</t>
    </rPh>
    <phoneticPr fontId="1"/>
  </si>
  <si>
    <t>　　　　　　　　　　　　　  風速が ８[ｍ／sec] を超えると、風切り騒音が発生します。</t>
    <phoneticPr fontId="1"/>
  </si>
  <si>
    <r>
      <t>　ＲＣ自立盤、ＲＣ壁掛盤、ＬＧＳ壁掛盤</t>
    </r>
    <r>
      <rPr>
        <sz val="9"/>
        <color rgb="FF0000FF"/>
        <rFont val="HG明朝B"/>
        <family val="1"/>
        <charset val="128"/>
      </rPr>
      <t>　　各入力例参照。</t>
    </r>
  </si>
  <si>
    <t>　　国土交通省国土技術政策総合研究所・独立行政法人建築研究所　監修　建築設備耐震設計・施工指針</t>
    <rPh sb="31" eb="33">
      <t>カンシュウ</t>
    </rPh>
    <phoneticPr fontId="1"/>
  </si>
  <si>
    <t>　　2005年版 ｢第２章　各部の設計－2.1 アンカボルト｣ による。</t>
    <phoneticPr fontId="1"/>
  </si>
  <si>
    <r>
      <rPr>
        <sz val="9"/>
        <color rgb="FF800000"/>
        <rFont val="HG明朝B"/>
        <family val="1"/>
        <charset val="128"/>
      </rPr>
      <t xml:space="preserve"> 【ご注意】</t>
    </r>
    <r>
      <rPr>
        <sz val="9"/>
        <color rgb="FF0000FF"/>
        <rFont val="HG明朝B"/>
        <family val="1"/>
        <charset val="128"/>
      </rPr>
      <t xml:space="preserve"> </t>
    </r>
    <r>
      <rPr>
        <sz val="9"/>
        <color theme="1" tint="4.9989318521683403E-2"/>
        <rFont val="HG明朝B"/>
        <family val="1"/>
        <charset val="128"/>
      </rPr>
      <t>構造力学の基礎知識をお持ちでない方は、ご使用しないで下さい。</t>
    </r>
    <phoneticPr fontId="1"/>
  </si>
  <si>
    <r>
      <t>参考技術資料－S5</t>
    </r>
    <r>
      <rPr>
        <sz val="9"/>
        <color rgb="FF0000FF"/>
        <rFont val="Meiryo UI"/>
        <family val="3"/>
        <charset val="128"/>
      </rPr>
      <t>　</t>
    </r>
    <r>
      <rPr>
        <sz val="9"/>
        <color rgb="FF0000FF"/>
        <rFont val="HG明朝B"/>
        <family val="1"/>
        <charset val="128"/>
      </rPr>
      <t>参考技術計算：変圧器励磁突入電流計算</t>
    </r>
    <r>
      <rPr>
        <sz val="9"/>
        <color theme="1" tint="4.9989318521683403E-2"/>
        <rFont val="HG明朝B"/>
        <family val="1"/>
        <charset val="128"/>
      </rPr>
      <t>　受変電設備工事と連動</t>
    </r>
    <phoneticPr fontId="1"/>
  </si>
  <si>
    <r>
      <t>　変圧器容量</t>
    </r>
    <r>
      <rPr>
        <sz val="9"/>
        <color rgb="FF0000FF"/>
        <rFont val="HG明朝B"/>
        <family val="1"/>
        <charset val="128"/>
      </rPr>
      <t>　１０ ～ １０,０００ [KVA] に対応。</t>
    </r>
    <phoneticPr fontId="1"/>
  </si>
  <si>
    <r>
      <t>　励磁突入電流 (</t>
    </r>
    <r>
      <rPr>
        <b/>
        <sz val="9"/>
        <color theme="1"/>
        <rFont val="Times New Roman"/>
        <family val="1"/>
      </rPr>
      <t>Inrush current</t>
    </r>
    <r>
      <rPr>
        <sz val="9"/>
        <color theme="1"/>
        <rFont val="HG明朝B"/>
        <family val="1"/>
        <charset val="128"/>
      </rPr>
      <t>)</t>
    </r>
    <r>
      <rPr>
        <sz val="9"/>
        <color rgb="FF0000FF"/>
        <rFont val="HG明朝B"/>
        <family val="1"/>
        <charset val="128"/>
      </rPr>
      <t>　各相ごと</t>
    </r>
    <phoneticPr fontId="1"/>
  </si>
  <si>
    <t>　　　　１Sycle 時、以降０.１[sec] ごとに計算し、その変圧器の定格電流になるまでの時間を表示。</t>
    <rPh sb="47" eb="49">
      <t>ジカン</t>
    </rPh>
    <rPh sb="50" eb="52">
      <t>ヒョウジ</t>
    </rPh>
    <phoneticPr fontId="1"/>
  </si>
  <si>
    <r>
      <t>参考技術資料－S6</t>
    </r>
    <r>
      <rPr>
        <sz val="9"/>
        <color rgb="FF0000FF"/>
        <rFont val="Meiryo UI"/>
        <family val="3"/>
        <charset val="128"/>
      </rPr>
      <t>　</t>
    </r>
    <r>
      <rPr>
        <sz val="9"/>
        <color rgb="FF0000FF"/>
        <rFont val="HG明朝B"/>
        <family val="1"/>
        <charset val="128"/>
      </rPr>
      <t>参考技術計算：ケーブル連続許容電流値</t>
    </r>
    <phoneticPr fontId="1"/>
  </si>
  <si>
    <r>
      <t>　連続許容電流値(標準基底温度)</t>
    </r>
    <r>
      <rPr>
        <sz val="9"/>
        <color rgb="FF0000FF"/>
        <rFont val="HG明朝B"/>
        <family val="1"/>
        <charset val="128"/>
      </rPr>
      <t>　変更修正可。</t>
    </r>
  </si>
  <si>
    <r>
      <t>　計算条件</t>
    </r>
    <r>
      <rPr>
        <sz val="9"/>
        <color rgb="FF0000FF"/>
        <rFont val="HG明朝B"/>
        <family val="1"/>
        <charset val="128"/>
      </rPr>
      <t>　本文参照。</t>
    </r>
  </si>
  <si>
    <r>
      <t>　ケーブルラックの段数</t>
    </r>
    <r>
      <rPr>
        <sz val="9"/>
        <color rgb="FF0000FF"/>
        <rFont val="HG明朝B"/>
        <family val="1"/>
        <charset val="128"/>
      </rPr>
      <t>　ケーブルラック布設低減率</t>
    </r>
  </si>
  <si>
    <r>
      <rPr>
        <sz val="9"/>
        <color rgb="FF800000"/>
        <rFont val="HG明朝B"/>
        <family val="1"/>
        <charset val="128"/>
      </rPr>
      <t xml:space="preserve"> 【参考】</t>
    </r>
    <r>
      <rPr>
        <sz val="9"/>
        <color rgb="FF0000FF"/>
        <rFont val="HG明朝B"/>
        <family val="1"/>
        <charset val="128"/>
      </rPr>
      <t xml:space="preserve"> 管内に布設する電線、ケーブルの気中暗渠許容電流値に対する"</t>
    </r>
    <r>
      <rPr>
        <sz val="9"/>
        <color theme="1" tint="4.9989318521683403E-2"/>
        <rFont val="HG明朝B"/>
        <family val="1"/>
        <charset val="128"/>
      </rPr>
      <t>許容電流減少係数</t>
    </r>
    <r>
      <rPr>
        <sz val="9"/>
        <color rgb="FF0000FF"/>
        <rFont val="HG明朝B"/>
        <family val="1"/>
        <charset val="128"/>
      </rPr>
      <t>"について</t>
    </r>
  </si>
  <si>
    <t>　　　　住友電工 電線技術資料 電力・産業電線 JD-1784R3 (1996.1) (BUN) による。</t>
    <phoneticPr fontId="1"/>
  </si>
  <si>
    <r>
      <t>　基底温度任意入力</t>
    </r>
    <r>
      <rPr>
        <sz val="9"/>
        <color theme="1" tint="4.9989318521683403E-2"/>
        <rFont val="HG明朝B"/>
        <family val="1"/>
        <charset val="128"/>
      </rPr>
      <t>　基準設定値：４０[℃]</t>
    </r>
    <r>
      <rPr>
        <sz val="9"/>
        <color rgb="FF0000FF"/>
        <rFont val="HG明朝B"/>
        <family val="1"/>
        <charset val="128"/>
      </rPr>
      <t>　-１００～＋９０[℃]の範囲の値を入力して下さい。</t>
    </r>
    <phoneticPr fontId="1"/>
  </si>
  <si>
    <r>
      <t>　　　　　　　　　　　　　　　　　　　　 Ｉt ＝ I40×{(90-t)／50}</t>
    </r>
    <r>
      <rPr>
        <vertAlign val="superscript"/>
        <sz val="9"/>
        <color rgb="FF0000FF"/>
        <rFont val="HG明朝B"/>
        <family val="1"/>
        <charset val="128"/>
      </rPr>
      <t>0.5</t>
    </r>
    <phoneticPr fontId="1"/>
  </si>
  <si>
    <t>　　　　1段 S=d:気中暗渠布設値×0.7　2段 S=d:気中暗渠布設値×0.5　3段 S=d:気中暗渠布設値×0.3</t>
    <phoneticPr fontId="1"/>
  </si>
  <si>
    <r>
      <t>　　　　  小林係数 (</t>
    </r>
    <r>
      <rPr>
        <b/>
        <sz val="9"/>
        <color theme="1"/>
        <rFont val="Times New Roman"/>
        <family val="1"/>
      </rPr>
      <t>KC</t>
    </r>
    <r>
      <rPr>
        <b/>
        <sz val="9"/>
        <color theme="1"/>
        <rFont val="HG明朝B"/>
        <family val="1"/>
        <charset val="128"/>
      </rPr>
      <t>：</t>
    </r>
    <r>
      <rPr>
        <b/>
        <sz val="9"/>
        <color theme="1"/>
        <rFont val="Times New Roman"/>
        <family val="1"/>
      </rPr>
      <t>Kobayashi coefficient</t>
    </r>
    <r>
      <rPr>
        <sz val="9"/>
        <color theme="1"/>
        <rFont val="HG明朝B"/>
        <family val="1"/>
        <charset val="128"/>
      </rPr>
      <t>) ：Ｎ</t>
    </r>
    <r>
      <rPr>
        <vertAlign val="superscript"/>
        <sz val="9"/>
        <color theme="1"/>
        <rFont val="HG明朝B"/>
        <family val="1"/>
        <charset val="128"/>
      </rPr>
      <t>－１／3</t>
    </r>
    <r>
      <rPr>
        <sz val="9"/>
        <color theme="1"/>
        <rFont val="HG明朝B"/>
        <family val="1"/>
        <charset val="128"/>
      </rPr>
      <t>　　　　</t>
    </r>
    <r>
      <rPr>
        <sz val="9"/>
        <color rgb="FF0000FF"/>
        <rFont val="HG明朝B"/>
        <family val="1"/>
        <charset val="128"/>
      </rPr>
      <t>Ｎ：管内電線の本数</t>
    </r>
    <phoneticPr fontId="1"/>
  </si>
  <si>
    <t>　　　　　職中に発見した "Ｎのマイナス３分の１乗"は、1940年に米国、1966年に英国が採用 し、世界の</t>
    <rPh sb="6" eb="7">
      <t>ナカ</t>
    </rPh>
    <rPh sb="51" eb="53">
      <t>セカイ</t>
    </rPh>
    <phoneticPr fontId="1"/>
  </si>
  <si>
    <t>　　　　　標準になっていますが、本家の日本では、あまり知られていないようです。</t>
    <rPh sb="16" eb="18">
      <t>ホンケ</t>
    </rPh>
    <rPh sb="19" eb="21">
      <t>ニホン</t>
    </rPh>
    <rPh sb="27" eb="28">
      <t>シ</t>
    </rPh>
    <phoneticPr fontId="1"/>
  </si>
  <si>
    <r>
      <t xml:space="preserve">　　　　　例えば、Ｎ=３ </t>
    </r>
    <r>
      <rPr>
        <sz val="9"/>
        <color theme="1" tint="4.9989318521683403E-2"/>
        <rFont val="HG明朝B"/>
        <family val="1"/>
        <charset val="128"/>
      </rPr>
      <t>⇒</t>
    </r>
    <r>
      <rPr>
        <sz val="9"/>
        <color rgb="FF0000FF"/>
        <rFont val="HG明朝B"/>
        <family val="1"/>
        <charset val="128"/>
      </rPr>
      <t xml:space="preserve"> KC ≒ 0.69336　Ｎ=２ </t>
    </r>
    <r>
      <rPr>
        <sz val="9"/>
        <color theme="1" tint="4.9989318521683403E-2"/>
        <rFont val="HG明朝B"/>
        <family val="1"/>
        <charset val="128"/>
      </rPr>
      <t>⇒</t>
    </r>
    <r>
      <rPr>
        <sz val="9"/>
        <color rgb="FF0000FF"/>
        <rFont val="HG明朝B"/>
        <family val="1"/>
        <charset val="128"/>
      </rPr>
      <t xml:space="preserve"> KC ≒ 0.7937 です。国内基準では､Ｎは３以下</t>
    </r>
    <phoneticPr fontId="1"/>
  </si>
  <si>
    <r>
      <t>　　概算照明率：Ｕ＝(１＋Ｋ-2)</t>
    </r>
    <r>
      <rPr>
        <vertAlign val="superscript"/>
        <sz val="9"/>
        <color rgb="FF0000FF"/>
        <rFont val="HG明朝B"/>
        <family val="1"/>
        <charset val="128"/>
      </rPr>
      <t>0.5</t>
    </r>
    <r>
      <rPr>
        <sz val="9"/>
        <color rgb="FF0000FF"/>
        <rFont val="HG明朝B"/>
        <family val="1"/>
        <charset val="128"/>
      </rPr>
      <t>－Ｋ</t>
    </r>
    <r>
      <rPr>
        <vertAlign val="superscript"/>
        <sz val="9"/>
        <color rgb="FF0000FF"/>
        <rFont val="HG明朝B"/>
        <family val="1"/>
        <charset val="128"/>
      </rPr>
      <t>-1</t>
    </r>
    <r>
      <rPr>
        <sz val="9"/>
        <color rgb="FF0000FF"/>
        <rFont val="HG明朝B"/>
        <family val="1"/>
        <charset val="128"/>
      </rPr>
      <t>　　Ｋ：室指数　Ｋ</t>
    </r>
    <r>
      <rPr>
        <vertAlign val="superscript"/>
        <sz val="9"/>
        <color rgb="FF0000FF"/>
        <rFont val="HG明朝B"/>
        <family val="1"/>
        <charset val="128"/>
      </rPr>
      <t>-1</t>
    </r>
    <r>
      <rPr>
        <sz val="9"/>
        <color rgb="FF0000FF"/>
        <rFont val="HG明朝B"/>
        <family val="1"/>
        <charset val="128"/>
      </rPr>
      <t>＝(間口＋奥行) × 天井高 ／ (間口×奥行)</t>
    </r>
  </si>
  <si>
    <r>
      <t>　　Ｕt は、　Ｕt≒ｆ(Ｕ)・[ｆ(ρ)・(ρc・ρf＋ρc</t>
    </r>
    <r>
      <rPr>
        <vertAlign val="superscript"/>
        <sz val="9"/>
        <color rgb="FF0000FF"/>
        <rFont val="HG明朝B"/>
        <family val="1"/>
        <charset val="128"/>
      </rPr>
      <t>2</t>
    </r>
    <r>
      <rPr>
        <sz val="9"/>
        <color rgb="FF0000FF"/>
        <rFont val="HG明朝B"/>
        <family val="1"/>
        <charset val="128"/>
      </rPr>
      <t>・ρf</t>
    </r>
    <r>
      <rPr>
        <vertAlign val="superscript"/>
        <sz val="9"/>
        <color rgb="FF0000FF"/>
        <rFont val="HG明朝B"/>
        <family val="1"/>
        <charset val="128"/>
      </rPr>
      <t>2</t>
    </r>
    <r>
      <rPr>
        <sz val="9"/>
        <color rgb="FF0000FF"/>
        <rFont val="HG明朝B"/>
        <family val="1"/>
        <charset val="128"/>
      </rPr>
      <t>)]＋ｆ(K)・[ρw＋ρc・ρw＋ρc・ρf・ρw］</t>
    </r>
  </si>
  <si>
    <t>　　Ｎ＝Ｅ・Ａ／(Ｍ・Ｕt・Ｆ・ｎ)</t>
    <phoneticPr fontId="1"/>
  </si>
  <si>
    <t>　　　　Ｆ：ランプ１本あたりの光束 [ｌｍ]　　ｎ：ランプ本数／器具１台</t>
    <phoneticPr fontId="1"/>
  </si>
  <si>
    <t>　　床面の反射率について ： 各メーカの照明率資料は、床面の反射率が １０％ の値です。</t>
    <phoneticPr fontId="1"/>
  </si>
  <si>
    <t>　　この反射率を 15～20％ に変更可能なら､必要器具台数を数パーセント以上少なくすることが可能です。</t>
    <phoneticPr fontId="1"/>
  </si>
  <si>
    <t>　　 9W      540             　          520　　　　　      　　    　 　　16W 　 1200</t>
    <phoneticPr fontId="1"/>
  </si>
  <si>
    <t>　　13W   790～ 840　     850    　  750～ 800 　　24W 　 1800  　　　   　23W　　1770</t>
    <phoneticPr fontId="1"/>
  </si>
  <si>
    <t>　　18W  1050～1120   1030～1100 　 1000～1070　　 32W　　2400    　 　　  32W　　2900</t>
    <phoneticPr fontId="1"/>
  </si>
  <si>
    <t>　　27W  1690～1855 　1480～1600 　 1450～1550　　 42W　　3200 　　    　  45W　　4350</t>
    <phoneticPr fontId="1"/>
  </si>
  <si>
    <t>　　36W  2720～2900 　   2900</t>
    <phoneticPr fontId="1"/>
  </si>
  <si>
    <t>　　55W  4230～4500　    4350</t>
    <phoneticPr fontId="1"/>
  </si>
  <si>
    <t>　　96W  8100～8600 　   7500</t>
    <phoneticPr fontId="1"/>
  </si>
  <si>
    <t xml:space="preserve">      　　　  　FCL　FCL(パルック)　　　FHD(ツインパルック)　　　　LED直管　　　　　　LED電球</t>
    <phoneticPr fontId="1"/>
  </si>
  <si>
    <t xml:space="preserve">    30形(28W)　　1600　　2210　　　　　40形(41W)  3210～3450　　20形(14.0W)  1200   (4.0W)  340</t>
    <phoneticPr fontId="1"/>
  </si>
  <si>
    <t>　　32形(30W)　　1960　　2640　　　　　70形(68W)  5750～6550　　40形(27.2W)  2400   (6.9W)  570</t>
    <phoneticPr fontId="1"/>
  </si>
  <si>
    <t>　　40形(38W)　　2680　　3440　　　　　85形(83W)  7100～8100　　　　　　　　　　　　(9.2W)  825</t>
    <phoneticPr fontId="1"/>
  </si>
  <si>
    <t>　　　Ｈf　16形(16W/23W)　 　1470／2100　　　　15形(15W)　　820</t>
    <phoneticPr fontId="1"/>
  </si>
  <si>
    <t>　　　　　　86形(84W)　　  　　9200　　　　　　32形(32W)　 2090  　　　  (32W)　 2000</t>
    <phoneticPr fontId="1"/>
  </si>
  <si>
    <t>　　　　　　　　　　　　　　　　　　　　　　　110形　　　　　　　　(100～110W) 　8500</t>
    <phoneticPr fontId="1"/>
  </si>
  <si>
    <r>
      <t>　　(Ｚ)</t>
    </r>
    <r>
      <rPr>
        <vertAlign val="superscript"/>
        <sz val="10"/>
        <color theme="1"/>
        <rFont val="HG明朝B"/>
        <family val="1"/>
        <charset val="128"/>
      </rPr>
      <t>ｎ</t>
    </r>
    <r>
      <rPr>
        <sz val="9"/>
        <color theme="1"/>
        <rFont val="HG明朝B"/>
        <family val="1"/>
        <charset val="128"/>
      </rPr>
      <t>＝(Ｚ1)</t>
    </r>
    <r>
      <rPr>
        <vertAlign val="superscript"/>
        <sz val="10"/>
        <color theme="1"/>
        <rFont val="HG明朝B"/>
        <family val="1"/>
        <charset val="128"/>
      </rPr>
      <t>ｎ</t>
    </r>
    <r>
      <rPr>
        <sz val="9"/>
        <color theme="1"/>
        <rFont val="HG明朝B"/>
        <family val="1"/>
        <charset val="128"/>
      </rPr>
      <t>＋(Ｚ2)</t>
    </r>
    <r>
      <rPr>
        <vertAlign val="superscript"/>
        <sz val="10"/>
        <color theme="1"/>
        <rFont val="HG明朝B"/>
        <family val="1"/>
        <charset val="128"/>
      </rPr>
      <t>ｎ</t>
    </r>
  </si>
  <si>
    <r>
      <t>　　直列回路：Ｚ1=Ｒ</t>
    </r>
    <r>
      <rPr>
        <vertAlign val="subscript"/>
        <sz val="10"/>
        <color theme="1"/>
        <rFont val="HG明朝B"/>
        <family val="1"/>
        <charset val="128"/>
      </rPr>
      <t>1</t>
    </r>
    <r>
      <rPr>
        <sz val="9"/>
        <color theme="1"/>
        <rFont val="HG明朝B"/>
        <family val="1"/>
        <charset val="128"/>
      </rPr>
      <t>＋jＸ</t>
    </r>
    <r>
      <rPr>
        <vertAlign val="subscript"/>
        <sz val="10"/>
        <color theme="1"/>
        <rFont val="HG明朝B"/>
        <family val="1"/>
        <charset val="128"/>
      </rPr>
      <t>1</t>
    </r>
    <r>
      <rPr>
        <sz val="9"/>
        <color theme="1"/>
        <rFont val="HG明朝B"/>
        <family val="1"/>
        <charset val="128"/>
      </rPr>
      <t>、Ｚ2=Ｒ</t>
    </r>
    <r>
      <rPr>
        <vertAlign val="subscript"/>
        <sz val="10"/>
        <color theme="1"/>
        <rFont val="HG明朝B"/>
        <family val="1"/>
        <charset val="128"/>
      </rPr>
      <t>2</t>
    </r>
    <r>
      <rPr>
        <sz val="9"/>
        <color theme="1"/>
        <rFont val="HG明朝B"/>
        <family val="1"/>
        <charset val="128"/>
      </rPr>
      <t>＋jＸ</t>
    </r>
    <r>
      <rPr>
        <vertAlign val="subscript"/>
        <sz val="10"/>
        <color theme="1"/>
        <rFont val="HG明朝B"/>
        <family val="1"/>
        <charset val="128"/>
      </rPr>
      <t>2</t>
    </r>
    <r>
      <rPr>
        <sz val="9"/>
        <color theme="1"/>
        <rFont val="HG明朝B"/>
        <family val="1"/>
        <charset val="128"/>
      </rPr>
      <t xml:space="preserve"> の合成インピーダンス Ｚは、</t>
    </r>
  </si>
  <si>
    <r>
      <t>　　並列回路：Ｚ</t>
    </r>
    <r>
      <rPr>
        <vertAlign val="subscript"/>
        <sz val="10"/>
        <color theme="1"/>
        <rFont val="HG明朝B"/>
        <family val="1"/>
        <charset val="128"/>
      </rPr>
      <t>1</t>
    </r>
    <r>
      <rPr>
        <sz val="9"/>
        <color theme="1"/>
        <rFont val="HG明朝B"/>
        <family val="1"/>
        <charset val="128"/>
      </rPr>
      <t>=Ｒ</t>
    </r>
    <r>
      <rPr>
        <vertAlign val="subscript"/>
        <sz val="10"/>
        <color theme="1"/>
        <rFont val="HG明朝B"/>
        <family val="1"/>
        <charset val="128"/>
      </rPr>
      <t>1</t>
    </r>
    <r>
      <rPr>
        <sz val="9"/>
        <color theme="1"/>
        <rFont val="HG明朝B"/>
        <family val="1"/>
        <charset val="128"/>
      </rPr>
      <t>＋jＸ</t>
    </r>
    <r>
      <rPr>
        <vertAlign val="subscript"/>
        <sz val="10"/>
        <color theme="1"/>
        <rFont val="HG明朝B"/>
        <family val="1"/>
        <charset val="128"/>
      </rPr>
      <t>1</t>
    </r>
    <r>
      <rPr>
        <sz val="9"/>
        <color theme="1"/>
        <rFont val="HG明朝B"/>
        <family val="1"/>
        <charset val="128"/>
      </rPr>
      <t>、Ｚ</t>
    </r>
    <r>
      <rPr>
        <vertAlign val="subscript"/>
        <sz val="10"/>
        <color theme="1"/>
        <rFont val="HG明朝B"/>
        <family val="1"/>
        <charset val="128"/>
      </rPr>
      <t>2</t>
    </r>
    <r>
      <rPr>
        <sz val="9"/>
        <color theme="1"/>
        <rFont val="HG明朝B"/>
        <family val="1"/>
        <charset val="128"/>
      </rPr>
      <t>=Ｒ</t>
    </r>
    <r>
      <rPr>
        <vertAlign val="subscript"/>
        <sz val="10"/>
        <color theme="1"/>
        <rFont val="HG明朝B"/>
        <family val="1"/>
        <charset val="128"/>
      </rPr>
      <t>2</t>
    </r>
    <r>
      <rPr>
        <sz val="9"/>
        <color theme="1"/>
        <rFont val="HG明朝B"/>
        <family val="1"/>
        <charset val="128"/>
      </rPr>
      <t>＋jＸ</t>
    </r>
    <r>
      <rPr>
        <vertAlign val="subscript"/>
        <sz val="10"/>
        <color theme="1"/>
        <rFont val="HG明朝B"/>
        <family val="1"/>
        <charset val="128"/>
      </rPr>
      <t>2</t>
    </r>
    <r>
      <rPr>
        <sz val="9"/>
        <color theme="1"/>
        <rFont val="HG明朝B"/>
        <family val="1"/>
        <charset val="128"/>
      </rPr>
      <t xml:space="preserve"> (又は １／ｊＸ</t>
    </r>
    <r>
      <rPr>
        <vertAlign val="subscript"/>
        <sz val="10"/>
        <color theme="1"/>
        <rFont val="HG明朝B"/>
        <family val="1"/>
        <charset val="128"/>
      </rPr>
      <t>C</t>
    </r>
    <r>
      <rPr>
        <sz val="9"/>
        <color theme="1"/>
        <rFont val="HG明朝B"/>
        <family val="1"/>
        <charset val="128"/>
      </rPr>
      <t>) の合成) の合成</t>
    </r>
  </si>
  <si>
    <r>
      <t>　　　　直列回路 （</t>
    </r>
    <r>
      <rPr>
        <b/>
        <sz val="9"/>
        <color rgb="FF0000FF"/>
        <rFont val="Times New Roman"/>
        <family val="1"/>
      </rPr>
      <t>Series circuit</t>
    </r>
    <r>
      <rPr>
        <sz val="9"/>
        <color rgb="FF0000FF"/>
        <rFont val="HG明朝B"/>
        <family val="1"/>
        <charset val="128"/>
      </rPr>
      <t>)　 ……… ｎ＝１</t>
    </r>
    <phoneticPr fontId="1"/>
  </si>
  <si>
    <r>
      <t xml:space="preserve">　　　　直列回路の </t>
    </r>
    <r>
      <rPr>
        <b/>
        <sz val="9"/>
        <color theme="1"/>
        <rFont val="Times New Roman"/>
        <family val="1"/>
      </rPr>
      <t>Impedance</t>
    </r>
    <r>
      <rPr>
        <sz val="9"/>
        <color theme="1"/>
        <rFont val="HG明朝B"/>
        <family val="1"/>
        <charset val="128"/>
      </rPr>
      <t xml:space="preserve"> 合成 ： Ｚ＝Ｚ</t>
    </r>
    <r>
      <rPr>
        <vertAlign val="subscript"/>
        <sz val="10"/>
        <color theme="1"/>
        <rFont val="HG明朝B"/>
        <family val="1"/>
        <charset val="128"/>
      </rPr>
      <t>1</t>
    </r>
    <r>
      <rPr>
        <sz val="9"/>
        <color theme="1"/>
        <rFont val="HG明朝B"/>
        <family val="1"/>
        <charset val="128"/>
      </rPr>
      <t>＋Ｚ</t>
    </r>
    <r>
      <rPr>
        <vertAlign val="subscript"/>
        <sz val="10"/>
        <color theme="1"/>
        <rFont val="HG明朝B"/>
        <family val="1"/>
        <charset val="128"/>
      </rPr>
      <t>2</t>
    </r>
    <phoneticPr fontId="1"/>
  </si>
  <si>
    <r>
      <t xml:space="preserve">　　　　並列回路の </t>
    </r>
    <r>
      <rPr>
        <b/>
        <sz val="9"/>
        <color theme="1"/>
        <rFont val="Times New Roman"/>
        <family val="1"/>
      </rPr>
      <t>Impedance</t>
    </r>
    <r>
      <rPr>
        <sz val="9"/>
        <color theme="1"/>
        <rFont val="HG明朝B"/>
        <family val="1"/>
        <charset val="128"/>
      </rPr>
      <t xml:space="preserve"> 合成 ： １／Ｚ＝１／Ｚ</t>
    </r>
    <r>
      <rPr>
        <vertAlign val="subscript"/>
        <sz val="10"/>
        <color theme="1"/>
        <rFont val="HG明朝B"/>
        <family val="1"/>
        <charset val="128"/>
      </rPr>
      <t>1</t>
    </r>
    <r>
      <rPr>
        <sz val="9"/>
        <color theme="1"/>
        <rFont val="HG明朝B"/>
        <family val="1"/>
        <charset val="128"/>
      </rPr>
      <t>＋１／Ｚ</t>
    </r>
    <r>
      <rPr>
        <vertAlign val="subscript"/>
        <sz val="10"/>
        <color theme="1"/>
        <rFont val="HG明朝B"/>
        <family val="1"/>
        <charset val="128"/>
      </rPr>
      <t>2</t>
    </r>
    <phoneticPr fontId="1"/>
  </si>
  <si>
    <r>
      <t xml:space="preserve">    　　　　　　　Ｚ＝Ｚ</t>
    </r>
    <r>
      <rPr>
        <vertAlign val="subscript"/>
        <sz val="10"/>
        <color theme="1"/>
        <rFont val="HG明朝B"/>
        <family val="1"/>
        <charset val="128"/>
      </rPr>
      <t>1</t>
    </r>
    <r>
      <rPr>
        <sz val="9"/>
        <color theme="1"/>
        <rFont val="HG明朝B"/>
        <family val="1"/>
        <charset val="128"/>
      </rPr>
      <t>＋Ｚ</t>
    </r>
    <r>
      <rPr>
        <vertAlign val="subscript"/>
        <sz val="10"/>
        <color theme="1"/>
        <rFont val="HG明朝B"/>
        <family val="1"/>
        <charset val="128"/>
      </rPr>
      <t>2</t>
    </r>
    <r>
      <rPr>
        <sz val="9"/>
        <color theme="1"/>
        <rFont val="HG明朝B"/>
        <family val="1"/>
        <charset val="128"/>
      </rPr>
      <t>＝(Ｒ</t>
    </r>
    <r>
      <rPr>
        <vertAlign val="subscript"/>
        <sz val="10"/>
        <color theme="1"/>
        <rFont val="HG明朝B"/>
        <family val="1"/>
        <charset val="128"/>
      </rPr>
      <t>1</t>
    </r>
    <r>
      <rPr>
        <sz val="9"/>
        <color theme="1"/>
        <rFont val="HG明朝B"/>
        <family val="1"/>
        <charset val="128"/>
      </rPr>
      <t>＋Ｒ</t>
    </r>
    <r>
      <rPr>
        <vertAlign val="subscript"/>
        <sz val="10"/>
        <color theme="1"/>
        <rFont val="HG明朝B"/>
        <family val="1"/>
        <charset val="128"/>
      </rPr>
      <t>2</t>
    </r>
    <r>
      <rPr>
        <sz val="9"/>
        <color theme="1"/>
        <rFont val="HG明朝B"/>
        <family val="1"/>
        <charset val="128"/>
      </rPr>
      <t>)＋j(Ｘ</t>
    </r>
    <r>
      <rPr>
        <vertAlign val="subscript"/>
        <sz val="10"/>
        <color theme="1"/>
        <rFont val="HG明朝B"/>
        <family val="1"/>
        <charset val="128"/>
      </rPr>
      <t>1</t>
    </r>
    <r>
      <rPr>
        <sz val="9"/>
        <color theme="1"/>
        <rFont val="HG明朝B"/>
        <family val="1"/>
        <charset val="128"/>
      </rPr>
      <t>＋Ｘ</t>
    </r>
    <r>
      <rPr>
        <vertAlign val="subscript"/>
        <sz val="10"/>
        <color theme="1"/>
        <rFont val="HG明朝B"/>
        <family val="1"/>
        <charset val="128"/>
      </rPr>
      <t>2</t>
    </r>
    <r>
      <rPr>
        <sz val="9"/>
        <color theme="1"/>
        <rFont val="HG明朝B"/>
        <family val="1"/>
        <charset val="128"/>
      </rPr>
      <t>)　　cos φ＝(Ｒ</t>
    </r>
    <r>
      <rPr>
        <vertAlign val="subscript"/>
        <sz val="10"/>
        <color theme="1"/>
        <rFont val="HG明朝B"/>
        <family val="1"/>
        <charset val="128"/>
      </rPr>
      <t>1</t>
    </r>
    <r>
      <rPr>
        <sz val="9"/>
        <color theme="1"/>
        <rFont val="HG明朝B"/>
        <family val="1"/>
        <charset val="128"/>
      </rPr>
      <t>＋Ｒ</t>
    </r>
    <r>
      <rPr>
        <vertAlign val="subscript"/>
        <sz val="10"/>
        <color theme="1"/>
        <rFont val="HG明朝B"/>
        <family val="1"/>
        <charset val="128"/>
      </rPr>
      <t>2</t>
    </r>
    <r>
      <rPr>
        <sz val="9"/>
        <color theme="1"/>
        <rFont val="HG明朝B"/>
        <family val="1"/>
        <charset val="128"/>
      </rPr>
      <t>)／Ｚ</t>
    </r>
    <phoneticPr fontId="1"/>
  </si>
  <si>
    <r>
      <t>　     　　　　 　Ｚ</t>
    </r>
    <r>
      <rPr>
        <vertAlign val="subscript"/>
        <sz val="10"/>
        <color theme="1"/>
        <rFont val="HG明朝B"/>
        <family val="1"/>
        <charset val="128"/>
      </rPr>
      <t>1</t>
    </r>
    <r>
      <rPr>
        <sz val="9"/>
        <color theme="1"/>
        <rFont val="HG明朝B"/>
        <family val="1"/>
        <charset val="128"/>
      </rPr>
      <t>=Ｒ</t>
    </r>
    <r>
      <rPr>
        <vertAlign val="subscript"/>
        <sz val="10"/>
        <color theme="1"/>
        <rFont val="HG明朝B"/>
        <family val="1"/>
        <charset val="128"/>
      </rPr>
      <t>1</t>
    </r>
    <r>
      <rPr>
        <sz val="9"/>
        <color theme="1"/>
        <rFont val="HG明朝B"/>
        <family val="1"/>
        <charset val="128"/>
      </rPr>
      <t>＋jＸ</t>
    </r>
    <r>
      <rPr>
        <vertAlign val="subscript"/>
        <sz val="10"/>
        <color theme="1"/>
        <rFont val="HG明朝B"/>
        <family val="1"/>
        <charset val="128"/>
      </rPr>
      <t>1</t>
    </r>
    <r>
      <rPr>
        <sz val="9"/>
        <color theme="1"/>
        <rFont val="HG明朝B"/>
        <family val="1"/>
        <charset val="128"/>
      </rPr>
      <t>、Ｚ</t>
    </r>
    <r>
      <rPr>
        <vertAlign val="subscript"/>
        <sz val="10"/>
        <color theme="1"/>
        <rFont val="HG明朝B"/>
        <family val="1"/>
        <charset val="128"/>
      </rPr>
      <t>2</t>
    </r>
    <r>
      <rPr>
        <sz val="9"/>
        <color theme="1"/>
        <rFont val="HG明朝B"/>
        <family val="1"/>
        <charset val="128"/>
      </rPr>
      <t>=１／jＸ</t>
    </r>
    <r>
      <rPr>
        <vertAlign val="subscript"/>
        <sz val="10"/>
        <color theme="1"/>
        <rFont val="HG明朝B"/>
        <family val="1"/>
        <charset val="128"/>
      </rPr>
      <t>C</t>
    </r>
    <r>
      <rPr>
        <sz val="9"/>
        <color theme="1"/>
        <rFont val="HG明朝B"/>
        <family val="1"/>
        <charset val="128"/>
      </rPr>
      <t xml:space="preserve"> の合成インピーダンス Ｚは、</t>
    </r>
    <phoneticPr fontId="1"/>
  </si>
  <si>
    <r>
      <t>　     　　　 　　Ｚ＝Ｒ</t>
    </r>
    <r>
      <rPr>
        <vertAlign val="subscript"/>
        <sz val="10"/>
        <color theme="1"/>
        <rFont val="HG明朝B"/>
        <family val="1"/>
        <charset val="128"/>
      </rPr>
      <t>1</t>
    </r>
    <r>
      <rPr>
        <sz val="9"/>
        <color theme="1"/>
        <rFont val="HG明朝B"/>
        <family val="1"/>
        <charset val="128"/>
      </rPr>
      <t>＋j(Ｘ</t>
    </r>
    <r>
      <rPr>
        <vertAlign val="subscript"/>
        <sz val="10"/>
        <color theme="1"/>
        <rFont val="HG明朝B"/>
        <family val="1"/>
        <charset val="128"/>
      </rPr>
      <t>1</t>
    </r>
    <r>
      <rPr>
        <sz val="9"/>
        <color theme="1"/>
        <rFont val="HG明朝B"/>
        <family val="1"/>
        <charset val="128"/>
      </rPr>
      <t>－１／Ｘ</t>
    </r>
    <r>
      <rPr>
        <vertAlign val="subscript"/>
        <sz val="10"/>
        <color theme="1"/>
        <rFont val="HG明朝B"/>
        <family val="1"/>
        <charset val="128"/>
      </rPr>
      <t>C</t>
    </r>
    <r>
      <rPr>
        <sz val="9"/>
        <color theme="1"/>
        <rFont val="HG明朝B"/>
        <family val="1"/>
        <charset val="128"/>
      </rPr>
      <t>)　　　cos φ＝Ｒ</t>
    </r>
    <r>
      <rPr>
        <vertAlign val="subscript"/>
        <sz val="10"/>
        <color theme="1"/>
        <rFont val="HG明朝B"/>
        <family val="1"/>
        <charset val="128"/>
      </rPr>
      <t>1</t>
    </r>
    <r>
      <rPr>
        <sz val="9"/>
        <color theme="1"/>
        <rFont val="HG明朝B"/>
        <family val="1"/>
        <charset val="128"/>
      </rPr>
      <t>／Ｚ</t>
    </r>
    <phoneticPr fontId="1"/>
  </si>
  <si>
    <r>
      <t>　     　　　　 　１／Ｚ＝１／Ｚ</t>
    </r>
    <r>
      <rPr>
        <vertAlign val="subscript"/>
        <sz val="10"/>
        <color theme="1"/>
        <rFont val="HG明朝B"/>
        <family val="1"/>
        <charset val="128"/>
      </rPr>
      <t>1</t>
    </r>
    <r>
      <rPr>
        <sz val="9"/>
        <color theme="1"/>
        <rFont val="HG明朝B"/>
        <family val="1"/>
        <charset val="128"/>
      </rPr>
      <t>＋１／Ｚ</t>
    </r>
    <r>
      <rPr>
        <vertAlign val="subscript"/>
        <sz val="10"/>
        <color theme="1"/>
        <rFont val="HG明朝B"/>
        <family val="1"/>
        <charset val="128"/>
      </rPr>
      <t>2</t>
    </r>
    <r>
      <rPr>
        <sz val="9"/>
        <color theme="1"/>
        <rFont val="HG明朝B"/>
        <family val="1"/>
        <charset val="128"/>
      </rPr>
      <t>　　　　cos φ＝Ｒｚ／Ｚ</t>
    </r>
    <phoneticPr fontId="1"/>
  </si>
  <si>
    <r>
      <t>　　    　　並列回路 Ｚ</t>
    </r>
    <r>
      <rPr>
        <vertAlign val="subscript"/>
        <sz val="10"/>
        <color rgb="FF0000FF"/>
        <rFont val="HG明朝B"/>
        <family val="1"/>
        <charset val="128"/>
      </rPr>
      <t>1</t>
    </r>
    <r>
      <rPr>
        <sz val="9"/>
        <color rgb="FF0000FF"/>
        <rFont val="HG明朝B"/>
        <family val="1"/>
        <charset val="128"/>
      </rPr>
      <t>、Ｚ</t>
    </r>
    <r>
      <rPr>
        <vertAlign val="subscript"/>
        <sz val="10"/>
        <color rgb="FF0000FF"/>
        <rFont val="HG明朝B"/>
        <family val="1"/>
        <charset val="128"/>
      </rPr>
      <t>2</t>
    </r>
    <r>
      <rPr>
        <sz val="9"/>
        <color rgb="FF0000FF"/>
        <rFont val="HG明朝B"/>
        <family val="1"/>
        <charset val="128"/>
      </rPr>
      <t xml:space="preserve"> ………………… </t>
    </r>
    <r>
      <rPr>
        <sz val="9"/>
        <color theme="1" tint="4.9989318521683403E-2"/>
        <rFont val="HG明朝B"/>
        <family val="1"/>
        <charset val="128"/>
      </rPr>
      <t>変圧器の並列運転、多条布設ケーブル</t>
    </r>
    <phoneticPr fontId="1"/>
  </si>
  <si>
    <r>
      <t>　　実務例：直列回路 Ｚ</t>
    </r>
    <r>
      <rPr>
        <vertAlign val="subscript"/>
        <sz val="10"/>
        <color rgb="FF0000FF"/>
        <rFont val="HG明朝B"/>
        <family val="1"/>
        <charset val="128"/>
      </rPr>
      <t>1</t>
    </r>
    <r>
      <rPr>
        <sz val="9"/>
        <color rgb="FF0000FF"/>
        <rFont val="HG明朝B"/>
        <family val="1"/>
        <charset val="128"/>
      </rPr>
      <t>、Ｚ</t>
    </r>
    <r>
      <rPr>
        <vertAlign val="subscript"/>
        <sz val="10"/>
        <color rgb="FF0000FF"/>
        <rFont val="HG明朝B"/>
        <family val="1"/>
        <charset val="128"/>
      </rPr>
      <t>2</t>
    </r>
    <r>
      <rPr>
        <sz val="9"/>
        <color rgb="FF0000FF"/>
        <rFont val="HG明朝B"/>
        <family val="1"/>
        <charset val="128"/>
      </rPr>
      <t xml:space="preserve"> = １／ｊＸ</t>
    </r>
    <r>
      <rPr>
        <vertAlign val="subscript"/>
        <sz val="10"/>
        <color rgb="FF0000FF"/>
        <rFont val="HG明朝B"/>
        <family val="1"/>
        <charset val="128"/>
      </rPr>
      <t>C</t>
    </r>
    <r>
      <rPr>
        <sz val="9"/>
        <color rgb="FF0000FF"/>
        <rFont val="HG明朝B"/>
        <family val="1"/>
        <charset val="128"/>
      </rPr>
      <t xml:space="preserve"> …</t>
    </r>
    <r>
      <rPr>
        <sz val="11"/>
        <color rgb="FF0000FF"/>
        <rFont val="HG明朝B"/>
        <family val="1"/>
        <charset val="128"/>
      </rPr>
      <t xml:space="preserve"> </t>
    </r>
    <r>
      <rPr>
        <sz val="9"/>
        <color theme="1" tint="4.9989318521683403E-2"/>
        <rFont val="HG明朝B"/>
        <family val="1"/>
        <charset val="128"/>
      </rPr>
      <t>直列リアクトル ＋ 進相コンデンサ</t>
    </r>
    <phoneticPr fontId="1"/>
  </si>
  <si>
    <t>　　　　　 　 負荷側) による力率計算、単独幹線・分岐幹線の構築と使用ケーブルの選定、全負荷電流・</t>
    <phoneticPr fontId="1"/>
  </si>
  <si>
    <t>　　　　  　　変圧器電流・配電側電圧、負荷側（幹線単位）電流・電圧・力率、幹線毎の対称値短絡電流、</t>
    <rPh sb="48" eb="49">
      <t>ナガ</t>
    </rPh>
    <phoneticPr fontId="1"/>
  </si>
  <si>
    <t>　　　    　　対称値母線短絡電流</t>
    <phoneticPr fontId="1"/>
  </si>
  <si>
    <t>　　この「低圧電力幹線の簡易計算」では、上記解析項目のうち、３φ、１φの電気方式、配電用変圧器の</t>
    <phoneticPr fontId="1"/>
  </si>
  <si>
    <t>　　定格容量、配電側進相コンデンサ設置、幹線ケーブルの選定、負荷入力内容による負荷側電圧、負荷側</t>
    <rPh sb="47" eb="48">
      <t>カワ</t>
    </rPh>
    <phoneticPr fontId="1"/>
  </si>
  <si>
    <t>　　電流、負荷側短絡電流 (対称値)、母線短絡電流 (対称値) の計算を行います。</t>
    <phoneticPr fontId="1"/>
  </si>
  <si>
    <r>
      <t>　　電気方式</t>
    </r>
    <r>
      <rPr>
        <sz val="9"/>
        <color rgb="FF0000FF"/>
        <rFont val="HG明朝B"/>
        <family val="1"/>
        <charset val="128"/>
      </rPr>
      <t>　1φ60Hz ：１φ３Ｗ－50Hz／60Hz　　　3φ60Hz ： ３φ３Ｗ－50Hz／60Hz</t>
    </r>
    <phoneticPr fontId="1"/>
  </si>
  <si>
    <r>
      <t>　　　（注）</t>
    </r>
    <r>
      <rPr>
        <sz val="9"/>
        <color rgb="FF0000FF"/>
        <rFont val="HG明朝B"/>
        <family val="1"/>
        <charset val="128"/>
      </rPr>
      <t>この計算は、変圧器「１台」に対して､「１幹線」接続の簡易計算で 複数幹線のインピーダン</t>
    </r>
    <rPh sb="32" eb="34">
      <t>カンイ</t>
    </rPh>
    <phoneticPr fontId="1"/>
  </si>
  <si>
    <t>　    　　　ス計算は、「ＶＤ４」による。</t>
    <phoneticPr fontId="1"/>
  </si>
  <si>
    <r>
      <t>　　進相コンデンサ容量の入力</t>
    </r>
    <r>
      <rPr>
        <sz val="9"/>
        <color rgb="FF0000FF"/>
        <rFont val="HG明朝B"/>
        <family val="1"/>
        <charset val="128"/>
      </rPr>
      <t>　実際に設置する定格容量を入力するのではなく、この幹線に対して、負担</t>
    </r>
    <phoneticPr fontId="1"/>
  </si>
  <si>
    <t>　　　        　　　　　　　　するＳＣ容量を入力する。</t>
    <phoneticPr fontId="1"/>
  </si>
  <si>
    <t>　　　（例） この幹線の需要電力が全体の 1／3 で、ＳＣ 75 KVar×１ 台設置の場合、25 KVarと入力する。</t>
    <phoneticPr fontId="1"/>
  </si>
  <si>
    <r>
      <t>　　幹線ケーブル</t>
    </r>
    <r>
      <rPr>
        <sz val="9"/>
        <color rgb="FF0000FF"/>
        <rFont val="HG明朝B"/>
        <family val="1"/>
        <charset val="128"/>
      </rPr>
      <t>　分岐幹線の電圧降下計算：単独幹線のみの対応で分岐幹線の計算はできません。</t>
    </r>
  </si>
  <si>
    <r>
      <t>　　ＤＭＫＷ (需要電力) の入力</t>
    </r>
    <r>
      <rPr>
        <sz val="9"/>
        <color rgb="FF0000FF"/>
        <rFont val="HG明朝B"/>
        <family val="1"/>
        <charset val="128"/>
      </rPr>
      <t>　[KVA]×cosφ＝[KW]より、KVA表示の値は、平均力率 cosφ および</t>
    </r>
  </si>
  <si>
    <t>　　　　  　　　　分岐幹線の計算：「ＶＤ４」による。</t>
    <phoneticPr fontId="1"/>
  </si>
  <si>
    <r>
      <t>　　幹線ケーブル</t>
    </r>
    <r>
      <rPr>
        <sz val="9"/>
        <color theme="1" tint="4.9989318521683403E-2"/>
        <rFont val="HG明朝B"/>
        <family val="1"/>
        <charset val="128"/>
      </rPr>
      <t>の種類</t>
    </r>
    <r>
      <rPr>
        <sz val="9"/>
        <color rgb="FF0000FF"/>
        <rFont val="HG明朝B"/>
        <family val="1"/>
        <charset val="128"/>
      </rPr>
      <t>　導体最高温度は、５０[℃]に固定して計算しています。</t>
    </r>
    <phoneticPr fontId="1"/>
  </si>
  <si>
    <t>　　　　　　    　　　 ｛1+0.00393・(50－20)｝/1.2751 ≒ 0.876715552</t>
    <phoneticPr fontId="1"/>
  </si>
  <si>
    <t>　　　　　　　         　　　　 平均需要率 Ｄｆを乗じた値を入力して下さい。</t>
    <phoneticPr fontId="1"/>
  </si>
  <si>
    <t>　　　（例）１０KVA、cosφ＝０.８、Ｄｆ＝０.５ の場合、4.00 KW です。</t>
    <phoneticPr fontId="1"/>
  </si>
  <si>
    <t>　　　　　　動力負荷は、入力KW (出力KW/η) に平均需要率 Ｄｆ を乗じた値を入力して下さい。</t>
    <phoneticPr fontId="1"/>
  </si>
  <si>
    <r>
      <t>　　 　　　（η：ＩＭの効率）  IM：</t>
    </r>
    <r>
      <rPr>
        <b/>
        <sz val="9"/>
        <color rgb="FF0000FF"/>
        <rFont val="Times New Roman"/>
        <family val="1"/>
      </rPr>
      <t>Induction motor</t>
    </r>
    <r>
      <rPr>
        <sz val="9"/>
        <color rgb="FF0000FF"/>
        <rFont val="HG明朝B"/>
        <family val="1"/>
        <charset val="128"/>
      </rPr>
      <t xml:space="preserve"> (誘導電動機)</t>
    </r>
    <rPh sb="37" eb="39">
      <t>ユウドウ</t>
    </rPh>
    <rPh sb="39" eb="42">
      <t>デンドウキ</t>
    </rPh>
    <phoneticPr fontId="1"/>
  </si>
  <si>
    <t>　　　（例）ＩＭ 15KW、η=0.855、Ｄｆ=0.3 の場合、≒5.26 KW です。</t>
    <phoneticPr fontId="1"/>
  </si>
  <si>
    <t>　　　（例）動力負荷計 ６０KW、平均効率η=0.8、平均需要率 Ｄｆ=0.4 の場合、３０.00 KW です。</t>
    <phoneticPr fontId="1"/>
  </si>
  <si>
    <r>
      <t>　　　　短絡電流（対称値）</t>
    </r>
    <r>
      <rPr>
        <sz val="9"/>
        <color rgb="FF0000FF"/>
        <rFont val="HG明朝B"/>
        <family val="1"/>
        <charset val="128"/>
      </rPr>
      <t xml:space="preserve"> ｢10,000,000｣と入力すると｢電流 ＩL｣ 欄に現場盤一次側の短絡電流値を</t>
    </r>
    <phoneticPr fontId="1"/>
  </si>
  <si>
    <t>　　　　　　　　      　　 表示します。</t>
    <phoneticPr fontId="1"/>
  </si>
  <si>
    <t>　　　　　　　　　　　　　 更に、ケーブル亘長を「０」にすると、配電盤母線短絡電流値を表示します。</t>
    <phoneticPr fontId="1"/>
  </si>
  <si>
    <r>
      <t>　　　現場盤一次電圧"ＥL"</t>
    </r>
    <r>
      <rPr>
        <sz val="9"/>
        <color rgb="FF0000FF"/>
        <rFont val="HG明朝B"/>
        <family val="1"/>
        <charset val="128"/>
      </rPr>
      <t>　変圧器二次電圧と現場盤一次電圧との電位差は、変圧器電圧変動率と線路電</t>
    </r>
    <phoneticPr fontId="1"/>
  </si>
  <si>
    <t>　　　　　　　　           圧降下とのベクトル和です。</t>
    <phoneticPr fontId="1"/>
  </si>
  <si>
    <r>
      <t>　　二次方程式 ｆ(Ｘ)をｆ(Ｘ)＝AX</t>
    </r>
    <r>
      <rPr>
        <vertAlign val="superscript"/>
        <sz val="9"/>
        <color rgb="FF0000FF"/>
        <rFont val="HG明朝B"/>
        <family val="1"/>
        <charset val="128"/>
      </rPr>
      <t>２</t>
    </r>
    <r>
      <rPr>
        <sz val="9"/>
        <color rgb="FF0000FF"/>
        <rFont val="HG明朝B"/>
        <family val="1"/>
        <charset val="128"/>
      </rPr>
      <t>＋BX＋C (ただし、Ａ≠０ ) とすると、ｆ(Ｘ)＝０ の解、Ｘａ，</t>
    </r>
  </si>
  <si>
    <r>
      <t>　　Ｂ</t>
    </r>
    <r>
      <rPr>
        <vertAlign val="superscript"/>
        <sz val="10"/>
        <color rgb="FF0000FF"/>
        <rFont val="HG明朝B"/>
        <family val="1"/>
        <charset val="128"/>
      </rPr>
      <t>2</t>
    </r>
    <r>
      <rPr>
        <sz val="9"/>
        <color rgb="FF0000FF"/>
        <rFont val="HG明朝B"/>
        <family val="1"/>
        <charset val="128"/>
      </rPr>
      <t>－４AC　 D＜０ のときは、ＡＢＳ(Ｄ) で計算し、虚大値 又は 虚小値 (Ｘ０) と表示します。</t>
    </r>
    <phoneticPr fontId="1"/>
  </si>
  <si>
    <r>
      <t>　　　　 ＡＢＳ：絶対値 (</t>
    </r>
    <r>
      <rPr>
        <b/>
        <sz val="9"/>
        <color theme="1" tint="4.9989318521683403E-2"/>
        <rFont val="Times New Roman"/>
        <family val="1"/>
      </rPr>
      <t>Absolute vallue</t>
    </r>
    <r>
      <rPr>
        <sz val="9"/>
        <color theme="1" tint="4.9989318521683403E-2"/>
        <rFont val="HG明朝B"/>
        <family val="1"/>
        <charset val="128"/>
      </rPr>
      <t>)</t>
    </r>
    <r>
      <rPr>
        <sz val="9"/>
        <color rgb="FF0000FF"/>
        <rFont val="HG明朝B"/>
        <family val="1"/>
        <charset val="128"/>
      </rPr>
      <t xml:space="preserve"> 　[ |D| → D≧0：D，D＜0：D ] </t>
    </r>
    <phoneticPr fontId="1"/>
  </si>
  <si>
    <t>　　Ｘa・Ｘb 解計算は､実根または複素数で計算します。[ｊ(ｎ)：虚数]､重根の場合は､これを表示します。</t>
    <phoneticPr fontId="1"/>
  </si>
  <si>
    <r>
      <t>　　三次方程式 ｆ(X) をｆ(X)＝AX</t>
    </r>
    <r>
      <rPr>
        <vertAlign val="superscript"/>
        <sz val="9"/>
        <color rgb="FF0000FF"/>
        <rFont val="HG明朝B"/>
        <family val="1"/>
        <charset val="128"/>
      </rPr>
      <t>３</t>
    </r>
    <r>
      <rPr>
        <sz val="9"/>
        <color rgb="FF0000FF"/>
        <rFont val="HG明朝B"/>
        <family val="1"/>
        <charset val="128"/>
      </rPr>
      <t>＋BX</t>
    </r>
    <r>
      <rPr>
        <vertAlign val="superscript"/>
        <sz val="9"/>
        <color rgb="FF0000FF"/>
        <rFont val="HG明朝B"/>
        <family val="1"/>
        <charset val="128"/>
      </rPr>
      <t>２</t>
    </r>
    <r>
      <rPr>
        <sz val="9"/>
        <color rgb="FF0000FF"/>
        <rFont val="HG明朝B"/>
        <family val="1"/>
        <charset val="128"/>
      </rPr>
      <t>＋CX＋D (ただし､Ａ≠０) とすると､ｆ(X)＝０ の解、Xa、Xb、</t>
    </r>
  </si>
  <si>
    <t>　　Xc を求めるとき、係数 A、B、C、D を数値入力をします。係数 "Ａ", "Ｂ", "Ｃ", "Ｄ" を入力する</t>
    <phoneticPr fontId="1"/>
  </si>
  <si>
    <t>　　と、計算を行います。</t>
    <phoneticPr fontId="1"/>
  </si>
  <si>
    <t>　　ｆ(X)の一次導函数 ｆ'(X)＝０ より、極大値、極小値 (X１、X２) を求めます。ここで､ｆ'(X)＝０ の</t>
    <phoneticPr fontId="1"/>
  </si>
  <si>
    <t>　　次に、二次導函数 ｆ"(Ｘ)＝０ より、変曲点 Xo を求めます。</t>
    <phoneticPr fontId="1"/>
  </si>
  <si>
    <t>　　Ｘa、Ｘb、Ｘc 解計算の 近似初期値を Ａ､ｆ'(X１)､ｆ'(X２)､ｆ"(Xo) の "正"・"零"・"負" から判</t>
    <phoneticPr fontId="1"/>
  </si>
  <si>
    <t>　　断・決定して 実根解 を計算します。重根の場合は、これを表示します。</t>
    <phoneticPr fontId="1"/>
  </si>
  <si>
    <r>
      <t>　2. 計算式</t>
    </r>
    <r>
      <rPr>
        <sz val="9"/>
        <color rgb="FF0000FF"/>
        <rFont val="HG明朝B"/>
        <family val="1"/>
        <charset val="128"/>
      </rPr>
      <t>　Ｄt</t>
    </r>
    <r>
      <rPr>
        <vertAlign val="superscript"/>
        <sz val="8"/>
        <color rgb="FF0000FF"/>
        <rFont val="HG明朝B"/>
        <family val="1"/>
        <charset val="128"/>
      </rPr>
      <t>3</t>
    </r>
    <r>
      <rPr>
        <sz val="9"/>
        <color rgb="FF0000FF"/>
        <rFont val="HG明朝B"/>
        <family val="1"/>
        <charset val="128"/>
      </rPr>
      <t>－(Ａ－Ｂ)Ｄt－ＢＤ(Ｗt／Ｗ)＝０</t>
    </r>
  </si>
  <si>
    <r>
      <t xml:space="preserve">　　 </t>
    </r>
    <r>
      <rPr>
        <sz val="9"/>
        <color theme="1" tint="4.9989318521683403E-2"/>
        <rFont val="HG明朝B"/>
        <family val="1"/>
        <charset val="128"/>
      </rPr>
      <t>関連式</t>
    </r>
    <r>
      <rPr>
        <sz val="9"/>
        <color rgb="FF0000FF"/>
        <rFont val="HG明朝B"/>
        <family val="1"/>
        <charset val="128"/>
      </rPr>
      <t>：Ｌ</t>
    </r>
    <r>
      <rPr>
        <vertAlign val="subscript"/>
        <sz val="10"/>
        <color rgb="FF0000FF"/>
        <rFont val="HG明朝B"/>
        <family val="1"/>
        <charset val="128"/>
      </rPr>
      <t>t</t>
    </r>
    <r>
      <rPr>
        <sz val="9"/>
        <color rgb="FF0000FF"/>
        <rFont val="HG明朝B"/>
        <family val="1"/>
        <charset val="128"/>
      </rPr>
      <t>＝Ｌ＋α (ｔ－ｔ</t>
    </r>
    <r>
      <rPr>
        <vertAlign val="subscript"/>
        <sz val="10"/>
        <color rgb="FF0000FF"/>
        <rFont val="HG明朝B"/>
        <family val="1"/>
        <charset val="128"/>
      </rPr>
      <t>0</t>
    </r>
    <r>
      <rPr>
        <sz val="9"/>
        <color rgb="FF0000FF"/>
        <rFont val="HG明朝B"/>
        <family val="1"/>
        <charset val="128"/>
      </rPr>
      <t>)Ｓ＋(Ｔ</t>
    </r>
    <r>
      <rPr>
        <vertAlign val="subscript"/>
        <sz val="10"/>
        <color rgb="FF0000FF"/>
        <rFont val="HG明朝B"/>
        <family val="1"/>
        <charset val="128"/>
      </rPr>
      <t>ｔ</t>
    </r>
    <r>
      <rPr>
        <sz val="9"/>
        <color rgb="FF0000FF"/>
        <rFont val="HG明朝B"/>
        <family val="1"/>
        <charset val="128"/>
      </rPr>
      <t>－Ｔ)Ｓ／ＥＡ、　Ｌ</t>
    </r>
    <r>
      <rPr>
        <vertAlign val="subscript"/>
        <sz val="10"/>
        <color rgb="FF0000FF"/>
        <rFont val="HG明朝B"/>
        <family val="1"/>
        <charset val="128"/>
      </rPr>
      <t>ｔ</t>
    </r>
    <r>
      <rPr>
        <sz val="9"/>
        <color rgb="FF0000FF"/>
        <rFont val="HG明朝B"/>
        <family val="1"/>
        <charset val="128"/>
      </rPr>
      <t>＝Ｓ＋8Ｄ</t>
    </r>
    <r>
      <rPr>
        <vertAlign val="subscript"/>
        <sz val="10"/>
        <color rgb="FF0000FF"/>
        <rFont val="HG明朝B"/>
        <family val="1"/>
        <charset val="128"/>
      </rPr>
      <t>ｔ</t>
    </r>
    <r>
      <rPr>
        <vertAlign val="superscript"/>
        <sz val="8"/>
        <color rgb="FF0000FF"/>
        <rFont val="HG明朝B"/>
        <family val="1"/>
        <charset val="128"/>
      </rPr>
      <t>2</t>
    </r>
    <r>
      <rPr>
        <sz val="9"/>
        <color rgb="FF0000FF"/>
        <rFont val="HG明朝B"/>
        <family val="1"/>
        <charset val="128"/>
      </rPr>
      <t>／3Ｓ</t>
    </r>
  </si>
  <si>
    <r>
      <t>　　　　　　　Ｔ</t>
    </r>
    <r>
      <rPr>
        <vertAlign val="subscript"/>
        <sz val="10"/>
        <color theme="1"/>
        <rFont val="HG明朝B"/>
        <family val="1"/>
        <charset val="128"/>
      </rPr>
      <t>t</t>
    </r>
    <r>
      <rPr>
        <sz val="9"/>
        <color theme="1"/>
        <rFont val="HG明朝B"/>
        <family val="1"/>
        <charset val="128"/>
      </rPr>
      <t>:無風,無雪,任意温度ｔ[℃]における電線張力[Kg]　　　Ｅ:電線の弾性係数[Kg/sqmm]</t>
    </r>
    <phoneticPr fontId="1"/>
  </si>
  <si>
    <r>
      <t>　　　　　　　Ｗ</t>
    </r>
    <r>
      <rPr>
        <vertAlign val="subscript"/>
        <sz val="10"/>
        <color theme="1"/>
        <rFont val="HG明朝B"/>
        <family val="1"/>
        <charset val="128"/>
      </rPr>
      <t>t</t>
    </r>
    <r>
      <rPr>
        <sz val="9"/>
        <color theme="1"/>
        <rFont val="HG明朝B"/>
        <family val="1"/>
        <charset val="128"/>
      </rPr>
      <t>:電線単位長あたりの質量[Kg/ｍ]</t>
    </r>
  </si>
  <si>
    <r>
      <t>　1. シート構成　</t>
    </r>
    <r>
      <rPr>
        <sz val="9"/>
        <color rgb="FF0000FF"/>
        <rFont val="HG明朝B"/>
        <family val="1"/>
        <charset val="128"/>
      </rPr>
      <t>　計算 シート　Sheet No.：A4-01～nn</t>
    </r>
    <phoneticPr fontId="1"/>
  </si>
  <si>
    <t>　    　　　　 　　集計 シート　Sheet No.：A4-Total</t>
    <phoneticPr fontId="1"/>
  </si>
  <si>
    <t>　　    　 　　　　DATA シート　Sheet No.：DATA</t>
    <phoneticPr fontId="1"/>
  </si>
  <si>
    <r>
      <t>　　　    　　　　 ただし、Ａ＝Ｄ</t>
    </r>
    <r>
      <rPr>
        <vertAlign val="superscript"/>
        <sz val="8"/>
        <color rgb="FF0000FF"/>
        <rFont val="HG明朝B"/>
        <family val="1"/>
        <charset val="128"/>
      </rPr>
      <t>2</t>
    </r>
    <r>
      <rPr>
        <sz val="9"/>
        <color rgb="FF0000FF"/>
        <rFont val="HG明朝B"/>
        <family val="1"/>
        <charset val="128"/>
      </rPr>
      <t>＋(3／8)Ｓ</t>
    </r>
    <r>
      <rPr>
        <vertAlign val="superscript"/>
        <sz val="8"/>
        <color rgb="FF0000FF"/>
        <rFont val="HG明朝B"/>
        <family val="1"/>
        <charset val="128"/>
      </rPr>
      <t>2</t>
    </r>
    <r>
      <rPr>
        <sz val="9"/>
        <color rgb="FF0000FF"/>
        <rFont val="HG明朝B"/>
        <family val="1"/>
        <charset val="128"/>
      </rPr>
      <t>α (ｔ－ｔ</t>
    </r>
    <r>
      <rPr>
        <vertAlign val="subscript"/>
        <sz val="10"/>
        <color rgb="FF0000FF"/>
        <rFont val="HG明朝B"/>
        <family val="1"/>
        <charset val="128"/>
      </rPr>
      <t>0</t>
    </r>
    <r>
      <rPr>
        <sz val="9"/>
        <color rgb="FF0000FF"/>
        <rFont val="HG明朝B"/>
        <family val="1"/>
        <charset val="128"/>
      </rPr>
      <t>)、　Ｂ＝(3／8)Ｓ</t>
    </r>
    <r>
      <rPr>
        <vertAlign val="superscript"/>
        <sz val="8"/>
        <color rgb="FF0000FF"/>
        <rFont val="HG明朝B"/>
        <family val="1"/>
        <charset val="128"/>
      </rPr>
      <t>2</t>
    </r>
    <r>
      <rPr>
        <sz val="9"/>
        <color rgb="FF0000FF"/>
        <rFont val="HG明朝B"/>
        <family val="1"/>
        <charset val="128"/>
      </rPr>
      <t xml:space="preserve"> (Ｔ／ＥＡ)</t>
    </r>
    <phoneticPr fontId="1"/>
  </si>
  <si>
    <r>
      <t>　    　　 　　　　Ｌ＝Ｓ＋8Ｄ</t>
    </r>
    <r>
      <rPr>
        <vertAlign val="superscript"/>
        <sz val="8"/>
        <color rgb="FF0000FF"/>
        <rFont val="HG明朝B"/>
        <family val="1"/>
        <charset val="128"/>
      </rPr>
      <t>2</t>
    </r>
    <r>
      <rPr>
        <sz val="9"/>
        <color rgb="FF0000FF"/>
        <rFont val="HG明朝B"/>
        <family val="1"/>
        <charset val="128"/>
      </rPr>
      <t>／3Ｓ、　Ｄ</t>
    </r>
    <r>
      <rPr>
        <vertAlign val="subscript"/>
        <sz val="9"/>
        <color rgb="FF0000FF"/>
        <rFont val="HG明朝B"/>
        <family val="1"/>
        <charset val="128"/>
      </rPr>
      <t>t</t>
    </r>
    <r>
      <rPr>
        <sz val="9"/>
        <color rgb="FF0000FF"/>
        <rFont val="HG明朝B"/>
        <family val="1"/>
        <charset val="128"/>
      </rPr>
      <t>＝Ｗ</t>
    </r>
    <r>
      <rPr>
        <vertAlign val="subscript"/>
        <sz val="9"/>
        <color rgb="FF0000FF"/>
        <rFont val="HG明朝B"/>
        <family val="1"/>
        <charset val="128"/>
      </rPr>
      <t>t</t>
    </r>
    <r>
      <rPr>
        <sz val="9"/>
        <color rgb="FF0000FF"/>
        <rFont val="HG明朝B"/>
        <family val="1"/>
        <charset val="128"/>
      </rPr>
      <t>Ｓ</t>
    </r>
    <r>
      <rPr>
        <vertAlign val="superscript"/>
        <sz val="8"/>
        <color rgb="FF0000FF"/>
        <rFont val="HG明朝B"/>
        <family val="1"/>
        <charset val="128"/>
      </rPr>
      <t>2</t>
    </r>
    <r>
      <rPr>
        <sz val="9"/>
        <color rgb="FF0000FF"/>
        <rFont val="HG明朝B"/>
        <family val="1"/>
        <charset val="128"/>
      </rPr>
      <t>／8Ｔ</t>
    </r>
    <r>
      <rPr>
        <vertAlign val="subscript"/>
        <sz val="9"/>
        <color rgb="FF0000FF"/>
        <rFont val="HG明朝B"/>
        <family val="1"/>
        <charset val="128"/>
      </rPr>
      <t>t</t>
    </r>
    <r>
      <rPr>
        <sz val="9"/>
        <color rgb="FF0000FF"/>
        <rFont val="HG明朝B"/>
        <family val="1"/>
        <charset val="128"/>
      </rPr>
      <t xml:space="preserve"> 、　　Ｄ＝ＷＳ</t>
    </r>
    <r>
      <rPr>
        <vertAlign val="superscript"/>
        <sz val="8"/>
        <color rgb="FF0000FF"/>
        <rFont val="HG明朝B"/>
        <family val="1"/>
        <charset val="128"/>
      </rPr>
      <t>2</t>
    </r>
    <r>
      <rPr>
        <sz val="9"/>
        <color rgb="FF0000FF"/>
        <rFont val="HG明朝B"/>
        <family val="1"/>
        <charset val="128"/>
      </rPr>
      <t>／8Ｔ</t>
    </r>
    <phoneticPr fontId="1"/>
  </si>
  <si>
    <r>
      <t>　　　　　　　Ｄ</t>
    </r>
    <r>
      <rPr>
        <vertAlign val="subscript"/>
        <sz val="10"/>
        <color theme="1"/>
        <rFont val="HG明朝B"/>
        <family val="1"/>
        <charset val="128"/>
      </rPr>
      <t>t</t>
    </r>
    <r>
      <rPr>
        <sz val="9"/>
        <color theme="1"/>
        <rFont val="HG明朝B"/>
        <family val="1"/>
        <charset val="128"/>
      </rPr>
      <t>:無風,無雪,任意温度ｔ[℃]における弛度[ｍ]　　　　　Ｓ:径間長[ｍ]</t>
    </r>
    <phoneticPr fontId="1"/>
  </si>
  <si>
    <r>
      <t>　　　　　　　Ｌ</t>
    </r>
    <r>
      <rPr>
        <vertAlign val="subscript"/>
        <sz val="10"/>
        <color theme="1"/>
        <rFont val="HG明朝B"/>
        <family val="1"/>
        <charset val="128"/>
      </rPr>
      <t>t</t>
    </r>
    <r>
      <rPr>
        <sz val="9"/>
        <color theme="1"/>
        <rFont val="HG明朝B"/>
        <family val="1"/>
        <charset val="128"/>
      </rPr>
      <t>:無風,無雪,任意温度ｔ[℃]における電線実長[ｍ]　　　α:電線の線膨張係数[1/℃]</t>
    </r>
    <phoneticPr fontId="1"/>
  </si>
  <si>
    <t>　　　　　　   Ｄ:最大荷重,平均温度または最低温度ｔ[℃]における　　弛度[ｍ]</t>
    <phoneticPr fontId="1"/>
  </si>
  <si>
    <r>
      <t>　　　の解析から近似初期値を設定して、収束 (誤差10</t>
    </r>
    <r>
      <rPr>
        <vertAlign val="superscript"/>
        <sz val="10"/>
        <color rgb="FF0000FF"/>
        <rFont val="HG明朝B"/>
        <family val="1"/>
        <charset val="128"/>
      </rPr>
      <t>-14</t>
    </r>
    <r>
      <rPr>
        <sz val="9"/>
        <color rgb="FF0000FF"/>
        <rFont val="HG明朝B"/>
        <family val="1"/>
        <charset val="128"/>
      </rPr>
      <t>以下) させています。</t>
    </r>
    <phoneticPr fontId="1"/>
  </si>
  <si>
    <t>　　　ニュートン(１回微分)法による近似計算を採用し､一次導函数および二次導函数で得た微係数と変曲点</t>
    <phoneticPr fontId="1"/>
  </si>
  <si>
    <r>
      <t xml:space="preserve">　3. 主な使用 </t>
    </r>
    <r>
      <rPr>
        <b/>
        <sz val="9"/>
        <color theme="1"/>
        <rFont val="Times New Roman"/>
        <family val="1"/>
      </rPr>
      <t>Worksheet function</t>
    </r>
    <r>
      <rPr>
        <sz val="9"/>
        <color rgb="FF0000FF"/>
        <rFont val="HG明朝B"/>
        <family val="1"/>
        <charset val="128"/>
      </rPr>
      <t>　HLOOKUP、VLOOKUP：DATA 読み込み</t>
    </r>
    <phoneticPr fontId="1"/>
  </si>
  <si>
    <t>　　　　　　　　　　　　　　　　IF( )：条件判断　　MAX、MIN：最大値、最小値</t>
    <phoneticPr fontId="1"/>
  </si>
  <si>
    <r>
      <t>　基準弛度</t>
    </r>
    <r>
      <rPr>
        <sz val="9"/>
        <color rgb="FF0000FF"/>
        <rFont val="HG明朝B"/>
        <family val="1"/>
        <charset val="128"/>
      </rPr>
      <t>　基準径間長４０[ｍ]、温度１５[℃]、無風時において、</t>
    </r>
  </si>
  <si>
    <t>　　・入力中に"#VALUE!"が表示されることがありますが、全ての入力が完了するとこの表示は消えます。</t>
    <phoneticPr fontId="1"/>
  </si>
  <si>
    <t>　　・電線、メッセンジャ・ワイヤのデータ修正、削除、追加について</t>
    <phoneticPr fontId="1"/>
  </si>
  <si>
    <r>
      <t>　　　　計算シート欄外右側のプルダウン・リスト[使用電線]、[</t>
    </r>
    <r>
      <rPr>
        <b/>
        <sz val="9"/>
        <color rgb="FF0000FF"/>
        <rFont val="Times New Roman"/>
        <family val="1"/>
      </rPr>
      <t>Messenger wire</t>
    </r>
    <r>
      <rPr>
        <sz val="9"/>
        <color rgb="FF0000FF"/>
        <rFont val="HG明朝B"/>
        <family val="1"/>
        <charset val="128"/>
      </rPr>
      <t>] の各項目を修正、削除</t>
    </r>
    <phoneticPr fontId="1"/>
  </si>
  <si>
    <r>
      <t>　　　　して下さい。"</t>
    </r>
    <r>
      <rPr>
        <b/>
        <sz val="9"/>
        <color rgb="FF0000FF"/>
        <rFont val="Times New Roman"/>
        <family val="1"/>
      </rPr>
      <t>User Reg.</t>
    </r>
    <r>
      <rPr>
        <sz val="9"/>
        <color rgb="FF0000FF"/>
        <rFont val="HG明朝B"/>
        <family val="1"/>
        <charset val="128"/>
      </rPr>
      <t>" を修正すると追加登録が出来ます。　修正・追加内容は、DATA シート</t>
    </r>
    <phoneticPr fontId="1"/>
  </si>
  <si>
    <t>　　　　に自動転記されますので必要細目 を ＤＡＴＡシート で修正、登録して下さい。</t>
    <phoneticPr fontId="1"/>
  </si>
  <si>
    <t>　　基準弛度＝0.5[ｍ]：ＯＷ，ＡＣＳＲ-ＯＷ</t>
    <phoneticPr fontId="1"/>
  </si>
  <si>
    <r>
      <t>　　</t>
    </r>
    <r>
      <rPr>
        <sz val="9"/>
        <rFont val="HG明朝B"/>
        <family val="1"/>
        <charset val="128"/>
      </rPr>
      <t>基準弛度＝</t>
    </r>
    <r>
      <rPr>
        <sz val="9"/>
        <color theme="1" tint="4.9989318521683403E-2"/>
        <rFont val="HG明朝B"/>
        <family val="1"/>
        <charset val="128"/>
      </rPr>
      <t>0.8[ｍ]：弛度２％ (40m×0.02) ：国内電力会社標準　　</t>
    </r>
    <r>
      <rPr>
        <sz val="9"/>
        <color rgb="FF0000FF"/>
        <rFont val="HG明朝B"/>
        <family val="1"/>
        <charset val="128"/>
      </rPr>
      <t>海外では</t>
    </r>
    <r>
      <rPr>
        <sz val="9"/>
        <color theme="1" tint="4.9989318521683403E-2"/>
        <rFont val="HG明朝B"/>
        <family val="1"/>
        <charset val="128"/>
      </rPr>
      <t>３％</t>
    </r>
    <r>
      <rPr>
        <sz val="9"/>
        <color rgb="FF0000FF"/>
        <rFont val="HG明朝B"/>
        <family val="1"/>
        <charset val="128"/>
      </rPr>
      <t>の国々もあります。</t>
    </r>
    <phoneticPr fontId="1"/>
  </si>
  <si>
    <r>
      <t xml:space="preserve">　　　　　(注) </t>
    </r>
    <r>
      <rPr>
        <sz val="9"/>
        <color rgb="FF0000FF"/>
        <rFont val="HG明朝B"/>
        <family val="1"/>
        <charset val="128"/>
      </rPr>
      <t>径間長 ４０ m、弛度 ０.８ m の電線の実長 Ｌは、</t>
    </r>
    <r>
      <rPr>
        <sz val="9"/>
        <color theme="1" tint="4.9989318521683403E-2"/>
        <rFont val="HG明朝B"/>
        <family val="1"/>
        <charset val="128"/>
      </rPr>
      <t>Ｌ＝Ｓ＋8Ｄ</t>
    </r>
    <r>
      <rPr>
        <vertAlign val="superscript"/>
        <sz val="9"/>
        <color theme="1" tint="4.9989318521683403E-2"/>
        <rFont val="HG明朝B"/>
        <family val="1"/>
        <charset val="128"/>
      </rPr>
      <t>2</t>
    </r>
    <r>
      <rPr>
        <sz val="9"/>
        <color theme="1" tint="4.9989318521683403E-2"/>
        <rFont val="HG明朝B"/>
        <family val="1"/>
        <charset val="128"/>
      </rPr>
      <t>／3Ｓ</t>
    </r>
    <r>
      <rPr>
        <sz val="9"/>
        <color rgb="FF0000FF"/>
        <rFont val="HG明朝B"/>
        <family val="1"/>
        <charset val="128"/>
      </rPr>
      <t xml:space="preserve"> より</t>
    </r>
    <phoneticPr fontId="1"/>
  </si>
  <si>
    <r>
      <t>　　　　　　 　</t>
    </r>
    <r>
      <rPr>
        <sz val="9"/>
        <color rgb="FF0000FF"/>
        <rFont val="HG明朝B"/>
        <family val="1"/>
        <charset val="128"/>
      </rPr>
      <t xml:space="preserve">40.042666･･･[m] となり、径間長より </t>
    </r>
    <r>
      <rPr>
        <sz val="9"/>
        <color theme="1" tint="4.9989318521683403E-2"/>
        <rFont val="HG明朝B"/>
        <family val="1"/>
        <charset val="128"/>
      </rPr>
      <t>4.266･･･[ｃｍ]</t>
    </r>
    <r>
      <rPr>
        <sz val="9"/>
        <color rgb="FF0000FF"/>
        <rFont val="HG明朝B"/>
        <family val="1"/>
        <charset val="128"/>
      </rPr>
      <t xml:space="preserve"> 長くなります。</t>
    </r>
    <phoneticPr fontId="1"/>
  </si>
  <si>
    <r>
      <t>　電線の種類</t>
    </r>
    <r>
      <rPr>
        <sz val="9"/>
        <color rgb="FF0000FF"/>
        <rFont val="HG明朝B"/>
        <family val="1"/>
        <charset val="128"/>
      </rPr>
      <t>　プルダウンリストから選択して下さい。</t>
    </r>
  </si>
  <si>
    <r>
      <t>　電線サイズ</t>
    </r>
    <r>
      <rPr>
        <sz val="9"/>
        <color rgb="FF0000FF"/>
        <rFont val="HG明朝B"/>
        <family val="1"/>
        <charset val="128"/>
      </rPr>
      <t>　公称値を入力して下さい。</t>
    </r>
  </si>
  <si>
    <t>　　ただし、メッセンジャ・ワイヤによるケーブルの多条張架をする場合等は、張力合計値から判断して、</t>
    <phoneticPr fontId="1"/>
  </si>
  <si>
    <r>
      <t>　　弛度を基準弛度より大きく設定しなければ支線 (</t>
    </r>
    <r>
      <rPr>
        <b/>
        <sz val="9"/>
        <color theme="1"/>
        <rFont val="Times New Roman"/>
        <family val="1"/>
      </rPr>
      <t>Stay</t>
    </r>
    <r>
      <rPr>
        <sz val="9"/>
        <color theme="1"/>
        <rFont val="HG明朝B"/>
        <family val="1"/>
        <charset val="128"/>
      </rPr>
      <t>) の強度がとれない場合もあります。</t>
    </r>
    <rPh sb="39" eb="41">
      <t>バアイ</t>
    </rPh>
    <phoneticPr fontId="1"/>
  </si>
  <si>
    <t>　　また､安全率についても ２.５ 以上が望ましく、弛度の補正で調整して下さい。</t>
    <phoneticPr fontId="1"/>
  </si>
  <si>
    <t>　　　　　　 【注】空欄を設けずに上から順に入力して下さい。</t>
    <phoneticPr fontId="1"/>
  </si>
  <si>
    <r>
      <t xml:space="preserve">　　　　　　　右欄セル No."AE3" ～ "44" の </t>
    </r>
    <r>
      <rPr>
        <b/>
        <sz val="9"/>
        <color theme="1"/>
        <rFont val="Times New Roman"/>
        <family val="1"/>
      </rPr>
      <t>USER Reg.</t>
    </r>
    <r>
      <rPr>
        <sz val="9"/>
        <color theme="1"/>
        <rFont val="HG明朝B"/>
        <family val="1"/>
        <charset val="128"/>
      </rPr>
      <t xml:space="preserve"> を修正して、新規データを登録して下さい。</t>
    </r>
    <phoneticPr fontId="1"/>
  </si>
  <si>
    <t>　　　　　　　なお、ＤＡＴＡシートもあわせて登録して下さい。</t>
    <phoneticPr fontId="1"/>
  </si>
  <si>
    <r>
      <t>　使用電線</t>
    </r>
    <r>
      <rPr>
        <sz val="9"/>
        <color rgb="FF0000FF"/>
        <rFont val="HG明朝B"/>
        <family val="1"/>
        <charset val="128"/>
      </rPr>
      <t>　　電線の種類、サイズ、条数、組数の入力が完了すると -1 から -5 の順に表示されます。</t>
    </r>
    <phoneticPr fontId="1"/>
  </si>
  <si>
    <r>
      <t>　　　　　　　ただし、計算の種類が６以上になると"</t>
    </r>
    <r>
      <rPr>
        <sz val="9"/>
        <color theme="1" tint="4.9989318521683403E-2"/>
        <rFont val="HG明朝B"/>
        <family val="1"/>
        <charset val="128"/>
      </rPr>
      <t>計算不可</t>
    </r>
    <r>
      <rPr>
        <sz val="9"/>
        <color rgb="FF0000FF"/>
        <rFont val="HG明朝B"/>
        <family val="1"/>
        <charset val="128"/>
      </rPr>
      <t>"となり、残りは、次頁のシートに入力し</t>
    </r>
    <phoneticPr fontId="1"/>
  </si>
  <si>
    <t>　　　　　　　て下さい。</t>
    <phoneticPr fontId="1"/>
  </si>
  <si>
    <r>
      <t>　多条張架ケーブルの平均外径(ｄ)</t>
    </r>
    <r>
      <rPr>
        <sz val="9"/>
        <color rgb="FF0000FF"/>
        <rFont val="HG明朝B"/>
        <family val="1"/>
        <charset val="128"/>
      </rPr>
      <t>　Ｎ本のケーブルの外径の平均値を da とすると、ｄ=ｄa×Ｎ</t>
    </r>
    <r>
      <rPr>
        <vertAlign val="superscript"/>
        <sz val="10"/>
        <color rgb="FF0000FF"/>
        <rFont val="HG明朝B"/>
        <family val="1"/>
        <charset val="128"/>
      </rPr>
      <t>0.55</t>
    </r>
  </si>
  <si>
    <r>
      <t>　電線の条数</t>
    </r>
    <r>
      <rPr>
        <sz val="9"/>
        <color rgb="FF0000FF"/>
        <rFont val="HG明朝B"/>
        <family val="1"/>
        <charset val="128"/>
      </rPr>
      <t>　[例] 高圧１回線 6KV ＯＣ×3 → ３、　ＣＥＥ 2sq-15C×2 (ＭＷ38) → ２</t>
    </r>
    <phoneticPr fontId="1"/>
  </si>
  <si>
    <r>
      <t>　合計の組数</t>
    </r>
    <r>
      <rPr>
        <sz val="9"/>
        <color rgb="FF0000FF"/>
        <rFont val="HG明朝B"/>
        <family val="1"/>
        <charset val="128"/>
      </rPr>
      <t>　[例] 高圧２回線 6KV ＯＣ×3×2 → ２、　600V ＣＥ-Ｔ 200sq (MW38)×3 → ３</t>
    </r>
    <phoneticPr fontId="1"/>
  </si>
  <si>
    <r>
      <t>　断面積表示</t>
    </r>
    <r>
      <rPr>
        <sz val="9"/>
        <color rgb="FF0000FF"/>
        <rFont val="HG明朝B"/>
        <family val="1"/>
        <charset val="128"/>
      </rPr>
      <t>　電線の種類を入力して"0.00"と表示された場合には、メッセンジャ・ワイヤを選択し入力し</t>
    </r>
    <phoneticPr fontId="1"/>
  </si>
  <si>
    <r>
      <t>　　　　　　　て下さい。　</t>
    </r>
    <r>
      <rPr>
        <sz val="9"/>
        <color theme="1" tint="4.9989318521683403E-2"/>
        <rFont val="HG明朝B"/>
        <family val="1"/>
        <charset val="128"/>
      </rPr>
      <t>【注】メッセンジャ・ワイヤの外径は、表示されません。</t>
    </r>
    <phoneticPr fontId="1"/>
  </si>
  <si>
    <r>
      <t>　弛度補正値入力　</t>
    </r>
    <r>
      <rPr>
        <sz val="9"/>
        <color rgb="FF0000FF"/>
        <rFont val="HG明朝B"/>
        <family val="1"/>
        <charset val="128"/>
      </rPr>
      <t>　基準弛度に対して張力が大き過ぎる場合等、補正すると補正値が適用されます。</t>
    </r>
    <phoneticPr fontId="1"/>
  </si>
  <si>
    <t>　　　　　　　　　　適用された弛度補正値とは、現在入力されている径間長に対する無風 15[℃] に換算し</t>
    <phoneticPr fontId="1"/>
  </si>
  <si>
    <t>　　　　　　　　　　た基準弛度を表しています。</t>
    <phoneticPr fontId="1"/>
  </si>
  <si>
    <r>
      <t>　施工時の注意事項</t>
    </r>
    <r>
      <rPr>
        <sz val="9"/>
        <color rgb="FF0000FF"/>
        <rFont val="HG明朝B"/>
        <family val="1"/>
        <charset val="128"/>
      </rPr>
      <t>　施工前に周囲温度を測定してください。無風時 ０ ～ ９０[℃] の弛度から比例案分</t>
    </r>
    <phoneticPr fontId="1"/>
  </si>
  <si>
    <t>　　　　　　　　　　し、その気温の弛度を決定してください。</t>
    <rPh sb="14" eb="16">
      <t>キオン</t>
    </rPh>
    <rPh sb="17" eb="19">
      <t>シド</t>
    </rPh>
    <rPh sb="20" eb="22">
      <t>ケッテイ</t>
    </rPh>
    <phoneticPr fontId="1"/>
  </si>
  <si>
    <r>
      <t>　　　　　　　　　　　夏場に張力 (</t>
    </r>
    <r>
      <rPr>
        <b/>
        <sz val="9"/>
        <color theme="1"/>
        <rFont val="Times New Roman"/>
        <family val="1"/>
      </rPr>
      <t>Tension</t>
    </r>
    <r>
      <rPr>
        <sz val="9"/>
        <color theme="1"/>
        <rFont val="HG明朝B"/>
        <family val="1"/>
        <charset val="128"/>
      </rPr>
      <t>)をかけ過ぎると、冬場に電柱が傾くことがあるので施工時の</t>
    </r>
    <rPh sb="11" eb="13">
      <t>ナツバ</t>
    </rPh>
    <rPh sb="14" eb="16">
      <t>チョウリョク</t>
    </rPh>
    <rPh sb="29" eb="30">
      <t>ス</t>
    </rPh>
    <rPh sb="34" eb="36">
      <t>フユバ</t>
    </rPh>
    <rPh sb="37" eb="39">
      <t>デンチュウ</t>
    </rPh>
    <rPh sb="40" eb="41">
      <t>カタム</t>
    </rPh>
    <rPh sb="49" eb="51">
      <t>セコウ</t>
    </rPh>
    <rPh sb="51" eb="52">
      <t>ジ</t>
    </rPh>
    <phoneticPr fontId="1"/>
  </si>
  <si>
    <t>　　　　　　　　　　　温度管理をして下さい。</t>
    <phoneticPr fontId="1"/>
  </si>
  <si>
    <r>
      <t>　ＤＡＴＡシート　</t>
    </r>
    <r>
      <rPr>
        <sz val="9"/>
        <color rgb="FF0000FF"/>
        <rFont val="HG明朝B"/>
        <family val="1"/>
        <charset val="128"/>
      </rPr>
      <t>　電線類：住友電工 電線技術資料　JD-174R3 (1996.1)</t>
    </r>
    <phoneticPr fontId="1"/>
  </si>
  <si>
    <r>
      <t xml:space="preserve">                     Career</t>
    </r>
    <r>
      <rPr>
        <sz val="10"/>
        <color theme="1"/>
        <rFont val="Meiryo UI"/>
        <family val="3"/>
        <charset val="128"/>
      </rPr>
      <t>：</t>
    </r>
    <r>
      <rPr>
        <i/>
        <sz val="9"/>
        <color theme="1"/>
        <rFont val="Times New Roman"/>
        <family val="1"/>
      </rPr>
      <t>Domestic and foreign plant electrical design and supervision,</t>
    </r>
    <phoneticPr fontId="1"/>
  </si>
  <si>
    <r>
      <t xml:space="preserve">       </t>
    </r>
    <r>
      <rPr>
        <sz val="10"/>
        <color theme="1"/>
        <rFont val="Meiryo UI"/>
        <family val="3"/>
        <charset val="128"/>
      </rPr>
      <t>　</t>
    </r>
    <r>
      <rPr>
        <sz val="10"/>
        <color theme="1"/>
        <rFont val="Times New Roman"/>
        <family val="1"/>
      </rPr>
      <t xml:space="preserve">    </t>
    </r>
    <r>
      <rPr>
        <sz val="9"/>
        <color theme="1"/>
        <rFont val="Times New Roman"/>
        <family val="1"/>
      </rPr>
      <t xml:space="preserve">   </t>
    </r>
    <r>
      <rPr>
        <sz val="10"/>
        <color theme="1"/>
        <rFont val="Times New Roman"/>
        <family val="1"/>
      </rPr>
      <t>Contact us</t>
    </r>
    <r>
      <rPr>
        <sz val="10"/>
        <color theme="1"/>
        <rFont val="Meiryo UI"/>
        <family val="3"/>
        <charset val="128"/>
      </rPr>
      <t>：</t>
    </r>
    <r>
      <rPr>
        <sz val="9"/>
        <color theme="1"/>
        <rFont val="Times New Roman"/>
        <family val="1"/>
      </rPr>
      <t xml:space="preserve">E-Mail  </t>
    </r>
    <r>
      <rPr>
        <b/>
        <sz val="9"/>
        <color theme="1"/>
        <rFont val="Times New Roman"/>
        <family val="1"/>
      </rPr>
      <t>recs@kcn.jp</t>
    </r>
    <r>
      <rPr>
        <sz val="9"/>
        <color theme="1"/>
        <rFont val="Times New Roman"/>
        <family val="1"/>
      </rPr>
      <t xml:space="preserve">  ( </t>
    </r>
    <r>
      <rPr>
        <i/>
        <sz val="9"/>
        <color theme="1"/>
        <rFont val="Times New Roman"/>
        <family val="1"/>
      </rPr>
      <t>Except in an emergency, please E-mail</t>
    </r>
    <r>
      <rPr>
        <sz val="9"/>
        <color theme="1"/>
        <rFont val="Times New Roman"/>
        <family val="1"/>
      </rPr>
      <t xml:space="preserve"> )</t>
    </r>
    <phoneticPr fontId="1"/>
  </si>
  <si>
    <r>
      <t xml:space="preserve">                                     </t>
    </r>
    <r>
      <rPr>
        <sz val="9"/>
        <color theme="1"/>
        <rFont val="Times New Roman"/>
        <family val="1"/>
      </rPr>
      <t xml:space="preserve">1965  </t>
    </r>
    <r>
      <rPr>
        <i/>
        <sz val="9"/>
        <color theme="1"/>
        <rFont val="Times New Roman"/>
        <family val="1"/>
      </rPr>
      <t>Ehime University Department of Electrical Engineering graduate.</t>
    </r>
    <phoneticPr fontId="1"/>
  </si>
  <si>
    <r>
      <t xml:space="preserve">                                    </t>
    </r>
    <r>
      <rPr>
        <sz val="6"/>
        <color theme="1"/>
        <rFont val="Times New Roman"/>
        <family val="1"/>
      </rPr>
      <t xml:space="preserve"> </t>
    </r>
    <r>
      <rPr>
        <sz val="9"/>
        <color theme="1"/>
        <rFont val="Times New Roman"/>
        <family val="1"/>
      </rPr>
      <t xml:space="preserve">1965  </t>
    </r>
    <r>
      <rPr>
        <i/>
        <sz val="9"/>
        <color theme="1"/>
        <rFont val="Times New Roman"/>
        <family val="1"/>
      </rPr>
      <t>Co., Ltd  Daidan joined, in 1976 the company left.</t>
    </r>
    <phoneticPr fontId="1"/>
  </si>
  <si>
    <r>
      <t xml:space="preserve">                                    </t>
    </r>
    <r>
      <rPr>
        <sz val="6"/>
        <color theme="1"/>
        <rFont val="Times New Roman"/>
        <family val="1"/>
      </rPr>
      <t xml:space="preserve"> </t>
    </r>
    <r>
      <rPr>
        <sz val="9"/>
        <color theme="1"/>
        <rFont val="Times New Roman"/>
        <family val="1"/>
      </rPr>
      <t xml:space="preserve">1979  </t>
    </r>
    <r>
      <rPr>
        <i/>
        <sz val="9"/>
        <color theme="1"/>
        <rFont val="Times New Roman"/>
        <family val="1"/>
      </rPr>
      <t>ESE Service (Electro Systems Engineering Service) Establishment.</t>
    </r>
    <phoneticPr fontId="1"/>
  </si>
  <si>
    <r>
      <rPr>
        <sz val="9"/>
        <color theme="1"/>
        <rFont val="Meiryo UI"/>
        <family val="3"/>
        <charset val="128"/>
      </rPr>
      <t>　　　　　　　　</t>
    </r>
    <r>
      <rPr>
        <sz val="9"/>
        <color theme="1"/>
        <rFont val="Times New Roman"/>
        <family val="1"/>
      </rPr>
      <t>History</t>
    </r>
    <r>
      <rPr>
        <sz val="9"/>
        <color theme="1"/>
        <rFont val="Meiryo UI"/>
        <family val="3"/>
        <charset val="128"/>
      </rPr>
      <t>：</t>
    </r>
    <r>
      <rPr>
        <sz val="9"/>
        <color theme="1"/>
        <rFont val="Times New Roman"/>
        <family val="1"/>
      </rPr>
      <t>1941</t>
    </r>
    <r>
      <rPr>
        <i/>
        <sz val="9"/>
        <color theme="1"/>
        <rFont val="Times New Roman"/>
        <family val="1"/>
      </rPr>
      <t xml:space="preserve"> Nishinomiya born.</t>
    </r>
    <phoneticPr fontId="1"/>
  </si>
  <si>
    <r>
      <t xml:space="preserve">                                     </t>
    </r>
    <r>
      <rPr>
        <sz val="6"/>
        <color theme="1"/>
        <rFont val="Times New Roman"/>
        <family val="1"/>
      </rPr>
      <t xml:space="preserve"> </t>
    </r>
    <r>
      <rPr>
        <i/>
        <sz val="9"/>
        <color theme="1"/>
        <rFont val="Times New Roman"/>
        <family val="1"/>
      </rPr>
      <t xml:space="preserve">Building electrical design and supervision, Software development </t>
    </r>
    <phoneticPr fontId="1"/>
  </si>
  <si>
    <r>
      <t xml:space="preserve">                                     </t>
    </r>
    <r>
      <rPr>
        <sz val="6"/>
        <color theme="1"/>
        <rFont val="Times New Roman"/>
        <family val="1"/>
      </rPr>
      <t xml:space="preserve"> </t>
    </r>
    <r>
      <rPr>
        <i/>
        <sz val="9"/>
        <color theme="1"/>
        <rFont val="Times New Roman"/>
        <family val="1"/>
      </rPr>
      <t>for the related technical computing, CAD standard diagram generation,</t>
    </r>
    <phoneticPr fontId="1"/>
  </si>
  <si>
    <r>
      <t xml:space="preserve">                                     </t>
    </r>
    <r>
      <rPr>
        <sz val="6"/>
        <color theme="1"/>
        <rFont val="Times New Roman"/>
        <family val="1"/>
      </rPr>
      <t xml:space="preserve"> </t>
    </r>
    <r>
      <rPr>
        <i/>
        <sz val="9"/>
        <color theme="1"/>
        <rFont val="Times New Roman"/>
        <family val="1"/>
      </rPr>
      <t>Electrical equipment work integration systems, etc. .</t>
    </r>
    <phoneticPr fontId="1"/>
  </si>
  <si>
    <r>
      <t xml:space="preserve">                                      </t>
    </r>
    <r>
      <rPr>
        <sz val="6"/>
        <color theme="1" tint="4.9989318521683403E-2"/>
        <rFont val="Times New Roman"/>
        <family val="1"/>
      </rPr>
      <t xml:space="preserve"> </t>
    </r>
    <r>
      <rPr>
        <i/>
        <sz val="9"/>
        <color theme="1"/>
        <rFont val="Times New Roman"/>
        <family val="1"/>
      </rPr>
      <t>Reply date of Inquiry as a rule, suppose you have three business days.</t>
    </r>
    <phoneticPr fontId="1"/>
  </si>
  <si>
    <r>
      <t xml:space="preserve">                                      </t>
    </r>
    <r>
      <rPr>
        <sz val="6"/>
        <color theme="1"/>
        <rFont val="Times New Roman"/>
        <family val="1"/>
      </rPr>
      <t xml:space="preserve"> </t>
    </r>
    <r>
      <rPr>
        <sz val="9"/>
        <color theme="1"/>
        <rFont val="Times New Roman"/>
        <family val="1"/>
      </rPr>
      <t xml:space="preserve">Business days </t>
    </r>
    <r>
      <rPr>
        <sz val="9"/>
        <color theme="1"/>
        <rFont val="Meiryo UI"/>
        <family val="3"/>
        <charset val="128"/>
      </rPr>
      <t>：</t>
    </r>
    <r>
      <rPr>
        <sz val="9"/>
        <color theme="1"/>
        <rFont val="Times New Roman"/>
        <family val="1"/>
      </rPr>
      <t xml:space="preserve"> </t>
    </r>
    <r>
      <rPr>
        <i/>
        <sz val="9"/>
        <color theme="1"/>
        <rFont val="Times New Roman"/>
        <family val="1"/>
      </rPr>
      <t>Monday to Thursday.</t>
    </r>
    <r>
      <rPr>
        <i/>
        <sz val="9"/>
        <color theme="1"/>
        <rFont val="Meiryo UI"/>
        <family val="3"/>
        <charset val="128"/>
      </rPr>
      <t>（</t>
    </r>
    <r>
      <rPr>
        <i/>
        <sz val="9"/>
        <color theme="1"/>
        <rFont val="Times New Roman"/>
        <family val="1"/>
      </rPr>
      <t>holidays excluded</t>
    </r>
    <r>
      <rPr>
        <i/>
        <sz val="9"/>
        <color theme="1"/>
        <rFont val="Meiryo UI"/>
        <family val="3"/>
        <charset val="128"/>
      </rPr>
      <t>）</t>
    </r>
    <phoneticPr fontId="1"/>
  </si>
  <si>
    <r>
      <t xml:space="preserve">                                      </t>
    </r>
    <r>
      <rPr>
        <sz val="6"/>
        <color theme="1"/>
        <rFont val="Times New Roman"/>
        <family val="1"/>
      </rPr>
      <t xml:space="preserve"> </t>
    </r>
    <r>
      <rPr>
        <sz val="9"/>
        <color theme="1"/>
        <rFont val="Times New Roman"/>
        <family val="1"/>
      </rPr>
      <t>Business hours</t>
    </r>
    <r>
      <rPr>
        <sz val="9"/>
        <color theme="1"/>
        <rFont val="Meiryo UI"/>
        <family val="3"/>
        <charset val="128"/>
      </rPr>
      <t>：</t>
    </r>
    <r>
      <rPr>
        <sz val="9"/>
        <color theme="1"/>
        <rFont val="Times New Roman"/>
        <family val="1"/>
      </rPr>
      <t xml:space="preserve"> </t>
    </r>
    <r>
      <rPr>
        <i/>
        <sz val="9"/>
        <color theme="1"/>
        <rFont val="Times New Roman"/>
        <family val="1"/>
      </rPr>
      <t>8:00</t>
    </r>
    <r>
      <rPr>
        <i/>
        <sz val="9"/>
        <color theme="1"/>
        <rFont val="Meiryo UI"/>
        <family val="3"/>
        <charset val="128"/>
      </rPr>
      <t>～</t>
    </r>
    <r>
      <rPr>
        <i/>
        <sz val="9"/>
        <color theme="1"/>
        <rFont val="Times New Roman"/>
        <family val="1"/>
      </rPr>
      <t>17:00  (The time in Japan Standard Time)</t>
    </r>
    <phoneticPr fontId="1"/>
  </si>
  <si>
    <r>
      <t xml:space="preserve">                  </t>
    </r>
    <r>
      <rPr>
        <sz val="6"/>
        <color theme="1"/>
        <rFont val="Times New Roman"/>
        <family val="1"/>
      </rPr>
      <t xml:space="preserve"> </t>
    </r>
    <r>
      <rPr>
        <sz val="9"/>
        <color theme="1"/>
        <rFont val="Times New Roman"/>
        <family val="1"/>
      </rPr>
      <t>Emergency</t>
    </r>
    <r>
      <rPr>
        <sz val="10"/>
        <color theme="1"/>
        <rFont val="Meiryo UI"/>
        <family val="3"/>
        <charset val="128"/>
      </rPr>
      <t>：</t>
    </r>
    <r>
      <rPr>
        <i/>
        <sz val="10"/>
        <color theme="1"/>
        <rFont val="Times New Roman"/>
        <family val="1"/>
      </rPr>
      <t>Mobile phone</t>
    </r>
    <r>
      <rPr>
        <sz val="10"/>
        <color theme="1"/>
        <rFont val="Times New Roman"/>
        <family val="1"/>
      </rPr>
      <t xml:space="preserve">  </t>
    </r>
    <r>
      <rPr>
        <b/>
        <sz val="10"/>
        <color theme="1"/>
        <rFont val="Times New Roman"/>
        <family val="1"/>
      </rPr>
      <t>090-1891-7674</t>
    </r>
    <r>
      <rPr>
        <sz val="10"/>
        <color theme="1"/>
        <rFont val="Times New Roman"/>
        <family val="1"/>
      </rPr>
      <t xml:space="preserve">  </t>
    </r>
    <r>
      <rPr>
        <i/>
        <sz val="10"/>
        <color theme="1"/>
        <rFont val="Times New Roman"/>
        <family val="1"/>
      </rPr>
      <t>Sakai Kyozo</t>
    </r>
    <phoneticPr fontId="1"/>
  </si>
  <si>
    <r>
      <t xml:space="preserve">                 お問合せ：</t>
    </r>
    <r>
      <rPr>
        <b/>
        <sz val="9"/>
        <color theme="1"/>
        <rFont val="Times New Roman"/>
        <family val="1"/>
      </rPr>
      <t>E-Mail</t>
    </r>
    <r>
      <rPr>
        <b/>
        <sz val="9"/>
        <color theme="1"/>
        <rFont val="HG明朝B"/>
        <family val="1"/>
        <charset val="128"/>
      </rPr>
      <t>　</t>
    </r>
    <r>
      <rPr>
        <b/>
        <sz val="11"/>
        <color theme="1"/>
        <rFont val="Times New Roman"/>
        <family val="1"/>
      </rPr>
      <t>recs@kcn.jp</t>
    </r>
    <r>
      <rPr>
        <sz val="10"/>
        <color theme="1"/>
        <rFont val="HG明朝B"/>
        <family val="1"/>
        <charset val="128"/>
      </rPr>
      <t xml:space="preserve"> </t>
    </r>
    <r>
      <rPr>
        <sz val="9"/>
        <color theme="9" tint="-0.499984740745262"/>
        <rFont val="HG明朝B"/>
        <family val="1"/>
        <charset val="128"/>
      </rPr>
      <t>(緊急時以外は、電子メールでお願いします。)</t>
    </r>
    <phoneticPr fontId="1"/>
  </si>
  <si>
    <r>
      <t xml:space="preserve">                           </t>
    </r>
    <r>
      <rPr>
        <sz val="9"/>
        <color theme="1"/>
        <rFont val="HG明朝B"/>
        <family val="1"/>
        <charset val="128"/>
      </rPr>
      <t>お問合せ内容の返信期日は原則として、３営業日 以内とします。</t>
    </r>
    <phoneticPr fontId="1"/>
  </si>
  <si>
    <r>
      <t xml:space="preserve">               </t>
    </r>
    <r>
      <rPr>
        <sz val="6"/>
        <color theme="1"/>
        <rFont val="HG明朝B"/>
        <family val="1"/>
        <charset val="128"/>
      </rPr>
      <t xml:space="preserve">  </t>
    </r>
    <r>
      <rPr>
        <sz val="9"/>
        <color theme="1"/>
        <rFont val="HG明朝B"/>
        <family val="1"/>
        <charset val="128"/>
      </rPr>
      <t>会社住所 ：</t>
    </r>
    <r>
      <rPr>
        <sz val="10"/>
        <color theme="1"/>
        <rFont val="HG明朝B"/>
        <family val="1"/>
        <charset val="128"/>
      </rPr>
      <t>634-0071</t>
    </r>
    <r>
      <rPr>
        <sz val="9"/>
        <color theme="1"/>
        <rFont val="HG明朝B"/>
        <family val="1"/>
        <charset val="128"/>
      </rPr>
      <t xml:space="preserve"> </t>
    </r>
    <r>
      <rPr>
        <sz val="6"/>
        <color theme="1"/>
        <rFont val="HG明朝B"/>
        <family val="1"/>
        <charset val="128"/>
      </rPr>
      <t xml:space="preserve"> </t>
    </r>
    <r>
      <rPr>
        <sz val="9"/>
        <color theme="1"/>
        <rFont val="HG明朝B"/>
        <family val="1"/>
        <charset val="128"/>
      </rPr>
      <t>奈良県橿原市山之坊町639</t>
    </r>
    <phoneticPr fontId="1"/>
  </si>
  <si>
    <r>
      <t xml:space="preserve">                  </t>
    </r>
    <r>
      <rPr>
        <sz val="3"/>
        <color theme="1"/>
        <rFont val="HG明朝B"/>
        <family val="1"/>
        <charset val="128"/>
      </rPr>
      <t xml:space="preserve"> </t>
    </r>
    <r>
      <rPr>
        <sz val="9"/>
        <color theme="1"/>
        <rFont val="HG明朝B"/>
        <family val="1"/>
        <charset val="128"/>
      </rPr>
      <t>緊急時 ：</t>
    </r>
    <r>
      <rPr>
        <sz val="10"/>
        <color theme="1"/>
        <rFont val="HG明朝B"/>
        <family val="1"/>
        <charset val="128"/>
      </rPr>
      <t xml:space="preserve">090-1891-7674    佐海 恭三 </t>
    </r>
    <r>
      <rPr>
        <b/>
        <sz val="10"/>
        <color theme="1"/>
        <rFont val="Times New Roman"/>
        <family val="1"/>
      </rPr>
      <t>(</t>
    </r>
    <r>
      <rPr>
        <b/>
        <i/>
        <sz val="10"/>
        <color theme="1"/>
        <rFont val="Times New Roman"/>
        <family val="1"/>
      </rPr>
      <t>Sakai Kyozo</t>
    </r>
    <r>
      <rPr>
        <b/>
        <sz val="10"/>
        <color theme="1"/>
        <rFont val="Times New Roman"/>
        <family val="1"/>
      </rPr>
      <t>)</t>
    </r>
    <phoneticPr fontId="1"/>
  </si>
  <si>
    <r>
      <t>RECS-5000E  概 要　</t>
    </r>
    <r>
      <rPr>
        <sz val="10"/>
        <color theme="1" tint="4.9989318521683403E-2"/>
        <rFont val="Meiryo UI"/>
        <family val="3"/>
        <charset val="128"/>
      </rPr>
      <t>　</t>
    </r>
    <r>
      <rPr>
        <sz val="10"/>
        <color theme="1" tint="4.9989318521683403E-2"/>
        <rFont val="HGS明朝B"/>
        <family val="1"/>
        <charset val="128"/>
      </rPr>
      <t>RECS</t>
    </r>
    <r>
      <rPr>
        <sz val="10"/>
        <color theme="1" tint="4.9989318521683403E-2"/>
        <rFont val="HG明朝B"/>
        <family val="1"/>
        <charset val="128"/>
      </rPr>
      <t xml:space="preserve"> </t>
    </r>
    <r>
      <rPr>
        <sz val="8"/>
        <color theme="1" tint="4.9989318521683403E-2"/>
        <rFont val="HG明朝B"/>
        <family val="1"/>
        <charset val="128"/>
      </rPr>
      <t>(レックス)</t>
    </r>
    <r>
      <rPr>
        <sz val="10"/>
        <color theme="1" tint="4.9989318521683403E-2"/>
        <rFont val="Meiryo UI"/>
        <family val="3"/>
        <charset val="128"/>
      </rPr>
      <t>：</t>
    </r>
    <r>
      <rPr>
        <b/>
        <i/>
        <sz val="10"/>
        <color theme="1" tint="4.9989318521683403E-2"/>
        <rFont val="Times New Roman"/>
        <family val="1"/>
      </rPr>
      <t>Rapid  Estimate  Computation  Systems</t>
    </r>
    <phoneticPr fontId="1"/>
  </si>
  <si>
    <t>　　判別式 Ｄ＜０ のときは、ＡＢＳ(Ｄ)で 計算し、虚大値、虚小値 (Ｘ１、Ｘ２) を表示します。</t>
    <phoneticPr fontId="1"/>
  </si>
  <si>
    <t xml:space="preserve">  1F</t>
  </si>
  <si>
    <t>( 15)</t>
  </si>
  <si>
    <t>歩 掛 り</t>
    <rPh sb="0" eb="1">
      <t>ホ</t>
    </rPh>
    <rPh sb="2" eb="3">
      <t>カカリ</t>
    </rPh>
    <phoneticPr fontId="1"/>
  </si>
  <si>
    <t>計算</t>
    <rPh sb="0" eb="2">
      <t>ケイサン</t>
    </rPh>
    <phoneticPr fontId="1"/>
  </si>
  <si>
    <t>X/2</t>
    <phoneticPr fontId="1"/>
  </si>
  <si>
    <t>Y/2</t>
    <phoneticPr fontId="1"/>
  </si>
  <si>
    <t>　　　　　　 2.5≦Ｎ＜ 3.5 : 3　　3.5≦Ｎ＜ 4.5 : 4　　4.5≦Ｎ＜ 5.5 : 5　　5.5≦Ｎ＜ 7.0 : 6</t>
    <phoneticPr fontId="1"/>
  </si>
  <si>
    <t>　　　　　　 7.0≦Ｎ＜ 8.5 : 7　　8.5≦Ｎ＜10.0 : 8　 10.0≦Ｎ＜11.5 : 9　 11.5≦Ｎ＜13.0 :10</t>
    <phoneticPr fontId="1"/>
  </si>
  <si>
    <t>　　　　　　13.0≦Ｎ＜15.0 :11　 15.0≦Ｎ＜17.0 :12　 17.0≦Ｎ＜19.0 :13　 19.0≦Ｎ＜24.0 :14</t>
    <phoneticPr fontId="1"/>
  </si>
  <si>
    <t>　　　　　　24.0≦Ｎ＜40.0 :60％　　　40.0≦Ｎ＜44.0 :24　　　44.0≦Ｎ＜69.0 :55％</t>
    <phoneticPr fontId="1"/>
  </si>
  <si>
    <t>　　　　　　69.0≦Ｎ＜76.0 :38　　　　76.0≦Ｎ       :50％</t>
    <phoneticPr fontId="1"/>
  </si>
  <si>
    <t/>
  </si>
  <si>
    <t>ｎ参照</t>
  </si>
  <si>
    <t>　　　　　　　　　　　　　　　　　　　　　　　 40形(37W) 　2950 　   (36～40W)   2850</t>
    <phoneticPr fontId="1"/>
  </si>
  <si>
    <t>(16)イ</t>
  </si>
  <si>
    <t>A</t>
    <phoneticPr fontId="1"/>
  </si>
  <si>
    <t>B1</t>
    <phoneticPr fontId="1"/>
  </si>
  <si>
    <t>B2</t>
    <phoneticPr fontId="1"/>
  </si>
  <si>
    <t>B3</t>
    <phoneticPr fontId="1"/>
  </si>
  <si>
    <t>B4</t>
    <phoneticPr fontId="1"/>
  </si>
  <si>
    <t>C1</t>
    <phoneticPr fontId="1"/>
  </si>
  <si>
    <t>C2</t>
    <phoneticPr fontId="1"/>
  </si>
  <si>
    <t>C3</t>
    <phoneticPr fontId="1"/>
  </si>
  <si>
    <t>C4</t>
    <phoneticPr fontId="1"/>
  </si>
  <si>
    <t>D1</t>
    <phoneticPr fontId="1"/>
  </si>
  <si>
    <t>D2</t>
    <phoneticPr fontId="1"/>
  </si>
  <si>
    <t>D3</t>
    <phoneticPr fontId="1"/>
  </si>
  <si>
    <t>D4</t>
    <phoneticPr fontId="1"/>
  </si>
  <si>
    <t>E1</t>
    <phoneticPr fontId="1"/>
  </si>
  <si>
    <t>E2</t>
    <phoneticPr fontId="1"/>
  </si>
  <si>
    <t>F1</t>
    <phoneticPr fontId="1"/>
  </si>
  <si>
    <t>F2</t>
    <phoneticPr fontId="1"/>
  </si>
  <si>
    <t>F3</t>
    <phoneticPr fontId="1"/>
  </si>
  <si>
    <t>F4</t>
    <phoneticPr fontId="1"/>
  </si>
  <si>
    <t>G1</t>
    <phoneticPr fontId="1"/>
  </si>
  <si>
    <t>G2</t>
    <phoneticPr fontId="1"/>
  </si>
  <si>
    <t>H</t>
    <phoneticPr fontId="1"/>
  </si>
  <si>
    <t>I</t>
    <phoneticPr fontId="1"/>
  </si>
  <si>
    <t>Y3</t>
    <phoneticPr fontId="1"/>
  </si>
  <si>
    <t>(3) ロ</t>
  </si>
  <si>
    <t>( 4 )</t>
    <phoneticPr fontId="1"/>
  </si>
  <si>
    <t xml:space="preserve"> B6F</t>
    <phoneticPr fontId="1"/>
  </si>
  <si>
    <t xml:space="preserve"> B5F</t>
    <phoneticPr fontId="1"/>
  </si>
  <si>
    <t xml:space="preserve"> B4F</t>
    <phoneticPr fontId="1"/>
  </si>
  <si>
    <t xml:space="preserve"> B3F</t>
    <phoneticPr fontId="1"/>
  </si>
  <si>
    <t xml:space="preserve"> B2F</t>
  </si>
  <si>
    <t xml:space="preserve"> B2F</t>
    <phoneticPr fontId="1"/>
  </si>
  <si>
    <t xml:space="preserve"> B1F</t>
    <phoneticPr fontId="1"/>
  </si>
  <si>
    <t xml:space="preserve">  1F</t>
    <phoneticPr fontId="1"/>
  </si>
  <si>
    <t xml:space="preserve">  2F</t>
    <phoneticPr fontId="1"/>
  </si>
  <si>
    <t xml:space="preserve">  3F</t>
    <phoneticPr fontId="1"/>
  </si>
  <si>
    <t xml:space="preserve">  4F</t>
    <phoneticPr fontId="1"/>
  </si>
  <si>
    <t xml:space="preserve">  5F</t>
    <phoneticPr fontId="1"/>
  </si>
  <si>
    <t xml:space="preserve">  6F</t>
    <phoneticPr fontId="1"/>
  </si>
  <si>
    <t xml:space="preserve">  7F</t>
    <phoneticPr fontId="1"/>
  </si>
  <si>
    <t xml:space="preserve">  8F</t>
    <phoneticPr fontId="1"/>
  </si>
  <si>
    <t xml:space="preserve">  9F</t>
    <phoneticPr fontId="1"/>
  </si>
  <si>
    <t xml:space="preserve"> 10F</t>
    <phoneticPr fontId="1"/>
  </si>
  <si>
    <t xml:space="preserve"> 11F</t>
    <phoneticPr fontId="1"/>
  </si>
  <si>
    <t xml:space="preserve"> 12F</t>
    <phoneticPr fontId="1"/>
  </si>
  <si>
    <t xml:space="preserve"> 13F</t>
    <phoneticPr fontId="1"/>
  </si>
  <si>
    <t xml:space="preserve"> 14F</t>
    <phoneticPr fontId="1"/>
  </si>
  <si>
    <t xml:space="preserve"> 15F</t>
    <phoneticPr fontId="1"/>
  </si>
  <si>
    <t xml:space="preserve"> 16F</t>
    <phoneticPr fontId="1"/>
  </si>
  <si>
    <t xml:space="preserve"> 17F</t>
    <phoneticPr fontId="1"/>
  </si>
  <si>
    <t xml:space="preserve"> 18F</t>
    <phoneticPr fontId="1"/>
  </si>
  <si>
    <t xml:space="preserve"> 19F</t>
    <phoneticPr fontId="1"/>
  </si>
  <si>
    <t xml:space="preserve"> 20F</t>
    <phoneticPr fontId="1"/>
  </si>
  <si>
    <t xml:space="preserve"> </t>
    <phoneticPr fontId="1"/>
  </si>
  <si>
    <t>PH1F</t>
    <phoneticPr fontId="1"/>
  </si>
  <si>
    <t>PH2F</t>
    <phoneticPr fontId="1"/>
  </si>
  <si>
    <t>PH3F</t>
    <phoneticPr fontId="1"/>
  </si>
  <si>
    <t>PH4F</t>
    <phoneticPr fontId="1"/>
  </si>
  <si>
    <t>(1) イ</t>
    <phoneticPr fontId="8"/>
  </si>
  <si>
    <t>(1) ロ</t>
    <phoneticPr fontId="8"/>
  </si>
  <si>
    <t>(2) イ</t>
    <phoneticPr fontId="8"/>
  </si>
  <si>
    <t>(2) ハ</t>
  </si>
  <si>
    <t>(2) ニ</t>
  </si>
  <si>
    <t>(6) イ</t>
  </si>
  <si>
    <t>(6) ロ</t>
  </si>
  <si>
    <t>(6) ハ</t>
  </si>
  <si>
    <t>(6) ニ</t>
  </si>
  <si>
    <t>( 8 )</t>
  </si>
  <si>
    <t>(13)イ</t>
  </si>
  <si>
    <t>(13)ロ</t>
  </si>
  <si>
    <t>(16)ロ</t>
  </si>
  <si>
    <t>下 表</t>
    <rPh sb="0" eb="1">
      <t>シタ</t>
    </rPh>
    <rPh sb="2" eb="3">
      <t>ヒョウ</t>
    </rPh>
    <phoneticPr fontId="1"/>
  </si>
  <si>
    <r>
      <t xml:space="preserve">下表
に
</t>
    </r>
    <r>
      <rPr>
        <sz val="7"/>
        <color rgb="FF002060"/>
        <rFont val="Meiryo UI"/>
        <family val="3"/>
        <charset val="128"/>
      </rPr>
      <t>X[m]</t>
    </r>
    <r>
      <rPr>
        <sz val="9"/>
        <color rgb="FF002060"/>
        <rFont val="Meiryo UI"/>
        <family val="3"/>
        <charset val="128"/>
      </rPr>
      <t xml:space="preserve">
</t>
    </r>
    <r>
      <rPr>
        <sz val="7"/>
        <color rgb="FF002060"/>
        <rFont val="Meiryo UI"/>
        <family val="3"/>
        <charset val="128"/>
      </rPr>
      <t>Y[m]</t>
    </r>
    <r>
      <rPr>
        <sz val="7"/>
        <color theme="1"/>
        <rFont val="Meiryo UI"/>
        <family val="3"/>
        <charset val="128"/>
      </rPr>
      <t xml:space="preserve">
</t>
    </r>
    <r>
      <rPr>
        <sz val="9"/>
        <color rgb="FF002060"/>
        <rFont val="Meiryo UI"/>
        <family val="3"/>
        <charset val="128"/>
      </rPr>
      <t>建物
形状</t>
    </r>
    <r>
      <rPr>
        <sz val="9"/>
        <color theme="1"/>
        <rFont val="Meiryo UI"/>
        <family val="3"/>
        <charset val="128"/>
      </rPr>
      <t xml:space="preserve">
を
入
力
し
て
下
さ
い
↓
↓</t>
    </r>
    <rPh sb="0" eb="1">
      <t>シタ</t>
    </rPh>
    <rPh sb="1" eb="2">
      <t>ヒョウ</t>
    </rPh>
    <rPh sb="16" eb="18">
      <t>タテモノ</t>
    </rPh>
    <rPh sb="19" eb="21">
      <t>ケイジョウ</t>
    </rPh>
    <rPh sb="25" eb="26">
      <t>イレル</t>
    </rPh>
    <rPh sb="27" eb="28">
      <t>リョク</t>
    </rPh>
    <rPh sb="33" eb="34">
      <t>クダ</t>
    </rPh>
    <phoneticPr fontId="1"/>
  </si>
  <si>
    <r>
      <t>　</t>
    </r>
    <r>
      <rPr>
        <sz val="9"/>
        <color theme="1" tint="4.9989318521683403E-2"/>
        <rFont val="HGS明朝B"/>
        <family val="1"/>
        <charset val="128"/>
      </rPr>
      <t>対応しています。  出力データは、実施設計の参考にもなるものと想います。</t>
    </r>
    <phoneticPr fontId="1"/>
  </si>
  <si>
    <t>区 分</t>
    <rPh sb="0" eb="1">
      <t>ク</t>
    </rPh>
    <rPh sb="2" eb="3">
      <t>ブン</t>
    </rPh>
    <phoneticPr fontId="1"/>
  </si>
  <si>
    <t>( 15)</t>
    <phoneticPr fontId="8"/>
  </si>
  <si>
    <t>現場管理費</t>
    <phoneticPr fontId="1"/>
  </si>
  <si>
    <t>諸　経　費</t>
    <phoneticPr fontId="1"/>
  </si>
  <si>
    <t>ご注意</t>
    <rPh sb="1" eb="3">
      <t>チュウイ</t>
    </rPh>
    <phoneticPr fontId="1"/>
  </si>
  <si>
    <t>新規積算書を作成する場合、各工事種目で変更し基準設定値は初期化して下さい。</t>
    <rPh sb="0" eb="2">
      <t>シンキ</t>
    </rPh>
    <rPh sb="2" eb="4">
      <t>セキサン</t>
    </rPh>
    <rPh sb="4" eb="5">
      <t>ショ</t>
    </rPh>
    <rPh sb="6" eb="8">
      <t>サクセイ</t>
    </rPh>
    <rPh sb="10" eb="12">
      <t>バアイ</t>
    </rPh>
    <rPh sb="13" eb="14">
      <t>カク</t>
    </rPh>
    <rPh sb="14" eb="16">
      <t>コウジ</t>
    </rPh>
    <rPh sb="16" eb="18">
      <t>シュモク</t>
    </rPh>
    <rPh sb="22" eb="24">
      <t>キジュン</t>
    </rPh>
    <rPh sb="24" eb="27">
      <t>セッテイチ</t>
    </rPh>
    <rPh sb="28" eb="31">
      <t>ショキカ</t>
    </rPh>
    <rPh sb="33" eb="34">
      <t>クダ</t>
    </rPh>
    <phoneticPr fontId="1"/>
  </si>
  <si>
    <t>プルダウン・リスト から 入力した、文字列または数値</t>
    <rPh sb="13" eb="15">
      <t>ニュウリョク</t>
    </rPh>
    <rPh sb="18" eb="21">
      <t>モジレツ</t>
    </rPh>
    <rPh sb="24" eb="26">
      <t>スウチ</t>
    </rPh>
    <phoneticPr fontId="1"/>
  </si>
  <si>
    <t>キーボード から 入力した、数値または文字列</t>
    <rPh sb="9" eb="11">
      <t>ニュウリョク</t>
    </rPh>
    <rPh sb="14" eb="16">
      <t>スウチ</t>
    </rPh>
    <rPh sb="19" eb="22">
      <t>モジレツ</t>
    </rPh>
    <phoneticPr fontId="1"/>
  </si>
  <si>
    <t>参考資料</t>
    <rPh sb="0" eb="2">
      <t>サンコウ</t>
    </rPh>
    <rPh sb="2" eb="4">
      <t>シリョウ</t>
    </rPh>
    <phoneticPr fontId="1"/>
  </si>
  <si>
    <t>資材関係　　価格：建設物価調査会、　歩掛：標準歩掛、　照明器具(光束・Ｗ・力率・VA)：Panasonic</t>
    <rPh sb="0" eb="2">
      <t>シザイ</t>
    </rPh>
    <rPh sb="2" eb="4">
      <t>カンケイ</t>
    </rPh>
    <rPh sb="6" eb="8">
      <t>カカク</t>
    </rPh>
    <rPh sb="9" eb="11">
      <t>ケンセツ</t>
    </rPh>
    <rPh sb="11" eb="13">
      <t>ブッカ</t>
    </rPh>
    <rPh sb="13" eb="16">
      <t>チョウサカイ</t>
    </rPh>
    <rPh sb="18" eb="20">
      <t>ブガカリ</t>
    </rPh>
    <rPh sb="21" eb="23">
      <t>ヒョウジュン</t>
    </rPh>
    <rPh sb="23" eb="25">
      <t>ブガカリ</t>
    </rPh>
    <rPh sb="27" eb="29">
      <t>ショウメイ</t>
    </rPh>
    <rPh sb="29" eb="31">
      <t>キグ</t>
    </rPh>
    <rPh sb="32" eb="33">
      <t>ヒカリ</t>
    </rPh>
    <rPh sb="33" eb="34">
      <t>タバ</t>
    </rPh>
    <rPh sb="37" eb="39">
      <t>リキリツ</t>
    </rPh>
    <phoneticPr fontId="1"/>
  </si>
  <si>
    <r>
      <t>参考技術資料－S3</t>
    </r>
    <r>
      <rPr>
        <sz val="9"/>
        <color rgb="FF0000FF"/>
        <rFont val="Meiryo UI"/>
        <family val="3"/>
        <charset val="128"/>
      </rPr>
      <t>　</t>
    </r>
    <r>
      <rPr>
        <sz val="9"/>
        <color rgb="FF0000FF"/>
        <rFont val="HG明朝B"/>
        <family val="1"/>
        <charset val="128"/>
      </rPr>
      <t>参考技術計算：室内換気風量計算</t>
    </r>
    <r>
      <rPr>
        <sz val="9"/>
        <color theme="1" tint="4.9989318521683403E-2"/>
        <rFont val="HG明朝B"/>
        <family val="1"/>
        <charset val="128"/>
      </rPr>
      <t>　受変電設備工事と連動</t>
    </r>
    <phoneticPr fontId="1"/>
  </si>
  <si>
    <r>
      <t>　飽和蒸気圧 [ｇ･ｃｍ3]</t>
    </r>
    <r>
      <rPr>
        <sz val="9"/>
        <color rgb="FF0000FF"/>
        <rFont val="HG明朝B"/>
        <family val="1"/>
        <charset val="128"/>
      </rPr>
      <t>　　理科年表 (1996-P481)</t>
    </r>
    <phoneticPr fontId="1"/>
  </si>
  <si>
    <r>
      <t>参考技術資料－S4</t>
    </r>
    <r>
      <rPr>
        <sz val="9"/>
        <color rgb="FF0000FF"/>
        <rFont val="Meiryo UI"/>
        <family val="3"/>
        <charset val="128"/>
      </rPr>
      <t>　</t>
    </r>
    <r>
      <rPr>
        <sz val="9"/>
        <color rgb="FF0000FF"/>
        <rFont val="HG明朝B"/>
        <family val="1"/>
        <charset val="128"/>
      </rPr>
      <t>参考技術計算：耐震措置計算</t>
    </r>
    <phoneticPr fontId="1"/>
  </si>
  <si>
    <r>
      <t>　4. 風圧荷重</t>
    </r>
    <r>
      <rPr>
        <sz val="9"/>
        <color rgb="FF0000FF"/>
        <rFont val="HG明朝B"/>
        <family val="1"/>
        <charset val="128"/>
      </rPr>
      <t>　電気設備技術基準32条(解釈条項57条)および社団法人日本電気協会編配電規程による。</t>
    </r>
    <phoneticPr fontId="1"/>
  </si>
  <si>
    <t>風圧荷重：電気設備技術基準および配電規程、　漏電遮断器(刺激伝導系)：国立循環器病センターURL</t>
    <rPh sb="22" eb="27">
      <t>ロウデンシャダンキ</t>
    </rPh>
    <phoneticPr fontId="1"/>
  </si>
  <si>
    <t>室内換気風量計算(飽和蒸気圧)、15時不快指数：理科年表(国立天文台)、　耐震措置計算：建築設備耐震設計・施工指針</t>
    <rPh sb="0" eb="2">
      <t>シツナイ</t>
    </rPh>
    <rPh sb="2" eb="4">
      <t>カンキ</t>
    </rPh>
    <rPh sb="4" eb="6">
      <t>フウリョウ</t>
    </rPh>
    <rPh sb="6" eb="8">
      <t>ケイサン</t>
    </rPh>
    <rPh sb="18" eb="19">
      <t>ジ</t>
    </rPh>
    <rPh sb="19" eb="21">
      <t>フカイ</t>
    </rPh>
    <rPh sb="21" eb="23">
      <t>シスウ</t>
    </rPh>
    <phoneticPr fontId="1"/>
  </si>
  <si>
    <t>気象関係　　地点(地名)、30年間平均最高・最低気温：理科年表(国立天文台)、　地点(標高／海抜)：国土地理院 1/25000 地形図</t>
    <rPh sb="0" eb="2">
      <t>キショウ</t>
    </rPh>
    <rPh sb="2" eb="4">
      <t>カンケイ</t>
    </rPh>
    <rPh sb="6" eb="8">
      <t>チテン</t>
    </rPh>
    <rPh sb="9" eb="11">
      <t>チメイ</t>
    </rPh>
    <rPh sb="15" eb="17">
      <t>ネンカン</t>
    </rPh>
    <rPh sb="17" eb="19">
      <t>ヘイキン</t>
    </rPh>
    <rPh sb="19" eb="21">
      <t>サイコウ</t>
    </rPh>
    <rPh sb="22" eb="24">
      <t>サイテイ</t>
    </rPh>
    <rPh sb="24" eb="26">
      <t>キオン</t>
    </rPh>
    <rPh sb="27" eb="29">
      <t>リカ</t>
    </rPh>
    <rPh sb="29" eb="31">
      <t>ネンピョウ</t>
    </rPh>
    <rPh sb="32" eb="34">
      <t>コクリツ</t>
    </rPh>
    <rPh sb="34" eb="37">
      <t>テンモンダイ</t>
    </rPh>
    <rPh sb="40" eb="42">
      <t>チテン</t>
    </rPh>
    <rPh sb="43" eb="45">
      <t>ヒョウコウ</t>
    </rPh>
    <rPh sb="46" eb="48">
      <t>カイバツ</t>
    </rPh>
    <rPh sb="50" eb="52">
      <t>コクド</t>
    </rPh>
    <rPh sb="52" eb="54">
      <t>チリ</t>
    </rPh>
    <rPh sb="54" eb="55">
      <t>イン</t>
    </rPh>
    <rPh sb="64" eb="67">
      <t>チケイズ</t>
    </rPh>
    <phoneticPr fontId="1"/>
  </si>
  <si>
    <t>今日の日付</t>
    <rPh sb="0" eb="2">
      <t>キョウ</t>
    </rPh>
    <rPh sb="3" eb="5">
      <t>ヒヅケ</t>
    </rPh>
    <phoneticPr fontId="1"/>
  </si>
  <si>
    <t>使用期限残り日数</t>
    <rPh sb="0" eb="2">
      <t>シヨウ</t>
    </rPh>
    <rPh sb="2" eb="4">
      <t>キゲン</t>
    </rPh>
    <rPh sb="4" eb="5">
      <t>ノコ</t>
    </rPh>
    <rPh sb="6" eb="8">
      <t>ニッスウ</t>
    </rPh>
    <phoneticPr fontId="1"/>
  </si>
  <si>
    <t>使用期限最終日付</t>
    <rPh sb="0" eb="2">
      <t>シヨウ</t>
    </rPh>
    <rPh sb="2" eb="4">
      <t>キゲン</t>
    </rPh>
    <rPh sb="4" eb="6">
      <t>サイシュウ</t>
    </rPh>
    <rPh sb="6" eb="8">
      <t>ヒヅケ</t>
    </rPh>
    <phoneticPr fontId="1"/>
  </si>
  <si>
    <r>
      <t>　　防火対象物の用途区分表　　　　　　　　　　　　　　　　　　　　　　　　　　　　</t>
    </r>
    <r>
      <rPr>
        <sz val="9"/>
        <rFont val="Meiryo UI"/>
        <family val="3"/>
        <charset val="128"/>
      </rPr>
      <t>令別表第一</t>
    </r>
    <phoneticPr fontId="1"/>
  </si>
  <si>
    <t>TopPage</t>
  </si>
  <si>
    <r>
      <rPr>
        <sz val="9"/>
        <rFont val="Meiryo UI"/>
        <family val="3"/>
        <charset val="128"/>
      </rPr>
      <t>単価指定</t>
    </r>
    <r>
      <rPr>
        <sz val="9"/>
        <rFont val="ＭＳ ゴシック"/>
        <family val="3"/>
        <charset val="128"/>
      </rPr>
      <t xml:space="preserve">  ：</t>
    </r>
    <r>
      <rPr>
        <sz val="9"/>
        <color rgb="FF0000FF"/>
        <rFont val="Meiryo UI"/>
        <family val="3"/>
        <charset val="128"/>
      </rPr>
      <t>単価-1</t>
    </r>
    <r>
      <rPr>
        <sz val="9"/>
        <rFont val="ＭＳ ゴシック"/>
        <family val="3"/>
        <charset val="128"/>
      </rPr>
      <t>、</t>
    </r>
    <r>
      <rPr>
        <sz val="9"/>
        <rFont val="Meiryo UI"/>
        <family val="3"/>
        <charset val="128"/>
      </rPr>
      <t>単価-2</t>
    </r>
    <r>
      <rPr>
        <sz val="9"/>
        <rFont val="ＭＳ ゴシック"/>
        <family val="3"/>
        <charset val="128"/>
      </rPr>
      <t>、</t>
    </r>
    <r>
      <rPr>
        <sz val="9"/>
        <rFont val="Meiryo UI"/>
        <family val="3"/>
        <charset val="128"/>
      </rPr>
      <t>単価-3</t>
    </r>
    <r>
      <rPr>
        <sz val="9"/>
        <rFont val="ＭＳ ゴシック"/>
        <family val="3"/>
        <charset val="128"/>
      </rPr>
      <t>、</t>
    </r>
    <r>
      <rPr>
        <sz val="9"/>
        <rFont val="Meiryo UI"/>
        <family val="3"/>
        <charset val="128"/>
      </rPr>
      <t>単価-4</t>
    </r>
    <rPh sb="7" eb="9">
      <t>タンカ</t>
    </rPh>
    <phoneticPr fontId="1"/>
  </si>
  <si>
    <r>
      <t>基準設定値（</t>
    </r>
    <r>
      <rPr>
        <sz val="10"/>
        <color rgb="FF0000FF"/>
        <rFont val="Meiryo UI"/>
        <family val="3"/>
        <charset val="128"/>
      </rPr>
      <t>青字</t>
    </r>
    <r>
      <rPr>
        <sz val="10"/>
        <rFont val="Meiryo UI"/>
        <family val="3"/>
        <charset val="128"/>
      </rPr>
      <t>）</t>
    </r>
    <rPh sb="0" eb="2">
      <t>キジュン</t>
    </rPh>
    <rPh sb="2" eb="5">
      <t>セッテイチ</t>
    </rPh>
    <rPh sb="6" eb="8">
      <t>アオジ</t>
    </rPh>
    <phoneticPr fontId="1"/>
  </si>
  <si>
    <r>
      <rPr>
        <sz val="9"/>
        <rFont val="Meiryo UI"/>
        <family val="3"/>
        <charset val="128"/>
      </rPr>
      <t xml:space="preserve">運　搬　費  </t>
    </r>
    <r>
      <rPr>
        <sz val="9"/>
        <rFont val="ＭＳ ゴシック"/>
        <family val="3"/>
        <charset val="128"/>
      </rPr>
      <t>：</t>
    </r>
    <r>
      <rPr>
        <sz val="9"/>
        <color rgb="FF0000FF"/>
        <rFont val="Meiryo UI"/>
        <family val="3"/>
        <charset val="128"/>
      </rPr>
      <t>１.５％</t>
    </r>
    <phoneticPr fontId="1"/>
  </si>
  <si>
    <r>
      <rPr>
        <sz val="9"/>
        <rFont val="Meiryo UI"/>
        <family val="3"/>
        <charset val="128"/>
      </rPr>
      <t>歩掛指定</t>
    </r>
    <r>
      <rPr>
        <sz val="9"/>
        <rFont val="ＭＳ ゴシック"/>
        <family val="3"/>
        <charset val="128"/>
      </rPr>
      <t xml:space="preserve">  ：</t>
    </r>
    <r>
      <rPr>
        <sz val="9"/>
        <color rgb="FF0000FF"/>
        <rFont val="Meiryo UI"/>
        <family val="3"/>
        <charset val="128"/>
      </rPr>
      <t>歩掛-1</t>
    </r>
    <r>
      <rPr>
        <sz val="9"/>
        <rFont val="ＭＳ ゴシック"/>
        <family val="3"/>
        <charset val="128"/>
      </rPr>
      <t>、</t>
    </r>
    <r>
      <rPr>
        <sz val="9"/>
        <rFont val="Meiryo UI"/>
        <family val="3"/>
        <charset val="128"/>
      </rPr>
      <t>歩掛-2</t>
    </r>
    <r>
      <rPr>
        <sz val="9"/>
        <rFont val="ＭＳ ゴシック"/>
        <family val="3"/>
        <charset val="128"/>
      </rPr>
      <t>、</t>
    </r>
    <r>
      <rPr>
        <sz val="9"/>
        <rFont val="Meiryo UI"/>
        <family val="3"/>
        <charset val="128"/>
      </rPr>
      <t>歩掛-3</t>
    </r>
    <rPh sb="7" eb="9">
      <t>ブガカリ</t>
    </rPh>
    <phoneticPr fontId="1"/>
  </si>
  <si>
    <r>
      <rPr>
        <sz val="9"/>
        <rFont val="Meiryo UI"/>
        <family val="3"/>
        <charset val="128"/>
      </rPr>
      <t>現場管理費</t>
    </r>
    <r>
      <rPr>
        <sz val="9"/>
        <rFont val="ＭＳ ゴシック"/>
        <family val="3"/>
        <charset val="128"/>
      </rPr>
      <t>：</t>
    </r>
    <r>
      <rPr>
        <sz val="9"/>
        <color rgb="FF0000FF"/>
        <rFont val="Meiryo UI"/>
        <family val="3"/>
        <charset val="128"/>
      </rPr>
      <t>５％</t>
    </r>
    <phoneticPr fontId="1"/>
  </si>
  <si>
    <r>
      <rPr>
        <sz val="9"/>
        <rFont val="Meiryo UI"/>
        <family val="3"/>
        <charset val="128"/>
      </rPr>
      <t xml:space="preserve">諸　経　費  </t>
    </r>
    <r>
      <rPr>
        <sz val="9"/>
        <rFont val="ＭＳ ゴシック"/>
        <family val="3"/>
        <charset val="128"/>
      </rPr>
      <t>：</t>
    </r>
    <r>
      <rPr>
        <sz val="8"/>
        <color rgb="FF0000FF"/>
        <rFont val="Meiryo UI"/>
        <family val="3"/>
        <charset val="128"/>
      </rPr>
      <t>0.8×INT{100×(√[(合計)×10</t>
    </r>
    <r>
      <rPr>
        <vertAlign val="superscript"/>
        <sz val="8"/>
        <color rgb="FF0000FF"/>
        <rFont val="Meiryo UI"/>
        <family val="3"/>
        <charset val="128"/>
      </rPr>
      <t>-4</t>
    </r>
    <r>
      <rPr>
        <sz val="8"/>
        <color rgb="FF0000FF"/>
        <rFont val="Meiryo UI"/>
        <family val="3"/>
        <charset val="128"/>
      </rPr>
      <t>]</t>
    </r>
    <r>
      <rPr>
        <vertAlign val="superscript"/>
        <sz val="8"/>
        <color rgb="FF0000FF"/>
        <rFont val="Meiryo UI"/>
        <family val="3"/>
        <charset val="128"/>
      </rPr>
      <t>-0.35</t>
    </r>
    <r>
      <rPr>
        <sz val="8"/>
        <color rgb="FF0000FF"/>
        <rFont val="Meiryo UI"/>
        <family val="3"/>
        <charset val="128"/>
      </rPr>
      <t>}/100</t>
    </r>
    <rPh sb="24" eb="26">
      <t>ゴウケイ</t>
    </rPh>
    <phoneticPr fontId="1"/>
  </si>
  <si>
    <r>
      <rPr>
        <sz val="9"/>
        <rFont val="Meiryo UI"/>
        <family val="3"/>
        <charset val="128"/>
      </rPr>
      <t>雑材消耗費</t>
    </r>
    <r>
      <rPr>
        <sz val="9"/>
        <rFont val="ＭＳ ゴシック"/>
        <family val="3"/>
        <charset val="128"/>
      </rPr>
      <t>：</t>
    </r>
    <r>
      <rPr>
        <sz val="9"/>
        <color rgb="FF0000FF"/>
        <rFont val="Meiryo UI"/>
        <family val="3"/>
        <charset val="128"/>
      </rPr>
      <t>３％</t>
    </r>
    <phoneticPr fontId="1"/>
  </si>
  <si>
    <r>
      <rPr>
        <sz val="9"/>
        <rFont val="Meiryo UI"/>
        <family val="3"/>
        <charset val="128"/>
      </rPr>
      <t>消 費 税 率</t>
    </r>
    <r>
      <rPr>
        <sz val="9"/>
        <rFont val="ＭＳ ゴシック"/>
        <family val="3"/>
        <charset val="128"/>
      </rPr>
      <t>：</t>
    </r>
    <r>
      <rPr>
        <sz val="9"/>
        <rFont val="Meiryo UI"/>
        <family val="3"/>
        <charset val="128"/>
      </rPr>
      <t>合計×</t>
    </r>
    <r>
      <rPr>
        <sz val="9"/>
        <color rgb="FF0000FF"/>
        <rFont val="Meiryo UI"/>
        <family val="3"/>
        <charset val="128"/>
      </rPr>
      <t>８％</t>
    </r>
    <rPh sb="8" eb="10">
      <t>ゴウケイ</t>
    </rPh>
    <phoneticPr fontId="1"/>
  </si>
  <si>
    <r>
      <rPr>
        <sz val="9"/>
        <rFont val="Meiryo UI"/>
        <family val="3"/>
        <charset val="128"/>
      </rPr>
      <t>電工単価</t>
    </r>
    <r>
      <rPr>
        <sz val="9"/>
        <rFont val="ＭＳ ゴシック"/>
        <family val="3"/>
        <charset val="128"/>
      </rPr>
      <t xml:space="preserve">  ：</t>
    </r>
    <r>
      <rPr>
        <sz val="9"/>
        <color rgb="FF0000FF"/>
        <rFont val="Meiryo UI"/>
        <family val="3"/>
        <charset val="128"/>
      </rPr>
      <t>6,000</t>
    </r>
    <r>
      <rPr>
        <sz val="9"/>
        <color rgb="FFFF0000"/>
        <rFont val="Meiryo UI"/>
        <family val="3"/>
        <charset val="128"/>
      </rPr>
      <t xml:space="preserve"> </t>
    </r>
    <r>
      <rPr>
        <sz val="9"/>
        <color rgb="FF0000FF"/>
        <rFont val="Meiryo UI"/>
        <family val="3"/>
        <charset val="128"/>
      </rPr>
      <t>円</t>
    </r>
    <rPh sb="13" eb="14">
      <t>エン</t>
    </rPh>
    <phoneticPr fontId="1"/>
  </si>
  <si>
    <r>
      <rPr>
        <sz val="9"/>
        <rFont val="Meiryo UI"/>
        <family val="3"/>
        <charset val="128"/>
      </rPr>
      <t xml:space="preserve">掛 け 率  </t>
    </r>
    <r>
      <rPr>
        <sz val="9"/>
        <rFont val="ＭＳ ゴシック"/>
        <family val="3"/>
        <charset val="128"/>
      </rPr>
      <t>：</t>
    </r>
    <r>
      <rPr>
        <sz val="9"/>
        <color rgb="FF0000FF"/>
        <rFont val="Meiryo UI"/>
        <family val="3"/>
        <charset val="128"/>
      </rPr>
      <t>７％</t>
    </r>
    <r>
      <rPr>
        <sz val="9"/>
        <rFont val="Meiryo UI"/>
        <family val="3"/>
        <charset val="128"/>
      </rPr>
      <t>（各原価工事種目）</t>
    </r>
    <rPh sb="11" eb="12">
      <t>カク</t>
    </rPh>
    <rPh sb="12" eb="14">
      <t>ゲンカ</t>
    </rPh>
    <rPh sb="14" eb="16">
      <t>コウジ</t>
    </rPh>
    <rPh sb="16" eb="18">
      <t>シュモク</t>
    </rPh>
    <phoneticPr fontId="1"/>
  </si>
  <si>
    <r>
      <rPr>
        <sz val="9"/>
        <rFont val="Meiryo UI"/>
        <family val="3"/>
        <charset val="128"/>
      </rPr>
      <t>単価指定</t>
    </r>
    <r>
      <rPr>
        <sz val="9"/>
        <rFont val="ＭＳ ゴシック"/>
        <family val="3"/>
        <charset val="128"/>
      </rPr>
      <t>、</t>
    </r>
    <r>
      <rPr>
        <sz val="9"/>
        <rFont val="Meiryo UI"/>
        <family val="3"/>
        <charset val="128"/>
      </rPr>
      <t>歩掛指定</t>
    </r>
    <r>
      <rPr>
        <sz val="9"/>
        <rFont val="ＭＳ ゴシック"/>
        <family val="3"/>
        <charset val="128"/>
      </rPr>
      <t>、</t>
    </r>
    <r>
      <rPr>
        <sz val="9"/>
        <rFont val="Meiryo UI"/>
        <family val="3"/>
        <charset val="128"/>
      </rPr>
      <t>電工単価</t>
    </r>
    <r>
      <rPr>
        <sz val="9"/>
        <rFont val="ＭＳ ゴシック"/>
        <family val="3"/>
        <charset val="128"/>
      </rPr>
      <t>、</t>
    </r>
    <r>
      <rPr>
        <sz val="9"/>
        <rFont val="Meiryo UI"/>
        <family val="3"/>
        <charset val="128"/>
      </rPr>
      <t>雑材消耗費</t>
    </r>
    <r>
      <rPr>
        <sz val="9"/>
        <rFont val="ＭＳ ゴシック"/>
        <family val="3"/>
        <charset val="128"/>
      </rPr>
      <t>、</t>
    </r>
    <r>
      <rPr>
        <sz val="9"/>
        <rFont val="Meiryo UI"/>
        <family val="3"/>
        <charset val="128"/>
      </rPr>
      <t>運　搬　費</t>
    </r>
    <r>
      <rPr>
        <sz val="9"/>
        <rFont val="ＭＳ ゴシック"/>
        <family val="3"/>
        <charset val="128"/>
      </rPr>
      <t>、</t>
    </r>
    <r>
      <rPr>
        <sz val="9"/>
        <rFont val="Meiryo UI"/>
        <family val="3"/>
        <charset val="128"/>
      </rPr>
      <t>現場管理費</t>
    </r>
    <r>
      <rPr>
        <sz val="9"/>
        <rFont val="ＭＳ ゴシック"/>
        <family val="3"/>
        <charset val="128"/>
      </rPr>
      <t>、</t>
    </r>
    <r>
      <rPr>
        <sz val="9"/>
        <rFont val="Meiryo UI"/>
        <family val="3"/>
        <charset val="128"/>
      </rPr>
      <t>消費税 率：</t>
    </r>
    <r>
      <rPr>
        <sz val="9"/>
        <color rgb="FF0000FF"/>
        <rFont val="Meiryo UI"/>
        <family val="3"/>
        <charset val="128"/>
      </rPr>
      <t>シートNo.[原価]</t>
    </r>
    <rPh sb="5" eb="7">
      <t>ブガカリ</t>
    </rPh>
    <rPh sb="7" eb="9">
      <t>シテイ</t>
    </rPh>
    <rPh sb="10" eb="12">
      <t>デンコウ</t>
    </rPh>
    <rPh sb="12" eb="14">
      <t>タンカ</t>
    </rPh>
    <rPh sb="27" eb="29">
      <t>ゲンバ</t>
    </rPh>
    <rPh sb="29" eb="32">
      <t>カンリヒ</t>
    </rPh>
    <phoneticPr fontId="1"/>
  </si>
  <si>
    <r>
      <rPr>
        <sz val="9"/>
        <rFont val="Meiryo UI"/>
        <family val="3"/>
        <charset val="128"/>
      </rPr>
      <t>諸　経　費</t>
    </r>
    <r>
      <rPr>
        <sz val="9"/>
        <rFont val="ＭＳ ゴシック"/>
        <family val="3"/>
        <charset val="128"/>
      </rPr>
      <t>：</t>
    </r>
    <r>
      <rPr>
        <sz val="9"/>
        <color rgb="FF0000FF"/>
        <rFont val="Meiryo UI"/>
        <family val="3"/>
        <charset val="128"/>
      </rPr>
      <t>１０％</t>
    </r>
    <phoneticPr fontId="1"/>
  </si>
  <si>
    <r>
      <rPr>
        <sz val="9"/>
        <rFont val="Meiryo UI"/>
        <family val="3"/>
        <charset val="128"/>
      </rPr>
      <t>受変電設備形体</t>
    </r>
    <r>
      <rPr>
        <sz val="9"/>
        <rFont val="ＭＳ ゴシック"/>
        <family val="3"/>
        <charset val="128"/>
      </rPr>
      <t>：</t>
    </r>
    <r>
      <rPr>
        <sz val="9"/>
        <color rgb="FF0000FF"/>
        <rFont val="Meiryo UI"/>
        <family val="3"/>
        <charset val="128"/>
      </rPr>
      <t>屋外キュービクル</t>
    </r>
    <r>
      <rPr>
        <sz val="9"/>
        <rFont val="ＭＳ ゴシック"/>
        <family val="3"/>
        <charset val="128"/>
      </rPr>
      <t>、</t>
    </r>
    <r>
      <rPr>
        <sz val="9"/>
        <rFont val="Meiryo UI"/>
        <family val="3"/>
        <charset val="128"/>
      </rPr>
      <t>屋内電気室</t>
    </r>
    <rPh sb="0" eb="1">
      <t>ジュ</t>
    </rPh>
    <rPh sb="1" eb="3">
      <t>ヘンデン</t>
    </rPh>
    <rPh sb="3" eb="5">
      <t>セツビ</t>
    </rPh>
    <rPh sb="5" eb="7">
      <t>ケイタイ</t>
    </rPh>
    <rPh sb="8" eb="10">
      <t>オクガイ</t>
    </rPh>
    <rPh sb="17" eb="19">
      <t>オクナイ</t>
    </rPh>
    <rPh sb="19" eb="21">
      <t>デンキ</t>
    </rPh>
    <rPh sb="21" eb="22">
      <t>シツ</t>
    </rPh>
    <phoneticPr fontId="1"/>
  </si>
  <si>
    <r>
      <rPr>
        <sz val="9"/>
        <rFont val="Meiryo UI"/>
        <family val="3"/>
        <charset val="128"/>
      </rPr>
      <t>ＥＰＳの位置</t>
    </r>
    <r>
      <rPr>
        <sz val="9"/>
        <rFont val="ＭＳ ゴシック"/>
        <family val="3"/>
        <charset val="128"/>
      </rPr>
      <t>：</t>
    </r>
    <r>
      <rPr>
        <sz val="9"/>
        <color rgb="FF0000FF"/>
        <rFont val="Meiryo UI"/>
        <family val="3"/>
        <charset val="128"/>
      </rPr>
      <t>Ⓖ</t>
    </r>
    <rPh sb="4" eb="6">
      <t>イチ</t>
    </rPh>
    <phoneticPr fontId="1"/>
  </si>
  <si>
    <r>
      <rPr>
        <sz val="9"/>
        <rFont val="Meiryo UI"/>
        <family val="3"/>
        <charset val="128"/>
      </rPr>
      <t>構内柱</t>
    </r>
    <r>
      <rPr>
        <sz val="9"/>
        <rFont val="ＭＳ ゴシック"/>
        <family val="3"/>
        <charset val="128"/>
      </rPr>
      <t>：</t>
    </r>
    <r>
      <rPr>
        <sz val="9"/>
        <color rgb="FF0000FF"/>
        <rFont val="Meiryo UI"/>
        <family val="3"/>
        <charset val="128"/>
      </rPr>
      <t>CP 10-19-350Kg</t>
    </r>
    <rPh sb="0" eb="2">
      <t>コウナイ</t>
    </rPh>
    <rPh sb="2" eb="3">
      <t>ハシラ</t>
    </rPh>
    <phoneticPr fontId="1"/>
  </si>
  <si>
    <r>
      <rPr>
        <sz val="9"/>
        <rFont val="Meiryo UI"/>
        <family val="3"/>
        <charset val="128"/>
      </rPr>
      <t>引込方式</t>
    </r>
    <r>
      <rPr>
        <sz val="9"/>
        <rFont val="ＭＳ ゴシック"/>
        <family val="3"/>
        <charset val="128"/>
      </rPr>
      <t>：</t>
    </r>
    <r>
      <rPr>
        <sz val="9"/>
        <color rgb="FF0000FF"/>
        <rFont val="Meiryo UI"/>
        <family val="3"/>
        <charset val="128"/>
      </rPr>
      <t>架空引込</t>
    </r>
    <r>
      <rPr>
        <sz val="9"/>
        <rFont val="ＭＳ ゴシック"/>
        <family val="3"/>
        <charset val="128"/>
      </rPr>
      <t>、</t>
    </r>
    <r>
      <rPr>
        <sz val="9"/>
        <rFont val="Meiryo UI"/>
        <family val="3"/>
        <charset val="128"/>
      </rPr>
      <t>地中引込</t>
    </r>
    <rPh sb="0" eb="2">
      <t>ヒキコミ</t>
    </rPh>
    <rPh sb="2" eb="4">
      <t>ホウシキ</t>
    </rPh>
    <rPh sb="5" eb="7">
      <t>カクウ</t>
    </rPh>
    <rPh sb="7" eb="9">
      <t>ヒキコミ</t>
    </rPh>
    <rPh sb="10" eb="12">
      <t>チチュウ</t>
    </rPh>
    <rPh sb="12" eb="14">
      <t>ヒキコミ</t>
    </rPh>
    <phoneticPr fontId="1"/>
  </si>
  <si>
    <r>
      <rPr>
        <sz val="9"/>
        <rFont val="Meiryo UI"/>
        <family val="3"/>
        <charset val="128"/>
      </rPr>
      <t>構内電線路</t>
    </r>
    <r>
      <rPr>
        <sz val="9"/>
        <rFont val="ＭＳ ゴシック"/>
        <family val="3"/>
        <charset val="128"/>
      </rPr>
      <t>：</t>
    </r>
    <r>
      <rPr>
        <sz val="9"/>
        <color rgb="FF0000FF"/>
        <rFont val="Meiryo UI"/>
        <family val="3"/>
        <charset val="128"/>
      </rPr>
      <t>地中管路</t>
    </r>
    <r>
      <rPr>
        <sz val="9"/>
        <rFont val="ＭＳ ゴシック"/>
        <family val="3"/>
        <charset val="128"/>
      </rPr>
      <t>、</t>
    </r>
    <r>
      <rPr>
        <sz val="9"/>
        <rFont val="Meiryo UI"/>
        <family val="3"/>
        <charset val="128"/>
      </rPr>
      <t>架空配線</t>
    </r>
    <rPh sb="0" eb="2">
      <t>コウナイ</t>
    </rPh>
    <rPh sb="2" eb="4">
      <t>デンセン</t>
    </rPh>
    <rPh sb="4" eb="5">
      <t>ロ</t>
    </rPh>
    <rPh sb="6" eb="8">
      <t>チチュウ</t>
    </rPh>
    <rPh sb="8" eb="10">
      <t>カンロ</t>
    </rPh>
    <rPh sb="11" eb="13">
      <t>カクウ</t>
    </rPh>
    <rPh sb="13" eb="15">
      <t>ハイセン</t>
    </rPh>
    <phoneticPr fontId="1"/>
  </si>
  <si>
    <r>
      <rPr>
        <sz val="9"/>
        <rFont val="Meiryo UI"/>
        <family val="3"/>
        <charset val="128"/>
      </rPr>
      <t>ハンドホール</t>
    </r>
    <r>
      <rPr>
        <sz val="9"/>
        <rFont val="ＭＳ ゴシック"/>
        <family val="3"/>
        <charset val="128"/>
      </rPr>
      <t>：</t>
    </r>
    <r>
      <rPr>
        <sz val="9"/>
        <color rgb="FF0000FF"/>
        <rFont val="Meiryo UI"/>
        <family val="3"/>
        <charset val="128"/>
      </rPr>
      <t>KK 900×900×1200</t>
    </r>
    <phoneticPr fontId="1"/>
  </si>
  <si>
    <r>
      <rPr>
        <sz val="9"/>
        <rFont val="Meiryo UI"/>
        <family val="3"/>
        <charset val="128"/>
      </rPr>
      <t>力率改善目標</t>
    </r>
    <r>
      <rPr>
        <sz val="9"/>
        <rFont val="ＭＳ ゴシック"/>
        <family val="3"/>
        <charset val="128"/>
      </rPr>
      <t>：</t>
    </r>
    <r>
      <rPr>
        <sz val="9"/>
        <color rgb="FF0000FF"/>
        <rFont val="Meiryo UI"/>
        <family val="3"/>
        <charset val="128"/>
      </rPr>
      <t>85％</t>
    </r>
    <rPh sb="0" eb="2">
      <t>リキリツ</t>
    </rPh>
    <phoneticPr fontId="1"/>
  </si>
  <si>
    <r>
      <rPr>
        <sz val="9"/>
        <rFont val="Meiryo UI"/>
        <family val="3"/>
        <charset val="128"/>
      </rPr>
      <t>SR／SC</t>
    </r>
    <r>
      <rPr>
        <sz val="9"/>
        <rFont val="ＭＳ ゴシック"/>
        <family val="3"/>
        <charset val="128"/>
      </rPr>
      <t>：</t>
    </r>
    <r>
      <rPr>
        <sz val="9"/>
        <color rgb="FF0000FF"/>
        <rFont val="Meiryo UI"/>
        <family val="3"/>
        <charset val="128"/>
      </rPr>
      <t>６％</t>
    </r>
    <phoneticPr fontId="1"/>
  </si>
  <si>
    <r>
      <rPr>
        <sz val="9"/>
        <rFont val="Meiryo UI"/>
        <family val="3"/>
        <charset val="128"/>
      </rPr>
      <t>変電設備形体</t>
    </r>
    <r>
      <rPr>
        <sz val="9"/>
        <rFont val="ＭＳ ゴシック"/>
        <family val="3"/>
        <charset val="128"/>
      </rPr>
      <t>：</t>
    </r>
    <r>
      <rPr>
        <sz val="9"/>
        <color rgb="FF0000FF"/>
        <rFont val="Meiryo UI"/>
        <family val="3"/>
        <charset val="128"/>
      </rPr>
      <t>屋外キュービクル受変電設備</t>
    </r>
    <rPh sb="0" eb="2">
      <t>ヘンデン</t>
    </rPh>
    <rPh sb="2" eb="4">
      <t>セツビ</t>
    </rPh>
    <rPh sb="4" eb="6">
      <t>ケイタイ</t>
    </rPh>
    <phoneticPr fontId="1"/>
  </si>
  <si>
    <r>
      <rPr>
        <sz val="9"/>
        <rFont val="Meiryo UI"/>
        <family val="3"/>
        <charset val="128"/>
      </rPr>
      <t>発電機の用途</t>
    </r>
    <r>
      <rPr>
        <sz val="9"/>
        <rFont val="ＭＳ ゴシック"/>
        <family val="3"/>
        <charset val="128"/>
      </rPr>
      <t>：</t>
    </r>
    <r>
      <rPr>
        <sz val="9"/>
        <color rgb="FF0000FF"/>
        <rFont val="Meiryo UI"/>
        <family val="3"/>
        <charset val="128"/>
      </rPr>
      <t>非常用</t>
    </r>
    <r>
      <rPr>
        <sz val="9"/>
        <color rgb="FFFF0000"/>
        <rFont val="Meiryo UI"/>
        <family val="3"/>
        <charset val="128"/>
      </rPr>
      <t>、</t>
    </r>
    <r>
      <rPr>
        <sz val="9"/>
        <rFont val="Meiryo UI"/>
        <family val="3"/>
        <charset val="128"/>
      </rPr>
      <t>常用　　　型式：屋外型</t>
    </r>
    <rPh sb="0" eb="3">
      <t>ハツデンキ</t>
    </rPh>
    <rPh sb="4" eb="6">
      <t>ヨウト</t>
    </rPh>
    <rPh sb="7" eb="10">
      <t>ヒジョウヨウ</t>
    </rPh>
    <rPh sb="11" eb="13">
      <t>ジョウヨウ</t>
    </rPh>
    <phoneticPr fontId="1"/>
  </si>
  <si>
    <r>
      <rPr>
        <sz val="9"/>
        <rFont val="Meiryo UI"/>
        <family val="3"/>
        <charset val="128"/>
      </rPr>
      <t>騒音レベル</t>
    </r>
    <r>
      <rPr>
        <sz val="9"/>
        <rFont val="ＭＳ ゴシック"/>
        <family val="3"/>
        <charset val="128"/>
      </rPr>
      <t>：</t>
    </r>
    <r>
      <rPr>
        <sz val="9"/>
        <color rgb="FF0000FF"/>
        <rFont val="Meiryo UI"/>
        <family val="3"/>
        <charset val="128"/>
      </rPr>
      <t>低騒音85dB</t>
    </r>
    <rPh sb="0" eb="2">
      <t>ソウオン</t>
    </rPh>
    <phoneticPr fontId="1"/>
  </si>
  <si>
    <r>
      <rPr>
        <sz val="9"/>
        <rFont val="Meiryo UI"/>
        <family val="3"/>
        <charset val="128"/>
      </rPr>
      <t>エンジンの種類</t>
    </r>
    <r>
      <rPr>
        <sz val="9"/>
        <rFont val="HG明朝B"/>
        <family val="1"/>
        <charset val="128"/>
      </rPr>
      <t>：</t>
    </r>
    <r>
      <rPr>
        <sz val="9"/>
        <color rgb="FF0000FF"/>
        <rFont val="Meiryo UI"/>
        <family val="3"/>
        <charset val="128"/>
      </rPr>
      <t>ディーゼル・エンジン</t>
    </r>
    <rPh sb="5" eb="7">
      <t>シュルイ</t>
    </rPh>
    <phoneticPr fontId="1"/>
  </si>
  <si>
    <r>
      <rPr>
        <sz val="9"/>
        <rFont val="Meiryo UI"/>
        <family val="3"/>
        <charset val="128"/>
      </rPr>
      <t>配線工事</t>
    </r>
    <r>
      <rPr>
        <sz val="9"/>
        <rFont val="ＭＳ ゴシック"/>
        <family val="3"/>
        <charset val="128"/>
      </rPr>
      <t>：</t>
    </r>
    <r>
      <rPr>
        <sz val="9"/>
        <color rgb="FF0000FF"/>
        <rFont val="Meiryo UI"/>
        <family val="3"/>
        <charset val="128"/>
      </rPr>
      <t>ケーブル配線工事</t>
    </r>
    <r>
      <rPr>
        <sz val="9"/>
        <rFont val="ＭＳ ゴシック"/>
        <family val="3"/>
        <charset val="128"/>
      </rPr>
      <t>、</t>
    </r>
    <r>
      <rPr>
        <sz val="9"/>
        <rFont val="Meiryo UI"/>
        <family val="3"/>
        <charset val="128"/>
      </rPr>
      <t>管内入線工事</t>
    </r>
    <rPh sb="0" eb="2">
      <t>ハイセン</t>
    </rPh>
    <rPh sb="2" eb="4">
      <t>コウジ</t>
    </rPh>
    <rPh sb="9" eb="11">
      <t>ハイセン</t>
    </rPh>
    <rPh sb="11" eb="13">
      <t>コウジ</t>
    </rPh>
    <rPh sb="14" eb="16">
      <t>カンナイ</t>
    </rPh>
    <rPh sb="16" eb="18">
      <t>ニュウセン</t>
    </rPh>
    <rPh sb="18" eb="20">
      <t>コウジ</t>
    </rPh>
    <phoneticPr fontId="1"/>
  </si>
  <si>
    <r>
      <rPr>
        <sz val="9"/>
        <rFont val="Meiryo UI"/>
        <family val="3"/>
        <charset val="128"/>
      </rPr>
      <t>配管工事</t>
    </r>
    <r>
      <rPr>
        <sz val="9"/>
        <rFont val="ＭＳ ゴシック"/>
        <family val="3"/>
        <charset val="128"/>
      </rPr>
      <t>：</t>
    </r>
    <r>
      <rPr>
        <sz val="9"/>
        <color rgb="FF0000FF"/>
        <rFont val="Meiryo UI"/>
        <family val="3"/>
        <charset val="128"/>
      </rPr>
      <t>ケーブルラック工事(1段)</t>
    </r>
    <r>
      <rPr>
        <sz val="9"/>
        <rFont val="ＭＳ ゴシック"/>
        <family val="3"/>
        <charset val="128"/>
      </rPr>
      <t>、</t>
    </r>
    <r>
      <rPr>
        <sz val="9"/>
        <rFont val="Meiryo UI"/>
        <family val="3"/>
        <charset val="128"/>
      </rPr>
      <t>---〃---(2段)</t>
    </r>
    <r>
      <rPr>
        <sz val="9"/>
        <rFont val="ＭＳ ゴシック"/>
        <family val="3"/>
        <charset val="128"/>
      </rPr>
      <t>、</t>
    </r>
    <r>
      <rPr>
        <sz val="9"/>
        <rFont val="Meiryo UI"/>
        <family val="3"/>
        <charset val="128"/>
      </rPr>
      <t>配管工事</t>
    </r>
    <rPh sb="0" eb="2">
      <t>ハイカン</t>
    </rPh>
    <rPh sb="2" eb="4">
      <t>コウジ</t>
    </rPh>
    <rPh sb="12" eb="14">
      <t>コウジ</t>
    </rPh>
    <rPh sb="16" eb="17">
      <t>ダン</t>
    </rPh>
    <rPh sb="28" eb="29">
      <t>ダン</t>
    </rPh>
    <rPh sb="31" eb="33">
      <t>ハイカン</t>
    </rPh>
    <rPh sb="33" eb="35">
      <t>コウジ</t>
    </rPh>
    <phoneticPr fontId="1"/>
  </si>
  <si>
    <r>
      <rPr>
        <sz val="9"/>
        <rFont val="Meiryo UI"/>
        <family val="3"/>
        <charset val="128"/>
      </rPr>
      <t>冷房設定値</t>
    </r>
    <r>
      <rPr>
        <sz val="9"/>
        <rFont val="ＭＳ ゴシック"/>
        <family val="3"/>
        <charset val="128"/>
      </rPr>
      <t>：</t>
    </r>
    <r>
      <rPr>
        <sz val="9"/>
        <rFont val="Meiryo UI"/>
        <family val="3"/>
        <charset val="128"/>
      </rPr>
      <t xml:space="preserve">温度 </t>
    </r>
    <r>
      <rPr>
        <sz val="9"/>
        <color rgb="FF0000FF"/>
        <rFont val="Meiryo UI"/>
        <family val="3"/>
        <charset val="128"/>
      </rPr>
      <t>27℃</t>
    </r>
    <r>
      <rPr>
        <sz val="9"/>
        <color rgb="FFFF0000"/>
        <rFont val="Meiryo UI"/>
        <family val="3"/>
        <charset val="128"/>
      </rPr>
      <t>　</t>
    </r>
    <r>
      <rPr>
        <sz val="9"/>
        <rFont val="Meiryo UI"/>
        <family val="3"/>
        <charset val="128"/>
      </rPr>
      <t>湿度</t>
    </r>
    <r>
      <rPr>
        <sz val="9"/>
        <color rgb="FFFF0000"/>
        <rFont val="Meiryo UI"/>
        <family val="3"/>
        <charset val="128"/>
      </rPr>
      <t xml:space="preserve"> </t>
    </r>
    <r>
      <rPr>
        <sz val="9"/>
        <color rgb="FF0000FF"/>
        <rFont val="Meiryo UI"/>
        <family val="3"/>
        <charset val="128"/>
      </rPr>
      <t>50％</t>
    </r>
    <rPh sb="0" eb="2">
      <t>レイボウ</t>
    </rPh>
    <rPh sb="2" eb="4">
      <t>セッテイ</t>
    </rPh>
    <rPh sb="4" eb="5">
      <t>チ</t>
    </rPh>
    <rPh sb="6" eb="8">
      <t>オンド</t>
    </rPh>
    <rPh sb="13" eb="15">
      <t>シツド</t>
    </rPh>
    <phoneticPr fontId="1"/>
  </si>
  <si>
    <r>
      <rPr>
        <sz val="9"/>
        <rFont val="Meiryo UI"/>
        <family val="3"/>
        <charset val="128"/>
      </rPr>
      <t>８月の特異日</t>
    </r>
    <r>
      <rPr>
        <sz val="9"/>
        <rFont val="ＭＳ ゴシック"/>
        <family val="3"/>
        <charset val="128"/>
      </rPr>
      <t>：</t>
    </r>
    <r>
      <rPr>
        <sz val="9"/>
        <color rgb="FF0000FF"/>
        <rFont val="Meiryo UI"/>
        <family val="3"/>
        <charset val="128"/>
      </rPr>
      <t>＋3.5 ℃</t>
    </r>
    <rPh sb="1" eb="2">
      <t>ツキ</t>
    </rPh>
    <rPh sb="3" eb="5">
      <t>トクイ</t>
    </rPh>
    <rPh sb="5" eb="6">
      <t>ビ</t>
    </rPh>
    <phoneticPr fontId="1"/>
  </si>
  <si>
    <r>
      <rPr>
        <sz val="9"/>
        <rFont val="Meiryo UI"/>
        <family val="3"/>
        <charset val="128"/>
      </rPr>
      <t>２月の特異日</t>
    </r>
    <r>
      <rPr>
        <sz val="9"/>
        <rFont val="ＭＳ ゴシック"/>
        <family val="3"/>
        <charset val="128"/>
      </rPr>
      <t>：</t>
    </r>
    <r>
      <rPr>
        <sz val="9"/>
        <color rgb="FF0000FF"/>
        <rFont val="Meiryo UI"/>
        <family val="3"/>
        <charset val="128"/>
      </rPr>
      <t>－2.5 ℃</t>
    </r>
    <rPh sb="1" eb="2">
      <t>ツキ</t>
    </rPh>
    <rPh sb="3" eb="5">
      <t>トクイ</t>
    </rPh>
    <rPh sb="5" eb="6">
      <t>ビ</t>
    </rPh>
    <phoneticPr fontId="1"/>
  </si>
  <si>
    <r>
      <rPr>
        <sz val="9"/>
        <rFont val="Meiryo UI"/>
        <family val="3"/>
        <charset val="128"/>
      </rPr>
      <t>暖房設定値</t>
    </r>
    <r>
      <rPr>
        <sz val="9"/>
        <rFont val="ＭＳ ゴシック"/>
        <family val="3"/>
        <charset val="128"/>
      </rPr>
      <t>：</t>
    </r>
    <r>
      <rPr>
        <sz val="9"/>
        <rFont val="Meiryo UI"/>
        <family val="3"/>
        <charset val="128"/>
      </rPr>
      <t>温度</t>
    </r>
    <r>
      <rPr>
        <sz val="9"/>
        <color rgb="FF0000FF"/>
        <rFont val="Meiryo UI"/>
        <family val="3"/>
        <charset val="128"/>
      </rPr>
      <t xml:space="preserve"> 22℃</t>
    </r>
    <r>
      <rPr>
        <sz val="9"/>
        <color rgb="FFFF0000"/>
        <rFont val="Meiryo UI"/>
        <family val="3"/>
        <charset val="128"/>
      </rPr>
      <t>　</t>
    </r>
    <r>
      <rPr>
        <sz val="9"/>
        <rFont val="Meiryo UI"/>
        <family val="3"/>
        <charset val="128"/>
      </rPr>
      <t>湿度</t>
    </r>
    <r>
      <rPr>
        <sz val="9"/>
        <color rgb="FFFF0000"/>
        <rFont val="Meiryo UI"/>
        <family val="3"/>
        <charset val="128"/>
      </rPr>
      <t xml:space="preserve"> </t>
    </r>
    <r>
      <rPr>
        <sz val="9"/>
        <color rgb="FF0000FF"/>
        <rFont val="Meiryo UI"/>
        <family val="3"/>
        <charset val="128"/>
      </rPr>
      <t>70％</t>
    </r>
    <rPh sb="0" eb="2">
      <t>ダンボウ</t>
    </rPh>
    <rPh sb="2" eb="4">
      <t>セッテイ</t>
    </rPh>
    <rPh sb="4" eb="5">
      <t>チ</t>
    </rPh>
    <rPh sb="6" eb="8">
      <t>オンド</t>
    </rPh>
    <rPh sb="13" eb="15">
      <t>シツド</t>
    </rPh>
    <phoneticPr fontId="1"/>
  </si>
  <si>
    <r>
      <rPr>
        <sz val="9"/>
        <rFont val="Meiryo UI"/>
        <family val="3"/>
        <charset val="128"/>
      </rPr>
      <t>空調方式</t>
    </r>
    <r>
      <rPr>
        <sz val="9"/>
        <rFont val="ＭＳ ゴシック"/>
        <family val="3"/>
        <charset val="128"/>
      </rPr>
      <t>：</t>
    </r>
    <r>
      <rPr>
        <sz val="9"/>
        <color rgb="FF0000FF"/>
        <rFont val="Meiryo UI"/>
        <family val="3"/>
        <charset val="128"/>
      </rPr>
      <t>個別空調方式</t>
    </r>
    <r>
      <rPr>
        <sz val="9"/>
        <rFont val="ＭＳ ゴシック"/>
        <family val="3"/>
        <charset val="128"/>
      </rPr>
      <t>、</t>
    </r>
    <r>
      <rPr>
        <sz val="9"/>
        <rFont val="Meiryo UI"/>
        <family val="3"/>
        <charset val="128"/>
      </rPr>
      <t>全体空調方式</t>
    </r>
    <rPh sb="0" eb="2">
      <t>クウチョウ</t>
    </rPh>
    <rPh sb="2" eb="4">
      <t>ホウシキ</t>
    </rPh>
    <rPh sb="5" eb="7">
      <t>コベツ</t>
    </rPh>
    <rPh sb="7" eb="9">
      <t>クウチョウ</t>
    </rPh>
    <rPh sb="9" eb="11">
      <t>ホウシキ</t>
    </rPh>
    <rPh sb="12" eb="14">
      <t>ゼンタイ</t>
    </rPh>
    <rPh sb="14" eb="16">
      <t>クウチョウ</t>
    </rPh>
    <rPh sb="16" eb="18">
      <t>ホウシキ</t>
    </rPh>
    <phoneticPr fontId="1"/>
  </si>
  <si>
    <r>
      <rPr>
        <sz val="9"/>
        <rFont val="Meiryo UI"/>
        <family val="3"/>
        <charset val="128"/>
      </rPr>
      <t>配線工事</t>
    </r>
    <r>
      <rPr>
        <sz val="9"/>
        <rFont val="ＭＳ ゴシック"/>
        <family val="3"/>
        <charset val="128"/>
      </rPr>
      <t>：</t>
    </r>
    <r>
      <rPr>
        <sz val="9"/>
        <color rgb="FF0000FF"/>
        <rFont val="Meiryo UI"/>
        <family val="3"/>
        <charset val="128"/>
      </rPr>
      <t>天井ケーブル</t>
    </r>
    <r>
      <rPr>
        <sz val="9"/>
        <rFont val="ＭＳ ゴシック"/>
        <family val="3"/>
        <charset val="128"/>
      </rPr>
      <t>、</t>
    </r>
    <r>
      <rPr>
        <sz val="9"/>
        <rFont val="Meiryo UI"/>
        <family val="3"/>
        <charset val="128"/>
      </rPr>
      <t>管内ケーブル</t>
    </r>
    <r>
      <rPr>
        <sz val="9"/>
        <rFont val="ＭＳ ゴシック"/>
        <family val="3"/>
        <charset val="128"/>
      </rPr>
      <t>、</t>
    </r>
    <r>
      <rPr>
        <sz val="9"/>
        <rFont val="Meiryo UI"/>
        <family val="3"/>
        <charset val="128"/>
      </rPr>
      <t>ケーブルラック</t>
    </r>
    <rPh sb="0" eb="2">
      <t>ハイセン</t>
    </rPh>
    <rPh sb="2" eb="4">
      <t>コウジ</t>
    </rPh>
    <rPh sb="5" eb="7">
      <t>テンジョウ</t>
    </rPh>
    <rPh sb="12" eb="14">
      <t>カンナイ</t>
    </rPh>
    <phoneticPr fontId="1"/>
  </si>
  <si>
    <r>
      <rPr>
        <sz val="9"/>
        <rFont val="Meiryo UI"/>
        <family val="3"/>
        <charset val="128"/>
      </rPr>
      <t>配管工事</t>
    </r>
    <r>
      <rPr>
        <sz val="9"/>
        <rFont val="ＭＳ ゴシック"/>
        <family val="3"/>
        <charset val="128"/>
      </rPr>
      <t>：</t>
    </r>
    <r>
      <rPr>
        <sz val="9"/>
        <color rgb="FF0000FF"/>
        <rFont val="Meiryo UI"/>
        <family val="3"/>
        <charset val="128"/>
      </rPr>
      <t>C管</t>
    </r>
    <r>
      <rPr>
        <sz val="9"/>
        <rFont val="ＭＳ ゴシック"/>
        <family val="3"/>
        <charset val="128"/>
      </rPr>
      <t>、</t>
    </r>
    <r>
      <rPr>
        <sz val="9"/>
        <rFont val="Meiryo UI"/>
        <family val="3"/>
        <charset val="128"/>
      </rPr>
      <t>G管</t>
    </r>
    <r>
      <rPr>
        <sz val="9"/>
        <rFont val="ＭＳ ゴシック"/>
        <family val="3"/>
        <charset val="128"/>
      </rPr>
      <t>、</t>
    </r>
    <r>
      <rPr>
        <sz val="9"/>
        <rFont val="Meiryo UI"/>
        <family val="3"/>
        <charset val="128"/>
      </rPr>
      <t>E管</t>
    </r>
    <r>
      <rPr>
        <sz val="9"/>
        <rFont val="ＭＳ ゴシック"/>
        <family val="3"/>
        <charset val="128"/>
      </rPr>
      <t>、</t>
    </r>
    <r>
      <rPr>
        <sz val="9"/>
        <rFont val="Meiryo UI"/>
        <family val="3"/>
        <charset val="128"/>
      </rPr>
      <t>PF管</t>
    </r>
    <r>
      <rPr>
        <sz val="9"/>
        <rFont val="ＭＳ ゴシック"/>
        <family val="3"/>
        <charset val="128"/>
      </rPr>
      <t>、</t>
    </r>
    <r>
      <rPr>
        <sz val="9"/>
        <rFont val="Meiryo UI"/>
        <family val="3"/>
        <charset val="128"/>
      </rPr>
      <t>CD管</t>
    </r>
    <r>
      <rPr>
        <sz val="9"/>
        <rFont val="ＭＳ ゴシック"/>
        <family val="3"/>
        <charset val="128"/>
      </rPr>
      <t>、</t>
    </r>
    <r>
      <rPr>
        <sz val="9"/>
        <rFont val="Meiryo UI"/>
        <family val="3"/>
        <charset val="128"/>
      </rPr>
      <t>FEP管</t>
    </r>
    <r>
      <rPr>
        <sz val="9"/>
        <rFont val="ＭＳ ゴシック"/>
        <family val="3"/>
        <charset val="128"/>
      </rPr>
      <t>、</t>
    </r>
    <r>
      <rPr>
        <sz val="9"/>
        <rFont val="Meiryo UI"/>
        <family val="3"/>
        <charset val="128"/>
      </rPr>
      <t>メラミンCR</t>
    </r>
    <rPh sb="0" eb="2">
      <t>ハイカン</t>
    </rPh>
    <rPh sb="2" eb="4">
      <t>コウジ</t>
    </rPh>
    <rPh sb="6" eb="7">
      <t>カン</t>
    </rPh>
    <rPh sb="9" eb="10">
      <t>カン</t>
    </rPh>
    <rPh sb="12" eb="13">
      <t>カン</t>
    </rPh>
    <rPh sb="16" eb="17">
      <t>カン</t>
    </rPh>
    <rPh sb="20" eb="21">
      <t>カン</t>
    </rPh>
    <rPh sb="25" eb="26">
      <t>カン</t>
    </rPh>
    <phoneticPr fontId="1"/>
  </si>
  <si>
    <r>
      <rPr>
        <sz val="9"/>
        <rFont val="Meiryo UI"/>
        <family val="3"/>
        <charset val="128"/>
      </rPr>
      <t>光源の種類</t>
    </r>
    <r>
      <rPr>
        <sz val="9"/>
        <rFont val="ＭＳ ゴシック"/>
        <family val="3"/>
        <charset val="128"/>
      </rPr>
      <t>：</t>
    </r>
    <r>
      <rPr>
        <sz val="9"/>
        <color rgb="FF0000FF"/>
        <rFont val="Meiryo UI"/>
        <family val="3"/>
        <charset val="128"/>
      </rPr>
      <t>FL</t>
    </r>
    <r>
      <rPr>
        <sz val="9"/>
        <rFont val="ＭＳ ゴシック"/>
        <family val="3"/>
        <charset val="128"/>
      </rPr>
      <t>、</t>
    </r>
    <r>
      <rPr>
        <sz val="9"/>
        <rFont val="Meiryo UI"/>
        <family val="3"/>
        <charset val="128"/>
      </rPr>
      <t>LED</t>
    </r>
    <rPh sb="0" eb="2">
      <t>コウゲン</t>
    </rPh>
    <rPh sb="3" eb="5">
      <t>シュルイ</t>
    </rPh>
    <phoneticPr fontId="1"/>
  </si>
  <si>
    <r>
      <rPr>
        <sz val="9"/>
        <rFont val="Meiryo UI"/>
        <family val="3"/>
        <charset val="128"/>
      </rPr>
      <t>照明配線</t>
    </r>
    <r>
      <rPr>
        <sz val="9"/>
        <rFont val="ＭＳ ゴシック"/>
        <family val="3"/>
        <charset val="128"/>
      </rPr>
      <t>：</t>
    </r>
    <r>
      <rPr>
        <sz val="9"/>
        <color rgb="FF0000FF"/>
        <rFont val="Meiryo UI"/>
        <family val="3"/>
        <charset val="128"/>
      </rPr>
      <t>天井ケーブル</t>
    </r>
    <r>
      <rPr>
        <sz val="9"/>
        <rFont val="ＭＳ ゴシック"/>
        <family val="3"/>
        <charset val="128"/>
      </rPr>
      <t>、</t>
    </r>
    <r>
      <rPr>
        <sz val="9"/>
        <rFont val="Meiryo UI"/>
        <family val="3"/>
        <charset val="128"/>
      </rPr>
      <t>天井(PF管)</t>
    </r>
    <r>
      <rPr>
        <sz val="9"/>
        <rFont val="ＭＳ ゴシック"/>
        <family val="3"/>
        <charset val="128"/>
      </rPr>
      <t>、</t>
    </r>
    <r>
      <rPr>
        <sz val="9"/>
        <rFont val="Meiryo UI"/>
        <family val="3"/>
        <charset val="128"/>
      </rPr>
      <t>天井(C管)</t>
    </r>
    <r>
      <rPr>
        <sz val="9"/>
        <rFont val="ＭＳ ゴシック"/>
        <family val="3"/>
        <charset val="128"/>
      </rPr>
      <t>、</t>
    </r>
    <r>
      <rPr>
        <sz val="9"/>
        <rFont val="Meiryo UI"/>
        <family val="3"/>
        <charset val="128"/>
      </rPr>
      <t>天井(G管)</t>
    </r>
    <rPh sb="0" eb="2">
      <t>ショウメイ</t>
    </rPh>
    <rPh sb="2" eb="4">
      <t>ハイセン</t>
    </rPh>
    <rPh sb="5" eb="7">
      <t>テンジョウ</t>
    </rPh>
    <rPh sb="12" eb="14">
      <t>テンジョウ</t>
    </rPh>
    <rPh sb="17" eb="18">
      <t>カン</t>
    </rPh>
    <phoneticPr fontId="1"/>
  </si>
  <si>
    <r>
      <rPr>
        <sz val="9"/>
        <rFont val="Meiryo UI"/>
        <family val="3"/>
        <charset val="128"/>
      </rPr>
      <t>差込配線</t>
    </r>
    <r>
      <rPr>
        <sz val="9"/>
        <rFont val="ＭＳ ゴシック"/>
        <family val="3"/>
        <charset val="128"/>
      </rPr>
      <t>：</t>
    </r>
    <r>
      <rPr>
        <sz val="9"/>
        <rFont val="Meiryo UI"/>
        <family val="3"/>
        <charset val="128"/>
      </rPr>
      <t>天井ケーブル</t>
    </r>
    <r>
      <rPr>
        <sz val="9"/>
        <rFont val="ＭＳ ゴシック"/>
        <family val="3"/>
        <charset val="128"/>
      </rPr>
      <t>、</t>
    </r>
    <r>
      <rPr>
        <sz val="9"/>
        <rFont val="Meiryo UI"/>
        <family val="3"/>
        <charset val="128"/>
      </rPr>
      <t>天井(PF管)</t>
    </r>
    <r>
      <rPr>
        <sz val="9"/>
        <rFont val="ＭＳ ゴシック"/>
        <family val="3"/>
        <charset val="128"/>
      </rPr>
      <t>、</t>
    </r>
    <r>
      <rPr>
        <sz val="9"/>
        <rFont val="Meiryo UI"/>
        <family val="3"/>
        <charset val="128"/>
      </rPr>
      <t>天井(C管)</t>
    </r>
    <r>
      <rPr>
        <sz val="9"/>
        <rFont val="ＭＳ ゴシック"/>
        <family val="3"/>
        <charset val="128"/>
      </rPr>
      <t>、</t>
    </r>
    <r>
      <rPr>
        <sz val="9"/>
        <rFont val="Meiryo UI"/>
        <family val="3"/>
        <charset val="128"/>
      </rPr>
      <t>天井(G管)</t>
    </r>
    <r>
      <rPr>
        <sz val="9"/>
        <rFont val="ＭＳ ゴシック"/>
        <family val="3"/>
        <charset val="128"/>
      </rPr>
      <t>、</t>
    </r>
    <r>
      <rPr>
        <sz val="9"/>
        <color rgb="FF0000FF"/>
        <rFont val="ＭＳ ゴシック"/>
        <family val="3"/>
        <charset val="128"/>
      </rPr>
      <t>床</t>
    </r>
    <r>
      <rPr>
        <sz val="9"/>
        <color rgb="FF0000FF"/>
        <rFont val="Meiryo UI"/>
        <family val="3"/>
        <charset val="128"/>
      </rPr>
      <t>(CD管)</t>
    </r>
    <r>
      <rPr>
        <sz val="9"/>
        <rFont val="ＭＳ ゴシック"/>
        <family val="3"/>
        <charset val="128"/>
      </rPr>
      <t>、床</t>
    </r>
    <r>
      <rPr>
        <sz val="9"/>
        <rFont val="Meiryo UI"/>
        <family val="3"/>
        <charset val="128"/>
      </rPr>
      <t>(C</t>
    </r>
    <r>
      <rPr>
        <sz val="9"/>
        <rFont val="ＭＳ ゴシック"/>
        <family val="3"/>
        <charset val="128"/>
      </rPr>
      <t>管</t>
    </r>
    <r>
      <rPr>
        <sz val="9"/>
        <rFont val="Meiryo UI"/>
        <family val="3"/>
        <charset val="128"/>
      </rPr>
      <t>)</t>
    </r>
    <r>
      <rPr>
        <sz val="9"/>
        <rFont val="ＭＳ ゴシック"/>
        <family val="3"/>
        <charset val="128"/>
      </rPr>
      <t>、</t>
    </r>
    <r>
      <rPr>
        <sz val="9"/>
        <rFont val="Meiryo UI"/>
        <family val="3"/>
        <charset val="128"/>
      </rPr>
      <t>床(G管)</t>
    </r>
    <rPh sb="0" eb="2">
      <t>サシコミ</t>
    </rPh>
    <rPh sb="2" eb="4">
      <t>ハイセン</t>
    </rPh>
    <rPh sb="5" eb="7">
      <t>テンジョウ</t>
    </rPh>
    <rPh sb="12" eb="14">
      <t>テンジョウ</t>
    </rPh>
    <rPh sb="17" eb="18">
      <t>カン</t>
    </rPh>
    <rPh sb="34" eb="35">
      <t>ユカ</t>
    </rPh>
    <rPh sb="38" eb="39">
      <t>カン</t>
    </rPh>
    <phoneticPr fontId="1"/>
  </si>
  <si>
    <r>
      <rPr>
        <sz val="9"/>
        <rFont val="Meiryo UI"/>
        <family val="3"/>
        <charset val="128"/>
      </rPr>
      <t>電気方式</t>
    </r>
    <r>
      <rPr>
        <sz val="9"/>
        <rFont val="ＭＳ ゴシック"/>
        <family val="3"/>
        <charset val="128"/>
      </rPr>
      <t>：</t>
    </r>
    <r>
      <rPr>
        <sz val="9"/>
        <color rgb="FF0000FF"/>
        <rFont val="Meiryo UI"/>
        <family val="3"/>
        <charset val="128"/>
      </rPr>
      <t>1φ3W</t>
    </r>
    <r>
      <rPr>
        <sz val="9"/>
        <rFont val="ＭＳ ゴシック"/>
        <family val="3"/>
        <charset val="128"/>
      </rPr>
      <t>、</t>
    </r>
    <r>
      <rPr>
        <sz val="9"/>
        <rFont val="Meiryo UI"/>
        <family val="3"/>
        <charset val="128"/>
      </rPr>
      <t>3φ4W</t>
    </r>
    <r>
      <rPr>
        <sz val="9"/>
        <rFont val="ＭＳ ゴシック"/>
        <family val="3"/>
        <charset val="128"/>
      </rPr>
      <t>、</t>
    </r>
    <r>
      <rPr>
        <sz val="9"/>
        <color rgb="FF0000FF"/>
        <rFont val="Meiryo UI"/>
        <family val="3"/>
        <charset val="128"/>
      </rPr>
      <t>210/105V</t>
    </r>
    <r>
      <rPr>
        <sz val="9"/>
        <rFont val="ＭＳ ゴシック"/>
        <family val="3"/>
        <charset val="128"/>
      </rPr>
      <t>、</t>
    </r>
    <r>
      <rPr>
        <sz val="9"/>
        <rFont val="Meiryo UI"/>
        <family val="3"/>
        <charset val="128"/>
      </rPr>
      <t>380/219V</t>
    </r>
    <r>
      <rPr>
        <sz val="9"/>
        <rFont val="ＭＳ ゴシック"/>
        <family val="3"/>
        <charset val="128"/>
      </rPr>
      <t>、</t>
    </r>
    <r>
      <rPr>
        <sz val="9"/>
        <rFont val="Meiryo UI"/>
        <family val="3"/>
        <charset val="128"/>
      </rPr>
      <t>400/231V</t>
    </r>
    <r>
      <rPr>
        <sz val="9"/>
        <rFont val="ＭＳ ゴシック"/>
        <family val="3"/>
        <charset val="128"/>
      </rPr>
      <t>、</t>
    </r>
    <r>
      <rPr>
        <sz val="9"/>
        <rFont val="Meiryo UI"/>
        <family val="3"/>
        <charset val="128"/>
      </rPr>
      <t>420/242V</t>
    </r>
    <r>
      <rPr>
        <sz val="9"/>
        <rFont val="ＭＳ ゴシック"/>
        <family val="3"/>
        <charset val="128"/>
      </rPr>
      <t>、</t>
    </r>
    <r>
      <rPr>
        <sz val="9"/>
        <rFont val="Meiryo UI"/>
        <family val="3"/>
        <charset val="128"/>
      </rPr>
      <t>440/254V</t>
    </r>
    <r>
      <rPr>
        <sz val="9"/>
        <rFont val="ＭＳ ゴシック"/>
        <family val="3"/>
        <charset val="128"/>
      </rPr>
      <t>、</t>
    </r>
    <r>
      <rPr>
        <sz val="9"/>
        <rFont val="Meiryo UI"/>
        <family val="3"/>
        <charset val="128"/>
      </rPr>
      <t>460/266V</t>
    </r>
    <rPh sb="0" eb="2">
      <t>デンキ</t>
    </rPh>
    <rPh sb="2" eb="4">
      <t>ホウシキ</t>
    </rPh>
    <phoneticPr fontId="1"/>
  </si>
  <si>
    <r>
      <t>専用回路：</t>
    </r>
    <r>
      <rPr>
        <sz val="9"/>
        <color rgb="FF0000FF"/>
        <rFont val="Meiryo UI"/>
        <family val="3"/>
        <charset val="128"/>
      </rPr>
      <t>1.0 KVA</t>
    </r>
    <r>
      <rPr>
        <sz val="9"/>
        <rFont val="ＭＳ ゴシック"/>
        <family val="3"/>
        <charset val="128"/>
      </rPr>
      <t>、差込</t>
    </r>
    <r>
      <rPr>
        <sz val="9"/>
        <rFont val="Meiryo UI"/>
        <family val="3"/>
        <charset val="128"/>
      </rPr>
      <t>(一般)回路：</t>
    </r>
    <r>
      <rPr>
        <sz val="9"/>
        <color rgb="FF0000FF"/>
        <rFont val="Meiryo UI"/>
        <family val="3"/>
        <charset val="128"/>
      </rPr>
      <t>0.2 KVA</t>
    </r>
    <r>
      <rPr>
        <sz val="9"/>
        <rFont val="ＭＳ ゴシック"/>
        <family val="3"/>
        <charset val="128"/>
      </rPr>
      <t>、差込</t>
    </r>
    <r>
      <rPr>
        <sz val="9"/>
        <rFont val="Meiryo UI"/>
        <family val="3"/>
        <charset val="128"/>
      </rPr>
      <t>(専用)回路：</t>
    </r>
    <r>
      <rPr>
        <sz val="9"/>
        <color rgb="FF0000FF"/>
        <rFont val="Meiryo UI"/>
        <family val="3"/>
        <charset val="128"/>
      </rPr>
      <t>1.2 KVA</t>
    </r>
    <rPh sb="0" eb="2">
      <t>センヨウ</t>
    </rPh>
    <rPh sb="2" eb="4">
      <t>カイロ</t>
    </rPh>
    <rPh sb="13" eb="15">
      <t>サシコミ</t>
    </rPh>
    <rPh sb="16" eb="18">
      <t>イッパン</t>
    </rPh>
    <rPh sb="19" eb="21">
      <t>カイロ</t>
    </rPh>
    <rPh sb="30" eb="32">
      <t>サシコミ</t>
    </rPh>
    <rPh sb="33" eb="35">
      <t>センヨウ</t>
    </rPh>
    <rPh sb="36" eb="38">
      <t>カイロ</t>
    </rPh>
    <phoneticPr fontId="1"/>
  </si>
  <si>
    <r>
      <rPr>
        <sz val="9"/>
        <rFont val="Meiryo UI"/>
        <family val="3"/>
        <charset val="128"/>
      </rPr>
      <t>差込回路の力率</t>
    </r>
    <r>
      <rPr>
        <sz val="9"/>
        <rFont val="ＭＳ ゴシック"/>
        <family val="3"/>
        <charset val="128"/>
      </rPr>
      <t>：</t>
    </r>
    <r>
      <rPr>
        <sz val="9"/>
        <color rgb="FF0000FF"/>
        <rFont val="Meiryo UI"/>
        <family val="3"/>
        <charset val="128"/>
      </rPr>
      <t xml:space="preserve">0.6 </t>
    </r>
    <r>
      <rPr>
        <sz val="9"/>
        <rFont val="Meiryo UI"/>
        <family val="3"/>
        <charset val="128"/>
      </rPr>
      <t>(遅れ)</t>
    </r>
    <rPh sb="0" eb="2">
      <t>サシコミ</t>
    </rPh>
    <rPh sb="2" eb="4">
      <t>カイロ</t>
    </rPh>
    <rPh sb="5" eb="7">
      <t>リキリツ</t>
    </rPh>
    <rPh sb="13" eb="14">
      <t>オク</t>
    </rPh>
    <phoneticPr fontId="1"/>
  </si>
  <si>
    <r>
      <rPr>
        <sz val="9"/>
        <rFont val="Meiryo UI"/>
        <family val="3"/>
        <charset val="128"/>
      </rPr>
      <t>自火報配線</t>
    </r>
    <r>
      <rPr>
        <sz val="9"/>
        <rFont val="ＭＳ ゴシック"/>
        <family val="3"/>
        <charset val="128"/>
      </rPr>
      <t>：</t>
    </r>
    <r>
      <rPr>
        <sz val="9"/>
        <color rgb="FF0000FF"/>
        <rFont val="Meiryo UI"/>
        <family val="3"/>
        <charset val="128"/>
      </rPr>
      <t>天井ケーブル</t>
    </r>
    <r>
      <rPr>
        <sz val="9"/>
        <rFont val="ＭＳ ゴシック"/>
        <family val="3"/>
        <charset val="128"/>
      </rPr>
      <t>、</t>
    </r>
    <r>
      <rPr>
        <sz val="9"/>
        <rFont val="Meiryo UI"/>
        <family val="3"/>
        <charset val="128"/>
      </rPr>
      <t>天井(PF管)</t>
    </r>
    <r>
      <rPr>
        <sz val="9"/>
        <rFont val="ＭＳ ゴシック"/>
        <family val="3"/>
        <charset val="128"/>
      </rPr>
      <t>、</t>
    </r>
    <r>
      <rPr>
        <sz val="9"/>
        <rFont val="Meiryo UI"/>
        <family val="3"/>
        <charset val="128"/>
      </rPr>
      <t>天井(CD管)</t>
    </r>
    <r>
      <rPr>
        <sz val="9"/>
        <rFont val="ＭＳ ゴシック"/>
        <family val="3"/>
        <charset val="128"/>
      </rPr>
      <t>、</t>
    </r>
    <r>
      <rPr>
        <sz val="9"/>
        <rFont val="Meiryo UI"/>
        <family val="3"/>
        <charset val="128"/>
      </rPr>
      <t>天井(C管)</t>
    </r>
    <r>
      <rPr>
        <sz val="9"/>
        <rFont val="ＭＳ ゴシック"/>
        <family val="3"/>
        <charset val="128"/>
      </rPr>
      <t>、</t>
    </r>
    <r>
      <rPr>
        <sz val="9"/>
        <rFont val="Meiryo UI"/>
        <family val="3"/>
        <charset val="128"/>
      </rPr>
      <t>天井(G管)</t>
    </r>
    <rPh sb="0" eb="3">
      <t>ジカホウ</t>
    </rPh>
    <rPh sb="3" eb="5">
      <t>ハイセン</t>
    </rPh>
    <rPh sb="6" eb="8">
      <t>テンジョウ</t>
    </rPh>
    <rPh sb="13" eb="15">
      <t>テンジョウ</t>
    </rPh>
    <rPh sb="18" eb="19">
      <t>カン</t>
    </rPh>
    <phoneticPr fontId="1"/>
  </si>
  <si>
    <r>
      <rPr>
        <sz val="9"/>
        <rFont val="Meiryo UI"/>
        <family val="3"/>
        <charset val="128"/>
      </rPr>
      <t>複合盤の設置階</t>
    </r>
    <r>
      <rPr>
        <sz val="9"/>
        <rFont val="ＭＳ ゴシック"/>
        <family val="3"/>
        <charset val="128"/>
      </rPr>
      <t>：</t>
    </r>
    <r>
      <rPr>
        <sz val="9"/>
        <color rgb="FF0000FF"/>
        <rFont val="Meiryo UI"/>
        <family val="3"/>
        <charset val="128"/>
      </rPr>
      <t>１階</t>
    </r>
    <rPh sb="0" eb="2">
      <t>フクゴウ</t>
    </rPh>
    <rPh sb="2" eb="3">
      <t>バン</t>
    </rPh>
    <rPh sb="4" eb="6">
      <t>セッチ</t>
    </rPh>
    <rPh sb="6" eb="7">
      <t>カイ</t>
    </rPh>
    <rPh sb="9" eb="10">
      <t>カイ</t>
    </rPh>
    <phoneticPr fontId="1"/>
  </si>
  <si>
    <r>
      <rPr>
        <sz val="9"/>
        <rFont val="Meiryo UI"/>
        <family val="3"/>
        <charset val="128"/>
      </rPr>
      <t>防排煙配線</t>
    </r>
    <r>
      <rPr>
        <sz val="9"/>
        <rFont val="ＭＳ ゴシック"/>
        <family val="3"/>
        <charset val="128"/>
      </rPr>
      <t>：</t>
    </r>
    <r>
      <rPr>
        <sz val="9"/>
        <rFont val="Meiryo UI"/>
        <family val="3"/>
        <charset val="128"/>
      </rPr>
      <t>天井ケーブル</t>
    </r>
    <r>
      <rPr>
        <sz val="9"/>
        <rFont val="ＭＳ ゴシック"/>
        <family val="3"/>
        <charset val="128"/>
      </rPr>
      <t>、</t>
    </r>
    <r>
      <rPr>
        <sz val="9"/>
        <rFont val="Meiryo UI"/>
        <family val="3"/>
        <charset val="128"/>
      </rPr>
      <t>天井(PF管)</t>
    </r>
    <r>
      <rPr>
        <sz val="9"/>
        <rFont val="ＭＳ ゴシック"/>
        <family val="3"/>
        <charset val="128"/>
      </rPr>
      <t>、</t>
    </r>
    <r>
      <rPr>
        <sz val="9"/>
        <rFont val="Meiryo UI"/>
        <family val="3"/>
        <charset val="128"/>
      </rPr>
      <t>天井(CD管)</t>
    </r>
    <r>
      <rPr>
        <sz val="9"/>
        <rFont val="ＭＳ ゴシック"/>
        <family val="3"/>
        <charset val="128"/>
      </rPr>
      <t>、</t>
    </r>
    <r>
      <rPr>
        <sz val="9"/>
        <color rgb="FF0000FF"/>
        <rFont val="Meiryo UI"/>
        <family val="3"/>
        <charset val="128"/>
      </rPr>
      <t>天井(C管)</t>
    </r>
    <r>
      <rPr>
        <sz val="9"/>
        <rFont val="ＭＳ ゴシック"/>
        <family val="3"/>
        <charset val="128"/>
      </rPr>
      <t>、</t>
    </r>
    <r>
      <rPr>
        <sz val="9"/>
        <rFont val="Meiryo UI"/>
        <family val="3"/>
        <charset val="128"/>
      </rPr>
      <t>天井(G管)</t>
    </r>
    <rPh sb="0" eb="3">
      <t>ボウハイエン</t>
    </rPh>
    <rPh sb="3" eb="5">
      <t>ハイセン</t>
    </rPh>
    <rPh sb="6" eb="8">
      <t>テンジョウ</t>
    </rPh>
    <rPh sb="13" eb="15">
      <t>テンジョウ</t>
    </rPh>
    <rPh sb="18" eb="19">
      <t>カン</t>
    </rPh>
    <phoneticPr fontId="1"/>
  </si>
  <si>
    <r>
      <rPr>
        <sz val="9"/>
        <rFont val="Meiryo UI"/>
        <family val="3"/>
        <charset val="128"/>
      </rPr>
      <t>施工方法</t>
    </r>
    <r>
      <rPr>
        <sz val="9"/>
        <rFont val="ＭＳ ゴシック"/>
        <family val="3"/>
        <charset val="128"/>
      </rPr>
      <t>：</t>
    </r>
    <r>
      <rPr>
        <sz val="9"/>
        <rFont val="Meiryo UI"/>
        <family val="3"/>
        <charset val="128"/>
      </rPr>
      <t>引下導線</t>
    </r>
    <r>
      <rPr>
        <sz val="9"/>
        <rFont val="ＭＳ ゴシック"/>
        <family val="3"/>
        <charset val="128"/>
      </rPr>
      <t>、</t>
    </r>
    <r>
      <rPr>
        <sz val="9"/>
        <color rgb="FF0000FF"/>
        <rFont val="Meiryo UI"/>
        <family val="3"/>
        <charset val="128"/>
      </rPr>
      <t>簡略法</t>
    </r>
    <rPh sb="0" eb="2">
      <t>セコウ</t>
    </rPh>
    <rPh sb="2" eb="4">
      <t>ホウホウ</t>
    </rPh>
    <rPh sb="5" eb="7">
      <t>ヒキサゲ</t>
    </rPh>
    <rPh sb="7" eb="9">
      <t>ドウセン</t>
    </rPh>
    <rPh sb="10" eb="12">
      <t>カンリャク</t>
    </rPh>
    <rPh sb="12" eb="13">
      <t>ホウ</t>
    </rPh>
    <phoneticPr fontId="1"/>
  </si>
  <si>
    <r>
      <rPr>
        <sz val="9"/>
        <rFont val="Meiryo UI"/>
        <family val="3"/>
        <charset val="128"/>
      </rPr>
      <t>導線</t>
    </r>
    <r>
      <rPr>
        <sz val="9"/>
        <rFont val="ＭＳ ゴシック"/>
        <family val="3"/>
        <charset val="128"/>
      </rPr>
      <t>：</t>
    </r>
    <r>
      <rPr>
        <sz val="9"/>
        <color rgb="FF0000FF"/>
        <rFont val="Meiryo UI"/>
        <family val="3"/>
        <charset val="128"/>
      </rPr>
      <t>13/2.0mm</t>
    </r>
    <r>
      <rPr>
        <sz val="9"/>
        <rFont val="ＭＳ ゴシック"/>
        <family val="3"/>
        <charset val="128"/>
      </rPr>
      <t>、</t>
    </r>
    <r>
      <rPr>
        <sz val="9"/>
        <rFont val="Meiryo UI"/>
        <family val="3"/>
        <charset val="128"/>
      </rPr>
      <t>19/2.0mm</t>
    </r>
    <rPh sb="0" eb="2">
      <t>ドウセン</t>
    </rPh>
    <phoneticPr fontId="1"/>
  </si>
  <si>
    <r>
      <rPr>
        <sz val="9"/>
        <rFont val="Meiryo UI"/>
        <family val="3"/>
        <charset val="128"/>
      </rPr>
      <t>受信方式</t>
    </r>
    <r>
      <rPr>
        <sz val="9"/>
        <rFont val="ＭＳ ゴシック"/>
        <family val="3"/>
        <charset val="128"/>
      </rPr>
      <t>：</t>
    </r>
    <r>
      <rPr>
        <sz val="9"/>
        <color rgb="FF0000FF"/>
        <rFont val="Meiryo UI"/>
        <family val="3"/>
        <charset val="128"/>
      </rPr>
      <t>共聴アンテナ</t>
    </r>
    <r>
      <rPr>
        <sz val="9"/>
        <rFont val="ＭＳ ゴシック"/>
        <family val="3"/>
        <charset val="128"/>
      </rPr>
      <t>、</t>
    </r>
    <r>
      <rPr>
        <sz val="9"/>
        <rFont val="Meiryo UI"/>
        <family val="3"/>
        <charset val="128"/>
      </rPr>
      <t>CATV</t>
    </r>
    <rPh sb="0" eb="2">
      <t>ジュシン</t>
    </rPh>
    <rPh sb="2" eb="4">
      <t>ホウシキ</t>
    </rPh>
    <rPh sb="5" eb="6">
      <t>トモ</t>
    </rPh>
    <rPh sb="6" eb="7">
      <t>チョウ</t>
    </rPh>
    <phoneticPr fontId="1"/>
  </si>
  <si>
    <r>
      <rPr>
        <sz val="9"/>
        <rFont val="Meiryo UI"/>
        <family val="3"/>
        <charset val="128"/>
      </rPr>
      <t>受信電界強度[dBμV/m]</t>
    </r>
    <r>
      <rPr>
        <sz val="9"/>
        <rFont val="ＭＳ ゴシック"/>
        <family val="3"/>
        <charset val="128"/>
      </rPr>
      <t>　</t>
    </r>
    <r>
      <rPr>
        <sz val="9"/>
        <rFont val="Meiryo UI"/>
        <family val="3"/>
        <charset val="128"/>
      </rPr>
      <t>共聴アンテナ：</t>
    </r>
    <r>
      <rPr>
        <sz val="9"/>
        <color rgb="FF0000FF"/>
        <rFont val="Meiryo UI"/>
        <family val="3"/>
        <charset val="128"/>
      </rPr>
      <t>65</t>
    </r>
    <r>
      <rPr>
        <sz val="9"/>
        <rFont val="Meiryo UI"/>
        <family val="3"/>
        <charset val="128"/>
      </rPr>
      <t>[dBμV]  CATV：</t>
    </r>
    <r>
      <rPr>
        <sz val="9"/>
        <color rgb="FF0000FF"/>
        <rFont val="Meiryo UI"/>
        <family val="3"/>
        <charset val="128"/>
      </rPr>
      <t>75</t>
    </r>
    <r>
      <rPr>
        <sz val="9"/>
        <rFont val="Meiryo UI"/>
        <family val="3"/>
        <charset val="128"/>
      </rPr>
      <t>[dB</t>
    </r>
    <r>
      <rPr>
        <sz val="9"/>
        <rFont val="ＭＳ ゴシック"/>
        <family val="3"/>
        <charset val="128"/>
      </rPr>
      <t>μ</t>
    </r>
    <r>
      <rPr>
        <sz val="9"/>
        <rFont val="Meiryo UI"/>
        <family val="3"/>
        <charset val="128"/>
      </rPr>
      <t>V]</t>
    </r>
    <rPh sb="0" eb="2">
      <t>ジュシン</t>
    </rPh>
    <rPh sb="2" eb="4">
      <t>デンカイ</t>
    </rPh>
    <rPh sb="4" eb="6">
      <t>キョウド</t>
    </rPh>
    <rPh sb="15" eb="16">
      <t>トモ</t>
    </rPh>
    <rPh sb="16" eb="17">
      <t>チョウ</t>
    </rPh>
    <phoneticPr fontId="1"/>
  </si>
  <si>
    <r>
      <rPr>
        <sz val="9"/>
        <rFont val="Meiryo UI"/>
        <family val="3"/>
        <charset val="128"/>
      </rPr>
      <t>直列ユニット</t>
    </r>
    <r>
      <rPr>
        <sz val="9"/>
        <rFont val="ＭＳ ゴシック"/>
        <family val="3"/>
        <charset val="128"/>
      </rPr>
      <t>：</t>
    </r>
    <r>
      <rPr>
        <sz val="9"/>
        <color rgb="FF0000FF"/>
        <rFont val="Meiryo UI"/>
        <family val="3"/>
        <charset val="128"/>
      </rPr>
      <t>１端子</t>
    </r>
    <r>
      <rPr>
        <sz val="9"/>
        <rFont val="ＭＳ ゴシック"/>
        <family val="3"/>
        <charset val="128"/>
      </rPr>
      <t>、</t>
    </r>
    <r>
      <rPr>
        <sz val="9"/>
        <rFont val="Meiryo UI"/>
        <family val="3"/>
        <charset val="128"/>
      </rPr>
      <t>２端子</t>
    </r>
    <rPh sb="0" eb="2">
      <t>チョクレツ</t>
    </rPh>
    <rPh sb="8" eb="10">
      <t>タンシ</t>
    </rPh>
    <rPh sb="12" eb="14">
      <t>タンシ</t>
    </rPh>
    <phoneticPr fontId="1"/>
  </si>
  <si>
    <r>
      <rPr>
        <sz val="9"/>
        <rFont val="Meiryo UI"/>
        <family val="3"/>
        <charset val="128"/>
      </rPr>
      <t>TV-Input[dBμV]</t>
    </r>
    <r>
      <rPr>
        <sz val="9"/>
        <rFont val="ＭＳ ゴシック"/>
        <family val="3"/>
        <charset val="128"/>
      </rPr>
      <t>：</t>
    </r>
    <r>
      <rPr>
        <sz val="9"/>
        <rFont val="Meiryo UI"/>
        <family val="3"/>
        <charset val="128"/>
      </rPr>
      <t>50[dBμV]以上；"</t>
    </r>
    <r>
      <rPr>
        <sz val="9"/>
        <color rgb="FF0000FF"/>
        <rFont val="Meiryo UI"/>
        <family val="3"/>
        <charset val="128"/>
      </rPr>
      <t>良</t>
    </r>
    <r>
      <rPr>
        <sz val="9"/>
        <rFont val="Meiryo UI"/>
        <family val="3"/>
        <charset val="128"/>
      </rPr>
      <t>" ／ 50[dBμV]未満；"</t>
    </r>
    <r>
      <rPr>
        <sz val="9"/>
        <color rgb="FF0000FF"/>
        <rFont val="Meiryo UI"/>
        <family val="3"/>
        <charset val="128"/>
      </rPr>
      <t>非</t>
    </r>
    <r>
      <rPr>
        <sz val="9"/>
        <rFont val="Meiryo UI"/>
        <family val="3"/>
        <charset val="128"/>
      </rPr>
      <t>"</t>
    </r>
    <rPh sb="23" eb="25">
      <t>イジョウ</t>
    </rPh>
    <rPh sb="27" eb="28">
      <t>リョウ</t>
    </rPh>
    <rPh sb="40" eb="42">
      <t>ミマン</t>
    </rPh>
    <rPh sb="44" eb="45">
      <t>ヒ</t>
    </rPh>
    <phoneticPr fontId="1"/>
  </si>
  <si>
    <r>
      <t>シートNo.[</t>
    </r>
    <r>
      <rPr>
        <sz val="9"/>
        <color rgb="FFC00000"/>
        <rFont val="Meiryo UI"/>
        <family val="3"/>
        <charset val="128"/>
      </rPr>
      <t>低幹</t>
    </r>
    <r>
      <rPr>
        <sz val="9"/>
        <rFont val="Meiryo UI"/>
        <family val="3"/>
        <charset val="128"/>
      </rPr>
      <t>]</t>
    </r>
    <rPh sb="7" eb="8">
      <t>テイ</t>
    </rPh>
    <rPh sb="8" eb="9">
      <t>ミキ</t>
    </rPh>
    <phoneticPr fontId="1"/>
  </si>
  <si>
    <r>
      <t>シートNo.[</t>
    </r>
    <r>
      <rPr>
        <sz val="9"/>
        <color rgb="FFC00000"/>
        <rFont val="Meiryo UI"/>
        <family val="3"/>
        <charset val="128"/>
      </rPr>
      <t>発電</t>
    </r>
    <r>
      <rPr>
        <sz val="9"/>
        <rFont val="Meiryo UI"/>
        <family val="3"/>
        <charset val="128"/>
      </rPr>
      <t>]</t>
    </r>
    <rPh sb="7" eb="9">
      <t>ハツデン</t>
    </rPh>
    <phoneticPr fontId="1"/>
  </si>
  <si>
    <r>
      <t>シートNo.[</t>
    </r>
    <r>
      <rPr>
        <sz val="9"/>
        <color rgb="FFC00000"/>
        <rFont val="Meiryo UI"/>
        <family val="3"/>
        <charset val="128"/>
      </rPr>
      <t>受変</t>
    </r>
    <r>
      <rPr>
        <sz val="9"/>
        <rFont val="Meiryo UI"/>
        <family val="3"/>
        <charset val="128"/>
      </rPr>
      <t>]</t>
    </r>
    <rPh sb="7" eb="8">
      <t>ジュ</t>
    </rPh>
    <rPh sb="8" eb="9">
      <t>ヘン</t>
    </rPh>
    <phoneticPr fontId="1"/>
  </si>
  <si>
    <r>
      <t>シートNo.[</t>
    </r>
    <r>
      <rPr>
        <sz val="9"/>
        <color rgb="FFC00000"/>
        <rFont val="Meiryo UI"/>
        <family val="3"/>
        <charset val="128"/>
      </rPr>
      <t>原価</t>
    </r>
    <r>
      <rPr>
        <sz val="9"/>
        <rFont val="Meiryo UI"/>
        <family val="3"/>
        <charset val="128"/>
      </rPr>
      <t>]</t>
    </r>
    <rPh sb="7" eb="9">
      <t>ゲンカ</t>
    </rPh>
    <phoneticPr fontId="1"/>
  </si>
  <si>
    <r>
      <t>シートNo.[</t>
    </r>
    <r>
      <rPr>
        <sz val="9"/>
        <color rgb="FFC00000"/>
        <rFont val="Meiryo UI"/>
        <family val="3"/>
        <charset val="128"/>
      </rPr>
      <t>提出</t>
    </r>
    <r>
      <rPr>
        <sz val="9"/>
        <rFont val="Meiryo UI"/>
        <family val="3"/>
        <charset val="128"/>
      </rPr>
      <t>]</t>
    </r>
    <rPh sb="7" eb="9">
      <t>テイシュツ</t>
    </rPh>
    <phoneticPr fontId="1"/>
  </si>
  <si>
    <r>
      <t>シートNo.[</t>
    </r>
    <r>
      <rPr>
        <sz val="9"/>
        <color rgb="FFC00000"/>
        <rFont val="Meiryo UI"/>
        <family val="3"/>
        <charset val="128"/>
      </rPr>
      <t>引込</t>
    </r>
    <r>
      <rPr>
        <sz val="9"/>
        <rFont val="Meiryo UI"/>
        <family val="3"/>
        <charset val="128"/>
      </rPr>
      <t>]</t>
    </r>
    <rPh sb="7" eb="9">
      <t>ヒキコミ</t>
    </rPh>
    <phoneticPr fontId="1"/>
  </si>
  <si>
    <r>
      <t>シートNo.[</t>
    </r>
    <r>
      <rPr>
        <sz val="9"/>
        <color rgb="FFC00000"/>
        <rFont val="Meiryo UI"/>
        <family val="3"/>
        <charset val="128"/>
      </rPr>
      <t>動配</t>
    </r>
    <r>
      <rPr>
        <sz val="9"/>
        <rFont val="Meiryo UI"/>
        <family val="3"/>
        <charset val="128"/>
      </rPr>
      <t>]</t>
    </r>
    <rPh sb="7" eb="8">
      <t>ドウ</t>
    </rPh>
    <rPh sb="8" eb="9">
      <t>ハイ</t>
    </rPh>
    <phoneticPr fontId="1"/>
  </si>
  <si>
    <r>
      <t>シートNo.[</t>
    </r>
    <r>
      <rPr>
        <sz val="9"/>
        <color rgb="FFC00000"/>
        <rFont val="Meiryo UI"/>
        <family val="3"/>
        <charset val="128"/>
      </rPr>
      <t>照差</t>
    </r>
    <r>
      <rPr>
        <sz val="9"/>
        <rFont val="Meiryo UI"/>
        <family val="3"/>
        <charset val="128"/>
      </rPr>
      <t>]</t>
    </r>
    <rPh sb="7" eb="8">
      <t>ショウ</t>
    </rPh>
    <rPh sb="8" eb="9">
      <t>サ</t>
    </rPh>
    <phoneticPr fontId="1"/>
  </si>
  <si>
    <r>
      <t>シートNo.[</t>
    </r>
    <r>
      <rPr>
        <sz val="9"/>
        <color rgb="FFC00000"/>
        <rFont val="Meiryo UI"/>
        <family val="3"/>
        <charset val="128"/>
      </rPr>
      <t>火煙</t>
    </r>
    <r>
      <rPr>
        <sz val="9"/>
        <rFont val="Meiryo UI"/>
        <family val="3"/>
        <charset val="128"/>
      </rPr>
      <t>]</t>
    </r>
    <rPh sb="7" eb="8">
      <t>ヒ</t>
    </rPh>
    <rPh sb="8" eb="9">
      <t>ケムリ</t>
    </rPh>
    <phoneticPr fontId="1"/>
  </si>
  <si>
    <r>
      <t>シートNo.[</t>
    </r>
    <r>
      <rPr>
        <sz val="9"/>
        <color rgb="FFC00000"/>
        <rFont val="Meiryo UI"/>
        <family val="3"/>
        <charset val="128"/>
      </rPr>
      <t>雷保</t>
    </r>
    <r>
      <rPr>
        <sz val="9"/>
        <rFont val="Meiryo UI"/>
        <family val="3"/>
        <charset val="128"/>
      </rPr>
      <t>]</t>
    </r>
    <rPh sb="7" eb="8">
      <t>ライ</t>
    </rPh>
    <rPh sb="8" eb="9">
      <t>タモツ</t>
    </rPh>
    <phoneticPr fontId="1"/>
  </si>
  <si>
    <r>
      <t>シートNo.[</t>
    </r>
    <r>
      <rPr>
        <sz val="9"/>
        <color rgb="FFC00000"/>
        <rFont val="Meiryo UI"/>
        <family val="3"/>
        <charset val="128"/>
      </rPr>
      <t>電話</t>
    </r>
    <r>
      <rPr>
        <sz val="9"/>
        <rFont val="Meiryo UI"/>
        <family val="3"/>
        <charset val="128"/>
      </rPr>
      <t>]</t>
    </r>
    <rPh sb="7" eb="9">
      <t>デンワ</t>
    </rPh>
    <phoneticPr fontId="1"/>
  </si>
  <si>
    <r>
      <t>シートNo.[</t>
    </r>
    <r>
      <rPr>
        <sz val="9"/>
        <color rgb="FFC00000"/>
        <rFont val="Meiryo UI"/>
        <family val="3"/>
        <charset val="128"/>
      </rPr>
      <t>放送</t>
    </r>
    <r>
      <rPr>
        <sz val="9"/>
        <rFont val="Meiryo UI"/>
        <family val="3"/>
        <charset val="128"/>
      </rPr>
      <t>]</t>
    </r>
    <rPh sb="7" eb="9">
      <t>ホウソウ</t>
    </rPh>
    <phoneticPr fontId="1"/>
  </si>
  <si>
    <r>
      <t>シートNo.[</t>
    </r>
    <r>
      <rPr>
        <sz val="9"/>
        <color rgb="FFC00000"/>
        <rFont val="Meiryo UI"/>
        <family val="3"/>
        <charset val="128"/>
      </rPr>
      <t>ＴＶ</t>
    </r>
    <r>
      <rPr>
        <sz val="9"/>
        <rFont val="Meiryo UI"/>
        <family val="3"/>
        <charset val="128"/>
      </rPr>
      <t>]</t>
    </r>
    <phoneticPr fontId="1"/>
  </si>
  <si>
    <t>　</t>
  </si>
  <si>
    <r>
      <rPr>
        <sz val="9"/>
        <color rgb="FF0000FF"/>
        <rFont val="HG明朝B"/>
        <family val="1"/>
        <charset val="128"/>
      </rPr>
      <t>　</t>
    </r>
    <r>
      <rPr>
        <sz val="9"/>
        <color rgb="FF0000FF"/>
        <rFont val="Times New Roman"/>
        <family val="1"/>
      </rPr>
      <t>RAM</t>
    </r>
    <r>
      <rPr>
        <sz val="9"/>
        <color rgb="FF0000FF"/>
        <rFont val="HG明朝B"/>
        <family val="1"/>
        <charset val="128"/>
      </rPr>
      <t>：</t>
    </r>
    <r>
      <rPr>
        <sz val="9"/>
        <color rgb="FF0000FF"/>
        <rFont val="Times New Roman"/>
        <family val="1"/>
      </rPr>
      <t xml:space="preserve">300 MB </t>
    </r>
    <r>
      <rPr>
        <sz val="9"/>
        <color rgb="FF0000FF"/>
        <rFont val="HG明朝B"/>
        <family val="1"/>
        <charset val="128"/>
      </rPr>
      <t>以上、　</t>
    </r>
    <r>
      <rPr>
        <sz val="9"/>
        <color rgb="FF0000FF"/>
        <rFont val="Times New Roman"/>
        <family val="1"/>
      </rPr>
      <t>HDD</t>
    </r>
    <r>
      <rPr>
        <sz val="9"/>
        <color rgb="FF0000FF"/>
        <rFont val="HG明朝B"/>
        <family val="1"/>
        <charset val="128"/>
      </rPr>
      <t>：</t>
    </r>
    <r>
      <rPr>
        <sz val="9"/>
        <color rgb="FF0000FF"/>
        <rFont val="Times New Roman"/>
        <family val="1"/>
      </rPr>
      <t xml:space="preserve">500 GB </t>
    </r>
    <r>
      <rPr>
        <sz val="9"/>
        <color rgb="FF0000FF"/>
        <rFont val="HG明朝B"/>
        <family val="1"/>
        <charset val="128"/>
      </rPr>
      <t>以上</t>
    </r>
    <rPh sb="12" eb="14">
      <t>イジョウ</t>
    </rPh>
    <rPh sb="27" eb="29">
      <t>イジョウ</t>
    </rPh>
    <phoneticPr fontId="1"/>
  </si>
  <si>
    <r>
      <rPr>
        <sz val="9"/>
        <rFont val="Meiryo UI"/>
        <family val="3"/>
        <charset val="128"/>
      </rPr>
      <t>ハンドホール</t>
    </r>
    <r>
      <rPr>
        <sz val="9"/>
        <rFont val="ＭＳ ゴシック"/>
        <family val="3"/>
        <charset val="128"/>
      </rPr>
      <t>：</t>
    </r>
    <r>
      <rPr>
        <sz val="9"/>
        <color rgb="FF0000FF"/>
        <rFont val="Meiryo UI"/>
        <family val="3"/>
        <charset val="128"/>
      </rPr>
      <t>KK 750×750×900</t>
    </r>
    <phoneticPr fontId="1"/>
  </si>
  <si>
    <r>
      <t>工事種別：</t>
    </r>
    <r>
      <rPr>
        <sz val="9"/>
        <color rgb="FF0000FF"/>
        <rFont val="ＭＳ ゴシック"/>
        <family val="3"/>
        <charset val="128"/>
      </rPr>
      <t>空配管工事</t>
    </r>
    <r>
      <rPr>
        <sz val="9"/>
        <rFont val="ＭＳ ゴシック"/>
        <family val="3"/>
        <charset val="128"/>
      </rPr>
      <t>、配管配線工事、配管配線機器取付工事</t>
    </r>
    <rPh sb="0" eb="2">
      <t>コウジ</t>
    </rPh>
    <rPh sb="2" eb="4">
      <t>シュベツ</t>
    </rPh>
    <rPh sb="15" eb="17">
      <t>コウジ</t>
    </rPh>
    <rPh sb="26" eb="28">
      <t>コウジ</t>
    </rPh>
    <phoneticPr fontId="1"/>
  </si>
  <si>
    <t>情報端子盤は本工事に含む</t>
    <rPh sb="0" eb="2">
      <t>ジョウホウ</t>
    </rPh>
    <rPh sb="2" eb="5">
      <t>タンシバン</t>
    </rPh>
    <rPh sb="6" eb="9">
      <t>ホンコウジ</t>
    </rPh>
    <rPh sb="10" eb="11">
      <t>フク</t>
    </rPh>
    <phoneticPr fontId="1"/>
  </si>
  <si>
    <r>
      <rPr>
        <sz val="9"/>
        <rFont val="Meiryo UI"/>
        <family val="3"/>
        <charset val="128"/>
      </rPr>
      <t>施工方法</t>
    </r>
    <r>
      <rPr>
        <sz val="9"/>
        <rFont val="ＭＳ ゴシック"/>
        <family val="3"/>
        <charset val="128"/>
      </rPr>
      <t>：</t>
    </r>
    <r>
      <rPr>
        <sz val="9"/>
        <rFont val="Meiryo UI"/>
        <family val="3"/>
        <charset val="128"/>
      </rPr>
      <t>天井ケーブル、天井(PF管)、</t>
    </r>
    <r>
      <rPr>
        <sz val="9"/>
        <color rgb="FF0000FF"/>
        <rFont val="Meiryo UI"/>
        <family val="3"/>
        <charset val="128"/>
      </rPr>
      <t>天井(C管)</t>
    </r>
    <r>
      <rPr>
        <sz val="9"/>
        <rFont val="Meiryo UI"/>
        <family val="3"/>
        <charset val="128"/>
      </rPr>
      <t>、天井(G管)、</t>
    </r>
    <r>
      <rPr>
        <sz val="9"/>
        <color rgb="FF0000FF"/>
        <rFont val="Meiryo UI"/>
        <family val="3"/>
        <charset val="128"/>
      </rPr>
      <t>床(CD管)</t>
    </r>
    <r>
      <rPr>
        <sz val="9"/>
        <rFont val="Meiryo UI"/>
        <family val="3"/>
        <charset val="128"/>
      </rPr>
      <t>、床(C管)、床(G管)</t>
    </r>
    <rPh sb="0" eb="2">
      <t>セコウ</t>
    </rPh>
    <rPh sb="2" eb="4">
      <t>ホウホウ</t>
    </rPh>
    <rPh sb="5" eb="7">
      <t>テンジョウ</t>
    </rPh>
    <phoneticPr fontId="1"/>
  </si>
  <si>
    <r>
      <rPr>
        <sz val="9"/>
        <rFont val="Meiryo UI"/>
        <family val="3"/>
        <charset val="128"/>
      </rPr>
      <t>施工方法</t>
    </r>
    <r>
      <rPr>
        <sz val="9"/>
        <rFont val="ＭＳ ゴシック"/>
        <family val="3"/>
        <charset val="128"/>
      </rPr>
      <t>：</t>
    </r>
    <r>
      <rPr>
        <sz val="9"/>
        <rFont val="Meiryo UI"/>
        <family val="3"/>
        <charset val="128"/>
      </rPr>
      <t>天井ケーブル、天井(PF管)、天井(CD管)、</t>
    </r>
    <r>
      <rPr>
        <sz val="9"/>
        <color rgb="FF0000FF"/>
        <rFont val="Meiryo UI"/>
        <family val="3"/>
        <charset val="128"/>
      </rPr>
      <t>天井(C管)</t>
    </r>
    <r>
      <rPr>
        <sz val="9"/>
        <rFont val="Meiryo UI"/>
        <family val="3"/>
        <charset val="128"/>
      </rPr>
      <t>、天井(G管)</t>
    </r>
    <rPh sb="0" eb="2">
      <t>セコウ</t>
    </rPh>
    <rPh sb="2" eb="4">
      <t>ホウホウ</t>
    </rPh>
    <rPh sb="5" eb="7">
      <t>テンジョウ</t>
    </rPh>
    <phoneticPr fontId="1"/>
  </si>
  <si>
    <t>基本設定</t>
  </si>
  <si>
    <t>Xn・Yn入力</t>
  </si>
  <si>
    <t>工 期</t>
    <phoneticPr fontId="8"/>
  </si>
  <si>
    <t>工 事 名 称</t>
    <phoneticPr fontId="1"/>
  </si>
  <si>
    <t>用 途 地 区</t>
    <phoneticPr fontId="1"/>
  </si>
  <si>
    <t>採用建設物価⇒</t>
    <phoneticPr fontId="1"/>
  </si>
  <si>
    <t>防 火 地 域</t>
    <phoneticPr fontId="1"/>
  </si>
  <si>
    <t>消防法防火対象物</t>
    <phoneticPr fontId="1"/>
  </si>
  <si>
    <t>(1) イ</t>
    <phoneticPr fontId="1"/>
  </si>
  <si>
    <t>(1) ロ</t>
    <phoneticPr fontId="1"/>
  </si>
  <si>
    <t>(2) イ</t>
    <phoneticPr fontId="1"/>
  </si>
  <si>
    <t>(2) ロ</t>
    <phoneticPr fontId="1"/>
  </si>
  <si>
    <t>(3) イ</t>
    <phoneticPr fontId="1"/>
  </si>
  <si>
    <t>( 4 )</t>
    <phoneticPr fontId="1"/>
  </si>
  <si>
    <t>(5) イ</t>
    <phoneticPr fontId="1"/>
  </si>
  <si>
    <t>( 7 )</t>
    <phoneticPr fontId="1"/>
  </si>
  <si>
    <t>( 10)</t>
    <phoneticPr fontId="1"/>
  </si>
  <si>
    <t>(12)イ</t>
    <phoneticPr fontId="1"/>
  </si>
  <si>
    <t>( 14)</t>
    <phoneticPr fontId="1"/>
  </si>
  <si>
    <t>不</t>
  </si>
  <si>
    <t>階高</t>
    <rPh sb="0" eb="1">
      <t>カイ</t>
    </rPh>
    <rPh sb="1" eb="2">
      <t>タカ</t>
    </rPh>
    <phoneticPr fontId="1"/>
  </si>
  <si>
    <t>最高</t>
    <rPh sb="0" eb="2">
      <t>サイコウ</t>
    </rPh>
    <phoneticPr fontId="1"/>
  </si>
  <si>
    <r>
      <t>　メッセンジャワイヤ</t>
    </r>
    <r>
      <rPr>
        <sz val="9"/>
        <color rgb="FF0000FF"/>
        <rFont val="HG明朝B"/>
        <family val="1"/>
        <charset val="128"/>
      </rPr>
      <t>　電線･ケーブル-1、-2、-3 を ＭＷ38 １本に多条張架する場合には、電線･ケーブル-1</t>
    </r>
    <phoneticPr fontId="1"/>
  </si>
  <si>
    <r>
      <t>　　　　　　　　　 　 欄に､ＭＷ 38sqを入力し､-2、-3 欄には､</t>
    </r>
    <r>
      <rPr>
        <sz val="9"/>
        <color theme="1" tint="4.9989318521683403E-2"/>
        <rFont val="HG明朝B"/>
        <family val="1"/>
        <charset val="128"/>
      </rPr>
      <t xml:space="preserve">"---〃---" </t>
    </r>
    <r>
      <rPr>
        <sz val="9"/>
        <color rgb="FF0000FF"/>
        <rFont val="HG明朝B"/>
        <family val="1"/>
        <charset val="128"/>
      </rPr>
      <t>を入力して下さい。</t>
    </r>
    <phoneticPr fontId="1"/>
  </si>
  <si>
    <r>
      <t xml:space="preserve">　しています。　   One Floor ≒ </t>
    </r>
    <r>
      <rPr>
        <sz val="9"/>
        <color rgb="FF0000FF"/>
        <rFont val="HGS明朝B"/>
        <family val="1"/>
        <charset val="128"/>
      </rPr>
      <t>10,000</t>
    </r>
    <r>
      <rPr>
        <sz val="9"/>
        <color theme="1" tint="4.9989318521683403E-2"/>
        <rFont val="HGS明朝B"/>
        <family val="1"/>
        <charset val="128"/>
      </rPr>
      <t xml:space="preserve"> 平米 以下､延床面積 ≒ </t>
    </r>
    <r>
      <rPr>
        <sz val="9"/>
        <color rgb="FF0000FF"/>
        <rFont val="HGS明朝B"/>
        <family val="1"/>
        <charset val="128"/>
      </rPr>
      <t>40,000</t>
    </r>
    <r>
      <rPr>
        <sz val="9"/>
        <color theme="1" tint="4.9989318521683403E-2"/>
        <rFont val="HGS明朝B"/>
        <family val="1"/>
        <charset val="128"/>
      </rPr>
      <t xml:space="preserve"> 平米 以下、階層 20 層 以下の建物に</t>
    </r>
    <phoneticPr fontId="1"/>
  </si>
  <si>
    <t xml:space="preserve">　需要容量：Dm≦1.00 </t>
    <phoneticPr fontId="1"/>
  </si>
  <si>
    <r>
      <rPr>
        <sz val="9"/>
        <color rgb="FF0000FF"/>
        <rFont val="HG明朝B"/>
        <family val="1"/>
        <charset val="128"/>
      </rPr>
      <t>　　　</t>
    </r>
    <r>
      <rPr>
        <sz val="9"/>
        <color rgb="FF0000FF"/>
        <rFont val="Times New Roman"/>
        <family val="1"/>
      </rPr>
      <t>(</t>
    </r>
    <r>
      <rPr>
        <sz val="9"/>
        <color rgb="FF0000FF"/>
        <rFont val="HG明朝B"/>
        <family val="1"/>
        <charset val="128"/>
      </rPr>
      <t>注</t>
    </r>
    <r>
      <rPr>
        <sz val="9"/>
        <color rgb="FF0000FF"/>
        <rFont val="Times New Roman"/>
        <family val="1"/>
      </rPr>
      <t xml:space="preserve">) </t>
    </r>
    <r>
      <rPr>
        <sz val="9"/>
        <color rgb="FF0000FF"/>
        <rFont val="HG明朝B"/>
        <family val="1"/>
        <charset val="128"/>
      </rPr>
      <t>受信電界強度は、ＮＨＫ</t>
    </r>
    <r>
      <rPr>
        <sz val="9"/>
        <color rgb="FF0000FF"/>
        <rFont val="Times New Roman"/>
        <family val="1"/>
      </rPr>
      <t xml:space="preserve"> </t>
    </r>
    <r>
      <rPr>
        <sz val="9"/>
        <color rgb="FF0000FF"/>
        <rFont val="HG明朝B"/>
        <family val="1"/>
        <charset val="128"/>
      </rPr>
      <t>又は</t>
    </r>
    <r>
      <rPr>
        <sz val="9"/>
        <color rgb="FF0000FF"/>
        <rFont val="Times New Roman"/>
        <family val="1"/>
      </rPr>
      <t xml:space="preserve"> </t>
    </r>
    <r>
      <rPr>
        <sz val="9"/>
        <color rgb="FF0000FF"/>
        <rFont val="HG明朝B"/>
        <family val="1"/>
        <charset val="128"/>
      </rPr>
      <t>専門業者に依頼し、正確な値を把握することをお奨めします。</t>
    </r>
    <phoneticPr fontId="1"/>
  </si>
  <si>
    <r>
      <t xml:space="preserve">             　　 　　　　 </t>
    </r>
    <r>
      <rPr>
        <sz val="11"/>
        <color theme="1"/>
        <rFont val="Arial Black"/>
        <family val="2"/>
      </rPr>
      <t>ESE</t>
    </r>
    <r>
      <rPr>
        <sz val="10"/>
        <color theme="1"/>
        <rFont val="HG明朝B"/>
        <family val="1"/>
        <charset val="128"/>
      </rPr>
      <t xml:space="preserve"> Service</t>
    </r>
    <r>
      <rPr>
        <b/>
        <sz val="10"/>
        <color theme="1"/>
        <rFont val="HG明朝B"/>
        <family val="1"/>
        <charset val="128"/>
      </rPr>
      <t>　</t>
    </r>
    <r>
      <rPr>
        <sz val="10"/>
        <color theme="1"/>
        <rFont val="HG明朝B"/>
        <family val="1"/>
        <charset val="128"/>
      </rPr>
      <t>佐海 恭三</t>
    </r>
    <phoneticPr fontId="1"/>
  </si>
  <si>
    <r>
      <t>　　(注) 常用発電機(DE)の場合、</t>
    </r>
    <r>
      <rPr>
        <b/>
        <sz val="9"/>
        <rFont val="HGS明朝B"/>
        <family val="1"/>
        <charset val="128"/>
      </rPr>
      <t xml:space="preserve">750 </t>
    </r>
    <r>
      <rPr>
        <sz val="9"/>
        <color rgb="FF0000FF"/>
        <rFont val="HGS明朝B"/>
        <family val="1"/>
        <charset val="128"/>
      </rPr>
      <t>[rpm] (50Hz)、</t>
    </r>
    <r>
      <rPr>
        <b/>
        <sz val="9"/>
        <rFont val="HGS明朝B"/>
        <family val="1"/>
        <charset val="128"/>
      </rPr>
      <t xml:space="preserve">900 </t>
    </r>
    <r>
      <rPr>
        <sz val="9"/>
        <color rgb="FF0000FF"/>
        <rFont val="HGS明朝B"/>
        <family val="1"/>
        <charset val="128"/>
      </rPr>
      <t xml:space="preserve">[rpm] (60Hz) 以下の回転数が望ましい。          </t>
    </r>
    <phoneticPr fontId="1"/>
  </si>
  <si>
    <t>　　　　 離島等に設置する電力会社の DE発電機の回転数は、60[Hz] の場合、300 [rpm] 以下です。</t>
    <phoneticPr fontId="1"/>
  </si>
  <si>
    <t>⑦</t>
  </si>
  <si>
    <t>項　　別</t>
    <phoneticPr fontId="1"/>
  </si>
  <si>
    <t>は、本システムの対象項別項目です。</t>
    <rPh sb="2" eb="3">
      <t>ホン</t>
    </rPh>
    <rPh sb="8" eb="10">
      <t>タイショウ</t>
    </rPh>
    <rPh sb="12" eb="14">
      <t>コウモク</t>
    </rPh>
    <phoneticPr fontId="1"/>
  </si>
  <si>
    <r>
      <t>　　標準設定値は､Ⓖです。</t>
    </r>
    <r>
      <rPr>
        <sz val="9"/>
        <color rgb="FF0000FF"/>
        <rFont val="Meiryo UI"/>
        <family val="3"/>
        <charset val="128"/>
      </rPr>
      <t>　　　　　　　</t>
    </r>
    <r>
      <rPr>
        <sz val="9"/>
        <color theme="1" tint="4.9989318521683403E-2"/>
        <rFont val="Meiryo UI"/>
        <family val="3"/>
        <charset val="128"/>
      </rPr>
      <t>選択変更可</t>
    </r>
    <phoneticPr fontId="1"/>
  </si>
  <si>
    <t>　　　 Ⓐ――――――Ⓑ――――――Ⓒ――――――■――――――■</t>
    <phoneticPr fontId="1"/>
  </si>
  <si>
    <t>　　　 Ⓓ――――――Ⓔ――――――Ⓕ――――――■――――――■</t>
    <phoneticPr fontId="1"/>
  </si>
  <si>
    <r>
      <t>　　　 Ⓖ</t>
    </r>
    <r>
      <rPr>
        <sz val="9"/>
        <color rgb="FFFF0000"/>
        <rFont val="HG明朝B"/>
        <family val="1"/>
        <charset val="128"/>
      </rPr>
      <t>━━━━━━</t>
    </r>
    <r>
      <rPr>
        <sz val="9"/>
        <color theme="1"/>
        <rFont val="HG明朝B"/>
        <family val="1"/>
        <charset val="128"/>
      </rPr>
      <t>Ⓗ</t>
    </r>
    <r>
      <rPr>
        <sz val="9"/>
        <color rgb="FFFF0000"/>
        <rFont val="HG明朝B"/>
        <family val="1"/>
        <charset val="128"/>
      </rPr>
      <t>━━━━━━</t>
    </r>
    <r>
      <rPr>
        <sz val="9"/>
        <color theme="1"/>
        <rFont val="HG明朝B"/>
        <family val="1"/>
        <charset val="128"/>
      </rPr>
      <t xml:space="preserve">Ⓘ </t>
    </r>
    <r>
      <rPr>
        <sz val="9"/>
        <color rgb="FFFF0000"/>
        <rFont val="HG明朝B"/>
        <family val="1"/>
        <charset val="128"/>
      </rPr>
      <t>┛</t>
    </r>
    <r>
      <rPr>
        <sz val="9"/>
        <color theme="1"/>
        <rFont val="HG明朝B"/>
        <family val="1"/>
        <charset val="128"/>
      </rPr>
      <t>―――― ■――――――■</t>
    </r>
    <phoneticPr fontId="1"/>
  </si>
  <si>
    <r>
      <t>室内工事方法：基準設定値＝空配管工事　　</t>
    </r>
    <r>
      <rPr>
        <sz val="9"/>
        <color rgb="FF0000FF"/>
        <rFont val="HG明朝B"/>
        <family val="1"/>
        <charset val="128"/>
      </rPr>
      <t>選択変更：配管配線工事、配管配線機器取付</t>
    </r>
    <rPh sb="7" eb="9">
      <t>キジュン</t>
    </rPh>
    <rPh sb="9" eb="12">
      <t>セッテイチ</t>
    </rPh>
    <rPh sb="20" eb="22">
      <t>センタク</t>
    </rPh>
    <rPh sb="22" eb="24">
      <t>ヘンコウ</t>
    </rPh>
    <phoneticPr fontId="1"/>
  </si>
  <si>
    <r>
      <t>構内屋外工事：基準設定値＝地中管路　　　</t>
    </r>
    <r>
      <rPr>
        <sz val="9"/>
        <color rgb="FF0000FF"/>
        <rFont val="HG明朝B"/>
        <family val="1"/>
        <charset val="128"/>
      </rPr>
      <t>選択変更：架空配線</t>
    </r>
    <rPh sb="0" eb="2">
      <t>コウナイ</t>
    </rPh>
    <rPh sb="2" eb="4">
      <t>オクガイ</t>
    </rPh>
    <rPh sb="4" eb="6">
      <t>コウジ</t>
    </rPh>
    <rPh sb="7" eb="9">
      <t>キジュン</t>
    </rPh>
    <rPh sb="9" eb="12">
      <t>セッテイチ</t>
    </rPh>
    <rPh sb="20" eb="22">
      <t>センタク</t>
    </rPh>
    <rPh sb="22" eb="24">
      <t>ヘンコウ</t>
    </rPh>
    <phoneticPr fontId="1"/>
  </si>
  <si>
    <r>
      <t>　　引込方式：基準設定値＝架空引込　　　</t>
    </r>
    <r>
      <rPr>
        <sz val="9"/>
        <color rgb="FF0000FF"/>
        <rFont val="HG明朝B"/>
        <family val="1"/>
        <charset val="128"/>
      </rPr>
      <t>選択変更：地中引込</t>
    </r>
    <rPh sb="2" eb="4">
      <t>ヒキコミ</t>
    </rPh>
    <rPh sb="4" eb="6">
      <t>ホウシキ</t>
    </rPh>
    <rPh sb="7" eb="9">
      <t>キジュン</t>
    </rPh>
    <rPh sb="9" eb="12">
      <t>セッテイチ</t>
    </rPh>
    <phoneticPr fontId="1"/>
  </si>
  <si>
    <r>
      <t>ハンドホール：基準設定値＝KK 750×750×900　　</t>
    </r>
    <r>
      <rPr>
        <sz val="9"/>
        <color rgb="FF0000FF"/>
        <rFont val="HG明朝B"/>
        <family val="1"/>
        <charset val="128"/>
      </rPr>
      <t>選択変更：600×600×700 ～ 2000×2000×2100</t>
    </r>
    <rPh sb="7" eb="9">
      <t>キジュン</t>
    </rPh>
    <rPh sb="9" eb="12">
      <t>セッテイチ</t>
    </rPh>
    <rPh sb="29" eb="31">
      <t>センタク</t>
    </rPh>
    <rPh sb="31" eb="33">
      <t>ヘンコウ</t>
    </rPh>
    <phoneticPr fontId="1"/>
  </si>
  <si>
    <r>
      <t>構内屋外配管：基準設定値＝FEP-50mm　　　</t>
    </r>
    <r>
      <rPr>
        <sz val="9"/>
        <color rgb="FF0000FF"/>
        <rFont val="HG明朝B"/>
        <family val="1"/>
        <charset val="128"/>
      </rPr>
      <t>選択変更：FEP-(F-FEP-) 30mm ～ FEP-(F-FEP-)200mm</t>
    </r>
    <rPh sb="7" eb="9">
      <t>キジュン</t>
    </rPh>
    <rPh sb="9" eb="12">
      <t>セッテイチ</t>
    </rPh>
    <rPh sb="24" eb="26">
      <t>センタク</t>
    </rPh>
    <rPh sb="26" eb="28">
      <t>ヘンコウ</t>
    </rPh>
    <phoneticPr fontId="1"/>
  </si>
  <si>
    <r>
      <t>交換機設置階：基準設定値＝１F　　　　 　</t>
    </r>
    <r>
      <rPr>
        <sz val="9"/>
        <color rgb="FF0000FF"/>
        <rFont val="HG明朝B"/>
        <family val="1"/>
        <charset val="128"/>
      </rPr>
      <t>選択変更：任意階</t>
    </r>
    <rPh sb="7" eb="9">
      <t>キジュン</t>
    </rPh>
    <rPh sb="9" eb="12">
      <t>セッテイチ</t>
    </rPh>
    <rPh sb="21" eb="23">
      <t>センタク</t>
    </rPh>
    <rPh sb="23" eb="25">
      <t>ヘンコウ</t>
    </rPh>
    <rPh sb="26" eb="28">
      <t>ニンイ</t>
    </rPh>
    <rPh sb="28" eb="29">
      <t>カイ</t>
    </rPh>
    <phoneticPr fontId="1"/>
  </si>
  <si>
    <r>
      <t>交換機の位置：基準設定値＝Ⓖ　　　　　　</t>
    </r>
    <r>
      <rPr>
        <sz val="9"/>
        <color rgb="FF0000FF"/>
        <rFont val="HG明朝B"/>
        <family val="1"/>
        <charset val="128"/>
      </rPr>
      <t>選択変更：Ⓐ ～ Ⓘ</t>
    </r>
    <rPh sb="7" eb="9">
      <t>キジュン</t>
    </rPh>
    <rPh sb="9" eb="12">
      <t>セッテイチ</t>
    </rPh>
    <rPh sb="20" eb="22">
      <t>センタク</t>
    </rPh>
    <rPh sb="22" eb="24">
      <t>ヘンコウ</t>
    </rPh>
    <phoneticPr fontId="1"/>
  </si>
  <si>
    <t>各階の設定値、表示内容</t>
    <rPh sb="0" eb="2">
      <t>カクカイ</t>
    </rPh>
    <rPh sb="3" eb="6">
      <t>セッテイチ</t>
    </rPh>
    <rPh sb="7" eb="9">
      <t>ヒョウジ</t>
    </rPh>
    <rPh sb="9" eb="11">
      <t>ナイヨウ</t>
    </rPh>
    <phoneticPr fontId="1"/>
  </si>
  <si>
    <t>　　消防法令別表項別表示、建物形状、端子盤の位置、階名称、階高、天井高、床面積、室数</t>
    <rPh sb="2" eb="4">
      <t>ショウボウ</t>
    </rPh>
    <rPh sb="8" eb="9">
      <t>コウ</t>
    </rPh>
    <rPh sb="9" eb="10">
      <t>ベツ</t>
    </rPh>
    <rPh sb="10" eb="12">
      <t>ヒョウジ</t>
    </rPh>
    <rPh sb="13" eb="15">
      <t>タテモノ</t>
    </rPh>
    <rPh sb="15" eb="17">
      <t>ケイジョウ</t>
    </rPh>
    <rPh sb="18" eb="21">
      <t>タンシバン</t>
    </rPh>
    <rPh sb="22" eb="24">
      <t>イチ</t>
    </rPh>
    <rPh sb="25" eb="26">
      <t>カイ</t>
    </rPh>
    <rPh sb="26" eb="28">
      <t>メイショウ</t>
    </rPh>
    <rPh sb="29" eb="31">
      <t>カイダカ</t>
    </rPh>
    <rPh sb="32" eb="34">
      <t>テンジョウ</t>
    </rPh>
    <rPh sb="34" eb="35">
      <t>タカ</t>
    </rPh>
    <rPh sb="36" eb="39">
      <t>ユカメンセキ</t>
    </rPh>
    <rPh sb="40" eb="41">
      <t>シツ</t>
    </rPh>
    <rPh sb="41" eb="42">
      <t>スウ</t>
    </rPh>
    <phoneticPr fontId="1"/>
  </si>
  <si>
    <t>　　室内施工方法：基準設定値＝床(CD管)，直天の場合：天井(C管)</t>
    <rPh sb="2" eb="4">
      <t>シツナイ</t>
    </rPh>
    <rPh sb="4" eb="6">
      <t>セコウ</t>
    </rPh>
    <rPh sb="6" eb="8">
      <t>ホウホウ</t>
    </rPh>
    <rPh sb="22" eb="24">
      <t>ジカテン</t>
    </rPh>
    <rPh sb="25" eb="27">
      <t>バアイ</t>
    </rPh>
    <phoneticPr fontId="1"/>
  </si>
  <si>
    <r>
      <t>　　　　　　　　　</t>
    </r>
    <r>
      <rPr>
        <sz val="9"/>
        <color rgb="FF0000FF"/>
        <rFont val="HG明朝B"/>
        <family val="1"/>
        <charset val="128"/>
      </rPr>
      <t>選択変更：天井ケーブル、天井(PF管)、天井(C管)、天井(G管)</t>
    </r>
    <rPh sb="9" eb="11">
      <t>センタク</t>
    </rPh>
    <rPh sb="11" eb="13">
      <t>ヘンコウ</t>
    </rPh>
    <phoneticPr fontId="1"/>
  </si>
  <si>
    <r>
      <t>　　電話設備設置の有無：基準設定値＝要(専用部、共用部)　　　　</t>
    </r>
    <r>
      <rPr>
        <sz val="9"/>
        <color rgb="FF0000FF"/>
        <rFont val="HG明朝B"/>
        <family val="1"/>
        <charset val="128"/>
      </rPr>
      <t>選択変更：不</t>
    </r>
    <rPh sb="2" eb="4">
      <t>デンワ</t>
    </rPh>
    <rPh sb="4" eb="6">
      <t>セツビ</t>
    </rPh>
    <rPh sb="6" eb="8">
      <t>セッチ</t>
    </rPh>
    <rPh sb="9" eb="11">
      <t>ウム</t>
    </rPh>
    <rPh sb="12" eb="14">
      <t>キジュン</t>
    </rPh>
    <rPh sb="14" eb="17">
      <t>セッテイチ</t>
    </rPh>
    <rPh sb="18" eb="19">
      <t>ヨウ</t>
    </rPh>
    <rPh sb="20" eb="22">
      <t>センヨウ</t>
    </rPh>
    <rPh sb="22" eb="23">
      <t>ブ</t>
    </rPh>
    <rPh sb="24" eb="26">
      <t>キョウヨウ</t>
    </rPh>
    <rPh sb="26" eb="27">
      <t>ブ</t>
    </rPh>
    <rPh sb="32" eb="34">
      <t>センタク</t>
    </rPh>
    <rPh sb="34" eb="36">
      <t>ヘンコウ</t>
    </rPh>
    <rPh sb="37" eb="38">
      <t>フ</t>
    </rPh>
    <phoneticPr fontId="1"/>
  </si>
  <si>
    <r>
      <t>　　配管配線工事：基準設定値(幹線部)＝FCPEV　　</t>
    </r>
    <r>
      <rPr>
        <sz val="9"/>
        <color rgb="FF0000FF"/>
        <rFont val="HG明朝B"/>
        <family val="1"/>
        <charset val="128"/>
      </rPr>
      <t>選択変更：CCP-P</t>
    </r>
    <rPh sb="2" eb="4">
      <t>ハイカン</t>
    </rPh>
    <rPh sb="4" eb="6">
      <t>ハイセン</t>
    </rPh>
    <rPh sb="6" eb="8">
      <t>コウジ</t>
    </rPh>
    <rPh sb="15" eb="17">
      <t>カンセン</t>
    </rPh>
    <rPh sb="17" eb="18">
      <t>ブ</t>
    </rPh>
    <phoneticPr fontId="1"/>
  </si>
  <si>
    <r>
      <t>　　　　　　　　　基準設定値(端子盤以降)＝電子釦、TIVF　　</t>
    </r>
    <r>
      <rPr>
        <sz val="9"/>
        <color rgb="FF0000FF"/>
        <rFont val="HG明朝B"/>
        <family val="1"/>
        <charset val="128"/>
      </rPr>
      <t>選択変更：釦電話、電子釦、TIVF</t>
    </r>
    <rPh sb="9" eb="11">
      <t>キジュン</t>
    </rPh>
    <rPh sb="15" eb="18">
      <t>タンシバン</t>
    </rPh>
    <rPh sb="18" eb="20">
      <t>イコウ</t>
    </rPh>
    <rPh sb="22" eb="24">
      <t>デンシ</t>
    </rPh>
    <rPh sb="24" eb="25">
      <t>ボタン</t>
    </rPh>
    <phoneticPr fontId="1"/>
  </si>
  <si>
    <r>
      <t>　　　　　　　　　基準設定値(床配管)＝フロァダクト　　　　</t>
    </r>
    <r>
      <rPr>
        <sz val="9"/>
        <color rgb="FF0000FF"/>
        <rFont val="HG明朝B"/>
        <family val="1"/>
        <charset val="128"/>
      </rPr>
      <t>選択変更：電線管</t>
    </r>
    <rPh sb="9" eb="11">
      <t>キジュン</t>
    </rPh>
    <rPh sb="15" eb="16">
      <t>ユカ</t>
    </rPh>
    <rPh sb="16" eb="18">
      <t>ハイカン</t>
    </rPh>
    <rPh sb="35" eb="38">
      <t>デンセンカン</t>
    </rPh>
    <phoneticPr fontId="1"/>
  </si>
  <si>
    <t>情報端子盤リスト</t>
    <rPh sb="0" eb="2">
      <t>ジョウホウ</t>
    </rPh>
    <rPh sb="2" eb="5">
      <t>タンシバン</t>
    </rPh>
    <phoneticPr fontId="1"/>
  </si>
  <si>
    <t>　　設置階、端子盤名称、端子盤内容、面数、単価、金額、歩掛</t>
    <rPh sb="2" eb="4">
      <t>セッチ</t>
    </rPh>
    <rPh sb="4" eb="5">
      <t>カイ</t>
    </rPh>
    <rPh sb="6" eb="9">
      <t>タンシバン</t>
    </rPh>
    <rPh sb="9" eb="11">
      <t>メイショウ</t>
    </rPh>
    <rPh sb="12" eb="15">
      <t>タンシバン</t>
    </rPh>
    <rPh sb="15" eb="17">
      <t>ナイヨウ</t>
    </rPh>
    <rPh sb="18" eb="19">
      <t>メン</t>
    </rPh>
    <rPh sb="19" eb="20">
      <t>スウ</t>
    </rPh>
    <rPh sb="21" eb="23">
      <t>タンカ</t>
    </rPh>
    <rPh sb="24" eb="26">
      <t>キンガク</t>
    </rPh>
    <rPh sb="27" eb="29">
      <t>ブガカリ</t>
    </rPh>
    <phoneticPr fontId="1"/>
  </si>
  <si>
    <t>集計表</t>
    <rPh sb="0" eb="2">
      <t>シュウケイ</t>
    </rPh>
    <rPh sb="2" eb="3">
      <t>ヒョウ</t>
    </rPh>
    <phoneticPr fontId="1"/>
  </si>
  <si>
    <r>
      <t>　　材料名称、数量、呼称、単価、金額、歩掛　　　</t>
    </r>
    <r>
      <rPr>
        <sz val="9"/>
        <color rgb="FF0000FF"/>
        <rFont val="HG明朝B"/>
        <family val="1"/>
        <charset val="128"/>
      </rPr>
      <t>数量変更可</t>
    </r>
    <rPh sb="2" eb="4">
      <t>ザイリョウ</t>
    </rPh>
    <rPh sb="4" eb="6">
      <t>メイショウ</t>
    </rPh>
    <rPh sb="7" eb="9">
      <t>スウリョウ</t>
    </rPh>
    <rPh sb="10" eb="12">
      <t>コショウ</t>
    </rPh>
    <rPh sb="13" eb="15">
      <t>タンカ</t>
    </rPh>
    <rPh sb="16" eb="18">
      <t>キンガク</t>
    </rPh>
    <rPh sb="19" eb="21">
      <t>ブガカリ</t>
    </rPh>
    <rPh sb="24" eb="26">
      <t>スウリョウ</t>
    </rPh>
    <rPh sb="26" eb="28">
      <t>ヘンコウ</t>
    </rPh>
    <rPh sb="28" eb="29">
      <t>カ</t>
    </rPh>
    <phoneticPr fontId="1"/>
  </si>
  <si>
    <r>
      <t>　機　　器　　類　：１００％ を計上</t>
    </r>
    <r>
      <rPr>
        <sz val="9"/>
        <color theme="1" tint="4.9989318521683403E-2"/>
        <rFont val="HG明朝B"/>
        <family val="1"/>
        <charset val="128"/>
      </rPr>
      <t>　　　　　　変更修正可</t>
    </r>
    <rPh sb="1" eb="2">
      <t>キ</t>
    </rPh>
    <rPh sb="4" eb="5">
      <t>ウツワ</t>
    </rPh>
    <rPh sb="7" eb="8">
      <t>ルイ</t>
    </rPh>
    <phoneticPr fontId="1"/>
  </si>
  <si>
    <r>
      <t xml:space="preserve">　電 話 交 換 機　：外線数／内線数、単価　　　 </t>
    </r>
    <r>
      <rPr>
        <sz val="9"/>
        <color theme="1" tint="4.9989318521683403E-2"/>
        <rFont val="HG明朝B"/>
        <family val="1"/>
        <charset val="128"/>
      </rPr>
      <t>変更修正可</t>
    </r>
    <rPh sb="1" eb="2">
      <t>デン</t>
    </rPh>
    <rPh sb="3" eb="4">
      <t>ハナシ</t>
    </rPh>
    <rPh sb="5" eb="6">
      <t>コウ</t>
    </rPh>
    <rPh sb="7" eb="8">
      <t>カン</t>
    </rPh>
    <rPh sb="9" eb="10">
      <t>キ</t>
    </rPh>
    <rPh sb="12" eb="14">
      <t>ガイセン</t>
    </rPh>
    <rPh sb="14" eb="15">
      <t>スウ</t>
    </rPh>
    <rPh sb="16" eb="18">
      <t>ナイセン</t>
    </rPh>
    <rPh sb="18" eb="19">
      <t>スウ</t>
    </rPh>
    <rPh sb="20" eb="22">
      <t>タンカ</t>
    </rPh>
    <phoneticPr fontId="1"/>
  </si>
  <si>
    <t>　端子盤（Terminal board）の位置入力</t>
    <rPh sb="1" eb="4">
      <t>タンシバン</t>
    </rPh>
    <rPh sb="21" eb="23">
      <t>イチ</t>
    </rPh>
    <rPh sb="23" eb="25">
      <t>ニュウリョク</t>
    </rPh>
    <phoneticPr fontId="1"/>
  </si>
  <si>
    <r>
      <t>　</t>
    </r>
    <r>
      <rPr>
        <sz val="9"/>
        <color theme="1" tint="4.9989318521683403E-2"/>
        <rFont val="Meiryo UI"/>
        <family val="3"/>
        <charset val="128"/>
      </rPr>
      <t>梁成＝"０"</t>
    </r>
    <r>
      <rPr>
        <sz val="9"/>
        <color rgb="FF0000FF"/>
        <rFont val="Meiryo UI"/>
        <family val="3"/>
        <charset val="128"/>
      </rPr>
      <t xml:space="preserve"> にすると、　梁巻き配線長 ＝　　0 [m]　　　 　　梁渡り配管長 ＝ 1.5 [m]×必要本数</t>
    </r>
    <phoneticPr fontId="1"/>
  </si>
  <si>
    <r>
      <t>器具取付高さ、配線余長　　　　　　　　　</t>
    </r>
    <r>
      <rPr>
        <sz val="9"/>
        <color rgb="FF0000FF"/>
        <rFont val="HG明朝B"/>
        <family val="1"/>
        <charset val="128"/>
      </rPr>
      <t>変更修正可</t>
    </r>
    <rPh sb="0" eb="2">
      <t>キグ</t>
    </rPh>
    <rPh sb="2" eb="4">
      <t>トリツケ</t>
    </rPh>
    <rPh sb="4" eb="5">
      <t>タカ</t>
    </rPh>
    <rPh sb="7" eb="9">
      <t>ハイセン</t>
    </rPh>
    <rPh sb="9" eb="10">
      <t>ヨ</t>
    </rPh>
    <rPh sb="10" eb="11">
      <t>チョウ</t>
    </rPh>
    <rPh sb="20" eb="22">
      <t>ヘンコウ</t>
    </rPh>
    <rPh sb="22" eb="24">
      <t>シュウセイ</t>
    </rPh>
    <rPh sb="24" eb="25">
      <t>カ</t>
    </rPh>
    <phoneticPr fontId="1"/>
  </si>
  <si>
    <r>
      <t>器具取付高さ、配線余長　　　　　</t>
    </r>
    <r>
      <rPr>
        <sz val="9"/>
        <color rgb="FF0000FF"/>
        <rFont val="HG明朝B"/>
        <family val="1"/>
        <charset val="128"/>
      </rPr>
      <t>変更修正可</t>
    </r>
    <rPh sb="0" eb="2">
      <t>キグ</t>
    </rPh>
    <rPh sb="2" eb="4">
      <t>トリツケ</t>
    </rPh>
    <rPh sb="4" eb="5">
      <t>タカ</t>
    </rPh>
    <rPh sb="7" eb="9">
      <t>ハイセン</t>
    </rPh>
    <rPh sb="9" eb="10">
      <t>ヨ</t>
    </rPh>
    <rPh sb="10" eb="11">
      <t>チョウ</t>
    </rPh>
    <rPh sb="16" eb="18">
      <t>ヘンコウ</t>
    </rPh>
    <rPh sb="18" eb="20">
      <t>シュウセイ</t>
    </rPh>
    <rPh sb="20" eb="21">
      <t>カ</t>
    </rPh>
    <phoneticPr fontId="1"/>
  </si>
  <si>
    <t>　　室内施工方法：基準設定値＝天井(C管)</t>
    <rPh sb="2" eb="4">
      <t>シツナイ</t>
    </rPh>
    <rPh sb="4" eb="6">
      <t>セコウ</t>
    </rPh>
    <rPh sb="6" eb="8">
      <t>ホウホウ</t>
    </rPh>
    <phoneticPr fontId="1"/>
  </si>
  <si>
    <r>
      <t>　　放送設備設置の有無：基準設定値＝要(専用部、共用部)　　　　</t>
    </r>
    <r>
      <rPr>
        <sz val="9"/>
        <color rgb="FF0000FF"/>
        <rFont val="HG明朝B"/>
        <family val="1"/>
        <charset val="128"/>
      </rPr>
      <t>選択変更：不</t>
    </r>
    <rPh sb="2" eb="4">
      <t>ホウソウ</t>
    </rPh>
    <rPh sb="4" eb="6">
      <t>セツビ</t>
    </rPh>
    <rPh sb="6" eb="8">
      <t>セッチ</t>
    </rPh>
    <rPh sb="9" eb="11">
      <t>ウム</t>
    </rPh>
    <rPh sb="12" eb="14">
      <t>キジュン</t>
    </rPh>
    <rPh sb="14" eb="17">
      <t>セッテイチ</t>
    </rPh>
    <rPh sb="18" eb="19">
      <t>ヨウ</t>
    </rPh>
    <rPh sb="20" eb="22">
      <t>センヨウ</t>
    </rPh>
    <rPh sb="22" eb="23">
      <t>ブ</t>
    </rPh>
    <rPh sb="24" eb="26">
      <t>キョウヨウ</t>
    </rPh>
    <rPh sb="26" eb="27">
      <t>ブ</t>
    </rPh>
    <rPh sb="32" eb="34">
      <t>センタク</t>
    </rPh>
    <rPh sb="34" eb="36">
      <t>ヘンコウ</t>
    </rPh>
    <rPh sb="37" eb="38">
      <t>フ</t>
    </rPh>
    <phoneticPr fontId="1"/>
  </si>
  <si>
    <r>
      <t>　　　　　　　　　基準設定値(端子盤以降)＝HP 1.2mm　　</t>
    </r>
    <r>
      <rPr>
        <sz val="9"/>
        <color rgb="FF0000FF"/>
        <rFont val="HG明朝B"/>
        <family val="1"/>
        <charset val="128"/>
      </rPr>
      <t>選択変更：HP 1.2mm 、FCPEV 1.2mm</t>
    </r>
    <rPh sb="9" eb="11">
      <t>キジュン</t>
    </rPh>
    <rPh sb="15" eb="18">
      <t>タンシバン</t>
    </rPh>
    <rPh sb="18" eb="20">
      <t>イコウ</t>
    </rPh>
    <rPh sb="32" eb="34">
      <t>センタク</t>
    </rPh>
    <rPh sb="34" eb="36">
      <t>ヘンコウ</t>
    </rPh>
    <phoneticPr fontId="1"/>
  </si>
  <si>
    <r>
      <t>　　配管配線工事：基準設定値(幹線部)＝HP 1.2mm　　　　</t>
    </r>
    <r>
      <rPr>
        <sz val="9"/>
        <color rgb="FF0000FF"/>
        <rFont val="HG明朝B"/>
        <family val="1"/>
        <charset val="128"/>
      </rPr>
      <t>選択変更：HP 1.2mm 、FCPEV 1.2mm</t>
    </r>
    <rPh sb="2" eb="4">
      <t>ハイカン</t>
    </rPh>
    <rPh sb="4" eb="6">
      <t>ハイセン</t>
    </rPh>
    <rPh sb="6" eb="8">
      <t>コウジ</t>
    </rPh>
    <rPh sb="15" eb="17">
      <t>カンセン</t>
    </rPh>
    <rPh sb="17" eb="18">
      <t>ブ</t>
    </rPh>
    <phoneticPr fontId="1"/>
  </si>
  <si>
    <r>
      <t xml:space="preserve">　主　増　幅　機　：型式、アンプ出力、端子数　　　 </t>
    </r>
    <r>
      <rPr>
        <sz val="9"/>
        <color theme="1" tint="4.9989318521683403E-2"/>
        <rFont val="HG明朝B"/>
        <family val="1"/>
        <charset val="128"/>
      </rPr>
      <t>変更修正可</t>
    </r>
    <rPh sb="1" eb="2">
      <t>オモ</t>
    </rPh>
    <rPh sb="3" eb="4">
      <t>ゾウ</t>
    </rPh>
    <rPh sb="5" eb="6">
      <t>ハバ</t>
    </rPh>
    <rPh sb="7" eb="8">
      <t>キ</t>
    </rPh>
    <rPh sb="10" eb="12">
      <t>カタシキ</t>
    </rPh>
    <rPh sb="16" eb="18">
      <t>シュツリョク</t>
    </rPh>
    <rPh sb="19" eb="21">
      <t>タンシ</t>
    </rPh>
    <rPh sb="21" eb="22">
      <t>スウ</t>
    </rPh>
    <phoneticPr fontId="1"/>
  </si>
  <si>
    <r>
      <t>　機　　器　　類　：１００％ を計上</t>
    </r>
    <r>
      <rPr>
        <sz val="9"/>
        <color theme="1" tint="4.9989318521683403E-2"/>
        <rFont val="HG明朝B"/>
        <family val="1"/>
        <charset val="128"/>
      </rPr>
      <t>　　　　　　　　変更修正可</t>
    </r>
    <rPh sb="1" eb="2">
      <t>キ</t>
    </rPh>
    <rPh sb="4" eb="5">
      <t>ウツワ</t>
    </rPh>
    <rPh sb="7" eb="8">
      <t>ルイ</t>
    </rPh>
    <phoneticPr fontId="1"/>
  </si>
  <si>
    <r>
      <t>　配管配線材料　　：１３０％ を計上</t>
    </r>
    <r>
      <rPr>
        <sz val="9"/>
        <color theme="1" tint="4.9989318521683403E-2"/>
        <rFont val="HG明朝B"/>
        <family val="1"/>
        <charset val="128"/>
      </rPr>
      <t>　　　　　　　　変更修正可</t>
    </r>
    <phoneticPr fontId="1"/>
  </si>
  <si>
    <t>NNN</t>
    <phoneticPr fontId="1"/>
  </si>
  <si>
    <t>yyyy.mm</t>
    <phoneticPr fontId="1"/>
  </si>
  <si>
    <t>NNN</t>
    <phoneticPr fontId="1"/>
  </si>
  <si>
    <t>耐 火</t>
  </si>
  <si>
    <t xml:space="preserve"> B1F</t>
  </si>
  <si>
    <t xml:space="preserve">  2F</t>
  </si>
  <si>
    <t xml:space="preserve">  3F</t>
  </si>
  <si>
    <t xml:space="preserve">  4F</t>
  </si>
  <si>
    <t xml:space="preserve">  5F</t>
  </si>
  <si>
    <t xml:space="preserve">  6F</t>
  </si>
  <si>
    <t xml:space="preserve">  7F</t>
  </si>
  <si>
    <t xml:space="preserve">  8F</t>
  </si>
  <si>
    <t xml:space="preserve">  9F</t>
  </si>
  <si>
    <t xml:space="preserve"> 10F</t>
  </si>
  <si>
    <t xml:space="preserve"> 11F</t>
  </si>
  <si>
    <t xml:space="preserve"> 12F</t>
  </si>
  <si>
    <t>A</t>
  </si>
  <si>
    <t>PH1F</t>
  </si>
  <si>
    <t>PH2F</t>
  </si>
  <si>
    <t>B1</t>
  </si>
  <si>
    <t>( 4 )</t>
  </si>
  <si>
    <t>(3) イ</t>
  </si>
  <si>
    <t>直天</t>
  </si>
  <si>
    <t>NNN</t>
    <phoneticPr fontId="1"/>
  </si>
  <si>
    <t>－</t>
  </si>
  <si>
    <r>
      <t>　　　　並列回路 （</t>
    </r>
    <r>
      <rPr>
        <b/>
        <sz val="9"/>
        <color rgb="FF0000FF"/>
        <rFont val="Times New Roman"/>
        <family val="1"/>
      </rPr>
      <t>Parallel circuit</t>
    </r>
    <r>
      <rPr>
        <sz val="9"/>
        <color rgb="FF0000FF"/>
        <rFont val="HG明朝B"/>
        <family val="1"/>
        <charset val="128"/>
      </rPr>
      <t xml:space="preserve">) </t>
    </r>
    <r>
      <rPr>
        <sz val="8"/>
        <color rgb="FF0000FF"/>
        <rFont val="HG明朝B"/>
        <family val="1"/>
        <charset val="128"/>
      </rPr>
      <t xml:space="preserve"> </t>
    </r>
    <r>
      <rPr>
        <sz val="9"/>
        <color rgb="FF0000FF"/>
        <rFont val="HG明朝B"/>
        <family val="1"/>
        <charset val="128"/>
      </rPr>
      <t>……… ｎ＝</t>
    </r>
    <r>
      <rPr>
        <b/>
        <sz val="9"/>
        <color rgb="FF0000FF"/>
        <rFont val="HG明朝B"/>
        <family val="1"/>
        <charset val="128"/>
      </rPr>
      <t>-</t>
    </r>
    <r>
      <rPr>
        <sz val="9"/>
        <color rgb="FF0000FF"/>
        <rFont val="HG明朝B"/>
        <family val="1"/>
        <charset val="128"/>
      </rPr>
      <t>1</t>
    </r>
    <phoneticPr fontId="1"/>
  </si>
  <si>
    <t>混触事故</t>
    <phoneticPr fontId="1"/>
  </si>
  <si>
    <t>1967年発行の「電気設備設計データ・計算の基礎」(社団法人日本電設工業協会) 第二種接地工事 (Ｂ 種接委</t>
    <phoneticPr fontId="1"/>
  </si>
  <si>
    <t>員長) 記述内容の抜粋を以下に紹介します。世界の配電は直流で始まり(1882年ＮＹ市、1887年東京)、交流</t>
    <phoneticPr fontId="1"/>
  </si>
  <si>
    <t>　もせん方なく ・・・(以下略)</t>
    <phoneticPr fontId="1"/>
  </si>
  <si>
    <t>これは変圧器の一次巻線と二次巻線の混触による日本最初の感電死亡事故例で被害者家族が被害賠償の訴訟を</t>
    <phoneticPr fontId="1"/>
  </si>
  <si>
    <t>提起し、敗訴した東京電灯会社 (現在の東京電力) には、1500円の賠償が命じられた。当時、この種の混触事</t>
    <phoneticPr fontId="1"/>
  </si>
  <si>
    <t>故は世界各国で起こり、感電事故、火災事故が発生し、その対策として変圧器 の二次側にフィルムカットアウ</t>
    <phoneticPr fontId="1"/>
  </si>
  <si>
    <t>ト (破壊電圧まで電圧が上昇すると導通する一種の放電器) を取付け、接地する(常時非接地、混触時Ｂ種接地)</t>
    <phoneticPr fontId="1"/>
  </si>
  <si>
    <t>　　(参考) 世界で最初に商用直流配電事業を始めたのは、イタリヤの事業家ヘルマン・アインシュタイン</t>
    <rPh sb="19" eb="21">
      <t>ジギョウ</t>
    </rPh>
    <phoneticPr fontId="1"/>
  </si>
  <si>
    <t>方法を採った。その後1911年 (明治44年) わが国で初めての電気事業法が公布され、それに伴って逓信省令・</t>
    <phoneticPr fontId="1"/>
  </si>
  <si>
    <r>
      <t>　　　　　(</t>
    </r>
    <r>
      <rPr>
        <b/>
        <sz val="9"/>
        <color theme="1"/>
        <rFont val="Times New Roman"/>
        <family val="1"/>
      </rPr>
      <t xml:space="preserve">Albert  Einstein </t>
    </r>
    <r>
      <rPr>
        <sz val="9"/>
        <color theme="1"/>
        <rFont val="メイリオ"/>
        <family val="3"/>
        <charset val="128"/>
      </rPr>
      <t>の父親) である。</t>
    </r>
    <phoneticPr fontId="1"/>
  </si>
  <si>
    <t>｢電気の友｣第75号に｢電気に触れて変死を遂ぐ｣と題して小林勲氏の記事が載っています。</t>
    <phoneticPr fontId="1"/>
  </si>
  <si>
    <t>　　　小林勲氏 (当時、社団法人日本電設工業協会技術委員会副会長）執筆］</t>
    <rPh sb="30" eb="32">
      <t>カイチョウ</t>
    </rPh>
    <phoneticPr fontId="1"/>
  </si>
  <si>
    <t xml:space="preserve">電気工事規定 (後の電気工作物規定、昭和47年電気設備技術基準) が発令され､その23条に第二種 (現在Ｂ種) </t>
    <rPh sb="50" eb="52">
      <t>ゲンザイ</t>
    </rPh>
    <phoneticPr fontId="1"/>
  </si>
  <si>
    <t>接地工事が規定されてフィルムカットアウトは大正中期には、その姿を消した。</t>
    <phoneticPr fontId="1"/>
  </si>
  <si>
    <t>　気いかにして感じけん、同人の中指および人差指に線は焼付き居るに、いよいよ騒ぎ立たしが、主人万吉が</t>
    <phoneticPr fontId="1"/>
  </si>
  <si>
    <t>　向川岸小川町二番地なる高橋医師を招き診察を乞いたるも、その時おはなはすでに死し居たれば、いかんと</t>
    <phoneticPr fontId="1"/>
  </si>
  <si>
    <t>側単相2000V、二次側100Vでしたが二次側にはＢ種接地はなかった。1897年 (明治30年) 10月15日発行の</t>
    <phoneticPr fontId="1"/>
  </si>
  <si>
    <t>配電(1889年大阪、1890年東京)に変った。初期交流配電は、各国ともに非接地系で大阪・東京ともに､一次</t>
    <phoneticPr fontId="1"/>
  </si>
  <si>
    <r>
      <t>　　 混触事故による我が国最初の犠牲者</t>
    </r>
    <r>
      <rPr>
        <sz val="9"/>
        <color rgb="FF974706"/>
        <rFont val="Meiryo UI"/>
        <family val="3"/>
        <charset val="128"/>
      </rPr>
      <t xml:space="preserve">　　　…………… </t>
    </r>
    <r>
      <rPr>
        <sz val="9"/>
        <color rgb="FF974706"/>
        <rFont val="HG明朝B"/>
        <family val="1"/>
        <charset val="128"/>
      </rPr>
      <t>Ｂ種接地とおはなはん</t>
    </r>
    <rPh sb="5" eb="7">
      <t>ジコ</t>
    </rPh>
    <rPh sb="10" eb="11">
      <t>ワ</t>
    </rPh>
    <rPh sb="12" eb="13">
      <t>クニ</t>
    </rPh>
    <rPh sb="13" eb="15">
      <t>サイショ</t>
    </rPh>
    <rPh sb="16" eb="19">
      <t>ギセイシャ</t>
    </rPh>
    <phoneticPr fontId="1"/>
  </si>
  <si>
    <t>　有合わせし肉切包丁にて右の電灯紐を切断したれば、暫くおはなの手より電灯紐は離れたり、依て直ぐさま</t>
    <phoneticPr fontId="1"/>
  </si>
  <si>
    <t>　打倒れて苦しむ体に、家内の者共大いに驚き一同駆付け見たるに、おはなが右の手にて押さえし電灯紐の電</t>
    <rPh sb="48" eb="49">
      <t>デン</t>
    </rPh>
    <phoneticPr fontId="1"/>
  </si>
  <si>
    <t>　入口の下足のところへ移さんとして電灯紐 (コード) に手をかけると同時に､アッと一声叫びしままその場に</t>
    <phoneticPr fontId="1"/>
  </si>
  <si>
    <t>　10月１日午後5時10分、東京神田錦町二丁目三番地牛肉店江知勝方の女中おはな (15) が肉切場より電灯を</t>
    <phoneticPr fontId="1"/>
  </si>
  <si>
    <t xml:space="preserve">                           営業時間：８時～12時、13時 ～ 17時</t>
    <rPh sb="27" eb="29">
      <t>エイギョウ</t>
    </rPh>
    <rPh sb="29" eb="31">
      <t>ジカン</t>
    </rPh>
    <rPh sb="33" eb="34">
      <t>ジ</t>
    </rPh>
    <phoneticPr fontId="1"/>
  </si>
  <si>
    <r>
      <rPr>
        <sz val="9"/>
        <color rgb="FF0000FF"/>
        <rFont val="HG明朝B"/>
        <family val="1"/>
        <charset val="128"/>
      </rPr>
      <t>　</t>
    </r>
    <r>
      <rPr>
        <sz val="9"/>
        <color rgb="FF0000FF"/>
        <rFont val="Times New Roman"/>
        <family val="1"/>
      </rPr>
      <t>MicroSoft</t>
    </r>
    <r>
      <rPr>
        <sz val="9"/>
        <color rgb="FF0000FF"/>
        <rFont val="HG明朝B"/>
        <family val="1"/>
        <charset val="128"/>
      </rPr>
      <t>　</t>
    </r>
    <r>
      <rPr>
        <sz val="9"/>
        <color rgb="FF0000FF"/>
        <rFont val="Times New Roman"/>
        <family val="1"/>
      </rPr>
      <t>Windows 7</t>
    </r>
    <r>
      <rPr>
        <sz val="9"/>
        <color rgb="FF0000FF"/>
        <rFont val="HG明朝B"/>
        <family val="1"/>
        <charset val="128"/>
      </rPr>
      <t>、</t>
    </r>
    <r>
      <rPr>
        <sz val="9"/>
        <color rgb="FF0000FF"/>
        <rFont val="Times New Roman"/>
        <family val="1"/>
      </rPr>
      <t>Windows 8</t>
    </r>
    <r>
      <rPr>
        <sz val="9"/>
        <color rgb="FF0000FF"/>
        <rFont val="HG明朝B"/>
        <family val="1"/>
        <charset val="128"/>
      </rPr>
      <t>　</t>
    </r>
    <r>
      <rPr>
        <sz val="9"/>
        <color rgb="FF0000FF"/>
        <rFont val="Times New Roman"/>
        <family val="1"/>
      </rPr>
      <t>Excel</t>
    </r>
    <phoneticPr fontId="1"/>
  </si>
  <si>
    <r>
      <t xml:space="preserve"> </t>
    </r>
    <r>
      <rPr>
        <sz val="9"/>
        <color rgb="FF800000"/>
        <rFont val="HG明朝B"/>
        <family val="1"/>
        <charset val="128"/>
      </rPr>
      <t>【参考】</t>
    </r>
    <r>
      <rPr>
        <sz val="9"/>
        <color rgb="FF0000FF"/>
        <rFont val="HG明朝B"/>
        <family val="1"/>
        <charset val="128"/>
      </rPr>
      <t xml:space="preserve"> MB (Megabyte:：メガバイト)：</t>
    </r>
    <r>
      <rPr>
        <sz val="8"/>
        <color rgb="FF0000FF"/>
        <rFont val="HG明朝B"/>
        <family val="1"/>
        <charset val="128"/>
      </rPr>
      <t>10</t>
    </r>
    <r>
      <rPr>
        <vertAlign val="superscript"/>
        <sz val="9"/>
        <color rgb="FF0000FF"/>
        <rFont val="HG明朝B"/>
        <family val="1"/>
        <charset val="128"/>
      </rPr>
      <t>6</t>
    </r>
    <r>
      <rPr>
        <sz val="9"/>
        <color rgb="FF0000FF"/>
        <rFont val="HG明朝B"/>
        <family val="1"/>
        <charset val="128"/>
      </rPr>
      <t xml:space="preserve"> byte、GB (Gigabyte：ギガバイト)：</t>
    </r>
    <r>
      <rPr>
        <sz val="8"/>
        <color rgb="FF0000FF"/>
        <rFont val="HG明朝B"/>
        <family val="1"/>
        <charset val="128"/>
      </rPr>
      <t>10</t>
    </r>
    <r>
      <rPr>
        <vertAlign val="superscript"/>
        <sz val="9"/>
        <color rgb="FF0000FF"/>
        <rFont val="HG明朝B"/>
        <family val="1"/>
        <charset val="128"/>
      </rPr>
      <t>9</t>
    </r>
    <r>
      <rPr>
        <sz val="9"/>
        <color rgb="FF0000FF"/>
        <rFont val="HG明朝B"/>
        <family val="1"/>
        <charset val="128"/>
      </rPr>
      <t xml:space="preserve"> byte</t>
    </r>
    <phoneticPr fontId="1"/>
  </si>
  <si>
    <r>
      <t xml:space="preserve">          1 Byte (バイト)：</t>
    </r>
    <r>
      <rPr>
        <sz val="8"/>
        <color rgb="FF0000FF"/>
        <rFont val="HG明朝B"/>
        <family val="1"/>
        <charset val="128"/>
      </rPr>
      <t>2</t>
    </r>
    <r>
      <rPr>
        <vertAlign val="superscript"/>
        <sz val="9"/>
        <color rgb="FF0000FF"/>
        <rFont val="HG明朝B"/>
        <family val="1"/>
        <charset val="128"/>
      </rPr>
      <t>3</t>
    </r>
    <r>
      <rPr>
        <sz val="9"/>
        <color rgb="FF0000FF"/>
        <rFont val="HG明朝B"/>
        <family val="1"/>
        <charset val="128"/>
      </rPr>
      <t>=8 Bit (ビット)、１ Bit：</t>
    </r>
    <r>
      <rPr>
        <sz val="9"/>
        <color theme="1" tint="4.9989318521683403E-2"/>
        <rFont val="HG明朝B"/>
        <family val="1"/>
        <charset val="128"/>
      </rPr>
      <t>CPU</t>
    </r>
    <r>
      <rPr>
        <sz val="9"/>
        <color rgb="FF0000FF"/>
        <rFont val="HG明朝B"/>
        <family val="1"/>
        <charset val="128"/>
      </rPr>
      <t xml:space="preserve"> が認識する最少単位 (2進法："0" or "1" )</t>
    </r>
    <phoneticPr fontId="1"/>
  </si>
  <si>
    <r>
      <t>　</t>
    </r>
    <r>
      <rPr>
        <sz val="6"/>
        <color rgb="FF800000"/>
        <rFont val="Meiryo UI"/>
        <family val="3"/>
        <charset val="128"/>
      </rPr>
      <t xml:space="preserve"> </t>
    </r>
    <r>
      <rPr>
        <sz val="9"/>
        <color rgb="FF800000"/>
        <rFont val="Meiryo UI"/>
        <family val="3"/>
        <charset val="128"/>
      </rPr>
      <t xml:space="preserve">  　Ly　　　　　　　　　　                   　　　 　　　</t>
    </r>
    <r>
      <rPr>
        <sz val="9"/>
        <color rgb="FFFF0000"/>
        <rFont val="Meiryo UI"/>
        <family val="3"/>
        <charset val="128"/>
      </rPr>
      <t>┃</t>
    </r>
    <phoneticPr fontId="1"/>
  </si>
  <si>
    <t xml:space="preserve">                           営 業 日：月曜　～　金曜日</t>
    <rPh sb="38" eb="40">
      <t>キンヨウ</t>
    </rPh>
    <phoneticPr fontId="1"/>
  </si>
  <si>
    <t xml:space="preserve">                           休　　日：土曜、日曜、祝祭日</t>
    <rPh sb="27" eb="28">
      <t>キュウ</t>
    </rPh>
    <rPh sb="30" eb="31">
      <t>ヒ</t>
    </rPh>
    <rPh sb="32" eb="34">
      <t>ドヨウ</t>
    </rPh>
    <rPh sb="35" eb="37">
      <t>ニチヨウ</t>
    </rPh>
    <phoneticPr fontId="1"/>
  </si>
  <si>
    <r>
      <t>　</t>
    </r>
    <r>
      <rPr>
        <sz val="8"/>
        <color theme="1"/>
        <rFont val="Meiryo UI"/>
        <family val="3"/>
        <charset val="128"/>
      </rPr>
      <t xml:space="preserve">　 </t>
    </r>
    <r>
      <rPr>
        <sz val="9"/>
        <color theme="1"/>
        <rFont val="Meiryo UI"/>
        <family val="3"/>
        <charset val="128"/>
      </rPr>
      <t>　  | 　　　        　   | 　　       　　　 |</t>
    </r>
    <r>
      <rPr>
        <sz val="11"/>
        <color theme="1"/>
        <rFont val="Meiryo UI"/>
        <family val="3"/>
        <charset val="128"/>
      </rPr>
      <t xml:space="preserve"> </t>
    </r>
    <r>
      <rPr>
        <sz val="9"/>
        <color theme="1"/>
        <rFont val="Meiryo UI"/>
        <family val="3"/>
        <charset val="128"/>
      </rPr>
      <t xml:space="preserve"> </t>
    </r>
    <r>
      <rPr>
        <sz val="9"/>
        <color rgb="FFFF0000"/>
        <rFont val="Meiryo UI"/>
        <family val="3"/>
        <charset val="128"/>
      </rPr>
      <t xml:space="preserve">　      </t>
    </r>
    <r>
      <rPr>
        <sz val="9"/>
        <color theme="1"/>
        <rFont val="Meiryo UI"/>
        <family val="3"/>
        <charset val="128"/>
      </rPr>
      <t xml:space="preserve">　 　  </t>
    </r>
    <r>
      <rPr>
        <sz val="6"/>
        <color theme="1"/>
        <rFont val="Meiryo UI"/>
        <family val="3"/>
        <charset val="128"/>
      </rPr>
      <t xml:space="preserve"> </t>
    </r>
    <r>
      <rPr>
        <sz val="9"/>
        <color theme="1"/>
        <rFont val="Meiryo UI"/>
        <family val="3"/>
        <charset val="128"/>
      </rPr>
      <t xml:space="preserve"> | 　　       　 　   |</t>
    </r>
    <phoneticPr fontId="1"/>
  </si>
  <si>
    <r>
      <t>　</t>
    </r>
    <r>
      <rPr>
        <sz val="8"/>
        <color theme="1"/>
        <rFont val="Meiryo UI"/>
        <family val="3"/>
        <charset val="128"/>
      </rPr>
      <t xml:space="preserve">　 </t>
    </r>
    <r>
      <rPr>
        <sz val="9"/>
        <color theme="1"/>
        <rFont val="Meiryo UI"/>
        <family val="3"/>
        <charset val="128"/>
      </rPr>
      <t>　  | 　　　        　   | 　　       　  　 |</t>
    </r>
    <r>
      <rPr>
        <sz val="11"/>
        <color theme="1"/>
        <rFont val="Meiryo UI"/>
        <family val="3"/>
        <charset val="128"/>
      </rPr>
      <t xml:space="preserve"> </t>
    </r>
    <r>
      <rPr>
        <sz val="9"/>
        <color theme="1"/>
        <rFont val="Meiryo UI"/>
        <family val="3"/>
        <charset val="128"/>
      </rPr>
      <t xml:space="preserve"> </t>
    </r>
    <r>
      <rPr>
        <sz val="9"/>
        <color rgb="FFFF0000"/>
        <rFont val="Meiryo UI"/>
        <family val="3"/>
        <charset val="128"/>
      </rPr>
      <t xml:space="preserve">　      </t>
    </r>
    <r>
      <rPr>
        <sz val="9"/>
        <color theme="1"/>
        <rFont val="Meiryo UI"/>
        <family val="3"/>
        <charset val="128"/>
      </rPr>
      <t xml:space="preserve">　 　  </t>
    </r>
    <r>
      <rPr>
        <sz val="6"/>
        <color theme="1"/>
        <rFont val="Meiryo UI"/>
        <family val="3"/>
        <charset val="128"/>
      </rPr>
      <t xml:space="preserve"> </t>
    </r>
    <r>
      <rPr>
        <sz val="9"/>
        <color theme="1"/>
        <rFont val="Meiryo UI"/>
        <family val="3"/>
        <charset val="128"/>
      </rPr>
      <t xml:space="preserve"> | 　　       　 　   |</t>
    </r>
    <phoneticPr fontId="1"/>
  </si>
  <si>
    <r>
      <t>　</t>
    </r>
    <r>
      <rPr>
        <sz val="8"/>
        <color theme="1"/>
        <rFont val="Meiryo UI"/>
        <family val="3"/>
        <charset val="128"/>
      </rPr>
      <t xml:space="preserve">　 </t>
    </r>
    <r>
      <rPr>
        <sz val="9"/>
        <color theme="1"/>
        <rFont val="Meiryo UI"/>
        <family val="3"/>
        <charset val="128"/>
      </rPr>
      <t>　  | 　　　        　   | 　　      　 　　 |</t>
    </r>
    <r>
      <rPr>
        <sz val="11"/>
        <color theme="1"/>
        <rFont val="Meiryo UI"/>
        <family val="3"/>
        <charset val="128"/>
      </rPr>
      <t xml:space="preserve"> </t>
    </r>
    <r>
      <rPr>
        <sz val="9"/>
        <color theme="1"/>
        <rFont val="Meiryo UI"/>
        <family val="3"/>
        <charset val="128"/>
      </rPr>
      <t xml:space="preserve"> </t>
    </r>
    <r>
      <rPr>
        <sz val="9"/>
        <color rgb="FFFF0000"/>
        <rFont val="Meiryo UI"/>
        <family val="3"/>
        <charset val="128"/>
      </rPr>
      <t xml:space="preserve">　        </t>
    </r>
    <r>
      <rPr>
        <sz val="9"/>
        <color theme="1"/>
        <rFont val="Meiryo UI"/>
        <family val="3"/>
        <charset val="128"/>
      </rPr>
      <t xml:space="preserve"> 　  </t>
    </r>
    <r>
      <rPr>
        <sz val="6"/>
        <color theme="1"/>
        <rFont val="Meiryo UI"/>
        <family val="3"/>
        <charset val="128"/>
      </rPr>
      <t xml:space="preserve"> </t>
    </r>
    <r>
      <rPr>
        <sz val="9"/>
        <color theme="1"/>
        <rFont val="Meiryo UI"/>
        <family val="3"/>
        <charset val="128"/>
      </rPr>
      <t xml:space="preserve"> | 　　       　 　   |</t>
    </r>
    <phoneticPr fontId="1"/>
  </si>
  <si>
    <r>
      <t>　</t>
    </r>
    <r>
      <rPr>
        <sz val="8"/>
        <color theme="1"/>
        <rFont val="Meiryo UI"/>
        <family val="3"/>
        <charset val="128"/>
      </rPr>
      <t xml:space="preserve">　 </t>
    </r>
    <r>
      <rPr>
        <sz val="9"/>
        <color theme="1"/>
        <rFont val="Meiryo UI"/>
        <family val="3"/>
        <charset val="128"/>
      </rPr>
      <t>　  | 　　　        　   | 　　      　 　　 |</t>
    </r>
    <r>
      <rPr>
        <sz val="11"/>
        <color theme="1"/>
        <rFont val="Meiryo UI"/>
        <family val="3"/>
        <charset val="128"/>
      </rPr>
      <t xml:space="preserve"> </t>
    </r>
    <r>
      <rPr>
        <sz val="9"/>
        <color theme="1"/>
        <rFont val="Meiryo UI"/>
        <family val="3"/>
        <charset val="128"/>
      </rPr>
      <t xml:space="preserve"> </t>
    </r>
    <r>
      <rPr>
        <sz val="9"/>
        <color rgb="FFFF0000"/>
        <rFont val="Meiryo UI"/>
        <family val="3"/>
        <charset val="128"/>
      </rPr>
      <t xml:space="preserve">　      </t>
    </r>
    <r>
      <rPr>
        <sz val="9"/>
        <color theme="1"/>
        <rFont val="Meiryo UI"/>
        <family val="3"/>
        <charset val="128"/>
      </rPr>
      <t xml:space="preserve">　 　  </t>
    </r>
    <r>
      <rPr>
        <sz val="6"/>
        <color theme="1"/>
        <rFont val="Meiryo UI"/>
        <family val="3"/>
        <charset val="128"/>
      </rPr>
      <t xml:space="preserve"> </t>
    </r>
    <r>
      <rPr>
        <sz val="9"/>
        <color theme="1"/>
        <rFont val="Meiryo UI"/>
        <family val="3"/>
        <charset val="128"/>
      </rPr>
      <t xml:space="preserve"> | 　　       　 　   |</t>
    </r>
    <phoneticPr fontId="1"/>
  </si>
  <si>
    <r>
      <t>　</t>
    </r>
    <r>
      <rPr>
        <sz val="8"/>
        <color theme="1"/>
        <rFont val="Meiryo UI"/>
        <family val="3"/>
        <charset val="128"/>
      </rPr>
      <t xml:space="preserve">　 </t>
    </r>
    <r>
      <rPr>
        <sz val="9"/>
        <color theme="1"/>
        <rFont val="Meiryo UI"/>
        <family val="3"/>
        <charset val="128"/>
      </rPr>
      <t>　  | 　　　        　   | 　　         　　 |</t>
    </r>
    <r>
      <rPr>
        <sz val="11"/>
        <color theme="1"/>
        <rFont val="Meiryo UI"/>
        <family val="3"/>
        <charset val="128"/>
      </rPr>
      <t xml:space="preserve"> </t>
    </r>
    <r>
      <rPr>
        <sz val="9"/>
        <color theme="1"/>
        <rFont val="Meiryo UI"/>
        <family val="3"/>
        <charset val="128"/>
      </rPr>
      <t xml:space="preserve"> </t>
    </r>
    <r>
      <rPr>
        <sz val="9"/>
        <color rgb="FFFF0000"/>
        <rFont val="Meiryo UI"/>
        <family val="3"/>
        <charset val="128"/>
      </rPr>
      <t xml:space="preserve">　      </t>
    </r>
    <r>
      <rPr>
        <sz val="9"/>
        <color theme="1"/>
        <rFont val="Meiryo UI"/>
        <family val="3"/>
        <charset val="128"/>
      </rPr>
      <t xml:space="preserve">　 　  </t>
    </r>
    <r>
      <rPr>
        <sz val="6"/>
        <color theme="1"/>
        <rFont val="Meiryo UI"/>
        <family val="3"/>
        <charset val="128"/>
      </rPr>
      <t xml:space="preserve"> </t>
    </r>
    <r>
      <rPr>
        <sz val="9"/>
        <color theme="1"/>
        <rFont val="Meiryo UI"/>
        <family val="3"/>
        <charset val="128"/>
      </rPr>
      <t xml:space="preserve"> | 　　       　 　   |</t>
    </r>
    <phoneticPr fontId="1"/>
  </si>
  <si>
    <r>
      <t>　</t>
    </r>
    <r>
      <rPr>
        <sz val="8"/>
        <color theme="1"/>
        <rFont val="Meiryo UI"/>
        <family val="3"/>
        <charset val="128"/>
      </rPr>
      <t xml:space="preserve">　 </t>
    </r>
    <r>
      <rPr>
        <sz val="9"/>
        <color theme="1"/>
        <rFont val="Meiryo UI"/>
        <family val="3"/>
        <charset val="128"/>
      </rPr>
      <t>　  | 　　　        　   | 　　      　 　　 |</t>
    </r>
    <r>
      <rPr>
        <sz val="11"/>
        <color theme="1"/>
        <rFont val="Meiryo UI"/>
        <family val="3"/>
        <charset val="128"/>
      </rPr>
      <t xml:space="preserve"> </t>
    </r>
    <r>
      <rPr>
        <sz val="9"/>
        <color theme="1"/>
        <rFont val="Meiryo UI"/>
        <family val="3"/>
        <charset val="128"/>
      </rPr>
      <t xml:space="preserve"> </t>
    </r>
    <r>
      <rPr>
        <sz val="9"/>
        <color rgb="FFFF0000"/>
        <rFont val="Meiryo UI"/>
        <family val="3"/>
        <charset val="128"/>
      </rPr>
      <t xml:space="preserve">　        </t>
    </r>
    <r>
      <rPr>
        <sz val="9"/>
        <color theme="1"/>
        <rFont val="Meiryo UI"/>
        <family val="3"/>
        <charset val="128"/>
      </rPr>
      <t xml:space="preserve">　   </t>
    </r>
    <r>
      <rPr>
        <sz val="6"/>
        <color theme="1"/>
        <rFont val="Meiryo UI"/>
        <family val="3"/>
        <charset val="128"/>
      </rPr>
      <t xml:space="preserve"> </t>
    </r>
    <r>
      <rPr>
        <sz val="9"/>
        <color theme="1"/>
        <rFont val="Meiryo UI"/>
        <family val="3"/>
        <charset val="128"/>
      </rPr>
      <t xml:space="preserve"> | 　　       　 　   |</t>
    </r>
    <phoneticPr fontId="1"/>
  </si>
  <si>
    <r>
      <t>　</t>
    </r>
    <r>
      <rPr>
        <sz val="8"/>
        <color theme="1"/>
        <rFont val="Meiryo UI"/>
        <family val="3"/>
        <charset val="128"/>
      </rPr>
      <t xml:space="preserve">　 </t>
    </r>
    <r>
      <rPr>
        <sz val="9"/>
        <color theme="1"/>
        <rFont val="Meiryo UI"/>
        <family val="3"/>
        <charset val="128"/>
      </rPr>
      <t>　  | 　　　        　   | 　　       　 　　|</t>
    </r>
    <r>
      <rPr>
        <sz val="11"/>
        <color theme="1"/>
        <rFont val="Meiryo UI"/>
        <family val="3"/>
        <charset val="128"/>
      </rPr>
      <t xml:space="preserve"> </t>
    </r>
    <r>
      <rPr>
        <sz val="9"/>
        <color theme="1"/>
        <rFont val="Meiryo UI"/>
        <family val="3"/>
        <charset val="128"/>
      </rPr>
      <t xml:space="preserve"> </t>
    </r>
    <r>
      <rPr>
        <sz val="9"/>
        <color rgb="FFFF0000"/>
        <rFont val="Meiryo UI"/>
        <family val="3"/>
        <charset val="128"/>
      </rPr>
      <t xml:space="preserve">　      </t>
    </r>
    <r>
      <rPr>
        <sz val="9"/>
        <color theme="1"/>
        <rFont val="Meiryo UI"/>
        <family val="3"/>
        <charset val="128"/>
      </rPr>
      <t xml:space="preserve">　 　  </t>
    </r>
    <r>
      <rPr>
        <sz val="6"/>
        <color theme="1"/>
        <rFont val="Meiryo UI"/>
        <family val="3"/>
        <charset val="128"/>
      </rPr>
      <t xml:space="preserve"> </t>
    </r>
    <r>
      <rPr>
        <sz val="9"/>
        <color theme="1"/>
        <rFont val="Meiryo UI"/>
        <family val="3"/>
        <charset val="128"/>
      </rPr>
      <t xml:space="preserve"> | 　　       　 　   |</t>
    </r>
    <phoneticPr fontId="1"/>
  </si>
  <si>
    <r>
      <t>　</t>
    </r>
    <r>
      <rPr>
        <sz val="8"/>
        <color theme="1"/>
        <rFont val="Meiryo UI"/>
        <family val="3"/>
        <charset val="128"/>
      </rPr>
      <t xml:space="preserve">　 </t>
    </r>
    <r>
      <rPr>
        <sz val="9"/>
        <color theme="1"/>
        <rFont val="Meiryo UI"/>
        <family val="3"/>
        <charset val="128"/>
      </rPr>
      <t>　  | 　　　        　   | 　　       　 　  |</t>
    </r>
    <r>
      <rPr>
        <sz val="11"/>
        <color theme="1"/>
        <rFont val="Meiryo UI"/>
        <family val="3"/>
        <charset val="128"/>
      </rPr>
      <t xml:space="preserve"> </t>
    </r>
    <r>
      <rPr>
        <sz val="9"/>
        <color theme="1"/>
        <rFont val="Meiryo UI"/>
        <family val="3"/>
        <charset val="128"/>
      </rPr>
      <t xml:space="preserve"> </t>
    </r>
    <r>
      <rPr>
        <sz val="9"/>
        <color rgb="FFFF0000"/>
        <rFont val="Meiryo UI"/>
        <family val="3"/>
        <charset val="128"/>
      </rPr>
      <t xml:space="preserve">　      </t>
    </r>
    <r>
      <rPr>
        <sz val="9"/>
        <color theme="1"/>
        <rFont val="Meiryo UI"/>
        <family val="3"/>
        <charset val="128"/>
      </rPr>
      <t xml:space="preserve">　 　  </t>
    </r>
    <r>
      <rPr>
        <sz val="6"/>
        <color theme="1"/>
        <rFont val="Meiryo UI"/>
        <family val="3"/>
        <charset val="128"/>
      </rPr>
      <t xml:space="preserve"> </t>
    </r>
    <r>
      <rPr>
        <sz val="9"/>
        <color theme="1"/>
        <rFont val="Meiryo UI"/>
        <family val="3"/>
        <charset val="128"/>
      </rPr>
      <t xml:space="preserve"> | 　　       　 　   |</t>
    </r>
    <phoneticPr fontId="1"/>
  </si>
  <si>
    <r>
      <t>　</t>
    </r>
    <r>
      <rPr>
        <sz val="8"/>
        <color theme="1"/>
        <rFont val="Meiryo UI"/>
        <family val="3"/>
        <charset val="128"/>
      </rPr>
      <t xml:space="preserve">　 </t>
    </r>
    <r>
      <rPr>
        <sz val="9"/>
        <color theme="1"/>
        <rFont val="Meiryo UI"/>
        <family val="3"/>
        <charset val="128"/>
      </rPr>
      <t>　  | 　　　        　   | 　　       　　　 |</t>
    </r>
    <r>
      <rPr>
        <sz val="11"/>
        <color theme="1"/>
        <rFont val="Meiryo UI"/>
        <family val="3"/>
        <charset val="128"/>
      </rPr>
      <t xml:space="preserve"> </t>
    </r>
    <r>
      <rPr>
        <sz val="9"/>
        <color theme="1"/>
        <rFont val="Meiryo UI"/>
        <family val="3"/>
        <charset val="128"/>
      </rPr>
      <t xml:space="preserve"> </t>
    </r>
    <r>
      <rPr>
        <sz val="9"/>
        <color rgb="FFFF0000"/>
        <rFont val="Meiryo UI"/>
        <family val="3"/>
        <charset val="128"/>
      </rPr>
      <t xml:space="preserve">　        </t>
    </r>
    <r>
      <rPr>
        <sz val="9"/>
        <color theme="1"/>
        <rFont val="Meiryo UI"/>
        <family val="3"/>
        <charset val="128"/>
      </rPr>
      <t xml:space="preserve"> 　  </t>
    </r>
    <r>
      <rPr>
        <sz val="6"/>
        <color theme="1"/>
        <rFont val="Meiryo UI"/>
        <family val="3"/>
        <charset val="128"/>
      </rPr>
      <t xml:space="preserve"> </t>
    </r>
    <r>
      <rPr>
        <sz val="9"/>
        <color theme="1"/>
        <rFont val="Meiryo UI"/>
        <family val="3"/>
        <charset val="128"/>
      </rPr>
      <t xml:space="preserve"> | 　　       　 　   |</t>
    </r>
    <phoneticPr fontId="1"/>
  </si>
  <si>
    <r>
      <t>　　│　  　┃  4D┃│　　　　　　　　　　　　　　　　</t>
    </r>
    <r>
      <rPr>
        <sz val="9"/>
        <color rgb="FFFF0000"/>
        <rFont val="Meiryo UI"/>
        <family val="3"/>
        <charset val="128"/>
      </rPr>
      <t>┣</t>
    </r>
    <r>
      <rPr>
        <sz val="9"/>
        <color theme="1"/>
        <rFont val="Meiryo UI"/>
        <family val="3"/>
        <charset val="128"/>
      </rPr>
      <t>：分岐器 (1,2Ｃ)</t>
    </r>
    <phoneticPr fontId="1"/>
  </si>
  <si>
    <r>
      <t xml:space="preserve">　　　　　　　　　　　　　　　　　　　　　　　   </t>
    </r>
    <r>
      <rPr>
        <sz val="8"/>
        <color rgb="FF0000FF"/>
        <rFont val="Meiryo UI"/>
        <family val="3"/>
        <charset val="128"/>
      </rPr>
      <t xml:space="preserve">  </t>
    </r>
    <r>
      <rPr>
        <sz val="9"/>
        <color rgb="FF0000FF"/>
        <rFont val="Meiryo UI"/>
        <family val="3"/>
        <charset val="128"/>
      </rPr>
      <t xml:space="preserve"> 　|</t>
    </r>
    <phoneticPr fontId="1"/>
  </si>
  <si>
    <r>
      <t xml:space="preserve">　　　　　　　　　　　　　　　　　　　　　　      </t>
    </r>
    <r>
      <rPr>
        <sz val="8"/>
        <color rgb="FF0000FF"/>
        <rFont val="Meiryo UI"/>
        <family val="3"/>
        <charset val="128"/>
      </rPr>
      <t xml:space="preserve">　  </t>
    </r>
    <r>
      <rPr>
        <sz val="9"/>
        <color rgb="FF0000FF"/>
        <rFont val="Meiryo UI"/>
        <family val="3"/>
        <charset val="128"/>
      </rPr>
      <t>|</t>
    </r>
    <phoneticPr fontId="1"/>
  </si>
  <si>
    <r>
      <t>　　</t>
    </r>
    <r>
      <rPr>
        <b/>
        <sz val="9"/>
        <color rgb="FF800000"/>
        <rFont val="HG明朝B"/>
        <family val="1"/>
        <charset val="128"/>
      </rPr>
      <t xml:space="preserve">↑ </t>
    </r>
    <r>
      <rPr>
        <sz val="9"/>
        <color theme="1"/>
        <rFont val="HG明朝B"/>
        <family val="1"/>
        <charset val="128"/>
      </rPr>
      <t>■――――――■――――――■</t>
    </r>
    <r>
      <rPr>
        <sz val="7"/>
        <color theme="1"/>
        <rFont val="HG明朝B"/>
        <family val="1"/>
        <charset val="128"/>
      </rPr>
      <t xml:space="preserve"> </t>
    </r>
    <r>
      <rPr>
        <sz val="9"/>
        <color rgb="FFFF0000"/>
        <rFont val="HG明朝B"/>
        <family val="1"/>
        <charset val="128"/>
      </rPr>
      <t>╂</t>
    </r>
    <r>
      <rPr>
        <sz val="9"/>
        <color theme="1"/>
        <rFont val="HG明朝B"/>
        <family val="1"/>
        <charset val="128"/>
      </rPr>
      <t>―――― ■――――――■</t>
    </r>
    <phoneticPr fontId="1"/>
  </si>
  <si>
    <t>工事発注者</t>
    <phoneticPr fontId="1"/>
  </si>
  <si>
    <t>建設地住所</t>
    <phoneticPr fontId="1"/>
  </si>
  <si>
    <r>
      <t>敷地面積[m</t>
    </r>
    <r>
      <rPr>
        <sz val="8"/>
        <color theme="3" tint="-0.249977111117893"/>
        <rFont val="Meiryo UI"/>
        <family val="3"/>
        <charset val="128"/>
      </rPr>
      <t>2</t>
    </r>
    <r>
      <rPr>
        <sz val="9"/>
        <color theme="3" tint="-0.249977111117893"/>
        <rFont val="Meiryo UI"/>
        <family val="3"/>
        <charset val="128"/>
      </rPr>
      <t>]</t>
    </r>
    <phoneticPr fontId="1"/>
  </si>
  <si>
    <r>
      <t>建ぺい率</t>
    </r>
    <r>
      <rPr>
        <sz val="9"/>
        <color theme="1"/>
        <rFont val="Meiryo UI"/>
        <family val="3"/>
        <charset val="128"/>
      </rPr>
      <t>[％]</t>
    </r>
    <phoneticPr fontId="1"/>
  </si>
  <si>
    <t>雑材消耗費</t>
    <phoneticPr fontId="1"/>
  </si>
  <si>
    <t>運　搬　費</t>
    <phoneticPr fontId="1"/>
  </si>
  <si>
    <t>近隣商業地域</t>
  </si>
  <si>
    <t>基準設定値(令別表)</t>
    <rPh sb="6" eb="7">
      <t>レイ</t>
    </rPh>
    <rPh sb="7" eb="9">
      <t>ベッピョウ</t>
    </rPh>
    <phoneticPr fontId="1"/>
  </si>
  <si>
    <r>
      <t>専用部照明器具(</t>
    </r>
    <r>
      <rPr>
        <sz val="9"/>
        <color rgb="FFFF0000"/>
        <rFont val="Meiryo UI"/>
        <family val="3"/>
        <charset val="128"/>
      </rPr>
      <t>FL</t>
    </r>
    <r>
      <rPr>
        <sz val="9"/>
        <rFont val="Meiryo UI"/>
        <family val="3"/>
        <charset val="128"/>
      </rPr>
      <t>)</t>
    </r>
    <phoneticPr fontId="1"/>
  </si>
  <si>
    <r>
      <t>共用部照明器具(</t>
    </r>
    <r>
      <rPr>
        <sz val="9"/>
        <color rgb="FFFF0000"/>
        <rFont val="Meiryo UI"/>
        <family val="3"/>
        <charset val="128"/>
      </rPr>
      <t>FL</t>
    </r>
    <r>
      <rPr>
        <sz val="9"/>
        <rFont val="Meiryo UI"/>
        <family val="3"/>
        <charset val="128"/>
      </rPr>
      <t>)</t>
    </r>
    <phoneticPr fontId="1"/>
  </si>
  <si>
    <t>[RECS-2.xlsx]引込'!$BL$45</t>
    <phoneticPr fontId="1"/>
  </si>
  <si>
    <t>[RECS-2.xlsx]引込'!$BL$46</t>
    <phoneticPr fontId="1"/>
  </si>
  <si>
    <t>[RECS-2.xlsx]引込'!$BL$47</t>
    <phoneticPr fontId="1"/>
  </si>
  <si>
    <t>[RECS-2.xlsx]受変'!$M$152</t>
    <phoneticPr fontId="1"/>
  </si>
  <si>
    <t>[RECS-2.xlsx]受変'!$M$153+'[RECS-2.xlsx]受変'!$M$155</t>
    <phoneticPr fontId="1"/>
  </si>
  <si>
    <t>[RECS-2.xlsx]受変'!$M$156+'[RECS-2.xlsx]受変'!$M$154</t>
    <phoneticPr fontId="1"/>
  </si>
  <si>
    <t>[RECS-2.xlsx]発電'!$DN$75</t>
    <phoneticPr fontId="1"/>
  </si>
  <si>
    <t>[RECS-2.xlsx]発電'!$DN$76</t>
    <phoneticPr fontId="1"/>
  </si>
  <si>
    <t>[RECS-2.xlsx]発電'!$DN$77</t>
    <phoneticPr fontId="1"/>
  </si>
  <si>
    <t>[RECS-3.xlsx]低幹'!$M$747</t>
    <phoneticPr fontId="1"/>
  </si>
  <si>
    <t>[RECS-3.xlsx]低幹'!$M$748</t>
    <phoneticPr fontId="1"/>
  </si>
  <si>
    <t>[RECS-3.xlsx]低幹'!$M$749</t>
    <phoneticPr fontId="1"/>
  </si>
  <si>
    <t>[RECS-3.xlsx]動配'!$M$1406+'[RECS-3.xlsx]動配'!$M$1407</t>
    <phoneticPr fontId="1"/>
  </si>
  <si>
    <t>[RECS-3.xlsx]動配'!$M$1408</t>
    <phoneticPr fontId="1"/>
  </si>
  <si>
    <t>[RECS-3.xlsx]照差'!$BD$236+'[RECS-3.xlsx]照差'!$BD$237</t>
    <phoneticPr fontId="1"/>
  </si>
  <si>
    <t>[RECS-3.xlsx]照差'!$BD$238</t>
    <phoneticPr fontId="1"/>
  </si>
  <si>
    <t>[RECS-3.xlsx]照差'!$BD$248</t>
    <phoneticPr fontId="1"/>
  </si>
  <si>
    <t>[RECS-3.xlsx]照差'!$BD$247</t>
    <phoneticPr fontId="1"/>
  </si>
  <si>
    <t>[RECS-3.xlsx]照差'!$BD$249</t>
    <phoneticPr fontId="1"/>
  </si>
  <si>
    <t>[RECS-4.xlsx]非誘'!$BD$167</t>
    <phoneticPr fontId="1"/>
  </si>
  <si>
    <t>[RECS-4.xlsx]非誘'!$BD$168</t>
    <phoneticPr fontId="1"/>
  </si>
  <si>
    <t>[RECS-4.xlsx]非誘'!$BD$169</t>
    <phoneticPr fontId="1"/>
  </si>
  <si>
    <t>[RECS-4.xlsx]火煙'!$BB$192</t>
    <phoneticPr fontId="1"/>
  </si>
  <si>
    <t>[RECS-4.xlsx]火煙'!$BB$193</t>
    <phoneticPr fontId="1"/>
  </si>
  <si>
    <t>[RECS-4.xlsx]火煙'!$BB$194</t>
    <phoneticPr fontId="1"/>
  </si>
  <si>
    <t>[RECS-4.xlsx]雷保'!$K$64</t>
    <phoneticPr fontId="1"/>
  </si>
  <si>
    <t>[RECS-4.xlsx]雷保'!$K$65</t>
    <phoneticPr fontId="1"/>
  </si>
  <si>
    <t>[RECS-4.xlsx]雷保'!$K$66</t>
    <phoneticPr fontId="1"/>
  </si>
  <si>
    <t>[RECS-4.xlsx]電話'!$M$297+'[RECS-4.xlsx]電話'!$M$298</t>
    <phoneticPr fontId="1"/>
  </si>
  <si>
    <t>[RECS-4.xlsx]電話'!$M$299</t>
    <phoneticPr fontId="1"/>
  </si>
  <si>
    <t>[RECS-4.xlsx]電話'!$M$300</t>
    <phoneticPr fontId="1"/>
  </si>
  <si>
    <t>[RECS-4.xlsx]放送'!$BD$235+'[RECS-4.xlsx]放送'!$BD$236</t>
    <phoneticPr fontId="1"/>
  </si>
  <si>
    <t>[RECS-4.xlsx]放送'!$BD$237</t>
    <phoneticPr fontId="1"/>
  </si>
  <si>
    <t>[RECS-4.xlsx]放送'!$BD$238</t>
    <phoneticPr fontId="1"/>
  </si>
  <si>
    <t>[RECS-4.xlsx]TV'!$M$362</t>
    <phoneticPr fontId="1"/>
  </si>
  <si>
    <t>[RECS-4.xlsx]TV'!$M$363</t>
    <phoneticPr fontId="1"/>
  </si>
  <si>
    <t>[RECS-4.xlsx]TV'!$M$364</t>
    <phoneticPr fontId="1"/>
  </si>
  <si>
    <t>500 Kvar ×3</t>
    <phoneticPr fontId="1"/>
  </si>
  <si>
    <t>400 Kvar ×3</t>
    <phoneticPr fontId="1"/>
  </si>
  <si>
    <t>300 Kvar ×3</t>
    <phoneticPr fontId="1"/>
  </si>
  <si>
    <t>250 Kvar ×3</t>
    <phoneticPr fontId="1"/>
  </si>
  <si>
    <t>200 Kvar ×3</t>
    <phoneticPr fontId="1"/>
  </si>
  <si>
    <t>150 Kvar ×3</t>
    <phoneticPr fontId="1"/>
  </si>
  <si>
    <t>100 Kvar ×3</t>
    <phoneticPr fontId="1"/>
  </si>
  <si>
    <t xml:space="preserve"> 75 Kvar ×3</t>
    <phoneticPr fontId="1"/>
  </si>
  <si>
    <t xml:space="preserve"> 50 Kvar ×3</t>
    <phoneticPr fontId="1"/>
  </si>
  <si>
    <t xml:space="preserve"> 50 Kvar ×2</t>
    <phoneticPr fontId="1"/>
  </si>
  <si>
    <t xml:space="preserve"> 75 Kvar ×1</t>
    <phoneticPr fontId="1"/>
  </si>
  <si>
    <t>▼</t>
    <phoneticPr fontId="1"/>
  </si>
  <si>
    <t xml:space="preserve"> 50 Kvar ×1</t>
    <phoneticPr fontId="1"/>
  </si>
  <si>
    <t>▼</t>
    <phoneticPr fontId="1"/>
  </si>
  <si>
    <t xml:space="preserve"> 36 Kvar ×1</t>
    <phoneticPr fontId="1"/>
  </si>
  <si>
    <t xml:space="preserve"> 30 Kvar ×1</t>
    <phoneticPr fontId="1"/>
  </si>
  <si>
    <t xml:space="preserve"> 25 Kvar ×1</t>
    <phoneticPr fontId="1"/>
  </si>
  <si>
    <t xml:space="preserve"> 24 Kvar ×1</t>
    <phoneticPr fontId="1"/>
  </si>
  <si>
    <t xml:space="preserve"> 20 Kvar ×1</t>
    <phoneticPr fontId="1"/>
  </si>
  <si>
    <t xml:space="preserve"> 18 Kvar ×1</t>
    <phoneticPr fontId="1"/>
  </si>
  <si>
    <t xml:space="preserve"> 15 Kvar ×1</t>
    <phoneticPr fontId="1"/>
  </si>
  <si>
    <t>Top</t>
    <phoneticPr fontId="1"/>
  </si>
  <si>
    <t xml:space="preserve"> 12 Kvar ×1</t>
    <phoneticPr fontId="1"/>
  </si>
  <si>
    <t xml:space="preserve"> 10 Kvar ×1</t>
    <phoneticPr fontId="1"/>
  </si>
  <si>
    <t>換気風量</t>
    <rPh sb="0" eb="2">
      <t>カンキ</t>
    </rPh>
    <rPh sb="2" eb="4">
      <t>フウリョウ</t>
    </rPh>
    <phoneticPr fontId="1"/>
  </si>
  <si>
    <t>▼</t>
    <phoneticPr fontId="1"/>
  </si>
  <si>
    <t>電 工 数</t>
    <phoneticPr fontId="1"/>
  </si>
  <si>
    <t>歩　掛</t>
    <phoneticPr fontId="1"/>
  </si>
  <si>
    <t>金　　額 (円)</t>
    <rPh sb="6" eb="7">
      <t>エン</t>
    </rPh>
    <phoneticPr fontId="1"/>
  </si>
  <si>
    <t>単価 修正</t>
    <phoneticPr fontId="1"/>
  </si>
  <si>
    <t>単　 価 (円)</t>
    <rPh sb="6" eb="7">
      <t>エン</t>
    </rPh>
    <phoneticPr fontId="1"/>
  </si>
  <si>
    <t>呼称</t>
    <phoneticPr fontId="1"/>
  </si>
  <si>
    <t>数 量</t>
    <phoneticPr fontId="1"/>
  </si>
  <si>
    <t>機 器 名 称</t>
    <phoneticPr fontId="1"/>
  </si>
  <si>
    <t>Top</t>
    <phoneticPr fontId="1"/>
  </si>
  <si>
    <t>引込工事</t>
    <phoneticPr fontId="1"/>
  </si>
  <si>
    <t>開放型受変電設備</t>
  </si>
  <si>
    <t>460/266V</t>
    <phoneticPr fontId="1"/>
  </si>
  <si>
    <t>440/254V</t>
    <phoneticPr fontId="1"/>
  </si>
  <si>
    <t>420/242V</t>
    <phoneticPr fontId="1"/>
  </si>
  <si>
    <t>400/231V</t>
    <phoneticPr fontId="1"/>
  </si>
  <si>
    <t>380/219V</t>
    <phoneticPr fontId="1"/>
  </si>
  <si>
    <t>220/110V</t>
    <phoneticPr fontId="1"/>
  </si>
  <si>
    <t>210/105V</t>
    <phoneticPr fontId="1"/>
  </si>
  <si>
    <t>200/100V</t>
    <phoneticPr fontId="1"/>
  </si>
  <si>
    <t>460V</t>
    <phoneticPr fontId="1"/>
  </si>
  <si>
    <t>440V</t>
    <phoneticPr fontId="1"/>
  </si>
  <si>
    <t>420V</t>
    <phoneticPr fontId="1"/>
  </si>
  <si>
    <t>400V</t>
    <phoneticPr fontId="1"/>
  </si>
  <si>
    <t>380V</t>
    <phoneticPr fontId="1"/>
  </si>
  <si>
    <t>220V</t>
    <phoneticPr fontId="1"/>
  </si>
  <si>
    <t>210V</t>
    <phoneticPr fontId="1"/>
  </si>
  <si>
    <t>200V</t>
    <phoneticPr fontId="1"/>
  </si>
  <si>
    <t xml:space="preserve"> 750 KVA×2</t>
    <phoneticPr fontId="1"/>
  </si>
  <si>
    <t>3φ4W</t>
    <phoneticPr fontId="1"/>
  </si>
  <si>
    <t>3φ3W</t>
    <phoneticPr fontId="1"/>
  </si>
  <si>
    <t>1φ3W</t>
    <phoneticPr fontId="1"/>
  </si>
  <si>
    <t xml:space="preserve">  </t>
    <phoneticPr fontId="1"/>
  </si>
  <si>
    <t>1500 KVA×2</t>
    <phoneticPr fontId="1"/>
  </si>
  <si>
    <t>1000 KVA×2</t>
    <phoneticPr fontId="1"/>
  </si>
  <si>
    <t>SumTR</t>
    <phoneticPr fontId="1"/>
  </si>
  <si>
    <t>1500 KVA×4</t>
    <phoneticPr fontId="1"/>
  </si>
  <si>
    <t>1500 KVA×3</t>
    <phoneticPr fontId="1"/>
  </si>
  <si>
    <t xml:space="preserve"> 500 KVA×3</t>
    <phoneticPr fontId="1"/>
  </si>
  <si>
    <t xml:space="preserve"> 500 KVA×2</t>
    <phoneticPr fontId="1"/>
  </si>
  <si>
    <t xml:space="preserve"> 300 KVA×3</t>
    <phoneticPr fontId="1"/>
  </si>
  <si>
    <t xml:space="preserve"> 200 KVA×3</t>
    <phoneticPr fontId="1"/>
  </si>
  <si>
    <t xml:space="preserve"> 750 KVA×1</t>
    <phoneticPr fontId="1"/>
  </si>
  <si>
    <t xml:space="preserve"> 500 KVA×1</t>
    <phoneticPr fontId="1"/>
  </si>
  <si>
    <t xml:space="preserve"> 300 KVA×2</t>
    <phoneticPr fontId="1"/>
  </si>
  <si>
    <t xml:space="preserve"> 150 KVA×3</t>
    <phoneticPr fontId="1"/>
  </si>
  <si>
    <t>Sum TR 数</t>
    <rPh sb="7" eb="8">
      <t>スウ</t>
    </rPh>
    <phoneticPr fontId="1"/>
  </si>
  <si>
    <t>TR台数</t>
    <rPh sb="2" eb="4">
      <t>ダイスウ</t>
    </rPh>
    <phoneticPr fontId="1"/>
  </si>
  <si>
    <t>TR[KVA]</t>
    <phoneticPr fontId="1"/>
  </si>
  <si>
    <t xml:space="preserve"> 200 KVA×2</t>
    <phoneticPr fontId="1"/>
  </si>
  <si>
    <t xml:space="preserve"> 150 KVA×2</t>
    <phoneticPr fontId="1"/>
  </si>
  <si>
    <t xml:space="preserve"> 300 KVA×1</t>
    <phoneticPr fontId="1"/>
  </si>
  <si>
    <t xml:space="preserve"> 100 KVA×2</t>
    <phoneticPr fontId="1"/>
  </si>
  <si>
    <t xml:space="preserve">  75 KVA×2</t>
    <phoneticPr fontId="1"/>
  </si>
  <si>
    <t>DmKVar</t>
    <phoneticPr fontId="1"/>
  </si>
  <si>
    <t>DmKW</t>
    <phoneticPr fontId="1"/>
  </si>
  <si>
    <t xml:space="preserve">DmKVA/m    </t>
    <phoneticPr fontId="1"/>
  </si>
  <si>
    <t xml:space="preserve"> 200 KVA×1</t>
    <phoneticPr fontId="1"/>
  </si>
  <si>
    <t xml:space="preserve"> 100 KVA×1</t>
    <phoneticPr fontId="1"/>
  </si>
  <si>
    <t xml:space="preserve">  75 KVA×1</t>
    <phoneticPr fontId="1"/>
  </si>
  <si>
    <t xml:space="preserve"> 150 KVA×1</t>
    <phoneticPr fontId="1"/>
  </si>
  <si>
    <t xml:space="preserve">  50 KVA×1</t>
    <phoneticPr fontId="1"/>
  </si>
  <si>
    <t xml:space="preserve">  30 KVA×1</t>
    <phoneticPr fontId="1"/>
  </si>
  <si>
    <t>Dm cosφ</t>
    <phoneticPr fontId="1"/>
  </si>
  <si>
    <t>[DmA]</t>
    <phoneticPr fontId="1"/>
  </si>
  <si>
    <t>[DmKVar]</t>
    <phoneticPr fontId="1"/>
  </si>
  <si>
    <t>[DmKW]</t>
    <phoneticPr fontId="1"/>
  </si>
  <si>
    <t>[DmKVA]</t>
    <phoneticPr fontId="1"/>
  </si>
  <si>
    <t>[KVar]</t>
    <phoneticPr fontId="1"/>
  </si>
  <si>
    <t>[KW]</t>
    <phoneticPr fontId="1"/>
  </si>
  <si>
    <t>[KVA]</t>
    <phoneticPr fontId="1"/>
  </si>
  <si>
    <t xml:space="preserve">  20 KVA×1</t>
    <phoneticPr fontId="1"/>
  </si>
  <si>
    <t>需要力率</t>
    <rPh sb="0" eb="2">
      <t>ジュヨウ</t>
    </rPh>
    <rPh sb="2" eb="3">
      <t>チカラ</t>
    </rPh>
    <rPh sb="3" eb="4">
      <t>リツ</t>
    </rPh>
    <phoneticPr fontId="1"/>
  </si>
  <si>
    <t>需要電流</t>
    <rPh sb="0" eb="2">
      <t>ジュヨウ</t>
    </rPh>
    <rPh sb="2" eb="4">
      <t>デンリュウ</t>
    </rPh>
    <phoneticPr fontId="1"/>
  </si>
  <si>
    <t>需    要    容    量</t>
    <rPh sb="0" eb="1">
      <t>モトメ</t>
    </rPh>
    <rPh sb="5" eb="6">
      <t>ヨウ</t>
    </rPh>
    <rPh sb="10" eb="11">
      <t>カタチ</t>
    </rPh>
    <rPh sb="15" eb="16">
      <t>リョウ</t>
    </rPh>
    <phoneticPr fontId="1"/>
  </si>
  <si>
    <t>設    備    容    量</t>
    <rPh sb="0" eb="1">
      <t>セツ</t>
    </rPh>
    <rPh sb="5" eb="6">
      <t>ソナエ</t>
    </rPh>
    <rPh sb="10" eb="11">
      <t>カタチ</t>
    </rPh>
    <rPh sb="15" eb="16">
      <t>リョウ</t>
    </rPh>
    <phoneticPr fontId="1"/>
  </si>
  <si>
    <t>電 気 方 式</t>
    <rPh sb="0" eb="1">
      <t>デン</t>
    </rPh>
    <rPh sb="2" eb="3">
      <t>キ</t>
    </rPh>
    <rPh sb="4" eb="5">
      <t>カタ</t>
    </rPh>
    <rPh sb="6" eb="7">
      <t>シキ</t>
    </rPh>
    <phoneticPr fontId="1"/>
  </si>
  <si>
    <t>負荷項目</t>
    <rPh sb="0" eb="2">
      <t>フカ</t>
    </rPh>
    <rPh sb="2" eb="4">
      <t>コウモク</t>
    </rPh>
    <phoneticPr fontId="1"/>
  </si>
  <si>
    <t>沖縄電力</t>
    <phoneticPr fontId="1"/>
  </si>
  <si>
    <t xml:space="preserve">    DmKVA/m</t>
    <phoneticPr fontId="1"/>
  </si>
  <si>
    <t>http://www.hepco.co.jp/</t>
    <phoneticPr fontId="1"/>
  </si>
  <si>
    <t>九州電力</t>
    <phoneticPr fontId="1"/>
  </si>
  <si>
    <t>四国電力</t>
    <phoneticPr fontId="1"/>
  </si>
  <si>
    <t>中国電力</t>
    <phoneticPr fontId="1"/>
  </si>
  <si>
    <t>関西電力</t>
    <phoneticPr fontId="1"/>
  </si>
  <si>
    <t>北陸電力</t>
    <phoneticPr fontId="1"/>
  </si>
  <si>
    <t>中部電力</t>
    <phoneticPr fontId="1"/>
  </si>
  <si>
    <t>東京電力</t>
    <phoneticPr fontId="1"/>
  </si>
  <si>
    <t>設備KW</t>
    <rPh sb="0" eb="2">
      <t>セツビ</t>
    </rPh>
    <phoneticPr fontId="1"/>
  </si>
  <si>
    <t>東北電力</t>
    <phoneticPr fontId="1"/>
  </si>
  <si>
    <t>北海道電力</t>
    <rPh sb="0" eb="3">
      <t>ホッカイドウ</t>
    </rPh>
    <phoneticPr fontId="1"/>
  </si>
  <si>
    <t>電力料金</t>
    <rPh sb="0" eb="2">
      <t>デンリョク</t>
    </rPh>
    <rPh sb="2" eb="4">
      <t>リョウキン</t>
    </rPh>
    <phoneticPr fontId="1"/>
  </si>
  <si>
    <t>基本料金</t>
    <rPh sb="0" eb="2">
      <t>キホン</t>
    </rPh>
    <rPh sb="2" eb="4">
      <t>リョウキン</t>
    </rPh>
    <phoneticPr fontId="1"/>
  </si>
  <si>
    <t>低圧受電</t>
    <rPh sb="0" eb="2">
      <t>テイアツ</t>
    </rPh>
    <rPh sb="2" eb="4">
      <t>ジュデン</t>
    </rPh>
    <phoneticPr fontId="1"/>
  </si>
  <si>
    <t>高 圧 受 電</t>
    <rPh sb="0" eb="1">
      <t>コウ</t>
    </rPh>
    <rPh sb="2" eb="3">
      <t>アッ</t>
    </rPh>
    <rPh sb="4" eb="5">
      <t>ウケ</t>
    </rPh>
    <rPh sb="6" eb="7">
      <t>デン</t>
    </rPh>
    <phoneticPr fontId="1"/>
  </si>
  <si>
    <t>励磁突入</t>
    <rPh sb="0" eb="4">
      <t>レイジトツニュウ</t>
    </rPh>
    <phoneticPr fontId="1"/>
  </si>
  <si>
    <t>耐震措置</t>
    <rPh sb="0" eb="2">
      <t>タイシン</t>
    </rPh>
    <rPh sb="2" eb="4">
      <t>ソチ</t>
    </rPh>
    <phoneticPr fontId="1"/>
  </si>
  <si>
    <t>Help</t>
    <phoneticPr fontId="1"/>
  </si>
  <si>
    <t>Help</t>
    <phoneticPr fontId="1"/>
  </si>
  <si>
    <t>集 計 表</t>
    <phoneticPr fontId="1"/>
  </si>
  <si>
    <t>TopPage</t>
    <phoneticPr fontId="1"/>
  </si>
  <si>
    <t>TopPage</t>
    <phoneticPr fontId="1"/>
  </si>
  <si>
    <t>CEES 5.5sq-20C</t>
    <phoneticPr fontId="1"/>
  </si>
  <si>
    <t>CEES 3.5sq-20C</t>
    <phoneticPr fontId="1"/>
  </si>
  <si>
    <t>CEES 2sq-20C</t>
    <phoneticPr fontId="1"/>
  </si>
  <si>
    <t>CEES 1.25sq-20C</t>
    <phoneticPr fontId="1"/>
  </si>
  <si>
    <t>CEES 5.5sq-15C</t>
    <phoneticPr fontId="1"/>
  </si>
  <si>
    <t>CEES 3.5sq-15C</t>
    <phoneticPr fontId="1"/>
  </si>
  <si>
    <t>CEES 2sq-15C</t>
    <phoneticPr fontId="1"/>
  </si>
  <si>
    <t>CEES 1.25sq-15C</t>
    <phoneticPr fontId="1"/>
  </si>
  <si>
    <t>CEES 5.5sq-12C</t>
    <phoneticPr fontId="1"/>
  </si>
  <si>
    <t>CEES 3.5sq-12C</t>
    <phoneticPr fontId="1"/>
  </si>
  <si>
    <t>CEES 2sq-12C</t>
    <phoneticPr fontId="1"/>
  </si>
  <si>
    <t>CEES 1.25sq-12C</t>
    <phoneticPr fontId="1"/>
  </si>
  <si>
    <t>CEES 5.5sq-10C</t>
    <phoneticPr fontId="1"/>
  </si>
  <si>
    <t>CEES 3.5sq-10C</t>
    <phoneticPr fontId="1"/>
  </si>
  <si>
    <t>CEES 2sq-10C</t>
    <phoneticPr fontId="1"/>
  </si>
  <si>
    <t>CEES 1.25sq-10C</t>
    <phoneticPr fontId="1"/>
  </si>
  <si>
    <t>CEES 5.5sq-8C</t>
    <phoneticPr fontId="1"/>
  </si>
  <si>
    <t>CEES 3.5sq-8C</t>
    <phoneticPr fontId="1"/>
  </si>
  <si>
    <t>CEES 2sq-8C</t>
    <phoneticPr fontId="1"/>
  </si>
  <si>
    <t>CEES 1.25sq-8C</t>
    <phoneticPr fontId="1"/>
  </si>
  <si>
    <t>CEES 5.5sq-7C</t>
    <phoneticPr fontId="1"/>
  </si>
  <si>
    <t>CEES 3.5sq-7C</t>
    <phoneticPr fontId="1"/>
  </si>
  <si>
    <t>CEES 2sq-7C</t>
    <phoneticPr fontId="1"/>
  </si>
  <si>
    <t>CEES 1.25sq-7C</t>
    <phoneticPr fontId="1"/>
  </si>
  <si>
    <t>CEES 5.5sq-6C</t>
    <phoneticPr fontId="1"/>
  </si>
  <si>
    <t>CEES 3.5sq-6C</t>
    <phoneticPr fontId="1"/>
  </si>
  <si>
    <t>CEES 2sq-6C</t>
    <phoneticPr fontId="1"/>
  </si>
  <si>
    <t>CEES 1.25sq-6C</t>
    <phoneticPr fontId="1"/>
  </si>
  <si>
    <t>CEES 5.5sq-5C</t>
    <phoneticPr fontId="1"/>
  </si>
  <si>
    <t>CEES 3.5sq-5C</t>
    <phoneticPr fontId="1"/>
  </si>
  <si>
    <t>CEES 2sq-5C</t>
    <phoneticPr fontId="1"/>
  </si>
  <si>
    <t>CEES 1.25sq-5C</t>
    <phoneticPr fontId="1"/>
  </si>
  <si>
    <t>CEES 5.5sq-4C</t>
    <phoneticPr fontId="1"/>
  </si>
  <si>
    <t>CEES 3.5sq-4C</t>
    <phoneticPr fontId="1"/>
  </si>
  <si>
    <t>CEES 2sq-4C</t>
    <phoneticPr fontId="1"/>
  </si>
  <si>
    <t>CEES 1.25sq-4C</t>
    <phoneticPr fontId="1"/>
  </si>
  <si>
    <t>CEES 5.5sq-3C</t>
    <phoneticPr fontId="1"/>
  </si>
  <si>
    <t>CEES 3.5sq-3C</t>
    <phoneticPr fontId="1"/>
  </si>
  <si>
    <t>CEES 2sq-3C</t>
    <phoneticPr fontId="1"/>
  </si>
  <si>
    <t>CEES 1.25sq-3C</t>
    <phoneticPr fontId="1"/>
  </si>
  <si>
    <t>CEES 5.5sq-2C</t>
    <phoneticPr fontId="1"/>
  </si>
  <si>
    <t>CEES 3.5sq-2C</t>
    <phoneticPr fontId="1"/>
  </si>
  <si>
    <t>CEES 2sq-2C</t>
    <phoneticPr fontId="1"/>
  </si>
  <si>
    <t>CEES 1.25sq-2C</t>
    <phoneticPr fontId="1"/>
  </si>
  <si>
    <t>CVVS 5.5sq-20C</t>
    <phoneticPr fontId="1"/>
  </si>
  <si>
    <t>CVVS 3.5sq-20C</t>
    <phoneticPr fontId="1"/>
  </si>
  <si>
    <t>CVVS 2sq-20C</t>
    <phoneticPr fontId="1"/>
  </si>
  <si>
    <t>CVVS 1.25sq-20C</t>
    <phoneticPr fontId="1"/>
  </si>
  <si>
    <t>CVVS 5.5sq-15C</t>
    <phoneticPr fontId="1"/>
  </si>
  <si>
    <t>CVVS 3.5sq-15C</t>
    <phoneticPr fontId="1"/>
  </si>
  <si>
    <t>CVVS 2sq-15C</t>
    <phoneticPr fontId="1"/>
  </si>
  <si>
    <t>CVVS 1.25sq-15C</t>
    <phoneticPr fontId="1"/>
  </si>
  <si>
    <t>CVVS 5.5sq-12C</t>
    <phoneticPr fontId="1"/>
  </si>
  <si>
    <t>CVVS 3.5sq-12C</t>
    <phoneticPr fontId="1"/>
  </si>
  <si>
    <t>CVVS 2sq-12C</t>
    <phoneticPr fontId="1"/>
  </si>
  <si>
    <t>CVVS 1.25sq-12C</t>
    <phoneticPr fontId="1"/>
  </si>
  <si>
    <t>CVVS 5.5sq-10C</t>
    <phoneticPr fontId="1"/>
  </si>
  <si>
    <t>CVVS 3.5sq-10C</t>
    <phoneticPr fontId="1"/>
  </si>
  <si>
    <t>CVVS 2sq-10C</t>
    <phoneticPr fontId="1"/>
  </si>
  <si>
    <t>CVVS 1.25sq-10C</t>
    <phoneticPr fontId="1"/>
  </si>
  <si>
    <t>CVVS 5.5sq-8C</t>
    <phoneticPr fontId="1"/>
  </si>
  <si>
    <t>CVVS 3.5sq-8C</t>
    <phoneticPr fontId="1"/>
  </si>
  <si>
    <t>CVVS 2sq-8C</t>
    <phoneticPr fontId="1"/>
  </si>
  <si>
    <t>CVVS 1.25sq-8C</t>
    <phoneticPr fontId="1"/>
  </si>
  <si>
    <t>CVVS 5.5sq-7C</t>
    <phoneticPr fontId="1"/>
  </si>
  <si>
    <t>CVVS 3.5sq-7C</t>
    <phoneticPr fontId="1"/>
  </si>
  <si>
    <t>CVVS 2sq-7C</t>
    <phoneticPr fontId="1"/>
  </si>
  <si>
    <t>CVVS 1.25sq-7C</t>
    <phoneticPr fontId="1"/>
  </si>
  <si>
    <t>CVVS 5.5sq-6C</t>
    <phoneticPr fontId="1"/>
  </si>
  <si>
    <t>CVVS 3.5sq-6C</t>
    <phoneticPr fontId="1"/>
  </si>
  <si>
    <t>CVVS 2sq-6C</t>
    <phoneticPr fontId="1"/>
  </si>
  <si>
    <t>CVVS 1.25sq-6C</t>
    <phoneticPr fontId="1"/>
  </si>
  <si>
    <t>CVVS 5.5sq-5C</t>
    <phoneticPr fontId="1"/>
  </si>
  <si>
    <t>CVVS 3.5sq-5C</t>
    <phoneticPr fontId="1"/>
  </si>
  <si>
    <t>CVVS 2sq-5C</t>
    <phoneticPr fontId="1"/>
  </si>
  <si>
    <t>CVVS 1.25sq-5C</t>
    <phoneticPr fontId="1"/>
  </si>
  <si>
    <t>CVVS 5.5sq-4C</t>
    <phoneticPr fontId="1"/>
  </si>
  <si>
    <t>CVVS 3.5sq-4C</t>
    <phoneticPr fontId="1"/>
  </si>
  <si>
    <t>CVVS 2sq-4C</t>
    <phoneticPr fontId="1"/>
  </si>
  <si>
    <t>CVVS 1.25sq-4C</t>
    <phoneticPr fontId="1"/>
  </si>
  <si>
    <t>CVVS 5.5sq-3C</t>
    <phoneticPr fontId="1"/>
  </si>
  <si>
    <t>CVVS 3.5sq-3C</t>
    <phoneticPr fontId="1"/>
  </si>
  <si>
    <t>CVVS 2sq-3C</t>
    <phoneticPr fontId="1"/>
  </si>
  <si>
    <t>CVVS 1.25sq-3C</t>
    <phoneticPr fontId="1"/>
  </si>
  <si>
    <t>CVVS 5.5sq-2C</t>
    <phoneticPr fontId="1"/>
  </si>
  <si>
    <t>CVVS 3.5sq-2C</t>
    <phoneticPr fontId="1"/>
  </si>
  <si>
    <t>CVVS 2sq-2C</t>
    <phoneticPr fontId="1"/>
  </si>
  <si>
    <t>CVVS 1.25sq-2C</t>
    <phoneticPr fontId="1"/>
  </si>
  <si>
    <t>CEE 3.5sq-30C</t>
    <phoneticPr fontId="1"/>
  </si>
  <si>
    <t>CEE 2sq-30C</t>
    <phoneticPr fontId="1"/>
  </si>
  <si>
    <t>CEE 1.25sq-30C</t>
    <phoneticPr fontId="1"/>
  </si>
  <si>
    <t>CEE 5.5sq-20C</t>
    <phoneticPr fontId="1"/>
  </si>
  <si>
    <t>CEE 3.5sq-20C</t>
    <phoneticPr fontId="1"/>
  </si>
  <si>
    <t>CEE 2sq-20C</t>
    <phoneticPr fontId="1"/>
  </si>
  <si>
    <t>CEE 1.25sq-20C</t>
    <phoneticPr fontId="1"/>
  </si>
  <si>
    <t>CEE 5.5sq-15C</t>
    <phoneticPr fontId="1"/>
  </si>
  <si>
    <t>CEE 3.5sq-15C</t>
    <phoneticPr fontId="1"/>
  </si>
  <si>
    <t>CEE 2sq-15C</t>
    <phoneticPr fontId="1"/>
  </si>
  <si>
    <t>CEE 1.25sq-15C</t>
    <phoneticPr fontId="1"/>
  </si>
  <si>
    <t>CEE 8sq-12C</t>
    <phoneticPr fontId="1"/>
  </si>
  <si>
    <t>CEE 5.5sq-12C</t>
    <phoneticPr fontId="1"/>
  </si>
  <si>
    <t>CEE 3.5sq-12C</t>
    <phoneticPr fontId="1"/>
  </si>
  <si>
    <t>CEE 2sq-12C</t>
    <phoneticPr fontId="1"/>
  </si>
  <si>
    <t>CEE 1.25sq-12C</t>
    <phoneticPr fontId="1"/>
  </si>
  <si>
    <t>CEE 8sq-10C</t>
    <phoneticPr fontId="1"/>
  </si>
  <si>
    <t>CEE 5.5sq-10C</t>
    <phoneticPr fontId="1"/>
  </si>
  <si>
    <t>CEE 3.5sq-10C</t>
    <phoneticPr fontId="1"/>
  </si>
  <si>
    <t>CEE 2sq-10C</t>
    <phoneticPr fontId="1"/>
  </si>
  <si>
    <t>CEE 1.25sq-10C</t>
    <phoneticPr fontId="1"/>
  </si>
  <si>
    <t>CEE 8sq-8C</t>
    <phoneticPr fontId="1"/>
  </si>
  <si>
    <t>CEE 5.5sq-8C</t>
    <phoneticPr fontId="1"/>
  </si>
  <si>
    <t>CEE 3.5sq-8C</t>
    <phoneticPr fontId="1"/>
  </si>
  <si>
    <t>CEE 2sq-8C</t>
    <phoneticPr fontId="1"/>
  </si>
  <si>
    <t>CEE 1.25sq-8C</t>
    <phoneticPr fontId="1"/>
  </si>
  <si>
    <t>CEE 8sq-7C</t>
    <phoneticPr fontId="1"/>
  </si>
  <si>
    <t>CEE 5.5sq-7C</t>
    <phoneticPr fontId="1"/>
  </si>
  <si>
    <t>CEE 3.5sq-7C</t>
    <phoneticPr fontId="1"/>
  </si>
  <si>
    <t>CEE 2sq-7C</t>
    <phoneticPr fontId="1"/>
  </si>
  <si>
    <t>CEE 1.25sq-7C</t>
    <phoneticPr fontId="1"/>
  </si>
  <si>
    <t>CEE 8sq-6C</t>
    <phoneticPr fontId="1"/>
  </si>
  <si>
    <t>CEE 5.5sq-6C</t>
    <phoneticPr fontId="1"/>
  </si>
  <si>
    <t>CEE 3.5sq-6C</t>
    <phoneticPr fontId="1"/>
  </si>
  <si>
    <t>CEE 2sq-6C</t>
    <phoneticPr fontId="1"/>
  </si>
  <si>
    <t>CEE 1.25sq-6C</t>
    <phoneticPr fontId="1"/>
  </si>
  <si>
    <t>CEE 8sq-5C</t>
    <phoneticPr fontId="1"/>
  </si>
  <si>
    <t>CEE 5.5sq-5C</t>
    <phoneticPr fontId="1"/>
  </si>
  <si>
    <t>CEE 3.5sq-5C</t>
    <phoneticPr fontId="1"/>
  </si>
  <si>
    <t>CEE 2sq-5C</t>
    <phoneticPr fontId="1"/>
  </si>
  <si>
    <t>CEE 1.25sq-5C</t>
    <phoneticPr fontId="1"/>
  </si>
  <si>
    <t>CEE 8sq-4C</t>
    <phoneticPr fontId="1"/>
  </si>
  <si>
    <t>CEE 5.5sq-4C</t>
    <phoneticPr fontId="1"/>
  </si>
  <si>
    <t>CEE 3.5sq-4C</t>
    <phoneticPr fontId="1"/>
  </si>
  <si>
    <t>CEE 2sq-4C</t>
    <phoneticPr fontId="1"/>
  </si>
  <si>
    <t>CEE 1.25sq-4C</t>
    <phoneticPr fontId="1"/>
  </si>
  <si>
    <t>CEE 8sq-3C</t>
    <phoneticPr fontId="1"/>
  </si>
  <si>
    <t>CEE 5.5sq-3C</t>
    <phoneticPr fontId="1"/>
  </si>
  <si>
    <t>CEE 3.5sq-3C</t>
    <phoneticPr fontId="1"/>
  </si>
  <si>
    <t>CEE 2sq-3C</t>
    <phoneticPr fontId="1"/>
  </si>
  <si>
    <t>CEE 1.25sq-3C</t>
    <phoneticPr fontId="1"/>
  </si>
  <si>
    <t>CEE 8sq-2C</t>
    <phoneticPr fontId="1"/>
  </si>
  <si>
    <t>CEE 5.5sq-2C</t>
    <phoneticPr fontId="1"/>
  </si>
  <si>
    <t>CEE 3.5sq-2C</t>
    <phoneticPr fontId="1"/>
  </si>
  <si>
    <t>CEE 2sq-2C</t>
    <phoneticPr fontId="1"/>
  </si>
  <si>
    <t>CEE 1.25sq-2C</t>
    <phoneticPr fontId="1"/>
  </si>
  <si>
    <t>CVV 3.5sq-30C</t>
    <phoneticPr fontId="1"/>
  </si>
  <si>
    <t>CVV 2sq-30C</t>
    <phoneticPr fontId="1"/>
  </si>
  <si>
    <t>CVV 1.25sq-30C</t>
    <phoneticPr fontId="1"/>
  </si>
  <si>
    <t>CVV 5.5sq-20C</t>
    <phoneticPr fontId="1"/>
  </si>
  <si>
    <t>支線135sq-7/5.0</t>
    <rPh sb="0" eb="2">
      <t>シセン</t>
    </rPh>
    <phoneticPr fontId="1"/>
  </si>
  <si>
    <t>CVV 3.5sq-20C</t>
    <phoneticPr fontId="1"/>
  </si>
  <si>
    <t>支線110sq-7/4.5</t>
    <rPh sb="0" eb="2">
      <t>シセン</t>
    </rPh>
    <phoneticPr fontId="1"/>
  </si>
  <si>
    <t>CVV 2sq-20C</t>
    <phoneticPr fontId="1"/>
  </si>
  <si>
    <t>支線90sq-7/4.0</t>
    <rPh sb="0" eb="2">
      <t>シセン</t>
    </rPh>
    <phoneticPr fontId="1"/>
  </si>
  <si>
    <t>CVV 1.25sq-20C</t>
    <phoneticPr fontId="1"/>
  </si>
  <si>
    <t>支線70sq-7/3.5</t>
    <rPh sb="0" eb="2">
      <t>シセン</t>
    </rPh>
    <phoneticPr fontId="1"/>
  </si>
  <si>
    <t>CVV 5.5sq-15C</t>
    <phoneticPr fontId="1"/>
  </si>
  <si>
    <t>支線55sq-7/3.2</t>
    <rPh sb="0" eb="2">
      <t>シセン</t>
    </rPh>
    <phoneticPr fontId="1"/>
  </si>
  <si>
    <t>CVV 3.5sq-15C</t>
    <phoneticPr fontId="1"/>
  </si>
  <si>
    <t>支線45sq-7/2.9</t>
    <rPh sb="0" eb="2">
      <t>シセン</t>
    </rPh>
    <phoneticPr fontId="1"/>
  </si>
  <si>
    <t>CVV 2sq-15C</t>
    <phoneticPr fontId="1"/>
  </si>
  <si>
    <t>支線38sq-7/2.6</t>
    <rPh sb="0" eb="2">
      <t>シセン</t>
    </rPh>
    <phoneticPr fontId="1"/>
  </si>
  <si>
    <t>CVV 1.25sq-15C</t>
    <phoneticPr fontId="1"/>
  </si>
  <si>
    <t>支線30sq-7/2.3</t>
    <rPh sb="0" eb="2">
      <t>シセン</t>
    </rPh>
    <phoneticPr fontId="1"/>
  </si>
  <si>
    <t>CVV 8sq-12C</t>
    <phoneticPr fontId="1"/>
  </si>
  <si>
    <t>E-75mm</t>
    <phoneticPr fontId="1"/>
  </si>
  <si>
    <t>支線22sq-7/2.0</t>
    <rPh sb="0" eb="2">
      <t>シセン</t>
    </rPh>
    <phoneticPr fontId="1"/>
  </si>
  <si>
    <t>CVV 5.5sq-12C</t>
    <phoneticPr fontId="1"/>
  </si>
  <si>
    <t>E-63mm</t>
    <phoneticPr fontId="1"/>
  </si>
  <si>
    <t>支線18sq-7/1.8</t>
    <rPh sb="0" eb="2">
      <t>シセン</t>
    </rPh>
    <phoneticPr fontId="1"/>
  </si>
  <si>
    <t>CVV 3.5sq-12C</t>
    <phoneticPr fontId="1"/>
  </si>
  <si>
    <t>E-51mm</t>
    <phoneticPr fontId="1"/>
  </si>
  <si>
    <t>支線14sq-7/1.6</t>
    <rPh sb="0" eb="2">
      <t>シセン</t>
    </rPh>
    <phoneticPr fontId="1"/>
  </si>
  <si>
    <t>CVV 2sq-12C</t>
    <phoneticPr fontId="1"/>
  </si>
  <si>
    <t>E-39mm</t>
    <phoneticPr fontId="1"/>
  </si>
  <si>
    <t>CVV 1.25sq-12C</t>
    <phoneticPr fontId="1"/>
  </si>
  <si>
    <t>E-31mm</t>
    <phoneticPr fontId="1"/>
  </si>
  <si>
    <t>CVV 8sq-10C</t>
    <phoneticPr fontId="1"/>
  </si>
  <si>
    <t>E-25mm</t>
    <phoneticPr fontId="1"/>
  </si>
  <si>
    <t>導入線 5.0mmφ</t>
    <rPh sb="0" eb="2">
      <t>ドウニュウ</t>
    </rPh>
    <rPh sb="2" eb="3">
      <t>セン</t>
    </rPh>
    <phoneticPr fontId="1"/>
  </si>
  <si>
    <t>CVV 5.5sq-10C</t>
    <phoneticPr fontId="1"/>
  </si>
  <si>
    <t>6KV CE 325sq-3C</t>
    <phoneticPr fontId="1"/>
  </si>
  <si>
    <t>E-19mm</t>
    <phoneticPr fontId="1"/>
  </si>
  <si>
    <t>導入線 4.0mmφ</t>
    <rPh sb="0" eb="2">
      <t>ドウニュウ</t>
    </rPh>
    <rPh sb="2" eb="3">
      <t>セン</t>
    </rPh>
    <phoneticPr fontId="1"/>
  </si>
  <si>
    <t>CVV 3.5sq-10C</t>
    <phoneticPr fontId="1"/>
  </si>
  <si>
    <t>6KV CE 250sq-3C</t>
    <phoneticPr fontId="1"/>
  </si>
  <si>
    <t>自立型UGS7.2KV400ADGR</t>
    <phoneticPr fontId="1"/>
  </si>
  <si>
    <t>C-75mm</t>
    <phoneticPr fontId="1"/>
  </si>
  <si>
    <t>導入線 3.2mmφ</t>
    <rPh sb="0" eb="2">
      <t>ドウニュウ</t>
    </rPh>
    <rPh sb="2" eb="3">
      <t>セン</t>
    </rPh>
    <phoneticPr fontId="1"/>
  </si>
  <si>
    <t>CVV 2sq-10C</t>
    <phoneticPr fontId="1"/>
  </si>
  <si>
    <t>6KV CE 200sq-3C</t>
    <phoneticPr fontId="1"/>
  </si>
  <si>
    <t>自立型UGS7.2KV300ADGR</t>
    <phoneticPr fontId="1"/>
  </si>
  <si>
    <t>C-63mm</t>
    <phoneticPr fontId="1"/>
  </si>
  <si>
    <t>導入線 2.6mmφ</t>
    <rPh sb="0" eb="2">
      <t>ドウニュウ</t>
    </rPh>
    <rPh sb="2" eb="3">
      <t>セン</t>
    </rPh>
    <phoneticPr fontId="1"/>
  </si>
  <si>
    <t>CVV 1.25sq-10C</t>
    <phoneticPr fontId="1"/>
  </si>
  <si>
    <t>6KV CE 150sq-3C</t>
    <phoneticPr fontId="1"/>
  </si>
  <si>
    <t>▼</t>
    <phoneticPr fontId="1"/>
  </si>
  <si>
    <t>自立型UGS7.2KV200ADGR</t>
    <phoneticPr fontId="1"/>
  </si>
  <si>
    <t>C-51mm</t>
    <phoneticPr fontId="1"/>
  </si>
  <si>
    <t>導入線 2.0mmφ</t>
    <rPh sb="0" eb="2">
      <t>ドウニュウ</t>
    </rPh>
    <rPh sb="2" eb="3">
      <t>セン</t>
    </rPh>
    <phoneticPr fontId="1"/>
  </si>
  <si>
    <t>CVV 8sq-8C</t>
    <phoneticPr fontId="1"/>
  </si>
  <si>
    <t>6KV CE 100sq-3C</t>
    <phoneticPr fontId="1"/>
  </si>
  <si>
    <t>▼</t>
    <phoneticPr fontId="1"/>
  </si>
  <si>
    <t>C-39mm</t>
    <phoneticPr fontId="1"/>
  </si>
  <si>
    <t>導入線 1.6mmφ</t>
    <rPh sb="0" eb="2">
      <t>ドウニュウ</t>
    </rPh>
    <rPh sb="2" eb="3">
      <t>セン</t>
    </rPh>
    <phoneticPr fontId="1"/>
  </si>
  <si>
    <t>CVV 5.5sq-8C</t>
    <phoneticPr fontId="1"/>
  </si>
  <si>
    <t>6KV CE 60sq-3C</t>
    <phoneticPr fontId="1"/>
  </si>
  <si>
    <t>C-31mm</t>
    <phoneticPr fontId="1"/>
  </si>
  <si>
    <t>導入線 1.2mmφ</t>
    <rPh sb="0" eb="2">
      <t>ドウニュウ</t>
    </rPh>
    <rPh sb="2" eb="3">
      <t>セン</t>
    </rPh>
    <phoneticPr fontId="1"/>
  </si>
  <si>
    <t>CVV 3.5sq-8C</t>
    <phoneticPr fontId="1"/>
  </si>
  <si>
    <t>6KV CE 38sq-3C</t>
    <phoneticPr fontId="1"/>
  </si>
  <si>
    <t>高圧カットアウト PC-7S 7.2KV-100A</t>
  </si>
  <si>
    <t>C-25mm</t>
    <phoneticPr fontId="1"/>
  </si>
  <si>
    <t>導入線 0.9mmφ</t>
    <rPh sb="0" eb="2">
      <t>ドウニュウ</t>
    </rPh>
    <rPh sb="2" eb="3">
      <t>セン</t>
    </rPh>
    <phoneticPr fontId="1"/>
  </si>
  <si>
    <t>CVV 2sq-8C</t>
    <phoneticPr fontId="1"/>
  </si>
  <si>
    <t>6KV CE 22sq-3C</t>
    <phoneticPr fontId="1"/>
  </si>
  <si>
    <t>高圧カットアウト PC-7S7.2KV-30A</t>
  </si>
  <si>
    <t>C-19mm</t>
    <phoneticPr fontId="1"/>
  </si>
  <si>
    <t>CVV 1.25sq-8C</t>
    <phoneticPr fontId="1"/>
  </si>
  <si>
    <t>6KV CE 14sq-3C</t>
    <phoneticPr fontId="1"/>
  </si>
  <si>
    <t>高圧カットアウト PC-6S 7.2KV-30A</t>
  </si>
  <si>
    <t>G-104mm</t>
    <phoneticPr fontId="1"/>
  </si>
  <si>
    <t>CVV 8sq-7C</t>
    <phoneticPr fontId="1"/>
  </si>
  <si>
    <t>6KV CE 8sq-3C</t>
    <phoneticPr fontId="1"/>
  </si>
  <si>
    <t>高圧カットアウト PC-7 7.2KV-100A</t>
  </si>
  <si>
    <t>G-92mm</t>
    <phoneticPr fontId="1"/>
  </si>
  <si>
    <t>HIVE-82mm</t>
    <phoneticPr fontId="1"/>
  </si>
  <si>
    <t>CVV 5.5sq-7C</t>
    <phoneticPr fontId="1"/>
  </si>
  <si>
    <t>6KV CVT 325sq</t>
    <phoneticPr fontId="1"/>
  </si>
  <si>
    <t>高圧カットアウト PC-6 7.2KV-50A</t>
  </si>
  <si>
    <t>G-82mm</t>
    <phoneticPr fontId="1"/>
  </si>
  <si>
    <t>HIVE-70mm</t>
    <phoneticPr fontId="1"/>
  </si>
  <si>
    <t>CVV 3.5sq-7C</t>
    <phoneticPr fontId="1"/>
  </si>
  <si>
    <t>6KV CVT 250sq</t>
    <phoneticPr fontId="1"/>
  </si>
  <si>
    <t>高圧カットアウト PC-6 7.2KV-30A</t>
  </si>
  <si>
    <t>G-70mm</t>
    <phoneticPr fontId="1"/>
  </si>
  <si>
    <t>HIVE-54mm</t>
    <phoneticPr fontId="1"/>
  </si>
  <si>
    <t>CVV 2sq-7C</t>
    <phoneticPr fontId="1"/>
  </si>
  <si>
    <t>6KV CVT 200sq</t>
    <phoneticPr fontId="1"/>
  </si>
  <si>
    <t>AHB-3 1200×600</t>
    <phoneticPr fontId="1"/>
  </si>
  <si>
    <t>G-54mm</t>
    <phoneticPr fontId="1"/>
  </si>
  <si>
    <t>HIVE-42mm</t>
    <phoneticPr fontId="1"/>
  </si>
  <si>
    <t>CVV 1.25sq-7C</t>
    <phoneticPr fontId="1"/>
  </si>
  <si>
    <t>6KV CVT 150sq</t>
    <phoneticPr fontId="1"/>
  </si>
  <si>
    <t>AHB-2  800×400</t>
    <phoneticPr fontId="1"/>
  </si>
  <si>
    <t>G-42mm</t>
    <phoneticPr fontId="1"/>
  </si>
  <si>
    <t>HIVE-36mm</t>
    <phoneticPr fontId="1"/>
  </si>
  <si>
    <t>CVV 8sq-6C</t>
    <phoneticPr fontId="1"/>
  </si>
  <si>
    <t>6KV CVT 100sq</t>
    <phoneticPr fontId="1"/>
  </si>
  <si>
    <t>AHB-1  650×250</t>
    <phoneticPr fontId="1"/>
  </si>
  <si>
    <t>配電用アレスタ RVSQ-6GPL2-8.4KV</t>
  </si>
  <si>
    <t>G-36mm</t>
    <phoneticPr fontId="1"/>
  </si>
  <si>
    <t>HIVE-28mm</t>
    <phoneticPr fontId="1"/>
  </si>
  <si>
    <t>CVV 5.5sq-6C</t>
    <phoneticPr fontId="1"/>
  </si>
  <si>
    <t>6KV CVT 60sq</t>
    <phoneticPr fontId="1"/>
  </si>
  <si>
    <t>配電用アレスタ GL-65G-8.4KV</t>
  </si>
  <si>
    <t>G-28mm</t>
    <phoneticPr fontId="1"/>
  </si>
  <si>
    <t>HIVE-22mm</t>
    <phoneticPr fontId="1"/>
  </si>
  <si>
    <t>CVV 3.5sq-6C</t>
    <phoneticPr fontId="1"/>
  </si>
  <si>
    <t>6KV CVT 38sq</t>
    <phoneticPr fontId="1"/>
  </si>
  <si>
    <t>配電用アレスタ GL-86DS5-8.4KV</t>
  </si>
  <si>
    <t>G-22mm</t>
    <phoneticPr fontId="1"/>
  </si>
  <si>
    <t>HIVE-16mm</t>
    <phoneticPr fontId="1"/>
  </si>
  <si>
    <t>CVV 2sq-6C</t>
    <phoneticPr fontId="1"/>
  </si>
  <si>
    <t>6KV CVT 22sq</t>
    <phoneticPr fontId="1"/>
  </si>
  <si>
    <t>KK 2000×2000×2100</t>
    <phoneticPr fontId="1"/>
  </si>
  <si>
    <t>配電用アレスタ GL-6DS-8.4KV</t>
  </si>
  <si>
    <t>G-16mm</t>
    <phoneticPr fontId="1"/>
  </si>
  <si>
    <t>HIVE-14mm</t>
    <phoneticPr fontId="1"/>
  </si>
  <si>
    <t>CVV 1.25sq-6C</t>
    <phoneticPr fontId="1"/>
  </si>
  <si>
    <t>KK 1800×1800×1500</t>
    <phoneticPr fontId="1"/>
  </si>
  <si>
    <t>配電用アレスタ GL-6R-8.4KV</t>
  </si>
  <si>
    <t>VE-82mm</t>
    <phoneticPr fontId="1"/>
  </si>
  <si>
    <t>IE-200sq</t>
    <phoneticPr fontId="1"/>
  </si>
  <si>
    <t>CVV 8sq-5C</t>
    <phoneticPr fontId="1"/>
  </si>
  <si>
    <t>6KV CV 325sq-3C</t>
    <phoneticPr fontId="1"/>
  </si>
  <si>
    <t>KK 1500×1500×1500</t>
    <phoneticPr fontId="1"/>
  </si>
  <si>
    <t>CP 17-22-1500Kg</t>
    <phoneticPr fontId="1"/>
  </si>
  <si>
    <t>電工数</t>
    <rPh sb="0" eb="2">
      <t>デンコウ</t>
    </rPh>
    <rPh sb="2" eb="3">
      <t>スウ</t>
    </rPh>
    <phoneticPr fontId="1"/>
  </si>
  <si>
    <t>歩掛(人)</t>
    <rPh sb="0" eb="1">
      <t>ホ</t>
    </rPh>
    <rPh sb="1" eb="2">
      <t>カカリ</t>
    </rPh>
    <rPh sb="3" eb="4">
      <t>ジン</t>
    </rPh>
    <phoneticPr fontId="1"/>
  </si>
  <si>
    <t>金　　額 (円)</t>
    <phoneticPr fontId="1"/>
  </si>
  <si>
    <t>単 価 (円)</t>
    <rPh sb="0" eb="1">
      <t>タン</t>
    </rPh>
    <rPh sb="2" eb="3">
      <t>アタイ</t>
    </rPh>
    <rPh sb="5" eb="6">
      <t>エン</t>
    </rPh>
    <phoneticPr fontId="1"/>
  </si>
  <si>
    <t>数量修正</t>
    <rPh sb="0" eb="1">
      <t>スウ</t>
    </rPh>
    <rPh sb="1" eb="2">
      <t>リョウ</t>
    </rPh>
    <rPh sb="2" eb="4">
      <t>シュウセイ</t>
    </rPh>
    <phoneticPr fontId="1"/>
  </si>
  <si>
    <t>数 　量</t>
    <rPh sb="0" eb="1">
      <t>スウ</t>
    </rPh>
    <rPh sb="3" eb="4">
      <t>リョウ</t>
    </rPh>
    <phoneticPr fontId="1"/>
  </si>
  <si>
    <t>材　料　名　称</t>
    <rPh sb="0" eb="1">
      <t>ザイ</t>
    </rPh>
    <rPh sb="2" eb="3">
      <t>リョウ</t>
    </rPh>
    <rPh sb="4" eb="5">
      <t>ナ</t>
    </rPh>
    <rPh sb="6" eb="7">
      <t>ショウ</t>
    </rPh>
    <phoneticPr fontId="1"/>
  </si>
  <si>
    <t>VE-70mm</t>
    <phoneticPr fontId="1"/>
  </si>
  <si>
    <t>IE-150sq</t>
    <phoneticPr fontId="1"/>
  </si>
  <si>
    <t>CVV 5.5sq-5C</t>
    <phoneticPr fontId="1"/>
  </si>
  <si>
    <t>6KV CV 250sq-3C</t>
    <phoneticPr fontId="1"/>
  </si>
  <si>
    <t>KK 1500×1500×1200</t>
    <phoneticPr fontId="1"/>
  </si>
  <si>
    <t>CP 16-22-1500Kg</t>
    <phoneticPr fontId="1"/>
  </si>
  <si>
    <t>F-FEP-200mm</t>
    <phoneticPr fontId="1"/>
  </si>
  <si>
    <t>VE-54mm</t>
    <phoneticPr fontId="1"/>
  </si>
  <si>
    <t>IE-100sq</t>
    <phoneticPr fontId="1"/>
  </si>
  <si>
    <t>CVV 3.5sq-5C</t>
    <phoneticPr fontId="1"/>
  </si>
  <si>
    <t>6KV CV 200sq-3C</t>
    <phoneticPr fontId="1"/>
  </si>
  <si>
    <t>KK 1500×1500×900</t>
    <phoneticPr fontId="1"/>
  </si>
  <si>
    <t>CP 15-22-1500Kg</t>
    <phoneticPr fontId="1"/>
  </si>
  <si>
    <t>PAS 7.2KV300A 塩DGR</t>
    <rPh sb="14" eb="15">
      <t>シオ</t>
    </rPh>
    <phoneticPr fontId="1"/>
  </si>
  <si>
    <t>F-FEP-150mm</t>
    <phoneticPr fontId="1"/>
  </si>
  <si>
    <t>VE-42mm</t>
    <phoneticPr fontId="1"/>
  </si>
  <si>
    <t>IE-60sq</t>
    <phoneticPr fontId="1"/>
  </si>
  <si>
    <t>CVV 2sq-5C</t>
    <phoneticPr fontId="1"/>
  </si>
  <si>
    <t>6KV CV 150sq-3C</t>
    <phoneticPr fontId="1"/>
  </si>
  <si>
    <t>KK 1200×1200×1500</t>
    <phoneticPr fontId="1"/>
  </si>
  <si>
    <t>CP 14-22-1500Kg</t>
    <phoneticPr fontId="1"/>
  </si>
  <si>
    <t>PAS 7.2KV200A 塩DGR</t>
    <rPh sb="14" eb="15">
      <t>シオ</t>
    </rPh>
    <phoneticPr fontId="1"/>
  </si>
  <si>
    <t>F-FEP-125mm</t>
    <phoneticPr fontId="1"/>
  </si>
  <si>
    <t>VE-36mm</t>
    <phoneticPr fontId="1"/>
  </si>
  <si>
    <t>IE-38sq</t>
    <phoneticPr fontId="1"/>
  </si>
  <si>
    <t>CVV 1.25sq-5C</t>
    <phoneticPr fontId="1"/>
  </si>
  <si>
    <t>6KV CV 100sq-3C</t>
    <phoneticPr fontId="1"/>
  </si>
  <si>
    <t>KK 1200×1200×1200</t>
    <phoneticPr fontId="1"/>
  </si>
  <si>
    <t>CP 17-22-1000Kg</t>
    <phoneticPr fontId="1"/>
  </si>
  <si>
    <t>PAS 7.2KV300A 塩GR</t>
    <rPh sb="14" eb="15">
      <t>シオ</t>
    </rPh>
    <phoneticPr fontId="1"/>
  </si>
  <si>
    <t>F-FEP-100mm</t>
    <phoneticPr fontId="1"/>
  </si>
  <si>
    <t>VE-28mm</t>
    <phoneticPr fontId="1"/>
  </si>
  <si>
    <t>IE-22sq</t>
    <phoneticPr fontId="1"/>
  </si>
  <si>
    <t>CVV 8sq-4C</t>
    <phoneticPr fontId="1"/>
  </si>
  <si>
    <t>6KV CV 60sq-3C</t>
    <phoneticPr fontId="1"/>
  </si>
  <si>
    <t>KK 1200×1200×900</t>
    <phoneticPr fontId="1"/>
  </si>
  <si>
    <t>CP 16-22-1000Kg</t>
    <phoneticPr fontId="1"/>
  </si>
  <si>
    <t>PAS 7.2KV200A 塩GR</t>
    <rPh sb="14" eb="15">
      <t>シオ</t>
    </rPh>
    <phoneticPr fontId="1"/>
  </si>
  <si>
    <t>F-FEP- 80mm</t>
    <phoneticPr fontId="1"/>
  </si>
  <si>
    <t>VE-22mm</t>
    <phoneticPr fontId="1"/>
  </si>
  <si>
    <t>IE-14sq</t>
    <phoneticPr fontId="1"/>
  </si>
  <si>
    <t>CVV 5.5sq-4C</t>
    <phoneticPr fontId="1"/>
  </si>
  <si>
    <t>6KV CV 38sq-3C</t>
    <phoneticPr fontId="1"/>
  </si>
  <si>
    <t>KK 1000×1000×1500</t>
    <phoneticPr fontId="1"/>
  </si>
  <si>
    <t>CP 15-22-1000Kg</t>
    <phoneticPr fontId="1"/>
  </si>
  <si>
    <t>PAS 7.2KV300A 重DGR・LA</t>
    <rPh sb="14" eb="15">
      <t>ジュウ</t>
    </rPh>
    <phoneticPr fontId="1"/>
  </si>
  <si>
    <t>F-FEP- 65mm</t>
    <phoneticPr fontId="1"/>
  </si>
  <si>
    <t>VE-16mm</t>
    <phoneticPr fontId="1"/>
  </si>
  <si>
    <t>IE-8sq</t>
    <phoneticPr fontId="1"/>
  </si>
  <si>
    <t>CVV 3.5sq-4C</t>
    <phoneticPr fontId="1"/>
  </si>
  <si>
    <t>6KV CV 22sq-3C</t>
    <phoneticPr fontId="1"/>
  </si>
  <si>
    <t>KK 1000×1000×1200</t>
    <phoneticPr fontId="1"/>
  </si>
  <si>
    <t>CP 14-22-1000Kg</t>
    <phoneticPr fontId="1"/>
  </si>
  <si>
    <t>PAS 7.2KV300A 重DGR</t>
    <rPh sb="14" eb="15">
      <t>ジュウ</t>
    </rPh>
    <phoneticPr fontId="1"/>
  </si>
  <si>
    <t>F-FEP- 50mm</t>
    <phoneticPr fontId="1"/>
  </si>
  <si>
    <t>VE-14mm</t>
    <phoneticPr fontId="1"/>
  </si>
  <si>
    <t>IE-5.5sq</t>
    <phoneticPr fontId="1"/>
  </si>
  <si>
    <t>CVV 2sq-4C</t>
    <phoneticPr fontId="1"/>
  </si>
  <si>
    <t>6KV CV 14sq-3C</t>
    <phoneticPr fontId="1"/>
  </si>
  <si>
    <t>KK 1000×1000×900</t>
    <phoneticPr fontId="1"/>
  </si>
  <si>
    <t>CP 17-19-700Kg</t>
    <phoneticPr fontId="1"/>
  </si>
  <si>
    <t>PAS 7.2KV300A 重GR</t>
    <rPh sb="14" eb="15">
      <t>ジュウ</t>
    </rPh>
    <phoneticPr fontId="1"/>
  </si>
  <si>
    <t>F-FEP- 40mm</t>
    <phoneticPr fontId="1"/>
  </si>
  <si>
    <t>IE-3.5sq</t>
    <phoneticPr fontId="1"/>
  </si>
  <si>
    <t>CVV 1.25sq-4C</t>
    <phoneticPr fontId="1"/>
  </si>
  <si>
    <t>6KV CV 8sq-3C</t>
    <phoneticPr fontId="1"/>
  </si>
  <si>
    <t>KK 900×900×1500</t>
    <phoneticPr fontId="1"/>
  </si>
  <si>
    <t>CP 16-19-700Kg</t>
    <phoneticPr fontId="1"/>
  </si>
  <si>
    <t>PAS 7.2KV200A 重DGR</t>
    <rPh sb="14" eb="15">
      <t>ジュウ</t>
    </rPh>
    <phoneticPr fontId="1"/>
  </si>
  <si>
    <t>F-FEP- 30mm</t>
    <phoneticPr fontId="1"/>
  </si>
  <si>
    <t>IV-200sq</t>
    <phoneticPr fontId="1"/>
  </si>
  <si>
    <t>CVV 8sq-3C</t>
    <phoneticPr fontId="1"/>
  </si>
  <si>
    <t>6KV CV 325sq-1C</t>
    <phoneticPr fontId="1"/>
  </si>
  <si>
    <t>KK 900×900×1350</t>
    <phoneticPr fontId="1"/>
  </si>
  <si>
    <t>CP 15-19-700Kg</t>
    <phoneticPr fontId="1"/>
  </si>
  <si>
    <t>PAS 7.2KV200A 重GR</t>
    <rPh sb="14" eb="15">
      <t>ジュウ</t>
    </rPh>
    <phoneticPr fontId="1"/>
  </si>
  <si>
    <t>FEP-200mm</t>
    <phoneticPr fontId="1"/>
  </si>
  <si>
    <t>SGP-100A</t>
    <phoneticPr fontId="1"/>
  </si>
  <si>
    <t>IV-150sq</t>
    <phoneticPr fontId="1"/>
  </si>
  <si>
    <t>CVV 5.5sq-3C</t>
    <phoneticPr fontId="1"/>
  </si>
  <si>
    <t>6KV CV 250sq-1C</t>
    <phoneticPr fontId="1"/>
  </si>
  <si>
    <t>KK 900×900×1200</t>
    <phoneticPr fontId="1"/>
  </si>
  <si>
    <t>CP 14-19-700Kg</t>
    <phoneticPr fontId="1"/>
  </si>
  <si>
    <t>PAS 7.2KV300A DGR</t>
    <phoneticPr fontId="1"/>
  </si>
  <si>
    <t>FEP-150mm</t>
    <phoneticPr fontId="1"/>
  </si>
  <si>
    <t>SGP- 80A</t>
    <phoneticPr fontId="1"/>
  </si>
  <si>
    <t>IV-100sq</t>
    <phoneticPr fontId="1"/>
  </si>
  <si>
    <t>CVV 3.5sq-3C</t>
    <phoneticPr fontId="1"/>
  </si>
  <si>
    <t>6KV CV 200sq-1C</t>
    <phoneticPr fontId="1"/>
  </si>
  <si>
    <t>KK 800×800×1500</t>
    <phoneticPr fontId="1"/>
  </si>
  <si>
    <t>CP 13-19-700Kg</t>
    <phoneticPr fontId="1"/>
  </si>
  <si>
    <t>PAS 7.2KV200A DGR</t>
    <phoneticPr fontId="1"/>
  </si>
  <si>
    <t>FEP-125mm</t>
    <phoneticPr fontId="1"/>
  </si>
  <si>
    <t>SGP- 65A</t>
    <phoneticPr fontId="1"/>
  </si>
  <si>
    <t>IV-60sq</t>
    <phoneticPr fontId="1"/>
  </si>
  <si>
    <t>CVV 2sq-3C</t>
    <phoneticPr fontId="1"/>
  </si>
  <si>
    <t>6KV CV 150sq-1C</t>
    <phoneticPr fontId="1"/>
  </si>
  <si>
    <t>KK 800×800×1200</t>
    <phoneticPr fontId="1"/>
  </si>
  <si>
    <t>CP 16-19-500Kg</t>
    <phoneticPr fontId="1"/>
  </si>
  <si>
    <t>PAS 7.2KV400A GR</t>
    <phoneticPr fontId="1"/>
  </si>
  <si>
    <t>FEP-100mm</t>
    <phoneticPr fontId="1"/>
  </si>
  <si>
    <t>SGP- 50A</t>
    <phoneticPr fontId="1"/>
  </si>
  <si>
    <t>IV-38sq</t>
    <phoneticPr fontId="1"/>
  </si>
  <si>
    <t>CVV 1.25sq-3C</t>
    <phoneticPr fontId="1"/>
  </si>
  <si>
    <t>6KV CV 100sq-1C</t>
    <phoneticPr fontId="1"/>
  </si>
  <si>
    <t>KK 800×800×900</t>
    <phoneticPr fontId="1"/>
  </si>
  <si>
    <t>CP 15-19-500Kg</t>
    <phoneticPr fontId="1"/>
  </si>
  <si>
    <t>PAS 7.2KV300A GR</t>
    <phoneticPr fontId="1"/>
  </si>
  <si>
    <t>FEP- 80mm</t>
    <phoneticPr fontId="1"/>
  </si>
  <si>
    <t>SGP- 40A</t>
    <phoneticPr fontId="1"/>
  </si>
  <si>
    <t>IV-22sq</t>
    <phoneticPr fontId="1"/>
  </si>
  <si>
    <t>CVV 8sq-2C</t>
    <phoneticPr fontId="1"/>
  </si>
  <si>
    <t>6KV CV 60sq-1C</t>
    <phoneticPr fontId="1"/>
  </si>
  <si>
    <t>KK 750×750×1500</t>
    <phoneticPr fontId="1"/>
  </si>
  <si>
    <t>CP 14-19-500Kg</t>
    <phoneticPr fontId="1"/>
  </si>
  <si>
    <t>PAS 7.2KV200A GR</t>
    <phoneticPr fontId="1"/>
  </si>
  <si>
    <t>FEP- 65mm</t>
    <phoneticPr fontId="1"/>
  </si>
  <si>
    <t>SGP- 32A</t>
    <phoneticPr fontId="1"/>
  </si>
  <si>
    <t>IV-14sq</t>
    <phoneticPr fontId="1"/>
  </si>
  <si>
    <t>CVV 5.5sq-2C</t>
    <phoneticPr fontId="1"/>
  </si>
  <si>
    <t>6KV CV 38sq-1C</t>
    <phoneticPr fontId="1"/>
  </si>
  <si>
    <t>KK 750×750×1200</t>
    <phoneticPr fontId="1"/>
  </si>
  <si>
    <t>CP 13-19-500Kg</t>
    <phoneticPr fontId="1"/>
  </si>
  <si>
    <t>PAS 7.2KV400A 重</t>
    <rPh sb="14" eb="15">
      <t>ジュウ</t>
    </rPh>
    <phoneticPr fontId="1"/>
  </si>
  <si>
    <t>FEP- 50mm</t>
    <phoneticPr fontId="1"/>
  </si>
  <si>
    <t>SGP- 25A</t>
    <phoneticPr fontId="1"/>
  </si>
  <si>
    <t>IV-8sq</t>
    <phoneticPr fontId="1"/>
  </si>
  <si>
    <t>CVV 3.5sq-2C</t>
    <phoneticPr fontId="1"/>
  </si>
  <si>
    <t>6KV CV 22sq-1C</t>
    <phoneticPr fontId="1"/>
  </si>
  <si>
    <t>KK 750×750×900</t>
    <phoneticPr fontId="1"/>
  </si>
  <si>
    <t>CP 12-19-500Kg</t>
    <phoneticPr fontId="1"/>
  </si>
  <si>
    <t>PAS 7.2KV300A 重</t>
    <rPh sb="14" eb="15">
      <t>ジュウ</t>
    </rPh>
    <phoneticPr fontId="1"/>
  </si>
  <si>
    <t>FEP- 40mm</t>
    <phoneticPr fontId="1"/>
  </si>
  <si>
    <t>SGP- 20A</t>
    <phoneticPr fontId="1"/>
  </si>
  <si>
    <t>IV-5.5sq</t>
    <phoneticPr fontId="1"/>
  </si>
  <si>
    <t>CVV 2sq-2C</t>
    <phoneticPr fontId="1"/>
  </si>
  <si>
    <t>6KV CV 14sq-1C</t>
    <phoneticPr fontId="1"/>
  </si>
  <si>
    <t>KK 600×600×1200</t>
    <phoneticPr fontId="1"/>
  </si>
  <si>
    <t>CP 12-19-350Kg</t>
    <phoneticPr fontId="1"/>
  </si>
  <si>
    <t>▼</t>
    <phoneticPr fontId="1"/>
  </si>
  <si>
    <t>PAS 7.2KV200A 重</t>
    <rPh sb="14" eb="15">
      <t>ジュウ</t>
    </rPh>
    <phoneticPr fontId="1"/>
  </si>
  <si>
    <t>FEP- 30mm</t>
    <phoneticPr fontId="1"/>
  </si>
  <si>
    <t>SGP- 15A</t>
    <phoneticPr fontId="1"/>
  </si>
  <si>
    <t>IV-3.5sq</t>
    <phoneticPr fontId="1"/>
  </si>
  <si>
    <t>CVV 1.25sq-2C</t>
    <phoneticPr fontId="1"/>
  </si>
  <si>
    <t>6KV CV 8sq-1C</t>
    <phoneticPr fontId="1"/>
  </si>
  <si>
    <t>KK 600×600×700</t>
    <phoneticPr fontId="1"/>
  </si>
  <si>
    <t>CP 10-19-350Kg</t>
    <phoneticPr fontId="1"/>
  </si>
  <si>
    <t>▼</t>
    <phoneticPr fontId="1"/>
  </si>
  <si>
    <t>GL－</t>
    <phoneticPr fontId="1"/>
  </si>
  <si>
    <t xml:space="preserve"> B6F</t>
    <phoneticPr fontId="1"/>
  </si>
  <si>
    <t>▼</t>
    <phoneticPr fontId="1"/>
  </si>
  <si>
    <t xml:space="preserve"> B5F</t>
    <phoneticPr fontId="1"/>
  </si>
  <si>
    <t xml:space="preserve"> B4F</t>
    <phoneticPr fontId="1"/>
  </si>
  <si>
    <t xml:space="preserve"> B3F</t>
    <phoneticPr fontId="1"/>
  </si>
  <si>
    <t>SumIF</t>
    <phoneticPr fontId="1"/>
  </si>
  <si>
    <t>CountIF</t>
    <phoneticPr fontId="1"/>
  </si>
  <si>
    <t xml:space="preserve"> B2F</t>
    <phoneticPr fontId="1"/>
  </si>
  <si>
    <t xml:space="preserve"> B1F</t>
    <phoneticPr fontId="1"/>
  </si>
  <si>
    <t>Y</t>
    <phoneticPr fontId="1"/>
  </si>
  <si>
    <t>CP長</t>
  </si>
  <si>
    <t>引込柱～</t>
  </si>
  <si>
    <t>引込方式</t>
  </si>
  <si>
    <t>⑦～</t>
  </si>
  <si>
    <t>Y/2</t>
    <phoneticPr fontId="1"/>
  </si>
  <si>
    <t>X/2</t>
    <phoneticPr fontId="1"/>
  </si>
  <si>
    <t>-</t>
    <phoneticPr fontId="1"/>
  </si>
  <si>
    <t>-</t>
    <phoneticPr fontId="1"/>
  </si>
  <si>
    <t>D2</t>
    <phoneticPr fontId="1"/>
  </si>
  <si>
    <t>D1</t>
    <phoneticPr fontId="1"/>
  </si>
  <si>
    <t>－</t>
    <phoneticPr fontId="1"/>
  </si>
  <si>
    <t>C</t>
    <phoneticPr fontId="1"/>
  </si>
  <si>
    <t>ＥＰＳ
の位置</t>
    <rPh sb="5" eb="7">
      <t>イチ</t>
    </rPh>
    <phoneticPr fontId="1"/>
  </si>
  <si>
    <t>D1</t>
    <phoneticPr fontId="1"/>
  </si>
  <si>
    <t>B</t>
    <phoneticPr fontId="1"/>
  </si>
  <si>
    <t>建物離隔距離</t>
    <phoneticPr fontId="1"/>
  </si>
  <si>
    <t>Y</t>
    <phoneticPr fontId="1"/>
  </si>
  <si>
    <t>X</t>
    <phoneticPr fontId="1"/>
  </si>
  <si>
    <t>支線</t>
  </si>
  <si>
    <t>タキロン</t>
  </si>
  <si>
    <t>掘削</t>
    <rPh sb="0" eb="2">
      <t>クッサク</t>
    </rPh>
    <phoneticPr fontId="1"/>
  </si>
  <si>
    <t>CTRL</t>
    <phoneticPr fontId="1"/>
  </si>
  <si>
    <t>MW</t>
    <phoneticPr fontId="1"/>
  </si>
  <si>
    <t>架空引込／架空配線</t>
  </si>
  <si>
    <t>架空引込／地中管路</t>
  </si>
  <si>
    <t>地中引込／架空配線</t>
  </si>
  <si>
    <t>地中引込／地中管路</t>
  </si>
  <si>
    <t>C</t>
    <phoneticPr fontId="1"/>
  </si>
  <si>
    <t>H'=受変!AC6</t>
    <phoneticPr fontId="1"/>
  </si>
  <si>
    <t>D2 屋内電気室</t>
  </si>
  <si>
    <t>---</t>
  </si>
  <si>
    <t>D2</t>
    <phoneticPr fontId="1"/>
  </si>
  <si>
    <t>D1</t>
    <phoneticPr fontId="1"/>
  </si>
  <si>
    <t>引込点</t>
    <rPh sb="0" eb="2">
      <t>ヒキコミ</t>
    </rPh>
    <rPh sb="2" eb="3">
      <t>テン</t>
    </rPh>
    <phoneticPr fontId="1"/>
  </si>
  <si>
    <t>X</t>
    <phoneticPr fontId="1"/>
  </si>
  <si>
    <t>B</t>
    <phoneticPr fontId="1"/>
  </si>
  <si>
    <t>●</t>
    <phoneticPr fontId="1"/>
  </si>
  <si>
    <t>A</t>
    <phoneticPr fontId="1"/>
  </si>
  <si>
    <t>電 話</t>
    <rPh sb="0" eb="1">
      <t>デン</t>
    </rPh>
    <rPh sb="2" eb="3">
      <t>ハナシ</t>
    </rPh>
    <phoneticPr fontId="1"/>
  </si>
  <si>
    <t>Help</t>
    <phoneticPr fontId="1"/>
  </si>
  <si>
    <t>TopPage</t>
    <phoneticPr fontId="1"/>
  </si>
  <si>
    <t>cp</t>
    <phoneticPr fontId="1"/>
  </si>
  <si>
    <t>HH</t>
    <phoneticPr fontId="1"/>
  </si>
  <si>
    <t>FEP</t>
    <phoneticPr fontId="1"/>
  </si>
  <si>
    <t>G・C</t>
    <phoneticPr fontId="1"/>
  </si>
  <si>
    <t>HV</t>
    <phoneticPr fontId="1"/>
  </si>
  <si>
    <t>電工</t>
    <rPh sb="0" eb="2">
      <t>デンコウ</t>
    </rPh>
    <phoneticPr fontId="1"/>
  </si>
  <si>
    <t>A</t>
    <phoneticPr fontId="1"/>
  </si>
  <si>
    <t>MJ／Nm3</t>
    <phoneticPr fontId="1"/>
  </si>
  <si>
    <t xml:space="preserve"> 都市ガス-13A</t>
    <rPh sb="1" eb="3">
      <t>トシ</t>
    </rPh>
    <phoneticPr fontId="1"/>
  </si>
  <si>
    <t xml:space="preserve"> 天然ガス</t>
    <rPh sb="1" eb="3">
      <t>テンネン</t>
    </rPh>
    <phoneticPr fontId="1"/>
  </si>
  <si>
    <t>MJ／L</t>
    <phoneticPr fontId="1"/>
  </si>
  <si>
    <t xml:space="preserve"> 軽油</t>
    <rPh sb="1" eb="3">
      <t>ケイユ</t>
    </rPh>
    <phoneticPr fontId="1"/>
  </si>
  <si>
    <t xml:space="preserve"> Ａ重油</t>
    <rPh sb="2" eb="4">
      <t>ジュウユ</t>
    </rPh>
    <phoneticPr fontId="1"/>
  </si>
  <si>
    <t xml:space="preserve"> ディーゼル軽油</t>
    <rPh sb="6" eb="8">
      <t>ケイユ</t>
    </rPh>
    <phoneticPr fontId="1"/>
  </si>
  <si>
    <t>金額 修正</t>
    <rPh sb="0" eb="2">
      <t>キンガク</t>
    </rPh>
    <rPh sb="3" eb="4">
      <t>オサム</t>
    </rPh>
    <rPh sb="4" eb="5">
      <t>セイ</t>
    </rPh>
    <phoneticPr fontId="1"/>
  </si>
  <si>
    <t>金　額 (円)</t>
    <rPh sb="0" eb="1">
      <t>キン</t>
    </rPh>
    <rPh sb="2" eb="3">
      <t>ガク</t>
    </rPh>
    <rPh sb="5" eb="6">
      <t>エン</t>
    </rPh>
    <phoneticPr fontId="1"/>
  </si>
  <si>
    <t>内　　　　　　　容</t>
    <rPh sb="0" eb="1">
      <t>ナイ</t>
    </rPh>
    <rPh sb="8" eb="9">
      <t>カタチ</t>
    </rPh>
    <phoneticPr fontId="1"/>
  </si>
  <si>
    <t>項　　　　目</t>
    <rPh sb="0" eb="1">
      <t>コウ</t>
    </rPh>
    <rPh sb="5" eb="6">
      <t>メ</t>
    </rPh>
    <phoneticPr fontId="1"/>
  </si>
  <si>
    <t>燃費G</t>
    <rPh sb="0" eb="2">
      <t>ネンピ</t>
    </rPh>
    <phoneticPr fontId="1"/>
  </si>
  <si>
    <t>燃費D</t>
    <rPh sb="0" eb="2">
      <t>ネンピ</t>
    </rPh>
    <phoneticPr fontId="1"/>
  </si>
  <si>
    <t>発電η</t>
    <rPh sb="0" eb="2">
      <t>ハツデン</t>
    </rPh>
    <phoneticPr fontId="1"/>
  </si>
  <si>
    <t>G</t>
    <phoneticPr fontId="1"/>
  </si>
  <si>
    <t>D</t>
    <phoneticPr fontId="1"/>
  </si>
  <si>
    <t>GTE</t>
    <phoneticPr fontId="1"/>
  </si>
  <si>
    <t>DE</t>
    <phoneticPr fontId="1"/>
  </si>
  <si>
    <t>ACG</t>
    <phoneticPr fontId="1"/>
  </si>
  <si>
    <t>単価←修正</t>
  </si>
  <si>
    <t>内　　　　　　　　　　　　容</t>
    <rPh sb="0" eb="1">
      <t>ナイ</t>
    </rPh>
    <rPh sb="13" eb="14">
      <t>カタチ</t>
    </rPh>
    <phoneticPr fontId="1"/>
  </si>
  <si>
    <t>PE</t>
    <phoneticPr fontId="1"/>
  </si>
  <si>
    <t>PG</t>
    <phoneticPr fontId="1"/>
  </si>
  <si>
    <t>通常 0.7</t>
    <rPh sb="0" eb="2">
      <t>ツウジョウ</t>
    </rPh>
    <phoneticPr fontId="1"/>
  </si>
  <si>
    <t>エンジンの許容負荷投入係数</t>
    <rPh sb="5" eb="7">
      <t>キョヨウ</t>
    </rPh>
    <rPh sb="7" eb="9">
      <t>フカ</t>
    </rPh>
    <rPh sb="9" eb="11">
      <t>トウニュウ</t>
    </rPh>
    <rPh sb="11" eb="13">
      <t>ケイスウ</t>
    </rPh>
    <phoneticPr fontId="1"/>
  </si>
  <si>
    <t>K</t>
    <phoneticPr fontId="1"/>
  </si>
  <si>
    <t>力率</t>
    <phoneticPr fontId="1"/>
  </si>
  <si>
    <t>最後に投入される負荷のインラッシュ時の</t>
    <rPh sb="0" eb="2">
      <t>サイゴ</t>
    </rPh>
    <rPh sb="3" eb="5">
      <t>トウニュウ</t>
    </rPh>
    <rPh sb="8" eb="10">
      <t>フカ</t>
    </rPh>
    <rPh sb="17" eb="18">
      <t>ジ</t>
    </rPh>
    <phoneticPr fontId="1"/>
  </si>
  <si>
    <t>Pfs</t>
    <phoneticPr fontId="1"/>
  </si>
  <si>
    <t>インラッシュ入力容量 [KW]</t>
    <phoneticPr fontId="1"/>
  </si>
  <si>
    <t>最後に投入される負荷の</t>
    <rPh sb="0" eb="2">
      <t>サイゴ</t>
    </rPh>
    <rPh sb="3" eb="5">
      <t>トウニュウ</t>
    </rPh>
    <rPh sb="8" eb="10">
      <t>フカ</t>
    </rPh>
    <phoneticPr fontId="1"/>
  </si>
  <si>
    <t>QVB</t>
    <phoneticPr fontId="1"/>
  </si>
  <si>
    <t>ベースロード [KW]</t>
    <phoneticPr fontId="1"/>
  </si>
  <si>
    <t>P0</t>
    <phoneticPr fontId="1"/>
  </si>
  <si>
    <t>2．エンジン出力の選定：Maximum ( PE1，PE2 )</t>
    <rPh sb="6" eb="8">
      <t>シュツリョク</t>
    </rPh>
    <rPh sb="9" eb="11">
      <t>センテイ</t>
    </rPh>
    <phoneticPr fontId="1"/>
  </si>
  <si>
    <t>0.85~0.95</t>
    <phoneticPr fontId="1"/>
  </si>
  <si>
    <t>発電機効率</t>
    <rPh sb="0" eb="3">
      <t>ハツデンキ</t>
    </rPh>
    <rPh sb="3" eb="5">
      <t>コウリツ</t>
    </rPh>
    <phoneticPr fontId="1"/>
  </si>
  <si>
    <t>ηG</t>
    <phoneticPr fontId="1"/>
  </si>
  <si>
    <t>1．発電機容量の選定：Maximum ( PG1，PG2，PG3 )</t>
    <rPh sb="2" eb="5">
      <t>ハツデンキ</t>
    </rPh>
    <rPh sb="5" eb="7">
      <t>ヨウリョウ</t>
    </rPh>
    <rPh sb="8" eb="10">
      <t>センテイ</t>
    </rPh>
    <phoneticPr fontId="1"/>
  </si>
  <si>
    <t>発電機の定格容量 [KVA]</t>
    <rPh sb="0" eb="3">
      <t>ハツデンキ</t>
    </rPh>
    <rPh sb="4" eb="6">
      <t>テイカク</t>
    </rPh>
    <rPh sb="6" eb="8">
      <t>ヨウリョウ</t>
    </rPh>
    <phoneticPr fontId="1"/>
  </si>
  <si>
    <t>PG</t>
    <phoneticPr fontId="1"/>
  </si>
  <si>
    <t>通常 0.15</t>
    <rPh sb="0" eb="2">
      <t>ツウジョウ</t>
    </rPh>
    <phoneticPr fontId="1"/>
  </si>
  <si>
    <t>発電機の許容等価逆相電流</t>
    <rPh sb="0" eb="3">
      <t>ハツデンキ</t>
    </rPh>
    <rPh sb="4" eb="6">
      <t>キョヨウ</t>
    </rPh>
    <rPh sb="6" eb="8">
      <t>トウカ</t>
    </rPh>
    <rPh sb="8" eb="10">
      <t>ギャクソウ</t>
    </rPh>
    <rPh sb="10" eb="12">
      <t>デンリュウ</t>
    </rPh>
    <phoneticPr fontId="1"/>
  </si>
  <si>
    <t>I2eqG</t>
    <phoneticPr fontId="1"/>
  </si>
  <si>
    <r>
      <t>η</t>
    </r>
    <r>
      <rPr>
        <sz val="7"/>
        <color theme="1"/>
        <rFont val="Meiryo UI"/>
        <family val="3"/>
        <charset val="128"/>
      </rPr>
      <t>G</t>
    </r>
    <r>
      <rPr>
        <sz val="9"/>
        <color theme="1"/>
        <rFont val="Meiryo UI"/>
        <family val="3"/>
        <charset val="128"/>
      </rPr>
      <t xml:space="preserve"> × 0.736 × K</t>
    </r>
  </si>
  <si>
    <t>エンジン出力[ps]</t>
    <rPh sb="4" eb="6">
      <t>シュツリョク</t>
    </rPh>
    <phoneticPr fontId="1"/>
  </si>
  <si>
    <t>負荷より発生する許容等価逆相電流</t>
    <rPh sb="0" eb="2">
      <t>フカ</t>
    </rPh>
    <rPh sb="4" eb="6">
      <t>ハッセイ</t>
    </rPh>
    <rPh sb="8" eb="10">
      <t>キョヨウ</t>
    </rPh>
    <rPh sb="10" eb="12">
      <t>トウカ</t>
    </rPh>
    <rPh sb="12" eb="14">
      <t>ギャクソウ</t>
    </rPh>
    <rPh sb="14" eb="16">
      <t>デンリュウ</t>
    </rPh>
    <phoneticPr fontId="1"/>
  </si>
  <si>
    <t>I2eqL</t>
    <phoneticPr fontId="1"/>
  </si>
  <si>
    <r>
      <t>P</t>
    </r>
    <r>
      <rPr>
        <sz val="7"/>
        <color theme="1"/>
        <rFont val="Meiryo UI"/>
        <family val="3"/>
        <charset val="128"/>
      </rPr>
      <t>0</t>
    </r>
    <r>
      <rPr>
        <sz val="9"/>
        <color theme="1"/>
        <rFont val="Meiryo UI"/>
        <family val="3"/>
        <charset val="128"/>
      </rPr>
      <t>＋QVB × Pfs</t>
    </r>
  </si>
  <si>
    <t>PE2=</t>
    <phoneticPr fontId="1"/>
  </si>
  <si>
    <t>負荷投入容量より制限される</t>
    <rPh sb="0" eb="2">
      <t>フカ</t>
    </rPh>
    <rPh sb="2" eb="4">
      <t>トウニュウ</t>
    </rPh>
    <rPh sb="4" eb="6">
      <t>ヨウリョウ</t>
    </rPh>
    <rPh sb="8" eb="10">
      <t>セイゲン</t>
    </rPh>
    <phoneticPr fontId="1"/>
  </si>
  <si>
    <t>負荷容量の和 [KVA]</t>
    <rPh sb="0" eb="2">
      <t>フカ</t>
    </rPh>
    <rPh sb="2" eb="4">
      <t>ヨウリョウ</t>
    </rPh>
    <rPh sb="5" eb="6">
      <t>ワ</t>
    </rPh>
    <phoneticPr fontId="1"/>
  </si>
  <si>
    <t>P</t>
    <phoneticPr fontId="1"/>
  </si>
  <si>
    <r>
      <t>η</t>
    </r>
    <r>
      <rPr>
        <sz val="7"/>
        <color theme="1"/>
        <rFont val="Meiryo UI"/>
        <family val="3"/>
        <charset val="128"/>
      </rPr>
      <t>G</t>
    </r>
    <r>
      <rPr>
        <sz val="9"/>
        <color theme="1"/>
        <rFont val="Meiryo UI"/>
        <family val="3"/>
        <charset val="128"/>
      </rPr>
      <t xml:space="preserve"> × 0.736</t>
    </r>
  </si>
  <si>
    <t>0.20～0.30</t>
    <phoneticPr fontId="1"/>
  </si>
  <si>
    <t>発電機の瞬時電圧降下率</t>
    <rPh sb="0" eb="3">
      <t>ハツデンキ</t>
    </rPh>
    <rPh sb="4" eb="6">
      <t>シュンジ</t>
    </rPh>
    <rPh sb="6" eb="8">
      <t>デンアツ</t>
    </rPh>
    <rPh sb="8" eb="10">
      <t>コウカ</t>
    </rPh>
    <rPh sb="10" eb="11">
      <t>リツ</t>
    </rPh>
    <phoneticPr fontId="1"/>
  </si>
  <si>
    <t>ΔE</t>
    <phoneticPr fontId="1"/>
  </si>
  <si>
    <r>
      <t>P</t>
    </r>
    <r>
      <rPr>
        <sz val="7"/>
        <color theme="1"/>
        <rFont val="Meiryo UI"/>
        <family val="3"/>
        <charset val="128"/>
      </rPr>
      <t>G</t>
    </r>
    <r>
      <rPr>
        <sz val="9"/>
        <color theme="1"/>
        <rFont val="Meiryo UI"/>
        <family val="3"/>
        <charset val="128"/>
      </rPr>
      <t xml:space="preserve"> × Pf</t>
    </r>
    <r>
      <rPr>
        <sz val="7"/>
        <color theme="1"/>
        <rFont val="Meiryo UI"/>
        <family val="3"/>
        <charset val="128"/>
      </rPr>
      <t>L</t>
    </r>
  </si>
  <si>
    <t>PE1=</t>
    <phoneticPr fontId="1"/>
  </si>
  <si>
    <t>定常運転に必要な</t>
    <rPh sb="0" eb="2">
      <t>テイジョウ</t>
    </rPh>
    <rPh sb="2" eb="4">
      <t>ウンテン</t>
    </rPh>
    <rPh sb="5" eb="7">
      <t>ヒツヨウ</t>
    </rPh>
    <phoneticPr fontId="1"/>
  </si>
  <si>
    <t>所要エンジン出力
(ps)</t>
    <rPh sb="0" eb="2">
      <t>ショヨウ</t>
    </rPh>
    <rPh sb="6" eb="8">
      <t>シュツリョク</t>
    </rPh>
    <phoneticPr fontId="1"/>
  </si>
  <si>
    <t>0.15～0.30</t>
    <phoneticPr fontId="1"/>
  </si>
  <si>
    <t>発電機の過度リアクタンス</t>
    <rPh sb="0" eb="3">
      <t>ハツデンキ</t>
    </rPh>
    <rPh sb="4" eb="6">
      <t>カド</t>
    </rPh>
    <phoneticPr fontId="1"/>
  </si>
  <si>
    <t>X'd</t>
    <phoneticPr fontId="1"/>
  </si>
  <si>
    <r>
      <t>I</t>
    </r>
    <r>
      <rPr>
        <sz val="7"/>
        <color theme="1"/>
        <rFont val="Meiryo UI"/>
        <family val="3"/>
        <charset val="128"/>
      </rPr>
      <t>2eq</t>
    </r>
    <r>
      <rPr>
        <sz val="9"/>
        <color theme="1"/>
        <rFont val="Meiryo UI"/>
        <family val="3"/>
        <charset val="128"/>
      </rPr>
      <t>G</t>
    </r>
  </si>
  <si>
    <t>発電機容量[KVA]</t>
    <rPh sb="0" eb="3">
      <t>ハツデンキ</t>
    </rPh>
    <rPh sb="3" eb="5">
      <t>ヨウリョウ</t>
    </rPh>
    <phoneticPr fontId="1"/>
  </si>
  <si>
    <t>最大始動容量 [KVA]</t>
    <rPh sb="0" eb="2">
      <t>サイダイ</t>
    </rPh>
    <rPh sb="2" eb="4">
      <t>シドウ</t>
    </rPh>
    <rPh sb="4" eb="6">
      <t>ヨウリョウ</t>
    </rPh>
    <phoneticPr fontId="1"/>
  </si>
  <si>
    <t>QVA</t>
    <phoneticPr fontId="1"/>
  </si>
  <si>
    <r>
      <t>I</t>
    </r>
    <r>
      <rPr>
        <sz val="7"/>
        <color theme="1"/>
        <rFont val="Meiryo UI"/>
        <family val="3"/>
        <charset val="128"/>
      </rPr>
      <t>2eq</t>
    </r>
    <r>
      <rPr>
        <sz val="9"/>
        <color theme="1"/>
        <rFont val="Meiryo UI"/>
        <family val="3"/>
        <charset val="128"/>
      </rPr>
      <t>L</t>
    </r>
  </si>
  <si>
    <r>
      <t>PG3= P</t>
    </r>
    <r>
      <rPr>
        <sz val="6"/>
        <color theme="1"/>
        <rFont val="Meiryo UI"/>
        <family val="3"/>
        <charset val="128"/>
      </rPr>
      <t xml:space="preserve"> </t>
    </r>
    <r>
      <rPr>
        <sz val="9"/>
        <color theme="1"/>
        <rFont val="Meiryo UI"/>
        <family val="3"/>
        <charset val="128"/>
      </rPr>
      <t>×</t>
    </r>
  </si>
  <si>
    <t>等価逆相電流容量による</t>
    <rPh sb="0" eb="2">
      <t>トウカ</t>
    </rPh>
    <rPh sb="2" eb="4">
      <t>ギャクソウ</t>
    </rPh>
    <rPh sb="4" eb="6">
      <t>デンリュウ</t>
    </rPh>
    <rPh sb="6" eb="8">
      <t>ヨウリョウ</t>
    </rPh>
    <phoneticPr fontId="1"/>
  </si>
  <si>
    <t>通常 1.0</t>
    <rPh sb="0" eb="2">
      <t>ツウジョウ</t>
    </rPh>
    <phoneticPr fontId="1"/>
  </si>
  <si>
    <t>負荷率、需要率を考慮した係数</t>
    <rPh sb="0" eb="2">
      <t>フカ</t>
    </rPh>
    <rPh sb="2" eb="3">
      <t>リツ</t>
    </rPh>
    <rPh sb="4" eb="6">
      <t>ジュヨウ</t>
    </rPh>
    <rPh sb="6" eb="7">
      <t>リツ</t>
    </rPh>
    <rPh sb="8" eb="10">
      <t>コウリョ</t>
    </rPh>
    <rPh sb="12" eb="14">
      <t>ケイスウ</t>
    </rPh>
    <phoneticPr fontId="1"/>
  </si>
  <si>
    <t>ａ</t>
    <phoneticPr fontId="1"/>
  </si>
  <si>
    <t>を考慮した発電機容量[KVA]</t>
    <rPh sb="1" eb="3">
      <t>コウリョ</t>
    </rPh>
    <rPh sb="5" eb="8">
      <t>ハツデンキ</t>
    </rPh>
    <rPh sb="8" eb="10">
      <t>ヨウリョウ</t>
    </rPh>
    <phoneticPr fontId="1"/>
  </si>
  <si>
    <t>負荷の入力力率</t>
    <rPh sb="0" eb="2">
      <t>フカ</t>
    </rPh>
    <rPh sb="3" eb="5">
      <t>ニュウリョク</t>
    </rPh>
    <rPh sb="5" eb="7">
      <t>リキリツ</t>
    </rPh>
    <phoneticPr fontId="1"/>
  </si>
  <si>
    <t>PfL</t>
    <phoneticPr fontId="1"/>
  </si>
  <si>
    <t>1－ΔE</t>
    <phoneticPr fontId="1"/>
  </si>
  <si>
    <t>PG2= QVA × X'd ×</t>
    <phoneticPr fontId="1"/>
  </si>
  <si>
    <t>負荷投入時の瞬時電圧降下</t>
    <rPh sb="0" eb="2">
      <t>フカ</t>
    </rPh>
    <rPh sb="2" eb="4">
      <t>トウニュウ</t>
    </rPh>
    <rPh sb="4" eb="5">
      <t>ジ</t>
    </rPh>
    <rPh sb="6" eb="8">
      <t>シュンジ</t>
    </rPh>
    <rPh sb="8" eb="10">
      <t>デンアツ</t>
    </rPh>
    <rPh sb="10" eb="12">
      <t>コウカ</t>
    </rPh>
    <phoneticPr fontId="1"/>
  </si>
  <si>
    <t>負荷の効率</t>
    <rPh sb="0" eb="2">
      <t>フカ</t>
    </rPh>
    <rPh sb="3" eb="5">
      <t>コウリツ</t>
    </rPh>
    <phoneticPr fontId="1"/>
  </si>
  <si>
    <t>ηL</t>
    <phoneticPr fontId="1"/>
  </si>
  <si>
    <r>
      <t>Pf</t>
    </r>
    <r>
      <rPr>
        <sz val="7"/>
        <color theme="1"/>
        <rFont val="Meiryo UI"/>
        <family val="3"/>
        <charset val="128"/>
      </rPr>
      <t>L</t>
    </r>
  </si>
  <si>
    <t>エゼクタ方式(GE)</t>
    <rPh sb="4" eb="6">
      <t>ホウシキ</t>
    </rPh>
    <phoneticPr fontId="1"/>
  </si>
  <si>
    <t>負荷の容量 [出力KW]</t>
    <rPh sb="0" eb="2">
      <t>フカ</t>
    </rPh>
    <rPh sb="3" eb="5">
      <t>ヨウリョウ</t>
    </rPh>
    <rPh sb="7" eb="9">
      <t>シュツリョク</t>
    </rPh>
    <phoneticPr fontId="1"/>
  </si>
  <si>
    <t>KW</t>
    <phoneticPr fontId="1"/>
  </si>
  <si>
    <r>
      <t>) ×</t>
    </r>
    <r>
      <rPr>
        <sz val="3"/>
        <color theme="1"/>
        <rFont val="Meiryo UI"/>
        <family val="3"/>
        <charset val="128"/>
      </rPr>
      <t xml:space="preserve"> </t>
    </r>
    <r>
      <rPr>
        <sz val="9"/>
        <color theme="1"/>
        <rFont val="Meiryo UI"/>
        <family val="3"/>
        <charset val="128"/>
      </rPr>
      <t>ａ</t>
    </r>
  </si>
  <si>
    <t>KW／ηL</t>
    <phoneticPr fontId="1"/>
  </si>
  <si>
    <t>PG1=Σ(</t>
    <phoneticPr fontId="1"/>
  </si>
  <si>
    <t>発電機容量
(PG)</t>
    <rPh sb="0" eb="3">
      <t>ハツデンキ</t>
    </rPh>
    <rPh sb="3" eb="5">
      <t>ヨウリョウ</t>
    </rPh>
    <phoneticPr fontId="1"/>
  </si>
  <si>
    <t>単独排気方式(GE)</t>
    <rPh sb="0" eb="2">
      <t>タンドク</t>
    </rPh>
    <rPh sb="2" eb="4">
      <t>ハイキ</t>
    </rPh>
    <rPh sb="4" eb="6">
      <t>ホウシキ</t>
    </rPh>
    <phoneticPr fontId="1"/>
  </si>
  <si>
    <t>使用数値</t>
    <rPh sb="0" eb="2">
      <t>シヨウ</t>
    </rPh>
    <rPh sb="2" eb="4">
      <t>スウチ</t>
    </rPh>
    <phoneticPr fontId="1"/>
  </si>
  <si>
    <t>記　　号　　内　　容</t>
    <rPh sb="0" eb="1">
      <t>キ</t>
    </rPh>
    <rPh sb="3" eb="4">
      <t>ゴウ</t>
    </rPh>
    <rPh sb="6" eb="7">
      <t>ナイ</t>
    </rPh>
    <rPh sb="9" eb="10">
      <t>カタチ</t>
    </rPh>
    <phoneticPr fontId="1"/>
  </si>
  <si>
    <t>記号</t>
    <rPh sb="0" eb="2">
      <t>キゴウ</t>
    </rPh>
    <phoneticPr fontId="1"/>
  </si>
  <si>
    <t>計算式</t>
    <rPh sb="0" eb="2">
      <t>ケイサン</t>
    </rPh>
    <rPh sb="2" eb="3">
      <t>シキ</t>
    </rPh>
    <phoneticPr fontId="1"/>
  </si>
  <si>
    <t>計算式の内容</t>
    <rPh sb="0" eb="2">
      <t>ケイサン</t>
    </rPh>
    <rPh sb="2" eb="3">
      <t>シキ</t>
    </rPh>
    <rPh sb="4" eb="6">
      <t>ナイヨウ</t>
    </rPh>
    <phoneticPr fontId="1"/>
  </si>
  <si>
    <t>計算項目</t>
    <rPh sb="0" eb="2">
      <t>ケイサン</t>
    </rPh>
    <rPh sb="2" eb="4">
      <t>コウモク</t>
    </rPh>
    <phoneticPr fontId="1"/>
  </si>
  <si>
    <t>放水水冷方式(DE)</t>
    <rPh sb="0" eb="2">
      <t>ホウスイ</t>
    </rPh>
    <rPh sb="2" eb="4">
      <t>スイレイ</t>
    </rPh>
    <rPh sb="4" eb="6">
      <t>ホウシキ</t>
    </rPh>
    <phoneticPr fontId="1"/>
  </si>
  <si>
    <t>インバータ</t>
    <phoneticPr fontId="1"/>
  </si>
  <si>
    <t>水冷ラジエータ方式(DE)</t>
    <rPh sb="0" eb="2">
      <t>スイレイ</t>
    </rPh>
    <rPh sb="7" eb="9">
      <t>ホウシキ</t>
    </rPh>
    <phoneticPr fontId="1"/>
  </si>
  <si>
    <t>80%コンドルファ</t>
    <phoneticPr fontId="1"/>
  </si>
  <si>
    <t>空冷ラジエータ方式(DE)</t>
    <rPh sb="0" eb="2">
      <t>クウレイ</t>
    </rPh>
    <rPh sb="7" eb="9">
      <t>ホウシキ</t>
    </rPh>
    <phoneticPr fontId="1"/>
  </si>
  <si>
    <t>65%コンドルファ</t>
    <phoneticPr fontId="1"/>
  </si>
  <si>
    <t>50%コンドルファ</t>
    <phoneticPr fontId="1"/>
  </si>
  <si>
    <t>80%リアクトル</t>
    <phoneticPr fontId="1"/>
  </si>
  <si>
    <t>エゼクタ方式(GE)</t>
    <phoneticPr fontId="1"/>
  </si>
  <si>
    <t>60%リアクトル</t>
    <phoneticPr fontId="1"/>
  </si>
  <si>
    <t>単独排気方式(GE)</t>
    <phoneticPr fontId="1"/>
  </si>
  <si>
    <t>50%リアクトル</t>
    <phoneticPr fontId="1"/>
  </si>
  <si>
    <t>放水水冷方式(DE)</t>
    <phoneticPr fontId="1"/>
  </si>
  <si>
    <t>Closed Y-Δ</t>
    <phoneticPr fontId="1"/>
  </si>
  <si>
    <t>低騒音75dB</t>
    <phoneticPr fontId="1"/>
  </si>
  <si>
    <t>Open Y-Δ</t>
    <phoneticPr fontId="1"/>
  </si>
  <si>
    <t>低騒音85dB</t>
    <phoneticPr fontId="1"/>
  </si>
  <si>
    <t>L-S (直入れ)</t>
    <rPh sb="5" eb="6">
      <t>ジカ</t>
    </rPh>
    <rPh sb="6" eb="7">
      <t>イ</t>
    </rPh>
    <phoneticPr fontId="1"/>
  </si>
  <si>
    <t>普通騒音105dB</t>
    <phoneticPr fontId="1"/>
  </si>
  <si>
    <t>屋内</t>
    <rPh sb="0" eb="2">
      <t>オクナイ</t>
    </rPh>
    <phoneticPr fontId="1"/>
  </si>
  <si>
    <t>KVA</t>
    <phoneticPr fontId="1"/>
  </si>
  <si>
    <r>
      <rPr>
        <sz val="7"/>
        <color theme="1"/>
        <rFont val="Meiryo UI"/>
        <family val="3"/>
        <charset val="128"/>
      </rPr>
      <t>Pf</t>
    </r>
    <r>
      <rPr>
        <sz val="6"/>
        <color theme="1"/>
        <rFont val="Meiryo UI"/>
        <family val="3"/>
        <charset val="128"/>
      </rPr>
      <t>L</t>
    </r>
  </si>
  <si>
    <t>PG3</t>
    <phoneticPr fontId="1"/>
  </si>
  <si>
    <r>
      <t>Pf</t>
    </r>
    <r>
      <rPr>
        <sz val="8"/>
        <color theme="1"/>
        <rFont val="Meiryo UI"/>
        <family val="3"/>
        <charset val="128"/>
      </rPr>
      <t>s</t>
    </r>
  </si>
  <si>
    <r>
      <rPr>
        <sz val="10"/>
        <color theme="1"/>
        <rFont val="Meiryo UI"/>
        <family val="3"/>
        <charset val="128"/>
      </rPr>
      <t>I</t>
    </r>
    <r>
      <rPr>
        <sz val="7"/>
        <color theme="1"/>
        <rFont val="Meiryo UI"/>
        <family val="3"/>
        <charset val="128"/>
      </rPr>
      <t>2eq</t>
    </r>
    <r>
      <rPr>
        <sz val="8"/>
        <color theme="1"/>
        <rFont val="Meiryo UI"/>
        <family val="3"/>
        <charset val="128"/>
      </rPr>
      <t>L</t>
    </r>
  </si>
  <si>
    <t>修正</t>
    <rPh sb="0" eb="1">
      <t>オサム</t>
    </rPh>
    <rPh sb="1" eb="2">
      <t>セイ</t>
    </rPh>
    <phoneticPr fontId="1"/>
  </si>
  <si>
    <t>▼</t>
    <phoneticPr fontId="1"/>
  </si>
  <si>
    <t>始動方式</t>
    <rPh sb="0" eb="2">
      <t>シドウ</t>
    </rPh>
    <rPh sb="2" eb="4">
      <t>ホウシキ</t>
    </rPh>
    <phoneticPr fontId="1"/>
  </si>
  <si>
    <t>KVA</t>
    <phoneticPr fontId="1"/>
  </si>
  <si>
    <t>Kvar</t>
    <phoneticPr fontId="1"/>
  </si>
  <si>
    <r>
      <rPr>
        <sz val="10"/>
        <color theme="1"/>
        <rFont val="Meiryo UI"/>
        <family val="3"/>
        <charset val="128"/>
      </rPr>
      <t>η</t>
    </r>
    <r>
      <rPr>
        <sz val="7"/>
        <color theme="1"/>
        <rFont val="Meiryo UI"/>
        <family val="3"/>
        <charset val="128"/>
      </rPr>
      <t>L</t>
    </r>
  </si>
  <si>
    <r>
      <rPr>
        <sz val="10"/>
        <color theme="1"/>
        <rFont val="Meiryo UI"/>
        <family val="3"/>
        <charset val="128"/>
      </rPr>
      <t>Pf</t>
    </r>
    <r>
      <rPr>
        <sz val="7"/>
        <color theme="1"/>
        <rFont val="Meiryo UI"/>
        <family val="3"/>
        <charset val="128"/>
      </rPr>
      <t>L</t>
    </r>
  </si>
  <si>
    <t>台数</t>
    <rPh sb="0" eb="2">
      <t>ダイスウ</t>
    </rPh>
    <phoneticPr fontId="1"/>
  </si>
  <si>
    <t>KW</t>
    <phoneticPr fontId="1"/>
  </si>
  <si>
    <t>負　荷　名　称</t>
    <rPh sb="0" eb="1">
      <t>フ</t>
    </rPh>
    <rPh sb="2" eb="3">
      <t>ニ</t>
    </rPh>
    <rPh sb="4" eb="5">
      <t>ナ</t>
    </rPh>
    <rPh sb="6" eb="7">
      <t>ショウ</t>
    </rPh>
    <phoneticPr fontId="1"/>
  </si>
  <si>
    <t>HV</t>
    <phoneticPr fontId="1"/>
  </si>
  <si>
    <t>Row No.</t>
    <phoneticPr fontId="1"/>
  </si>
  <si>
    <t>特別用途地区</t>
  </si>
  <si>
    <t>Column No.</t>
    <phoneticPr fontId="1"/>
  </si>
  <si>
    <t xml:space="preserve"> 基 準 設 定</t>
    <rPh sb="1" eb="2">
      <t>モト</t>
    </rPh>
    <rPh sb="3" eb="4">
      <t>ジュン</t>
    </rPh>
    <rPh sb="5" eb="6">
      <t>セツ</t>
    </rPh>
    <rPh sb="7" eb="8">
      <t>テイ</t>
    </rPh>
    <phoneticPr fontId="1"/>
  </si>
  <si>
    <t xml:space="preserve"> 給排気ガラリ</t>
    <rPh sb="1" eb="2">
      <t>キュウ</t>
    </rPh>
    <rPh sb="2" eb="4">
      <t>ハイキ</t>
    </rPh>
    <phoneticPr fontId="155"/>
  </si>
  <si>
    <r>
      <t>全断面積[ｍ</t>
    </r>
    <r>
      <rPr>
        <vertAlign val="superscript"/>
        <sz val="11"/>
        <rFont val="Meiryo UI"/>
        <family val="3"/>
        <charset val="128"/>
      </rPr>
      <t>2</t>
    </r>
    <r>
      <rPr>
        <sz val="10"/>
        <rFont val="Meiryo UI"/>
        <family val="3"/>
        <charset val="128"/>
      </rPr>
      <t>]</t>
    </r>
    <rPh sb="0" eb="1">
      <t>ゼン</t>
    </rPh>
    <rPh sb="1" eb="4">
      <t>ダンメンセキ</t>
    </rPh>
    <phoneticPr fontId="155"/>
  </si>
  <si>
    <t>気流面速度[m/s]</t>
    <phoneticPr fontId="155"/>
  </si>
  <si>
    <t>有効開口率[％]</t>
    <phoneticPr fontId="155"/>
  </si>
  <si>
    <t>換気回数[回/h]</t>
    <rPh sb="0" eb="2">
      <t>カンキ</t>
    </rPh>
    <rPh sb="2" eb="4">
      <t>カイスウ</t>
    </rPh>
    <rPh sb="5" eb="6">
      <t>カイ</t>
    </rPh>
    <phoneticPr fontId="155"/>
  </si>
  <si>
    <r>
      <t>必要換気量[ｍ</t>
    </r>
    <r>
      <rPr>
        <vertAlign val="superscript"/>
        <sz val="11"/>
        <rFont val="Meiryo UI"/>
        <family val="3"/>
        <charset val="128"/>
      </rPr>
      <t>3</t>
    </r>
    <r>
      <rPr>
        <sz val="10"/>
        <rFont val="Meiryo UI"/>
        <family val="3"/>
        <charset val="128"/>
      </rPr>
      <t>/h]</t>
    </r>
    <rPh sb="0" eb="2">
      <t>ヒツヨウ</t>
    </rPh>
    <rPh sb="2" eb="4">
      <t>カンキ</t>
    </rPh>
    <rPh sb="4" eb="5">
      <t>リョウ</t>
    </rPh>
    <phoneticPr fontId="155"/>
  </si>
  <si>
    <t xml:space="preserve"> 換気設備なし</t>
    <rPh sb="1" eb="3">
      <t>カンキ</t>
    </rPh>
    <rPh sb="3" eb="5">
      <t>セツビ</t>
    </rPh>
    <phoneticPr fontId="155"/>
  </si>
  <si>
    <t>温度上昇[℃/h]</t>
    <rPh sb="0" eb="2">
      <t>オンド</t>
    </rPh>
    <rPh sb="2" eb="4">
      <t>ジョウショウ</t>
    </rPh>
    <phoneticPr fontId="155"/>
  </si>
  <si>
    <t>Cw+Ca</t>
    <phoneticPr fontId="155"/>
  </si>
  <si>
    <t>ｍ</t>
    <phoneticPr fontId="155"/>
  </si>
  <si>
    <t>Q</t>
    <phoneticPr fontId="155"/>
  </si>
  <si>
    <t>発熱量[KW/h]</t>
    <rPh sb="0" eb="2">
      <t>ハツネツ</t>
    </rPh>
    <rPh sb="2" eb="3">
      <t>リョウ</t>
    </rPh>
    <phoneticPr fontId="155"/>
  </si>
  <si>
    <t>許容室温[℃]</t>
    <rPh sb="0" eb="2">
      <t>キョヨウ</t>
    </rPh>
    <rPh sb="2" eb="4">
      <t>シツオン</t>
    </rPh>
    <phoneticPr fontId="155"/>
  </si>
  <si>
    <t>Ｃａ</t>
    <phoneticPr fontId="155"/>
  </si>
  <si>
    <t>Ｃｗ</t>
    <phoneticPr fontId="155"/>
  </si>
  <si>
    <t>相対湿度[％]</t>
    <rPh sb="0" eb="2">
      <t>ソウタイ</t>
    </rPh>
    <rPh sb="2" eb="4">
      <t>シツド</t>
    </rPh>
    <phoneticPr fontId="155"/>
  </si>
  <si>
    <t>外気温度[℃]</t>
    <rPh sb="0" eb="2">
      <t>ガイキ</t>
    </rPh>
    <rPh sb="2" eb="4">
      <t>オンド</t>
    </rPh>
    <phoneticPr fontId="155"/>
  </si>
  <si>
    <r>
      <t>室内空気量[ｍ</t>
    </r>
    <r>
      <rPr>
        <vertAlign val="superscript"/>
        <sz val="11"/>
        <rFont val="Meiryo UI"/>
        <family val="3"/>
        <charset val="128"/>
      </rPr>
      <t>3</t>
    </r>
    <r>
      <rPr>
        <sz val="10"/>
        <rFont val="Meiryo UI"/>
        <family val="3"/>
        <charset val="128"/>
      </rPr>
      <t>]</t>
    </r>
    <rPh sb="0" eb="2">
      <t>シツナイ</t>
    </rPh>
    <rPh sb="2" eb="4">
      <t>クウキ</t>
    </rPh>
    <rPh sb="4" eb="5">
      <t>リョウ</t>
    </rPh>
    <phoneticPr fontId="155"/>
  </si>
  <si>
    <t>SS設置階</t>
    <rPh sb="2" eb="4">
      <t>セッチ</t>
    </rPh>
    <rPh sb="4" eb="5">
      <t>カイ</t>
    </rPh>
    <phoneticPr fontId="1"/>
  </si>
  <si>
    <r>
      <t>設置機器他[ｍ</t>
    </r>
    <r>
      <rPr>
        <vertAlign val="superscript"/>
        <sz val="11"/>
        <rFont val="Meiryo UI"/>
        <family val="3"/>
        <charset val="128"/>
      </rPr>
      <t>3</t>
    </r>
    <r>
      <rPr>
        <sz val="10"/>
        <rFont val="Meiryo UI"/>
        <family val="3"/>
        <charset val="128"/>
      </rPr>
      <t>]</t>
    </r>
    <rPh sb="0" eb="2">
      <t>セッチ</t>
    </rPh>
    <rPh sb="2" eb="4">
      <t>キキ</t>
    </rPh>
    <rPh sb="4" eb="5">
      <t>ホカ</t>
    </rPh>
    <phoneticPr fontId="155"/>
  </si>
  <si>
    <t>天井高さ[ｍ]</t>
    <rPh sb="0" eb="2">
      <t>テンジョウ</t>
    </rPh>
    <rPh sb="2" eb="3">
      <t>タカ</t>
    </rPh>
    <phoneticPr fontId="155"/>
  </si>
  <si>
    <t>室の奥行[ｍ]</t>
    <rPh sb="0" eb="1">
      <t>シツ</t>
    </rPh>
    <rPh sb="2" eb="4">
      <t>オクユキ</t>
    </rPh>
    <phoneticPr fontId="155"/>
  </si>
  <si>
    <t>p/atm</t>
    <phoneticPr fontId="155"/>
  </si>
  <si>
    <t>t/℃</t>
    <phoneticPr fontId="155"/>
  </si>
  <si>
    <t>室の間口[ｍ]</t>
    <rPh sb="0" eb="1">
      <t>シツ</t>
    </rPh>
    <rPh sb="2" eb="4">
      <t>マグチ</t>
    </rPh>
    <phoneticPr fontId="155"/>
  </si>
  <si>
    <r>
      <t>飽和蒸気圧[g･cm</t>
    </r>
    <r>
      <rPr>
        <vertAlign val="superscript"/>
        <sz val="10"/>
        <rFont val="Meiryo UI"/>
        <family val="3"/>
        <charset val="128"/>
      </rPr>
      <t>3</t>
    </r>
    <r>
      <rPr>
        <sz val="10"/>
        <rFont val="Meiryo UI"/>
        <family val="3"/>
        <charset val="128"/>
      </rPr>
      <t>]</t>
    </r>
    <phoneticPr fontId="155"/>
  </si>
  <si>
    <r>
      <t>　　　　　 ｃｗ＋ｃａ＝{4.18×0.1313×0.60}+{1.006×(1-0.1313×0.60)}≒1.1256 [Cp/J･K-1･g</t>
    </r>
    <r>
      <rPr>
        <vertAlign val="superscript"/>
        <sz val="10"/>
        <rFont val="HG明朝B"/>
        <family val="1"/>
        <charset val="128"/>
      </rPr>
      <t>-1</t>
    </r>
    <r>
      <rPr>
        <sz val="10"/>
        <rFont val="HG明朝B"/>
        <family val="1"/>
        <charset val="128"/>
      </rPr>
      <t>]</t>
    </r>
    <phoneticPr fontId="155"/>
  </si>
  <si>
    <t>　　　(例) 50[℃],相対湿度60[％]の場合、右表より飽和蒸気圧=0.1313[p/atm]</t>
    <phoneticPr fontId="155"/>
  </si>
  <si>
    <t>　　相対湿度(Relative humidity) ψ＝100(h/hs)　h:水蒸気の分圧、hs:飽和蒸気の分圧</t>
    <phoneticPr fontId="155"/>
  </si>
  <si>
    <t>　　　  　　　　　　　　Ｑ3　変圧器以外の発熱機器負荷Ｋｗ   ＝1000[Ｊ/ｓ]</t>
    <phoneticPr fontId="155"/>
  </si>
  <si>
    <t>　　　  　　　　　　　　Ｑ2　人体発熱負荷(工場軽作業40[℃])＝200[Kcal/h･人]</t>
    <phoneticPr fontId="155"/>
  </si>
  <si>
    <t>　　　　  　　　　∑Ｑ：Ｑ1　電気機器負荷Ｋｗ＝1000[Ｊ/ｓ]</t>
    <phoneticPr fontId="155"/>
  </si>
  <si>
    <t>　　 　　　　　　　　32：酸素の分子量[ｇ]，28：窒素の分子量[ｇ]</t>
    <phoneticPr fontId="155"/>
  </si>
  <si>
    <t>　　　　　　　　　　(32×0.208＋28×0.792)×(1000/22.4141)×273/(273＋t[℃]) [ｇ]</t>
    <phoneticPr fontId="155"/>
  </si>
  <si>
    <t>　　　　　　　　ｍ：ｔ[℃]空気１[ｍ3]の質量[ｇ]</t>
    <phoneticPr fontId="155"/>
  </si>
  <si>
    <t xml:space="preserve"> 2.実施計算式　∑Ｑ＝ｍ(ｃｗ＋ｃａ)Ｔより　　　Ｔ＝∑Ｑ／(ｃｗ＋ｃａ)・ｍ</t>
    <phoneticPr fontId="155"/>
  </si>
  <si>
    <r>
      <t xml:space="preserve"> 　  　 　　　　　　　　　　　</t>
    </r>
    <r>
      <rPr>
        <sz val="11"/>
        <rFont val="HG明朝B"/>
        <family val="1"/>
        <charset val="128"/>
      </rPr>
      <t xml:space="preserve"> </t>
    </r>
    <r>
      <rPr>
        <sz val="10"/>
        <rFont val="HG明朝B"/>
        <family val="1"/>
        <charset val="128"/>
      </rPr>
      <t>ｃ：比　熱[Cp/J･K</t>
    </r>
    <r>
      <rPr>
        <vertAlign val="superscript"/>
        <sz val="10"/>
        <rFont val="HG明朝B"/>
        <family val="1"/>
        <charset val="128"/>
      </rPr>
      <t>-1</t>
    </r>
    <r>
      <rPr>
        <sz val="10"/>
        <rFont val="HG明朝B"/>
        <family val="1"/>
        <charset val="128"/>
      </rPr>
      <t>･g</t>
    </r>
    <r>
      <rPr>
        <vertAlign val="superscript"/>
        <sz val="10"/>
        <rFont val="HG明朝B"/>
        <family val="1"/>
        <charset val="128"/>
      </rPr>
      <t>-1</t>
    </r>
    <r>
      <rPr>
        <sz val="10"/>
        <rFont val="HG明朝B"/>
        <family val="1"/>
        <charset val="128"/>
      </rPr>
      <t>]　　Ｔ：熱力学温度[Ｋ]</t>
    </r>
    <rPh sb="41" eb="44">
      <t>ネツリキガク</t>
    </rPh>
    <rPh sb="44" eb="46">
      <t>オンド</t>
    </rPh>
    <phoneticPr fontId="155"/>
  </si>
  <si>
    <t xml:space="preserve"> 1.基本計算式　Ｑ＝ｍｃＴ　　　Ｑ：発熱量[Ｊ]　　ｍ：質　量[ｇ]</t>
    <phoneticPr fontId="155"/>
  </si>
  <si>
    <r>
      <t>　◆</t>
    </r>
    <r>
      <rPr>
        <b/>
        <sz val="11"/>
        <rFont val="ＭＳ 明朝"/>
        <family val="1"/>
        <charset val="128"/>
      </rPr>
      <t>室内空気の温度上昇式</t>
    </r>
    <rPh sb="2" eb="4">
      <t>シツナイ</t>
    </rPh>
    <rPh sb="4" eb="6">
      <t>クウキ</t>
    </rPh>
    <rPh sb="7" eb="9">
      <t>オンド</t>
    </rPh>
    <rPh sb="9" eb="11">
      <t>ジョウショウ</t>
    </rPh>
    <rPh sb="11" eb="12">
      <t>シキ</t>
    </rPh>
    <phoneticPr fontId="155"/>
  </si>
  <si>
    <t>　　　建物内閉空間に於ける発熱源による室内空気の温度上昇計算値より換気量を求める。</t>
    <rPh sb="3" eb="5">
      <t>タテモノ</t>
    </rPh>
    <rPh sb="5" eb="6">
      <t>ナイ</t>
    </rPh>
    <rPh sb="6" eb="7">
      <t>ヘイ</t>
    </rPh>
    <rPh sb="7" eb="9">
      <t>クウカン</t>
    </rPh>
    <rPh sb="10" eb="11">
      <t>オ</t>
    </rPh>
    <rPh sb="13" eb="15">
      <t>ハツネツ</t>
    </rPh>
    <rPh sb="15" eb="16">
      <t>ミナモト</t>
    </rPh>
    <rPh sb="19" eb="21">
      <t>シツナイ</t>
    </rPh>
    <rPh sb="21" eb="23">
      <t>クウキ</t>
    </rPh>
    <rPh sb="24" eb="26">
      <t>オンド</t>
    </rPh>
    <rPh sb="26" eb="28">
      <t>ジョウショウ</t>
    </rPh>
    <rPh sb="28" eb="30">
      <t>ケイサン</t>
    </rPh>
    <rPh sb="30" eb="31">
      <t>チ</t>
    </rPh>
    <rPh sb="33" eb="35">
      <t>カンキ</t>
    </rPh>
    <rPh sb="35" eb="36">
      <t>リョウ</t>
    </rPh>
    <rPh sb="37" eb="38">
      <t>モト</t>
    </rPh>
    <phoneticPr fontId="155"/>
  </si>
  <si>
    <r>
      <t>　◆</t>
    </r>
    <r>
      <rPr>
        <b/>
        <sz val="11"/>
        <rFont val="ＭＳ 明朝"/>
        <family val="1"/>
        <charset val="128"/>
      </rPr>
      <t>概　要</t>
    </r>
    <rPh sb="2" eb="3">
      <t>オオムネ</t>
    </rPh>
    <rPh sb="4" eb="5">
      <t>ヨウ</t>
    </rPh>
    <phoneticPr fontId="155"/>
  </si>
  <si>
    <t>Electro Systems Engineering SERVICE</t>
    <phoneticPr fontId="155"/>
  </si>
  <si>
    <t>　室 内 換 気 風 量 計 算</t>
    <rPh sb="1" eb="2">
      <t>シツ</t>
    </rPh>
    <rPh sb="3" eb="4">
      <t>ナイ</t>
    </rPh>
    <rPh sb="5" eb="6">
      <t>カン</t>
    </rPh>
    <rPh sb="7" eb="8">
      <t>キ</t>
    </rPh>
    <rPh sb="9" eb="10">
      <t>カゼ</t>
    </rPh>
    <rPh sb="11" eb="12">
      <t>リョウ</t>
    </rPh>
    <rPh sb="13" eb="14">
      <t>ケイ</t>
    </rPh>
    <rPh sb="15" eb="16">
      <t>ザン</t>
    </rPh>
    <phoneticPr fontId="155"/>
  </si>
  <si>
    <t>サイン</t>
    <phoneticPr fontId="155"/>
  </si>
  <si>
    <t>担 当</t>
    <phoneticPr fontId="155"/>
  </si>
  <si>
    <t xml:space="preserve"> 物件名を入力して下さい</t>
    <phoneticPr fontId="155"/>
  </si>
  <si>
    <t>件 名</t>
    <rPh sb="0" eb="1">
      <t>ケン</t>
    </rPh>
    <rPh sb="2" eb="3">
      <t>メイ</t>
    </rPh>
    <phoneticPr fontId="155"/>
  </si>
  <si>
    <t xml:space="preserve"> 　　貴社名を入力して下さい</t>
    <phoneticPr fontId="1"/>
  </si>
  <si>
    <t xml:space="preserve">No.      </t>
    <phoneticPr fontId="155"/>
  </si>
  <si>
    <t>△</t>
    <phoneticPr fontId="155"/>
  </si>
  <si>
    <t>T-R</t>
    <phoneticPr fontId="155"/>
  </si>
  <si>
    <t>by  ESE  Service</t>
    <phoneticPr fontId="155"/>
  </si>
  <si>
    <t>S-T</t>
    <phoneticPr fontId="155"/>
  </si>
  <si>
    <t>2005. 11. 04     Ver 1.10</t>
    <phoneticPr fontId="155"/>
  </si>
  <si>
    <t>R-S</t>
    <phoneticPr fontId="155"/>
  </si>
  <si>
    <t>励磁突入
電流実効
値合計[A]</t>
    <rPh sb="0" eb="2">
      <t>レイジ</t>
    </rPh>
    <rPh sb="2" eb="4">
      <t>トツニュウ</t>
    </rPh>
    <rPh sb="5" eb="7">
      <t>デンリュウ</t>
    </rPh>
    <rPh sb="7" eb="9">
      <t>ジッコウ</t>
    </rPh>
    <rPh sb="10" eb="11">
      <t>チ</t>
    </rPh>
    <rPh sb="11" eb="13">
      <t>ゴウケイ</t>
    </rPh>
    <phoneticPr fontId="155"/>
  </si>
  <si>
    <r>
      <t>TR  Inrush  current  Calcu.</t>
    </r>
    <r>
      <rPr>
        <b/>
        <sz val="11"/>
        <color indexed="40"/>
        <rFont val="Times New Roman"/>
        <family val="1"/>
      </rPr>
      <t/>
    </r>
    <phoneticPr fontId="155"/>
  </si>
  <si>
    <t>励磁突入電流
実効値[A]</t>
    <rPh sb="0" eb="2">
      <t>レイジ</t>
    </rPh>
    <rPh sb="2" eb="4">
      <t>トツニュウ</t>
    </rPh>
    <rPh sb="4" eb="6">
      <t>デンリュウ</t>
    </rPh>
    <rPh sb="7" eb="9">
      <t>ジッコウ</t>
    </rPh>
    <rPh sb="9" eb="10">
      <t>チ</t>
    </rPh>
    <phoneticPr fontId="155"/>
  </si>
  <si>
    <t>全負荷電流値に
なるまでの時間</t>
    <rPh sb="0" eb="1">
      <t>ゼン</t>
    </rPh>
    <rPh sb="1" eb="3">
      <t>フカ</t>
    </rPh>
    <rPh sb="3" eb="5">
      <t>デンリュウ</t>
    </rPh>
    <rPh sb="5" eb="6">
      <t>チ</t>
    </rPh>
    <rPh sb="13" eb="15">
      <t>ジカン</t>
    </rPh>
    <phoneticPr fontId="155"/>
  </si>
  <si>
    <t>全負荷電流 ×</t>
    <rPh sb="0" eb="1">
      <t>ゼン</t>
    </rPh>
    <rPh sb="1" eb="3">
      <t>フカ</t>
    </rPh>
    <rPh sb="3" eb="5">
      <t>デンリュウ</t>
    </rPh>
    <phoneticPr fontId="155"/>
  </si>
  <si>
    <t>t=1 Sycle</t>
    <phoneticPr fontId="155"/>
  </si>
  <si>
    <t>電気方式：</t>
    <rPh sb="0" eb="2">
      <t>デンキ</t>
    </rPh>
    <rPh sb="2" eb="4">
      <t>ホウシキ</t>
    </rPh>
    <phoneticPr fontId="155"/>
  </si>
  <si>
    <t xml:space="preserve">時  間 [sec] </t>
    <rPh sb="0" eb="1">
      <t>トキ</t>
    </rPh>
    <rPh sb="3" eb="4">
      <t>アイダ</t>
    </rPh>
    <phoneticPr fontId="155"/>
  </si>
  <si>
    <t>変圧器台数=</t>
    <rPh sb="0" eb="3">
      <t>ヘンアツキ</t>
    </rPh>
    <rPh sb="3" eb="5">
      <t>ダイスウ</t>
    </rPh>
    <phoneticPr fontId="155"/>
  </si>
  <si>
    <t>X10＝</t>
    <phoneticPr fontId="155"/>
  </si>
  <si>
    <t>X9＝</t>
    <phoneticPr fontId="155"/>
  </si>
  <si>
    <t>X8＝</t>
    <phoneticPr fontId="155"/>
  </si>
  <si>
    <t>一次電流=</t>
    <rPh sb="0" eb="2">
      <t>イチジ</t>
    </rPh>
    <rPh sb="2" eb="4">
      <t>デンリュウ</t>
    </rPh>
    <phoneticPr fontId="155"/>
  </si>
  <si>
    <t>一次電圧=</t>
    <rPh sb="0" eb="2">
      <t>イチジ</t>
    </rPh>
    <rPh sb="2" eb="4">
      <t>デンアツ</t>
    </rPh>
    <phoneticPr fontId="155"/>
  </si>
  <si>
    <t>変圧器容量=</t>
    <rPh sb="0" eb="3">
      <t>ヘンアツキ</t>
    </rPh>
    <rPh sb="3" eb="5">
      <t>ヨウリョウ</t>
    </rPh>
    <phoneticPr fontId="155"/>
  </si>
  <si>
    <t>X3＝</t>
    <phoneticPr fontId="155"/>
  </si>
  <si>
    <t>周波数=</t>
    <rPh sb="0" eb="3">
      <t>シュウハスウ</t>
    </rPh>
    <phoneticPr fontId="155"/>
  </si>
  <si>
    <t>X2＝</t>
    <phoneticPr fontId="155"/>
  </si>
  <si>
    <t>X1＝</t>
    <phoneticPr fontId="155"/>
  </si>
  <si>
    <t>ｂ＝</t>
    <phoneticPr fontId="155"/>
  </si>
  <si>
    <t>f’(X)=0，Xb=</t>
    <phoneticPr fontId="155"/>
  </si>
  <si>
    <t>f’(X)=0，Xa=</t>
    <phoneticPr fontId="155"/>
  </si>
  <si>
    <t>f”(x)=0</t>
    <phoneticPr fontId="155"/>
  </si>
  <si>
    <t>ｄ＝</t>
    <phoneticPr fontId="155"/>
  </si>
  <si>
    <t>ｃ＝</t>
    <phoneticPr fontId="155"/>
  </si>
  <si>
    <t>ａ＝</t>
    <phoneticPr fontId="155"/>
  </si>
  <si>
    <t>t=1.6sec</t>
    <phoneticPr fontId="155"/>
  </si>
  <si>
    <t>t=1.5sec</t>
    <phoneticPr fontId="155"/>
  </si>
  <si>
    <t>t=1.4sec</t>
    <phoneticPr fontId="155"/>
  </si>
  <si>
    <t>t=1.3sec</t>
    <phoneticPr fontId="155"/>
  </si>
  <si>
    <t>t=1.2sec</t>
    <phoneticPr fontId="155"/>
  </si>
  <si>
    <t>t=1.1sec</t>
    <phoneticPr fontId="155"/>
  </si>
  <si>
    <t>t=1.0sec</t>
    <phoneticPr fontId="155"/>
  </si>
  <si>
    <t>t=09sec</t>
    <phoneticPr fontId="155"/>
  </si>
  <si>
    <t>t=0.8sec</t>
    <phoneticPr fontId="155"/>
  </si>
  <si>
    <t>t=0.7sec</t>
    <phoneticPr fontId="155"/>
  </si>
  <si>
    <t>t=0.6sec</t>
    <phoneticPr fontId="155"/>
  </si>
  <si>
    <t>t=0.5sec</t>
    <phoneticPr fontId="155"/>
  </si>
  <si>
    <t>t=0.4sec</t>
    <phoneticPr fontId="155"/>
  </si>
  <si>
    <t>t=0.3sec</t>
    <phoneticPr fontId="155"/>
  </si>
  <si>
    <t>t=02sec</t>
    <phoneticPr fontId="155"/>
  </si>
  <si>
    <t>t=0.1sec</t>
    <phoneticPr fontId="155"/>
  </si>
  <si>
    <t xml:space="preserve"> No.5 (三相)</t>
    <rPh sb="7" eb="9">
      <t>サンソウ</t>
    </rPh>
    <phoneticPr fontId="155"/>
  </si>
  <si>
    <t xml:space="preserve"> No.4 (三相)</t>
    <rPh sb="7" eb="9">
      <t>サンソウ</t>
    </rPh>
    <phoneticPr fontId="155"/>
  </si>
  <si>
    <t>X10＝</t>
    <phoneticPr fontId="155"/>
  </si>
  <si>
    <t>X9＝</t>
    <phoneticPr fontId="155"/>
  </si>
  <si>
    <t>X8＝</t>
    <phoneticPr fontId="155"/>
  </si>
  <si>
    <t>X3＝</t>
    <phoneticPr fontId="155"/>
  </si>
  <si>
    <t xml:space="preserve"> No.3 (三相)</t>
    <rPh sb="7" eb="9">
      <t>サンソウ</t>
    </rPh>
    <phoneticPr fontId="155"/>
  </si>
  <si>
    <t>X2＝</t>
    <phoneticPr fontId="155"/>
  </si>
  <si>
    <t>X1＝</t>
    <phoneticPr fontId="155"/>
  </si>
  <si>
    <t>ｂ＝</t>
    <phoneticPr fontId="155"/>
  </si>
  <si>
    <t>f’(X)=0，Xb=</t>
    <phoneticPr fontId="155"/>
  </si>
  <si>
    <t>f’(X)=0，Xa=</t>
    <phoneticPr fontId="155"/>
  </si>
  <si>
    <t>f”(x)=0</t>
    <phoneticPr fontId="155"/>
  </si>
  <si>
    <t>ｄ＝</t>
    <phoneticPr fontId="155"/>
  </si>
  <si>
    <t>ｃ＝</t>
    <phoneticPr fontId="155"/>
  </si>
  <si>
    <t>ａ＝</t>
    <phoneticPr fontId="155"/>
  </si>
  <si>
    <t>t=1.6sec</t>
    <phoneticPr fontId="155"/>
  </si>
  <si>
    <t>t=1.5sec</t>
    <phoneticPr fontId="155"/>
  </si>
  <si>
    <t>t=1.4sec</t>
    <phoneticPr fontId="155"/>
  </si>
  <si>
    <t>t=1.3sec</t>
    <phoneticPr fontId="155"/>
  </si>
  <si>
    <t>t=1.2sec</t>
    <phoneticPr fontId="155"/>
  </si>
  <si>
    <t>t=1.1sec</t>
    <phoneticPr fontId="155"/>
  </si>
  <si>
    <t>t=1.0sec</t>
    <phoneticPr fontId="155"/>
  </si>
  <si>
    <t>t=09sec</t>
    <phoneticPr fontId="155"/>
  </si>
  <si>
    <t>t=0.8sec</t>
    <phoneticPr fontId="155"/>
  </si>
  <si>
    <t>t=0.7sec</t>
    <phoneticPr fontId="155"/>
  </si>
  <si>
    <t>t=0.6sec</t>
    <phoneticPr fontId="155"/>
  </si>
  <si>
    <t>t=0.5sec</t>
    <phoneticPr fontId="155"/>
  </si>
  <si>
    <t>t=0.4sec</t>
    <phoneticPr fontId="155"/>
  </si>
  <si>
    <t>t=0.3sec</t>
    <phoneticPr fontId="155"/>
  </si>
  <si>
    <t>t=02sec</t>
    <phoneticPr fontId="155"/>
  </si>
  <si>
    <t>t=0.1sec</t>
    <phoneticPr fontId="155"/>
  </si>
  <si>
    <t>t=1 Sycle</t>
    <phoneticPr fontId="155"/>
  </si>
  <si>
    <t>S,T</t>
    <phoneticPr fontId="1"/>
  </si>
  <si>
    <t>流実効値[A]</t>
    <phoneticPr fontId="1"/>
  </si>
  <si>
    <t>なるまでの時間</t>
    <phoneticPr fontId="155"/>
  </si>
  <si>
    <t>R</t>
    <phoneticPr fontId="1"/>
  </si>
  <si>
    <t>励磁突入電</t>
    <rPh sb="0" eb="2">
      <t>レイジ</t>
    </rPh>
    <rPh sb="2" eb="4">
      <t>トツニュウ</t>
    </rPh>
    <rPh sb="4" eb="5">
      <t>デン</t>
    </rPh>
    <phoneticPr fontId="155"/>
  </si>
  <si>
    <t>全負荷電流値に</t>
    <rPh sb="0" eb="1">
      <t>ゼン</t>
    </rPh>
    <rPh sb="1" eb="3">
      <t>フカ</t>
    </rPh>
    <rPh sb="3" eb="5">
      <t>デンリュウ</t>
    </rPh>
    <rPh sb="5" eb="6">
      <t>チ</t>
    </rPh>
    <phoneticPr fontId="155"/>
  </si>
  <si>
    <t>変圧器台数：</t>
    <rPh sb="0" eb="3">
      <t>ヘンアツキ</t>
    </rPh>
    <rPh sb="3" eb="5">
      <t>ダイスウ</t>
    </rPh>
    <phoneticPr fontId="155"/>
  </si>
  <si>
    <t>TR=3</t>
    <phoneticPr fontId="1"/>
  </si>
  <si>
    <t>一次電流：</t>
    <rPh sb="0" eb="2">
      <t>イチジ</t>
    </rPh>
    <rPh sb="2" eb="4">
      <t>デンリュウ</t>
    </rPh>
    <phoneticPr fontId="155"/>
  </si>
  <si>
    <t>X6＝</t>
    <phoneticPr fontId="155"/>
  </si>
  <si>
    <t>TR=2</t>
    <phoneticPr fontId="1"/>
  </si>
  <si>
    <t>一次電圧：</t>
    <rPh sb="0" eb="2">
      <t>イチジ</t>
    </rPh>
    <rPh sb="2" eb="4">
      <t>デンアツ</t>
    </rPh>
    <phoneticPr fontId="155"/>
  </si>
  <si>
    <t>TR=1</t>
    <phoneticPr fontId="1"/>
  </si>
  <si>
    <t>変圧器容量：</t>
    <rPh sb="0" eb="3">
      <t>ヘンアツキ</t>
    </rPh>
    <rPh sb="3" eb="5">
      <t>ヨウリョウ</t>
    </rPh>
    <phoneticPr fontId="155"/>
  </si>
  <si>
    <t>周波数：</t>
    <rPh sb="0" eb="3">
      <t>シュウハスウ</t>
    </rPh>
    <phoneticPr fontId="155"/>
  </si>
  <si>
    <t xml:space="preserve"> No.2 (単/三)</t>
    <rPh sb="7" eb="8">
      <t>タン</t>
    </rPh>
    <rPh sb="9" eb="10">
      <t>サン</t>
    </rPh>
    <phoneticPr fontId="155"/>
  </si>
  <si>
    <t>TR=3</t>
    <phoneticPr fontId="1"/>
  </si>
  <si>
    <t>X6＝</t>
    <phoneticPr fontId="155"/>
  </si>
  <si>
    <t>TR=2</t>
    <phoneticPr fontId="1"/>
  </si>
  <si>
    <t>TR=1</t>
    <phoneticPr fontId="1"/>
  </si>
  <si>
    <t xml:space="preserve"> No.1 (単相)</t>
    <rPh sb="7" eb="9">
      <t>タンソウ</t>
    </rPh>
    <phoneticPr fontId="155"/>
  </si>
  <si>
    <t>　　</t>
    <phoneticPr fontId="1"/>
  </si>
  <si>
    <t>電工費</t>
    <rPh sb="0" eb="2">
      <t>デンコウ</t>
    </rPh>
    <rPh sb="2" eb="3">
      <t>ヒ</t>
    </rPh>
    <phoneticPr fontId="1"/>
  </si>
  <si>
    <t>付帯工事費等</t>
    <phoneticPr fontId="1"/>
  </si>
  <si>
    <t>Closed Y-Δ</t>
  </si>
  <si>
    <t>標準設定値
変更・元値</t>
    <rPh sb="0" eb="2">
      <t>ヒョウジュン</t>
    </rPh>
    <rPh sb="2" eb="4">
      <t>セッテイ</t>
    </rPh>
    <rPh sb="4" eb="5">
      <t>チ</t>
    </rPh>
    <rPh sb="6" eb="8">
      <t>ヘンコウ</t>
    </rPh>
    <rPh sb="9" eb="10">
      <t>モト</t>
    </rPh>
    <rPh sb="10" eb="11">
      <t>チ</t>
    </rPh>
    <phoneticPr fontId="1"/>
  </si>
  <si>
    <t xml:space="preserve"> </t>
    <phoneticPr fontId="1"/>
  </si>
  <si>
    <r>
      <t xml:space="preserve">              ｃｗ：水　の定圧比熱容量[Cp/J･K</t>
    </r>
    <r>
      <rPr>
        <vertAlign val="superscript"/>
        <sz val="10"/>
        <rFont val="HG明朝B"/>
        <family val="1"/>
        <charset val="128"/>
      </rPr>
      <t>-1</t>
    </r>
    <r>
      <rPr>
        <sz val="10"/>
        <rFont val="HG明朝B"/>
        <family val="1"/>
        <charset val="128"/>
      </rPr>
      <t>･g</t>
    </r>
    <r>
      <rPr>
        <vertAlign val="superscript"/>
        <sz val="10"/>
        <rFont val="HG明朝B"/>
        <family val="1"/>
        <charset val="128"/>
      </rPr>
      <t>-1</t>
    </r>
    <r>
      <rPr>
        <sz val="10"/>
        <rFont val="HG明朝B"/>
        <family val="1"/>
        <charset val="128"/>
      </rPr>
      <t>]　　 　　　　　　ｃｗ＝4.18 (at 50[℃])</t>
    </r>
    <phoneticPr fontId="155"/>
  </si>
  <si>
    <r>
      <t xml:space="preserve">　　  　　　 </t>
    </r>
    <r>
      <rPr>
        <sz val="11"/>
        <rFont val="HG明朝B"/>
        <family val="1"/>
        <charset val="128"/>
      </rPr>
      <t xml:space="preserve"> </t>
    </r>
    <r>
      <rPr>
        <sz val="10"/>
        <rFont val="HG明朝B"/>
        <family val="1"/>
        <charset val="128"/>
      </rPr>
      <t>ｃａ：空気の定圧比熱容量[Cp/J･K</t>
    </r>
    <r>
      <rPr>
        <vertAlign val="superscript"/>
        <sz val="10"/>
        <rFont val="HG明朝B"/>
        <family val="1"/>
        <charset val="128"/>
      </rPr>
      <t>-1</t>
    </r>
    <r>
      <rPr>
        <sz val="10"/>
        <rFont val="HG明朝B"/>
        <family val="1"/>
        <charset val="128"/>
      </rPr>
      <t>･g</t>
    </r>
    <r>
      <rPr>
        <vertAlign val="superscript"/>
        <sz val="10"/>
        <rFont val="HG明朝B"/>
        <family val="1"/>
        <charset val="128"/>
      </rPr>
      <t>-1</t>
    </r>
    <r>
      <rPr>
        <sz val="10"/>
        <rFont val="HG明朝B"/>
        <family val="1"/>
        <charset val="128"/>
      </rPr>
      <t>] 空気(Dry air)　 ｃａ＝1.006(at 20[℃])</t>
    </r>
    <phoneticPr fontId="155"/>
  </si>
</sst>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176" formatCode="0_ "/>
    <numFmt numFmtId="177" formatCode="yyyy&quot;年&quot;m&quot;月&quot;d&quot;日&quot;;@"/>
    <numFmt numFmtId="178" formatCode="0_);[Red]\(0\)"/>
    <numFmt numFmtId="179" formatCode="#&quot;m&quot;"/>
    <numFmt numFmtId="180" formatCode="yyyy&quot;年&quot;m&quot;月&quot;;@"/>
    <numFmt numFmtId="181" formatCode="#,##0.0_ "/>
    <numFmt numFmtId="182" formatCode="0.00_ "/>
    <numFmt numFmtId="183" formatCode="#,##0.00_ "/>
    <numFmt numFmtId="184" formatCode="#,##0.0_);[Red]\(#,##0.0\)"/>
    <numFmt numFmtId="185" formatCode="0.0_ "/>
    <numFmt numFmtId="186" formatCode="#,##0_ "/>
    <numFmt numFmtId="187" formatCode="#,##0_);[Red]\(#,##0\)"/>
    <numFmt numFmtId="188" formatCode="0.00\ %"/>
    <numFmt numFmtId="189" formatCode="0.0\ %"/>
    <numFmt numFmtId="190" formatCode="0.000_ "/>
    <numFmt numFmtId="191" formatCode="0.00_);[Red]\(0.00\)"/>
    <numFmt numFmtId="192" formatCode="0.0"/>
    <numFmt numFmtId="193" formatCode="0.0_);[Red]\(0.0\)"/>
    <numFmt numFmtId="194" formatCode="yyyy/m/d;@"/>
    <numFmt numFmtId="195" formatCode="[$-409]h:mm:ss\ AM/PM;@"/>
    <numFmt numFmtId="196" formatCode="0.000000_ "/>
    <numFmt numFmtId="197" formatCode="#,##0_ ;[Red]\-#,##0\ "/>
    <numFmt numFmtId="198" formatCode="0\ %"/>
    <numFmt numFmtId="199" formatCode="0.0_ ;[Red]\-0.0\ "/>
    <numFmt numFmtId="200" formatCode="#,##0.000_ "/>
    <numFmt numFmtId="201" formatCode="0.000_);[Red]\(0.000\)"/>
    <numFmt numFmtId="202" formatCode="0.00;[Red]0.00"/>
    <numFmt numFmtId="203" formatCode="0;[Red]0"/>
    <numFmt numFmtId="204" formatCode="0.0;[Red]0.0"/>
    <numFmt numFmtId="205" formatCode="#,##0.0000_ "/>
    <numFmt numFmtId="206" formatCode="0.000"/>
    <numFmt numFmtId="207" formatCode="0.0000_);[Red]\(0.0000\)"/>
    <numFmt numFmtId="208" formatCode="0.00000_ "/>
    <numFmt numFmtId="209" formatCode="0.0000_ "/>
    <numFmt numFmtId="210" formatCode="0.000_ &quot;[sec]&quot;"/>
    <numFmt numFmtId="211" formatCode="0_ &quot;台&quot;"/>
    <numFmt numFmtId="212" formatCode="0.00000_);[Red]\(0.00000\)"/>
    <numFmt numFmtId="213" formatCode="0.0_ &quot;[A]&quot;"/>
    <numFmt numFmtId="214" formatCode="0_ &quot;[V]&quot;"/>
    <numFmt numFmtId="215" formatCode="0&quot; KVA&quot;"/>
    <numFmt numFmtId="216" formatCode="0_ &quot;[Hz]&quot;"/>
    <numFmt numFmtId="217" formatCode="0.00000000_ "/>
    <numFmt numFmtId="218" formatCode="0.000000000_ "/>
    <numFmt numFmtId="219" formatCode="yyyy&quot;年 ４月&quot;"/>
  </numFmts>
  <fonts count="503">
    <font>
      <sz val="10"/>
      <color theme="1"/>
      <name val="ＭＳ Ｐゴシック"/>
      <family val="2"/>
      <charset val="128"/>
      <scheme val="minor"/>
    </font>
    <font>
      <sz val="6"/>
      <name val="ＭＳ Ｐゴシック"/>
      <family val="2"/>
      <charset val="128"/>
      <scheme val="minor"/>
    </font>
    <font>
      <sz val="10"/>
      <color theme="1"/>
      <name val="Meiryo UI"/>
      <family val="3"/>
      <charset val="128"/>
    </font>
    <font>
      <sz val="9"/>
      <name val="ＭＳ Ｐ明朝"/>
      <family val="1"/>
      <charset val="128"/>
    </font>
    <font>
      <sz val="10"/>
      <color theme="0"/>
      <name val="Meiryo UI"/>
      <family val="3"/>
      <charset val="128"/>
    </font>
    <font>
      <sz val="11"/>
      <color theme="0"/>
      <name val="Times New Roman"/>
      <family val="1"/>
    </font>
    <font>
      <b/>
      <sz val="5.5"/>
      <color rgb="FFE1E1AF"/>
      <name val="Meiryo UI"/>
      <family val="3"/>
      <charset val="128"/>
    </font>
    <font>
      <b/>
      <sz val="6"/>
      <color rgb="FFE1E1AF"/>
      <name val="Meiryo UI"/>
      <family val="3"/>
      <charset val="128"/>
    </font>
    <font>
      <sz val="6"/>
      <name val="ＭＳ 明朝"/>
      <family val="1"/>
      <charset val="128"/>
    </font>
    <font>
      <sz val="10"/>
      <color theme="3" tint="-0.499984740745262"/>
      <name val="Meiryo UI"/>
      <family val="3"/>
      <charset val="128"/>
    </font>
    <font>
      <sz val="10"/>
      <name val="Meiryo UI"/>
      <family val="3"/>
      <charset val="128"/>
    </font>
    <font>
      <sz val="6"/>
      <color theme="1"/>
      <name val="Meiryo UI"/>
      <family val="3"/>
      <charset val="128"/>
    </font>
    <font>
      <sz val="9"/>
      <color theme="1"/>
      <name val="Meiryo UI"/>
      <family val="3"/>
      <charset val="128"/>
    </font>
    <font>
      <sz val="9"/>
      <name val="Meiryo UI"/>
      <family val="3"/>
      <charset val="128"/>
    </font>
    <font>
      <sz val="9"/>
      <color rgb="FFFF0000"/>
      <name val="Meiryo UI"/>
      <family val="3"/>
      <charset val="128"/>
    </font>
    <font>
      <sz val="6"/>
      <name val="Meiryo UI"/>
      <family val="3"/>
      <charset val="128"/>
    </font>
    <font>
      <sz val="9"/>
      <color rgb="FF800000"/>
      <name val="Meiryo UI"/>
      <family val="3"/>
      <charset val="128"/>
    </font>
    <font>
      <sz val="6"/>
      <color rgb="FF800000"/>
      <name val="Meiryo UI"/>
      <family val="3"/>
      <charset val="128"/>
    </font>
    <font>
      <vertAlign val="superscript"/>
      <sz val="6"/>
      <color theme="1"/>
      <name val="Meiryo UI"/>
      <family val="3"/>
      <charset val="128"/>
    </font>
    <font>
      <sz val="10"/>
      <color rgb="FFC00000"/>
      <name val="Meiryo UI"/>
      <family val="3"/>
      <charset val="128"/>
    </font>
    <font>
      <sz val="8"/>
      <color theme="0"/>
      <name val="Meiryo UI"/>
      <family val="3"/>
      <charset val="128"/>
    </font>
    <font>
      <sz val="9"/>
      <color theme="3" tint="-0.249977111117893"/>
      <name val="Meiryo UI"/>
      <family val="3"/>
      <charset val="128"/>
    </font>
    <font>
      <sz val="9"/>
      <color theme="1" tint="0.14999847407452621"/>
      <name val="Meiryo UI"/>
      <family val="3"/>
      <charset val="128"/>
    </font>
    <font>
      <sz val="8"/>
      <color theme="0" tint="-0.499984740745262"/>
      <name val="Meiryo UI"/>
      <family val="3"/>
      <charset val="128"/>
    </font>
    <font>
      <sz val="7"/>
      <color theme="1"/>
      <name val="Meiryo UI"/>
      <family val="3"/>
      <charset val="128"/>
    </font>
    <font>
      <sz val="8"/>
      <name val="Meiryo UI"/>
      <family val="3"/>
      <charset val="128"/>
    </font>
    <font>
      <sz val="7"/>
      <color rgb="FF0033CC"/>
      <name val="Meiryo UI"/>
      <family val="3"/>
      <charset val="128"/>
    </font>
    <font>
      <sz val="8.5"/>
      <name val="Meiryo UI"/>
      <family val="3"/>
      <charset val="128"/>
    </font>
    <font>
      <sz val="1"/>
      <color theme="0" tint="-4.9989318521683403E-2"/>
      <name val="Meiryo UI"/>
      <family val="3"/>
      <charset val="128"/>
    </font>
    <font>
      <u/>
      <sz val="11"/>
      <color theme="10"/>
      <name val="ＭＳ Ｐゴシック"/>
      <family val="2"/>
      <charset val="128"/>
      <scheme val="minor"/>
    </font>
    <font>
      <sz val="9"/>
      <color theme="0"/>
      <name val="Meiryo UI"/>
      <family val="3"/>
      <charset val="128"/>
    </font>
    <font>
      <sz val="9"/>
      <color rgb="FF000099"/>
      <name val="Meiryo UI"/>
      <family val="3"/>
      <charset val="128"/>
    </font>
    <font>
      <sz val="8"/>
      <color rgb="FFFF0000"/>
      <name val="Meiryo UI"/>
      <family val="3"/>
      <charset val="128"/>
    </font>
    <font>
      <sz val="9"/>
      <color rgb="FFC00000"/>
      <name val="Meiryo UI"/>
      <family val="3"/>
      <charset val="128"/>
    </font>
    <font>
      <sz val="8"/>
      <color rgb="FFC00000"/>
      <name val="Meiryo UI"/>
      <family val="3"/>
      <charset val="128"/>
    </font>
    <font>
      <sz val="1"/>
      <color rgb="FFE1E1AF"/>
      <name val="Meiryo UI"/>
      <family val="3"/>
      <charset val="128"/>
    </font>
    <font>
      <sz val="10"/>
      <color theme="0" tint="-4.9989318521683403E-2"/>
      <name val="Meiryo UI"/>
      <family val="3"/>
      <charset val="128"/>
    </font>
    <font>
      <sz val="8"/>
      <color theme="3" tint="-0.249977111117893"/>
      <name val="Meiryo UI"/>
      <family val="3"/>
      <charset val="128"/>
    </font>
    <font>
      <sz val="10"/>
      <color rgb="FFE1E1AF"/>
      <name val="Meiryo UI"/>
      <family val="3"/>
      <charset val="128"/>
    </font>
    <font>
      <sz val="9"/>
      <color rgb="FFE1E1AF"/>
      <name val="Meiryo UI"/>
      <family val="3"/>
      <charset val="128"/>
    </font>
    <font>
      <b/>
      <sz val="8"/>
      <color rgb="FFFF0000"/>
      <name val="Meiryo UI"/>
      <family val="3"/>
      <charset val="128"/>
    </font>
    <font>
      <sz val="8.5"/>
      <color theme="3" tint="-0.249977111117893"/>
      <name val="Meiryo UI"/>
      <family val="3"/>
      <charset val="128"/>
    </font>
    <font>
      <sz val="8.5"/>
      <color rgb="FF000099"/>
      <name val="Meiryo UI"/>
      <family val="3"/>
      <charset val="128"/>
    </font>
    <font>
      <sz val="8.5"/>
      <color theme="1"/>
      <name val="Meiryo UI"/>
      <family val="3"/>
      <charset val="128"/>
    </font>
    <font>
      <sz val="7"/>
      <color rgb="FFC00000"/>
      <name val="Meiryo UI"/>
      <family val="3"/>
      <charset val="128"/>
    </font>
    <font>
      <sz val="14"/>
      <color rgb="FFFF0000"/>
      <name val="Meiryo UI"/>
      <family val="3"/>
      <charset val="128"/>
    </font>
    <font>
      <b/>
      <sz val="9"/>
      <color theme="0" tint="-0.499984740745262"/>
      <name val="Meiryo UI"/>
      <family val="3"/>
      <charset val="128"/>
    </font>
    <font>
      <b/>
      <sz val="9"/>
      <name val="Meiryo UI"/>
      <family val="3"/>
      <charset val="128"/>
    </font>
    <font>
      <b/>
      <sz val="9"/>
      <color theme="1"/>
      <name val="Meiryo UI"/>
      <family val="3"/>
      <charset val="128"/>
    </font>
    <font>
      <b/>
      <sz val="9"/>
      <color rgb="FF002060"/>
      <name val="HGP明朝B"/>
      <family val="1"/>
      <charset val="128"/>
    </font>
    <font>
      <sz val="9"/>
      <color rgb="FF002060"/>
      <name val="HGP明朝B"/>
      <family val="1"/>
      <charset val="128"/>
    </font>
    <font>
      <b/>
      <sz val="8.5"/>
      <color rgb="FF000099"/>
      <name val="Times New Roman"/>
      <family val="1"/>
    </font>
    <font>
      <sz val="7"/>
      <color rgb="FF000099"/>
      <name val="Meiryo UI"/>
      <family val="3"/>
      <charset val="128"/>
    </font>
    <font>
      <sz val="8"/>
      <color theme="1"/>
      <name val="Meiryo UI"/>
      <family val="3"/>
      <charset val="128"/>
    </font>
    <font>
      <sz val="6"/>
      <color theme="1"/>
      <name val="ＭＳ Ｐ明朝"/>
      <family val="1"/>
      <charset val="128"/>
    </font>
    <font>
      <b/>
      <sz val="8"/>
      <color theme="3" tint="-0.249977111117893"/>
      <name val="Times New Roman"/>
      <family val="1"/>
    </font>
    <font>
      <sz val="8"/>
      <color theme="3" tint="-0.249977111117893"/>
      <name val="Times New Roman"/>
      <family val="1"/>
    </font>
    <font>
      <sz val="7"/>
      <name val="Meiryo UI"/>
      <family val="3"/>
      <charset val="128"/>
    </font>
    <font>
      <vertAlign val="superscript"/>
      <sz val="7"/>
      <name val="Meiryo UI"/>
      <family val="3"/>
      <charset val="128"/>
    </font>
    <font>
      <b/>
      <sz val="8"/>
      <color theme="3" tint="-0.249977111117893"/>
      <name val="Meiryo UI"/>
      <family val="3"/>
      <charset val="128"/>
    </font>
    <font>
      <b/>
      <sz val="9"/>
      <color theme="3" tint="-0.249977111117893"/>
      <name val="Times New Roman"/>
      <family val="1"/>
    </font>
    <font>
      <sz val="8"/>
      <color rgb="FF000099"/>
      <name val="Meiryo UI"/>
      <family val="3"/>
      <charset val="128"/>
    </font>
    <font>
      <sz val="10"/>
      <color rgb="FF000099"/>
      <name val="HGPｺﾞｼｯｸE"/>
      <family val="3"/>
      <charset val="128"/>
    </font>
    <font>
      <sz val="7"/>
      <color rgb="FF000099"/>
      <name val="HGPｺﾞｼｯｸE"/>
      <family val="3"/>
      <charset val="128"/>
    </font>
    <font>
      <b/>
      <sz val="8.5"/>
      <color theme="3" tint="-0.249977111117893"/>
      <name val="Times New Roman"/>
      <family val="1"/>
    </font>
    <font>
      <b/>
      <sz val="7"/>
      <color theme="3" tint="-0.249977111117893"/>
      <name val="Times New Roman"/>
      <family val="1"/>
    </font>
    <font>
      <sz val="10"/>
      <color rgb="FF0070C0"/>
      <name val="Meiryo UI"/>
      <family val="3"/>
      <charset val="128"/>
    </font>
    <font>
      <sz val="9"/>
      <color theme="1"/>
      <name val="ＭＳ 明朝"/>
      <family val="1"/>
      <charset val="128"/>
    </font>
    <font>
      <sz val="9"/>
      <color theme="9" tint="-0.499984740745262"/>
      <name val="ＭＳ 明朝"/>
      <family val="1"/>
      <charset val="128"/>
    </font>
    <font>
      <sz val="8"/>
      <color rgb="FF002060"/>
      <name val="Meiryo UI"/>
      <family val="3"/>
      <charset val="128"/>
    </font>
    <font>
      <sz val="9"/>
      <color rgb="FF0000FF"/>
      <name val="Meiryo UI"/>
      <family val="3"/>
      <charset val="128"/>
    </font>
    <font>
      <sz val="9"/>
      <color rgb="FF0066CC"/>
      <name val="Meiryo UI"/>
      <family val="3"/>
      <charset val="128"/>
    </font>
    <font>
      <sz val="9"/>
      <color rgb="FF0070C0"/>
      <name val="Meiryo UI"/>
      <family val="3"/>
      <charset val="128"/>
    </font>
    <font>
      <sz val="9"/>
      <color rgb="FF002060"/>
      <name val="Meiryo UI"/>
      <family val="3"/>
      <charset val="128"/>
    </font>
    <font>
      <sz val="8"/>
      <name val="Times New Roman"/>
      <family val="1"/>
    </font>
    <font>
      <sz val="6"/>
      <color theme="1"/>
      <name val="ＭＳ 明朝"/>
      <family val="1"/>
      <charset val="128"/>
    </font>
    <font>
      <b/>
      <sz val="9"/>
      <color indexed="32"/>
      <name val="ＭＳ Ｐゴシック"/>
      <family val="3"/>
      <charset val="128"/>
    </font>
    <font>
      <b/>
      <sz val="12"/>
      <color indexed="60"/>
      <name val="ＭＳ Ｐ明朝"/>
      <family val="1"/>
      <charset val="128"/>
    </font>
    <font>
      <b/>
      <sz val="12"/>
      <color indexed="32"/>
      <name val="ＭＳ Ｐ明朝"/>
      <family val="1"/>
      <charset val="128"/>
    </font>
    <font>
      <b/>
      <i/>
      <sz val="16"/>
      <color indexed="60"/>
      <name val="Times New Roman"/>
      <family val="1"/>
    </font>
    <font>
      <b/>
      <i/>
      <sz val="12"/>
      <color indexed="60"/>
      <name val="Times New Roman"/>
      <family val="1"/>
    </font>
    <font>
      <b/>
      <i/>
      <sz val="14"/>
      <color indexed="60"/>
      <name val="Times New Roman"/>
      <family val="1"/>
    </font>
    <font>
      <b/>
      <sz val="12"/>
      <color indexed="32"/>
      <name val="Times New Roman"/>
      <family val="1"/>
    </font>
    <font>
      <b/>
      <sz val="14"/>
      <color indexed="60"/>
      <name val="ＭＳ Ｐ明朝"/>
      <family val="1"/>
      <charset val="128"/>
    </font>
    <font>
      <b/>
      <sz val="20"/>
      <color indexed="32"/>
      <name val="ＭＳ Ｐゴシック"/>
      <family val="3"/>
      <charset val="128"/>
    </font>
    <font>
      <b/>
      <sz val="12"/>
      <color indexed="32"/>
      <name val="ＭＳ Ｐゴシック"/>
      <family val="3"/>
      <charset val="128"/>
    </font>
    <font>
      <sz val="8"/>
      <color indexed="81"/>
      <name val="Meiryo UI"/>
      <family val="3"/>
      <charset val="128"/>
    </font>
    <font>
      <sz val="9"/>
      <color indexed="81"/>
      <name val="Meiryo UI"/>
      <family val="3"/>
      <charset val="128"/>
    </font>
    <font>
      <sz val="8.5"/>
      <color indexed="32"/>
      <name val="Meiryo UI"/>
      <family val="3"/>
      <charset val="128"/>
    </font>
    <font>
      <sz val="8"/>
      <color indexed="81"/>
      <name val="ＭＳ Ｐ明朝"/>
      <family val="1"/>
      <charset val="128"/>
    </font>
    <font>
      <sz val="8"/>
      <color indexed="37"/>
      <name val="Meiryo UI"/>
      <family val="3"/>
      <charset val="128"/>
    </font>
    <font>
      <sz val="14"/>
      <color indexed="32"/>
      <name val="Meiryo UI"/>
      <family val="3"/>
      <charset val="128"/>
    </font>
    <font>
      <sz val="8"/>
      <color indexed="32"/>
      <name val="Meiryo UI"/>
      <family val="3"/>
      <charset val="128"/>
    </font>
    <font>
      <sz val="9"/>
      <color indexed="32"/>
      <name val="Meiryo UI"/>
      <family val="3"/>
      <charset val="128"/>
    </font>
    <font>
      <b/>
      <sz val="8"/>
      <color indexed="81"/>
      <name val="Meiryo UI"/>
      <family val="3"/>
      <charset val="128"/>
    </font>
    <font>
      <b/>
      <sz val="8"/>
      <color indexed="37"/>
      <name val="Meiryo UI"/>
      <family val="3"/>
      <charset val="128"/>
    </font>
    <font>
      <b/>
      <sz val="9"/>
      <color indexed="81"/>
      <name val="ＭＳ Ｐゴシック"/>
      <family val="3"/>
      <charset val="128"/>
    </font>
    <font>
      <b/>
      <sz val="12"/>
      <color indexed="81"/>
      <name val="ＭＳ Ｐ明朝"/>
      <family val="1"/>
      <charset val="128"/>
    </font>
    <font>
      <b/>
      <sz val="18"/>
      <color indexed="32"/>
      <name val="ＭＳ Ｐゴシック"/>
      <family val="3"/>
      <charset val="128"/>
    </font>
    <font>
      <b/>
      <sz val="8"/>
      <color indexed="32"/>
      <name val="ＭＳ ゴシック"/>
      <family val="3"/>
      <charset val="128"/>
    </font>
    <font>
      <b/>
      <sz val="12"/>
      <color indexed="32"/>
      <name val="ＭＳ ゴシック"/>
      <family val="3"/>
      <charset val="128"/>
    </font>
    <font>
      <sz val="8"/>
      <color indexed="32"/>
      <name val="ＭＳ ゴシック"/>
      <family val="3"/>
      <charset val="128"/>
    </font>
    <font>
      <b/>
      <sz val="12"/>
      <color indexed="37"/>
      <name val="ＭＳ Ｐ明朝"/>
      <family val="1"/>
      <charset val="128"/>
    </font>
    <font>
      <sz val="12"/>
      <color indexed="32"/>
      <name val="Meiryo UI"/>
      <family val="3"/>
      <charset val="128"/>
    </font>
    <font>
      <b/>
      <sz val="9"/>
      <color indexed="32"/>
      <name val="Meiryo UI"/>
      <family val="3"/>
      <charset val="128"/>
    </font>
    <font>
      <b/>
      <sz val="12"/>
      <color indexed="37"/>
      <name val="ＭＳ Ｐゴシック"/>
      <family val="3"/>
      <charset val="128"/>
    </font>
    <font>
      <sz val="12"/>
      <color indexed="81"/>
      <name val="Meiryo UI"/>
      <family val="3"/>
      <charset val="128"/>
    </font>
    <font>
      <sz val="8"/>
      <color indexed="9"/>
      <name val="Meiryo UI"/>
      <family val="3"/>
      <charset val="128"/>
    </font>
    <font>
      <sz val="9"/>
      <color indexed="9"/>
      <name val="Meiryo UI"/>
      <family val="3"/>
      <charset val="128"/>
    </font>
    <font>
      <b/>
      <sz val="8"/>
      <color indexed="32"/>
      <name val="Meiryo UI"/>
      <family val="3"/>
      <charset val="128"/>
    </font>
    <font>
      <b/>
      <sz val="8"/>
      <color indexed="32"/>
      <name val="ＭＳ Ｐゴシック"/>
      <family val="3"/>
      <charset val="128"/>
    </font>
    <font>
      <sz val="8"/>
      <color indexed="32"/>
      <name val="ＭＳ Ｐゴシック"/>
      <family val="3"/>
      <charset val="128"/>
    </font>
    <font>
      <sz val="8"/>
      <color indexed="18"/>
      <name val="Meiryo UI"/>
      <family val="3"/>
      <charset val="128"/>
    </font>
    <font>
      <sz val="14"/>
      <color indexed="18"/>
      <name val="Meiryo UI"/>
      <family val="3"/>
      <charset val="128"/>
    </font>
    <font>
      <sz val="8"/>
      <color indexed="9"/>
      <name val="ＭＳ Ｐゴシック"/>
      <family val="3"/>
      <charset val="128"/>
    </font>
    <font>
      <sz val="12"/>
      <color indexed="9"/>
      <name val="Meiryo UI"/>
      <family val="3"/>
      <charset val="128"/>
    </font>
    <font>
      <sz val="14"/>
      <color indexed="81"/>
      <name val="Meiryo UI"/>
      <family val="3"/>
      <charset val="128"/>
    </font>
    <font>
      <sz val="14"/>
      <color indexed="9"/>
      <name val="Meiryo UI"/>
      <family val="3"/>
      <charset val="128"/>
    </font>
    <font>
      <sz val="8"/>
      <color indexed="81"/>
      <name val="ＭＳ Ｐゴシック"/>
      <family val="3"/>
      <charset val="128"/>
    </font>
    <font>
      <b/>
      <sz val="8"/>
      <color indexed="81"/>
      <name val="ＭＳ Ｐゴシック"/>
      <family val="3"/>
      <charset val="128"/>
    </font>
    <font>
      <b/>
      <sz val="9"/>
      <color indexed="81"/>
      <name val="Times New Roman"/>
      <family val="1"/>
    </font>
    <font>
      <sz val="12"/>
      <color indexed="81"/>
      <name val="ＭＳ Ｐゴシック"/>
      <family val="3"/>
      <charset val="128"/>
    </font>
    <font>
      <b/>
      <sz val="16"/>
      <color indexed="32"/>
      <name val="ＭＳ Ｐゴシック"/>
      <family val="3"/>
      <charset val="128"/>
    </font>
    <font>
      <sz val="16"/>
      <color indexed="37"/>
      <name val="Meiryo UI"/>
      <family val="3"/>
      <charset val="128"/>
    </font>
    <font>
      <sz val="6"/>
      <color indexed="37"/>
      <name val="Meiryo UI"/>
      <family val="3"/>
      <charset val="128"/>
    </font>
    <font>
      <b/>
      <sz val="11"/>
      <color indexed="37"/>
      <name val="ＭＳ Ｐ明朝"/>
      <family val="1"/>
      <charset val="128"/>
    </font>
    <font>
      <b/>
      <sz val="10"/>
      <color indexed="37"/>
      <name val="ＭＳ Ｐ明朝"/>
      <family val="1"/>
      <charset val="128"/>
    </font>
    <font>
      <b/>
      <sz val="18"/>
      <color indexed="32"/>
      <name val="ＭＳ Ｐ明朝"/>
      <family val="1"/>
      <charset val="128"/>
    </font>
    <font>
      <sz val="10"/>
      <color indexed="81"/>
      <name val="Meiryo UI"/>
      <family val="3"/>
      <charset val="128"/>
    </font>
    <font>
      <sz val="10"/>
      <color indexed="9"/>
      <name val="Meiryo UI"/>
      <family val="3"/>
      <charset val="128"/>
    </font>
    <font>
      <b/>
      <sz val="10"/>
      <color indexed="32"/>
      <name val="ＭＳ Ｐ明朝"/>
      <family val="1"/>
      <charset val="128"/>
    </font>
    <font>
      <b/>
      <sz val="9"/>
      <color indexed="81"/>
      <name val="ＭＳ Ｐ明朝"/>
      <family val="1"/>
      <charset val="128"/>
    </font>
    <font>
      <b/>
      <sz val="16"/>
      <color indexed="32"/>
      <name val="ＭＳ Ｐ明朝"/>
      <family val="1"/>
      <charset val="128"/>
    </font>
    <font>
      <sz val="11"/>
      <color indexed="81"/>
      <name val="Meiryo UI"/>
      <family val="3"/>
      <charset val="128"/>
    </font>
    <font>
      <sz val="11"/>
      <color indexed="32"/>
      <name val="Meiryo UI"/>
      <family val="3"/>
      <charset val="128"/>
    </font>
    <font>
      <sz val="9"/>
      <color indexed="81"/>
      <name val="ＭＳ Ｐゴシック"/>
      <family val="3"/>
      <charset val="128"/>
    </font>
    <font>
      <sz val="16"/>
      <color indexed="9"/>
      <name val="Meiryo UI"/>
      <family val="3"/>
      <charset val="128"/>
    </font>
    <font>
      <vertAlign val="superscript"/>
      <sz val="8"/>
      <color indexed="32"/>
      <name val="Meiryo UI"/>
      <family val="3"/>
      <charset val="128"/>
    </font>
    <font>
      <sz val="12"/>
      <color indexed="32"/>
      <name val="ＭＳ Ｐゴシック"/>
      <family val="3"/>
      <charset val="128"/>
    </font>
    <font>
      <sz val="16"/>
      <color indexed="81"/>
      <name val="Meiryo UI"/>
      <family val="3"/>
      <charset val="128"/>
    </font>
    <font>
      <sz val="12"/>
      <color indexed="9"/>
      <name val="ＭＳ Ｐゴシック"/>
      <family val="3"/>
      <charset val="128"/>
    </font>
    <font>
      <b/>
      <sz val="9"/>
      <color indexed="81"/>
      <name val="Meiryo UI"/>
      <family val="3"/>
      <charset val="128"/>
    </font>
    <font>
      <sz val="14"/>
      <color indexed="37"/>
      <name val="Meiryo UI"/>
      <family val="3"/>
      <charset val="128"/>
    </font>
    <font>
      <b/>
      <sz val="11"/>
      <color indexed="37"/>
      <name val="ＭＳ Ｐゴシック"/>
      <family val="3"/>
      <charset val="128"/>
    </font>
    <font>
      <vertAlign val="superscript"/>
      <sz val="8"/>
      <color indexed="81"/>
      <name val="Meiryo UI"/>
      <family val="3"/>
      <charset val="128"/>
    </font>
    <font>
      <sz val="8"/>
      <color indexed="16"/>
      <name val="Meiryo UI"/>
      <family val="3"/>
      <charset val="128"/>
    </font>
    <font>
      <sz val="12"/>
      <color indexed="16"/>
      <name val="ＭＳ Ｐゴシック"/>
      <family val="3"/>
      <charset val="128"/>
    </font>
    <font>
      <sz val="8"/>
      <color indexed="32"/>
      <name val="ＭＳ Ｐ明朝"/>
      <family val="1"/>
      <charset val="128"/>
    </font>
    <font>
      <sz val="5"/>
      <color indexed="9"/>
      <name val="Meiryo UI"/>
      <family val="3"/>
      <charset val="128"/>
    </font>
    <font>
      <sz val="7"/>
      <color indexed="32"/>
      <name val="Meiryo UI"/>
      <family val="3"/>
      <charset val="128"/>
    </font>
    <font>
      <sz val="6"/>
      <color indexed="32"/>
      <name val="Meiryo UI"/>
      <family val="3"/>
      <charset val="128"/>
    </font>
    <font>
      <b/>
      <sz val="8"/>
      <color indexed="32"/>
      <name val="ＭＳ Ｐ明朝"/>
      <family val="1"/>
      <charset val="128"/>
    </font>
    <font>
      <vertAlign val="superscript"/>
      <sz val="8"/>
      <color indexed="9"/>
      <name val="Meiryo UI"/>
      <family val="3"/>
      <charset val="128"/>
    </font>
    <font>
      <sz val="10"/>
      <name val="ＭＳ 明朝"/>
      <family val="1"/>
      <charset val="128"/>
    </font>
    <font>
      <sz val="11"/>
      <name val="ＭＳ Ｐゴシック"/>
      <family val="3"/>
      <charset val="128"/>
    </font>
    <font>
      <sz val="6"/>
      <name val="ＭＳ Ｐゴシック"/>
      <family val="3"/>
      <charset val="128"/>
    </font>
    <font>
      <b/>
      <sz val="11"/>
      <name val="ＭＳ Ｐ明朝"/>
      <family val="1"/>
      <charset val="128"/>
    </font>
    <font>
      <sz val="10"/>
      <color rgb="FFFF0000"/>
      <name val="Meiryo UI"/>
      <family val="3"/>
      <charset val="128"/>
    </font>
    <font>
      <sz val="11"/>
      <name val="Meiryo UI"/>
      <family val="3"/>
      <charset val="128"/>
    </font>
    <font>
      <sz val="10"/>
      <color indexed="32"/>
      <name val="Meiryo UI"/>
      <family val="3"/>
      <charset val="128"/>
    </font>
    <font>
      <sz val="11"/>
      <color indexed="9"/>
      <name val="Meiryo UI"/>
      <family val="3"/>
      <charset val="128"/>
    </font>
    <font>
      <b/>
      <sz val="10"/>
      <color theme="1"/>
      <name val="Times New Roman"/>
      <family val="1"/>
    </font>
    <font>
      <sz val="11"/>
      <color rgb="FF800000"/>
      <name val="Meiryo UI"/>
      <family val="3"/>
      <charset val="128"/>
    </font>
    <font>
      <sz val="10"/>
      <color rgb="FF0000FF"/>
      <name val="Meiryo UI"/>
      <family val="3"/>
      <charset val="128"/>
    </font>
    <font>
      <sz val="7"/>
      <color rgb="FFFF6600"/>
      <name val="Meiryo UI"/>
      <family val="3"/>
      <charset val="128"/>
    </font>
    <font>
      <sz val="1"/>
      <color theme="0" tint="-0.14999847407452621"/>
      <name val="Meiryo UI"/>
      <family val="3"/>
      <charset val="128"/>
    </font>
    <font>
      <b/>
      <sz val="22"/>
      <color indexed="32"/>
      <name val="ＭＳ Ｐ明朝"/>
      <family val="1"/>
      <charset val="128"/>
    </font>
    <font>
      <sz val="4"/>
      <color indexed="81"/>
      <name val="Meiryo UI"/>
      <family val="3"/>
      <charset val="128"/>
    </font>
    <font>
      <sz val="9"/>
      <color indexed="18"/>
      <name val="Meiryo UI"/>
      <family val="3"/>
      <charset val="128"/>
    </font>
    <font>
      <sz val="9"/>
      <color indexed="13"/>
      <name val="Meiryo UI"/>
      <family val="3"/>
      <charset val="128"/>
    </font>
    <font>
      <sz val="9"/>
      <color indexed="60"/>
      <name val="Meiryo UI"/>
      <family val="3"/>
      <charset val="128"/>
    </font>
    <font>
      <b/>
      <sz val="9"/>
      <color indexed="9"/>
      <name val="Meiryo UI"/>
      <family val="3"/>
      <charset val="128"/>
    </font>
    <font>
      <sz val="9"/>
      <color indexed="39"/>
      <name val="Meiryo UI"/>
      <family val="3"/>
      <charset val="128"/>
    </font>
    <font>
      <vertAlign val="superscript"/>
      <sz val="11"/>
      <color indexed="81"/>
      <name val="Meiryo UI"/>
      <family val="3"/>
      <charset val="128"/>
    </font>
    <font>
      <sz val="10"/>
      <color theme="1"/>
      <name val="ＭＳ 明朝"/>
      <family val="2"/>
      <charset val="128"/>
    </font>
    <font>
      <b/>
      <sz val="6"/>
      <name val="Meiryo UI"/>
      <family val="3"/>
      <charset val="128"/>
    </font>
    <font>
      <sz val="10"/>
      <color rgb="FF000099"/>
      <name val="Meiryo UI"/>
      <family val="3"/>
      <charset val="128"/>
    </font>
    <font>
      <sz val="10"/>
      <color rgb="FF002060"/>
      <name val="Meiryo UI"/>
      <family val="3"/>
      <charset val="128"/>
    </font>
    <font>
      <sz val="9"/>
      <color theme="1"/>
      <name val="Times New Roman"/>
      <family val="1"/>
    </font>
    <font>
      <b/>
      <sz val="9"/>
      <color rgb="FF800000"/>
      <name val="Meiryo UI"/>
      <family val="3"/>
      <charset val="128"/>
    </font>
    <font>
      <sz val="9"/>
      <color theme="1" tint="4.9989318521683403E-2"/>
      <name val="Meiryo UI"/>
      <family val="3"/>
      <charset val="128"/>
    </font>
    <font>
      <b/>
      <sz val="10"/>
      <color theme="1"/>
      <name val="Meiryo UI"/>
      <family val="3"/>
      <charset val="128"/>
    </font>
    <font>
      <b/>
      <sz val="9"/>
      <color theme="1"/>
      <name val="Times New Roman"/>
      <family val="1"/>
    </font>
    <font>
      <sz val="7"/>
      <color theme="0"/>
      <name val="Meiryo UI"/>
      <family val="3"/>
      <charset val="128"/>
    </font>
    <font>
      <b/>
      <sz val="9"/>
      <color rgb="FFC00000"/>
      <name val="Meiryo UI"/>
      <family val="3"/>
      <charset val="128"/>
    </font>
    <font>
      <b/>
      <sz val="10"/>
      <color indexed="18"/>
      <name val="Meiryo UI"/>
      <family val="3"/>
      <charset val="128"/>
    </font>
    <font>
      <b/>
      <sz val="8"/>
      <color rgb="FFC00000"/>
      <name val="Meiryo UI"/>
      <family val="3"/>
      <charset val="128"/>
    </font>
    <font>
      <sz val="11"/>
      <color theme="0"/>
      <name val="Meiryo UI"/>
      <family val="3"/>
      <charset val="128"/>
    </font>
    <font>
      <b/>
      <sz val="10"/>
      <name val="Meiryo UI"/>
      <family val="3"/>
      <charset val="128"/>
    </font>
    <font>
      <sz val="11"/>
      <color theme="1"/>
      <name val="ＭＳ Ｐゴシック"/>
      <family val="3"/>
      <charset val="128"/>
      <scheme val="minor"/>
    </font>
    <font>
      <sz val="9"/>
      <color indexed="12"/>
      <name val="Meiryo UI"/>
      <family val="3"/>
      <charset val="128"/>
    </font>
    <font>
      <sz val="9"/>
      <color rgb="FF0000FF"/>
      <name val="メイリオ"/>
      <family val="3"/>
      <charset val="128"/>
    </font>
    <font>
      <sz val="9"/>
      <color theme="1" tint="4.9989318521683403E-2"/>
      <name val="メイリオ"/>
      <family val="3"/>
      <charset val="128"/>
    </font>
    <font>
      <sz val="8"/>
      <color rgb="FF800000"/>
      <name val="Meiryo UI"/>
      <family val="3"/>
      <charset val="128"/>
    </font>
    <font>
      <u/>
      <sz val="10"/>
      <color theme="10"/>
      <name val="Meiryo UI"/>
      <family val="3"/>
      <charset val="128"/>
    </font>
    <font>
      <sz val="9"/>
      <color theme="3" tint="-0.499984740745262"/>
      <name val="Meiryo UI"/>
      <family val="3"/>
      <charset val="128"/>
    </font>
    <font>
      <b/>
      <sz val="12"/>
      <color theme="1" tint="0.34998626667073579"/>
      <name val="Meiryo UI"/>
      <family val="3"/>
      <charset val="128"/>
    </font>
    <font>
      <b/>
      <sz val="14"/>
      <color rgb="FF0070C0"/>
      <name val="Meiryo UI"/>
      <family val="3"/>
      <charset val="128"/>
    </font>
    <font>
      <sz val="10"/>
      <color theme="3" tint="-0.249977111117893"/>
      <name val="Meiryo UI"/>
      <family val="3"/>
      <charset val="128"/>
    </font>
    <font>
      <sz val="6"/>
      <color rgb="FF0070C0"/>
      <name val="Meiryo UI"/>
      <family val="3"/>
      <charset val="128"/>
    </font>
    <font>
      <sz val="11"/>
      <color theme="3" tint="-0.249977111117893"/>
      <name val="Meiryo UI"/>
      <family val="3"/>
      <charset val="128"/>
    </font>
    <font>
      <sz val="14"/>
      <color rgb="FFFFFF99"/>
      <name val="Meiryo UI"/>
      <family val="3"/>
      <charset val="128"/>
    </font>
    <font>
      <sz val="14"/>
      <color rgb="FFE1FFFF"/>
      <name val="Meiryo UI"/>
      <family val="3"/>
      <charset val="128"/>
    </font>
    <font>
      <sz val="14"/>
      <color theme="0" tint="-0.14996795556505021"/>
      <name val="Meiryo UI"/>
      <family val="3"/>
      <charset val="128"/>
    </font>
    <font>
      <sz val="14"/>
      <color theme="0"/>
      <name val="Meiryo UI"/>
      <family val="3"/>
      <charset val="128"/>
    </font>
    <font>
      <sz val="14"/>
      <color rgb="FF0000FF"/>
      <name val="Meiryo UI"/>
      <family val="3"/>
      <charset val="128"/>
    </font>
    <font>
      <sz val="6"/>
      <color theme="0"/>
      <name val="Meiryo UI"/>
      <family val="3"/>
      <charset val="128"/>
    </font>
    <font>
      <sz val="10"/>
      <color rgb="FF800000"/>
      <name val="Meiryo UI"/>
      <family val="3"/>
      <charset val="128"/>
    </font>
    <font>
      <sz val="10"/>
      <color theme="1" tint="4.9989318521683403E-2"/>
      <name val="Meiryo UI"/>
      <family val="3"/>
      <charset val="128"/>
    </font>
    <font>
      <b/>
      <sz val="9"/>
      <color theme="1" tint="4.9989318521683403E-2"/>
      <name val="Meiryo UI"/>
      <family val="3"/>
      <charset val="128"/>
    </font>
    <font>
      <sz val="9"/>
      <color theme="2" tint="-0.89999084444715716"/>
      <name val="Meiryo UI"/>
      <family val="3"/>
      <charset val="128"/>
    </font>
    <font>
      <u/>
      <sz val="11"/>
      <color theme="10"/>
      <name val="Meiryo UI"/>
      <family val="3"/>
      <charset val="128"/>
    </font>
    <font>
      <sz val="11"/>
      <color theme="1"/>
      <name val="Meiryo UI"/>
      <family val="3"/>
      <charset val="128"/>
    </font>
    <font>
      <sz val="11"/>
      <color theme="1" tint="4.9989318521683403E-2"/>
      <name val="Meiryo UI"/>
      <family val="3"/>
      <charset val="128"/>
    </font>
    <font>
      <sz val="9"/>
      <color rgb="FF990000"/>
      <name val="Meiryo UI"/>
      <family val="3"/>
      <charset val="128"/>
    </font>
    <font>
      <sz val="11"/>
      <color rgb="FF990000"/>
      <name val="Meiryo UI"/>
      <family val="3"/>
      <charset val="128"/>
    </font>
    <font>
      <i/>
      <sz val="16"/>
      <color rgb="FF800000"/>
      <name val="Meiryo UI"/>
      <family val="3"/>
      <charset val="128"/>
    </font>
    <font>
      <b/>
      <i/>
      <sz val="16"/>
      <color rgb="FF800000"/>
      <name val="Meiryo UI"/>
      <family val="3"/>
      <charset val="128"/>
    </font>
    <font>
      <i/>
      <sz val="10"/>
      <color theme="1"/>
      <name val="Meiryo UI"/>
      <family val="3"/>
      <charset val="128"/>
    </font>
    <font>
      <sz val="12"/>
      <color rgb="FF002060"/>
      <name val="Meiryo UI"/>
      <family val="3"/>
      <charset val="128"/>
    </font>
    <font>
      <b/>
      <sz val="10"/>
      <color theme="0"/>
      <name val="Meiryo UI"/>
      <family val="3"/>
      <charset val="128"/>
    </font>
    <font>
      <i/>
      <sz val="9"/>
      <color theme="1"/>
      <name val="Meiryo UI"/>
      <family val="3"/>
      <charset val="128"/>
    </font>
    <font>
      <b/>
      <sz val="11"/>
      <name val="Meiryo UI"/>
      <family val="3"/>
      <charset val="128"/>
    </font>
    <font>
      <b/>
      <i/>
      <sz val="10"/>
      <color indexed="12"/>
      <name val="Meiryo UI"/>
      <family val="3"/>
      <charset val="128"/>
    </font>
    <font>
      <sz val="1"/>
      <color theme="0" tint="-0.14996795556505021"/>
      <name val="Meiryo UI"/>
      <family val="3"/>
      <charset val="128"/>
    </font>
    <font>
      <b/>
      <sz val="14"/>
      <color rgb="FFC00000"/>
      <name val="Meiryo UI"/>
      <family val="3"/>
      <charset val="128"/>
    </font>
    <font>
      <sz val="5"/>
      <color indexed="12"/>
      <name val="Meiryo UI"/>
      <family val="3"/>
      <charset val="128"/>
    </font>
    <font>
      <b/>
      <sz val="10"/>
      <color rgb="FF0000FF"/>
      <name val="Meiryo UI"/>
      <family val="3"/>
      <charset val="128"/>
    </font>
    <font>
      <b/>
      <sz val="11"/>
      <color rgb="FF0000FF"/>
      <name val="Meiryo UI"/>
      <family val="3"/>
      <charset val="128"/>
    </font>
    <font>
      <b/>
      <sz val="11"/>
      <color rgb="FFC00000"/>
      <name val="Meiryo UI"/>
      <family val="3"/>
      <charset val="128"/>
    </font>
    <font>
      <b/>
      <sz val="10"/>
      <color theme="10"/>
      <name val="Meiryo UI"/>
      <family val="3"/>
      <charset val="128"/>
    </font>
    <font>
      <b/>
      <sz val="14"/>
      <name val="Meiryo UI"/>
      <family val="3"/>
      <charset val="128"/>
    </font>
    <font>
      <b/>
      <sz val="9"/>
      <color theme="10"/>
      <name val="Meiryo UI"/>
      <family val="3"/>
      <charset val="128"/>
    </font>
    <font>
      <b/>
      <sz val="11"/>
      <color indexed="18"/>
      <name val="Meiryo UI"/>
      <family val="3"/>
      <charset val="128"/>
    </font>
    <font>
      <sz val="11"/>
      <color rgb="FFFF0000"/>
      <name val="Meiryo UI"/>
      <family val="3"/>
      <charset val="128"/>
    </font>
    <font>
      <u/>
      <sz val="11"/>
      <name val="Meiryo UI"/>
      <family val="3"/>
      <charset val="128"/>
    </font>
    <font>
      <b/>
      <sz val="12"/>
      <name val="Meiryo UI"/>
      <family val="3"/>
      <charset val="128"/>
    </font>
    <font>
      <b/>
      <sz val="1"/>
      <color indexed="9"/>
      <name val="Meiryo UI"/>
      <family val="3"/>
      <charset val="128"/>
    </font>
    <font>
      <i/>
      <sz val="16"/>
      <color theme="0"/>
      <name val="Meiryo UI"/>
      <family val="3"/>
      <charset val="128"/>
    </font>
    <font>
      <b/>
      <i/>
      <sz val="12"/>
      <color theme="0"/>
      <name val="Meiryo UI"/>
      <family val="3"/>
      <charset val="128"/>
    </font>
    <font>
      <b/>
      <i/>
      <sz val="11"/>
      <color theme="0"/>
      <name val="Meiryo UI"/>
      <family val="3"/>
      <charset val="128"/>
    </font>
    <font>
      <b/>
      <sz val="8"/>
      <name val="Meiryo UI"/>
      <family val="3"/>
      <charset val="128"/>
    </font>
    <font>
      <sz val="18"/>
      <color rgb="FFFF0000"/>
      <name val="Meiryo UI"/>
      <family val="3"/>
      <charset val="128"/>
    </font>
    <font>
      <sz val="18"/>
      <color theme="0" tint="-4.9989318521683403E-2"/>
      <name val="Meiryo UI"/>
      <family val="3"/>
      <charset val="128"/>
    </font>
    <font>
      <b/>
      <sz val="9"/>
      <color rgb="FFC00000"/>
      <name val="ＭＳ Ｐゴシック"/>
      <family val="3"/>
      <charset val="128"/>
      <scheme val="minor"/>
    </font>
    <font>
      <b/>
      <sz val="8"/>
      <color rgb="FFC00000"/>
      <name val="ＭＳ Ｐゴシック"/>
      <family val="3"/>
      <charset val="128"/>
      <scheme val="minor"/>
    </font>
    <font>
      <b/>
      <sz val="9"/>
      <color rgb="FF002060"/>
      <name val="ＭＳ Ｐゴシック"/>
      <family val="3"/>
      <charset val="128"/>
      <scheme val="minor"/>
    </font>
    <font>
      <sz val="9"/>
      <color rgb="FFC00000"/>
      <name val="ＭＳ Ｐゴシック"/>
      <family val="3"/>
      <charset val="128"/>
      <scheme val="minor"/>
    </font>
    <font>
      <sz val="10"/>
      <name val="HGP明朝B"/>
      <family val="1"/>
      <charset val="128"/>
    </font>
    <font>
      <sz val="10"/>
      <name val="HG明朝B"/>
      <family val="1"/>
      <charset val="128"/>
    </font>
    <font>
      <b/>
      <sz val="8"/>
      <color theme="0"/>
      <name val="Meiryo UI"/>
      <family val="3"/>
      <charset val="128"/>
    </font>
    <font>
      <u/>
      <sz val="16.5"/>
      <color indexed="12"/>
      <name val="ＭＳ Ｐゴシック"/>
      <family val="3"/>
      <charset val="128"/>
    </font>
    <font>
      <sz val="11"/>
      <name val="HG明朝B"/>
      <family val="1"/>
      <charset val="128"/>
    </font>
    <font>
      <b/>
      <sz val="11"/>
      <name val="HG明朝B"/>
      <family val="1"/>
      <charset val="128"/>
    </font>
    <font>
      <sz val="10"/>
      <color rgb="FF002060"/>
      <name val="HG明朝B"/>
      <family val="1"/>
      <charset val="128"/>
    </font>
    <font>
      <b/>
      <sz val="11"/>
      <name val="HGP明朝E"/>
      <family val="1"/>
      <charset val="128"/>
    </font>
    <font>
      <b/>
      <sz val="10"/>
      <color rgb="FF002060"/>
      <name val="HG明朝B"/>
      <family val="1"/>
      <charset val="128"/>
    </font>
    <font>
      <b/>
      <sz val="9"/>
      <name val="HG明朝B"/>
      <family val="1"/>
      <charset val="128"/>
    </font>
    <font>
      <sz val="9"/>
      <name val="HG明朝B"/>
      <family val="1"/>
      <charset val="128"/>
    </font>
    <font>
      <sz val="8"/>
      <name val="HG明朝B"/>
      <family val="1"/>
      <charset val="128"/>
    </font>
    <font>
      <sz val="1"/>
      <name val="Meiryo UI"/>
      <family val="3"/>
      <charset val="128"/>
    </font>
    <font>
      <sz val="1"/>
      <color theme="1" tint="0.499984740745262"/>
      <name val="Meiryo UI"/>
      <family val="3"/>
      <charset val="128"/>
    </font>
    <font>
      <i/>
      <sz val="10"/>
      <color indexed="12"/>
      <name val="HG明朝B"/>
      <family val="1"/>
      <charset val="128"/>
    </font>
    <font>
      <sz val="9"/>
      <name val="HGP明朝B"/>
      <family val="1"/>
      <charset val="128"/>
    </font>
    <font>
      <sz val="1"/>
      <color indexed="12"/>
      <name val="HG明朝B"/>
      <family val="1"/>
      <charset val="128"/>
    </font>
    <font>
      <sz val="9"/>
      <color theme="1"/>
      <name val="HG明朝B"/>
      <family val="1"/>
      <charset val="128"/>
    </font>
    <font>
      <sz val="9"/>
      <color rgb="FF800000"/>
      <name val="HG明朝B"/>
      <family val="1"/>
      <charset val="128"/>
    </font>
    <font>
      <sz val="9"/>
      <color rgb="FFFF0000"/>
      <name val="HG明朝B"/>
      <family val="1"/>
      <charset val="128"/>
    </font>
    <font>
      <b/>
      <sz val="9"/>
      <color rgb="FF800000"/>
      <name val="HG明朝B"/>
      <family val="1"/>
      <charset val="128"/>
    </font>
    <font>
      <sz val="8"/>
      <color theme="1"/>
      <name val="HG明朝B"/>
      <family val="1"/>
      <charset val="128"/>
    </font>
    <font>
      <sz val="11"/>
      <color theme="1"/>
      <name val="HG明朝B"/>
      <family val="1"/>
      <charset val="128"/>
    </font>
    <font>
      <sz val="6"/>
      <color theme="1"/>
      <name val="HG明朝B"/>
      <family val="1"/>
      <charset val="128"/>
    </font>
    <font>
      <sz val="9"/>
      <color theme="1" tint="4.9989318521683403E-2"/>
      <name val="HG明朝B"/>
      <family val="1"/>
      <charset val="128"/>
    </font>
    <font>
      <sz val="9"/>
      <color rgb="FF0000FF"/>
      <name val="HG明朝B"/>
      <family val="1"/>
      <charset val="128"/>
    </font>
    <font>
      <sz val="9"/>
      <color theme="1" tint="4.9989318521683403E-2"/>
      <name val="HGS明朝B"/>
      <family val="1"/>
      <charset val="128"/>
    </font>
    <font>
      <sz val="9"/>
      <color rgb="FFC00000"/>
      <name val="HGS明朝B"/>
      <family val="1"/>
      <charset val="128"/>
    </font>
    <font>
      <sz val="9"/>
      <color rgb="FF0000FF"/>
      <name val="HGS明朝B"/>
      <family val="1"/>
      <charset val="128"/>
    </font>
    <font>
      <b/>
      <sz val="9"/>
      <color theme="1" tint="4.9989318521683403E-2"/>
      <name val="HG明朝B"/>
      <family val="1"/>
      <charset val="128"/>
    </font>
    <font>
      <sz val="9"/>
      <color theme="3" tint="-0.249977111117893"/>
      <name val="HG明朝B"/>
      <family val="1"/>
      <charset val="128"/>
    </font>
    <font>
      <sz val="10"/>
      <color rgb="FF0000FF"/>
      <name val="HG明朝B"/>
      <family val="1"/>
      <charset val="128"/>
    </font>
    <font>
      <sz val="9"/>
      <color theme="3" tint="-0.499984740745262"/>
      <name val="HG明朝B"/>
      <family val="1"/>
      <charset val="128"/>
    </font>
    <font>
      <sz val="9"/>
      <color rgb="FF0070C0"/>
      <name val="HG明朝B"/>
      <family val="1"/>
      <charset val="128"/>
    </font>
    <font>
      <sz val="9"/>
      <color theme="2" tint="-0.89999084444715716"/>
      <name val="HGS明朝B"/>
      <family val="1"/>
      <charset val="128"/>
    </font>
    <font>
      <sz val="9"/>
      <color theme="2" tint="-0.89999084444715716"/>
      <name val="HG明朝B"/>
      <family val="1"/>
      <charset val="128"/>
    </font>
    <font>
      <sz val="8.5"/>
      <color rgb="FF0000FF"/>
      <name val="HG明朝B"/>
      <family val="1"/>
      <charset val="128"/>
    </font>
    <font>
      <sz val="8.5"/>
      <color rgb="FFC00000"/>
      <name val="HG明朝B"/>
      <family val="1"/>
      <charset val="128"/>
    </font>
    <font>
      <sz val="9"/>
      <color rgb="FF0000FF"/>
      <name val="Times New Roman"/>
      <family val="1"/>
    </font>
    <font>
      <sz val="8"/>
      <color rgb="FF0000FF"/>
      <name val="HG明朝B"/>
      <family val="1"/>
      <charset val="128"/>
    </font>
    <font>
      <vertAlign val="superscript"/>
      <sz val="8"/>
      <color rgb="FF0000FF"/>
      <name val="HG明朝B"/>
      <family val="1"/>
      <charset val="128"/>
    </font>
    <font>
      <sz val="9"/>
      <color rgb="FFC00000"/>
      <name val="HG明朝B"/>
      <family val="1"/>
      <charset val="128"/>
    </font>
    <font>
      <vertAlign val="superscript"/>
      <sz val="10"/>
      <color theme="1"/>
      <name val="HG明朝B"/>
      <family val="1"/>
      <charset val="128"/>
    </font>
    <font>
      <sz val="10"/>
      <color theme="1"/>
      <name val="HG明朝B"/>
      <family val="1"/>
      <charset val="128"/>
    </font>
    <font>
      <vertAlign val="superscript"/>
      <sz val="9"/>
      <color theme="1" tint="4.9989318521683403E-2"/>
      <name val="HG明朝B"/>
      <family val="1"/>
      <charset val="128"/>
    </font>
    <font>
      <vertAlign val="subscript"/>
      <sz val="10"/>
      <color theme="1" tint="4.9989318521683403E-2"/>
      <name val="HG明朝B"/>
      <family val="1"/>
      <charset val="128"/>
    </font>
    <font>
      <b/>
      <sz val="9"/>
      <color rgb="FF0000FF"/>
      <name val="HG明朝B"/>
      <family val="1"/>
      <charset val="128"/>
    </font>
    <font>
      <vertAlign val="superscript"/>
      <sz val="10"/>
      <color rgb="FF0000FF"/>
      <name val="HG明朝B"/>
      <family val="1"/>
      <charset val="128"/>
    </font>
    <font>
      <vertAlign val="superscript"/>
      <sz val="9"/>
      <color rgb="FF0000FF"/>
      <name val="HG明朝B"/>
      <family val="1"/>
      <charset val="128"/>
    </font>
    <font>
      <sz val="10"/>
      <color rgb="FF0070C0"/>
      <name val="HG明朝B"/>
      <family val="1"/>
      <charset val="128"/>
    </font>
    <font>
      <b/>
      <sz val="9"/>
      <color rgb="FF0000FF"/>
      <name val="Times New Roman"/>
      <family val="1"/>
    </font>
    <font>
      <sz val="11"/>
      <color rgb="FF0000FF"/>
      <name val="HG明朝B"/>
      <family val="1"/>
      <charset val="128"/>
    </font>
    <font>
      <b/>
      <sz val="9"/>
      <color theme="1" tint="4.9989318521683403E-2"/>
      <name val="Times New Roman"/>
      <family val="1"/>
    </font>
    <font>
      <sz val="8"/>
      <color theme="1" tint="4.9989318521683403E-2"/>
      <name val="HG明朝B"/>
      <family val="1"/>
      <charset val="128"/>
    </font>
    <font>
      <b/>
      <sz val="9"/>
      <name val="HGS明朝B"/>
      <family val="1"/>
      <charset val="128"/>
    </font>
    <font>
      <sz val="6"/>
      <color rgb="FF0000FF"/>
      <name val="HGS明朝B"/>
      <family val="1"/>
      <charset val="128"/>
    </font>
    <font>
      <sz val="7"/>
      <color rgb="FF0000FF"/>
      <name val="HGS明朝B"/>
      <family val="1"/>
      <charset val="128"/>
    </font>
    <font>
      <b/>
      <sz val="6"/>
      <color rgb="FF0000FF"/>
      <name val="HG明朝B"/>
      <family val="1"/>
      <charset val="128"/>
    </font>
    <font>
      <sz val="9"/>
      <color theme="1" tint="4.9989318521683403E-2"/>
      <name val="Arial Unicode MS"/>
      <family val="3"/>
      <charset val="128"/>
    </font>
    <font>
      <sz val="7"/>
      <color rgb="FF0000FF"/>
      <name val="HG明朝B"/>
      <family val="1"/>
      <charset val="128"/>
    </font>
    <font>
      <sz val="6"/>
      <color rgb="FF0000FF"/>
      <name val="HG明朝B"/>
      <family val="1"/>
      <charset val="128"/>
    </font>
    <font>
      <vertAlign val="superscript"/>
      <sz val="9"/>
      <color theme="1"/>
      <name val="HG明朝B"/>
      <family val="1"/>
      <charset val="128"/>
    </font>
    <font>
      <b/>
      <sz val="9"/>
      <color theme="1"/>
      <name val="HG明朝B"/>
      <family val="1"/>
      <charset val="128"/>
    </font>
    <font>
      <vertAlign val="subscript"/>
      <sz val="10"/>
      <color theme="1"/>
      <name val="HG明朝B"/>
      <family val="1"/>
      <charset val="128"/>
    </font>
    <font>
      <vertAlign val="subscript"/>
      <sz val="10"/>
      <color rgb="FF0000FF"/>
      <name val="HG明朝B"/>
      <family val="1"/>
      <charset val="128"/>
    </font>
    <font>
      <vertAlign val="subscript"/>
      <sz val="9"/>
      <color rgb="FF0000FF"/>
      <name val="HG明朝B"/>
      <family val="1"/>
      <charset val="128"/>
    </font>
    <font>
      <sz val="10"/>
      <color theme="1"/>
      <name val="Times New Roman"/>
      <family val="1"/>
    </font>
    <font>
      <sz val="6"/>
      <color theme="1"/>
      <name val="Times New Roman"/>
      <family val="1"/>
    </font>
    <font>
      <i/>
      <sz val="9"/>
      <color theme="1"/>
      <name val="Times New Roman"/>
      <family val="1"/>
    </font>
    <font>
      <sz val="9"/>
      <color theme="1" tint="4.9989318521683403E-2"/>
      <name val="Times New Roman"/>
      <family val="1"/>
    </font>
    <font>
      <sz val="6"/>
      <color theme="1" tint="4.9989318521683403E-2"/>
      <name val="Times New Roman"/>
      <family val="1"/>
    </font>
    <font>
      <i/>
      <sz val="10"/>
      <color theme="1"/>
      <name val="Times New Roman"/>
      <family val="1"/>
    </font>
    <font>
      <sz val="9"/>
      <color theme="1"/>
      <name val="HG正楷書体-PRO"/>
      <family val="4"/>
      <charset val="128"/>
    </font>
    <font>
      <sz val="3"/>
      <color theme="1"/>
      <name val="HG明朝B"/>
      <family val="1"/>
      <charset val="128"/>
    </font>
    <font>
      <b/>
      <sz val="10"/>
      <color theme="1"/>
      <name val="HG明朝B"/>
      <family val="1"/>
      <charset val="128"/>
    </font>
    <font>
      <sz val="9"/>
      <color theme="9" tint="-0.499984740745262"/>
      <name val="HG明朝B"/>
      <family val="1"/>
      <charset val="128"/>
    </font>
    <font>
      <b/>
      <sz val="11"/>
      <color theme="1"/>
      <name val="Times New Roman"/>
      <family val="1"/>
    </font>
    <font>
      <sz val="11"/>
      <color theme="1"/>
      <name val="Arial Black"/>
      <family val="2"/>
    </font>
    <font>
      <b/>
      <i/>
      <sz val="10"/>
      <color theme="1"/>
      <name val="Times New Roman"/>
      <family val="1"/>
    </font>
    <font>
      <sz val="8"/>
      <color rgb="FF800000"/>
      <name val="HG明朝B"/>
      <family val="1"/>
      <charset val="128"/>
    </font>
    <font>
      <sz val="10"/>
      <color theme="1" tint="4.9989318521683403E-2"/>
      <name val="HG明朝B"/>
      <family val="1"/>
      <charset val="128"/>
    </font>
    <font>
      <sz val="10"/>
      <color theme="1" tint="4.9989318521683403E-2"/>
      <name val="HGS明朝B"/>
      <family val="1"/>
      <charset val="128"/>
    </font>
    <font>
      <b/>
      <i/>
      <sz val="10"/>
      <color theme="1" tint="4.9989318521683403E-2"/>
      <name val="Times New Roman"/>
      <family val="1"/>
    </font>
    <font>
      <sz val="9"/>
      <color rgb="FF000066"/>
      <name val="Meiryo UI"/>
      <family val="3"/>
      <charset val="128"/>
    </font>
    <font>
      <b/>
      <sz val="9"/>
      <color theme="0"/>
      <name val="Meiryo UI"/>
      <family val="3"/>
      <charset val="128"/>
    </font>
    <font>
      <sz val="10"/>
      <color rgb="FF0066CC"/>
      <name val="Meiryo UI"/>
      <family val="3"/>
      <charset val="128"/>
    </font>
    <font>
      <u/>
      <sz val="10"/>
      <color rgb="FF0066CC"/>
      <name val="Meiryo UI"/>
      <family val="3"/>
      <charset val="128"/>
    </font>
    <font>
      <sz val="1"/>
      <color theme="0" tint="-0.249977111117893"/>
      <name val="Meiryo UI"/>
      <family val="3"/>
      <charset val="128"/>
    </font>
    <font>
      <sz val="7"/>
      <color rgb="FF002060"/>
      <name val="Meiryo UI"/>
      <family val="3"/>
      <charset val="128"/>
    </font>
    <font>
      <sz val="10"/>
      <color theme="1"/>
      <name val="ＭＳ Ｐゴシック"/>
      <family val="3"/>
      <charset val="128"/>
    </font>
    <font>
      <b/>
      <sz val="10"/>
      <color indexed="32"/>
      <name val="ＭＳ Ｐゴシック"/>
      <family val="3"/>
      <charset val="128"/>
    </font>
    <font>
      <b/>
      <sz val="10"/>
      <color theme="1"/>
      <name val="ＭＳ Ｐゴシック"/>
      <family val="3"/>
      <charset val="128"/>
    </font>
    <font>
      <sz val="10"/>
      <color indexed="32"/>
      <name val="ＭＳ Ｐゴシック"/>
      <family val="3"/>
      <charset val="128"/>
    </font>
    <font>
      <sz val="10"/>
      <color indexed="81"/>
      <name val="ＭＳ Ｐゴシック"/>
      <family val="3"/>
      <charset val="128"/>
    </font>
    <font>
      <sz val="9"/>
      <name val="ＭＳ ゴシック"/>
      <family val="3"/>
      <charset val="128"/>
    </font>
    <font>
      <sz val="6"/>
      <color theme="10"/>
      <name val="Meiryo UI"/>
      <family val="3"/>
      <charset val="128"/>
    </font>
    <font>
      <sz val="8"/>
      <color rgb="FF0000FF"/>
      <name val="Meiryo UI"/>
      <family val="3"/>
      <charset val="128"/>
    </font>
    <font>
      <vertAlign val="superscript"/>
      <sz val="8"/>
      <color rgb="FF0000FF"/>
      <name val="Meiryo UI"/>
      <family val="3"/>
      <charset val="128"/>
    </font>
    <font>
      <sz val="9"/>
      <color rgb="FF0000FF"/>
      <name val="ＭＳ ゴシック"/>
      <family val="3"/>
      <charset val="128"/>
    </font>
    <font>
      <sz val="5"/>
      <color theme="1"/>
      <name val="Meiryo UI"/>
      <family val="3"/>
      <charset val="128"/>
    </font>
    <font>
      <b/>
      <sz val="10"/>
      <color theme="0"/>
      <name val="Times New Roman"/>
      <family val="1"/>
    </font>
    <font>
      <b/>
      <sz val="10"/>
      <name val="Times New Roman"/>
      <family val="1"/>
    </font>
    <font>
      <sz val="9"/>
      <color theme="1"/>
      <name val="メイリオ"/>
      <family val="3"/>
      <charset val="128"/>
    </font>
    <font>
      <sz val="11"/>
      <color rgb="FF974706"/>
      <name val="Meiryo UI"/>
      <family val="3"/>
      <charset val="128"/>
    </font>
    <font>
      <sz val="9"/>
      <color rgb="FF974706"/>
      <name val="Meiryo UI"/>
      <family val="3"/>
      <charset val="128"/>
    </font>
    <font>
      <sz val="9"/>
      <color rgb="FF974706"/>
      <name val="HG明朝B"/>
      <family val="1"/>
      <charset val="128"/>
    </font>
    <font>
      <sz val="9"/>
      <color rgb="FF974706"/>
      <name val="メイリオ"/>
      <family val="3"/>
      <charset val="128"/>
    </font>
    <font>
      <sz val="7"/>
      <color theme="1"/>
      <name val="HG明朝B"/>
      <family val="1"/>
      <charset val="128"/>
    </font>
    <font>
      <sz val="1"/>
      <color theme="0"/>
      <name val="Meiryo UI"/>
      <family val="3"/>
      <charset val="128"/>
    </font>
    <font>
      <sz val="8"/>
      <color theme="8" tint="-0.499984740745262"/>
      <name val="Meiryo UI"/>
      <family val="3"/>
      <charset val="128"/>
    </font>
    <font>
      <sz val="8"/>
      <color rgb="FF0033CC"/>
      <name val="Meiryo UI"/>
      <family val="3"/>
      <charset val="128"/>
    </font>
    <font>
      <sz val="6"/>
      <color rgb="FF0000FF"/>
      <name val="Meiryo UI"/>
      <family val="3"/>
      <charset val="128"/>
    </font>
    <font>
      <b/>
      <sz val="7"/>
      <color theme="1"/>
      <name val="Meiryo UI"/>
      <family val="3"/>
      <charset val="128"/>
    </font>
    <font>
      <sz val="1"/>
      <color rgb="FFFFFFCC"/>
      <name val="Meiryo UI"/>
      <family val="3"/>
      <charset val="128"/>
    </font>
    <font>
      <sz val="1"/>
      <color theme="0" tint="-0.34998626667073579"/>
      <name val="Meiryo UI"/>
      <family val="3"/>
      <charset val="128"/>
    </font>
    <font>
      <sz val="28"/>
      <color rgb="FFFF0000"/>
      <name val="Meiryo UI"/>
      <family val="3"/>
      <charset val="128"/>
    </font>
    <font>
      <sz val="1"/>
      <color rgb="FF000099"/>
      <name val="Meiryo UI"/>
      <family val="3"/>
      <charset val="128"/>
    </font>
    <font>
      <b/>
      <sz val="9"/>
      <color theme="0"/>
      <name val="Times New Roman"/>
      <family val="1"/>
    </font>
    <font>
      <b/>
      <sz val="11"/>
      <color indexed="32"/>
      <name val="ＭＳ Ｐゴシック"/>
      <family val="3"/>
      <charset val="128"/>
    </font>
    <font>
      <sz val="9"/>
      <color indexed="37"/>
      <name val="Meiryo UI"/>
      <family val="3"/>
      <charset val="128"/>
    </font>
    <font>
      <b/>
      <sz val="11"/>
      <color indexed="37"/>
      <name val="Times New Roman"/>
      <family val="1"/>
    </font>
    <font>
      <sz val="11"/>
      <color theme="1"/>
      <name val="Times New Roman"/>
      <family val="1"/>
    </font>
    <font>
      <sz val="18"/>
      <color indexed="37"/>
      <name val="Times New Roman"/>
      <family val="1"/>
    </font>
    <font>
      <sz val="9"/>
      <color indexed="37"/>
      <name val="Times New Roman"/>
      <family val="1"/>
    </font>
    <font>
      <sz val="18"/>
      <color indexed="32"/>
      <name val="ＭＳ Ｐ明朝"/>
      <family val="1"/>
      <charset val="128"/>
    </font>
    <font>
      <vertAlign val="superscript"/>
      <sz val="10"/>
      <color indexed="32"/>
      <name val="Meiryo UI"/>
      <family val="3"/>
      <charset val="128"/>
    </font>
    <font>
      <b/>
      <sz val="11"/>
      <color indexed="37"/>
      <name val="Microsoft JhengHei Light"/>
      <family val="3"/>
      <charset val="128"/>
    </font>
    <font>
      <b/>
      <sz val="9"/>
      <color indexed="37"/>
      <name val="ＭＳ Ｐ明朝"/>
      <family val="1"/>
      <charset val="128"/>
    </font>
    <font>
      <sz val="9"/>
      <color indexed="81"/>
      <name val="ＭＳ Ｐ明朝"/>
      <family val="1"/>
      <charset val="128"/>
    </font>
    <font>
      <b/>
      <sz val="9"/>
      <color indexed="10"/>
      <name val="Meiryo UI"/>
      <family val="3"/>
      <charset val="128"/>
    </font>
    <font>
      <b/>
      <sz val="8"/>
      <color indexed="81"/>
      <name val="ＭＳ Ｐ明朝"/>
      <family val="1"/>
      <charset val="128"/>
    </font>
    <font>
      <sz val="9"/>
      <color indexed="37"/>
      <name val="ＭＳ Ｐ明朝"/>
      <family val="1"/>
      <charset val="128"/>
    </font>
    <font>
      <b/>
      <sz val="10"/>
      <color indexed="81"/>
      <name val="Meiryo UI"/>
      <family val="3"/>
      <charset val="128"/>
    </font>
    <font>
      <vertAlign val="superscript"/>
      <sz val="10"/>
      <color indexed="81"/>
      <name val="Meiryo UI"/>
      <family val="3"/>
      <charset val="128"/>
    </font>
    <font>
      <sz val="10"/>
      <color indexed="37"/>
      <name val="Meiryo UI"/>
      <family val="3"/>
      <charset val="128"/>
    </font>
    <font>
      <sz val="10"/>
      <color indexed="37"/>
      <name val="ＭＳ Ｐ明朝"/>
      <family val="1"/>
      <charset val="128"/>
    </font>
    <font>
      <b/>
      <sz val="9"/>
      <color indexed="37"/>
      <name val="Meiryo UI"/>
      <family val="3"/>
      <charset val="128"/>
    </font>
    <font>
      <sz val="8.5"/>
      <color indexed="81"/>
      <name val="Meiryo UI"/>
      <family val="3"/>
      <charset val="128"/>
    </font>
    <font>
      <sz val="8.5"/>
      <color indexed="37"/>
      <name val="Meiryo UI"/>
      <family val="3"/>
      <charset val="128"/>
    </font>
    <font>
      <b/>
      <sz val="8.5"/>
      <color indexed="81"/>
      <name val="Meiryo UI"/>
      <family val="3"/>
      <charset val="128"/>
    </font>
    <font>
      <sz val="3"/>
      <color indexed="32"/>
      <name val="Meiryo UI"/>
      <family val="3"/>
      <charset val="128"/>
    </font>
    <font>
      <b/>
      <sz val="10"/>
      <color indexed="37"/>
      <name val="Meiryo UI"/>
      <family val="3"/>
      <charset val="128"/>
    </font>
    <font>
      <sz val="6"/>
      <color theme="0" tint="-0.14999847407452621"/>
      <name val="Meiryo UI"/>
      <family val="3"/>
      <charset val="128"/>
    </font>
    <font>
      <sz val="9"/>
      <color rgb="FFFF3300"/>
      <name val="Meiryo UI"/>
      <family val="3"/>
      <charset val="128"/>
    </font>
    <font>
      <b/>
      <sz val="8"/>
      <color theme="1" tint="0.34998626667073579"/>
      <name val="Meiryo UI"/>
      <family val="3"/>
      <charset val="128"/>
    </font>
    <font>
      <b/>
      <sz val="22"/>
      <color rgb="FFFF0000"/>
      <name val="Meiryo UI"/>
      <family val="3"/>
      <charset val="128"/>
    </font>
    <font>
      <b/>
      <sz val="8"/>
      <color theme="1"/>
      <name val="Meiryo UI"/>
      <family val="3"/>
      <charset val="128"/>
    </font>
    <font>
      <sz val="12"/>
      <color theme="1"/>
      <name val="Meiryo UI"/>
      <family val="3"/>
      <charset val="128"/>
    </font>
    <font>
      <sz val="7"/>
      <color rgb="FF0070C0"/>
      <name val="Meiryo UI"/>
      <family val="3"/>
      <charset val="128"/>
    </font>
    <font>
      <sz val="6"/>
      <color rgb="FFC00000"/>
      <name val="Meiryo UI"/>
      <family val="3"/>
      <charset val="128"/>
    </font>
    <font>
      <b/>
      <sz val="8"/>
      <color rgb="FF000099"/>
      <name val="Meiryo UI"/>
      <family val="3"/>
      <charset val="128"/>
    </font>
    <font>
      <b/>
      <sz val="9"/>
      <color indexed="32"/>
      <name val="ＭＳ Ｐ明朝"/>
      <family val="1"/>
      <charset val="128"/>
    </font>
    <font>
      <b/>
      <sz val="18"/>
      <color indexed="81"/>
      <name val="ＭＳ Ｐゴシック"/>
      <family val="3"/>
      <charset val="128"/>
    </font>
    <font>
      <sz val="10"/>
      <color indexed="35"/>
      <name val="Meiryo UI"/>
      <family val="3"/>
      <charset val="128"/>
    </font>
    <font>
      <sz val="9"/>
      <color indexed="81"/>
      <name val="ＭＳ ゴシック"/>
      <family val="3"/>
      <charset val="128"/>
    </font>
    <font>
      <sz val="8"/>
      <color indexed="81"/>
      <name val="ＭＳ ゴシック"/>
      <family val="3"/>
      <charset val="128"/>
    </font>
    <font>
      <b/>
      <sz val="6"/>
      <color indexed="32"/>
      <name val="Meiryo UI"/>
      <family val="3"/>
      <charset val="128"/>
    </font>
    <font>
      <sz val="10"/>
      <color indexed="10"/>
      <name val="ＭＳ Ｐゴシック"/>
      <family val="3"/>
      <charset val="128"/>
    </font>
    <font>
      <b/>
      <sz val="9"/>
      <color indexed="39"/>
      <name val="ＭＳ ゴシック"/>
      <family val="3"/>
      <charset val="128"/>
    </font>
    <font>
      <b/>
      <sz val="9"/>
      <color indexed="81"/>
      <name val="ＭＳ ゴシック"/>
      <family val="3"/>
      <charset val="128"/>
    </font>
    <font>
      <sz val="7"/>
      <color indexed="10"/>
      <name val="ＭＳ ゴシック"/>
      <family val="3"/>
      <charset val="128"/>
    </font>
    <font>
      <sz val="9"/>
      <color indexed="10"/>
      <name val="ＭＳ ゴシック"/>
      <family val="3"/>
      <charset val="128"/>
    </font>
    <font>
      <sz val="9"/>
      <color indexed="35"/>
      <name val="ＭＳ ゴシック"/>
      <family val="3"/>
      <charset val="128"/>
    </font>
    <font>
      <b/>
      <sz val="10"/>
      <color indexed="39"/>
      <name val="ＭＳ ゴシック"/>
      <family val="3"/>
      <charset val="128"/>
    </font>
    <font>
      <sz val="6"/>
      <color indexed="39"/>
      <name val="ＭＳ ゴシック"/>
      <family val="3"/>
      <charset val="128"/>
    </font>
    <font>
      <b/>
      <sz val="11"/>
      <color theme="1"/>
      <name val="Meiryo UI"/>
      <family val="3"/>
      <charset val="128"/>
    </font>
    <font>
      <sz val="7.5"/>
      <color theme="1"/>
      <name val="Meiryo UI"/>
      <family val="3"/>
      <charset val="128"/>
    </font>
    <font>
      <sz val="3"/>
      <color theme="1"/>
      <name val="Meiryo UI"/>
      <family val="3"/>
      <charset val="128"/>
    </font>
    <font>
      <b/>
      <sz val="12"/>
      <color indexed="81"/>
      <name val="ＭＳ Ｐゴシック"/>
      <family val="3"/>
      <charset val="128"/>
    </font>
    <font>
      <b/>
      <sz val="9"/>
      <color indexed="9"/>
      <name val="ＭＳ Ｐ明朝"/>
      <family val="1"/>
      <charset val="128"/>
    </font>
    <font>
      <sz val="11"/>
      <color indexed="37"/>
      <name val="Meiryo UI"/>
      <family val="3"/>
      <charset val="128"/>
    </font>
    <font>
      <sz val="9"/>
      <color indexed="32"/>
      <name val="ＭＳ Ｐ明朝"/>
      <family val="1"/>
      <charset val="128"/>
    </font>
    <font>
      <b/>
      <sz val="12"/>
      <color indexed="9"/>
      <name val="ＭＳ Ｐ明朝"/>
      <family val="1"/>
      <charset val="128"/>
    </font>
    <font>
      <sz val="12"/>
      <color indexed="9"/>
      <name val="ＭＳ Ｐ明朝"/>
      <family val="1"/>
      <charset val="128"/>
    </font>
    <font>
      <sz val="9"/>
      <color indexed="9"/>
      <name val="ＭＳ Ｐ明朝"/>
      <family val="1"/>
      <charset val="128"/>
    </font>
    <font>
      <sz val="8.5"/>
      <color indexed="9"/>
      <name val="ＭＳ ゴシック"/>
      <family val="3"/>
      <charset val="128"/>
    </font>
    <font>
      <sz val="8.5"/>
      <color indexed="32"/>
      <name val="ＭＳ ゴシック"/>
      <family val="3"/>
      <charset val="128"/>
    </font>
    <font>
      <sz val="8.5"/>
      <color indexed="32"/>
      <name val="ＭＳ Ｐゴシック"/>
      <family val="3"/>
      <charset val="128"/>
    </font>
    <font>
      <sz val="14"/>
      <color indexed="32"/>
      <name val="ＭＳ ゴシック"/>
      <family val="3"/>
      <charset val="128"/>
    </font>
    <font>
      <b/>
      <sz val="9"/>
      <color indexed="18"/>
      <name val="ＭＳ Ｐ明朝"/>
      <family val="1"/>
      <charset val="128"/>
    </font>
    <font>
      <sz val="9"/>
      <color indexed="18"/>
      <name val="ＭＳ Ｐ明朝"/>
      <family val="1"/>
      <charset val="128"/>
    </font>
    <font>
      <sz val="8"/>
      <color indexed="18"/>
      <name val="ＭＳ Ｐ明朝"/>
      <family val="1"/>
      <charset val="128"/>
    </font>
    <font>
      <sz val="12"/>
      <color indexed="18"/>
      <name val="ＭＳ Ｐ明朝"/>
      <family val="1"/>
      <charset val="128"/>
    </font>
    <font>
      <b/>
      <sz val="14"/>
      <color indexed="18"/>
      <name val="ＭＳ Ｐ明朝"/>
      <family val="1"/>
      <charset val="128"/>
    </font>
    <font>
      <sz val="12"/>
      <color indexed="32"/>
      <name val="ＭＳ Ｐ明朝"/>
      <family val="1"/>
      <charset val="128"/>
    </font>
    <font>
      <sz val="6"/>
      <color indexed="81"/>
      <name val="Meiryo UI"/>
      <family val="3"/>
      <charset val="128"/>
    </font>
    <font>
      <sz val="7"/>
      <color indexed="81"/>
      <name val="Meiryo UI"/>
      <family val="3"/>
      <charset val="128"/>
    </font>
    <font>
      <b/>
      <sz val="16"/>
      <color indexed="10"/>
      <name val="ＭＳ Ｐ明朝"/>
      <family val="1"/>
      <charset val="128"/>
    </font>
    <font>
      <sz val="10"/>
      <name val="ＭＳ Ｐ明朝"/>
      <family val="1"/>
      <charset val="128"/>
    </font>
    <font>
      <sz val="10"/>
      <name val="ＭＳ Ｐゴシック"/>
      <family val="3"/>
      <charset val="128"/>
    </font>
    <font>
      <vertAlign val="superscript"/>
      <sz val="11"/>
      <name val="Meiryo UI"/>
      <family val="3"/>
      <charset val="128"/>
    </font>
    <font>
      <sz val="1"/>
      <name val="ＭＳ 明朝"/>
      <family val="1"/>
      <charset val="128"/>
    </font>
    <font>
      <sz val="9"/>
      <name val="ＭＳ 明朝"/>
      <family val="1"/>
      <charset val="128"/>
    </font>
    <font>
      <sz val="9"/>
      <color rgb="FFC00000"/>
      <name val="ＭＳ 明朝"/>
      <family val="1"/>
      <charset val="128"/>
    </font>
    <font>
      <sz val="8"/>
      <name val="ＭＳ Ｐゴシック"/>
      <family val="3"/>
      <charset val="128"/>
    </font>
    <font>
      <sz val="9"/>
      <name val="ＭＳ Ｐゴシック"/>
      <family val="3"/>
      <charset val="128"/>
    </font>
    <font>
      <vertAlign val="superscript"/>
      <sz val="10"/>
      <name val="Meiryo UI"/>
      <family val="3"/>
      <charset val="128"/>
    </font>
    <font>
      <b/>
      <sz val="10"/>
      <name val="ＭＳ 明朝"/>
      <family val="1"/>
      <charset val="128"/>
    </font>
    <font>
      <sz val="9.5"/>
      <name val="Meiryo UI"/>
      <family val="3"/>
      <charset val="128"/>
    </font>
    <font>
      <vertAlign val="superscript"/>
      <sz val="10"/>
      <name val="HG明朝B"/>
      <family val="1"/>
      <charset val="128"/>
    </font>
    <font>
      <sz val="11"/>
      <name val="ＭＳ 明朝"/>
      <family val="1"/>
      <charset val="128"/>
    </font>
    <font>
      <sz val="8"/>
      <name val="ＭＳ 明朝"/>
      <family val="1"/>
      <charset val="128"/>
    </font>
    <font>
      <b/>
      <sz val="11"/>
      <name val="ＭＳ 明朝"/>
      <family val="1"/>
      <charset val="128"/>
    </font>
    <font>
      <b/>
      <i/>
      <sz val="10"/>
      <color indexed="9"/>
      <name val="Times New Roman"/>
      <family val="1"/>
    </font>
    <font>
      <sz val="11"/>
      <color indexed="9"/>
      <name val="ＭＳ 明朝"/>
      <family val="1"/>
      <charset val="128"/>
    </font>
    <font>
      <b/>
      <sz val="12"/>
      <color indexed="9"/>
      <name val="ＭＳ 明朝"/>
      <family val="1"/>
      <charset val="128"/>
    </font>
    <font>
      <b/>
      <sz val="10"/>
      <name val="ＭＳ Ｐゴシック"/>
      <family val="3"/>
      <charset val="128"/>
    </font>
    <font>
      <b/>
      <sz val="11"/>
      <color indexed="10"/>
      <name val="ＭＳ 明朝"/>
      <family val="1"/>
      <charset val="128"/>
    </font>
    <font>
      <b/>
      <sz val="12"/>
      <color indexed="10"/>
      <name val="ＭＳ Ｐ明朝"/>
      <family val="1"/>
      <charset val="128"/>
    </font>
    <font>
      <b/>
      <sz val="14"/>
      <color indexed="10"/>
      <name val="ＭＳ Ｐ明朝"/>
      <family val="1"/>
      <charset val="128"/>
    </font>
    <font>
      <b/>
      <sz val="10"/>
      <name val="ＭＳ Ｐ明朝"/>
      <family val="1"/>
      <charset val="128"/>
    </font>
    <font>
      <u/>
      <sz val="11"/>
      <name val="ＭＳ 明朝"/>
      <family val="1"/>
      <charset val="128"/>
    </font>
    <font>
      <sz val="1"/>
      <color theme="0"/>
      <name val="ＭＳ Ｐゴシック"/>
      <family val="3"/>
      <charset val="128"/>
    </font>
    <font>
      <sz val="11"/>
      <color indexed="40"/>
      <name val="ＭＳ Ｐゴシック"/>
      <family val="3"/>
      <charset val="128"/>
    </font>
    <font>
      <b/>
      <sz val="11"/>
      <color indexed="62"/>
      <name val="ＭＳ Ｐゴシック"/>
      <family val="3"/>
      <charset val="128"/>
    </font>
    <font>
      <b/>
      <sz val="10"/>
      <color indexed="62"/>
      <name val="Times New Roman"/>
      <family val="1"/>
    </font>
    <font>
      <b/>
      <sz val="9"/>
      <color indexed="62"/>
      <name val="ＭＳ Ｐ明朝"/>
      <family val="1"/>
      <charset val="128"/>
    </font>
    <font>
      <b/>
      <sz val="11"/>
      <color indexed="40"/>
      <name val="Times New Roman"/>
      <family val="1"/>
    </font>
    <font>
      <b/>
      <sz val="10"/>
      <color indexed="40"/>
      <name val="Times New Roman"/>
      <family val="1"/>
    </font>
    <font>
      <sz val="11"/>
      <color indexed="9"/>
      <name val="ＭＳ Ｐゴシック"/>
      <family val="3"/>
      <charset val="128"/>
    </font>
    <font>
      <b/>
      <sz val="11"/>
      <color indexed="12"/>
      <name val="ＭＳ ゴシック"/>
      <family val="3"/>
      <charset val="128"/>
    </font>
    <font>
      <b/>
      <sz val="11"/>
      <color indexed="18"/>
      <name val="ＭＳ Ｐ明朝"/>
      <family val="1"/>
      <charset val="128"/>
    </font>
    <font>
      <b/>
      <sz val="12"/>
      <color indexed="12"/>
      <name val="Times New Roman"/>
      <family val="1"/>
    </font>
    <font>
      <sz val="11"/>
      <name val="ＭＳ Ｐ明朝"/>
      <family val="1"/>
      <charset val="128"/>
    </font>
    <font>
      <sz val="11"/>
      <color indexed="18"/>
      <name val="ＭＳ Ｐ明朝"/>
      <family val="1"/>
      <charset val="128"/>
    </font>
    <font>
      <sz val="11"/>
      <color indexed="12"/>
      <name val="Meiryo UI"/>
      <family val="3"/>
      <charset val="128"/>
    </font>
    <font>
      <b/>
      <sz val="12"/>
      <name val="Times New Roman"/>
      <family val="1"/>
    </font>
    <font>
      <b/>
      <sz val="12"/>
      <color indexed="9"/>
      <name val="Times New Roman"/>
      <family val="1"/>
    </font>
    <font>
      <sz val="1"/>
      <color indexed="42"/>
      <name val="ＭＳ Ｐゴシック"/>
      <family val="3"/>
      <charset val="128"/>
    </font>
    <font>
      <sz val="1"/>
      <color rgb="FFE1FFFF"/>
      <name val="ＭＳ Ｐ明朝"/>
      <family val="1"/>
      <charset val="128"/>
    </font>
    <font>
      <sz val="1"/>
      <color rgb="FFE1FFFF"/>
      <name val="ＭＳ Ｐゴシック"/>
      <family val="3"/>
      <charset val="128"/>
    </font>
    <font>
      <sz val="11"/>
      <color indexed="42"/>
      <name val="ＭＳ Ｐゴシック"/>
      <family val="3"/>
      <charset val="128"/>
    </font>
    <font>
      <sz val="1"/>
      <color indexed="42"/>
      <name val="ＭＳ ゴシック"/>
      <family val="3"/>
      <charset val="128"/>
    </font>
    <font>
      <sz val="1"/>
      <color indexed="9"/>
      <name val="ＭＳ Ｐゴシック"/>
      <family val="3"/>
      <charset val="128"/>
    </font>
    <font>
      <sz val="10"/>
      <color indexed="42"/>
      <name val="ＭＳ Ｐゴシック"/>
      <family val="3"/>
      <charset val="128"/>
    </font>
    <font>
      <b/>
      <sz val="1"/>
      <color theme="8" tint="0.59999389629810485"/>
      <name val="ＭＳ 明朝"/>
      <family val="1"/>
      <charset val="128"/>
    </font>
    <font>
      <b/>
      <sz val="11"/>
      <color indexed="18"/>
      <name val="ＭＳ 明朝"/>
      <family val="1"/>
      <charset val="128"/>
    </font>
    <font>
      <sz val="6"/>
      <name val="ＭＳ Ｐ明朝"/>
      <family val="1"/>
      <charset val="128"/>
    </font>
    <font>
      <sz val="11"/>
      <color indexed="10"/>
      <name val="ＭＳ Ｐ明朝"/>
      <family val="1"/>
      <charset val="128"/>
    </font>
    <font>
      <sz val="6"/>
      <color indexed="10"/>
      <name val="ＭＳ Ｐゴシック"/>
      <family val="3"/>
      <charset val="128"/>
    </font>
    <font>
      <sz val="1"/>
      <color indexed="10"/>
      <name val="ＭＳ Ｐゴシック"/>
      <family val="3"/>
      <charset val="128"/>
    </font>
    <font>
      <sz val="6"/>
      <color indexed="10"/>
      <name val="ＭＳ Ｐ明朝"/>
      <family val="1"/>
      <charset val="128"/>
    </font>
    <font>
      <sz val="1"/>
      <color rgb="FFCCFFCC"/>
      <name val="ＭＳ Ｐゴシック"/>
      <family val="3"/>
      <charset val="128"/>
    </font>
    <font>
      <sz val="11"/>
      <color rgb="FFE1FFFF"/>
      <name val="ＭＳ Ｐゴシック"/>
      <family val="3"/>
      <charset val="128"/>
    </font>
    <font>
      <sz val="1"/>
      <name val="ＭＳ ゴシック"/>
      <family val="3"/>
      <charset val="128"/>
    </font>
    <font>
      <sz val="1"/>
      <name val="ＭＳ Ｐゴシック"/>
      <family val="3"/>
      <charset val="128"/>
    </font>
    <font>
      <b/>
      <sz val="11"/>
      <color indexed="18"/>
      <name val="Times New Roman"/>
      <family val="1"/>
    </font>
    <font>
      <sz val="1"/>
      <color rgb="FFCCFFCC"/>
      <name val="ＭＳ Ｐ明朝"/>
      <family val="1"/>
      <charset val="128"/>
    </font>
    <font>
      <sz val="11"/>
      <color indexed="10"/>
      <name val="ＭＳ Ｐゴシック"/>
      <family val="3"/>
      <charset val="128"/>
    </font>
    <font>
      <sz val="1"/>
      <color rgb="FFCCFFCC"/>
      <name val="ＭＳ ゴシック"/>
      <family val="3"/>
      <charset val="128"/>
    </font>
    <font>
      <b/>
      <sz val="7"/>
      <color rgb="FF974706"/>
      <name val="メイリオ"/>
      <family val="3"/>
      <charset val="128"/>
    </font>
    <font>
      <sz val="9"/>
      <color theme="0"/>
      <name val="メイリオ"/>
      <family val="3"/>
      <charset val="128"/>
    </font>
    <font>
      <b/>
      <sz val="11"/>
      <color theme="1" tint="4.9989318521683403E-2"/>
      <name val="Times New Roman"/>
      <family val="1"/>
    </font>
    <font>
      <b/>
      <sz val="11"/>
      <color theme="1" tint="4.9989318521683403E-2"/>
      <name val="Meiryo UI"/>
      <family val="3"/>
      <charset val="128"/>
    </font>
    <font>
      <sz val="8"/>
      <color theme="0"/>
      <name val="メイリオ"/>
      <family val="3"/>
      <charset val="128"/>
    </font>
  </fonts>
  <fills count="97">
    <fill>
      <patternFill patternType="none"/>
    </fill>
    <fill>
      <patternFill patternType="gray125"/>
    </fill>
    <fill>
      <patternFill patternType="solid">
        <fgColor theme="0" tint="-4.9989318521683403E-2"/>
        <bgColor rgb="FFF5F5F5"/>
      </patternFill>
    </fill>
    <fill>
      <patternFill patternType="solid">
        <fgColor theme="0" tint="-4.9989318521683403E-2"/>
        <bgColor indexed="64"/>
      </patternFill>
    </fill>
    <fill>
      <patternFill patternType="solid">
        <fgColor theme="0"/>
        <bgColor rgb="FFF5F5F5"/>
      </patternFill>
    </fill>
    <fill>
      <patternFill patternType="solid">
        <fgColor rgb="FFE1E1AF"/>
        <bgColor rgb="FFF5F5F5"/>
      </patternFill>
    </fill>
    <fill>
      <patternFill patternType="solid">
        <fgColor rgb="FF002060"/>
        <bgColor rgb="FFF5F5F5"/>
      </patternFill>
    </fill>
    <fill>
      <patternFill patternType="solid">
        <fgColor rgb="FFF0F0F0"/>
        <bgColor rgb="FFF5F5F5"/>
      </patternFill>
    </fill>
    <fill>
      <patternFill patternType="mediumGray">
        <fgColor theme="0"/>
        <bgColor theme="0" tint="-0.14999847407452621"/>
      </patternFill>
    </fill>
    <fill>
      <patternFill patternType="mediumGray">
        <fgColor theme="0"/>
        <bgColor rgb="FFFFFFCC"/>
      </patternFill>
    </fill>
    <fill>
      <patternFill patternType="mediumGray">
        <fgColor theme="0"/>
        <bgColor rgb="FFE1FFFF"/>
      </patternFill>
    </fill>
    <fill>
      <patternFill patternType="solid">
        <fgColor theme="0" tint="-0.14999847407452621"/>
        <bgColor indexed="64"/>
      </patternFill>
    </fill>
    <fill>
      <patternFill patternType="mediumGray">
        <fgColor indexed="31"/>
        <bgColor theme="0" tint="-0.14999847407452621"/>
      </patternFill>
    </fill>
    <fill>
      <patternFill patternType="solid">
        <fgColor theme="0" tint="-4.9989318521683403E-2"/>
        <bgColor auto="1"/>
      </patternFill>
    </fill>
    <fill>
      <patternFill patternType="solid">
        <fgColor rgb="FFFF0000"/>
        <bgColor rgb="FFF5F5F5"/>
      </patternFill>
    </fill>
    <fill>
      <patternFill patternType="solid">
        <fgColor theme="0" tint="-0.14999847407452621"/>
        <bgColor theme="0" tint="-4.9989318521683403E-2"/>
      </patternFill>
    </fill>
    <fill>
      <patternFill patternType="mediumGray">
        <fgColor theme="0"/>
        <bgColor rgb="FFE1E1E1"/>
      </patternFill>
    </fill>
    <fill>
      <patternFill patternType="solid">
        <fgColor rgb="FFFFFFCC"/>
        <bgColor rgb="FFF5F5F5"/>
      </patternFill>
    </fill>
    <fill>
      <patternFill patternType="solid">
        <fgColor indexed="9"/>
        <bgColor indexed="64"/>
      </patternFill>
    </fill>
    <fill>
      <patternFill patternType="mediumGray">
        <fgColor theme="0"/>
        <bgColor theme="0"/>
      </patternFill>
    </fill>
    <fill>
      <patternFill patternType="solid">
        <fgColor rgb="FF0000FF"/>
        <bgColor theme="0"/>
      </patternFill>
    </fill>
    <fill>
      <patternFill patternType="solid">
        <fgColor theme="0" tint="-0.14999847407452621"/>
        <bgColor rgb="FFF5F5F5"/>
      </patternFill>
    </fill>
    <fill>
      <patternFill patternType="solid">
        <fgColor rgb="FFE1FFFF"/>
        <bgColor rgb="FFF5F5F5"/>
      </patternFill>
    </fill>
    <fill>
      <patternFill patternType="solid">
        <fgColor rgb="FF0000FF"/>
        <bgColor rgb="FFF5F5F5"/>
      </patternFill>
    </fill>
    <fill>
      <patternFill patternType="solid">
        <fgColor rgb="FF0000FF"/>
        <bgColor indexed="64"/>
      </patternFill>
    </fill>
    <fill>
      <patternFill patternType="solid">
        <fgColor rgb="FF000099"/>
        <bgColor rgb="FFF5F5F5"/>
      </patternFill>
    </fill>
    <fill>
      <patternFill patternType="solid">
        <fgColor rgb="FFFFFFCC"/>
        <bgColor indexed="64"/>
      </patternFill>
    </fill>
    <fill>
      <patternFill patternType="solid">
        <fgColor rgb="FFAFAFFF"/>
        <bgColor rgb="FFF5F5F5"/>
      </patternFill>
    </fill>
    <fill>
      <patternFill patternType="solid">
        <fgColor indexed="55"/>
        <bgColor indexed="64"/>
      </patternFill>
    </fill>
    <fill>
      <patternFill patternType="solid">
        <fgColor rgb="FFE1E1AF"/>
        <bgColor indexed="64"/>
      </patternFill>
    </fill>
    <fill>
      <patternFill patternType="solid">
        <fgColor theme="0"/>
        <bgColor indexed="64"/>
      </patternFill>
    </fill>
    <fill>
      <patternFill patternType="solid">
        <fgColor rgb="FFFF0000"/>
        <bgColor indexed="64"/>
      </patternFill>
    </fill>
    <fill>
      <patternFill patternType="solid">
        <fgColor theme="1" tint="0.499984740745262"/>
        <bgColor indexed="64"/>
      </patternFill>
    </fill>
    <fill>
      <patternFill patternType="solid">
        <fgColor rgb="FFFFFFCC"/>
        <bgColor rgb="FFFFFFE1"/>
      </patternFill>
    </fill>
    <fill>
      <patternFill patternType="solid">
        <fgColor theme="8" tint="0.79998168889431442"/>
        <bgColor theme="8" tint="0.79998168889431442"/>
      </patternFill>
    </fill>
    <fill>
      <patternFill patternType="solid">
        <fgColor rgb="FF0000FF"/>
        <bgColor theme="8" tint="0.79995117038483843"/>
      </patternFill>
    </fill>
    <fill>
      <patternFill patternType="solid">
        <fgColor rgb="FFFF3300"/>
        <bgColor rgb="FFFFFFE1"/>
      </patternFill>
    </fill>
    <fill>
      <patternFill patternType="solid">
        <fgColor rgb="FFFF6600"/>
        <bgColor rgb="FFFFFFE1"/>
      </patternFill>
    </fill>
    <fill>
      <patternFill patternType="solid">
        <fgColor rgb="FFFF9933"/>
        <bgColor rgb="FFFFFFE1"/>
      </patternFill>
    </fill>
    <fill>
      <patternFill patternType="solid">
        <fgColor rgb="FFFFCC00"/>
        <bgColor rgb="FFFFFFE1"/>
      </patternFill>
    </fill>
    <fill>
      <patternFill patternType="solid">
        <fgColor rgb="FFFFFF66"/>
        <bgColor rgb="FFFFFFE1"/>
      </patternFill>
    </fill>
    <fill>
      <patternFill patternType="solid">
        <fgColor rgb="FFCCFF33"/>
        <bgColor rgb="FFFFFFE1"/>
      </patternFill>
    </fill>
    <fill>
      <patternFill patternType="solid">
        <fgColor rgb="FF99FF33"/>
        <bgColor rgb="FFFFFFE1"/>
      </patternFill>
    </fill>
    <fill>
      <patternFill patternType="solid">
        <fgColor rgb="FF04FC33"/>
        <bgColor rgb="FFFFFFE1"/>
      </patternFill>
    </fill>
    <fill>
      <patternFill patternType="solid">
        <fgColor rgb="FF11EF1C"/>
        <bgColor rgb="FFFFFFE1"/>
      </patternFill>
    </fill>
    <fill>
      <patternFill patternType="solid">
        <fgColor rgb="FF02D816"/>
        <bgColor rgb="FFFFFFE1"/>
      </patternFill>
    </fill>
    <fill>
      <patternFill patternType="solid">
        <fgColor rgb="FF00CC66"/>
        <bgColor rgb="FFFFFFE1"/>
      </patternFill>
    </fill>
    <fill>
      <patternFill patternType="solid">
        <fgColor rgb="FF00CC99"/>
        <bgColor rgb="FFFFFFE1"/>
      </patternFill>
    </fill>
    <fill>
      <patternFill patternType="solid">
        <fgColor rgb="FF02B7CA"/>
        <bgColor rgb="FFFFFFE1"/>
      </patternFill>
    </fill>
    <fill>
      <patternFill patternType="solid">
        <fgColor rgb="FF0099FF"/>
        <bgColor rgb="FFFFFFE1"/>
      </patternFill>
    </fill>
    <fill>
      <patternFill patternType="solid">
        <fgColor rgb="FF0066FF"/>
        <bgColor rgb="FFFFFFE1"/>
      </patternFill>
    </fill>
    <fill>
      <patternFill patternType="solid">
        <fgColor rgb="FF0000FF"/>
        <bgColor rgb="FFFFFFE1"/>
      </patternFill>
    </fill>
    <fill>
      <patternFill patternType="solid">
        <fgColor rgb="FF000099"/>
        <bgColor rgb="FFFFFFE1"/>
      </patternFill>
    </fill>
    <fill>
      <patternFill patternType="solid">
        <fgColor rgb="FF000066"/>
        <bgColor rgb="FFFFFFE1"/>
      </patternFill>
    </fill>
    <fill>
      <patternFill patternType="solid">
        <fgColor rgb="FFFFFFCC"/>
        <bgColor theme="8" tint="0.79998168889431442"/>
      </patternFill>
    </fill>
    <fill>
      <patternFill patternType="solid">
        <fgColor theme="1" tint="4.9989318521683403E-2"/>
        <bgColor rgb="FFFFFFE1"/>
      </patternFill>
    </fill>
    <fill>
      <patternFill patternType="solid">
        <fgColor theme="0"/>
        <bgColor rgb="FFFFFFE1"/>
      </patternFill>
    </fill>
    <fill>
      <patternFill patternType="solid">
        <fgColor rgb="FF0000FF"/>
        <bgColor theme="8" tint="0.79998168889431442"/>
      </patternFill>
    </fill>
    <fill>
      <patternFill patternType="solid">
        <fgColor theme="0" tint="-0.14999847407452621"/>
        <bgColor rgb="FFFFFFE1"/>
      </patternFill>
    </fill>
    <fill>
      <patternFill patternType="solid">
        <fgColor theme="0" tint="-0.14996795556505021"/>
        <bgColor rgb="FFFFFFE1"/>
      </patternFill>
    </fill>
    <fill>
      <patternFill patternType="solid">
        <fgColor rgb="FFE1E1AF"/>
        <bgColor rgb="FFFFFFE1"/>
      </patternFill>
    </fill>
    <fill>
      <patternFill patternType="solid">
        <fgColor rgb="FFAFAFFF"/>
        <bgColor indexed="64"/>
      </patternFill>
    </fill>
    <fill>
      <patternFill patternType="solid">
        <fgColor rgb="FFCCECFF"/>
        <bgColor rgb="FFF5F5F5"/>
      </patternFill>
    </fill>
    <fill>
      <patternFill patternType="solid">
        <fgColor rgb="FFE1FFFF"/>
        <bgColor indexed="64"/>
      </patternFill>
    </fill>
    <fill>
      <patternFill patternType="solid">
        <fgColor rgb="FFB8CCE4"/>
        <bgColor indexed="64"/>
      </patternFill>
    </fill>
    <fill>
      <patternFill patternType="solid">
        <fgColor theme="2" tint="-9.9978637043366805E-2"/>
        <bgColor indexed="64"/>
      </patternFill>
    </fill>
    <fill>
      <patternFill patternType="solid">
        <fgColor rgb="FFFFFF66"/>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rgb="FF000099"/>
        <bgColor indexed="64"/>
      </patternFill>
    </fill>
    <fill>
      <patternFill patternType="solid">
        <fgColor rgb="FFCCFFFF"/>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rgb="FF002060"/>
        <bgColor indexed="64"/>
      </patternFill>
    </fill>
    <fill>
      <patternFill patternType="solid">
        <fgColor rgb="FFFFFFB4"/>
        <bgColor indexed="64"/>
      </patternFill>
    </fill>
    <fill>
      <patternFill patternType="solid">
        <fgColor theme="0"/>
        <bgColor indexed="31"/>
      </patternFill>
    </fill>
    <fill>
      <patternFill patternType="solid">
        <fgColor rgb="FFCCCCFF"/>
        <bgColor indexed="31"/>
      </patternFill>
    </fill>
    <fill>
      <patternFill patternType="solid">
        <fgColor theme="0"/>
        <bgColor indexed="26"/>
      </patternFill>
    </fill>
    <fill>
      <patternFill patternType="solid">
        <fgColor rgb="FFFFFF99"/>
        <bgColor indexed="26"/>
      </patternFill>
    </fill>
    <fill>
      <patternFill patternType="solid">
        <fgColor theme="0"/>
        <bgColor rgb="FFCCCCFF"/>
      </patternFill>
    </fill>
    <fill>
      <patternFill patternType="solid">
        <fgColor rgb="FFCCCCFF"/>
        <bgColor rgb="FFCCCCFF"/>
      </patternFill>
    </fill>
    <fill>
      <patternFill patternType="solid">
        <fgColor theme="0"/>
        <bgColor theme="0"/>
      </patternFill>
    </fill>
    <fill>
      <patternFill patternType="solid">
        <fgColor indexed="9"/>
        <bgColor theme="0"/>
      </patternFill>
    </fill>
    <fill>
      <patternFill patternType="solid">
        <fgColor rgb="FFFFFFC8"/>
        <bgColor indexed="64"/>
      </patternFill>
    </fill>
    <fill>
      <patternFill patternType="solid">
        <fgColor rgb="FFFFFF99"/>
        <bgColor rgb="FFFFFF99"/>
      </patternFill>
    </fill>
    <fill>
      <patternFill patternType="solid">
        <fgColor indexed="31"/>
        <bgColor indexed="64"/>
      </patternFill>
    </fill>
    <fill>
      <patternFill patternType="solid">
        <fgColor theme="0"/>
        <bgColor theme="0" tint="-4.9989318521683403E-2"/>
      </patternFill>
    </fill>
    <fill>
      <patternFill patternType="solid">
        <fgColor indexed="8"/>
        <bgColor indexed="64"/>
      </patternFill>
    </fill>
    <fill>
      <patternFill patternType="solid">
        <fgColor rgb="FFB4B4FF"/>
        <bgColor indexed="64"/>
      </patternFill>
    </fill>
    <fill>
      <patternFill patternType="solid">
        <fgColor indexed="62"/>
        <bgColor indexed="64"/>
      </patternFill>
    </fill>
    <fill>
      <patternFill patternType="solid">
        <fgColor indexed="62"/>
        <bgColor indexed="9"/>
      </patternFill>
    </fill>
    <fill>
      <patternFill patternType="mediumGray">
        <fgColor indexed="22"/>
        <bgColor indexed="9"/>
      </patternFill>
    </fill>
    <fill>
      <patternFill patternType="mediumGray">
        <fgColor indexed="44"/>
        <bgColor indexed="9"/>
      </patternFill>
    </fill>
    <fill>
      <patternFill patternType="solid">
        <fgColor theme="0"/>
        <bgColor auto="1"/>
      </patternFill>
    </fill>
    <fill>
      <patternFill patternType="solid">
        <fgColor indexed="62"/>
        <bgColor indexed="46"/>
      </patternFill>
    </fill>
    <fill>
      <patternFill patternType="solid">
        <fgColor rgb="FF0070C0"/>
        <bgColor indexed="64"/>
      </patternFill>
    </fill>
  </fills>
  <borders count="5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auto="1"/>
      </right>
      <top/>
      <bottom/>
      <diagonal/>
    </border>
    <border>
      <left style="thin">
        <color rgb="FF0033CC"/>
      </left>
      <right style="thin">
        <color rgb="FF0033CC"/>
      </right>
      <top style="thin">
        <color rgb="FF0033CC"/>
      </top>
      <bottom style="medium">
        <color rgb="FF0033CC"/>
      </bottom>
      <diagonal/>
    </border>
    <border>
      <left style="thin">
        <color rgb="FF0033CC"/>
      </left>
      <right style="medium">
        <color rgb="FF0033CC"/>
      </right>
      <top style="thin">
        <color rgb="FF0033CC"/>
      </top>
      <bottom style="medium">
        <color rgb="FF0033CC"/>
      </bottom>
      <diagonal/>
    </border>
    <border>
      <left style="thin">
        <color rgb="FF0033CC"/>
      </left>
      <right/>
      <top style="thin">
        <color rgb="FF0033CC"/>
      </top>
      <bottom style="medium">
        <color rgb="FF0033CC"/>
      </bottom>
      <diagonal/>
    </border>
    <border>
      <left/>
      <right/>
      <top style="thin">
        <color rgb="FF0033CC"/>
      </top>
      <bottom style="medium">
        <color rgb="FF0033CC"/>
      </bottom>
      <diagonal/>
    </border>
    <border>
      <left/>
      <right style="thin">
        <color rgb="FF0033CC"/>
      </right>
      <top style="thin">
        <color rgb="FF0033CC"/>
      </top>
      <bottom style="medium">
        <color rgb="FF0033CC"/>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rgb="FF0033CC"/>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99"/>
      </left>
      <right style="thin">
        <color rgb="FF000099"/>
      </right>
      <top style="thin">
        <color rgb="FF000099"/>
      </top>
      <bottom/>
      <diagonal/>
    </border>
    <border>
      <left style="thin">
        <color rgb="FF0033CC"/>
      </left>
      <right style="thin">
        <color rgb="FF0033CC"/>
      </right>
      <top style="thin">
        <color rgb="FF0033CC"/>
      </top>
      <bottom style="thin">
        <color rgb="FF0033CC"/>
      </bottom>
      <diagonal/>
    </border>
    <border>
      <left style="thin">
        <color rgb="FF0033CC"/>
      </left>
      <right/>
      <top style="thin">
        <color rgb="FF0033CC"/>
      </top>
      <bottom style="thin">
        <color rgb="FF0033CC"/>
      </bottom>
      <diagonal/>
    </border>
    <border>
      <left/>
      <right/>
      <top style="thin">
        <color rgb="FF0033CC"/>
      </top>
      <bottom style="thin">
        <color rgb="FF0033CC"/>
      </bottom>
      <diagonal/>
    </border>
    <border>
      <left/>
      <right style="thin">
        <color rgb="FF0033CC"/>
      </right>
      <top style="thin">
        <color rgb="FF0033CC"/>
      </top>
      <bottom style="thin">
        <color rgb="FF0033CC"/>
      </bottom>
      <diagonal/>
    </border>
    <border>
      <left style="thin">
        <color rgb="FF0033CC"/>
      </left>
      <right style="thin">
        <color rgb="FF0033CC"/>
      </right>
      <top/>
      <bottom style="thin">
        <color rgb="FF0033CC"/>
      </bottom>
      <diagonal/>
    </border>
    <border>
      <left style="thin">
        <color rgb="FF0033CC"/>
      </left>
      <right/>
      <top/>
      <bottom style="thin">
        <color rgb="FF0033CC"/>
      </bottom>
      <diagonal/>
    </border>
    <border>
      <left/>
      <right/>
      <top/>
      <bottom style="thin">
        <color rgb="FF0070C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rgb="FF0070C0"/>
      </left>
      <right/>
      <top style="thin">
        <color rgb="FF0070C0"/>
      </top>
      <bottom/>
      <diagonal/>
    </border>
    <border>
      <left/>
      <right style="thin">
        <color rgb="FF0070C0"/>
      </right>
      <top style="thin">
        <color rgb="FF0070C0"/>
      </top>
      <bottom/>
      <diagonal/>
    </border>
    <border>
      <left/>
      <right/>
      <top style="thin">
        <color rgb="FF0070C0"/>
      </top>
      <bottom/>
      <diagonal/>
    </border>
    <border>
      <left/>
      <right style="thin">
        <color rgb="FF0070C0"/>
      </right>
      <top/>
      <bottom/>
      <diagonal/>
    </border>
    <border>
      <left style="thin">
        <color rgb="FF0070C0"/>
      </left>
      <right/>
      <top/>
      <bottom/>
      <diagonal/>
    </border>
    <border>
      <left style="thin">
        <color rgb="FF0070C0"/>
      </left>
      <right/>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top style="thin">
        <color rgb="FF0070C0"/>
      </top>
      <bottom style="hair">
        <color rgb="FF0070C0"/>
      </bottom>
      <diagonal/>
    </border>
    <border>
      <left/>
      <right/>
      <top style="thin">
        <color rgb="FF0070C0"/>
      </top>
      <bottom style="hair">
        <color rgb="FF0070C0"/>
      </bottom>
      <diagonal/>
    </border>
    <border>
      <left/>
      <right style="thin">
        <color rgb="FF0070C0"/>
      </right>
      <top style="thin">
        <color rgb="FF0070C0"/>
      </top>
      <bottom style="hair">
        <color rgb="FF0070C0"/>
      </bottom>
      <diagonal/>
    </border>
    <border>
      <left style="thin">
        <color rgb="FF0070C0"/>
      </left>
      <right style="hair">
        <color rgb="FF0070C0"/>
      </right>
      <top style="thin">
        <color rgb="FF0070C0"/>
      </top>
      <bottom style="hair">
        <color rgb="FF0070C0"/>
      </bottom>
      <diagonal/>
    </border>
    <border>
      <left style="hair">
        <color rgb="FF0070C0"/>
      </left>
      <right style="hair">
        <color rgb="FF0070C0"/>
      </right>
      <top style="thin">
        <color rgb="FF0070C0"/>
      </top>
      <bottom style="hair">
        <color rgb="FF0070C0"/>
      </bottom>
      <diagonal/>
    </border>
    <border>
      <left style="hair">
        <color rgb="FF0070C0"/>
      </left>
      <right style="thin">
        <color rgb="FF0070C0"/>
      </right>
      <top style="thin">
        <color rgb="FF0070C0"/>
      </top>
      <bottom style="hair">
        <color rgb="FF0070C0"/>
      </bottom>
      <diagonal/>
    </border>
    <border>
      <left/>
      <right style="thin">
        <color rgb="FF0070C0"/>
      </right>
      <top/>
      <bottom style="thin">
        <color rgb="FF0070C0"/>
      </bottom>
      <diagonal/>
    </border>
    <border>
      <left style="thin">
        <color rgb="FF0070C0"/>
      </left>
      <right/>
      <top style="thin">
        <color rgb="FF0070C0"/>
      </top>
      <bottom style="thin">
        <color rgb="FF0070C0"/>
      </bottom>
      <diagonal/>
    </border>
    <border>
      <left style="thin">
        <color rgb="FF0070C0"/>
      </left>
      <right/>
      <top style="hair">
        <color rgb="FF0070C0"/>
      </top>
      <bottom style="thin">
        <color rgb="FF0070C0"/>
      </bottom>
      <diagonal/>
    </border>
    <border>
      <left/>
      <right/>
      <top style="hair">
        <color rgb="FF0070C0"/>
      </top>
      <bottom style="thin">
        <color rgb="FF0070C0"/>
      </bottom>
      <diagonal/>
    </border>
    <border>
      <left/>
      <right style="thin">
        <color rgb="FF0070C0"/>
      </right>
      <top style="hair">
        <color rgb="FF0070C0"/>
      </top>
      <bottom style="thin">
        <color rgb="FF0070C0"/>
      </bottom>
      <diagonal/>
    </border>
    <border>
      <left style="hair">
        <color rgb="FF0070C0"/>
      </left>
      <right/>
      <top style="hair">
        <color rgb="FF0070C0"/>
      </top>
      <bottom style="thin">
        <color rgb="FF0070C0"/>
      </bottom>
      <diagonal/>
    </border>
    <border>
      <left style="thin">
        <color rgb="FF0070C0"/>
      </left>
      <right style="hair">
        <color rgb="FF0070C0"/>
      </right>
      <top style="hair">
        <color rgb="FF0070C0"/>
      </top>
      <bottom style="thin">
        <color rgb="FF0070C0"/>
      </bottom>
      <diagonal/>
    </border>
    <border>
      <left style="hair">
        <color rgb="FF0070C0"/>
      </left>
      <right style="hair">
        <color rgb="FF0070C0"/>
      </right>
      <top style="hair">
        <color rgb="FF0070C0"/>
      </top>
      <bottom style="thin">
        <color rgb="FF0070C0"/>
      </bottom>
      <diagonal/>
    </border>
    <border>
      <left style="thin">
        <color rgb="FF0070C0"/>
      </left>
      <right style="hair">
        <color rgb="FF0070C0"/>
      </right>
      <top style="thin">
        <color rgb="FF0070C0"/>
      </top>
      <bottom style="thin">
        <color rgb="FF0070C0"/>
      </bottom>
      <diagonal/>
    </border>
    <border>
      <left style="hair">
        <color rgb="FF0070C0"/>
      </left>
      <right style="hair">
        <color rgb="FF0070C0"/>
      </right>
      <top style="thin">
        <color rgb="FF0070C0"/>
      </top>
      <bottom style="thin">
        <color rgb="FF0070C0"/>
      </bottom>
      <diagonal/>
    </border>
    <border>
      <left style="hair">
        <color rgb="FF0070C0"/>
      </left>
      <right/>
      <top style="thin">
        <color rgb="FF0070C0"/>
      </top>
      <bottom style="thin">
        <color rgb="FF0070C0"/>
      </bottom>
      <diagonal/>
    </border>
    <border>
      <left style="thin">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diagonal/>
    </border>
    <border>
      <left style="thin">
        <color rgb="FF0070C0"/>
      </left>
      <right style="thin">
        <color rgb="FF0070C0"/>
      </right>
      <top style="thin">
        <color rgb="FF0070C0"/>
      </top>
      <bottom style="thin">
        <color rgb="FF0070C0"/>
      </bottom>
      <diagonal/>
    </border>
    <border>
      <left style="thin">
        <color rgb="FF000099"/>
      </left>
      <right/>
      <top style="thin">
        <color rgb="FF000099"/>
      </top>
      <bottom/>
      <diagonal/>
    </border>
    <border>
      <left/>
      <right/>
      <top style="thin">
        <color rgb="FF000099"/>
      </top>
      <bottom/>
      <diagonal/>
    </border>
    <border>
      <left/>
      <right style="thin">
        <color rgb="FF0070C0"/>
      </right>
      <top style="thin">
        <color rgb="FF000099"/>
      </top>
      <bottom/>
      <diagonal/>
    </border>
    <border>
      <left/>
      <right style="hair">
        <color rgb="FF0070C0"/>
      </right>
      <top style="hair">
        <color rgb="FF0070C0"/>
      </top>
      <bottom style="thin">
        <color rgb="FF0070C0"/>
      </bottom>
      <diagonal/>
    </border>
    <border>
      <left style="hair">
        <color rgb="FF0070C0"/>
      </left>
      <right style="thin">
        <color rgb="FF0070C0"/>
      </right>
      <top style="thin">
        <color rgb="FF0070C0"/>
      </top>
      <bottom style="thin">
        <color rgb="FF0070C0"/>
      </bottom>
      <diagonal/>
    </border>
    <border>
      <left style="hair">
        <color rgb="FF0070C0"/>
      </left>
      <right style="hair">
        <color rgb="FF0070C0"/>
      </right>
      <top style="thin">
        <color rgb="FF0070C0"/>
      </top>
      <bottom/>
      <diagonal/>
    </border>
    <border>
      <left/>
      <right style="hair">
        <color rgb="FF0070C0"/>
      </right>
      <top/>
      <bottom/>
      <diagonal/>
    </border>
    <border>
      <left style="thin">
        <color rgb="FF0070C0"/>
      </left>
      <right/>
      <top style="hair">
        <color rgb="FF0070C0"/>
      </top>
      <bottom/>
      <diagonal/>
    </border>
    <border>
      <left/>
      <right/>
      <top style="hair">
        <color rgb="FF0070C0"/>
      </top>
      <bottom/>
      <diagonal/>
    </border>
    <border>
      <left/>
      <right style="thin">
        <color rgb="FF0070C0"/>
      </right>
      <top style="hair">
        <color rgb="FF0070C0"/>
      </top>
      <bottom/>
      <diagonal/>
    </border>
    <border>
      <left style="hair">
        <color rgb="FF0070C0"/>
      </left>
      <right/>
      <top style="hair">
        <color rgb="FF0070C0"/>
      </top>
      <bottom/>
      <diagonal/>
    </border>
    <border>
      <left/>
      <right style="hair">
        <color rgb="FF0070C0"/>
      </right>
      <top style="hair">
        <color rgb="FF0070C0"/>
      </top>
      <bottom/>
      <diagonal/>
    </border>
    <border>
      <left/>
      <right style="hair">
        <color rgb="FF0070C0"/>
      </right>
      <top/>
      <bottom style="thin">
        <color rgb="FF0070C0"/>
      </bottom>
      <diagonal/>
    </border>
    <border>
      <left style="hair">
        <color rgb="FF0070C0"/>
      </left>
      <right style="hair">
        <color rgb="FF0070C0"/>
      </right>
      <top/>
      <bottom style="thin">
        <color rgb="FF0070C0"/>
      </bottom>
      <diagonal/>
    </border>
    <border>
      <left style="thin">
        <color rgb="FF0070C0"/>
      </left>
      <right style="hair">
        <color rgb="FF0070C0"/>
      </right>
      <top style="hair">
        <color rgb="FF0070C0"/>
      </top>
      <bottom style="hair">
        <color rgb="FF0070C0"/>
      </bottom>
      <diagonal/>
    </border>
    <border>
      <left style="hair">
        <color rgb="FF0070C0"/>
      </left>
      <right style="hair">
        <color rgb="FF0070C0"/>
      </right>
      <top style="hair">
        <color rgb="FF0070C0"/>
      </top>
      <bottom style="hair">
        <color rgb="FF0070C0"/>
      </bottom>
      <diagonal/>
    </border>
    <border>
      <left style="hair">
        <color rgb="FF0070C0"/>
      </left>
      <right style="thin">
        <color rgb="FF0070C0"/>
      </right>
      <top style="hair">
        <color rgb="FF0070C0"/>
      </top>
      <bottom style="hair">
        <color rgb="FF0070C0"/>
      </bottom>
      <diagonal/>
    </border>
    <border>
      <left style="thin">
        <color rgb="FF0070C0"/>
      </left>
      <right/>
      <top/>
      <bottom style="hair">
        <color rgb="FF0070C0"/>
      </bottom>
      <diagonal/>
    </border>
    <border>
      <left/>
      <right/>
      <top/>
      <bottom style="hair">
        <color rgb="FF0070C0"/>
      </bottom>
      <diagonal/>
    </border>
    <border>
      <left/>
      <right style="thin">
        <color rgb="FF0070C0"/>
      </right>
      <top/>
      <bottom style="hair">
        <color rgb="FF0070C0"/>
      </bottom>
      <diagonal/>
    </border>
    <border>
      <left style="thin">
        <color rgb="FF0070C0"/>
      </left>
      <right style="hair">
        <color rgb="FF0070C0"/>
      </right>
      <top style="hair">
        <color rgb="FF0070C0"/>
      </top>
      <bottom/>
      <diagonal/>
    </border>
    <border>
      <left style="hair">
        <color rgb="FF0070C0"/>
      </left>
      <right style="hair">
        <color rgb="FF0070C0"/>
      </right>
      <top style="hair">
        <color rgb="FF0070C0"/>
      </top>
      <bottom/>
      <diagonal/>
    </border>
    <border>
      <left style="thin">
        <color rgb="FF0070C0"/>
      </left>
      <right/>
      <top style="hair">
        <color rgb="FF0070C0"/>
      </top>
      <bottom style="hair">
        <color rgb="FF0070C0"/>
      </bottom>
      <diagonal/>
    </border>
    <border>
      <left/>
      <right style="thin">
        <color rgb="FF0070C0"/>
      </right>
      <top style="hair">
        <color rgb="FF0070C0"/>
      </top>
      <bottom style="hair">
        <color rgb="FF0070C0"/>
      </bottom>
      <diagonal/>
    </border>
    <border>
      <left/>
      <right style="hair">
        <color rgb="FF0070C0"/>
      </right>
      <top/>
      <bottom style="hair">
        <color rgb="FF0070C0"/>
      </bottom>
      <diagonal/>
    </border>
    <border>
      <left style="hair">
        <color rgb="FF0070C0"/>
      </left>
      <right/>
      <top/>
      <bottom/>
      <diagonal/>
    </border>
    <border>
      <left/>
      <right/>
      <top style="hair">
        <color rgb="FF0070C0"/>
      </top>
      <bottom style="hair">
        <color rgb="FF0070C0"/>
      </bottom>
      <diagonal/>
    </border>
    <border>
      <left style="hair">
        <color rgb="FF0070C0"/>
      </left>
      <right/>
      <top/>
      <bottom style="thin">
        <color rgb="FF0070C0"/>
      </bottom>
      <diagonal/>
    </border>
    <border>
      <left style="thin">
        <color rgb="FF0070C0"/>
      </left>
      <right style="thin">
        <color rgb="FF0070C0"/>
      </right>
      <top style="thin">
        <color rgb="FF0070C0"/>
      </top>
      <bottom/>
      <diagonal/>
    </border>
    <border>
      <left/>
      <right/>
      <top style="thin">
        <color rgb="FF0070C0"/>
      </top>
      <bottom style="thin">
        <color indexed="64"/>
      </bottom>
      <diagonal/>
    </border>
    <border>
      <left style="hair">
        <color rgb="FF0070C0"/>
      </left>
      <right/>
      <top style="thin">
        <color rgb="FF0070C0"/>
      </top>
      <bottom style="thin">
        <color indexed="64"/>
      </bottom>
      <diagonal/>
    </border>
    <border>
      <left/>
      <right style="thin">
        <color rgb="FF0070C0"/>
      </right>
      <top style="thin">
        <color rgb="FF0070C0"/>
      </top>
      <bottom style="thin">
        <color indexed="64"/>
      </bottom>
      <diagonal/>
    </border>
    <border>
      <left style="medium">
        <color theme="0"/>
      </left>
      <right style="medium">
        <color theme="0"/>
      </right>
      <top style="medium">
        <color theme="0"/>
      </top>
      <bottom style="medium">
        <color theme="0"/>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style="hair">
        <color auto="1"/>
      </left>
      <right style="thin">
        <color auto="1"/>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rgb="FF0000FF"/>
      </left>
      <right style="medium">
        <color rgb="FF0000FF"/>
      </right>
      <top style="medium">
        <color rgb="FF0000FF"/>
      </top>
      <bottom style="medium">
        <color rgb="FF0000FF"/>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hair">
        <color indexed="64"/>
      </bottom>
      <diagonal/>
    </border>
    <border>
      <left/>
      <right style="hair">
        <color indexed="64"/>
      </right>
      <top/>
      <bottom style="hair">
        <color indexed="64"/>
      </bottom>
      <diagonal/>
    </border>
    <border>
      <left style="thin">
        <color auto="1"/>
      </left>
      <right style="thin">
        <color auto="1"/>
      </right>
      <top/>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rgb="FF0070C0"/>
      </left>
      <right style="medium">
        <color rgb="FF0070C0"/>
      </right>
      <top style="medium">
        <color rgb="FF0070C0"/>
      </top>
      <bottom style="medium">
        <color rgb="FF0070C0"/>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right style="medium">
        <color indexed="64"/>
      </right>
      <top style="hair">
        <color indexed="64"/>
      </top>
      <bottom/>
      <diagonal/>
    </border>
    <border>
      <left/>
      <right/>
      <top style="medium">
        <color auto="1"/>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thin">
        <color rgb="FF0033CC"/>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style="thin">
        <color rgb="FF0070C0"/>
      </left>
      <right style="thin">
        <color rgb="FF0070C0"/>
      </right>
      <top style="thin">
        <color rgb="FF0070C0"/>
      </top>
      <bottom style="hair">
        <color rgb="FF0070C0"/>
      </bottom>
      <diagonal/>
    </border>
    <border>
      <left style="thin">
        <color rgb="FF0070C0"/>
      </left>
      <right style="thin">
        <color rgb="FF0070C0"/>
      </right>
      <top style="hair">
        <color rgb="FF0070C0"/>
      </top>
      <bottom style="thin">
        <color rgb="FF0070C0"/>
      </bottom>
      <diagonal/>
    </border>
    <border>
      <left/>
      <right style="hair">
        <color indexed="64"/>
      </right>
      <top style="thin">
        <color indexed="64"/>
      </top>
      <bottom style="thin">
        <color indexed="64"/>
      </bottom>
      <diagonal/>
    </border>
    <border>
      <left/>
      <right/>
      <top/>
      <bottom style="thin">
        <color rgb="FF002060"/>
      </bottom>
      <diagonal/>
    </border>
    <border>
      <left/>
      <right style="medium">
        <color indexed="64"/>
      </right>
      <top style="thin">
        <color indexed="64"/>
      </top>
      <bottom style="hair">
        <color indexed="64"/>
      </bottom>
      <diagonal/>
    </border>
    <border>
      <left style="thin">
        <color rgb="FF0033CC"/>
      </left>
      <right/>
      <top style="thin">
        <color rgb="FF0033CC"/>
      </top>
      <bottom/>
      <diagonal/>
    </border>
    <border>
      <left/>
      <right/>
      <top style="thin">
        <color rgb="FF0033CC"/>
      </top>
      <bottom/>
      <diagonal/>
    </border>
    <border>
      <left/>
      <right style="thin">
        <color rgb="FF0033CC"/>
      </right>
      <top/>
      <bottom style="thin">
        <color rgb="FF0033CC"/>
      </bottom>
      <diagonal/>
    </border>
    <border>
      <left/>
      <right style="medium">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ck">
        <color indexed="64"/>
      </top>
      <bottom/>
      <diagonal/>
    </border>
    <border>
      <left/>
      <right style="thick">
        <color theme="0"/>
      </right>
      <top/>
      <bottom/>
      <diagonal/>
    </border>
    <border>
      <left style="thick">
        <color theme="0"/>
      </left>
      <right style="thick">
        <color theme="0"/>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bottom style="thin">
        <color rgb="FF0000FF"/>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hair">
        <color indexed="64"/>
      </top>
      <bottom style="medium">
        <color indexed="64"/>
      </bottom>
      <diagonal/>
    </border>
    <border>
      <left/>
      <right/>
      <top style="thin">
        <color indexed="64"/>
      </top>
      <bottom/>
      <diagonal/>
    </border>
    <border>
      <left style="thin">
        <color rgb="FF000099"/>
      </left>
      <right style="thin">
        <color rgb="FF0070C0"/>
      </right>
      <top style="thin">
        <color rgb="FF000099"/>
      </top>
      <bottom/>
      <diagonal/>
    </border>
    <border>
      <left style="thin">
        <color rgb="FF0070C0"/>
      </left>
      <right style="thin">
        <color rgb="FF0070C0"/>
      </right>
      <top style="thin">
        <color rgb="FF000099"/>
      </top>
      <bottom/>
      <diagonal/>
    </border>
    <border>
      <left style="thin">
        <color rgb="FF000099"/>
      </left>
      <right style="thin">
        <color rgb="FF0070C0"/>
      </right>
      <top/>
      <bottom style="thin">
        <color rgb="FF000099"/>
      </bottom>
      <diagonal/>
    </border>
    <border>
      <left style="thin">
        <color rgb="FF0070C0"/>
      </left>
      <right style="thin">
        <color rgb="FF0070C0"/>
      </right>
      <top/>
      <bottom style="thin">
        <color rgb="FF000099"/>
      </bottom>
      <diagonal/>
    </border>
    <border>
      <left style="thin">
        <color rgb="FF0070C0"/>
      </left>
      <right style="thin">
        <color rgb="FF0070C0"/>
      </right>
      <top style="thin">
        <color rgb="FF000099"/>
      </top>
      <bottom style="thin">
        <color rgb="FF0070C0"/>
      </bottom>
      <diagonal/>
    </border>
    <border>
      <left/>
      <right style="thin">
        <color rgb="FF0070C0"/>
      </right>
      <top/>
      <bottom style="thin">
        <color rgb="FF002060"/>
      </bottom>
      <diagonal/>
    </border>
    <border>
      <left style="thin">
        <color rgb="FF0070C0"/>
      </left>
      <right style="hair">
        <color rgb="FF0070C0"/>
      </right>
      <top/>
      <bottom style="thin">
        <color rgb="FF0070C0"/>
      </bottom>
      <diagonal/>
    </border>
    <border>
      <left style="hair">
        <color rgb="FF0070C0"/>
      </left>
      <right style="thin">
        <color rgb="FF0070C0"/>
      </right>
      <top/>
      <bottom style="thin">
        <color rgb="FF0070C0"/>
      </bottom>
      <diagonal/>
    </border>
    <border>
      <left style="thin">
        <color rgb="FF0070C0"/>
      </left>
      <right/>
      <top/>
      <bottom style="thin">
        <color rgb="FF002060"/>
      </bottom>
      <diagonal/>
    </border>
    <border>
      <left style="thin">
        <color rgb="FF0070C0"/>
      </left>
      <right/>
      <top style="hair">
        <color rgb="FF0070C0"/>
      </top>
      <bottom style="thin">
        <color rgb="FF002060"/>
      </bottom>
      <diagonal/>
    </border>
    <border>
      <left/>
      <right/>
      <top style="hair">
        <color rgb="FF0070C0"/>
      </top>
      <bottom style="thin">
        <color rgb="FF002060"/>
      </bottom>
      <diagonal/>
    </border>
    <border>
      <left style="hair">
        <color rgb="FF0070C0"/>
      </left>
      <right style="hair">
        <color rgb="FF0070C0"/>
      </right>
      <top style="hair">
        <color rgb="FF0070C0"/>
      </top>
      <bottom style="thin">
        <color rgb="FF002060"/>
      </bottom>
      <diagonal/>
    </border>
    <border>
      <left/>
      <right style="thin">
        <color rgb="FF0070C0"/>
      </right>
      <top style="hair">
        <color rgb="FF0070C0"/>
      </top>
      <bottom style="thin">
        <color rgb="FF002060"/>
      </bottom>
      <diagonal/>
    </border>
    <border>
      <left style="thin">
        <color rgb="FF0070C0"/>
      </left>
      <right style="hair">
        <color rgb="FF0070C0"/>
      </right>
      <top style="hair">
        <color rgb="FF0070C0"/>
      </top>
      <bottom style="thin">
        <color rgb="FF002060"/>
      </bottom>
      <diagonal/>
    </border>
    <border>
      <left style="hair">
        <color rgb="FF0070C0"/>
      </left>
      <right style="thin">
        <color rgb="FF0070C0"/>
      </right>
      <top style="hair">
        <color rgb="FF0070C0"/>
      </top>
      <bottom style="thin">
        <color rgb="FF002060"/>
      </bottom>
      <diagonal/>
    </border>
    <border>
      <left style="hair">
        <color rgb="FF0070C0"/>
      </left>
      <right/>
      <top style="hair">
        <color rgb="FF0070C0"/>
      </top>
      <bottom style="thin">
        <color rgb="FF002060"/>
      </bottom>
      <diagonal/>
    </border>
    <border>
      <left/>
      <right style="hair">
        <color rgb="FF0070C0"/>
      </right>
      <top style="hair">
        <color rgb="FF0070C0"/>
      </top>
      <bottom style="thin">
        <color rgb="FF002060"/>
      </bottom>
      <diagonal/>
    </border>
    <border>
      <left/>
      <right style="medium">
        <color theme="0"/>
      </right>
      <top style="thin">
        <color rgb="FF0070C0"/>
      </top>
      <bottom style="thin">
        <color rgb="FF0070C0"/>
      </bottom>
      <diagonal/>
    </border>
    <border>
      <left style="medium">
        <color theme="0"/>
      </left>
      <right/>
      <top style="thin">
        <color rgb="FF0070C0"/>
      </top>
      <bottom style="thin">
        <color rgb="FF0070C0"/>
      </bottom>
      <diagonal/>
    </border>
    <border>
      <left/>
      <right/>
      <top/>
      <bottom style="thin">
        <color indexed="64"/>
      </bottom>
      <diagonal/>
    </border>
    <border>
      <left style="thin">
        <color indexed="64"/>
      </left>
      <right/>
      <top style="thin">
        <color indexed="64"/>
      </top>
      <bottom/>
      <diagonal/>
    </border>
    <border>
      <left/>
      <right style="thin">
        <color auto="1"/>
      </right>
      <top style="thin">
        <color indexed="64"/>
      </top>
      <bottom/>
      <diagonal/>
    </border>
    <border>
      <left style="medium">
        <color auto="1"/>
      </left>
      <right/>
      <top style="thin">
        <color rgb="FF0070C0"/>
      </top>
      <bottom style="thin">
        <color rgb="FF0070C0"/>
      </bottom>
      <diagonal/>
    </border>
    <border>
      <left style="thin">
        <color rgb="FF0070C0"/>
      </left>
      <right style="medium">
        <color auto="1"/>
      </right>
      <top style="thin">
        <color rgb="FF0070C0"/>
      </top>
      <bottom style="thin">
        <color rgb="FF0070C0"/>
      </bottom>
      <diagonal/>
    </border>
    <border>
      <left style="medium">
        <color auto="1"/>
      </left>
      <right style="medium">
        <color auto="1"/>
      </right>
      <top style="thin">
        <color rgb="FF0070C0"/>
      </top>
      <bottom style="thin">
        <color rgb="FF0070C0"/>
      </bottom>
      <diagonal/>
    </border>
    <border>
      <left style="medium">
        <color auto="1"/>
      </left>
      <right style="thin">
        <color rgb="FF0070C0"/>
      </right>
      <top style="thin">
        <color rgb="FF0070C0"/>
      </top>
      <bottom style="thin">
        <color rgb="FF0070C0"/>
      </bottom>
      <diagonal/>
    </border>
    <border>
      <left style="thin">
        <color rgb="FF0070C0"/>
      </left>
      <right style="thin">
        <color rgb="FF0070C0"/>
      </right>
      <top/>
      <bottom/>
      <diagonal/>
    </border>
    <border>
      <left/>
      <right/>
      <top style="medium">
        <color rgb="FFC00000"/>
      </top>
      <bottom style="thin">
        <color rgb="FF0070C0"/>
      </bottom>
      <diagonal/>
    </border>
    <border>
      <left/>
      <right style="medium">
        <color rgb="FFC00000"/>
      </right>
      <top/>
      <bottom/>
      <diagonal/>
    </border>
    <border>
      <left style="medium">
        <color rgb="FFC00000"/>
      </left>
      <right/>
      <top style="medium">
        <color rgb="FFC00000"/>
      </top>
      <bottom/>
      <diagonal/>
    </border>
    <border>
      <left/>
      <right/>
      <top style="medium">
        <color rgb="FFC00000"/>
      </top>
      <bottom/>
      <diagonal/>
    </border>
    <border>
      <left style="medium">
        <color rgb="FFC00000"/>
      </left>
      <right style="medium">
        <color auto="1"/>
      </right>
      <top style="medium">
        <color rgb="FFC00000"/>
      </top>
      <bottom/>
      <diagonal/>
    </border>
    <border>
      <left style="medium">
        <color auto="1"/>
      </left>
      <right style="medium">
        <color auto="1"/>
      </right>
      <top style="medium">
        <color rgb="FFC00000"/>
      </top>
      <bottom/>
      <diagonal/>
    </border>
    <border>
      <left style="medium">
        <color auto="1"/>
      </left>
      <right style="thin">
        <color rgb="FF0070C0"/>
      </right>
      <top style="medium">
        <color rgb="FFC00000"/>
      </top>
      <bottom/>
      <diagonal/>
    </border>
    <border>
      <left style="thin">
        <color rgb="FF0070C0"/>
      </left>
      <right style="thin">
        <color rgb="FF0070C0"/>
      </right>
      <top style="medium">
        <color rgb="FFC00000"/>
      </top>
      <bottom/>
      <diagonal/>
    </border>
    <border>
      <left style="thin">
        <color rgb="FF0070C0"/>
      </left>
      <right style="medium">
        <color auto="1"/>
      </right>
      <top style="medium">
        <color rgb="FFC00000"/>
      </top>
      <bottom/>
      <diagonal/>
    </border>
    <border>
      <left style="medium">
        <color auto="1"/>
      </left>
      <right style="medium">
        <color rgb="FFC00000"/>
      </right>
      <top style="medium">
        <color rgb="FFC00000"/>
      </top>
      <bottom/>
      <diagonal/>
    </border>
    <border>
      <left style="medium">
        <color rgb="FFC00000"/>
      </left>
      <right style="medium">
        <color auto="1"/>
      </right>
      <top style="thin">
        <color rgb="FF0070C0"/>
      </top>
      <bottom style="thin">
        <color rgb="FF0070C0"/>
      </bottom>
      <diagonal/>
    </border>
    <border>
      <left style="medium">
        <color auto="1"/>
      </left>
      <right style="medium">
        <color rgb="FFC00000"/>
      </right>
      <top style="thin">
        <color rgb="FF0070C0"/>
      </top>
      <bottom style="thin">
        <color rgb="FF0070C0"/>
      </bottom>
      <diagonal/>
    </border>
    <border>
      <left style="medium">
        <color rgb="FFC00000"/>
      </left>
      <right style="medium">
        <color auto="1"/>
      </right>
      <top/>
      <bottom style="medium">
        <color rgb="FFC00000"/>
      </bottom>
      <diagonal/>
    </border>
    <border>
      <left style="medium">
        <color auto="1"/>
      </left>
      <right style="medium">
        <color auto="1"/>
      </right>
      <top/>
      <bottom style="medium">
        <color rgb="FFC00000"/>
      </bottom>
      <diagonal/>
    </border>
    <border>
      <left style="medium">
        <color auto="1"/>
      </left>
      <right style="thin">
        <color rgb="FF0070C0"/>
      </right>
      <top/>
      <bottom style="medium">
        <color rgb="FFC00000"/>
      </bottom>
      <diagonal/>
    </border>
    <border>
      <left style="thin">
        <color rgb="FF0070C0"/>
      </left>
      <right style="thin">
        <color rgb="FF0070C0"/>
      </right>
      <top/>
      <bottom style="medium">
        <color rgb="FFC00000"/>
      </bottom>
      <diagonal/>
    </border>
    <border>
      <left style="thin">
        <color rgb="FF0070C0"/>
      </left>
      <right style="thin">
        <color rgb="FF0070C0"/>
      </right>
      <top style="thin">
        <color rgb="FF0070C0"/>
      </top>
      <bottom style="medium">
        <color rgb="FFC00000"/>
      </bottom>
      <diagonal/>
    </border>
    <border>
      <left style="thin">
        <color rgb="FF0070C0"/>
      </left>
      <right style="medium">
        <color auto="1"/>
      </right>
      <top style="thin">
        <color rgb="FF0070C0"/>
      </top>
      <bottom style="medium">
        <color rgb="FFC00000"/>
      </bottom>
      <diagonal/>
    </border>
    <border>
      <left style="medium">
        <color auto="1"/>
      </left>
      <right style="medium">
        <color auto="1"/>
      </right>
      <top style="thin">
        <color rgb="FF0070C0"/>
      </top>
      <bottom style="medium">
        <color rgb="FFC00000"/>
      </bottom>
      <diagonal/>
    </border>
    <border>
      <left style="medium">
        <color auto="1"/>
      </left>
      <right style="medium">
        <color rgb="FFC00000"/>
      </right>
      <top style="thin">
        <color rgb="FF0070C0"/>
      </top>
      <bottom style="medium">
        <color rgb="FFC00000"/>
      </bottom>
      <diagonal/>
    </border>
    <border>
      <left style="thin">
        <color rgb="FF0070C0"/>
      </left>
      <right style="medium">
        <color rgb="FFC00000"/>
      </right>
      <top style="medium">
        <color rgb="FFC00000"/>
      </top>
      <bottom/>
      <diagonal/>
    </border>
    <border>
      <left style="thin">
        <color rgb="FF0070C0"/>
      </left>
      <right style="medium">
        <color rgb="FFC00000"/>
      </right>
      <top style="thin">
        <color rgb="FF0070C0"/>
      </top>
      <bottom style="thin">
        <color rgb="FF0070C0"/>
      </bottom>
      <diagonal/>
    </border>
    <border>
      <left style="thin">
        <color rgb="FF0070C0"/>
      </left>
      <right style="medium">
        <color rgb="FFC00000"/>
      </right>
      <top/>
      <bottom/>
      <diagonal/>
    </border>
    <border>
      <left style="medium">
        <color rgb="FFC00000"/>
      </left>
      <right style="medium">
        <color auto="1"/>
      </right>
      <top style="thin">
        <color rgb="FF0070C0"/>
      </top>
      <bottom style="medium">
        <color rgb="FFC00000"/>
      </bottom>
      <diagonal/>
    </border>
    <border>
      <left style="medium">
        <color auto="1"/>
      </left>
      <right style="thin">
        <color rgb="FF0070C0"/>
      </right>
      <top style="thin">
        <color rgb="FF0070C0"/>
      </top>
      <bottom style="medium">
        <color rgb="FFC00000"/>
      </bottom>
      <diagonal/>
    </border>
    <border>
      <left style="thin">
        <color rgb="FF0070C0"/>
      </left>
      <right style="medium">
        <color rgb="FFC00000"/>
      </right>
      <top style="thin">
        <color rgb="FF0070C0"/>
      </top>
      <bottom style="medium">
        <color rgb="FFC00000"/>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n">
        <color rgb="FF0070C0"/>
      </left>
      <right/>
      <top style="thin">
        <color rgb="FF0070C0"/>
      </top>
      <bottom style="medium">
        <color rgb="FFC00000"/>
      </bottom>
      <diagonal/>
    </border>
    <border>
      <left/>
      <right/>
      <top style="thin">
        <color rgb="FF0070C0"/>
      </top>
      <bottom style="medium">
        <color rgb="FFC00000"/>
      </bottom>
      <diagonal/>
    </border>
    <border>
      <left/>
      <right style="thin">
        <color rgb="FF0070C0"/>
      </right>
      <top style="thin">
        <color rgb="FF0070C0"/>
      </top>
      <bottom style="medium">
        <color rgb="FFC00000"/>
      </bottom>
      <diagonal/>
    </border>
    <border>
      <left style="thin">
        <color rgb="FF0070C0"/>
      </left>
      <right style="thin">
        <color rgb="FFC00000"/>
      </right>
      <top style="thin">
        <color rgb="FF0070C0"/>
      </top>
      <bottom style="medium">
        <color rgb="FFC00000"/>
      </bottom>
      <diagonal/>
    </border>
    <border>
      <left style="thin">
        <color rgb="FFC00000"/>
      </left>
      <right style="thin">
        <color rgb="FFC00000"/>
      </right>
      <top style="thin">
        <color rgb="FF0070C0"/>
      </top>
      <bottom style="medium">
        <color rgb="FFC00000"/>
      </bottom>
      <diagonal/>
    </border>
    <border>
      <left style="thin">
        <color rgb="FFC00000"/>
      </left>
      <right style="thin">
        <color rgb="FF0070C0"/>
      </right>
      <top style="thin">
        <color rgb="FF0070C0"/>
      </top>
      <bottom style="medium">
        <color rgb="FFC00000"/>
      </bottom>
      <diagonal/>
    </border>
    <border>
      <left/>
      <right style="medium">
        <color rgb="FFC00000"/>
      </right>
      <top style="medium">
        <color rgb="FFC00000"/>
      </top>
      <bottom/>
      <diagonal/>
    </border>
    <border>
      <left style="thin">
        <color rgb="FF0070C0"/>
      </left>
      <right style="thin">
        <color rgb="FF0070C0"/>
      </right>
      <top style="thin">
        <color rgb="FF0070C0"/>
      </top>
      <bottom style="thin">
        <color indexed="64"/>
      </bottom>
      <diagonal/>
    </border>
    <border>
      <left style="thin">
        <color rgb="FF0070C0"/>
      </left>
      <right style="thin">
        <color rgb="FF0070C0"/>
      </right>
      <top/>
      <bottom style="thin">
        <color rgb="FF0070C0"/>
      </bottom>
      <diagonal/>
    </border>
    <border>
      <left style="thin">
        <color rgb="FF002060"/>
      </left>
      <right style="thin">
        <color rgb="FF0033CC"/>
      </right>
      <top style="thin">
        <color rgb="FF002060"/>
      </top>
      <bottom style="thin">
        <color rgb="FF002060"/>
      </bottom>
      <diagonal/>
    </border>
    <border>
      <left style="thin">
        <color rgb="FF0033CC"/>
      </left>
      <right style="thin">
        <color rgb="FF0033CC"/>
      </right>
      <top style="thin">
        <color rgb="FF002060"/>
      </top>
      <bottom style="thin">
        <color rgb="FF002060"/>
      </bottom>
      <diagonal/>
    </border>
    <border>
      <left style="medium">
        <color rgb="FFC00000"/>
      </left>
      <right/>
      <top/>
      <bottom/>
      <diagonal/>
    </border>
    <border>
      <left style="medium">
        <color rgb="FFC00000"/>
      </left>
      <right/>
      <top/>
      <bottom style="thin">
        <color rgb="FF0070C0"/>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medium">
        <color theme="0"/>
      </left>
      <right style="medium">
        <color theme="0"/>
      </right>
      <top/>
      <bottom style="medium">
        <color theme="0"/>
      </bottom>
      <diagonal/>
    </border>
    <border>
      <left/>
      <right style="thin">
        <color rgb="FFC00000"/>
      </right>
      <top style="thin">
        <color rgb="FF0070C0"/>
      </top>
      <bottom style="medium">
        <color rgb="FFC0000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medium">
        <color theme="0"/>
      </bottom>
      <diagonal/>
    </border>
    <border>
      <left style="thick">
        <color theme="0"/>
      </left>
      <right style="thick">
        <color theme="0"/>
      </right>
      <top style="medium">
        <color theme="0"/>
      </top>
      <bottom style="thick">
        <color theme="0"/>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rgb="FFC00000"/>
      </right>
      <top style="thin">
        <color rgb="FF0070C0"/>
      </top>
      <bottom style="thin">
        <color rgb="FF0070C0"/>
      </bottom>
      <diagonal/>
    </border>
    <border>
      <left style="thin">
        <color rgb="FF0070C0"/>
      </left>
      <right style="thin">
        <color auto="1"/>
      </right>
      <top/>
      <bottom/>
      <diagonal/>
    </border>
    <border>
      <left style="medium">
        <color rgb="FFC00000"/>
      </left>
      <right/>
      <top style="thin">
        <color rgb="FF0070C0"/>
      </top>
      <bottom style="thin">
        <color rgb="FF0070C0"/>
      </bottom>
      <diagonal/>
    </border>
    <border>
      <left style="thin">
        <color rgb="FF0070C0"/>
      </left>
      <right style="hair">
        <color rgb="FF0070C0"/>
      </right>
      <top/>
      <bottom/>
      <diagonal/>
    </border>
    <border>
      <left style="hair">
        <color rgb="FF0070C0"/>
      </left>
      <right style="hair">
        <color rgb="FF0070C0"/>
      </right>
      <top/>
      <bottom/>
      <diagonal/>
    </border>
    <border>
      <left style="thin">
        <color indexed="64"/>
      </left>
      <right style="hair">
        <color indexed="64"/>
      </right>
      <top style="hair">
        <color indexed="64"/>
      </top>
      <bottom/>
      <diagonal/>
    </border>
    <border>
      <left/>
      <right style="medium">
        <color rgb="FFC00000"/>
      </right>
      <top style="thin">
        <color rgb="FF0070C0"/>
      </top>
      <bottom/>
      <diagonal/>
    </border>
    <border>
      <left/>
      <right/>
      <top/>
      <bottom style="medium">
        <color theme="0" tint="-0.499984740745262"/>
      </bottom>
      <diagonal/>
    </border>
    <border>
      <left style="medium">
        <color rgb="FFC00000"/>
      </left>
      <right style="thin">
        <color rgb="FF0070C0"/>
      </right>
      <top style="medium">
        <color rgb="FFC00000"/>
      </top>
      <bottom style="thin">
        <color rgb="FF0070C0"/>
      </bottom>
      <diagonal/>
    </border>
    <border>
      <left style="thin">
        <color rgb="FF0070C0"/>
      </left>
      <right style="thin">
        <color rgb="FF0070C0"/>
      </right>
      <top style="medium">
        <color rgb="FFC00000"/>
      </top>
      <bottom style="thin">
        <color rgb="FF0070C0"/>
      </bottom>
      <diagonal/>
    </border>
    <border>
      <left style="thin">
        <color rgb="FF0070C0"/>
      </left>
      <right style="medium">
        <color rgb="FFC00000"/>
      </right>
      <top style="medium">
        <color rgb="FFC00000"/>
      </top>
      <bottom style="thin">
        <color rgb="FF0070C0"/>
      </bottom>
      <diagonal/>
    </border>
    <border>
      <left style="medium">
        <color rgb="FFC00000"/>
      </left>
      <right style="thin">
        <color rgb="FF0070C0"/>
      </right>
      <top style="thin">
        <color rgb="FF0070C0"/>
      </top>
      <bottom style="thin">
        <color rgb="FF0070C0"/>
      </bottom>
      <diagonal/>
    </border>
    <border>
      <left style="medium">
        <color rgb="FFC00000"/>
      </left>
      <right style="thin">
        <color rgb="FF0070C0"/>
      </right>
      <top style="thin">
        <color rgb="FF0070C0"/>
      </top>
      <bottom style="medium">
        <color rgb="FFC00000"/>
      </bottom>
      <diagonal/>
    </border>
    <border>
      <left style="medium">
        <color rgb="FFC00000"/>
      </left>
      <right/>
      <top style="medium">
        <color rgb="FFC00000"/>
      </top>
      <bottom style="thin">
        <color rgb="FF0070C0"/>
      </bottom>
      <diagonal/>
    </border>
    <border>
      <left/>
      <right style="medium">
        <color rgb="FFC00000"/>
      </right>
      <top style="medium">
        <color rgb="FFC00000"/>
      </top>
      <bottom style="thin">
        <color rgb="FF0070C0"/>
      </bottom>
      <diagonal/>
    </border>
    <border>
      <left style="medium">
        <color rgb="FFC00000"/>
      </left>
      <right/>
      <top style="thin">
        <color rgb="FF0070C0"/>
      </top>
      <bottom/>
      <diagonal/>
    </border>
    <border>
      <left/>
      <right style="medium">
        <color rgb="FFC00000"/>
      </right>
      <top/>
      <bottom style="thin">
        <color rgb="FF0070C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C00000"/>
      </left>
      <right style="thin">
        <color rgb="FF0033CC"/>
      </right>
      <top style="medium">
        <color rgb="FFC00000"/>
      </top>
      <bottom style="medium">
        <color rgb="FFC00000"/>
      </bottom>
      <diagonal/>
    </border>
    <border>
      <left style="thin">
        <color rgb="FF0033CC"/>
      </left>
      <right style="thin">
        <color rgb="FF0033CC"/>
      </right>
      <top style="medium">
        <color rgb="FFC00000"/>
      </top>
      <bottom style="medium">
        <color rgb="FFC00000"/>
      </bottom>
      <diagonal/>
    </border>
    <border>
      <left style="thin">
        <color rgb="FF0033CC"/>
      </left>
      <right style="medium">
        <color rgb="FFC00000"/>
      </right>
      <top style="medium">
        <color rgb="FFC00000"/>
      </top>
      <bottom style="medium">
        <color rgb="FFC00000"/>
      </bottom>
      <diagonal/>
    </border>
    <border>
      <left/>
      <right style="thin">
        <color rgb="FF000099"/>
      </right>
      <top style="thin">
        <color rgb="FF000099"/>
      </top>
      <bottom/>
      <diagonal/>
    </border>
    <border>
      <left style="thin">
        <color rgb="FF0033CC"/>
      </left>
      <right/>
      <top style="thin">
        <color rgb="FF002060"/>
      </top>
      <bottom style="thin">
        <color rgb="FF002060"/>
      </bottom>
      <diagonal/>
    </border>
    <border>
      <left style="thin">
        <color rgb="FF0070C0"/>
      </left>
      <right style="thin">
        <color rgb="FFC00000"/>
      </right>
      <top/>
      <bottom style="thin">
        <color rgb="FF0070C0"/>
      </bottom>
      <diagonal/>
    </border>
    <border>
      <left style="thin">
        <color rgb="FFC00000"/>
      </left>
      <right style="thin">
        <color rgb="FFC00000"/>
      </right>
      <top/>
      <bottom style="thin">
        <color rgb="FF0070C0"/>
      </bottom>
      <diagonal/>
    </border>
    <border>
      <left style="thin">
        <color rgb="FFC00000"/>
      </left>
      <right style="thin">
        <color rgb="FF0070C0"/>
      </right>
      <top/>
      <bottom style="thin">
        <color rgb="FF0070C0"/>
      </bottom>
      <diagonal/>
    </border>
    <border>
      <left/>
      <right style="thin">
        <color rgb="FFC00000"/>
      </right>
      <top/>
      <bottom style="thin">
        <color rgb="FF0070C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rgb="FFC00000"/>
      </left>
      <right/>
      <top style="thin">
        <color rgb="FF0070C0"/>
      </top>
      <bottom/>
      <diagonal/>
    </border>
    <border>
      <left style="thin">
        <color rgb="FFC00000"/>
      </left>
      <right/>
      <top/>
      <bottom/>
      <diagonal/>
    </border>
    <border>
      <left/>
      <right style="thin">
        <color rgb="FFC00000"/>
      </right>
      <top/>
      <bottom/>
      <diagonal/>
    </border>
    <border>
      <left/>
      <right/>
      <top style="thin">
        <color rgb="FFC00000"/>
      </top>
      <bottom style="thin">
        <color rgb="FF0070C0"/>
      </bottom>
      <diagonal/>
    </border>
    <border>
      <left/>
      <right style="thin">
        <color rgb="FFC00000"/>
      </right>
      <top style="thin">
        <color rgb="FFC00000"/>
      </top>
      <bottom style="thin">
        <color rgb="FF0070C0"/>
      </bottom>
      <diagonal/>
    </border>
    <border>
      <left style="medium">
        <color rgb="FFC00000"/>
      </left>
      <right style="medium">
        <color auto="1"/>
      </right>
      <top style="thin">
        <color rgb="FF0000FF"/>
      </top>
      <bottom style="thin">
        <color rgb="FF0000FF"/>
      </bottom>
      <diagonal/>
    </border>
    <border>
      <left style="medium">
        <color auto="1"/>
      </left>
      <right style="medium">
        <color auto="1"/>
      </right>
      <top style="thin">
        <color rgb="FF0000FF"/>
      </top>
      <bottom style="thin">
        <color rgb="FF0000FF"/>
      </bottom>
      <diagonal/>
    </border>
    <border>
      <left style="medium">
        <color auto="1"/>
      </left>
      <right style="thin">
        <color rgb="FF0070C0"/>
      </right>
      <top style="thin">
        <color rgb="FF0000FF"/>
      </top>
      <bottom style="thin">
        <color rgb="FF0000FF"/>
      </bottom>
      <diagonal/>
    </border>
    <border>
      <left style="medium">
        <color rgb="FFC00000"/>
      </left>
      <right style="thin">
        <color rgb="FF0033CC"/>
      </right>
      <top style="thin">
        <color rgb="FF0000FF"/>
      </top>
      <bottom style="thin">
        <color rgb="FF0033CC"/>
      </bottom>
      <diagonal/>
    </border>
    <border>
      <left style="thin">
        <color rgb="FF0033CC"/>
      </left>
      <right style="thin">
        <color rgb="FF0033CC"/>
      </right>
      <top style="thin">
        <color rgb="FF0000FF"/>
      </top>
      <bottom style="thin">
        <color rgb="FF0033CC"/>
      </bottom>
      <diagonal/>
    </border>
    <border>
      <left style="thin">
        <color rgb="FF0033CC"/>
      </left>
      <right style="medium">
        <color rgb="FFC00000"/>
      </right>
      <top style="thin">
        <color rgb="FF0000FF"/>
      </top>
      <bottom style="thin">
        <color rgb="FF0033CC"/>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bottom/>
      <diagonal/>
    </border>
    <border>
      <left/>
      <right style="medium">
        <color theme="0"/>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0033CC"/>
      </left>
      <right style="thin">
        <color rgb="FF002060"/>
      </right>
      <top style="thin">
        <color rgb="FF0033CC"/>
      </top>
      <bottom style="thin">
        <color rgb="FF0033CC"/>
      </bottom>
      <diagonal/>
    </border>
    <border>
      <left style="medium">
        <color rgb="FFC00000"/>
      </left>
      <right style="medium">
        <color auto="1"/>
      </right>
      <top style="thin">
        <color rgb="FF0066CC"/>
      </top>
      <bottom style="thin">
        <color rgb="FF0066CC"/>
      </bottom>
      <diagonal/>
    </border>
    <border>
      <left style="medium">
        <color auto="1"/>
      </left>
      <right style="medium">
        <color auto="1"/>
      </right>
      <top style="thin">
        <color rgb="FF0066CC"/>
      </top>
      <bottom style="thin">
        <color rgb="FF0066CC"/>
      </bottom>
      <diagonal/>
    </border>
    <border>
      <left style="medium">
        <color auto="1"/>
      </left>
      <right style="thin">
        <color rgb="FF0070C0"/>
      </right>
      <top style="thin">
        <color rgb="FF0066CC"/>
      </top>
      <bottom style="thin">
        <color rgb="FF0066CC"/>
      </bottom>
      <diagonal/>
    </border>
    <border>
      <left style="thin">
        <color indexed="64"/>
      </left>
      <right style="thin">
        <color indexed="64"/>
      </right>
      <top style="medium">
        <color indexed="64"/>
      </top>
      <bottom style="thin">
        <color indexed="64"/>
      </bottom>
      <diagonal/>
    </border>
    <border>
      <left/>
      <right style="thin">
        <color rgb="FFC00000"/>
      </right>
      <top style="thin">
        <color indexed="64"/>
      </top>
      <bottom/>
      <diagonal/>
    </border>
    <border>
      <left style="thin">
        <color rgb="FFC00000"/>
      </left>
      <right/>
      <top style="thin">
        <color indexed="64"/>
      </top>
      <bottom/>
      <diagonal/>
    </border>
    <border>
      <left style="thin">
        <color rgb="FF002060"/>
      </left>
      <right style="thin">
        <color rgb="FF0033CC"/>
      </right>
      <top style="thin">
        <color rgb="FF002060"/>
      </top>
      <bottom/>
      <diagonal/>
    </border>
    <border>
      <left style="thin">
        <color rgb="FF0033CC"/>
      </left>
      <right style="thin">
        <color rgb="FF0033CC"/>
      </right>
      <top style="thin">
        <color rgb="FF002060"/>
      </top>
      <bottom/>
      <diagonal/>
    </border>
    <border>
      <left style="thin">
        <color rgb="FF0033CC"/>
      </left>
      <right style="thin">
        <color rgb="FF002060"/>
      </right>
      <top style="thin">
        <color rgb="FF002060"/>
      </top>
      <bottom/>
      <diagonal/>
    </border>
    <border>
      <left style="thin">
        <color rgb="FF002060"/>
      </left>
      <right style="thin">
        <color rgb="FF0033CC"/>
      </right>
      <top/>
      <bottom style="thin">
        <color rgb="FF002060"/>
      </bottom>
      <diagonal/>
    </border>
    <border>
      <left style="thin">
        <color rgb="FF0033CC"/>
      </left>
      <right style="thin">
        <color rgb="FF0033CC"/>
      </right>
      <top/>
      <bottom style="thin">
        <color rgb="FF002060"/>
      </bottom>
      <diagonal/>
    </border>
    <border>
      <left style="thin">
        <color rgb="FF0033CC"/>
      </left>
      <right style="thin">
        <color rgb="FF002060"/>
      </right>
      <top/>
      <bottom style="thin">
        <color rgb="FF002060"/>
      </bottom>
      <diagonal/>
    </border>
    <border>
      <left style="thin">
        <color rgb="FF0033CC"/>
      </left>
      <right/>
      <top style="medium">
        <color rgb="FFC00000"/>
      </top>
      <bottom style="medium">
        <color rgb="FFC00000"/>
      </bottom>
      <diagonal/>
    </border>
    <border>
      <left style="thin">
        <color rgb="FF002060"/>
      </left>
      <right/>
      <top style="medium">
        <color rgb="FFC00000"/>
      </top>
      <bottom style="medium">
        <color rgb="FFC00000"/>
      </bottom>
      <diagonal/>
    </border>
    <border>
      <left/>
      <right style="thin">
        <color rgb="FF0033CC"/>
      </right>
      <top style="medium">
        <color rgb="FFC00000"/>
      </top>
      <bottom style="medium">
        <color rgb="FFC00000"/>
      </bottom>
      <diagonal/>
    </border>
    <border>
      <left style="medium">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double">
        <color auto="1"/>
      </left>
      <right/>
      <top/>
      <bottom/>
      <diagonal/>
    </border>
    <border>
      <left style="double">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right style="double">
        <color auto="1"/>
      </right>
      <top style="double">
        <color auto="1"/>
      </top>
      <bottom style="double">
        <color auto="1"/>
      </bottom>
      <diagonal/>
    </border>
    <border>
      <left/>
      <right/>
      <top style="double">
        <color auto="1"/>
      </top>
      <bottom style="double">
        <color auto="1"/>
      </bottom>
      <diagonal/>
    </border>
    <border>
      <left style="double">
        <color auto="1"/>
      </left>
      <right/>
      <top style="double">
        <color auto="1"/>
      </top>
      <bottom style="double">
        <color auto="1"/>
      </bottom>
      <diagonal/>
    </border>
    <border>
      <left/>
      <right style="medium">
        <color rgb="FFFFFFCC"/>
      </right>
      <top style="medium">
        <color rgb="FFFFFFCC"/>
      </top>
      <bottom style="medium">
        <color rgb="FFFFFFCC"/>
      </bottom>
      <diagonal/>
    </border>
    <border>
      <left/>
      <right/>
      <top style="medium">
        <color rgb="FFFFFFCC"/>
      </top>
      <bottom style="medium">
        <color rgb="FFFFFFCC"/>
      </bottom>
      <diagonal/>
    </border>
    <border>
      <left style="medium">
        <color rgb="FFFFFFCC"/>
      </left>
      <right/>
      <top style="medium">
        <color rgb="FFFFFFCC"/>
      </top>
      <bottom style="medium">
        <color rgb="FFFFFFCC"/>
      </bottom>
      <diagonal/>
    </border>
    <border>
      <left/>
      <right style="thin">
        <color indexed="64"/>
      </right>
      <top style="thin">
        <color indexed="64"/>
      </top>
      <bottom style="thin">
        <color rgb="FFFF9900"/>
      </bottom>
      <diagonal/>
    </border>
    <border>
      <left/>
      <right/>
      <top style="thin">
        <color indexed="64"/>
      </top>
      <bottom style="thin">
        <color rgb="FFFF9900"/>
      </bottom>
      <diagonal/>
    </border>
    <border>
      <left style="thin">
        <color indexed="64"/>
      </left>
      <right/>
      <top style="thin">
        <color indexed="64"/>
      </top>
      <bottom style="thin">
        <color rgb="FFFF9900"/>
      </bottom>
      <diagonal/>
    </border>
    <border>
      <left style="thin">
        <color auto="1"/>
      </left>
      <right style="medium">
        <color rgb="FF0070C0"/>
      </right>
      <top style="thin">
        <color auto="1"/>
      </top>
      <bottom style="medium">
        <color rgb="FF0070C0"/>
      </bottom>
      <diagonal/>
    </border>
    <border>
      <left style="thin">
        <color indexed="64"/>
      </left>
      <right style="thin">
        <color indexed="64"/>
      </right>
      <top style="thin">
        <color auto="1"/>
      </top>
      <bottom style="medium">
        <color rgb="FF0070C0"/>
      </bottom>
      <diagonal/>
    </border>
    <border>
      <left/>
      <right style="thin">
        <color auto="1"/>
      </right>
      <top style="thin">
        <color auto="1"/>
      </top>
      <bottom style="medium">
        <color rgb="FF0070C0"/>
      </bottom>
      <diagonal/>
    </border>
    <border>
      <left style="medium">
        <color rgb="FF0070C0"/>
      </left>
      <right style="thin">
        <color auto="1"/>
      </right>
      <top style="thin">
        <color auto="1"/>
      </top>
      <bottom style="medium">
        <color rgb="FF0070C0"/>
      </bottom>
      <diagonal/>
    </border>
    <border>
      <left style="thin">
        <color auto="1"/>
      </left>
      <right style="medium">
        <color rgb="FF0070C0"/>
      </right>
      <top style="thin">
        <color auto="1"/>
      </top>
      <bottom style="thin">
        <color auto="1"/>
      </bottom>
      <diagonal/>
    </border>
    <border>
      <left style="medium">
        <color rgb="FF0070C0"/>
      </left>
      <right style="thin">
        <color auto="1"/>
      </right>
      <top style="thin">
        <color auto="1"/>
      </top>
      <bottom style="thin">
        <color auto="1"/>
      </bottom>
      <diagonal/>
    </border>
    <border>
      <left style="thin">
        <color indexed="64"/>
      </left>
      <right style="thin">
        <color indexed="64"/>
      </right>
      <top style="hair">
        <color indexed="64"/>
      </top>
      <bottom/>
      <diagonal/>
    </border>
    <border>
      <left style="thin">
        <color auto="1"/>
      </left>
      <right style="medium">
        <color rgb="FF0070C0"/>
      </right>
      <top style="medium">
        <color rgb="FF0070C0"/>
      </top>
      <bottom style="thin">
        <color auto="1"/>
      </bottom>
      <diagonal/>
    </border>
    <border>
      <left style="thin">
        <color indexed="64"/>
      </left>
      <right style="thin">
        <color indexed="64"/>
      </right>
      <top style="medium">
        <color rgb="FF0070C0"/>
      </top>
      <bottom style="thin">
        <color auto="1"/>
      </bottom>
      <diagonal/>
    </border>
    <border>
      <left/>
      <right style="thin">
        <color indexed="64"/>
      </right>
      <top style="medium">
        <color rgb="FF0070C0"/>
      </top>
      <bottom style="thin">
        <color auto="1"/>
      </bottom>
      <diagonal/>
    </border>
    <border>
      <left style="medium">
        <color rgb="FF0070C0"/>
      </left>
      <right style="thin">
        <color auto="1"/>
      </right>
      <top style="medium">
        <color rgb="FF0070C0"/>
      </top>
      <bottom style="thin">
        <color auto="1"/>
      </bottom>
      <diagonal/>
    </border>
    <border>
      <left style="thin">
        <color indexed="64"/>
      </left>
      <right style="thin">
        <color indexed="64"/>
      </right>
      <top style="thin">
        <color rgb="FFFF6600"/>
      </top>
      <bottom style="hair">
        <color indexed="64"/>
      </bottom>
      <diagonal/>
    </border>
    <border>
      <left/>
      <right style="thin">
        <color indexed="64"/>
      </right>
      <top style="thin">
        <color rgb="FFFF9900"/>
      </top>
      <bottom style="hair">
        <color indexed="64"/>
      </bottom>
      <diagonal/>
    </border>
    <border>
      <left/>
      <right/>
      <top style="thin">
        <color rgb="FFFF9900"/>
      </top>
      <bottom style="hair">
        <color indexed="64"/>
      </bottom>
      <diagonal/>
    </border>
    <border>
      <left style="thin">
        <color indexed="64"/>
      </left>
      <right/>
      <top style="thin">
        <color rgb="FFFF9900"/>
      </top>
      <bottom style="hair">
        <color indexed="64"/>
      </bottom>
      <diagonal/>
    </border>
    <border>
      <left style="thin">
        <color indexed="64"/>
      </left>
      <right style="thin">
        <color indexed="64"/>
      </right>
      <top style="thin">
        <color rgb="FFFF9900"/>
      </top>
      <bottom style="hair">
        <color indexed="64"/>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style="hair">
        <color indexed="64"/>
      </top>
      <bottom style="thin">
        <color indexed="64"/>
      </bottom>
      <diagonal/>
    </border>
    <border>
      <left/>
      <right/>
      <top style="thin">
        <color rgb="FFFF0000"/>
      </top>
      <bottom style="thin">
        <color rgb="FFFF0000"/>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uble">
        <color auto="1"/>
      </top>
      <bottom/>
      <diagonal/>
    </border>
    <border>
      <left/>
      <right/>
      <top style="double">
        <color auto="1"/>
      </top>
      <bottom/>
      <diagonal/>
    </border>
    <border>
      <left style="thin">
        <color indexed="64"/>
      </left>
      <right/>
      <top style="double">
        <color auto="1"/>
      </top>
      <bottom/>
      <diagonal/>
    </border>
    <border>
      <left/>
      <right style="thin">
        <color auto="1"/>
      </right>
      <top/>
      <bottom style="double">
        <color auto="1"/>
      </bottom>
      <diagonal/>
    </border>
    <border>
      <left/>
      <right/>
      <top/>
      <bottom style="double">
        <color auto="1"/>
      </bottom>
      <diagonal/>
    </border>
    <border>
      <left style="thin">
        <color auto="1"/>
      </left>
      <right/>
      <top/>
      <bottom style="double">
        <color auto="1"/>
      </bottom>
      <diagonal/>
    </border>
    <border>
      <left/>
      <right style="thin">
        <color rgb="FFFF0000"/>
      </right>
      <top style="thin">
        <color rgb="FFFF0000"/>
      </top>
      <bottom style="thin">
        <color rgb="FFFF0000"/>
      </bottom>
      <diagonal/>
    </border>
    <border>
      <left style="thin">
        <color indexed="64"/>
      </left>
      <right/>
      <top style="thin">
        <color rgb="FFFF0000"/>
      </top>
      <bottom style="thin">
        <color rgb="FFFF0000"/>
      </bottom>
      <diagonal/>
    </border>
    <border>
      <left/>
      <right style="thin">
        <color indexed="64"/>
      </right>
      <top style="thin">
        <color rgb="FFFF0000"/>
      </top>
      <bottom style="thin">
        <color rgb="FFFF0000"/>
      </bottom>
      <diagonal/>
    </border>
    <border>
      <left style="thin">
        <color rgb="FFFF0000"/>
      </left>
      <right/>
      <top style="thin">
        <color rgb="FFFF0000"/>
      </top>
      <bottom style="thin">
        <color rgb="FFFF0000"/>
      </bottom>
      <diagonal/>
    </border>
    <border>
      <left style="thin">
        <color indexed="64"/>
      </left>
      <right style="medium">
        <color theme="0"/>
      </right>
      <top/>
      <bottom/>
      <diagonal/>
    </border>
    <border>
      <left style="thin">
        <color rgb="FF00B0F0"/>
      </left>
      <right/>
      <top style="thin">
        <color rgb="FF00B0F0"/>
      </top>
      <bottom style="thin">
        <color rgb="FF00B0F0"/>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auto="1"/>
      </bottom>
      <diagonal/>
    </border>
    <border>
      <left/>
      <right style="thin">
        <color indexed="64"/>
      </right>
      <top style="thin">
        <color auto="1"/>
      </top>
      <bottom style="medium">
        <color indexed="64"/>
      </bottom>
      <diagonal/>
    </border>
    <border>
      <left style="thin">
        <color indexed="64"/>
      </left>
      <right style="thin">
        <color indexed="64"/>
      </right>
      <top style="thin">
        <color indexed="64"/>
      </top>
      <bottom style="medium">
        <color auto="1"/>
      </bottom>
      <diagonal/>
    </border>
    <border>
      <left style="medium">
        <color auto="1"/>
      </left>
      <right style="thin">
        <color auto="1"/>
      </right>
      <top style="thin">
        <color auto="1"/>
      </top>
      <bottom style="medium">
        <color auto="1"/>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99"/>
      </left>
      <right/>
      <top style="thin">
        <color rgb="FF000099"/>
      </top>
      <bottom style="thin">
        <color rgb="FF000099"/>
      </bottom>
      <diagonal/>
    </border>
    <border>
      <left/>
      <right style="thin">
        <color rgb="FF000099"/>
      </right>
      <top/>
      <bottom style="thin">
        <color rgb="FF000099"/>
      </bottom>
      <diagonal/>
    </border>
    <border>
      <left/>
      <right/>
      <top/>
      <bottom style="thin">
        <color rgb="FF000099"/>
      </bottom>
      <diagonal/>
    </border>
    <border>
      <left/>
      <right style="thin">
        <color rgb="FF000099"/>
      </right>
      <top style="thin">
        <color indexed="64"/>
      </top>
      <bottom style="thin">
        <color indexed="64"/>
      </bottom>
      <diagonal/>
    </border>
    <border>
      <left/>
      <right style="thin">
        <color indexed="64"/>
      </right>
      <top style="thin">
        <color rgb="FF000099"/>
      </top>
      <bottom style="thin">
        <color rgb="FF000099"/>
      </bottom>
      <diagonal/>
    </border>
    <border>
      <left/>
      <right/>
      <top style="thin">
        <color rgb="FF000099"/>
      </top>
      <bottom style="thin">
        <color rgb="FF000099"/>
      </bottom>
      <diagonal/>
    </border>
    <border>
      <left style="thin">
        <color rgb="FF000099"/>
      </left>
      <right/>
      <top/>
      <bottom/>
      <diagonal/>
    </border>
    <border>
      <left/>
      <right style="thin">
        <color rgb="FF000099"/>
      </right>
      <top style="thin">
        <color rgb="FF000099"/>
      </top>
      <bottom style="thin">
        <color rgb="FF000099"/>
      </bottom>
      <diagonal/>
    </border>
    <border>
      <left/>
      <right style="thin">
        <color rgb="FF000099"/>
      </right>
      <top style="thin">
        <color indexed="64"/>
      </top>
      <bottom style="thin">
        <color rgb="FF000099"/>
      </bottom>
      <diagonal/>
    </border>
    <border>
      <left/>
      <right/>
      <top style="thin">
        <color indexed="64"/>
      </top>
      <bottom style="thin">
        <color rgb="FF000099"/>
      </bottom>
      <diagonal/>
    </border>
    <border>
      <left style="thin">
        <color rgb="FF000099"/>
      </left>
      <right/>
      <top style="thin">
        <color indexed="64"/>
      </top>
      <bottom style="thin">
        <color rgb="FF000099"/>
      </bottom>
      <diagonal/>
    </border>
    <border>
      <left style="thin">
        <color indexed="64"/>
      </left>
      <right/>
      <top style="thin">
        <color rgb="FF000099"/>
      </top>
      <bottom style="thin">
        <color rgb="FF000099"/>
      </bottom>
      <diagonal/>
    </border>
    <border>
      <left/>
      <right style="thin">
        <color rgb="FF000099"/>
      </right>
      <top/>
      <bottom/>
      <diagonal/>
    </border>
    <border>
      <left/>
      <right style="thin">
        <color rgb="FF000099"/>
      </right>
      <top style="thin">
        <color rgb="FF000099"/>
      </top>
      <bottom style="thin">
        <color indexed="64"/>
      </bottom>
      <diagonal/>
    </border>
    <border>
      <left/>
      <right/>
      <top style="thin">
        <color rgb="FF000099"/>
      </top>
      <bottom style="thin">
        <color indexed="64"/>
      </bottom>
      <diagonal/>
    </border>
    <border>
      <left style="thin">
        <color rgb="FF000099"/>
      </left>
      <right/>
      <top style="thin">
        <color rgb="FF000099"/>
      </top>
      <bottom style="thin">
        <color auto="1"/>
      </bottom>
      <diagonal/>
    </border>
    <border>
      <left style="dashDot">
        <color auto="1"/>
      </left>
      <right/>
      <top/>
      <bottom/>
      <diagonal/>
    </border>
    <border>
      <left/>
      <right style="dashDot">
        <color auto="1"/>
      </right>
      <top/>
      <bottom/>
      <diagonal/>
    </border>
    <border>
      <left style="dashDot">
        <color auto="1"/>
      </left>
      <right/>
      <top style="medium">
        <color auto="1"/>
      </top>
      <bottom/>
      <diagonal/>
    </border>
    <border>
      <left/>
      <right style="dashDot">
        <color auto="1"/>
      </right>
      <top style="medium">
        <color auto="1"/>
      </top>
      <bottom/>
      <diagonal/>
    </border>
    <border>
      <left style="dashDotDot">
        <color indexed="64"/>
      </left>
      <right/>
      <top style="medium">
        <color indexed="64"/>
      </top>
      <bottom style="medium">
        <color indexed="64"/>
      </bottom>
      <diagonal/>
    </border>
    <border>
      <left/>
      <right style="dashDotDot">
        <color indexed="64"/>
      </right>
      <top style="medium">
        <color indexed="64"/>
      </top>
      <bottom style="medium">
        <color indexed="64"/>
      </bottom>
      <diagonal/>
    </border>
    <border>
      <left style="medium">
        <color indexed="64"/>
      </left>
      <right/>
      <top/>
      <bottom style="medium">
        <color indexed="64"/>
      </bottom>
      <diagonal/>
    </border>
    <border>
      <left style="thin">
        <color rgb="FF0033CC"/>
      </left>
      <right style="medium">
        <color auto="1"/>
      </right>
      <top style="thin">
        <color rgb="FF0033CC"/>
      </top>
      <bottom style="thin">
        <color rgb="FF0033CC"/>
      </bottom>
      <diagonal/>
    </border>
    <border>
      <left style="thin">
        <color auto="1"/>
      </left>
      <right/>
      <top style="thin">
        <color rgb="FF0070C0"/>
      </top>
      <bottom style="thin">
        <color rgb="FF0070C0"/>
      </bottom>
      <diagonal/>
    </border>
    <border>
      <left style="thin">
        <color auto="1"/>
      </left>
      <right/>
      <top style="thin">
        <color auto="1"/>
      </top>
      <bottom style="thin">
        <color rgb="FF000099"/>
      </bottom>
      <diagonal/>
    </border>
    <border>
      <left style="medium">
        <color indexed="64"/>
      </left>
      <right/>
      <top/>
      <bottom/>
      <diagonal/>
    </border>
    <border>
      <left style="dashDot">
        <color indexed="64"/>
      </left>
      <right style="thin">
        <color indexed="64"/>
      </right>
      <top style="thin">
        <color auto="1"/>
      </top>
      <bottom/>
      <diagonal/>
    </border>
    <border>
      <left style="thin">
        <color indexed="64"/>
      </left>
      <right style="dashDot">
        <color indexed="64"/>
      </right>
      <top style="thin">
        <color auto="1"/>
      </top>
      <bottom/>
      <diagonal/>
    </border>
    <border>
      <left style="medium">
        <color auto="1"/>
      </left>
      <right style="thin">
        <color auto="1"/>
      </right>
      <top style="thin">
        <color auto="1"/>
      </top>
      <bottom/>
      <diagonal/>
    </border>
    <border>
      <left style="medium">
        <color auto="1"/>
      </left>
      <right style="medium">
        <color indexed="64"/>
      </right>
      <top style="thin">
        <color auto="1"/>
      </top>
      <bottom style="thin">
        <color rgb="FF0033CC"/>
      </bottom>
      <diagonal/>
    </border>
    <border>
      <left/>
      <right style="medium">
        <color indexed="64"/>
      </right>
      <top/>
      <bottom style="thin">
        <color rgb="FF0033CC"/>
      </bottom>
      <diagonal/>
    </border>
    <border>
      <left/>
      <right style="thin">
        <color indexed="64"/>
      </right>
      <top style="thin">
        <color rgb="FF0070C0"/>
      </top>
      <bottom style="thin">
        <color rgb="FF0070C0"/>
      </bottom>
      <diagonal/>
    </border>
    <border>
      <left style="dashDot">
        <color indexed="64"/>
      </left>
      <right style="thin">
        <color indexed="64"/>
      </right>
      <top style="thin">
        <color auto="1"/>
      </top>
      <bottom style="thin">
        <color auto="1"/>
      </bottom>
      <diagonal/>
    </border>
    <border>
      <left style="thin">
        <color indexed="64"/>
      </left>
      <right style="dashDot">
        <color indexed="64"/>
      </right>
      <top style="thin">
        <color auto="1"/>
      </top>
      <bottom style="thin">
        <color auto="1"/>
      </bottom>
      <diagonal/>
    </border>
    <border>
      <left style="medium">
        <color indexed="64"/>
      </left>
      <right style="thin">
        <color auto="1"/>
      </right>
      <top style="dashDot">
        <color indexed="64"/>
      </top>
      <bottom/>
      <diagonal/>
    </border>
    <border>
      <left style="thin">
        <color auto="1"/>
      </left>
      <right style="medium">
        <color auto="1"/>
      </right>
      <top style="dashDot">
        <color auto="1"/>
      </top>
      <bottom style="thin">
        <color auto="1"/>
      </bottom>
      <diagonal/>
    </border>
    <border>
      <left style="thin">
        <color auto="1"/>
      </left>
      <right style="thin">
        <color auto="1"/>
      </right>
      <top style="dashDot">
        <color auto="1"/>
      </top>
      <bottom style="thin">
        <color auto="1"/>
      </bottom>
      <diagonal/>
    </border>
    <border>
      <left style="dashDot">
        <color indexed="64"/>
      </left>
      <right style="thin">
        <color indexed="64"/>
      </right>
      <top style="mediumDashDot">
        <color rgb="FFFF0000"/>
      </top>
      <bottom style="thin">
        <color auto="1"/>
      </bottom>
      <diagonal/>
    </border>
    <border>
      <left style="thin">
        <color indexed="64"/>
      </left>
      <right style="dashDot">
        <color indexed="64"/>
      </right>
      <top style="mediumDashDot">
        <color rgb="FFFF0000"/>
      </top>
      <bottom style="thin">
        <color auto="1"/>
      </bottom>
      <diagonal/>
    </border>
    <border>
      <left style="thin">
        <color auto="1"/>
      </left>
      <right style="thin">
        <color auto="1"/>
      </right>
      <top style="mediumDashDot">
        <color rgb="FFFF0000"/>
      </top>
      <bottom style="thin">
        <color auto="1"/>
      </bottom>
      <diagonal/>
    </border>
    <border>
      <left style="medium">
        <color auto="1"/>
      </left>
      <right style="thin">
        <color auto="1"/>
      </right>
      <top style="mediumDashDot">
        <color rgb="FFFF0000"/>
      </top>
      <bottom style="thin">
        <color auto="1"/>
      </bottom>
      <diagonal/>
    </border>
    <border>
      <left style="medium">
        <color auto="1"/>
      </left>
      <right style="medium">
        <color auto="1"/>
      </right>
      <top style="dashDot">
        <color auto="1"/>
      </top>
      <bottom style="thin">
        <color auto="1"/>
      </bottom>
      <diagonal/>
    </border>
    <border>
      <left/>
      <right style="medium">
        <color indexed="64"/>
      </right>
      <top style="dashDot">
        <color auto="1"/>
      </top>
      <bottom/>
      <diagonal/>
    </border>
    <border>
      <left/>
      <right/>
      <top style="dashDot">
        <color auto="1"/>
      </top>
      <bottom/>
      <diagonal/>
    </border>
    <border>
      <left style="medium">
        <color indexed="64"/>
      </left>
      <right style="thin">
        <color auto="1"/>
      </right>
      <top/>
      <bottom style="dashDot">
        <color indexed="64"/>
      </bottom>
      <diagonal/>
    </border>
    <border>
      <left style="mediumDashDot">
        <color rgb="FFFF0000"/>
      </left>
      <right style="thin">
        <color auto="1"/>
      </right>
      <top style="thin">
        <color auto="1"/>
      </top>
      <bottom style="thin">
        <color auto="1"/>
      </bottom>
      <diagonal/>
    </border>
    <border>
      <left style="dashDot">
        <color indexed="64"/>
      </left>
      <right style="mediumDashDot">
        <color rgb="FFFF0000"/>
      </right>
      <top style="thin">
        <color auto="1"/>
      </top>
      <bottom style="thin">
        <color auto="1"/>
      </bottom>
      <diagonal/>
    </border>
    <border>
      <left style="medium">
        <color auto="1"/>
      </left>
      <right style="thin">
        <color auto="1"/>
      </right>
      <top style="thin">
        <color auto="1"/>
      </top>
      <bottom style="mediumDashDot">
        <color rgb="FFFF0000"/>
      </bottom>
      <diagonal/>
    </border>
    <border>
      <left style="medium">
        <color auto="1"/>
      </left>
      <right style="medium">
        <color auto="1"/>
      </right>
      <top style="dashDot">
        <color auto="1"/>
      </top>
      <bottom style="dashDot">
        <color auto="1"/>
      </bottom>
      <diagonal/>
    </border>
    <border>
      <left/>
      <right style="medium">
        <color auto="1"/>
      </right>
      <top style="dashDot">
        <color auto="1"/>
      </top>
      <bottom style="dashDot">
        <color auto="1"/>
      </bottom>
      <diagonal/>
    </border>
    <border>
      <left/>
      <right/>
      <top style="dashDot">
        <color auto="1"/>
      </top>
      <bottom style="dashDot">
        <color auto="1"/>
      </bottom>
      <diagonal/>
    </border>
    <border>
      <left/>
      <right style="medium">
        <color indexed="64"/>
      </right>
      <top/>
      <bottom style="dashDot">
        <color auto="1"/>
      </bottom>
      <diagonal/>
    </border>
    <border>
      <left/>
      <right/>
      <top/>
      <bottom style="dashDot">
        <color auto="1"/>
      </bottom>
      <diagonal/>
    </border>
    <border>
      <left style="thin">
        <color auto="1"/>
      </left>
      <right style="medium">
        <color auto="1"/>
      </right>
      <top style="medium">
        <color auto="1"/>
      </top>
      <bottom style="thin">
        <color auto="1"/>
      </bottom>
      <diagonal/>
    </border>
    <border>
      <left style="mediumDashDot">
        <color rgb="FFFF0000"/>
      </left>
      <right style="thin">
        <color auto="1"/>
      </right>
      <top style="medium">
        <color auto="1"/>
      </top>
      <bottom style="thin">
        <color auto="1"/>
      </bottom>
      <diagonal/>
    </border>
    <border>
      <left style="dashDot">
        <color indexed="64"/>
      </left>
      <right style="mediumDashDot">
        <color rgb="FFFF0000"/>
      </right>
      <top style="medium">
        <color auto="1"/>
      </top>
      <bottom style="thin">
        <color auto="1"/>
      </bottom>
      <diagonal/>
    </border>
    <border>
      <left style="thin">
        <color indexed="64"/>
      </left>
      <right style="dashDot">
        <color indexed="64"/>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bottom style="dashDot">
        <color auto="1"/>
      </bottom>
      <diagonal/>
    </border>
    <border>
      <left style="mediumDashDot">
        <color rgb="FFFF0000"/>
      </left>
      <right/>
      <top/>
      <bottom/>
      <diagonal/>
    </border>
    <border>
      <left style="dashDot">
        <color auto="1"/>
      </left>
      <right style="mediumDashDot">
        <color rgb="FFFF0000"/>
      </right>
      <top/>
      <bottom style="medium">
        <color auto="1"/>
      </bottom>
      <diagonal/>
    </border>
    <border>
      <left/>
      <right style="dashDot">
        <color indexed="64"/>
      </right>
      <top/>
      <bottom style="medium">
        <color auto="1"/>
      </bottom>
      <diagonal/>
    </border>
    <border>
      <left style="thin">
        <color rgb="FF0033CC"/>
      </left>
      <right/>
      <top/>
      <bottom style="medium">
        <color auto="1"/>
      </bottom>
      <diagonal/>
    </border>
    <border>
      <left/>
      <right style="mediumDashDot">
        <color rgb="FFFF0000"/>
      </right>
      <top/>
      <bottom/>
      <diagonal/>
    </border>
    <border>
      <left style="thin">
        <color rgb="FF0033CC"/>
      </left>
      <right/>
      <top/>
      <bottom/>
      <diagonal/>
    </border>
    <border>
      <left style="medium">
        <color auto="1"/>
      </left>
      <right/>
      <top style="thin">
        <color rgb="FF0033CC"/>
      </top>
      <bottom/>
      <diagonal/>
    </border>
    <border>
      <left style="thin">
        <color rgb="FF000099"/>
      </left>
      <right style="thin">
        <color rgb="FF000099"/>
      </right>
      <top style="thin">
        <color rgb="FF000099"/>
      </top>
      <bottom style="thin">
        <color rgb="FF000099"/>
      </bottom>
      <diagonal/>
    </border>
    <border>
      <left style="medium">
        <color indexed="64"/>
      </left>
      <right style="thin">
        <color indexed="64"/>
      </right>
      <top/>
      <bottom style="thin">
        <color rgb="FF0033CC"/>
      </bottom>
      <diagonal/>
    </border>
    <border>
      <left style="medium">
        <color indexed="64"/>
      </left>
      <right style="thin">
        <color indexed="64"/>
      </right>
      <top/>
      <bottom/>
      <diagonal/>
    </border>
    <border>
      <left style="thin">
        <color indexed="64"/>
      </left>
      <right/>
      <top style="thin">
        <color rgb="FF000099"/>
      </top>
      <bottom/>
      <diagonal/>
    </border>
    <border>
      <left style="thin">
        <color rgb="FF000099"/>
      </left>
      <right/>
      <top/>
      <bottom style="thin">
        <color rgb="FF000099"/>
      </bottom>
      <diagonal/>
    </border>
    <border>
      <left style="thin">
        <color rgb="FF000099"/>
      </left>
      <right style="thin">
        <color rgb="FF000099"/>
      </right>
      <top/>
      <bottom style="thin">
        <color rgb="FF000099"/>
      </bottom>
      <diagonal/>
    </border>
    <border>
      <left style="thin">
        <color indexed="64"/>
      </left>
      <right style="thin">
        <color rgb="FF000099"/>
      </right>
      <top/>
      <bottom style="thin">
        <color rgb="FF000099"/>
      </bottom>
      <diagonal/>
    </border>
    <border>
      <left/>
      <right style="medium">
        <color indexed="64"/>
      </right>
      <top style="medium">
        <color indexed="64"/>
      </top>
      <bottom/>
      <diagonal/>
    </border>
    <border>
      <left/>
      <right/>
      <top style="medium">
        <color auto="1"/>
      </top>
      <bottom style="mediumDashDot">
        <color rgb="FFFF0000"/>
      </bottom>
      <diagonal/>
    </border>
    <border>
      <left style="medium">
        <color indexed="64"/>
      </left>
      <right/>
      <top style="medium">
        <color indexed="64"/>
      </top>
      <bottom/>
      <diagonal/>
    </border>
    <border>
      <left style="thin">
        <color indexed="64"/>
      </left>
      <right style="thin">
        <color rgb="FF000099"/>
      </right>
      <top style="thin">
        <color rgb="FF000099"/>
      </top>
      <bottom/>
      <diagonal/>
    </border>
    <border>
      <left style="hair">
        <color indexed="64"/>
      </left>
      <right style="hair">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style="thin">
        <color rgb="FF002060"/>
      </right>
      <top style="thin">
        <color rgb="FF002060"/>
      </top>
      <bottom style="thin">
        <color rgb="FF002060"/>
      </bottom>
      <diagonal/>
    </border>
    <border>
      <left/>
      <right/>
      <top style="thin">
        <color rgb="FF002060"/>
      </top>
      <bottom style="thin">
        <color rgb="FF002060"/>
      </bottom>
      <diagonal/>
    </border>
    <border>
      <left style="thin">
        <color rgb="FF002060"/>
      </left>
      <right/>
      <top style="thin">
        <color rgb="FF002060"/>
      </top>
      <bottom style="thin">
        <color rgb="FF002060"/>
      </bottom>
      <diagonal/>
    </border>
    <border>
      <left/>
      <right style="double">
        <color auto="1"/>
      </right>
      <top/>
      <bottom style="double">
        <color auto="1"/>
      </bottom>
      <diagonal/>
    </border>
    <border>
      <left style="double">
        <color auto="1"/>
      </left>
      <right/>
      <top/>
      <bottom style="double">
        <color auto="1"/>
      </bottom>
      <diagonal/>
    </border>
    <border>
      <left/>
      <right style="double">
        <color auto="1"/>
      </right>
      <top style="thin">
        <color indexed="64"/>
      </top>
      <bottom/>
      <diagonal/>
    </border>
    <border>
      <left style="double">
        <color auto="1"/>
      </left>
      <right/>
      <top style="thin">
        <color indexed="64"/>
      </top>
      <bottom/>
      <diagonal/>
    </border>
    <border>
      <left/>
      <right style="double">
        <color auto="1"/>
      </right>
      <top/>
      <bottom style="thin">
        <color auto="1"/>
      </bottom>
      <diagonal/>
    </border>
    <border>
      <left style="double">
        <color auto="1"/>
      </left>
      <right/>
      <top/>
      <bottom style="thin">
        <color auto="1"/>
      </bottom>
      <diagonal/>
    </border>
    <border>
      <left style="double">
        <color auto="1"/>
      </left>
      <right/>
      <top style="thin">
        <color indexed="64"/>
      </top>
      <bottom style="thin">
        <color indexed="64"/>
      </bottom>
      <diagonal/>
    </border>
    <border>
      <left/>
      <right/>
      <top style="thin">
        <color auto="1"/>
      </top>
      <bottom style="double">
        <color auto="1"/>
      </bottom>
      <diagonal/>
    </border>
    <border>
      <left/>
      <right style="thin">
        <color indexed="64"/>
      </right>
      <top style="double">
        <color auto="1"/>
      </top>
      <bottom style="thin">
        <color indexed="64"/>
      </bottom>
      <diagonal/>
    </border>
    <border>
      <left/>
      <right/>
      <top style="double">
        <color auto="1"/>
      </top>
      <bottom style="thin">
        <color indexed="64"/>
      </bottom>
      <diagonal/>
    </border>
    <border>
      <left style="double">
        <color auto="1"/>
      </left>
      <right/>
      <top style="double">
        <color auto="1"/>
      </top>
      <bottom style="thin">
        <color indexed="64"/>
      </bottom>
      <diagonal/>
    </border>
    <border>
      <left/>
      <right style="thin">
        <color indexed="64"/>
      </right>
      <top style="double">
        <color auto="1"/>
      </top>
      <bottom style="double">
        <color auto="1"/>
      </bottom>
      <diagonal/>
    </border>
    <border>
      <left/>
      <right style="double">
        <color auto="1"/>
      </right>
      <top style="double">
        <color auto="1"/>
      </top>
      <bottom style="thin">
        <color indexed="64"/>
      </bottom>
      <diagonal/>
    </border>
    <border>
      <left style="thin">
        <color indexed="64"/>
      </left>
      <right/>
      <top style="double">
        <color auto="1"/>
      </top>
      <bottom style="thin">
        <color indexed="64"/>
      </bottom>
      <diagonal/>
    </border>
    <border>
      <left/>
      <right style="double">
        <color auto="1"/>
      </right>
      <top/>
      <bottom/>
      <diagonal/>
    </border>
    <border>
      <left style="thin">
        <color auto="1"/>
      </left>
      <right/>
      <top style="double">
        <color auto="1"/>
      </top>
      <bottom style="double">
        <color auto="1"/>
      </bottom>
      <diagonal/>
    </border>
    <border>
      <left/>
      <right style="thick">
        <color rgb="FF002060"/>
      </right>
      <top/>
      <bottom style="thick">
        <color rgb="FF002060"/>
      </bottom>
      <diagonal/>
    </border>
    <border>
      <left/>
      <right/>
      <top/>
      <bottom style="thick">
        <color rgb="FF002060"/>
      </bottom>
      <diagonal/>
    </border>
    <border>
      <left style="thick">
        <color rgb="FF002060"/>
      </left>
      <right/>
      <top/>
      <bottom style="thick">
        <color rgb="FF002060"/>
      </bottom>
      <diagonal/>
    </border>
    <border>
      <left style="thin">
        <color auto="1"/>
      </left>
      <right style="thick">
        <color rgb="FF002060"/>
      </right>
      <top style="thin">
        <color auto="1"/>
      </top>
      <bottom style="thin">
        <color auto="1"/>
      </bottom>
      <diagonal/>
    </border>
    <border>
      <left style="thick">
        <color rgb="FF002060"/>
      </left>
      <right/>
      <top/>
      <bottom/>
      <diagonal/>
    </border>
    <border>
      <left/>
      <right style="thick">
        <color rgb="FF002060"/>
      </right>
      <top/>
      <bottom/>
      <diagonal/>
    </border>
    <border>
      <left style="thick">
        <color rgb="FF002060"/>
      </left>
      <right/>
      <top style="thin">
        <color indexed="64"/>
      </top>
      <bottom style="thin">
        <color indexed="64"/>
      </bottom>
      <diagonal/>
    </border>
    <border>
      <left/>
      <right style="thick">
        <color rgb="FF002060"/>
      </right>
      <top style="thin">
        <color indexed="64"/>
      </top>
      <bottom style="thin">
        <color indexed="64"/>
      </bottom>
      <diagonal/>
    </border>
    <border>
      <left/>
      <right style="thick">
        <color rgb="FF002060"/>
      </right>
      <top style="thick">
        <color rgb="FF002060"/>
      </top>
      <bottom/>
      <diagonal/>
    </border>
    <border>
      <left/>
      <right/>
      <top style="thick">
        <color rgb="FF002060"/>
      </top>
      <bottom/>
      <diagonal/>
    </border>
    <border>
      <left style="thick">
        <color rgb="FF002060"/>
      </left>
      <right/>
      <top style="thick">
        <color rgb="FF002060"/>
      </top>
      <bottom/>
      <diagonal/>
    </border>
    <border>
      <left/>
      <right style="thin">
        <color auto="1"/>
      </right>
      <top style="medium">
        <color auto="1"/>
      </top>
      <bottom style="hair">
        <color indexed="64"/>
      </bottom>
      <diagonal/>
    </border>
    <border>
      <left/>
      <right/>
      <top style="medium">
        <color auto="1"/>
      </top>
      <bottom style="hair">
        <color indexed="64"/>
      </bottom>
      <diagonal/>
    </border>
    <border>
      <left style="thin">
        <color auto="1"/>
      </left>
      <right/>
      <top style="medium">
        <color indexed="64"/>
      </top>
      <bottom style="hair">
        <color indexed="64"/>
      </bottom>
      <diagonal/>
    </border>
    <border>
      <left style="thin">
        <color auto="1"/>
      </left>
      <right style="medium">
        <color auto="1"/>
      </right>
      <top style="thin">
        <color auto="1"/>
      </top>
      <bottom style="medium">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auto="1"/>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s>
  <cellStyleXfs count="8">
    <xf numFmtId="0" fontId="0" fillId="0" borderId="0">
      <alignment vertical="center"/>
    </xf>
    <xf numFmtId="0" fontId="29" fillId="0" borderId="0" applyNumberFormat="0" applyFill="0" applyBorder="0" applyAlignment="0" applyProtection="0">
      <alignment vertical="center"/>
    </xf>
    <xf numFmtId="0" fontId="153" fillId="0" borderId="0">
      <alignment vertical="center"/>
    </xf>
    <xf numFmtId="0" fontId="154" fillId="0" borderId="0"/>
    <xf numFmtId="0" fontId="174" fillId="0" borderId="0">
      <alignment vertical="center"/>
    </xf>
    <xf numFmtId="0" fontId="154" fillId="0" borderId="0">
      <alignment vertical="center"/>
    </xf>
    <xf numFmtId="0" fontId="189" fillId="0" borderId="0">
      <alignment vertical="center"/>
    </xf>
    <xf numFmtId="0" fontId="251" fillId="0" borderId="0" applyNumberFormat="0" applyFill="0" applyBorder="0" applyAlignment="0" applyProtection="0">
      <alignment vertical="top"/>
      <protection locked="0"/>
    </xf>
  </cellStyleXfs>
  <cellXfs count="4002">
    <xf numFmtId="0" fontId="0" fillId="0" borderId="0" xfId="0">
      <alignment vertical="center"/>
    </xf>
    <xf numFmtId="0" fontId="2" fillId="2" borderId="0" xfId="0" applyFont="1" applyFill="1" applyAlignment="1" applyProtection="1">
      <alignment horizontal="center" vertical="center"/>
      <protection hidden="1"/>
    </xf>
    <xf numFmtId="0" fontId="3" fillId="3" borderId="0" xfId="0" applyFont="1" applyFill="1" applyProtection="1">
      <alignment vertical="center"/>
      <protection hidden="1"/>
    </xf>
    <xf numFmtId="0" fontId="2" fillId="4" borderId="0" xfId="0" applyFont="1" applyFill="1" applyAlignment="1" applyProtection="1">
      <alignment horizontal="center" vertical="center"/>
      <protection hidden="1"/>
    </xf>
    <xf numFmtId="0" fontId="2" fillId="5" borderId="0" xfId="0" applyFont="1" applyFill="1" applyBorder="1" applyAlignment="1" applyProtection="1">
      <alignment horizontal="center" vertical="center"/>
      <protection hidden="1"/>
    </xf>
    <xf numFmtId="0" fontId="4" fillId="5" borderId="0" xfId="0" applyFont="1" applyFill="1" applyBorder="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5" xfId="0" applyFont="1" applyFill="1" applyBorder="1" applyAlignment="1" applyProtection="1">
      <alignment horizontal="center" vertical="center"/>
      <protection hidden="1"/>
    </xf>
    <xf numFmtId="176" fontId="2" fillId="7" borderId="0" xfId="0" applyNumberFormat="1" applyFont="1" applyFill="1" applyBorder="1" applyAlignment="1" applyProtection="1">
      <alignment vertical="center"/>
      <protection hidden="1"/>
    </xf>
    <xf numFmtId="0" fontId="11" fillId="7" borderId="0" xfId="0" applyFont="1" applyFill="1" applyBorder="1" applyAlignment="1" applyProtection="1">
      <alignment horizontal="center" vertical="center"/>
      <protection hidden="1"/>
    </xf>
    <xf numFmtId="0" fontId="11" fillId="12" borderId="15" xfId="0" applyFont="1" applyFill="1" applyBorder="1" applyAlignment="1" applyProtection="1">
      <alignment horizontal="center" vertical="center" shrinkToFit="1"/>
      <protection hidden="1"/>
    </xf>
    <xf numFmtId="0" fontId="11" fillId="13" borderId="3" xfId="0" applyFont="1" applyFill="1" applyBorder="1" applyAlignment="1" applyProtection="1">
      <alignment horizontal="center" vertical="center" shrinkToFit="1"/>
      <protection locked="0"/>
    </xf>
    <xf numFmtId="0" fontId="11" fillId="13" borderId="15" xfId="0" applyFont="1" applyFill="1" applyBorder="1" applyAlignment="1" applyProtection="1">
      <alignment vertical="center" shrinkToFit="1"/>
      <protection locked="0"/>
    </xf>
    <xf numFmtId="0" fontId="11" fillId="2" borderId="0" xfId="0" applyFont="1" applyFill="1" applyAlignment="1" applyProtection="1">
      <alignment horizontal="center" vertical="center"/>
      <protection hidden="1"/>
    </xf>
    <xf numFmtId="9" fontId="11" fillId="2" borderId="17" xfId="0" applyNumberFormat="1" applyFont="1" applyFill="1" applyBorder="1" applyAlignment="1" applyProtection="1">
      <alignment vertical="center" shrinkToFit="1"/>
      <protection hidden="1"/>
    </xf>
    <xf numFmtId="0" fontId="19" fillId="5" borderId="0" xfId="0" applyFont="1" applyFill="1" applyBorder="1" applyAlignment="1" applyProtection="1">
      <alignment horizontal="left" vertical="top"/>
      <protection hidden="1"/>
    </xf>
    <xf numFmtId="0" fontId="11" fillId="12" borderId="21" xfId="0" applyFont="1" applyFill="1" applyBorder="1" applyAlignment="1" applyProtection="1">
      <alignment horizontal="center" vertical="center" shrinkToFit="1"/>
      <protection hidden="1"/>
    </xf>
    <xf numFmtId="0" fontId="11" fillId="15" borderId="21" xfId="0" applyFont="1" applyFill="1" applyBorder="1" applyAlignment="1" applyProtection="1">
      <alignment horizontal="center" vertical="center" shrinkToFit="1"/>
      <protection hidden="1"/>
    </xf>
    <xf numFmtId="0" fontId="11" fillId="11" borderId="21" xfId="0" applyFont="1" applyFill="1" applyBorder="1" applyAlignment="1" applyProtection="1">
      <alignment horizontal="center" vertical="center" shrinkToFit="1"/>
      <protection hidden="1"/>
    </xf>
    <xf numFmtId="0" fontId="17" fillId="15" borderId="21" xfId="0" applyFont="1" applyFill="1" applyBorder="1" applyAlignment="1" applyProtection="1">
      <alignment horizontal="center" vertical="center" shrinkToFit="1"/>
      <protection hidden="1"/>
    </xf>
    <xf numFmtId="0" fontId="17" fillId="11" borderId="21" xfId="0" applyFont="1" applyFill="1" applyBorder="1" applyAlignment="1" applyProtection="1">
      <alignment horizontal="center" vertical="center" shrinkToFit="1"/>
      <protection hidden="1"/>
    </xf>
    <xf numFmtId="0" fontId="11" fillId="13" borderId="21" xfId="0" applyFont="1" applyFill="1" applyBorder="1" applyAlignment="1" applyProtection="1">
      <alignment horizontal="center" vertical="center" shrinkToFit="1"/>
      <protection locked="0"/>
    </xf>
    <xf numFmtId="0" fontId="11" fillId="13" borderId="21" xfId="0" applyFont="1" applyFill="1" applyBorder="1" applyAlignment="1" applyProtection="1">
      <alignment vertical="center" shrinkToFit="1"/>
      <protection locked="0"/>
    </xf>
    <xf numFmtId="0" fontId="23" fillId="5" borderId="0" xfId="0" applyFont="1" applyFill="1" applyBorder="1" applyAlignment="1" applyProtection="1">
      <alignment vertical="center" shrinkToFit="1"/>
      <protection hidden="1"/>
    </xf>
    <xf numFmtId="49" fontId="12" fillId="11" borderId="13" xfId="0" applyNumberFormat="1" applyFont="1" applyFill="1" applyBorder="1" applyAlignment="1" applyProtection="1">
      <alignment horizontal="left" vertical="center" shrinkToFit="1"/>
      <protection hidden="1"/>
    </xf>
    <xf numFmtId="0" fontId="11" fillId="18" borderId="12" xfId="0" applyFont="1" applyFill="1" applyBorder="1" applyAlignment="1" applyProtection="1">
      <alignment horizontal="center" vertical="center" shrinkToFit="1"/>
      <protection hidden="1"/>
    </xf>
    <xf numFmtId="176" fontId="11" fillId="3" borderId="12" xfId="0" applyNumberFormat="1" applyFont="1" applyFill="1" applyBorder="1" applyAlignment="1" applyProtection="1">
      <alignment horizontal="center" vertical="center" shrinkToFit="1"/>
      <protection locked="0"/>
    </xf>
    <xf numFmtId="176" fontId="11" fillId="18" borderId="12" xfId="0" applyNumberFormat="1" applyFont="1" applyFill="1" applyBorder="1" applyAlignment="1" applyProtection="1">
      <alignment horizontal="center" vertical="center"/>
      <protection locked="0"/>
    </xf>
    <xf numFmtId="176" fontId="11" fillId="18" borderId="12" xfId="0" applyNumberFormat="1" applyFont="1" applyFill="1" applyBorder="1" applyAlignment="1" applyProtection="1">
      <alignment horizontal="center" vertical="center" shrinkToFit="1"/>
      <protection locked="0"/>
    </xf>
    <xf numFmtId="0" fontId="11" fillId="18" borderId="12" xfId="0" applyNumberFormat="1" applyFont="1" applyFill="1" applyBorder="1" applyAlignment="1" applyProtection="1">
      <alignment horizontal="center" vertical="center" shrinkToFit="1"/>
      <protection locked="0"/>
    </xf>
    <xf numFmtId="0" fontId="11" fillId="3" borderId="12" xfId="0" applyNumberFormat="1" applyFont="1" applyFill="1" applyBorder="1" applyAlignment="1" applyProtection="1">
      <alignment horizontal="center" vertical="center" shrinkToFit="1"/>
      <protection locked="0"/>
    </xf>
    <xf numFmtId="0" fontId="17" fillId="3" borderId="12" xfId="0" applyNumberFormat="1" applyFont="1" applyFill="1" applyBorder="1" applyAlignment="1" applyProtection="1">
      <alignment horizontal="center" vertical="center" shrinkToFit="1"/>
      <protection locked="0"/>
    </xf>
    <xf numFmtId="49" fontId="24" fillId="11" borderId="13" xfId="0" applyNumberFormat="1" applyFont="1" applyFill="1" applyBorder="1" applyAlignment="1" applyProtection="1">
      <alignment horizontal="left" vertical="center" shrinkToFit="1"/>
      <protection hidden="1"/>
    </xf>
    <xf numFmtId="0" fontId="11" fillId="7" borderId="0" xfId="0" applyFont="1" applyFill="1" applyBorder="1" applyAlignment="1" applyProtection="1">
      <alignment horizontal="right" vertical="center"/>
      <protection hidden="1"/>
    </xf>
    <xf numFmtId="0" fontId="11" fillId="7" borderId="0" xfId="0" applyFont="1" applyFill="1" applyBorder="1" applyAlignment="1" applyProtection="1">
      <alignment horizontal="left"/>
      <protection hidden="1"/>
    </xf>
    <xf numFmtId="0" fontId="11" fillId="7" borderId="0" xfId="0" applyFont="1" applyFill="1" applyBorder="1" applyAlignment="1" applyProtection="1">
      <alignment vertical="center"/>
      <protection hidden="1"/>
    </xf>
    <xf numFmtId="0" fontId="12" fillId="11" borderId="24" xfId="0" applyFont="1" applyFill="1" applyBorder="1" applyAlignment="1" applyProtection="1">
      <alignment horizontal="left" vertical="center" textRotation="180" shrinkToFit="1"/>
      <protection hidden="1"/>
    </xf>
    <xf numFmtId="0" fontId="28" fillId="5" borderId="4" xfId="0" applyFont="1" applyFill="1" applyBorder="1" applyAlignment="1" applyProtection="1">
      <alignment horizontal="center" vertical="center"/>
      <protection hidden="1"/>
    </xf>
    <xf numFmtId="0" fontId="28" fillId="5" borderId="0" xfId="0" applyFont="1" applyFill="1" applyBorder="1" applyAlignment="1" applyProtection="1">
      <alignment horizontal="center" vertical="center"/>
      <protection hidden="1"/>
    </xf>
    <xf numFmtId="0" fontId="11" fillId="3" borderId="17" xfId="0" quotePrefix="1" applyFont="1" applyFill="1" applyBorder="1" applyAlignment="1" applyProtection="1">
      <alignment horizontal="left" vertical="center"/>
      <protection hidden="1"/>
    </xf>
    <xf numFmtId="0" fontId="33" fillId="5" borderId="0" xfId="0" applyFont="1" applyFill="1" applyBorder="1" applyAlignment="1" applyProtection="1">
      <alignment horizontal="center" vertical="center"/>
      <protection hidden="1"/>
    </xf>
    <xf numFmtId="0" fontId="35" fillId="5" borderId="0" xfId="0" applyFont="1" applyFill="1" applyBorder="1" applyAlignment="1" applyProtection="1">
      <alignment horizontal="center" vertical="center"/>
      <protection hidden="1"/>
    </xf>
    <xf numFmtId="0" fontId="36" fillId="5" borderId="4" xfId="0" applyFont="1" applyFill="1" applyBorder="1" applyAlignment="1" applyProtection="1">
      <alignment horizontal="center" vertical="center"/>
      <protection hidden="1"/>
    </xf>
    <xf numFmtId="0" fontId="38" fillId="5" borderId="4" xfId="0" applyFont="1" applyFill="1" applyBorder="1" applyAlignment="1" applyProtection="1">
      <alignment horizontal="center" vertical="center"/>
      <protection hidden="1"/>
    </xf>
    <xf numFmtId="0" fontId="39" fillId="5" borderId="0" xfId="0" applyFont="1" applyFill="1" applyBorder="1" applyAlignment="1" applyProtection="1">
      <alignment vertical="center" textRotation="255" shrinkToFit="1"/>
      <protection hidden="1"/>
    </xf>
    <xf numFmtId="0" fontId="39" fillId="5" borderId="0" xfId="0" applyFont="1" applyFill="1" applyBorder="1" applyAlignment="1" applyProtection="1">
      <alignment vertical="top" shrinkToFit="1"/>
      <protection hidden="1"/>
    </xf>
    <xf numFmtId="176" fontId="39" fillId="5" borderId="29" xfId="0" applyNumberFormat="1" applyFont="1" applyFill="1" applyBorder="1" applyAlignment="1" applyProtection="1">
      <alignment vertical="top" shrinkToFit="1"/>
      <protection hidden="1"/>
    </xf>
    <xf numFmtId="0" fontId="39" fillId="5" borderId="29" xfId="0" applyFont="1" applyFill="1" applyBorder="1" applyAlignment="1" applyProtection="1">
      <alignment vertical="top" shrinkToFit="1"/>
      <protection hidden="1"/>
    </xf>
    <xf numFmtId="0" fontId="35" fillId="5" borderId="0" xfId="0" applyFont="1" applyFill="1" applyBorder="1" applyAlignment="1" applyProtection="1">
      <alignment horizontal="center" vertical="center" shrinkToFit="1"/>
      <protection hidden="1"/>
    </xf>
    <xf numFmtId="0" fontId="39" fillId="5" borderId="0" xfId="0" applyFont="1" applyFill="1" applyBorder="1" applyAlignment="1" applyProtection="1">
      <alignment vertical="center" shrinkToFit="1"/>
      <protection hidden="1"/>
    </xf>
    <xf numFmtId="0" fontId="38" fillId="5" borderId="0" xfId="0" applyFont="1" applyFill="1" applyBorder="1" applyAlignment="1" applyProtection="1">
      <alignment horizontal="center" vertical="center"/>
      <protection hidden="1"/>
    </xf>
    <xf numFmtId="0" fontId="38" fillId="5" borderId="5" xfId="0" applyFont="1" applyFill="1" applyBorder="1" applyAlignment="1" applyProtection="1">
      <alignment horizontal="center" vertical="center"/>
      <protection hidden="1"/>
    </xf>
    <xf numFmtId="49" fontId="12" fillId="11" borderId="13" xfId="0" quotePrefix="1" applyNumberFormat="1" applyFont="1" applyFill="1" applyBorder="1" applyAlignment="1" applyProtection="1">
      <alignment horizontal="left" vertical="center" shrinkToFit="1"/>
      <protection hidden="1"/>
    </xf>
    <xf numFmtId="0" fontId="12" fillId="11" borderId="13" xfId="0" quotePrefix="1" applyFont="1" applyFill="1" applyBorder="1" applyAlignment="1" applyProtection="1">
      <alignment horizontal="left" vertical="center" shrinkToFit="1"/>
      <protection hidden="1"/>
    </xf>
    <xf numFmtId="49" fontId="24" fillId="11" borderId="13" xfId="0" quotePrefix="1" applyNumberFormat="1" applyFont="1" applyFill="1" applyBorder="1" applyAlignment="1" applyProtection="1">
      <alignment horizontal="left" vertical="center" shrinkToFit="1"/>
      <protection hidden="1"/>
    </xf>
    <xf numFmtId="0" fontId="11" fillId="2" borderId="17" xfId="0" applyFont="1" applyFill="1" applyBorder="1" applyAlignment="1" applyProtection="1">
      <alignment horizontal="left" vertical="center"/>
      <protection hidden="1"/>
    </xf>
    <xf numFmtId="0" fontId="35" fillId="5" borderId="4" xfId="0" applyFont="1" applyFill="1" applyBorder="1" applyAlignment="1" applyProtection="1">
      <alignment horizontal="center" vertical="center"/>
      <protection hidden="1"/>
    </xf>
    <xf numFmtId="0" fontId="36" fillId="5" borderId="5" xfId="0" applyFont="1" applyFill="1" applyBorder="1" applyAlignment="1" applyProtection="1">
      <alignment horizontal="center" vertical="center"/>
      <protection hidden="1"/>
    </xf>
    <xf numFmtId="0" fontId="11" fillId="7" borderId="0" xfId="0" applyFont="1" applyFill="1" applyBorder="1" applyAlignment="1" applyProtection="1">
      <alignment horizontal="center" vertical="center" shrinkToFit="1"/>
      <protection hidden="1"/>
    </xf>
    <xf numFmtId="0" fontId="28" fillId="2" borderId="0" xfId="0" applyFont="1" applyFill="1" applyAlignment="1" applyProtection="1">
      <alignment horizontal="center" vertical="center"/>
      <protection hidden="1"/>
    </xf>
    <xf numFmtId="0" fontId="11" fillId="7" borderId="12" xfId="0" applyFont="1" applyFill="1" applyBorder="1" applyAlignment="1" applyProtection="1">
      <alignment horizontal="center" vertical="center"/>
      <protection hidden="1"/>
    </xf>
    <xf numFmtId="0" fontId="28" fillId="2" borderId="0" xfId="0" applyNumberFormat="1" applyFont="1" applyFill="1" applyAlignment="1" applyProtection="1">
      <alignment horizontal="center" vertical="center" shrinkToFit="1"/>
      <protection hidden="1"/>
    </xf>
    <xf numFmtId="0" fontId="35" fillId="5" borderId="4" xfId="0" applyFont="1" applyFill="1" applyBorder="1" applyAlignment="1" applyProtection="1">
      <alignment horizontal="center" vertical="center" shrinkToFit="1"/>
      <protection hidden="1"/>
    </xf>
    <xf numFmtId="0" fontId="28" fillId="5" borderId="5" xfId="0" applyFont="1" applyFill="1" applyBorder="1" applyAlignment="1" applyProtection="1">
      <alignment horizontal="center" vertical="center"/>
      <protection hidden="1"/>
    </xf>
    <xf numFmtId="185" fontId="11" fillId="7" borderId="60" xfId="0" applyNumberFormat="1" applyFont="1" applyFill="1" applyBorder="1" applyAlignment="1" applyProtection="1">
      <alignment horizontal="center" vertical="center" shrinkToFit="1"/>
      <protection hidden="1"/>
    </xf>
    <xf numFmtId="185" fontId="11" fillId="7" borderId="61" xfId="0" applyNumberFormat="1" applyFont="1" applyFill="1" applyBorder="1" applyAlignment="1" applyProtection="1">
      <alignment horizontal="center" vertical="center" shrinkToFit="1"/>
      <protection hidden="1"/>
    </xf>
    <xf numFmtId="185" fontId="11" fillId="7" borderId="63" xfId="0" applyNumberFormat="1" applyFont="1" applyFill="1" applyBorder="1" applyAlignment="1" applyProtection="1">
      <alignment horizontal="center" vertical="center" shrinkToFit="1"/>
      <protection hidden="1"/>
    </xf>
    <xf numFmtId="185" fontId="11" fillId="7" borderId="17" xfId="0" applyNumberFormat="1" applyFont="1" applyFill="1" applyBorder="1" applyAlignment="1" applyProtection="1">
      <alignment horizontal="center" vertical="center" shrinkToFit="1"/>
      <protection hidden="1"/>
    </xf>
    <xf numFmtId="176" fontId="11" fillId="7" borderId="62" xfId="0" applyNumberFormat="1" applyFont="1" applyFill="1" applyBorder="1" applyAlignment="1" applyProtection="1">
      <alignment horizontal="center" vertical="center" shrinkToFit="1"/>
      <protection hidden="1"/>
    </xf>
    <xf numFmtId="185" fontId="11" fillId="7" borderId="66" xfId="0" applyNumberFormat="1" applyFont="1" applyFill="1" applyBorder="1" applyAlignment="1" applyProtection="1">
      <alignment horizontal="center" vertical="center" shrinkToFit="1"/>
      <protection hidden="1"/>
    </xf>
    <xf numFmtId="185" fontId="11" fillId="7" borderId="67" xfId="0" applyNumberFormat="1" applyFont="1" applyFill="1" applyBorder="1" applyAlignment="1" applyProtection="1">
      <alignment horizontal="center" vertical="center" shrinkToFit="1"/>
      <protection hidden="1"/>
    </xf>
    <xf numFmtId="176" fontId="11" fillId="7" borderId="69" xfId="0" applyNumberFormat="1" applyFont="1" applyFill="1" applyBorder="1" applyAlignment="1" applyProtection="1">
      <alignment horizontal="center" vertical="center" shrinkToFit="1"/>
      <protection hidden="1"/>
    </xf>
    <xf numFmtId="0" fontId="11" fillId="18" borderId="12" xfId="0" quotePrefix="1" applyFont="1" applyFill="1" applyBorder="1" applyAlignment="1" applyProtection="1">
      <alignment horizontal="center" vertical="center" shrinkToFit="1"/>
      <protection hidden="1"/>
    </xf>
    <xf numFmtId="0" fontId="12" fillId="11" borderId="13" xfId="0" quotePrefix="1" applyNumberFormat="1" applyFont="1" applyFill="1" applyBorder="1" applyAlignment="1" applyProtection="1">
      <alignment horizontal="left" vertical="center" shrinkToFit="1"/>
      <protection hidden="1"/>
    </xf>
    <xf numFmtId="0" fontId="11" fillId="18" borderId="12" xfId="0" quotePrefix="1" applyNumberFormat="1" applyFont="1" applyFill="1" applyBorder="1" applyAlignment="1" applyProtection="1">
      <alignment horizontal="center" vertical="center" shrinkToFit="1"/>
      <protection hidden="1"/>
    </xf>
    <xf numFmtId="185" fontId="11" fillId="7" borderId="71" xfId="0" applyNumberFormat="1" applyFont="1" applyFill="1" applyBorder="1" applyAlignment="1" applyProtection="1">
      <alignment horizontal="center" vertical="center" shrinkToFit="1"/>
      <protection hidden="1"/>
    </xf>
    <xf numFmtId="185" fontId="11" fillId="7" borderId="72" xfId="0" applyNumberFormat="1" applyFont="1" applyFill="1" applyBorder="1" applyAlignment="1" applyProtection="1">
      <alignment horizontal="center" vertical="center" shrinkToFit="1"/>
      <protection hidden="1"/>
    </xf>
    <xf numFmtId="185" fontId="11" fillId="7" borderId="73" xfId="0" applyNumberFormat="1" applyFont="1" applyFill="1" applyBorder="1" applyAlignment="1" applyProtection="1">
      <alignment horizontal="center" vertical="center" shrinkToFit="1"/>
      <protection hidden="1"/>
    </xf>
    <xf numFmtId="185" fontId="11" fillId="7" borderId="74" xfId="0" applyNumberFormat="1" applyFont="1" applyFill="1" applyBorder="1" applyAlignment="1" applyProtection="1">
      <alignment horizontal="center" vertical="center" shrinkToFit="1"/>
      <protection hidden="1"/>
    </xf>
    <xf numFmtId="182" fontId="28" fillId="5" borderId="0" xfId="0" applyNumberFormat="1" applyFont="1" applyFill="1" applyBorder="1" applyAlignment="1" applyProtection="1">
      <alignment horizontal="center" vertical="center"/>
      <protection hidden="1"/>
    </xf>
    <xf numFmtId="0" fontId="28" fillId="5" borderId="35" xfId="0" applyFont="1" applyFill="1" applyBorder="1" applyAlignment="1" applyProtection="1">
      <alignment horizontal="center" vertical="center"/>
      <protection hidden="1"/>
    </xf>
    <xf numFmtId="0" fontId="32" fillId="5" borderId="35" xfId="0" quotePrefix="1" applyFont="1" applyFill="1" applyBorder="1" applyAlignment="1" applyProtection="1">
      <alignment vertical="center" shrinkToFit="1"/>
      <protection hidden="1"/>
    </xf>
    <xf numFmtId="0" fontId="32" fillId="5" borderId="35" xfId="0" applyFont="1" applyFill="1" applyBorder="1" applyAlignment="1" applyProtection="1">
      <alignment vertical="center" shrinkToFit="1"/>
      <protection hidden="1"/>
    </xf>
    <xf numFmtId="185" fontId="11" fillId="7" borderId="14" xfId="0" applyNumberFormat="1" applyFont="1" applyFill="1" applyBorder="1" applyAlignment="1" applyProtection="1">
      <alignment horizontal="center" vertical="center" shrinkToFit="1"/>
      <protection hidden="1"/>
    </xf>
    <xf numFmtId="185" fontId="11" fillId="7" borderId="12" xfId="0" applyNumberFormat="1" applyFont="1" applyFill="1" applyBorder="1" applyAlignment="1" applyProtection="1">
      <alignment horizontal="center" vertical="center" shrinkToFit="1"/>
      <protection hidden="1"/>
    </xf>
    <xf numFmtId="176" fontId="11" fillId="7" borderId="12" xfId="0" applyNumberFormat="1" applyFont="1" applyFill="1" applyBorder="1" applyAlignment="1" applyProtection="1">
      <alignment horizontal="center" vertical="center" shrinkToFit="1"/>
      <protection hidden="1"/>
    </xf>
    <xf numFmtId="0" fontId="19" fillId="5" borderId="0" xfId="0" applyFont="1" applyFill="1" applyBorder="1" applyAlignment="1" applyProtection="1">
      <alignment horizontal="center" vertical="center"/>
      <protection hidden="1"/>
    </xf>
    <xf numFmtId="0" fontId="47" fillId="5" borderId="0" xfId="0" applyFont="1" applyFill="1" applyBorder="1" applyAlignment="1" applyProtection="1">
      <alignment horizontal="center" vertical="center"/>
      <protection hidden="1"/>
    </xf>
    <xf numFmtId="0" fontId="48" fillId="5" borderId="0" xfId="0" applyFont="1" applyFill="1" applyBorder="1" applyAlignment="1" applyProtection="1">
      <alignment horizontal="center" vertical="center"/>
      <protection hidden="1"/>
    </xf>
    <xf numFmtId="0" fontId="11" fillId="7" borderId="63" xfId="0" applyFont="1" applyFill="1" applyBorder="1" applyAlignment="1" applyProtection="1">
      <alignment horizontal="center" vertical="center" shrinkToFit="1"/>
      <protection hidden="1"/>
    </xf>
    <xf numFmtId="0" fontId="11" fillId="3" borderId="0" xfId="0" applyFont="1" applyFill="1" applyProtection="1">
      <alignment vertical="center"/>
      <protection hidden="1"/>
    </xf>
    <xf numFmtId="0" fontId="2" fillId="25" borderId="4" xfId="0" applyFont="1" applyFill="1" applyBorder="1" applyAlignment="1" applyProtection="1">
      <alignment horizontal="center" vertical="center"/>
      <protection hidden="1"/>
    </xf>
    <xf numFmtId="0" fontId="2" fillId="25" borderId="0" xfId="0" applyFont="1" applyFill="1" applyBorder="1" applyAlignment="1" applyProtection="1">
      <alignment horizontal="center" vertical="center"/>
      <protection hidden="1"/>
    </xf>
    <xf numFmtId="0" fontId="54" fillId="3" borderId="0" xfId="0" applyFont="1" applyFill="1" applyProtection="1">
      <alignment vertical="center"/>
      <protection hidden="1"/>
    </xf>
    <xf numFmtId="0" fontId="12" fillId="11" borderId="12" xfId="0" applyFont="1" applyFill="1" applyBorder="1" applyAlignment="1" applyProtection="1">
      <alignment vertical="center" shrinkToFit="1"/>
      <protection hidden="1"/>
    </xf>
    <xf numFmtId="0" fontId="54" fillId="3" borderId="16" xfId="0" applyFont="1" applyFill="1" applyBorder="1" applyProtection="1">
      <alignment vertical="center"/>
      <protection hidden="1"/>
    </xf>
    <xf numFmtId="0" fontId="54" fillId="3" borderId="14" xfId="0" applyFont="1" applyFill="1" applyBorder="1" applyProtection="1">
      <alignment vertical="center"/>
      <protection hidden="1"/>
    </xf>
    <xf numFmtId="0" fontId="12" fillId="11" borderId="0" xfId="0" applyFont="1" applyFill="1" applyBorder="1" applyAlignment="1" applyProtection="1">
      <alignment horizontal="left" vertical="center"/>
      <protection hidden="1"/>
    </xf>
    <xf numFmtId="185" fontId="11" fillId="7" borderId="0" xfId="0" applyNumberFormat="1" applyFont="1" applyFill="1" applyBorder="1" applyAlignment="1" applyProtection="1">
      <alignment vertical="center"/>
      <protection hidden="1"/>
    </xf>
    <xf numFmtId="0" fontId="11" fillId="2" borderId="0" xfId="0" applyFont="1" applyFill="1" applyBorder="1" applyAlignment="1" applyProtection="1">
      <alignment horizontal="center" vertical="center"/>
      <protection hidden="1"/>
    </xf>
    <xf numFmtId="0" fontId="12" fillId="26" borderId="2" xfId="0" applyFont="1" applyFill="1" applyBorder="1" applyAlignment="1" applyProtection="1">
      <alignment vertical="center" shrinkToFit="1"/>
      <protection hidden="1"/>
    </xf>
    <xf numFmtId="0" fontId="12" fillId="17" borderId="2" xfId="0" applyFont="1" applyFill="1" applyBorder="1" applyAlignment="1" applyProtection="1">
      <alignment horizontal="left" vertical="center"/>
      <protection hidden="1"/>
    </xf>
    <xf numFmtId="0" fontId="12" fillId="17" borderId="0" xfId="0" applyFont="1" applyFill="1" applyBorder="1" applyAlignment="1" applyProtection="1">
      <alignment horizontal="left" vertical="center"/>
      <protection hidden="1"/>
    </xf>
    <xf numFmtId="0" fontId="54" fillId="3" borderId="0" xfId="0" applyFont="1" applyFill="1" applyBorder="1" applyProtection="1">
      <alignment vertical="center"/>
      <protection hidden="1"/>
    </xf>
    <xf numFmtId="49" fontId="11" fillId="7" borderId="0" xfId="0" applyNumberFormat="1" applyFont="1" applyFill="1" applyBorder="1" applyAlignment="1" applyProtection="1">
      <alignment vertical="center" shrinkToFit="1"/>
      <protection hidden="1"/>
    </xf>
    <xf numFmtId="185" fontId="11" fillId="7" borderId="11" xfId="0" applyNumberFormat="1" applyFont="1" applyFill="1" applyBorder="1" applyAlignment="1" applyProtection="1">
      <alignment vertical="center"/>
      <protection hidden="1"/>
    </xf>
    <xf numFmtId="0" fontId="11" fillId="7" borderId="11" xfId="0" applyFont="1" applyFill="1" applyBorder="1" applyAlignment="1" applyProtection="1">
      <alignment vertical="center"/>
      <protection hidden="1"/>
    </xf>
    <xf numFmtId="0" fontId="12" fillId="26" borderId="0" xfId="0" applyFont="1" applyFill="1" applyBorder="1" applyAlignment="1" applyProtection="1">
      <alignment vertical="center" shrinkToFit="1"/>
      <protection hidden="1"/>
    </xf>
    <xf numFmtId="0" fontId="11" fillId="7" borderId="12" xfId="0" applyFont="1" applyFill="1" applyBorder="1" applyAlignment="1" applyProtection="1">
      <alignment vertical="center" shrinkToFit="1"/>
      <protection hidden="1"/>
    </xf>
    <xf numFmtId="0" fontId="11" fillId="7" borderId="1" xfId="0" applyFont="1" applyFill="1" applyBorder="1" applyAlignment="1" applyProtection="1">
      <alignment vertical="center" shrinkToFit="1"/>
      <protection hidden="1"/>
    </xf>
    <xf numFmtId="0" fontId="53" fillId="2" borderId="41" xfId="0" applyFont="1" applyFill="1" applyBorder="1" applyAlignment="1" applyProtection="1">
      <alignment horizontal="centerContinuous" vertical="center"/>
      <protection hidden="1"/>
    </xf>
    <xf numFmtId="0" fontId="53" fillId="2" borderId="42" xfId="0" applyFont="1" applyFill="1" applyBorder="1" applyAlignment="1" applyProtection="1">
      <alignment horizontal="centerContinuous" vertical="center"/>
      <protection hidden="1"/>
    </xf>
    <xf numFmtId="0" fontId="53" fillId="2" borderId="43" xfId="0" applyFont="1" applyFill="1" applyBorder="1" applyAlignment="1" applyProtection="1">
      <alignment horizontal="centerContinuous" vertical="center" shrinkToFit="1"/>
      <protection hidden="1"/>
    </xf>
    <xf numFmtId="0" fontId="11" fillId="7" borderId="0" xfId="0" applyFont="1" applyFill="1" applyBorder="1" applyAlignment="1" applyProtection="1">
      <alignment vertical="center" shrinkToFit="1"/>
      <protection hidden="1"/>
    </xf>
    <xf numFmtId="0" fontId="11" fillId="7" borderId="12" xfId="0" quotePrefix="1" applyFont="1" applyFill="1" applyBorder="1" applyAlignment="1" applyProtection="1">
      <alignment horizontal="center" vertical="center" shrinkToFit="1"/>
      <protection hidden="1"/>
    </xf>
    <xf numFmtId="0" fontId="37" fillId="4" borderId="48" xfId="0" applyFont="1" applyFill="1" applyBorder="1" applyAlignment="1" applyProtection="1">
      <alignment vertical="center" shrinkToFit="1"/>
      <protection hidden="1"/>
    </xf>
    <xf numFmtId="0" fontId="37" fillId="2" borderId="35" xfId="0" applyFont="1" applyFill="1" applyBorder="1" applyAlignment="1" applyProtection="1">
      <alignment vertical="center" textRotation="255" shrinkToFit="1"/>
      <protection hidden="1"/>
    </xf>
    <xf numFmtId="0" fontId="37" fillId="2" borderId="37" xfId="0" applyFont="1" applyFill="1" applyBorder="1" applyAlignment="1" applyProtection="1">
      <alignment vertical="center" textRotation="255" shrinkToFit="1"/>
      <protection hidden="1"/>
    </xf>
    <xf numFmtId="0" fontId="37" fillId="2" borderId="0" xfId="0" applyFont="1" applyFill="1" applyBorder="1" applyAlignment="1" applyProtection="1">
      <alignment vertical="center" textRotation="255" shrinkToFit="1"/>
      <protection hidden="1"/>
    </xf>
    <xf numFmtId="0" fontId="37" fillId="2" borderId="36" xfId="0" applyFont="1" applyFill="1" applyBorder="1" applyAlignment="1" applyProtection="1">
      <alignment vertical="center" textRotation="255" shrinkToFit="1"/>
      <protection hidden="1"/>
    </xf>
    <xf numFmtId="0" fontId="37" fillId="2" borderId="0" xfId="0" applyFont="1" applyFill="1" applyBorder="1" applyAlignment="1" applyProtection="1">
      <alignment vertical="center" shrinkToFit="1"/>
      <protection hidden="1"/>
    </xf>
    <xf numFmtId="0" fontId="37" fillId="2" borderId="29" xfId="0" applyFont="1" applyFill="1" applyBorder="1" applyAlignment="1" applyProtection="1">
      <alignment vertical="center" shrinkToFit="1"/>
      <protection hidden="1"/>
    </xf>
    <xf numFmtId="0" fontId="37" fillId="2" borderId="38" xfId="0" applyFont="1" applyFill="1" applyBorder="1" applyAlignment="1" applyProtection="1">
      <alignment vertical="center" textRotation="255" shrinkToFit="1"/>
      <protection hidden="1"/>
    </xf>
    <xf numFmtId="0" fontId="37" fillId="2" borderId="29" xfId="0" applyFont="1" applyFill="1" applyBorder="1" applyAlignment="1" applyProtection="1">
      <alignment vertical="center" textRotation="255" shrinkToFit="1"/>
      <protection hidden="1"/>
    </xf>
    <xf numFmtId="0" fontId="37" fillId="2" borderId="47" xfId="0" applyFont="1" applyFill="1" applyBorder="1" applyAlignment="1" applyProtection="1">
      <alignment vertical="center" textRotation="255" shrinkToFit="1"/>
      <protection hidden="1"/>
    </xf>
    <xf numFmtId="0" fontId="11" fillId="7" borderId="0" xfId="0" applyFont="1" applyFill="1" applyBorder="1" applyAlignment="1" applyProtection="1">
      <alignment vertical="center" wrapText="1" shrinkToFit="1"/>
      <protection hidden="1"/>
    </xf>
    <xf numFmtId="0" fontId="11" fillId="7" borderId="4" xfId="0" applyFont="1" applyFill="1" applyBorder="1" applyAlignment="1" applyProtection="1">
      <alignment vertical="center" shrinkToFit="1"/>
      <protection hidden="1"/>
    </xf>
    <xf numFmtId="0" fontId="12" fillId="7" borderId="0" xfId="0" applyFont="1" applyFill="1" applyBorder="1" applyAlignment="1" applyProtection="1">
      <alignment horizontal="center" vertical="center" shrinkToFit="1"/>
      <protection hidden="1"/>
    </xf>
    <xf numFmtId="0" fontId="66" fillId="25" borderId="4" xfId="0" applyFont="1" applyFill="1" applyBorder="1" applyAlignment="1" applyProtection="1">
      <alignment horizontal="center" vertical="center"/>
      <protection hidden="1"/>
    </xf>
    <xf numFmtId="0" fontId="66" fillId="25" borderId="0" xfId="0" applyFont="1" applyFill="1" applyBorder="1" applyAlignment="1" applyProtection="1">
      <alignment horizontal="center" vertical="center"/>
      <protection hidden="1"/>
    </xf>
    <xf numFmtId="0" fontId="38" fillId="5" borderId="0" xfId="0" applyFont="1" applyFill="1" applyBorder="1" applyAlignment="1" applyProtection="1">
      <alignment vertical="center" wrapText="1"/>
      <protection hidden="1"/>
    </xf>
    <xf numFmtId="0" fontId="11" fillId="7" borderId="12" xfId="0" quotePrefix="1" applyFont="1" applyFill="1" applyBorder="1" applyAlignment="1" applyProtection="1">
      <alignment horizontal="center" vertical="center"/>
      <protection hidden="1"/>
    </xf>
    <xf numFmtId="0" fontId="11" fillId="7" borderId="21" xfId="0" applyFont="1" applyFill="1" applyBorder="1" applyAlignment="1" applyProtection="1">
      <alignment horizontal="center" vertical="center"/>
      <protection hidden="1"/>
    </xf>
    <xf numFmtId="0" fontId="12" fillId="11" borderId="0" xfId="0" applyFont="1" applyFill="1" applyBorder="1" applyAlignment="1" applyProtection="1">
      <alignment vertical="center" shrinkToFit="1"/>
      <protection hidden="1"/>
    </xf>
    <xf numFmtId="0" fontId="53" fillId="2" borderId="0" xfId="0" applyFont="1" applyFill="1" applyAlignment="1" applyProtection="1">
      <alignment horizontal="center"/>
      <protection hidden="1"/>
    </xf>
    <xf numFmtId="0" fontId="53" fillId="7" borderId="0" xfId="0" applyFont="1" applyFill="1" applyBorder="1" applyAlignment="1" applyProtection="1">
      <alignment vertical="center"/>
      <protection hidden="1"/>
    </xf>
    <xf numFmtId="0" fontId="53" fillId="7" borderId="12" xfId="0" applyFont="1" applyFill="1" applyBorder="1" applyAlignment="1" applyProtection="1">
      <alignment horizontal="center" vertical="center"/>
      <protection hidden="1"/>
    </xf>
    <xf numFmtId="0" fontId="12" fillId="17" borderId="0" xfId="0" applyFont="1" applyFill="1" applyBorder="1" applyAlignment="1" applyProtection="1">
      <alignment horizontal="left" vertical="center" shrinkToFit="1"/>
      <protection hidden="1"/>
    </xf>
    <xf numFmtId="0" fontId="53" fillId="2" borderId="12" xfId="0" applyFont="1" applyFill="1" applyBorder="1" applyAlignment="1" applyProtection="1">
      <alignment horizontal="left" vertical="center" shrinkToFit="1"/>
      <protection hidden="1"/>
    </xf>
    <xf numFmtId="0" fontId="11" fillId="2" borderId="19" xfId="0" quotePrefix="1" applyFont="1" applyFill="1" applyBorder="1" applyAlignment="1" applyProtection="1">
      <alignment vertical="center" shrinkToFit="1"/>
      <protection hidden="1"/>
    </xf>
    <xf numFmtId="0" fontId="11" fillId="2" borderId="11" xfId="0" quotePrefix="1" applyFont="1" applyFill="1" applyBorder="1" applyAlignment="1" applyProtection="1">
      <alignment horizontal="center" vertical="center" shrinkToFit="1"/>
      <protection hidden="1"/>
    </xf>
    <xf numFmtId="0" fontId="11" fillId="2" borderId="0" xfId="0" applyFont="1" applyFill="1" applyAlignment="1" applyProtection="1">
      <alignment horizontal="center"/>
      <protection hidden="1"/>
    </xf>
    <xf numFmtId="9" fontId="24" fillId="0" borderId="0" xfId="0" applyNumberFormat="1" applyFont="1" applyFill="1" applyAlignment="1">
      <alignment horizontal="center" shrinkToFit="1"/>
    </xf>
    <xf numFmtId="0" fontId="11" fillId="2" borderId="12" xfId="0" applyFont="1" applyFill="1" applyBorder="1" applyAlignment="1" applyProtection="1">
      <alignment horizontal="left" vertical="center" shrinkToFit="1"/>
      <protection hidden="1"/>
    </xf>
    <xf numFmtId="0" fontId="11" fillId="2" borderId="12" xfId="0" applyFont="1" applyFill="1" applyBorder="1" applyAlignment="1" applyProtection="1">
      <alignment horizontal="center" vertical="center"/>
      <protection hidden="1"/>
    </xf>
    <xf numFmtId="176" fontId="11" fillId="0" borderId="12" xfId="0" applyNumberFormat="1" applyFont="1" applyFill="1" applyBorder="1" applyAlignment="1">
      <alignment horizontal="right" vertical="center" shrinkToFit="1"/>
    </xf>
    <xf numFmtId="0" fontId="4" fillId="5" borderId="5" xfId="0" applyFont="1" applyFill="1" applyBorder="1" applyAlignment="1" applyProtection="1">
      <alignment vertical="center" wrapText="1"/>
      <protection hidden="1"/>
    </xf>
    <xf numFmtId="0" fontId="2" fillId="7" borderId="0" xfId="0" applyFont="1" applyFill="1" applyBorder="1" applyAlignment="1" applyProtection="1">
      <alignment vertical="center"/>
      <protection hidden="1"/>
    </xf>
    <xf numFmtId="0" fontId="12" fillId="2" borderId="12" xfId="0" applyFont="1" applyFill="1" applyBorder="1" applyAlignment="1" applyProtection="1">
      <alignment horizontal="left" vertical="center" shrinkToFit="1"/>
      <protection hidden="1"/>
    </xf>
    <xf numFmtId="0" fontId="11" fillId="2" borderId="13" xfId="0" quotePrefix="1" applyFont="1" applyFill="1" applyBorder="1" applyAlignment="1" applyProtection="1">
      <alignment vertical="center" shrinkToFit="1"/>
      <protection hidden="1"/>
    </xf>
    <xf numFmtId="0" fontId="11" fillId="2" borderId="16" xfId="0" quotePrefix="1" applyFont="1" applyFill="1" applyBorder="1" applyAlignment="1" applyProtection="1">
      <alignment vertical="center" shrinkToFit="1"/>
      <protection hidden="1"/>
    </xf>
    <xf numFmtId="0" fontId="53" fillId="2" borderId="0" xfId="0" applyFont="1" applyFill="1" applyAlignment="1" applyProtection="1">
      <alignment horizontal="left" vertical="center" shrinkToFit="1"/>
      <protection hidden="1"/>
    </xf>
    <xf numFmtId="0" fontId="12" fillId="2" borderId="0" xfId="0" applyFont="1" applyFill="1" applyBorder="1" applyAlignment="1" applyProtection="1">
      <alignment horizontal="center" vertical="center" shrinkToFit="1"/>
      <protection hidden="1"/>
    </xf>
    <xf numFmtId="0" fontId="11" fillId="2" borderId="13" xfId="0" quotePrefix="1" applyFont="1" applyFill="1" applyBorder="1" applyAlignment="1" applyProtection="1">
      <alignment vertical="center"/>
      <protection hidden="1"/>
    </xf>
    <xf numFmtId="176" fontId="11" fillId="0" borderId="16" xfId="0" applyNumberFormat="1" applyFont="1" applyFill="1" applyBorder="1" applyAlignment="1">
      <alignment horizontal="right" vertical="center" shrinkToFit="1"/>
    </xf>
    <xf numFmtId="176" fontId="11" fillId="0" borderId="12" xfId="0" quotePrefix="1" applyNumberFormat="1" applyFont="1" applyFill="1" applyBorder="1" applyAlignment="1">
      <alignment horizontal="right" vertical="center" shrinkToFit="1"/>
    </xf>
    <xf numFmtId="0" fontId="2" fillId="2" borderId="0" xfId="0" applyFont="1" applyFill="1" applyBorder="1" applyAlignment="1" applyProtection="1">
      <alignment horizontal="center" vertical="center"/>
      <protection hidden="1"/>
    </xf>
    <xf numFmtId="0" fontId="75" fillId="2" borderId="12" xfId="0" applyFont="1" applyFill="1" applyBorder="1" applyAlignment="1" applyProtection="1">
      <alignment horizontal="left" vertical="center" shrinkToFit="1"/>
      <protection hidden="1"/>
    </xf>
    <xf numFmtId="0" fontId="75" fillId="2" borderId="13" xfId="0" quotePrefix="1" applyFont="1" applyFill="1" applyBorder="1" applyAlignment="1" applyProtection="1">
      <alignment vertical="center"/>
      <protection hidden="1"/>
    </xf>
    <xf numFmtId="0" fontId="75" fillId="2" borderId="16" xfId="0" quotePrefix="1" applyFont="1" applyFill="1" applyBorder="1" applyAlignment="1" applyProtection="1">
      <alignment vertical="center" shrinkToFit="1"/>
      <protection hidden="1"/>
    </xf>
    <xf numFmtId="0" fontId="3" fillId="28" borderId="0" xfId="0" applyFont="1" applyFill="1" applyProtection="1">
      <alignment vertical="center"/>
      <protection hidden="1"/>
    </xf>
    <xf numFmtId="0" fontId="25" fillId="18" borderId="0" xfId="3" applyFont="1" applyFill="1" applyAlignment="1" applyProtection="1">
      <alignment horizontal="center"/>
    </xf>
    <xf numFmtId="0" fontId="57" fillId="3" borderId="13" xfId="0" applyFont="1" applyFill="1" applyBorder="1" applyAlignment="1" applyProtection="1">
      <alignment horizontal="center" vertical="center" textRotation="180" shrinkToFit="1"/>
      <protection hidden="1"/>
    </xf>
    <xf numFmtId="0" fontId="157" fillId="30" borderId="145" xfId="3" applyNumberFormat="1" applyFont="1" applyFill="1" applyBorder="1" applyAlignment="1" applyProtection="1">
      <alignment horizontal="center" vertical="center"/>
      <protection locked="0"/>
    </xf>
    <xf numFmtId="0" fontId="157" fillId="18" borderId="145" xfId="3" applyNumberFormat="1" applyFont="1" applyFill="1" applyBorder="1" applyAlignment="1" applyProtection="1">
      <alignment horizontal="right" vertical="center" shrinkToFit="1"/>
      <protection locked="0"/>
    </xf>
    <xf numFmtId="0" fontId="57" fillId="3" borderId="12" xfId="0" applyFont="1" applyFill="1" applyBorder="1" applyAlignment="1" applyProtection="1">
      <alignment horizontal="center" vertical="center" textRotation="180" shrinkToFit="1"/>
      <protection hidden="1"/>
    </xf>
    <xf numFmtId="0" fontId="25" fillId="18" borderId="0" xfId="3" applyFont="1" applyFill="1" applyAlignment="1" applyProtection="1">
      <alignment horizontal="left" vertical="center"/>
    </xf>
    <xf numFmtId="0" fontId="13" fillId="18" borderId="0" xfId="3" applyNumberFormat="1" applyFont="1" applyFill="1" applyBorder="1" applyAlignment="1" applyProtection="1">
      <alignment horizontal="center"/>
      <protection hidden="1"/>
    </xf>
    <xf numFmtId="186" fontId="47" fillId="18" borderId="0" xfId="3" applyNumberFormat="1" applyFont="1" applyFill="1" applyBorder="1" applyAlignment="1" applyProtection="1">
      <alignment horizontal="right" vertical="center" shrinkToFit="1"/>
      <protection hidden="1"/>
    </xf>
    <xf numFmtId="0" fontId="10" fillId="18" borderId="0" xfId="3" applyNumberFormat="1" applyFont="1" applyFill="1" applyBorder="1" applyAlignment="1" applyProtection="1">
      <alignment horizontal="center" vertical="top"/>
      <protection hidden="1"/>
    </xf>
    <xf numFmtId="0" fontId="158" fillId="18" borderId="12" xfId="3" applyNumberFormat="1" applyFont="1" applyFill="1" applyBorder="1" applyAlignment="1" applyProtection="1">
      <alignment horizontal="center" vertical="center" shrinkToFit="1"/>
      <protection hidden="1"/>
    </xf>
    <xf numFmtId="189" fontId="157" fillId="31" borderId="145" xfId="3" applyNumberFormat="1" applyFont="1" applyFill="1" applyBorder="1" applyAlignment="1" applyProtection="1">
      <alignment horizontal="right" vertical="center" shrinkToFit="1"/>
      <protection locked="0"/>
    </xf>
    <xf numFmtId="186" fontId="157" fillId="31" borderId="145" xfId="3" applyNumberFormat="1" applyFont="1" applyFill="1" applyBorder="1" applyAlignment="1" applyProtection="1">
      <alignment horizontal="right" vertical="center" shrinkToFit="1"/>
      <protection locked="0"/>
    </xf>
    <xf numFmtId="188" fontId="157" fillId="18" borderId="145" xfId="3" applyNumberFormat="1" applyFont="1" applyFill="1" applyBorder="1" applyAlignment="1" applyProtection="1">
      <alignment horizontal="right" vertical="center" shrinkToFit="1"/>
      <protection locked="0"/>
    </xf>
    <xf numFmtId="0" fontId="11" fillId="0" borderId="12" xfId="0" applyFont="1" applyBorder="1" applyAlignment="1">
      <alignment horizontal="center" vertical="center" shrinkToFit="1"/>
    </xf>
    <xf numFmtId="0" fontId="10" fillId="18" borderId="0" xfId="3" applyNumberFormat="1" applyFont="1" applyFill="1" applyBorder="1" applyAlignment="1" applyProtection="1">
      <alignment horizontal="left"/>
      <protection hidden="1"/>
    </xf>
    <xf numFmtId="0" fontId="15" fillId="18" borderId="12" xfId="3" applyNumberFormat="1" applyFont="1" applyFill="1" applyBorder="1" applyAlignment="1" applyProtection="1">
      <alignment horizontal="center" vertical="center" shrinkToFit="1"/>
      <protection hidden="1"/>
    </xf>
    <xf numFmtId="0" fontId="10" fillId="18" borderId="0" xfId="3" applyNumberFormat="1" applyFont="1" applyFill="1" applyBorder="1" applyAlignment="1" applyProtection="1">
      <alignment horizontal="center" vertical="center"/>
      <protection hidden="1"/>
    </xf>
    <xf numFmtId="0" fontId="162" fillId="18" borderId="0" xfId="3" applyNumberFormat="1" applyFont="1" applyFill="1" applyBorder="1" applyAlignment="1" applyProtection="1">
      <alignment horizontal="center" vertical="center"/>
      <protection hidden="1"/>
    </xf>
    <xf numFmtId="0" fontId="163" fillId="18" borderId="0" xfId="3" applyNumberFormat="1" applyFont="1" applyFill="1" applyBorder="1" applyAlignment="1" applyProtection="1">
      <alignment horizontal="left"/>
      <protection hidden="1"/>
    </xf>
    <xf numFmtId="0" fontId="164" fillId="3" borderId="0" xfId="0" applyFont="1" applyFill="1" applyBorder="1" applyAlignment="1" applyProtection="1">
      <alignment horizontal="center" vertical="center" textRotation="180" shrinkToFit="1"/>
      <protection hidden="1"/>
    </xf>
    <xf numFmtId="0" fontId="10" fillId="18" borderId="145" xfId="3" applyNumberFormat="1" applyFont="1" applyFill="1" applyBorder="1" applyAlignment="1" applyProtection="1">
      <alignment horizontal="center" vertical="center" shrinkToFit="1"/>
      <protection locked="0"/>
    </xf>
    <xf numFmtId="188" fontId="165" fillId="18" borderId="0" xfId="3" applyNumberFormat="1" applyFont="1" applyFill="1" applyBorder="1" applyAlignment="1" applyProtection="1">
      <alignment vertical="center" shrinkToFit="1"/>
      <protection locked="0"/>
    </xf>
    <xf numFmtId="0" fontId="158" fillId="18" borderId="0" xfId="3" applyNumberFormat="1" applyFont="1" applyFill="1" applyBorder="1" applyAlignment="1" applyProtection="1">
      <alignment vertical="center" shrinkToFit="1"/>
      <protection locked="0"/>
    </xf>
    <xf numFmtId="186" fontId="13" fillId="18" borderId="0" xfId="3" applyNumberFormat="1" applyFont="1" applyFill="1" applyBorder="1" applyAlignment="1" applyProtection="1">
      <protection hidden="1"/>
    </xf>
    <xf numFmtId="186" fontId="10" fillId="18" borderId="0" xfId="3" applyNumberFormat="1" applyFont="1" applyFill="1" applyBorder="1" applyAlignment="1" applyProtection="1">
      <alignment vertical="center" shrinkToFit="1"/>
      <protection locked="0"/>
    </xf>
    <xf numFmtId="188" fontId="10" fillId="18" borderId="145" xfId="3" applyNumberFormat="1" applyFont="1" applyFill="1" applyBorder="1" applyAlignment="1" applyProtection="1">
      <alignment vertical="center" shrinkToFit="1"/>
      <protection locked="0"/>
    </xf>
    <xf numFmtId="188" fontId="10" fillId="18" borderId="0" xfId="3" applyNumberFormat="1" applyFont="1" applyFill="1" applyBorder="1" applyAlignment="1" applyProtection="1">
      <alignment vertical="center" shrinkToFit="1"/>
      <protection locked="0"/>
    </xf>
    <xf numFmtId="176" fontId="10" fillId="18" borderId="0" xfId="3" applyNumberFormat="1" applyFont="1" applyFill="1" applyBorder="1" applyAlignment="1" applyProtection="1">
      <alignment vertical="center" shrinkToFit="1"/>
      <protection locked="0"/>
    </xf>
    <xf numFmtId="188" fontId="10" fillId="18" borderId="0" xfId="3" applyNumberFormat="1" applyFont="1" applyFill="1" applyBorder="1" applyAlignment="1" applyProtection="1">
      <alignment vertical="center" shrinkToFit="1"/>
      <protection hidden="1"/>
    </xf>
    <xf numFmtId="186" fontId="158" fillId="18" borderId="0" xfId="3" applyNumberFormat="1" applyFont="1" applyFill="1" applyAlignment="1" applyProtection="1">
      <alignment shrinkToFit="1"/>
    </xf>
    <xf numFmtId="188" fontId="10" fillId="18" borderId="145" xfId="3" applyNumberFormat="1" applyFont="1" applyFill="1" applyBorder="1" applyAlignment="1" applyProtection="1">
      <alignment horizontal="right" vertical="center" shrinkToFit="1"/>
      <protection locked="0"/>
    </xf>
    <xf numFmtId="188" fontId="10" fillId="18" borderId="0" xfId="3" applyNumberFormat="1" applyFont="1" applyFill="1" applyBorder="1" applyAlignment="1" applyProtection="1">
      <alignment horizontal="right" vertical="center" shrinkToFit="1"/>
      <protection locked="0"/>
    </xf>
    <xf numFmtId="0" fontId="11" fillId="0" borderId="0" xfId="0" applyFont="1" applyFill="1" applyAlignment="1">
      <alignment horizontal="left" vertical="center"/>
    </xf>
    <xf numFmtId="0" fontId="30" fillId="35" borderId="110" xfId="1" applyNumberFormat="1" applyFont="1" applyFill="1" applyBorder="1" applyAlignment="1" applyProtection="1">
      <alignment horizontal="center" vertical="center" shrinkToFit="1"/>
      <protection hidden="1"/>
    </xf>
    <xf numFmtId="0" fontId="4" fillId="35" borderId="110" xfId="1" applyNumberFormat="1" applyFont="1" applyFill="1" applyBorder="1" applyAlignment="1" applyProtection="1">
      <alignment horizontal="center" vertical="center" shrinkToFit="1"/>
      <protection hidden="1"/>
    </xf>
    <xf numFmtId="0" fontId="30" fillId="35" borderId="110" xfId="1" applyNumberFormat="1" applyFont="1" applyFill="1" applyBorder="1" applyAlignment="1" applyProtection="1">
      <alignment horizontal="distributed" vertical="center" shrinkToFit="1"/>
      <protection hidden="1"/>
    </xf>
    <xf numFmtId="0" fontId="4" fillId="57" borderId="110" xfId="1" applyNumberFormat="1" applyFont="1" applyFill="1" applyBorder="1" applyAlignment="1" applyProtection="1">
      <alignment horizontal="center" vertical="center" shrinkToFit="1"/>
      <protection hidden="1"/>
    </xf>
    <xf numFmtId="0" fontId="4" fillId="24" borderId="110" xfId="1" applyFont="1" applyFill="1" applyBorder="1" applyAlignment="1" applyProtection="1">
      <alignment horizontal="center" vertical="center" shrinkToFit="1"/>
      <protection locked="0"/>
    </xf>
    <xf numFmtId="0" fontId="13" fillId="18" borderId="161" xfId="3" applyNumberFormat="1" applyFont="1" applyFill="1" applyBorder="1" applyAlignment="1" applyProtection="1">
      <alignment horizontal="center" vertical="center"/>
      <protection hidden="1"/>
    </xf>
    <xf numFmtId="0" fontId="25" fillId="18" borderId="161" xfId="3" applyNumberFormat="1" applyFont="1" applyFill="1" applyBorder="1" applyAlignment="1" applyProtection="1">
      <alignment horizontal="center" vertical="center" shrinkToFit="1"/>
      <protection hidden="1"/>
    </xf>
    <xf numFmtId="0" fontId="47" fillId="5" borderId="5" xfId="0" applyFont="1" applyFill="1" applyBorder="1" applyAlignment="1" applyProtection="1">
      <alignment horizontal="center" vertical="center"/>
      <protection hidden="1"/>
    </xf>
    <xf numFmtId="0" fontId="2" fillId="25" borderId="5" xfId="0" applyFont="1" applyFill="1" applyBorder="1" applyAlignment="1" applyProtection="1">
      <alignment horizontal="center" vertical="center"/>
      <protection hidden="1"/>
    </xf>
    <xf numFmtId="0" fontId="66" fillId="25" borderId="5" xfId="0" applyFont="1" applyFill="1" applyBorder="1" applyAlignment="1" applyProtection="1">
      <alignment horizontal="center" vertical="center"/>
      <protection hidden="1"/>
    </xf>
    <xf numFmtId="0" fontId="38" fillId="5" borderId="219" xfId="0" applyFont="1" applyFill="1" applyBorder="1" applyAlignment="1" applyProtection="1">
      <alignment vertical="center" wrapText="1"/>
      <protection hidden="1"/>
    </xf>
    <xf numFmtId="0" fontId="10" fillId="18" borderId="17" xfId="3" applyNumberFormat="1" applyFont="1" applyFill="1" applyBorder="1" applyAlignment="1" applyProtection="1">
      <alignment horizontal="left"/>
      <protection hidden="1"/>
    </xf>
    <xf numFmtId="0" fontId="57" fillId="3" borderId="1" xfId="0" applyFont="1" applyFill="1" applyBorder="1" applyAlignment="1" applyProtection="1">
      <alignment horizontal="center" vertical="center" textRotation="180" shrinkToFit="1"/>
      <protection hidden="1"/>
    </xf>
    <xf numFmtId="0" fontId="12" fillId="33" borderId="0" xfId="0" applyNumberFormat="1" applyFont="1" applyFill="1" applyAlignment="1" applyProtection="1">
      <alignment horizontal="left" vertical="center" wrapText="1" shrinkToFit="1"/>
      <protection hidden="1"/>
    </xf>
    <xf numFmtId="0" fontId="12" fillId="33" borderId="0" xfId="0" applyNumberFormat="1" applyFont="1" applyFill="1" applyAlignment="1" applyProtection="1">
      <alignment horizontal="left" vertical="center" shrinkToFit="1"/>
      <protection hidden="1"/>
    </xf>
    <xf numFmtId="0" fontId="66" fillId="0" borderId="0" xfId="0" applyNumberFormat="1" applyFont="1" applyProtection="1">
      <alignment vertical="center"/>
      <protection hidden="1"/>
    </xf>
    <xf numFmtId="0" fontId="66" fillId="33" borderId="0" xfId="0" applyNumberFormat="1" applyFont="1" applyFill="1" applyAlignment="1" applyProtection="1">
      <alignment vertical="center"/>
      <protection hidden="1"/>
    </xf>
    <xf numFmtId="0" fontId="66" fillId="33" borderId="0" xfId="0" applyNumberFormat="1" applyFont="1" applyFill="1" applyProtection="1">
      <alignment vertical="center"/>
      <protection hidden="1"/>
    </xf>
    <xf numFmtId="0" fontId="15" fillId="0" borderId="0" xfId="0" applyNumberFormat="1" applyFont="1" applyAlignment="1" applyProtection="1">
      <alignment horizontal="center" vertical="center"/>
      <protection hidden="1"/>
    </xf>
    <xf numFmtId="0" fontId="22" fillId="0" borderId="0" xfId="0" applyNumberFormat="1" applyFont="1" applyProtection="1">
      <alignment vertical="center"/>
      <protection hidden="1"/>
    </xf>
    <xf numFmtId="0" fontId="66" fillId="37" borderId="181" xfId="0" applyNumberFormat="1" applyFont="1" applyFill="1" applyBorder="1" applyAlignment="1" applyProtection="1">
      <alignment vertical="center" shrinkToFit="1"/>
      <protection hidden="1"/>
    </xf>
    <xf numFmtId="0" fontId="66" fillId="38" borderId="181" xfId="0" applyNumberFormat="1" applyFont="1" applyFill="1" applyBorder="1" applyAlignment="1" applyProtection="1">
      <alignment vertical="center" shrinkToFit="1"/>
      <protection hidden="1"/>
    </xf>
    <xf numFmtId="0" fontId="66" fillId="39" borderId="181" xfId="0" applyNumberFormat="1" applyFont="1" applyFill="1" applyBorder="1" applyAlignment="1" applyProtection="1">
      <alignment vertical="center" shrinkToFit="1"/>
      <protection hidden="1"/>
    </xf>
    <xf numFmtId="0" fontId="66" fillId="40" borderId="181" xfId="0" applyNumberFormat="1" applyFont="1" applyFill="1" applyBorder="1" applyAlignment="1" applyProtection="1">
      <alignment vertical="center" shrinkToFit="1"/>
      <protection hidden="1"/>
    </xf>
    <xf numFmtId="0" fontId="66" fillId="41" borderId="181" xfId="0" applyNumberFormat="1" applyFont="1" applyFill="1" applyBorder="1" applyAlignment="1" applyProtection="1">
      <alignment vertical="center" shrinkToFit="1"/>
      <protection hidden="1"/>
    </xf>
    <xf numFmtId="0" fontId="66" fillId="42" borderId="181" xfId="0" applyNumberFormat="1" applyFont="1" applyFill="1" applyBorder="1" applyAlignment="1" applyProtection="1">
      <alignment vertical="center" shrinkToFit="1"/>
      <protection hidden="1"/>
    </xf>
    <xf numFmtId="0" fontId="66" fillId="43" borderId="181" xfId="0" applyNumberFormat="1" applyFont="1" applyFill="1" applyBorder="1" applyAlignment="1" applyProtection="1">
      <alignment vertical="center" shrinkToFit="1"/>
      <protection hidden="1"/>
    </xf>
    <xf numFmtId="0" fontId="66" fillId="44" borderId="181" xfId="0" applyNumberFormat="1" applyFont="1" applyFill="1" applyBorder="1" applyAlignment="1" applyProtection="1">
      <alignment vertical="center" shrinkToFit="1"/>
      <protection hidden="1"/>
    </xf>
    <xf numFmtId="0" fontId="66" fillId="45" borderId="181" xfId="0" applyNumberFormat="1" applyFont="1" applyFill="1" applyBorder="1" applyAlignment="1" applyProtection="1">
      <alignment vertical="center" shrinkToFit="1"/>
      <protection hidden="1"/>
    </xf>
    <xf numFmtId="0" fontId="66" fillId="46" borderId="181" xfId="0" applyNumberFormat="1" applyFont="1" applyFill="1" applyBorder="1" applyAlignment="1" applyProtection="1">
      <alignment vertical="center" shrinkToFit="1"/>
      <protection hidden="1"/>
    </xf>
    <xf numFmtId="0" fontId="66" fillId="47" borderId="181" xfId="0" applyNumberFormat="1" applyFont="1" applyFill="1" applyBorder="1" applyAlignment="1" applyProtection="1">
      <alignment vertical="center" shrinkToFit="1"/>
      <protection hidden="1"/>
    </xf>
    <xf numFmtId="0" fontId="66" fillId="48" borderId="181" xfId="0" applyNumberFormat="1" applyFont="1" applyFill="1" applyBorder="1" applyAlignment="1" applyProtection="1">
      <alignment vertical="center" shrinkToFit="1"/>
      <protection hidden="1"/>
    </xf>
    <xf numFmtId="0" fontId="66" fillId="49" borderId="181" xfId="0" applyNumberFormat="1" applyFont="1" applyFill="1" applyBorder="1" applyAlignment="1" applyProtection="1">
      <alignment vertical="center" shrinkToFit="1"/>
      <protection hidden="1"/>
    </xf>
    <xf numFmtId="0" fontId="66" fillId="50" borderId="181" xfId="0" applyNumberFormat="1" applyFont="1" applyFill="1" applyBorder="1" applyAlignment="1" applyProtection="1">
      <alignment vertical="center" shrinkToFit="1"/>
      <protection hidden="1"/>
    </xf>
    <xf numFmtId="0" fontId="66" fillId="51" borderId="181" xfId="0" applyNumberFormat="1" applyFont="1" applyFill="1" applyBorder="1" applyAlignment="1" applyProtection="1">
      <alignment vertical="center" shrinkToFit="1"/>
      <protection hidden="1"/>
    </xf>
    <xf numFmtId="0" fontId="66" fillId="52" borderId="181" xfId="0" applyNumberFormat="1" applyFont="1" applyFill="1" applyBorder="1" applyProtection="1">
      <alignment vertical="center"/>
      <protection hidden="1"/>
    </xf>
    <xf numFmtId="0" fontId="66" fillId="0" borderId="0" xfId="0" applyNumberFormat="1" applyFont="1" applyAlignment="1" applyProtection="1">
      <alignment vertical="center"/>
      <protection hidden="1"/>
    </xf>
    <xf numFmtId="0" fontId="66" fillId="33" borderId="0" xfId="0" applyNumberFormat="1" applyFont="1" applyFill="1" applyBorder="1" applyAlignment="1" applyProtection="1">
      <alignment vertical="center"/>
      <protection hidden="1"/>
    </xf>
    <xf numFmtId="0" fontId="66" fillId="33" borderId="0" xfId="0" applyNumberFormat="1" applyFont="1" applyFill="1" applyBorder="1" applyProtection="1">
      <alignment vertical="center"/>
      <protection hidden="1"/>
    </xf>
    <xf numFmtId="0" fontId="13" fillId="26" borderId="0" xfId="0" applyNumberFormat="1" applyFont="1" applyFill="1" applyBorder="1" applyAlignment="1" applyProtection="1">
      <alignment horizontal="right"/>
      <protection hidden="1"/>
    </xf>
    <xf numFmtId="0" fontId="13" fillId="26" borderId="0" xfId="0" applyNumberFormat="1" applyFont="1" applyFill="1" applyBorder="1" applyAlignment="1" applyProtection="1">
      <alignment horizontal="left"/>
      <protection hidden="1"/>
    </xf>
    <xf numFmtId="0" fontId="2" fillId="18" borderId="0" xfId="0" applyFont="1" applyFill="1" applyAlignment="1" applyProtection="1">
      <protection hidden="1"/>
    </xf>
    <xf numFmtId="0" fontId="190" fillId="26" borderId="0" xfId="0" applyNumberFormat="1" applyFont="1" applyFill="1" applyBorder="1" applyAlignment="1" applyProtection="1">
      <alignment horizontal="center"/>
      <protection hidden="1"/>
    </xf>
    <xf numFmtId="0" fontId="190" fillId="26" borderId="0" xfId="0" applyNumberFormat="1" applyFont="1" applyFill="1" applyBorder="1" applyAlignment="1" applyProtection="1">
      <alignment horizontal="left"/>
      <protection hidden="1"/>
    </xf>
    <xf numFmtId="0" fontId="47" fillId="26" borderId="0" xfId="0" applyNumberFormat="1" applyFont="1" applyFill="1" applyBorder="1" applyAlignment="1" applyProtection="1">
      <alignment horizontal="left" vertical="center"/>
      <protection hidden="1"/>
    </xf>
    <xf numFmtId="0" fontId="214" fillId="0" borderId="0" xfId="0" applyNumberFormat="1" applyFont="1" applyAlignment="1" applyProtection="1">
      <alignment horizontal="left" vertical="center"/>
      <protection hidden="1"/>
    </xf>
    <xf numFmtId="0" fontId="158" fillId="18" borderId="0" xfId="3" applyFont="1" applyFill="1" applyProtection="1"/>
    <xf numFmtId="0" fontId="158" fillId="18" borderId="0" xfId="3" applyFont="1" applyFill="1" applyBorder="1" applyAlignment="1" applyProtection="1"/>
    <xf numFmtId="0" fontId="222" fillId="18" borderId="0" xfId="3" applyFont="1" applyFill="1" applyBorder="1" applyAlignment="1" applyProtection="1">
      <alignment horizontal="left" shrinkToFit="1"/>
    </xf>
    <xf numFmtId="14" fontId="223" fillId="18" borderId="0" xfId="3" applyNumberFormat="1" applyFont="1" applyFill="1" applyBorder="1" applyAlignment="1" applyProtection="1">
      <alignment horizontal="left" shrinkToFit="1"/>
    </xf>
    <xf numFmtId="0" fontId="223" fillId="18" borderId="0" xfId="3" applyFont="1" applyFill="1" applyBorder="1" applyAlignment="1" applyProtection="1">
      <alignment horizontal="left"/>
    </xf>
    <xf numFmtId="0" fontId="13" fillId="18" borderId="0" xfId="3" applyFont="1" applyFill="1" applyBorder="1" applyAlignment="1" applyProtection="1"/>
    <xf numFmtId="49" fontId="13" fillId="30" borderId="0" xfId="3" applyNumberFormat="1" applyFont="1" applyFill="1" applyBorder="1" applyAlignment="1" applyProtection="1">
      <alignment horizontal="right" vertical="center"/>
      <protection locked="0"/>
    </xf>
    <xf numFmtId="0" fontId="47" fillId="30" borderId="0" xfId="3" applyNumberFormat="1" applyFont="1" applyFill="1" applyBorder="1" applyAlignment="1" applyProtection="1">
      <alignment horizontal="left" vertical="center" shrinkToFit="1"/>
      <protection locked="0"/>
    </xf>
    <xf numFmtId="0" fontId="158" fillId="18" borderId="0" xfId="3" applyFont="1" applyFill="1" applyAlignment="1" applyProtection="1"/>
    <xf numFmtId="0" fontId="13" fillId="18" borderId="0" xfId="3" applyFont="1" applyFill="1" applyBorder="1" applyAlignment="1" applyProtection="1">
      <alignment vertical="top"/>
      <protection hidden="1"/>
    </xf>
    <xf numFmtId="0" fontId="13" fillId="18" borderId="0" xfId="3" applyFont="1" applyFill="1" applyBorder="1" applyAlignment="1" applyProtection="1">
      <alignment vertical="top"/>
    </xf>
    <xf numFmtId="49" fontId="13" fillId="30" borderId="0" xfId="3" applyNumberFormat="1" applyFont="1" applyFill="1" applyBorder="1" applyAlignment="1" applyProtection="1">
      <alignment horizontal="right" vertical="top"/>
      <protection locked="0"/>
    </xf>
    <xf numFmtId="0" fontId="47" fillId="30" borderId="0" xfId="3" applyNumberFormat="1" applyFont="1" applyFill="1" applyBorder="1" applyAlignment="1" applyProtection="1">
      <alignment horizontal="left" vertical="top" shrinkToFit="1"/>
      <protection locked="0"/>
    </xf>
    <xf numFmtId="0" fontId="220" fillId="0" borderId="132" xfId="1" applyFont="1" applyFill="1" applyBorder="1" applyAlignment="1">
      <alignment horizontal="center" vertical="center"/>
    </xf>
    <xf numFmtId="0" fontId="224" fillId="0" borderId="0" xfId="0" applyFont="1" applyAlignment="1">
      <alignment horizontal="center" vertical="center"/>
    </xf>
    <xf numFmtId="0" fontId="2" fillId="0" borderId="0" xfId="0" applyFont="1">
      <alignment vertical="center"/>
    </xf>
    <xf numFmtId="186" fontId="2" fillId="0" borderId="0" xfId="0" applyNumberFormat="1" applyFont="1" applyBorder="1" applyAlignment="1">
      <alignment vertical="center"/>
    </xf>
    <xf numFmtId="0" fontId="2" fillId="0" borderId="0" xfId="0" applyFont="1" applyBorder="1" applyAlignment="1">
      <alignment vertical="center"/>
    </xf>
    <xf numFmtId="0" fontId="226" fillId="18" borderId="174" xfId="3" applyNumberFormat="1" applyFont="1" applyFill="1" applyBorder="1" applyAlignment="1" applyProtection="1">
      <alignment horizontal="center" vertical="center"/>
    </xf>
    <xf numFmtId="0" fontId="227" fillId="18" borderId="0" xfId="3" applyNumberFormat="1" applyFont="1" applyFill="1" applyBorder="1" applyAlignment="1" applyProtection="1">
      <alignment horizontal="center" shrinkToFit="1"/>
      <protection hidden="1"/>
    </xf>
    <xf numFmtId="0" fontId="220" fillId="29" borderId="132" xfId="1" applyFont="1" applyFill="1" applyBorder="1" applyAlignment="1" applyProtection="1">
      <alignment horizontal="center" vertical="center" shrinkToFit="1"/>
      <protection hidden="1"/>
    </xf>
    <xf numFmtId="176" fontId="181" fillId="0" borderId="12" xfId="0" applyNumberFormat="1" applyFont="1" applyBorder="1" applyAlignment="1">
      <alignment horizontal="center" vertical="center" shrinkToFit="1"/>
    </xf>
    <xf numFmtId="0" fontId="226" fillId="18" borderId="140" xfId="3" applyNumberFormat="1" applyFont="1" applyFill="1" applyBorder="1" applyAlignment="1" applyProtection="1">
      <alignment horizontal="center" vertical="center"/>
    </xf>
    <xf numFmtId="185" fontId="47" fillId="18" borderId="12" xfId="3" applyNumberFormat="1" applyFont="1" applyFill="1" applyBorder="1" applyAlignment="1" applyProtection="1">
      <alignment horizontal="right" vertical="center" shrinkToFit="1"/>
      <protection locked="0"/>
    </xf>
    <xf numFmtId="185" fontId="14" fillId="18" borderId="12" xfId="3" applyNumberFormat="1" applyFont="1" applyFill="1" applyBorder="1" applyAlignment="1" applyProtection="1">
      <alignment horizontal="right" vertical="center" shrinkToFit="1"/>
      <protection locked="0"/>
    </xf>
    <xf numFmtId="186" fontId="25" fillId="18" borderId="12" xfId="3" applyNumberFormat="1" applyFont="1" applyFill="1" applyBorder="1" applyAlignment="1" applyProtection="1">
      <alignment horizontal="right" vertical="center" shrinkToFit="1"/>
      <protection locked="0"/>
    </xf>
    <xf numFmtId="186" fontId="25" fillId="18" borderId="15" xfId="3" applyNumberFormat="1" applyFont="1" applyFill="1" applyBorder="1" applyAlignment="1" applyProtection="1">
      <alignment horizontal="right" vertical="center" shrinkToFit="1"/>
      <protection locked="0"/>
    </xf>
    <xf numFmtId="0" fontId="25" fillId="18" borderId="0" xfId="3" applyFont="1" applyFill="1" applyAlignment="1" applyProtection="1">
      <alignment horizontal="center" vertical="center"/>
    </xf>
    <xf numFmtId="0" fontId="25" fillId="18" borderId="0" xfId="3" applyFont="1" applyFill="1" applyProtection="1"/>
    <xf numFmtId="0" fontId="25" fillId="18" borderId="17" xfId="3" applyFont="1" applyFill="1" applyBorder="1" applyAlignment="1" applyProtection="1">
      <alignment horizontal="center" vertical="center" shrinkToFit="1"/>
    </xf>
    <xf numFmtId="0" fontId="15" fillId="18" borderId="67" xfId="3" applyFont="1" applyFill="1" applyBorder="1" applyAlignment="1" applyProtection="1">
      <alignment horizontal="center" vertical="center" shrinkToFit="1"/>
    </xf>
    <xf numFmtId="0" fontId="15" fillId="18" borderId="0" xfId="3" applyFont="1" applyFill="1" applyProtection="1"/>
    <xf numFmtId="0" fontId="226" fillId="18" borderId="143" xfId="3" applyNumberFormat="1" applyFont="1" applyFill="1" applyBorder="1" applyAlignment="1" applyProtection="1">
      <alignment horizontal="center" vertical="center"/>
    </xf>
    <xf numFmtId="186" fontId="25" fillId="18" borderId="142" xfId="3" applyNumberFormat="1" applyFont="1" applyFill="1" applyBorder="1" applyAlignment="1" applyProtection="1">
      <alignment horizontal="right" vertical="center" shrinkToFit="1"/>
      <protection locked="0"/>
    </xf>
    <xf numFmtId="0" fontId="211" fillId="18" borderId="0" xfId="1" applyNumberFormat="1" applyFont="1" applyFill="1" applyBorder="1" applyAlignment="1" applyProtection="1">
      <alignment horizontal="left"/>
      <protection hidden="1"/>
    </xf>
    <xf numFmtId="186" fontId="25" fillId="18" borderId="21" xfId="3" applyNumberFormat="1" applyFont="1" applyFill="1" applyBorder="1" applyAlignment="1" applyProtection="1">
      <alignment horizontal="right" vertical="center" shrinkToFit="1"/>
      <protection locked="0"/>
    </xf>
    <xf numFmtId="185" fontId="47" fillId="18" borderId="0" xfId="3" applyNumberFormat="1" applyFont="1" applyFill="1" applyBorder="1" applyAlignment="1" applyProtection="1">
      <alignment horizontal="right" vertical="center" shrinkToFit="1"/>
      <protection locked="0"/>
    </xf>
    <xf numFmtId="185" fontId="14" fillId="18" borderId="0" xfId="3" applyNumberFormat="1" applyFont="1" applyFill="1" applyBorder="1" applyAlignment="1" applyProtection="1">
      <alignment horizontal="right" vertical="center" shrinkToFit="1"/>
      <protection locked="0"/>
    </xf>
    <xf numFmtId="186" fontId="25" fillId="18" borderId="146" xfId="3" applyNumberFormat="1" applyFont="1" applyFill="1" applyBorder="1" applyAlignment="1" applyProtection="1">
      <alignment horizontal="right" vertical="center" shrinkToFit="1"/>
      <protection locked="0"/>
    </xf>
    <xf numFmtId="0" fontId="25" fillId="18" borderId="130" xfId="3" applyFont="1" applyFill="1" applyBorder="1" applyAlignment="1" applyProtection="1">
      <alignment horizontal="center" vertical="center" shrinkToFit="1"/>
    </xf>
    <xf numFmtId="0" fontId="15" fillId="18" borderId="131" xfId="3" applyFont="1" applyFill="1" applyBorder="1" applyAlignment="1" applyProtection="1">
      <alignment horizontal="center" vertical="center" shrinkToFit="1"/>
    </xf>
    <xf numFmtId="185" fontId="47" fillId="18" borderId="0" xfId="3" applyNumberFormat="1" applyFont="1" applyFill="1" applyBorder="1" applyAlignment="1" applyProtection="1">
      <alignment vertical="center" shrinkToFit="1"/>
      <protection locked="0"/>
    </xf>
    <xf numFmtId="186" fontId="25" fillId="18" borderId="0" xfId="3" applyNumberFormat="1" applyFont="1" applyFill="1" applyBorder="1" applyAlignment="1" applyProtection="1">
      <alignment horizontal="right" vertical="center" shrinkToFit="1"/>
      <protection locked="0"/>
    </xf>
    <xf numFmtId="186" fontId="222" fillId="18" borderId="12" xfId="3" applyNumberFormat="1" applyFont="1" applyFill="1" applyBorder="1" applyAlignment="1" applyProtection="1">
      <alignment horizontal="right" vertical="center" shrinkToFit="1"/>
      <protection hidden="1"/>
    </xf>
    <xf numFmtId="0" fontId="10" fillId="18" borderId="0" xfId="3" applyNumberFormat="1" applyFont="1" applyFill="1" applyBorder="1" applyAlignment="1" applyProtection="1">
      <protection hidden="1"/>
    </xf>
    <xf numFmtId="0" fontId="165" fillId="18" borderId="0" xfId="3" applyNumberFormat="1" applyFont="1" applyFill="1" applyBorder="1" applyAlignment="1" applyProtection="1">
      <alignment horizontal="left"/>
      <protection hidden="1"/>
    </xf>
    <xf numFmtId="0" fontId="10" fillId="18" borderId="0" xfId="3" applyNumberFormat="1" applyFont="1" applyFill="1" applyBorder="1" applyAlignment="1" applyProtection="1">
      <alignment shrinkToFit="1"/>
      <protection hidden="1"/>
    </xf>
    <xf numFmtId="186" fontId="188" fillId="18" borderId="12" xfId="3" applyNumberFormat="1" applyFont="1" applyFill="1" applyBorder="1" applyAlignment="1" applyProtection="1">
      <alignment horizontal="right" vertical="center" shrinkToFit="1"/>
      <protection hidden="1"/>
    </xf>
    <xf numFmtId="0" fontId="158" fillId="18" borderId="0" xfId="3" applyFont="1" applyFill="1" applyBorder="1" applyProtection="1"/>
    <xf numFmtId="188" fontId="188" fillId="18" borderId="12" xfId="3" applyNumberFormat="1" applyFont="1" applyFill="1" applyBorder="1" applyAlignment="1" applyProtection="1">
      <alignment horizontal="right" vertical="center" shrinkToFit="1"/>
      <protection hidden="1"/>
    </xf>
    <xf numFmtId="188" fontId="222" fillId="18" borderId="0" xfId="3" applyNumberFormat="1" applyFont="1" applyFill="1" applyBorder="1" applyAlignment="1" applyProtection="1">
      <alignment vertical="center"/>
    </xf>
    <xf numFmtId="0" fontId="226" fillId="18" borderId="168" xfId="3" applyNumberFormat="1" applyFont="1" applyFill="1" applyBorder="1" applyAlignment="1" applyProtection="1">
      <alignment horizontal="center" vertical="center"/>
    </xf>
    <xf numFmtId="188" fontId="188" fillId="18" borderId="12" xfId="3" quotePrefix="1" applyNumberFormat="1" applyFont="1" applyFill="1" applyBorder="1" applyAlignment="1" applyProtection="1">
      <alignment horizontal="right" vertical="center" shrinkToFit="1"/>
      <protection hidden="1"/>
    </xf>
    <xf numFmtId="0" fontId="158" fillId="18" borderId="156" xfId="3" applyFont="1" applyFill="1" applyBorder="1" applyProtection="1"/>
    <xf numFmtId="0" fontId="158" fillId="18" borderId="157" xfId="3" applyFont="1" applyFill="1" applyBorder="1" applyProtection="1"/>
    <xf numFmtId="14" fontId="223" fillId="18" borderId="5" xfId="3" applyNumberFormat="1" applyFont="1" applyFill="1" applyBorder="1" applyAlignment="1" applyProtection="1">
      <alignment horizontal="left" shrinkToFit="1"/>
    </xf>
    <xf numFmtId="0" fontId="229" fillId="18" borderId="12" xfId="3" applyNumberFormat="1" applyFont="1" applyFill="1" applyBorder="1" applyAlignment="1" applyProtection="1">
      <alignment horizontal="center" vertical="center" shrinkToFit="1"/>
      <protection hidden="1"/>
    </xf>
    <xf numFmtId="0" fontId="226" fillId="18" borderId="174" xfId="3" applyNumberFormat="1" applyFont="1" applyFill="1" applyBorder="1" applyAlignment="1" applyProtection="1">
      <alignment horizontal="center" vertical="center"/>
      <protection hidden="1"/>
    </xf>
    <xf numFmtId="0" fontId="188" fillId="18" borderId="0" xfId="3" applyNumberFormat="1" applyFont="1" applyFill="1" applyBorder="1" applyAlignment="1" applyProtection="1">
      <alignment horizontal="center" shrinkToFit="1"/>
      <protection hidden="1"/>
    </xf>
    <xf numFmtId="0" fontId="226" fillId="18" borderId="140" xfId="3" applyNumberFormat="1" applyFont="1" applyFill="1" applyBorder="1" applyAlignment="1" applyProtection="1">
      <alignment horizontal="center" vertical="center"/>
      <protection hidden="1"/>
    </xf>
    <xf numFmtId="0" fontId="228" fillId="18" borderId="0" xfId="3" applyNumberFormat="1" applyFont="1" applyFill="1" applyBorder="1" applyAlignment="1" applyProtection="1">
      <alignment horizontal="left"/>
      <protection hidden="1"/>
    </xf>
    <xf numFmtId="0" fontId="222" fillId="18" borderId="0" xfId="3" applyNumberFormat="1" applyFont="1" applyFill="1" applyBorder="1" applyAlignment="1" applyProtection="1">
      <alignment horizontal="left"/>
      <protection hidden="1"/>
    </xf>
    <xf numFmtId="0" fontId="226" fillId="18" borderId="143" xfId="3" applyNumberFormat="1" applyFont="1" applyFill="1" applyBorder="1" applyAlignment="1" applyProtection="1">
      <alignment horizontal="center" vertical="center"/>
      <protection hidden="1"/>
    </xf>
    <xf numFmtId="0" fontId="158" fillId="30" borderId="0" xfId="3" applyNumberFormat="1" applyFont="1" applyFill="1" applyAlignment="1" applyProtection="1">
      <protection locked="0"/>
    </xf>
    <xf numFmtId="0" fontId="10" fillId="30" borderId="0" xfId="3" applyNumberFormat="1" applyFont="1" applyFill="1" applyBorder="1" applyAlignment="1" applyProtection="1">
      <protection hidden="1"/>
    </xf>
    <xf numFmtId="0" fontId="230" fillId="30" borderId="0" xfId="1" applyNumberFormat="1" applyFont="1" applyFill="1" applyBorder="1" applyAlignment="1" applyProtection="1">
      <alignment vertical="center"/>
      <protection locked="0"/>
    </xf>
    <xf numFmtId="0" fontId="224" fillId="18" borderId="0" xfId="3" applyFont="1" applyFill="1" applyBorder="1" applyAlignment="1" applyProtection="1">
      <alignment horizontal="center" vertical="center"/>
    </xf>
    <xf numFmtId="0" fontId="158" fillId="30" borderId="0" xfId="3" applyNumberFormat="1" applyFont="1" applyFill="1" applyAlignment="1" applyProtection="1">
      <alignment vertical="top"/>
      <protection locked="0"/>
    </xf>
    <xf numFmtId="0" fontId="158" fillId="30" borderId="0" xfId="3" applyNumberFormat="1" applyFont="1" applyFill="1" applyBorder="1" applyAlignment="1" applyProtection="1">
      <alignment vertical="top"/>
      <protection locked="0"/>
    </xf>
    <xf numFmtId="0" fontId="232" fillId="29" borderId="0" xfId="1" applyFont="1" applyFill="1" applyBorder="1" applyAlignment="1" applyProtection="1">
      <alignment vertical="center" shrinkToFit="1"/>
      <protection hidden="1"/>
    </xf>
    <xf numFmtId="0" fontId="188" fillId="18" borderId="194" xfId="3" applyNumberFormat="1" applyFont="1" applyFill="1" applyBorder="1" applyAlignment="1" applyProtection="1">
      <alignment horizontal="center" shrinkToFit="1"/>
      <protection hidden="1"/>
    </xf>
    <xf numFmtId="0" fontId="188" fillId="18" borderId="195" xfId="3" applyNumberFormat="1" applyFont="1" applyFill="1" applyBorder="1" applyAlignment="1" applyProtection="1">
      <alignment horizontal="center" shrinkToFit="1"/>
      <protection hidden="1"/>
    </xf>
    <xf numFmtId="0" fontId="15" fillId="18" borderId="0" xfId="3" applyFont="1" applyFill="1" applyAlignment="1" applyProtection="1">
      <alignment horizontal="center" vertical="center"/>
    </xf>
    <xf numFmtId="0" fontId="10" fillId="18" borderId="68" xfId="3" applyNumberFormat="1" applyFont="1" applyFill="1" applyBorder="1" applyAlignment="1" applyProtection="1">
      <alignment horizontal="left"/>
      <protection hidden="1"/>
    </xf>
    <xf numFmtId="0" fontId="10" fillId="18" borderId="125" xfId="3" applyNumberFormat="1" applyFont="1" applyFill="1" applyBorder="1" applyAlignment="1" applyProtection="1">
      <alignment horizontal="left"/>
      <protection hidden="1"/>
    </xf>
    <xf numFmtId="0" fontId="10" fillId="18" borderId="148" xfId="3" applyNumberFormat="1" applyFont="1" applyFill="1" applyBorder="1" applyAlignment="1" applyProtection="1">
      <alignment horizontal="left"/>
      <protection hidden="1"/>
    </xf>
    <xf numFmtId="0" fontId="185" fillId="18" borderId="125" xfId="3" applyNumberFormat="1" applyFont="1" applyFill="1" applyBorder="1" applyAlignment="1" applyProtection="1">
      <alignment horizontal="left"/>
      <protection hidden="1"/>
    </xf>
    <xf numFmtId="0" fontId="233" fillId="18" borderId="125" xfId="3" applyNumberFormat="1" applyFont="1" applyFill="1" applyBorder="1" applyAlignment="1" applyProtection="1">
      <alignment horizontal="left"/>
      <protection hidden="1"/>
    </xf>
    <xf numFmtId="0" fontId="188" fillId="18" borderId="125" xfId="3" applyNumberFormat="1" applyFont="1" applyFill="1" applyBorder="1" applyAlignment="1" applyProtection="1">
      <alignment horizontal="left"/>
      <protection hidden="1"/>
    </xf>
    <xf numFmtId="0" fontId="10" fillId="18" borderId="117" xfId="3" applyNumberFormat="1" applyFont="1" applyFill="1" applyBorder="1" applyAlignment="1" applyProtection="1">
      <alignment horizontal="left"/>
      <protection hidden="1"/>
    </xf>
    <xf numFmtId="186" fontId="188" fillId="18" borderId="0" xfId="3" applyNumberFormat="1" applyFont="1" applyFill="1" applyBorder="1" applyAlignment="1" applyProtection="1">
      <alignment horizontal="right" vertical="center" shrinkToFit="1"/>
      <protection hidden="1"/>
    </xf>
    <xf numFmtId="0" fontId="157" fillId="18" borderId="0" xfId="3" applyNumberFormat="1" applyFont="1" applyFill="1" applyBorder="1" applyAlignment="1" applyProtection="1">
      <alignment horizontal="left"/>
      <protection hidden="1"/>
    </xf>
    <xf numFmtId="188" fontId="188" fillId="18" borderId="0" xfId="3" applyNumberFormat="1" applyFont="1" applyFill="1" applyBorder="1" applyAlignment="1" applyProtection="1">
      <alignment horizontal="right" vertical="center" shrinkToFit="1"/>
      <protection hidden="1"/>
    </xf>
    <xf numFmtId="0" fontId="188" fillId="18" borderId="0" xfId="3" applyFont="1" applyFill="1" applyBorder="1" applyAlignment="1" applyProtection="1">
      <alignment vertical="center"/>
    </xf>
    <xf numFmtId="0" fontId="10" fillId="18" borderId="198" xfId="3" applyNumberFormat="1" applyFont="1" applyFill="1" applyBorder="1" applyAlignment="1" applyProtection="1">
      <alignment horizontal="left"/>
      <protection hidden="1"/>
    </xf>
    <xf numFmtId="0" fontId="10" fillId="18" borderId="169" xfId="3" applyNumberFormat="1" applyFont="1" applyFill="1" applyBorder="1" applyAlignment="1" applyProtection="1">
      <alignment horizontal="left"/>
      <protection hidden="1"/>
    </xf>
    <xf numFmtId="0" fontId="10" fillId="18" borderId="170" xfId="3" applyNumberFormat="1" applyFont="1" applyFill="1" applyBorder="1" applyAlignment="1" applyProtection="1">
      <alignment horizontal="left"/>
      <protection hidden="1"/>
    </xf>
    <xf numFmtId="188" fontId="188" fillId="18" borderId="0" xfId="3" applyNumberFormat="1" applyFont="1" applyFill="1" applyBorder="1" applyAlignment="1" applyProtection="1">
      <alignment vertical="center" shrinkToFit="1"/>
      <protection hidden="1"/>
    </xf>
    <xf numFmtId="0" fontId="234" fillId="18" borderId="0" xfId="3" applyFont="1" applyFill="1" applyBorder="1" applyProtection="1"/>
    <xf numFmtId="0" fontId="235" fillId="18" borderId="0" xfId="3" applyFont="1" applyFill="1" applyAlignment="1" applyProtection="1"/>
    <xf numFmtId="0" fontId="10" fillId="30" borderId="0" xfId="3" applyNumberFormat="1" applyFont="1" applyFill="1" applyBorder="1" applyAlignment="1" applyProtection="1">
      <alignment vertical="center"/>
      <protection locked="0"/>
    </xf>
    <xf numFmtId="0" fontId="13" fillId="30" borderId="0" xfId="3" applyNumberFormat="1" applyFont="1" applyFill="1" applyBorder="1" applyAlignment="1" applyProtection="1">
      <alignment vertical="center"/>
      <protection locked="0"/>
    </xf>
    <xf numFmtId="0" fontId="235" fillId="18" borderId="0" xfId="3" applyFont="1" applyFill="1" applyAlignment="1" applyProtection="1">
      <alignment vertical="top"/>
    </xf>
    <xf numFmtId="0" fontId="13" fillId="30" borderId="0" xfId="3" applyNumberFormat="1" applyFont="1" applyFill="1" applyBorder="1" applyAlignment="1" applyProtection="1">
      <alignment vertical="top"/>
      <protection locked="0"/>
    </xf>
    <xf numFmtId="0" fontId="158" fillId="18" borderId="17" xfId="3" applyNumberFormat="1" applyFont="1" applyFill="1" applyBorder="1" applyAlignment="1" applyProtection="1">
      <alignment horizontal="center"/>
      <protection hidden="1"/>
    </xf>
    <xf numFmtId="0" fontId="188" fillId="18" borderId="17" xfId="3" applyNumberFormat="1" applyFont="1" applyFill="1" applyBorder="1" applyAlignment="1" applyProtection="1">
      <alignment horizontal="left"/>
      <protection hidden="1"/>
    </xf>
    <xf numFmtId="0" fontId="188" fillId="18" borderId="59" xfId="3" applyNumberFormat="1" applyFont="1" applyFill="1" applyBorder="1" applyAlignment="1" applyProtection="1">
      <alignment horizontal="left"/>
      <protection hidden="1"/>
    </xf>
    <xf numFmtId="0" fontId="10" fillId="28" borderId="0" xfId="2" applyFont="1" applyFill="1" applyProtection="1">
      <alignment vertical="center"/>
      <protection hidden="1"/>
    </xf>
    <xf numFmtId="0" fontId="47" fillId="18" borderId="113" xfId="2" applyFont="1" applyFill="1" applyBorder="1" applyAlignment="1" applyProtection="1">
      <alignment horizontal="center" vertical="center" shrinkToFit="1"/>
      <protection hidden="1"/>
    </xf>
    <xf numFmtId="0" fontId="27" fillId="30" borderId="115" xfId="2" applyFont="1" applyFill="1" applyBorder="1" applyAlignment="1" applyProtection="1">
      <alignment horizontal="center" vertical="center"/>
      <protection hidden="1"/>
    </xf>
    <xf numFmtId="0" fontId="27" fillId="30" borderId="76" xfId="2" applyFont="1" applyFill="1" applyBorder="1" applyAlignment="1" applyProtection="1">
      <alignment horizontal="center" vertical="center" shrinkToFit="1"/>
      <protection hidden="1"/>
    </xf>
    <xf numFmtId="0" fontId="27" fillId="18" borderId="116" xfId="2" applyFont="1" applyFill="1" applyBorder="1" applyAlignment="1" applyProtection="1">
      <alignment vertical="top" wrapText="1"/>
      <protection hidden="1"/>
    </xf>
    <xf numFmtId="0" fontId="27" fillId="18" borderId="117" xfId="2" applyFont="1" applyFill="1" applyBorder="1" applyAlignment="1" applyProtection="1">
      <alignment vertical="center" wrapText="1"/>
      <protection hidden="1"/>
    </xf>
    <xf numFmtId="0" fontId="13" fillId="18" borderId="118" xfId="2" applyFont="1" applyFill="1" applyBorder="1" applyAlignment="1" applyProtection="1">
      <alignment vertical="top" wrapText="1"/>
      <protection hidden="1"/>
    </xf>
    <xf numFmtId="0" fontId="27" fillId="30" borderId="75" xfId="2" applyFont="1" applyFill="1" applyBorder="1" applyAlignment="1" applyProtection="1">
      <alignment horizontal="center" vertical="center"/>
      <protection hidden="1"/>
    </xf>
    <xf numFmtId="0" fontId="27" fillId="30" borderId="71" xfId="2" applyFont="1" applyFill="1" applyBorder="1" applyAlignment="1" applyProtection="1">
      <alignment horizontal="center" vertical="center" shrinkToFit="1"/>
      <protection hidden="1"/>
    </xf>
    <xf numFmtId="0" fontId="27" fillId="18" borderId="119" xfId="2" applyFont="1" applyFill="1" applyBorder="1" applyAlignment="1" applyProtection="1">
      <alignment horizontal="center" vertical="top"/>
      <protection hidden="1"/>
    </xf>
    <xf numFmtId="0" fontId="27" fillId="18" borderId="120" xfId="2" applyFont="1" applyFill="1" applyBorder="1" applyAlignment="1" applyProtection="1">
      <alignment horizontal="left" vertical="center" wrapText="1"/>
      <protection hidden="1"/>
    </xf>
    <xf numFmtId="0" fontId="10" fillId="18" borderId="121" xfId="2" applyFont="1" applyFill="1" applyBorder="1" applyProtection="1">
      <alignment vertical="center"/>
      <protection hidden="1"/>
    </xf>
    <xf numFmtId="0" fontId="27" fillId="30" borderId="122" xfId="2" applyFont="1" applyFill="1" applyBorder="1" applyAlignment="1" applyProtection="1">
      <alignment horizontal="center" vertical="center"/>
      <protection hidden="1"/>
    </xf>
    <xf numFmtId="0" fontId="27" fillId="30" borderId="123" xfId="2" applyFont="1" applyFill="1" applyBorder="1" applyAlignment="1" applyProtection="1">
      <alignment horizontal="center" vertical="center" shrinkToFit="1"/>
      <protection hidden="1"/>
    </xf>
    <xf numFmtId="0" fontId="27" fillId="18" borderId="116" xfId="2" applyFont="1" applyFill="1" applyBorder="1" applyAlignment="1" applyProtection="1">
      <alignment horizontal="center" vertical="top"/>
      <protection hidden="1"/>
    </xf>
    <xf numFmtId="0" fontId="27" fillId="18" borderId="117" xfId="2" applyFont="1" applyFill="1" applyBorder="1" applyAlignment="1" applyProtection="1">
      <alignment horizontal="left" vertical="center" wrapText="1"/>
      <protection hidden="1"/>
    </xf>
    <xf numFmtId="0" fontId="10" fillId="18" borderId="118" xfId="2" applyFont="1" applyFill="1" applyBorder="1" applyProtection="1">
      <alignment vertical="center"/>
      <protection hidden="1"/>
    </xf>
    <xf numFmtId="0" fontId="27" fillId="30" borderId="67" xfId="2" applyFont="1" applyFill="1" applyBorder="1" applyAlignment="1" applyProtection="1">
      <alignment horizontal="center" vertical="center" shrinkToFit="1"/>
      <protection hidden="1"/>
    </xf>
    <xf numFmtId="0" fontId="27" fillId="18" borderId="124" xfId="2" applyFont="1" applyFill="1" applyBorder="1" applyAlignment="1" applyProtection="1">
      <alignment horizontal="center" vertical="top"/>
      <protection hidden="1"/>
    </xf>
    <xf numFmtId="0" fontId="27" fillId="18" borderId="125" xfId="2" applyFont="1" applyFill="1" applyBorder="1" applyAlignment="1" applyProtection="1">
      <alignment horizontal="left" vertical="center" wrapText="1"/>
      <protection hidden="1"/>
    </xf>
    <xf numFmtId="0" fontId="10" fillId="18" borderId="126" xfId="2" applyFont="1" applyFill="1" applyBorder="1" applyProtection="1">
      <alignment vertical="center"/>
      <protection hidden="1"/>
    </xf>
    <xf numFmtId="0" fontId="13" fillId="30" borderId="13" xfId="2" quotePrefix="1" applyFont="1" applyFill="1" applyBorder="1" applyAlignment="1" applyProtection="1">
      <alignment horizontal="center" vertical="center" shrinkToFit="1"/>
      <protection hidden="1"/>
    </xf>
    <xf numFmtId="0" fontId="27" fillId="30" borderId="112" xfId="2" applyFont="1" applyFill="1" applyBorder="1" applyAlignment="1" applyProtection="1">
      <alignment horizontal="center" vertical="center"/>
      <protection hidden="1"/>
    </xf>
    <xf numFmtId="0" fontId="27" fillId="30" borderId="113" xfId="2" applyFont="1" applyFill="1" applyBorder="1" applyAlignment="1" applyProtection="1">
      <alignment horizontal="center" vertical="center" shrinkToFit="1"/>
      <protection hidden="1"/>
    </xf>
    <xf numFmtId="0" fontId="27" fillId="18" borderId="13" xfId="2" applyFont="1" applyFill="1" applyBorder="1" applyAlignment="1" applyProtection="1">
      <alignment horizontal="center" vertical="top"/>
      <protection hidden="1"/>
    </xf>
    <xf numFmtId="0" fontId="27" fillId="18" borderId="16" xfId="2" applyFont="1" applyFill="1" applyBorder="1" applyAlignment="1" applyProtection="1">
      <alignment horizontal="left" vertical="center" wrapText="1"/>
      <protection hidden="1"/>
    </xf>
    <xf numFmtId="0" fontId="10" fillId="18" borderId="14" xfId="2" applyFont="1" applyFill="1" applyBorder="1" applyProtection="1">
      <alignment vertical="center"/>
      <protection hidden="1"/>
    </xf>
    <xf numFmtId="0" fontId="27" fillId="18" borderId="125" xfId="2" applyFont="1" applyFill="1" applyBorder="1" applyAlignment="1" applyProtection="1">
      <alignment horizontal="left" vertical="top" wrapText="1"/>
      <protection hidden="1"/>
    </xf>
    <xf numFmtId="0" fontId="25" fillId="18" borderId="126" xfId="2" applyFont="1" applyFill="1" applyBorder="1" applyAlignment="1" applyProtection="1">
      <alignment horizontal="distributed" vertical="center"/>
      <protection hidden="1"/>
    </xf>
    <xf numFmtId="0" fontId="13" fillId="30" borderId="4" xfId="2" quotePrefix="1" applyFont="1" applyFill="1" applyBorder="1" applyAlignment="1" applyProtection="1">
      <alignment horizontal="center" vertical="center" shrinkToFit="1"/>
      <protection hidden="1"/>
    </xf>
    <xf numFmtId="0" fontId="27" fillId="18" borderId="4" xfId="2" applyFont="1" applyFill="1" applyBorder="1" applyAlignment="1" applyProtection="1">
      <alignment horizontal="center" vertical="top"/>
      <protection hidden="1"/>
    </xf>
    <xf numFmtId="0" fontId="27" fillId="18" borderId="0" xfId="2" applyFont="1" applyFill="1" applyBorder="1" applyAlignment="1" applyProtection="1">
      <alignment horizontal="left" vertical="top" wrapText="1"/>
      <protection hidden="1"/>
    </xf>
    <xf numFmtId="0" fontId="10" fillId="18" borderId="5" xfId="2" applyFont="1" applyFill="1" applyBorder="1" applyProtection="1">
      <alignment vertical="center"/>
      <protection hidden="1"/>
    </xf>
    <xf numFmtId="0" fontId="27" fillId="18" borderId="0" xfId="2" applyFont="1" applyFill="1" applyBorder="1" applyAlignment="1" applyProtection="1">
      <alignment horizontal="left" vertical="center" wrapText="1"/>
      <protection hidden="1"/>
    </xf>
    <xf numFmtId="0" fontId="27" fillId="30" borderId="128" xfId="2" applyFont="1" applyFill="1" applyBorder="1" applyAlignment="1" applyProtection="1">
      <alignment horizontal="center" vertical="center" shrinkToFit="1"/>
      <protection hidden="1"/>
    </xf>
    <xf numFmtId="0" fontId="27" fillId="18" borderId="129" xfId="2" applyFont="1" applyFill="1" applyBorder="1" applyAlignment="1" applyProtection="1">
      <alignment horizontal="center" vertical="top"/>
      <protection hidden="1"/>
    </xf>
    <xf numFmtId="0" fontId="27" fillId="18" borderId="130" xfId="2" applyFont="1" applyFill="1" applyBorder="1" applyAlignment="1" applyProtection="1">
      <alignment horizontal="left" vertical="center" wrapText="1"/>
      <protection hidden="1"/>
    </xf>
    <xf numFmtId="0" fontId="10" fillId="18" borderId="131" xfId="2" applyFont="1" applyFill="1" applyBorder="1" applyProtection="1">
      <alignment vertical="center"/>
      <protection hidden="1"/>
    </xf>
    <xf numFmtId="0" fontId="13" fillId="18" borderId="13" xfId="2" quotePrefix="1" applyFont="1" applyFill="1" applyBorder="1" applyAlignment="1" applyProtection="1">
      <alignment horizontal="center" vertical="center" shrinkToFit="1"/>
      <protection hidden="1"/>
    </xf>
    <xf numFmtId="0" fontId="27" fillId="18" borderId="112" xfId="2" applyFont="1" applyFill="1" applyBorder="1" applyAlignment="1" applyProtection="1">
      <alignment horizontal="center" vertical="center"/>
      <protection hidden="1"/>
    </xf>
    <xf numFmtId="0" fontId="27" fillId="18" borderId="16" xfId="2" applyFont="1" applyFill="1" applyBorder="1" applyAlignment="1" applyProtection="1">
      <alignment horizontal="left" vertical="top" wrapText="1"/>
      <protection hidden="1"/>
    </xf>
    <xf numFmtId="0" fontId="25" fillId="18" borderId="119" xfId="2" applyFont="1" applyFill="1" applyBorder="1" applyAlignment="1" applyProtection="1">
      <alignment horizontal="right" vertical="top"/>
      <protection hidden="1"/>
    </xf>
    <xf numFmtId="0" fontId="13" fillId="18" borderId="121" xfId="2" applyFont="1" applyFill="1" applyBorder="1" applyAlignment="1" applyProtection="1">
      <alignment horizontal="center"/>
      <protection hidden="1"/>
    </xf>
    <xf numFmtId="0" fontId="13" fillId="3" borderId="0" xfId="0" applyFont="1" applyFill="1" applyProtection="1">
      <alignment vertical="center"/>
      <protection hidden="1"/>
    </xf>
    <xf numFmtId="0" fontId="218" fillId="5" borderId="0" xfId="0" applyFont="1" applyFill="1" applyBorder="1" applyAlignment="1" applyProtection="1">
      <alignment horizontal="left" vertical="center"/>
      <protection hidden="1"/>
    </xf>
    <xf numFmtId="0" fontId="25" fillId="3" borderId="0" xfId="0" applyFont="1" applyFill="1" applyBorder="1" applyAlignment="1" applyProtection="1">
      <alignment vertical="center" shrinkToFit="1"/>
      <protection hidden="1"/>
    </xf>
    <xf numFmtId="0" fontId="13" fillId="3" borderId="0" xfId="0" applyFont="1" applyFill="1" applyBorder="1" applyAlignment="1" applyProtection="1">
      <alignment horizontal="center" vertical="center" shrinkToFit="1"/>
      <protection hidden="1"/>
    </xf>
    <xf numFmtId="0" fontId="13" fillId="3" borderId="0" xfId="0" applyFont="1" applyFill="1" applyBorder="1" applyAlignment="1" applyProtection="1">
      <alignment horizontal="left" vertical="center" shrinkToFit="1"/>
      <protection hidden="1"/>
    </xf>
    <xf numFmtId="176" fontId="47" fillId="3" borderId="0" xfId="0" applyNumberFormat="1" applyFont="1" applyFill="1" applyBorder="1" applyAlignment="1" applyProtection="1">
      <alignment horizontal="center" vertical="center"/>
      <protection locked="0"/>
    </xf>
    <xf numFmtId="176" fontId="47" fillId="3" borderId="0" xfId="0" applyNumberFormat="1" applyFont="1" applyFill="1" applyBorder="1" applyAlignment="1" applyProtection="1">
      <alignment horizontal="center" vertical="center"/>
      <protection hidden="1"/>
    </xf>
    <xf numFmtId="176" fontId="47" fillId="3" borderId="0" xfId="0" applyNumberFormat="1" applyFont="1" applyFill="1" applyBorder="1" applyAlignment="1" applyProtection="1">
      <alignment horizontal="center"/>
      <protection locked="0"/>
    </xf>
    <xf numFmtId="176" fontId="175" fillId="3" borderId="0" xfId="0" applyNumberFormat="1" applyFont="1" applyFill="1" applyBorder="1" applyAlignment="1" applyProtection="1">
      <alignment horizontal="center"/>
      <protection locked="0"/>
    </xf>
    <xf numFmtId="176" fontId="175" fillId="3" borderId="0" xfId="0" applyNumberFormat="1" applyFont="1" applyFill="1" applyBorder="1" applyAlignment="1" applyProtection="1">
      <alignment horizontal="center"/>
      <protection hidden="1"/>
    </xf>
    <xf numFmtId="176" fontId="175" fillId="3" borderId="0" xfId="0" applyNumberFormat="1" applyFont="1" applyFill="1" applyBorder="1" applyAlignment="1" applyProtection="1">
      <alignment horizontal="center" vertical="center"/>
      <protection hidden="1"/>
    </xf>
    <xf numFmtId="0" fontId="13" fillId="3" borderId="11" xfId="0" applyFont="1" applyFill="1" applyBorder="1" applyAlignment="1" applyProtection="1">
      <alignment horizontal="left" vertical="center" shrinkToFit="1"/>
      <protection hidden="1"/>
    </xf>
    <xf numFmtId="176" fontId="47" fillId="3" borderId="11" xfId="0" applyNumberFormat="1" applyFont="1" applyFill="1" applyBorder="1" applyAlignment="1" applyProtection="1">
      <alignment horizontal="center" vertical="center"/>
      <protection locked="0"/>
    </xf>
    <xf numFmtId="0" fontId="46" fillId="5" borderId="0" xfId="0" applyFont="1" applyFill="1" applyBorder="1" applyAlignment="1" applyProtection="1">
      <alignment vertical="center" shrinkToFit="1"/>
      <protection hidden="1"/>
    </xf>
    <xf numFmtId="0" fontId="242" fillId="5" borderId="35" xfId="0" applyFont="1" applyFill="1" applyBorder="1" applyAlignment="1" applyProtection="1">
      <alignment vertical="center" shrinkToFit="1"/>
      <protection hidden="1"/>
    </xf>
    <xf numFmtId="0" fontId="243" fillId="5" borderId="29" xfId="0" applyFont="1" applyFill="1" applyBorder="1" applyAlignment="1" applyProtection="1">
      <alignment vertical="center" shrinkToFit="1"/>
      <protection hidden="1"/>
    </xf>
    <xf numFmtId="0" fontId="242" fillId="5" borderId="29" xfId="0" applyFont="1" applyFill="1" applyBorder="1" applyAlignment="1" applyProtection="1">
      <alignment vertical="center" shrinkToFit="1"/>
      <protection hidden="1"/>
    </xf>
    <xf numFmtId="0" fontId="12" fillId="11" borderId="13" xfId="0" applyFont="1" applyFill="1" applyBorder="1" applyAlignment="1" applyProtection="1">
      <alignment horizontal="left" vertical="center" shrinkToFit="1"/>
      <protection hidden="1"/>
    </xf>
    <xf numFmtId="0" fontId="12" fillId="11" borderId="12" xfId="0" applyFont="1" applyFill="1" applyBorder="1" applyAlignment="1" applyProtection="1">
      <alignment horizontal="left" vertical="center"/>
      <protection hidden="1"/>
    </xf>
    <xf numFmtId="0" fontId="4" fillId="5" borderId="199" xfId="0" applyFont="1" applyFill="1" applyBorder="1" applyAlignment="1" applyProtection="1">
      <alignment vertical="center"/>
      <protection hidden="1"/>
    </xf>
    <xf numFmtId="49" fontId="12" fillId="11" borderId="175" xfId="0" applyNumberFormat="1" applyFont="1" applyFill="1" applyBorder="1" applyAlignment="1" applyProtection="1">
      <alignment horizontal="left" vertical="center" shrinkToFit="1"/>
      <protection hidden="1"/>
    </xf>
    <xf numFmtId="0" fontId="12" fillId="11" borderId="175" xfId="0" applyFont="1" applyFill="1" applyBorder="1" applyAlignment="1" applyProtection="1">
      <alignment horizontal="left" vertical="center" shrinkToFit="1"/>
      <protection hidden="1"/>
    </xf>
    <xf numFmtId="49" fontId="24" fillId="11" borderId="175" xfId="0" applyNumberFormat="1" applyFont="1" applyFill="1" applyBorder="1" applyAlignment="1" applyProtection="1">
      <alignment horizontal="left" vertical="center" shrinkToFit="1"/>
      <protection hidden="1"/>
    </xf>
    <xf numFmtId="0" fontId="2" fillId="5" borderId="0" xfId="0" applyFont="1" applyFill="1" applyBorder="1" applyAlignment="1" applyProtection="1">
      <alignment horizontal="center" vertical="center" shrinkToFit="1"/>
      <protection hidden="1"/>
    </xf>
    <xf numFmtId="182" fontId="12" fillId="5" borderId="0" xfId="0" applyNumberFormat="1" applyFont="1" applyFill="1" applyBorder="1" applyAlignment="1" applyProtection="1">
      <alignment horizontal="center" vertical="center" shrinkToFit="1"/>
      <protection hidden="1"/>
    </xf>
    <xf numFmtId="182" fontId="12" fillId="5" borderId="0" xfId="0" applyNumberFormat="1" applyFont="1" applyFill="1" applyBorder="1" applyAlignment="1" applyProtection="1">
      <alignment horizontal="right" vertical="center" shrinkToFit="1"/>
      <protection hidden="1"/>
    </xf>
    <xf numFmtId="0" fontId="242" fillId="5" borderId="0" xfId="0" applyFont="1" applyFill="1" applyBorder="1" applyAlignment="1" applyProtection="1">
      <alignment vertical="center" shrinkToFit="1"/>
      <protection hidden="1"/>
    </xf>
    <xf numFmtId="182" fontId="21" fillId="5" borderId="0" xfId="0" applyNumberFormat="1" applyFont="1" applyFill="1" applyBorder="1" applyAlignment="1" applyProtection="1">
      <alignment vertical="center"/>
      <protection hidden="1"/>
    </xf>
    <xf numFmtId="0" fontId="186" fillId="2" borderId="77" xfId="0" applyFont="1" applyFill="1" applyBorder="1" applyAlignment="1" applyProtection="1">
      <alignment horizontal="center" vertical="center"/>
      <protection hidden="1"/>
    </xf>
    <xf numFmtId="0" fontId="19" fillId="5" borderId="0" xfId="0" applyFont="1" applyFill="1" applyBorder="1" applyAlignment="1" applyProtection="1">
      <alignment horizontal="left" vertical="center"/>
      <protection hidden="1"/>
    </xf>
    <xf numFmtId="0" fontId="186" fillId="5" borderId="35" xfId="0" applyFont="1" applyFill="1" applyBorder="1" applyAlignment="1" applyProtection="1">
      <alignment horizontal="center" vertical="center"/>
      <protection hidden="1"/>
    </xf>
    <xf numFmtId="182" fontId="53" fillId="2" borderId="0" xfId="0" applyNumberFormat="1" applyFont="1" applyFill="1" applyBorder="1" applyAlignment="1" applyProtection="1">
      <alignment vertical="center" shrinkToFit="1"/>
      <protection hidden="1"/>
    </xf>
    <xf numFmtId="0" fontId="53" fillId="2" borderId="0" xfId="0" applyFont="1" applyFill="1" applyAlignment="1" applyProtection="1">
      <alignment vertical="top"/>
      <protection hidden="1"/>
    </xf>
    <xf numFmtId="0" fontId="53" fillId="2" borderId="0" xfId="0" applyFont="1" applyFill="1" applyBorder="1" applyAlignment="1" applyProtection="1">
      <alignment vertical="center"/>
      <protection hidden="1"/>
    </xf>
    <xf numFmtId="0" fontId="53" fillId="5" borderId="0" xfId="0" applyFont="1" applyFill="1" applyBorder="1" applyAlignment="1" applyProtection="1">
      <alignment vertical="center"/>
      <protection hidden="1"/>
    </xf>
    <xf numFmtId="0" fontId="2" fillId="5" borderId="0" xfId="0" applyFont="1" applyFill="1" applyBorder="1" applyAlignment="1" applyProtection="1">
      <alignment horizontal="left" vertical="center"/>
      <protection hidden="1"/>
    </xf>
    <xf numFmtId="0" fontId="53" fillId="5" borderId="5" xfId="0" applyFont="1" applyFill="1" applyBorder="1" applyAlignment="1" applyProtection="1">
      <alignment vertical="top"/>
      <protection hidden="1"/>
    </xf>
    <xf numFmtId="0" fontId="53" fillId="5" borderId="5" xfId="0" applyFont="1" applyFill="1" applyBorder="1" applyAlignment="1" applyProtection="1">
      <alignment vertical="center"/>
      <protection hidden="1"/>
    </xf>
    <xf numFmtId="182" fontId="53" fillId="5" borderId="5" xfId="0" applyNumberFormat="1" applyFont="1" applyFill="1" applyBorder="1" applyAlignment="1" applyProtection="1">
      <alignment vertical="center" shrinkToFit="1"/>
      <protection hidden="1"/>
    </xf>
    <xf numFmtId="176" fontId="74" fillId="5" borderId="4" xfId="0" applyNumberFormat="1" applyFont="1" applyFill="1" applyBorder="1" applyAlignment="1" applyProtection="1">
      <alignment horizontal="left" vertical="center"/>
      <protection hidden="1"/>
    </xf>
    <xf numFmtId="176" fontId="74" fillId="5" borderId="0" xfId="0" applyNumberFormat="1" applyFont="1" applyFill="1" applyBorder="1" applyAlignment="1" applyProtection="1">
      <alignment horizontal="left" vertical="center"/>
      <protection hidden="1"/>
    </xf>
    <xf numFmtId="0" fontId="19" fillId="5" borderId="0" xfId="0" applyFont="1" applyFill="1" applyBorder="1" applyAlignment="1" applyProtection="1">
      <alignment vertical="center"/>
      <protection hidden="1"/>
    </xf>
    <xf numFmtId="0" fontId="53" fillId="5" borderId="5" xfId="0" applyFont="1" applyFill="1" applyBorder="1" applyAlignment="1" applyProtection="1">
      <alignment horizontal="right" vertical="center"/>
      <protection hidden="1"/>
    </xf>
    <xf numFmtId="0" fontId="38" fillId="5" borderId="37" xfId="0" applyFont="1" applyFill="1" applyBorder="1" applyAlignment="1" applyProtection="1">
      <alignment vertical="center" wrapText="1"/>
      <protection hidden="1"/>
    </xf>
    <xf numFmtId="0" fontId="28" fillId="5" borderId="19" xfId="0" applyFont="1" applyFill="1" applyBorder="1" applyAlignment="1" applyProtection="1">
      <alignment horizontal="center" vertical="center"/>
      <protection hidden="1"/>
    </xf>
    <xf numFmtId="0" fontId="67" fillId="5" borderId="219" xfId="0" applyFont="1" applyFill="1" applyBorder="1" applyAlignment="1" applyProtection="1">
      <alignment horizontal="center" vertical="center" shrinkToFit="1"/>
      <protection hidden="1"/>
    </xf>
    <xf numFmtId="0" fontId="68" fillId="5" borderId="219" xfId="0" applyFont="1" applyFill="1" applyBorder="1" applyAlignment="1" applyProtection="1">
      <alignment horizontal="center" vertical="center" shrinkToFit="1"/>
      <protection locked="0"/>
    </xf>
    <xf numFmtId="0" fontId="12" fillId="5" borderId="219" xfId="0" applyFont="1" applyFill="1" applyBorder="1" applyAlignment="1" applyProtection="1">
      <alignment horizontal="center" vertical="center"/>
      <protection hidden="1"/>
    </xf>
    <xf numFmtId="0" fontId="69" fillId="5" borderId="219" xfId="0" applyFont="1" applyFill="1" applyBorder="1" applyAlignment="1" applyProtection="1">
      <alignment horizontal="left" vertical="center" shrinkToFit="1"/>
      <protection hidden="1"/>
    </xf>
    <xf numFmtId="0" fontId="67" fillId="5" borderId="219" xfId="0" applyFont="1" applyFill="1" applyBorder="1" applyAlignment="1" applyProtection="1">
      <alignment horizontal="center" vertical="center" shrinkToFit="1"/>
      <protection locked="0"/>
    </xf>
    <xf numFmtId="0" fontId="12" fillId="5" borderId="219" xfId="0" applyFont="1" applyFill="1" applyBorder="1" applyAlignment="1" applyProtection="1">
      <alignment horizontal="left" vertical="center" shrinkToFit="1"/>
      <protection hidden="1"/>
    </xf>
    <xf numFmtId="0" fontId="4" fillId="5" borderId="20" xfId="0" applyFont="1" applyFill="1" applyBorder="1" applyAlignment="1" applyProtection="1">
      <alignment vertical="center" wrapText="1"/>
      <protection hidden="1"/>
    </xf>
    <xf numFmtId="0" fontId="28" fillId="5" borderId="220" xfId="0" applyFont="1" applyFill="1" applyBorder="1" applyAlignment="1" applyProtection="1">
      <alignment horizontal="center" vertical="center"/>
      <protection hidden="1"/>
    </xf>
    <xf numFmtId="0" fontId="67" fillId="5" borderId="199" xfId="0" applyFont="1" applyFill="1" applyBorder="1" applyAlignment="1" applyProtection="1">
      <alignment horizontal="center" vertical="center" shrinkToFit="1"/>
      <protection hidden="1"/>
    </xf>
    <xf numFmtId="0" fontId="68" fillId="5" borderId="199" xfId="0" applyFont="1" applyFill="1" applyBorder="1" applyAlignment="1" applyProtection="1">
      <alignment horizontal="center" vertical="center" shrinkToFit="1"/>
      <protection locked="0"/>
    </xf>
    <xf numFmtId="0" fontId="12" fillId="5" borderId="199" xfId="0" applyFont="1" applyFill="1" applyBorder="1" applyAlignment="1" applyProtection="1">
      <alignment horizontal="center" vertical="center"/>
      <protection hidden="1"/>
    </xf>
    <xf numFmtId="0" fontId="194" fillId="5" borderId="199" xfId="1" applyFont="1" applyFill="1" applyBorder="1" applyAlignment="1" applyProtection="1">
      <alignment horizontal="left" vertical="center"/>
      <protection hidden="1"/>
    </xf>
    <xf numFmtId="0" fontId="69" fillId="5" borderId="199" xfId="0" applyFont="1" applyFill="1" applyBorder="1" applyAlignment="1" applyProtection="1">
      <alignment horizontal="left" vertical="center" shrinkToFit="1"/>
      <protection hidden="1"/>
    </xf>
    <xf numFmtId="0" fontId="38" fillId="5" borderId="199" xfId="0" applyFont="1" applyFill="1" applyBorder="1" applyAlignment="1" applyProtection="1">
      <alignment vertical="center" wrapText="1"/>
      <protection hidden="1"/>
    </xf>
    <xf numFmtId="0" fontId="67" fillId="5" borderId="199" xfId="0" applyFont="1" applyFill="1" applyBorder="1" applyAlignment="1" applyProtection="1">
      <alignment horizontal="center" vertical="center" shrinkToFit="1"/>
      <protection locked="0"/>
    </xf>
    <xf numFmtId="0" fontId="70" fillId="5" borderId="199" xfId="0" applyFont="1" applyFill="1" applyBorder="1" applyAlignment="1" applyProtection="1">
      <alignment horizontal="left" vertical="center"/>
      <protection locked="0"/>
    </xf>
    <xf numFmtId="0" fontId="12" fillId="5" borderId="199" xfId="0" applyFont="1" applyFill="1" applyBorder="1" applyAlignment="1" applyProtection="1">
      <alignment horizontal="left" vertical="center" shrinkToFit="1"/>
      <protection hidden="1"/>
    </xf>
    <xf numFmtId="0" fontId="4" fillId="5" borderId="221" xfId="0" applyFont="1" applyFill="1" applyBorder="1" applyAlignment="1" applyProtection="1">
      <alignment vertical="center" wrapText="1"/>
      <protection hidden="1"/>
    </xf>
    <xf numFmtId="0" fontId="70" fillId="5" borderId="178" xfId="0" applyFont="1" applyFill="1" applyBorder="1" applyAlignment="1" applyProtection="1">
      <alignment horizontal="left" vertical="center"/>
      <protection locked="0"/>
    </xf>
    <xf numFmtId="0" fontId="250" fillId="29" borderId="0" xfId="1" applyFont="1" applyFill="1" applyBorder="1" applyAlignment="1">
      <alignment vertical="center"/>
    </xf>
    <xf numFmtId="0" fontId="183" fillId="5" borderId="29" xfId="1" applyFont="1" applyFill="1" applyBorder="1" applyAlignment="1" applyProtection="1">
      <alignment vertical="center" shrinkToFit="1"/>
      <protection hidden="1"/>
    </xf>
    <xf numFmtId="0" fontId="2" fillId="5" borderId="29" xfId="0" applyFont="1" applyFill="1" applyBorder="1" applyAlignment="1" applyProtection="1">
      <alignment horizontal="center" vertical="center"/>
      <protection hidden="1"/>
    </xf>
    <xf numFmtId="0" fontId="10" fillId="18" borderId="198" xfId="3" applyNumberFormat="1" applyFont="1" applyFill="1" applyBorder="1" applyAlignment="1" applyProtection="1">
      <alignment horizontal="left"/>
      <protection hidden="1"/>
    </xf>
    <xf numFmtId="0" fontId="10" fillId="18" borderId="169" xfId="3" applyNumberFormat="1" applyFont="1" applyFill="1" applyBorder="1" applyAlignment="1" applyProtection="1">
      <alignment horizontal="left"/>
      <protection hidden="1"/>
    </xf>
    <xf numFmtId="0" fontId="10" fillId="18" borderId="170" xfId="3" applyNumberFormat="1" applyFont="1" applyFill="1" applyBorder="1" applyAlignment="1" applyProtection="1">
      <alignment horizontal="left"/>
      <protection hidden="1"/>
    </xf>
    <xf numFmtId="0" fontId="10" fillId="18" borderId="68" xfId="3" applyNumberFormat="1" applyFont="1" applyFill="1" applyBorder="1" applyAlignment="1" applyProtection="1">
      <alignment horizontal="left"/>
      <protection hidden="1"/>
    </xf>
    <xf numFmtId="0" fontId="10" fillId="18" borderId="125" xfId="3" applyNumberFormat="1" applyFont="1" applyFill="1" applyBorder="1" applyAlignment="1" applyProtection="1">
      <alignment horizontal="left"/>
      <protection hidden="1"/>
    </xf>
    <xf numFmtId="0" fontId="10" fillId="18" borderId="148" xfId="3" applyNumberFormat="1" applyFont="1" applyFill="1" applyBorder="1" applyAlignment="1" applyProtection="1">
      <alignment horizontal="left"/>
      <protection hidden="1"/>
    </xf>
    <xf numFmtId="0" fontId="10" fillId="18" borderId="17" xfId="3" applyNumberFormat="1" applyFont="1" applyFill="1" applyBorder="1" applyAlignment="1" applyProtection="1">
      <alignment horizontal="left"/>
      <protection hidden="1"/>
    </xf>
    <xf numFmtId="0" fontId="226" fillId="18" borderId="269" xfId="3" applyNumberFormat="1" applyFont="1" applyFill="1" applyBorder="1" applyAlignment="1" applyProtection="1">
      <alignment horizontal="center" vertical="center"/>
    </xf>
    <xf numFmtId="0" fontId="10" fillId="18" borderId="17" xfId="3" applyNumberFormat="1" applyFont="1" applyFill="1" applyBorder="1" applyAlignment="1" applyProtection="1">
      <alignment horizontal="left"/>
      <protection hidden="1"/>
    </xf>
    <xf numFmtId="0" fontId="10" fillId="18" borderId="125" xfId="3" applyNumberFormat="1" applyFont="1" applyFill="1" applyBorder="1" applyAlignment="1" applyProtection="1">
      <alignment horizontal="left"/>
      <protection hidden="1"/>
    </xf>
    <xf numFmtId="0" fontId="249" fillId="18" borderId="195" xfId="3" applyNumberFormat="1" applyFont="1" applyFill="1" applyBorder="1" applyAlignment="1" applyProtection="1">
      <alignment horizontal="center" shrinkToFit="1"/>
      <protection hidden="1"/>
    </xf>
    <xf numFmtId="0" fontId="249" fillId="18" borderId="171" xfId="3" applyNumberFormat="1" applyFont="1" applyFill="1" applyBorder="1" applyAlignment="1" applyProtection="1">
      <alignment horizontal="center" shrinkToFit="1"/>
      <protection hidden="1"/>
    </xf>
    <xf numFmtId="176" fontId="15" fillId="18" borderId="14" xfId="3" applyNumberFormat="1" applyFont="1" applyFill="1" applyBorder="1" applyAlignment="1" applyProtection="1">
      <alignment horizontal="center" vertical="center" shrinkToFit="1"/>
    </xf>
    <xf numFmtId="0" fontId="25" fillId="18" borderId="17" xfId="3" applyFont="1" applyFill="1" applyBorder="1" applyAlignment="1" applyProtection="1">
      <alignment horizontal="right" vertical="center"/>
    </xf>
    <xf numFmtId="176" fontId="158" fillId="18" borderId="0" xfId="3" applyNumberFormat="1" applyFont="1" applyFill="1" applyAlignment="1" applyProtection="1">
      <alignment shrinkToFit="1"/>
    </xf>
    <xf numFmtId="0" fontId="15" fillId="18" borderId="4" xfId="3" applyFont="1" applyFill="1" applyBorder="1" applyAlignment="1" applyProtection="1"/>
    <xf numFmtId="0" fontId="15" fillId="18" borderId="0" xfId="3" applyFont="1" applyFill="1" applyAlignment="1" applyProtection="1"/>
    <xf numFmtId="0" fontId="252" fillId="18" borderId="59" xfId="3" applyNumberFormat="1" applyFont="1" applyFill="1" applyBorder="1" applyAlignment="1" applyProtection="1">
      <alignment horizontal="right"/>
      <protection hidden="1"/>
    </xf>
    <xf numFmtId="0" fontId="252" fillId="18" borderId="17" xfId="3" applyNumberFormat="1" applyFont="1" applyFill="1" applyBorder="1" applyAlignment="1" applyProtection="1">
      <alignment horizontal="right"/>
      <protection hidden="1"/>
    </xf>
    <xf numFmtId="0" fontId="249" fillId="18" borderId="125" xfId="3" applyNumberFormat="1" applyFont="1" applyFill="1" applyBorder="1" applyAlignment="1" applyProtection="1">
      <alignment horizontal="left"/>
      <protection hidden="1"/>
    </xf>
    <xf numFmtId="0" fontId="252" fillId="18" borderId="59" xfId="3" applyNumberFormat="1" applyFont="1" applyFill="1" applyBorder="1" applyAlignment="1" applyProtection="1">
      <alignment horizontal="center"/>
      <protection hidden="1"/>
    </xf>
    <xf numFmtId="0" fontId="252" fillId="18" borderId="17" xfId="3" applyNumberFormat="1" applyFont="1" applyFill="1" applyBorder="1" applyAlignment="1" applyProtection="1">
      <alignment horizontal="center"/>
      <protection hidden="1"/>
    </xf>
    <xf numFmtId="0" fontId="249" fillId="18" borderId="17" xfId="3" applyNumberFormat="1" applyFont="1" applyFill="1" applyBorder="1" applyAlignment="1" applyProtection="1">
      <alignment horizontal="left"/>
      <protection hidden="1"/>
    </xf>
    <xf numFmtId="0" fontId="10" fillId="18" borderId="130" xfId="3" applyNumberFormat="1" applyFont="1" applyFill="1" applyBorder="1" applyAlignment="1" applyProtection="1">
      <alignment horizontal="left"/>
      <protection hidden="1"/>
    </xf>
    <xf numFmtId="0" fontId="254" fillId="18" borderId="163" xfId="3" applyNumberFormat="1" applyFont="1" applyFill="1" applyBorder="1" applyAlignment="1" applyProtection="1">
      <alignment horizontal="left"/>
      <protection hidden="1"/>
    </xf>
    <xf numFmtId="0" fontId="249" fillId="18" borderId="59" xfId="3" applyNumberFormat="1" applyFont="1" applyFill="1" applyBorder="1" applyAlignment="1" applyProtection="1">
      <alignment horizontal="left"/>
      <protection hidden="1"/>
    </xf>
    <xf numFmtId="176" fontId="252" fillId="18" borderId="11" xfId="3" applyNumberFormat="1" applyFont="1" applyFill="1" applyBorder="1" applyAlignment="1" applyProtection="1">
      <alignment horizontal="center" vertical="center" shrinkToFit="1"/>
    </xf>
    <xf numFmtId="176" fontId="252" fillId="18" borderId="219" xfId="3" applyNumberFormat="1" applyFont="1" applyFill="1" applyBorder="1" applyAlignment="1" applyProtection="1">
      <alignment horizontal="center" vertical="center" shrinkToFit="1"/>
    </xf>
    <xf numFmtId="0" fontId="252" fillId="18" borderId="219" xfId="3" applyFont="1" applyFill="1" applyBorder="1" applyAlignment="1" applyProtection="1">
      <alignment horizontal="left" vertical="center"/>
    </xf>
    <xf numFmtId="0" fontId="252" fillId="18" borderId="11" xfId="3" applyFont="1" applyFill="1" applyBorder="1" applyAlignment="1" applyProtection="1">
      <alignment horizontal="left" vertical="center"/>
    </xf>
    <xf numFmtId="0" fontId="252" fillId="18" borderId="59" xfId="3" quotePrefix="1" applyNumberFormat="1" applyFont="1" applyFill="1" applyBorder="1" applyAlignment="1" applyProtection="1">
      <alignment horizontal="right"/>
      <protection hidden="1"/>
    </xf>
    <xf numFmtId="0" fontId="222" fillId="18" borderId="0" xfId="3" applyNumberFormat="1" applyFont="1" applyFill="1" applyBorder="1" applyAlignment="1" applyProtection="1">
      <protection hidden="1"/>
    </xf>
    <xf numFmtId="185" fontId="258" fillId="18" borderId="14" xfId="3" applyNumberFormat="1" applyFont="1" applyFill="1" applyBorder="1" applyAlignment="1" applyProtection="1">
      <alignment horizontal="right" vertical="center" shrinkToFit="1"/>
      <protection locked="0"/>
    </xf>
    <xf numFmtId="185" fontId="258" fillId="18" borderId="12" xfId="3" applyNumberFormat="1" applyFont="1" applyFill="1" applyBorder="1" applyAlignment="1" applyProtection="1">
      <alignment horizontal="right" vertical="center" shrinkToFit="1"/>
      <protection locked="0"/>
    </xf>
    <xf numFmtId="186" fontId="259" fillId="18" borderId="12" xfId="3" applyNumberFormat="1" applyFont="1" applyFill="1" applyBorder="1" applyAlignment="1" applyProtection="1">
      <alignment horizontal="right" vertical="center" shrinkToFit="1"/>
      <protection locked="0"/>
    </xf>
    <xf numFmtId="187" fontId="249" fillId="18" borderId="146" xfId="3" applyNumberFormat="1" applyFont="1" applyFill="1" applyBorder="1" applyAlignment="1" applyProtection="1">
      <alignment horizontal="right" vertical="center" shrinkToFit="1"/>
      <protection hidden="1"/>
    </xf>
    <xf numFmtId="0" fontId="252" fillId="18" borderId="14" xfId="3" applyNumberFormat="1" applyFont="1" applyFill="1" applyBorder="1" applyAlignment="1" applyProtection="1">
      <alignment horizontal="right" vertical="center" shrinkToFit="1"/>
      <protection hidden="1"/>
    </xf>
    <xf numFmtId="182" fontId="252" fillId="18" borderId="12" xfId="3" applyNumberFormat="1" applyFont="1" applyFill="1" applyBorder="1" applyAlignment="1" applyProtection="1">
      <alignment horizontal="right" vertical="center"/>
      <protection hidden="1"/>
    </xf>
    <xf numFmtId="182" fontId="252" fillId="18" borderId="15" xfId="3" applyNumberFormat="1" applyFont="1" applyFill="1" applyBorder="1" applyAlignment="1" applyProtection="1">
      <alignment horizontal="right" vertical="center"/>
      <protection hidden="1"/>
    </xf>
    <xf numFmtId="0" fontId="10" fillId="18" borderId="173" xfId="3" applyNumberFormat="1" applyFont="1" applyFill="1" applyBorder="1" applyAlignment="1" applyProtection="1">
      <alignment horizontal="center" vertical="center"/>
      <protection hidden="1"/>
    </xf>
    <xf numFmtId="190" fontId="261" fillId="18" borderId="178" xfId="3" applyNumberFormat="1" applyFont="1" applyFill="1" applyBorder="1" applyAlignment="1" applyProtection="1">
      <alignment horizontal="center" vertical="center"/>
      <protection hidden="1"/>
    </xf>
    <xf numFmtId="0" fontId="260" fillId="32" borderId="0" xfId="3" applyNumberFormat="1" applyFont="1" applyFill="1" applyBorder="1" applyAlignment="1" applyProtection="1">
      <alignment horizontal="left"/>
      <protection hidden="1"/>
    </xf>
    <xf numFmtId="49" fontId="263" fillId="30" borderId="0" xfId="3" applyNumberFormat="1" applyFont="1" applyFill="1" applyBorder="1" applyAlignment="1" applyProtection="1">
      <alignment horizontal="right" vertical="center"/>
      <protection locked="0"/>
    </xf>
    <xf numFmtId="49" fontId="263" fillId="30" borderId="0" xfId="3" applyNumberFormat="1" applyFont="1" applyFill="1" applyBorder="1" applyAlignment="1" applyProtection="1">
      <alignment horizontal="right" vertical="top"/>
      <protection locked="0"/>
    </xf>
    <xf numFmtId="0" fontId="263" fillId="18" borderId="0" xfId="3" applyFont="1" applyFill="1" applyBorder="1" applyAlignment="1" applyProtection="1"/>
    <xf numFmtId="0" fontId="263" fillId="18" borderId="0" xfId="3" applyFont="1" applyFill="1" applyBorder="1" applyAlignment="1" applyProtection="1">
      <alignment vertical="top"/>
    </xf>
    <xf numFmtId="0" fontId="72" fillId="18" borderId="0" xfId="3" applyNumberFormat="1" applyFont="1" applyFill="1" applyBorder="1" applyAlignment="1" applyProtection="1">
      <protection hidden="1"/>
    </xf>
    <xf numFmtId="186" fontId="188" fillId="18" borderId="12" xfId="3" applyNumberFormat="1" applyFont="1" applyFill="1" applyBorder="1" applyAlignment="1" applyProtection="1">
      <alignment horizontal="center" vertical="center" shrinkToFit="1"/>
      <protection hidden="1"/>
    </xf>
    <xf numFmtId="186" fontId="10" fillId="31" borderId="145" xfId="3" applyNumberFormat="1" applyFont="1" applyFill="1" applyBorder="1" applyAlignment="1" applyProtection="1">
      <alignment horizontal="center" vertical="center" shrinkToFit="1"/>
      <protection locked="0"/>
    </xf>
    <xf numFmtId="0" fontId="264" fillId="18" borderId="0" xfId="3" applyFont="1" applyFill="1" applyBorder="1" applyAlignment="1" applyProtection="1">
      <alignment horizontal="left"/>
    </xf>
    <xf numFmtId="0" fontId="10" fillId="18" borderId="173" xfId="3" applyFont="1" applyFill="1" applyBorder="1" applyAlignment="1" applyProtection="1">
      <alignment horizontal="center" vertical="center"/>
    </xf>
    <xf numFmtId="176" fontId="15" fillId="18" borderId="0" xfId="3" applyNumberFormat="1" applyFont="1" applyFill="1" applyAlignment="1" applyProtection="1">
      <alignment shrinkToFit="1"/>
    </xf>
    <xf numFmtId="176" fontId="15" fillId="18" borderId="12" xfId="3" applyNumberFormat="1" applyFont="1" applyFill="1" applyBorder="1" applyAlignment="1" applyProtection="1">
      <alignment shrinkToFit="1"/>
    </xf>
    <xf numFmtId="176" fontId="154" fillId="18" borderId="173" xfId="3" applyNumberFormat="1" applyFill="1" applyBorder="1" applyAlignment="1" applyProtection="1">
      <alignment horizontal="center" vertical="center" shrinkToFit="1"/>
    </xf>
    <xf numFmtId="176" fontId="158" fillId="18" borderId="0" xfId="3" applyNumberFormat="1" applyFont="1" applyFill="1" applyAlignment="1" applyProtection="1"/>
    <xf numFmtId="0" fontId="188" fillId="18" borderId="130" xfId="3" applyNumberFormat="1" applyFont="1" applyFill="1" applyBorder="1" applyAlignment="1" applyProtection="1">
      <alignment horizontal="left"/>
      <protection hidden="1"/>
    </xf>
    <xf numFmtId="0" fontId="222" fillId="18" borderId="130" xfId="3" applyNumberFormat="1" applyFont="1" applyFill="1" applyBorder="1" applyAlignment="1" applyProtection="1">
      <alignment horizontal="left"/>
      <protection hidden="1"/>
    </xf>
    <xf numFmtId="0" fontId="188" fillId="18" borderId="117" xfId="3" applyNumberFormat="1" applyFont="1" applyFill="1" applyBorder="1" applyAlignment="1" applyProtection="1">
      <alignment horizontal="left"/>
      <protection hidden="1"/>
    </xf>
    <xf numFmtId="0" fontId="10" fillId="18" borderId="125" xfId="3" applyNumberFormat="1" applyFont="1" applyFill="1" applyBorder="1" applyAlignment="1" applyProtection="1">
      <alignment horizontal="left" vertical="center"/>
      <protection hidden="1"/>
    </xf>
    <xf numFmtId="0" fontId="261" fillId="18" borderId="0" xfId="3" applyFont="1" applyFill="1" applyBorder="1" applyAlignment="1" applyProtection="1"/>
    <xf numFmtId="0" fontId="252" fillId="30" borderId="11" xfId="3" applyNumberFormat="1" applyFont="1" applyFill="1" applyBorder="1" applyAlignment="1" applyProtection="1">
      <alignment horizontal="left" vertical="center"/>
      <protection locked="0"/>
    </xf>
    <xf numFmtId="0" fontId="252" fillId="30" borderId="11" xfId="3" applyNumberFormat="1" applyFont="1" applyFill="1" applyBorder="1" applyAlignment="1" applyProtection="1">
      <alignment horizontal="center" vertical="center"/>
      <protection locked="0"/>
    </xf>
    <xf numFmtId="0" fontId="263" fillId="30" borderId="0" xfId="3" applyNumberFormat="1" applyFont="1" applyFill="1" applyBorder="1" applyAlignment="1" applyProtection="1">
      <alignment vertical="center"/>
      <protection locked="0"/>
    </xf>
    <xf numFmtId="0" fontId="263" fillId="30" borderId="0" xfId="3" applyNumberFormat="1" applyFont="1" applyFill="1" applyBorder="1" applyAlignment="1" applyProtection="1">
      <alignment vertical="top"/>
      <protection locked="0"/>
    </xf>
    <xf numFmtId="0" fontId="263" fillId="30" borderId="0" xfId="3" applyNumberFormat="1" applyFont="1" applyFill="1" applyBorder="1" applyAlignment="1" applyProtection="1">
      <alignment horizontal="right" vertical="top"/>
      <protection locked="0"/>
    </xf>
    <xf numFmtId="186" fontId="186" fillId="18" borderId="270" xfId="3" applyNumberFormat="1" applyFont="1" applyFill="1" applyBorder="1" applyAlignment="1" applyProtection="1">
      <alignment horizontal="right" vertical="center"/>
      <protection hidden="1"/>
    </xf>
    <xf numFmtId="186" fontId="186" fillId="18" borderId="113" xfId="3" applyNumberFormat="1" applyFont="1" applyFill="1" applyBorder="1" applyAlignment="1" applyProtection="1">
      <alignment horizontal="right" vertical="center" shrinkToFit="1"/>
      <protection hidden="1"/>
    </xf>
    <xf numFmtId="186" fontId="186" fillId="18" borderId="270" xfId="3" applyNumberFormat="1" applyFont="1" applyFill="1" applyBorder="1" applyAlignment="1" applyProtection="1">
      <alignment horizontal="right" vertical="center" shrinkToFit="1"/>
      <protection hidden="1"/>
    </xf>
    <xf numFmtId="0" fontId="53" fillId="2" borderId="0" xfId="0" applyFont="1" applyFill="1" applyAlignment="1" applyProtection="1">
      <alignment horizontal="left" vertical="center"/>
      <protection hidden="1"/>
    </xf>
    <xf numFmtId="0" fontId="258" fillId="5" borderId="0" xfId="0" applyFont="1" applyFill="1" applyBorder="1" applyAlignment="1" applyProtection="1">
      <alignment horizontal="center" vertical="center"/>
      <protection hidden="1"/>
    </xf>
    <xf numFmtId="0" fontId="258" fillId="5" borderId="5" xfId="0" applyFont="1" applyFill="1" applyBorder="1" applyAlignment="1" applyProtection="1">
      <alignment horizontal="center" vertical="center"/>
      <protection hidden="1"/>
    </xf>
    <xf numFmtId="0" fontId="258" fillId="5" borderId="219" xfId="0" applyFont="1" applyFill="1" applyBorder="1" applyAlignment="1" applyProtection="1">
      <alignment horizontal="center" vertical="center"/>
      <protection hidden="1"/>
    </xf>
    <xf numFmtId="0" fontId="258" fillId="5" borderId="20" xfId="0" applyFont="1" applyFill="1" applyBorder="1" applyAlignment="1" applyProtection="1">
      <alignment horizontal="center" vertical="center"/>
      <protection hidden="1"/>
    </xf>
    <xf numFmtId="0" fontId="66" fillId="0" borderId="0" xfId="0" applyNumberFormat="1" applyFont="1" applyAlignment="1" applyProtection="1">
      <alignment horizontal="center" vertical="center"/>
      <protection hidden="1"/>
    </xf>
    <xf numFmtId="0" fontId="273" fillId="33" borderId="29" xfId="0" applyNumberFormat="1" applyFont="1" applyFill="1" applyBorder="1" applyAlignment="1" applyProtection="1">
      <alignment horizontal="left" vertical="center" shrinkToFit="1"/>
      <protection hidden="1"/>
    </xf>
    <xf numFmtId="0" fontId="66" fillId="36" borderId="271" xfId="0" applyNumberFormat="1" applyFont="1" applyFill="1" applyBorder="1" applyAlignment="1" applyProtection="1">
      <alignment vertical="center" shrinkToFit="1"/>
      <protection hidden="1"/>
    </xf>
    <xf numFmtId="0" fontId="66" fillId="53" borderId="272" xfId="0" applyNumberFormat="1" applyFont="1" applyFill="1" applyBorder="1" applyProtection="1">
      <alignment vertical="center"/>
      <protection hidden="1"/>
    </xf>
    <xf numFmtId="0" fontId="72" fillId="60" borderId="0" xfId="0" applyNumberFormat="1" applyFont="1" applyFill="1" applyBorder="1" applyAlignment="1" applyProtection="1">
      <alignment vertical="center" shrinkToFit="1"/>
      <protection hidden="1"/>
    </xf>
    <xf numFmtId="0" fontId="197" fillId="60" borderId="0" xfId="0" applyNumberFormat="1" applyFont="1" applyFill="1" applyBorder="1" applyAlignment="1" applyProtection="1">
      <alignment horizontal="right" vertical="center"/>
      <protection hidden="1"/>
    </xf>
    <xf numFmtId="0" fontId="66" fillId="60" borderId="0" xfId="0" applyNumberFormat="1" applyFont="1" applyFill="1" applyBorder="1" applyAlignment="1" applyProtection="1">
      <alignment vertical="center" shrinkToFit="1"/>
      <protection hidden="1"/>
    </xf>
    <xf numFmtId="0" fontId="219" fillId="60" borderId="0" xfId="0" applyNumberFormat="1" applyFont="1" applyFill="1" applyBorder="1" applyAlignment="1" applyProtection="1">
      <alignment vertical="center" shrinkToFit="1"/>
      <protection hidden="1"/>
    </xf>
    <xf numFmtId="0" fontId="198" fillId="34" borderId="273" xfId="0" applyNumberFormat="1" applyFont="1" applyFill="1" applyBorder="1" applyAlignment="1" applyProtection="1">
      <alignment vertical="center" shrinkToFit="1"/>
      <protection hidden="1"/>
    </xf>
    <xf numFmtId="0" fontId="10" fillId="34" borderId="274" xfId="1" applyNumberFormat="1" applyFont="1" applyFill="1" applyBorder="1" applyAlignment="1" applyProtection="1">
      <alignment horizontal="distributed" vertical="center" shrinkToFit="1"/>
      <protection hidden="1"/>
    </xf>
    <xf numFmtId="0" fontId="198" fillId="34" borderId="275" xfId="0" applyNumberFormat="1" applyFont="1" applyFill="1" applyBorder="1" applyAlignment="1" applyProtection="1">
      <alignment vertical="center" shrinkToFit="1"/>
      <protection hidden="1"/>
    </xf>
    <xf numFmtId="0" fontId="2" fillId="34" borderId="274" xfId="1" applyNumberFormat="1" applyFont="1" applyFill="1" applyBorder="1" applyAlignment="1" applyProtection="1">
      <alignment horizontal="distributed" vertical="center" shrinkToFit="1"/>
      <protection hidden="1"/>
    </xf>
    <xf numFmtId="0" fontId="66" fillId="60" borderId="0" xfId="0" applyNumberFormat="1" applyFont="1" applyFill="1" applyBorder="1" applyProtection="1">
      <alignment vertical="center"/>
      <protection hidden="1"/>
    </xf>
    <xf numFmtId="0" fontId="72" fillId="60" borderId="0" xfId="0" applyNumberFormat="1" applyFont="1" applyFill="1" applyBorder="1" applyAlignment="1" applyProtection="1">
      <alignment horizontal="left" vertical="center" shrinkToFit="1"/>
      <protection hidden="1"/>
    </xf>
    <xf numFmtId="0" fontId="72" fillId="60" borderId="0" xfId="0" applyNumberFormat="1" applyFont="1" applyFill="1" applyBorder="1" applyAlignment="1" applyProtection="1">
      <alignment horizontal="center" vertical="center" shrinkToFit="1"/>
      <protection hidden="1"/>
    </xf>
    <xf numFmtId="0" fontId="163" fillId="33" borderId="0" xfId="0" applyNumberFormat="1" applyFont="1" applyFill="1" applyBorder="1" applyAlignment="1" applyProtection="1">
      <alignment horizontal="left" vertical="center"/>
      <protection hidden="1"/>
    </xf>
    <xf numFmtId="0" fontId="210" fillId="33" borderId="0" xfId="0" applyNumberFormat="1" applyFont="1" applyFill="1" applyBorder="1" applyAlignment="1" applyProtection="1">
      <alignment horizontal="left" vertical="center" wrapText="1" shrinkToFit="1"/>
      <protection hidden="1"/>
    </xf>
    <xf numFmtId="0" fontId="210" fillId="33" borderId="0" xfId="0" applyNumberFormat="1" applyFont="1" applyFill="1" applyBorder="1" applyAlignment="1" applyProtection="1">
      <alignment horizontal="left" vertical="center" shrinkToFit="1"/>
      <protection hidden="1"/>
    </xf>
    <xf numFmtId="0" fontId="297" fillId="33" borderId="0" xfId="0" applyNumberFormat="1" applyFont="1" applyFill="1" applyBorder="1" applyProtection="1">
      <alignment vertical="center"/>
      <protection hidden="1"/>
    </xf>
    <xf numFmtId="0" fontId="70" fillId="33" borderId="0" xfId="0" applyNumberFormat="1" applyFont="1" applyFill="1" applyBorder="1" applyAlignment="1" applyProtection="1">
      <alignment vertical="center" wrapText="1" shrinkToFit="1"/>
      <protection hidden="1"/>
    </xf>
    <xf numFmtId="0" fontId="70" fillId="33" borderId="0" xfId="0" applyNumberFormat="1" applyFont="1" applyFill="1" applyBorder="1" applyAlignment="1" applyProtection="1">
      <alignment vertical="center" shrinkToFit="1"/>
      <protection hidden="1"/>
    </xf>
    <xf numFmtId="0" fontId="273" fillId="33" borderId="0" xfId="0" applyNumberFormat="1" applyFont="1" applyFill="1" applyBorder="1" applyAlignment="1" applyProtection="1">
      <alignment vertical="center" wrapText="1" shrinkToFit="1"/>
      <protection hidden="1"/>
    </xf>
    <xf numFmtId="0" fontId="273" fillId="33" borderId="0" xfId="0" applyNumberFormat="1" applyFont="1" applyFill="1" applyBorder="1" applyAlignment="1" applyProtection="1">
      <alignment vertical="center" shrinkToFit="1"/>
      <protection hidden="1"/>
    </xf>
    <xf numFmtId="0" fontId="10" fillId="34" borderId="274" xfId="1" applyNumberFormat="1" applyFont="1" applyFill="1" applyBorder="1" applyAlignment="1" applyProtection="1">
      <alignment horizontal="distributed" vertical="center"/>
      <protection hidden="1"/>
    </xf>
    <xf numFmtId="0" fontId="4" fillId="57" borderId="276" xfId="1" applyNumberFormat="1" applyFont="1" applyFill="1" applyBorder="1" applyAlignment="1" applyProtection="1">
      <alignment horizontal="center" vertical="center" shrinkToFit="1"/>
      <protection hidden="1"/>
    </xf>
    <xf numFmtId="0" fontId="10" fillId="34" borderId="274" xfId="1" applyNumberFormat="1" applyFont="1" applyFill="1" applyBorder="1" applyAlignment="1" applyProtection="1">
      <alignment horizontal="center" vertical="center" shrinkToFit="1"/>
      <protection hidden="1"/>
    </xf>
    <xf numFmtId="0" fontId="11" fillId="0" borderId="0" xfId="0" applyFont="1" applyFill="1" applyAlignment="1">
      <alignment horizontal="center" vertical="center"/>
    </xf>
    <xf numFmtId="0" fontId="11" fillId="0" borderId="173" xfId="0" applyFont="1" applyFill="1" applyBorder="1" applyAlignment="1">
      <alignment horizontal="center" vertical="center" shrinkToFit="1"/>
    </xf>
    <xf numFmtId="182" fontId="11" fillId="0" borderId="173" xfId="0" applyNumberFormat="1" applyFont="1" applyFill="1" applyBorder="1" applyAlignment="1">
      <alignment horizontal="right" vertical="center" shrinkToFit="1"/>
    </xf>
    <xf numFmtId="182" fontId="11" fillId="0" borderId="0" xfId="0" quotePrefix="1" applyNumberFormat="1" applyFont="1" applyFill="1" applyAlignment="1">
      <alignment horizontal="center" vertical="center" shrinkToFit="1"/>
    </xf>
    <xf numFmtId="182" fontId="11" fillId="0" borderId="175" xfId="0" quotePrefix="1" applyNumberFormat="1" applyFont="1" applyFill="1" applyBorder="1" applyAlignment="1">
      <alignment horizontal="center" vertical="center" shrinkToFit="1"/>
    </xf>
    <xf numFmtId="182" fontId="11" fillId="0" borderId="173" xfId="0" applyNumberFormat="1" applyFont="1" applyFill="1" applyBorder="1" applyAlignment="1">
      <alignment horizontal="center" vertical="center" shrinkToFit="1"/>
    </xf>
    <xf numFmtId="1" fontId="11" fillId="0" borderId="173" xfId="0" applyNumberFormat="1" applyFont="1" applyFill="1" applyBorder="1" applyAlignment="1">
      <alignment horizontal="right" vertical="center" shrinkToFit="1"/>
    </xf>
    <xf numFmtId="185" fontId="11" fillId="0" borderId="173" xfId="0" applyNumberFormat="1" applyFont="1" applyFill="1" applyBorder="1" applyAlignment="1">
      <alignment horizontal="center" vertical="center" shrinkToFit="1"/>
    </xf>
    <xf numFmtId="185" fontId="11" fillId="0" borderId="173" xfId="0" applyNumberFormat="1" applyFont="1" applyFill="1" applyBorder="1" applyAlignment="1">
      <alignment vertical="center" shrinkToFit="1"/>
    </xf>
    <xf numFmtId="0" fontId="11" fillId="0" borderId="173" xfId="0" applyFont="1" applyFill="1" applyBorder="1" applyAlignment="1">
      <alignment horizontal="center" vertical="center"/>
    </xf>
    <xf numFmtId="182" fontId="11" fillId="0" borderId="173" xfId="0" quotePrefix="1" applyNumberFormat="1" applyFont="1" applyFill="1" applyBorder="1" applyAlignment="1">
      <alignment horizontal="center" vertical="center" shrinkToFit="1"/>
    </xf>
    <xf numFmtId="191" fontId="11" fillId="0" borderId="220" xfId="0" applyNumberFormat="1" applyFont="1" applyFill="1" applyBorder="1" applyAlignment="1">
      <alignment horizontal="center" vertical="center" shrinkToFit="1"/>
    </xf>
    <xf numFmtId="182" fontId="11" fillId="0" borderId="0" xfId="0" applyNumberFormat="1" applyFont="1" applyFill="1" applyAlignment="1">
      <alignment horizontal="right" vertical="center" shrinkToFit="1"/>
    </xf>
    <xf numFmtId="191" fontId="11" fillId="0" borderId="173" xfId="0" applyNumberFormat="1" applyFont="1" applyFill="1" applyBorder="1" applyAlignment="1">
      <alignment horizontal="center" vertical="center" shrinkToFit="1"/>
    </xf>
    <xf numFmtId="0" fontId="11" fillId="0" borderId="0" xfId="0" applyFont="1" applyFill="1" applyAlignment="1">
      <alignment horizontal="right" vertical="center"/>
    </xf>
    <xf numFmtId="0" fontId="194" fillId="5" borderId="219" xfId="1" applyFont="1" applyFill="1" applyBorder="1" applyAlignment="1" applyProtection="1">
      <alignment horizontal="left" vertical="center"/>
      <protection hidden="1"/>
    </xf>
    <xf numFmtId="0" fontId="11" fillId="7" borderId="0" xfId="0" applyFont="1" applyFill="1" applyBorder="1" applyAlignment="1" applyProtection="1">
      <alignment horizontal="left" vertical="center"/>
      <protection hidden="1"/>
    </xf>
    <xf numFmtId="0" fontId="30" fillId="35" borderId="279" xfId="1" applyNumberFormat="1" applyFont="1" applyFill="1" applyBorder="1" applyAlignment="1" applyProtection="1">
      <alignment horizontal="center" vertical="center" shrinkToFit="1"/>
      <protection hidden="1"/>
    </xf>
    <xf numFmtId="0" fontId="30" fillId="24" borderId="280" xfId="0" applyFont="1" applyFill="1" applyBorder="1" applyAlignment="1">
      <alignment horizontal="center" vertical="center"/>
    </xf>
    <xf numFmtId="0" fontId="15" fillId="18" borderId="17" xfId="3" applyFont="1" applyFill="1" applyBorder="1" applyAlignment="1" applyProtection="1">
      <alignment horizontal="right" vertical="center"/>
    </xf>
    <xf numFmtId="0" fontId="15" fillId="18" borderId="130" xfId="3" applyFont="1" applyFill="1" applyBorder="1" applyAlignment="1" applyProtection="1">
      <alignment horizontal="right" vertical="center"/>
    </xf>
    <xf numFmtId="0" fontId="252" fillId="18" borderId="117" xfId="3" applyNumberFormat="1" applyFont="1" applyFill="1" applyBorder="1" applyAlignment="1" applyProtection="1">
      <alignment horizontal="right"/>
      <protection hidden="1"/>
    </xf>
    <xf numFmtId="0" fontId="10" fillId="18" borderId="125" xfId="3" applyNumberFormat="1" applyFont="1" applyFill="1" applyBorder="1" applyAlignment="1" applyProtection="1">
      <alignment horizontal="left"/>
      <protection hidden="1"/>
    </xf>
    <xf numFmtId="0" fontId="335" fillId="18" borderId="0" xfId="3" applyFont="1" applyFill="1" applyProtection="1"/>
    <xf numFmtId="0" fontId="10" fillId="18" borderId="0" xfId="3" applyNumberFormat="1" applyFont="1" applyFill="1" applyBorder="1" applyAlignment="1" applyProtection="1">
      <alignment horizontal="right"/>
      <protection hidden="1"/>
    </xf>
    <xf numFmtId="182" fontId="15" fillId="18" borderId="0" xfId="3" applyNumberFormat="1" applyFont="1" applyFill="1" applyAlignment="1" applyProtection="1">
      <alignment horizontal="center" vertical="center"/>
    </xf>
    <xf numFmtId="0" fontId="226" fillId="18" borderId="281" xfId="3" applyNumberFormat="1" applyFont="1" applyFill="1" applyBorder="1" applyAlignment="1" applyProtection="1">
      <alignment horizontal="center" vertical="center"/>
      <protection hidden="1"/>
    </xf>
    <xf numFmtId="0" fontId="10" fillId="18" borderId="74" xfId="3" applyNumberFormat="1" applyFont="1" applyFill="1" applyBorder="1" applyAlignment="1" applyProtection="1">
      <alignment horizontal="left"/>
      <protection hidden="1"/>
    </xf>
    <xf numFmtId="0" fontId="158" fillId="18" borderId="74" xfId="3" applyNumberFormat="1" applyFont="1" applyFill="1" applyBorder="1" applyAlignment="1" applyProtection="1">
      <alignment horizontal="center"/>
      <protection hidden="1"/>
    </xf>
    <xf numFmtId="0" fontId="226" fillId="18" borderId="281" xfId="3" applyNumberFormat="1" applyFont="1" applyFill="1" applyBorder="1" applyAlignment="1" applyProtection="1">
      <alignment horizontal="center" vertical="center"/>
    </xf>
    <xf numFmtId="0" fontId="249" fillId="18" borderId="74" xfId="3" applyNumberFormat="1" applyFont="1" applyFill="1" applyBorder="1" applyAlignment="1" applyProtection="1">
      <alignment horizontal="left"/>
      <protection hidden="1"/>
    </xf>
    <xf numFmtId="0" fontId="252" fillId="18" borderId="74" xfId="3" applyNumberFormat="1" applyFont="1" applyFill="1" applyBorder="1" applyAlignment="1" applyProtection="1">
      <alignment horizontal="center"/>
      <protection hidden="1"/>
    </xf>
    <xf numFmtId="0" fontId="10" fillId="18" borderId="167" xfId="3" applyNumberFormat="1" applyFont="1" applyFill="1" applyBorder="1" applyAlignment="1" applyProtection="1">
      <alignment horizontal="left"/>
      <protection hidden="1"/>
    </xf>
    <xf numFmtId="0" fontId="11" fillId="2" borderId="173" xfId="0" applyFont="1" applyFill="1" applyBorder="1" applyAlignment="1" applyProtection="1">
      <alignment horizontal="center" vertical="center"/>
      <protection hidden="1"/>
    </xf>
    <xf numFmtId="0" fontId="11" fillId="2" borderId="0" xfId="0" applyFont="1" applyFill="1" applyAlignment="1" applyProtection="1">
      <alignment horizontal="center" vertical="center" shrinkToFit="1"/>
      <protection hidden="1"/>
    </xf>
    <xf numFmtId="0" fontId="11" fillId="2" borderId="173" xfId="0" applyFont="1" applyFill="1" applyBorder="1" applyAlignment="1" applyProtection="1">
      <alignment horizontal="center" vertical="center" shrinkToFit="1"/>
      <protection hidden="1"/>
    </xf>
    <xf numFmtId="0" fontId="11" fillId="7" borderId="199" xfId="0" applyFont="1" applyFill="1" applyBorder="1" applyAlignment="1" applyProtection="1">
      <alignment horizontal="center" vertical="center"/>
      <protection hidden="1"/>
    </xf>
    <xf numFmtId="0" fontId="11" fillId="7" borderId="221" xfId="0" applyFont="1" applyFill="1" applyBorder="1" applyAlignment="1" applyProtection="1">
      <alignment horizontal="center" vertical="center"/>
      <protection hidden="1"/>
    </xf>
    <xf numFmtId="0" fontId="11" fillId="7" borderId="220" xfId="0" applyFont="1" applyFill="1" applyBorder="1" applyAlignment="1" applyProtection="1">
      <alignment horizontal="center" vertical="center" shrinkToFit="1"/>
      <protection hidden="1"/>
    </xf>
    <xf numFmtId="0" fontId="11" fillId="7" borderId="221" xfId="0" applyFont="1" applyFill="1" applyBorder="1" applyAlignment="1" applyProtection="1">
      <alignment horizontal="center" vertical="center" shrinkToFit="1"/>
      <protection hidden="1"/>
    </xf>
    <xf numFmtId="0" fontId="11" fillId="7" borderId="199" xfId="0" applyFont="1" applyFill="1" applyBorder="1" applyAlignment="1" applyProtection="1">
      <alignment horizontal="center" vertical="center" shrinkToFit="1"/>
      <protection hidden="1"/>
    </xf>
    <xf numFmtId="0" fontId="11" fillId="18" borderId="173" xfId="0" applyFont="1" applyFill="1" applyBorder="1" applyAlignment="1" applyProtection="1">
      <alignment horizontal="center" vertical="center" shrinkToFit="1"/>
      <protection hidden="1"/>
    </xf>
    <xf numFmtId="176" fontId="11" fillId="3" borderId="173" xfId="0" applyNumberFormat="1" applyFont="1" applyFill="1" applyBorder="1" applyAlignment="1" applyProtection="1">
      <alignment horizontal="center" vertical="center" shrinkToFit="1"/>
      <protection locked="0"/>
    </xf>
    <xf numFmtId="176" fontId="11" fillId="18" borderId="173" xfId="0" applyNumberFormat="1" applyFont="1" applyFill="1" applyBorder="1" applyAlignment="1" applyProtection="1">
      <alignment horizontal="center" vertical="center"/>
      <protection locked="0"/>
    </xf>
    <xf numFmtId="176" fontId="11" fillId="18" borderId="173" xfId="0" applyNumberFormat="1" applyFont="1" applyFill="1" applyBorder="1" applyAlignment="1" applyProtection="1">
      <alignment horizontal="center" vertical="center" shrinkToFit="1"/>
      <protection locked="0"/>
    </xf>
    <xf numFmtId="0" fontId="11" fillId="18" borderId="173" xfId="0" applyNumberFormat="1" applyFont="1" applyFill="1" applyBorder="1" applyAlignment="1" applyProtection="1">
      <alignment horizontal="center" vertical="center" shrinkToFit="1"/>
      <protection locked="0"/>
    </xf>
    <xf numFmtId="0" fontId="11" fillId="3" borderId="173" xfId="0" applyNumberFormat="1" applyFont="1" applyFill="1" applyBorder="1" applyAlignment="1" applyProtection="1">
      <alignment horizontal="center" vertical="center" shrinkToFit="1"/>
      <protection locked="0"/>
    </xf>
    <xf numFmtId="0" fontId="17" fillId="3" borderId="173" xfId="0" applyNumberFormat="1" applyFont="1" applyFill="1" applyBorder="1" applyAlignment="1" applyProtection="1">
      <alignment horizontal="center" vertical="center" shrinkToFit="1"/>
      <protection locked="0"/>
    </xf>
    <xf numFmtId="176" fontId="24" fillId="4" borderId="33" xfId="0" applyNumberFormat="1" applyFont="1" applyFill="1" applyBorder="1" applyAlignment="1" applyProtection="1">
      <alignment vertical="center" shrinkToFit="1"/>
      <protection hidden="1"/>
    </xf>
    <xf numFmtId="176" fontId="24" fillId="4" borderId="34" xfId="0" applyNumberFormat="1" applyFont="1" applyFill="1" applyBorder="1" applyAlignment="1" applyProtection="1">
      <alignment vertical="center" shrinkToFit="1"/>
      <protection hidden="1"/>
    </xf>
    <xf numFmtId="0" fontId="28" fillId="5" borderId="285" xfId="0" applyFont="1" applyFill="1" applyBorder="1" applyAlignment="1" applyProtection="1">
      <alignment vertical="center"/>
      <protection hidden="1"/>
    </xf>
    <xf numFmtId="185" fontId="11" fillId="7" borderId="123" xfId="0" applyNumberFormat="1" applyFont="1" applyFill="1" applyBorder="1" applyAlignment="1" applyProtection="1">
      <alignment horizontal="center" vertical="center" shrinkToFit="1"/>
      <protection hidden="1"/>
    </xf>
    <xf numFmtId="176" fontId="11" fillId="7" borderId="5" xfId="0" applyNumberFormat="1" applyFont="1" applyFill="1" applyBorder="1" applyAlignment="1" applyProtection="1">
      <alignment horizontal="center" vertical="center" shrinkToFit="1"/>
      <protection hidden="1"/>
    </xf>
    <xf numFmtId="0" fontId="12" fillId="4" borderId="35" xfId="0" applyFont="1" applyFill="1" applyBorder="1" applyAlignment="1" applyProtection="1">
      <alignment vertical="center"/>
      <protection hidden="1"/>
    </xf>
    <xf numFmtId="0" fontId="12" fillId="4" borderId="34" xfId="0" applyFont="1" applyFill="1" applyBorder="1" applyAlignment="1" applyProtection="1">
      <alignment vertical="center"/>
      <protection hidden="1"/>
    </xf>
    <xf numFmtId="0" fontId="12" fillId="22" borderId="35" xfId="0" applyFont="1" applyFill="1" applyBorder="1" applyAlignment="1" applyProtection="1">
      <alignment vertical="center" shrinkToFit="1"/>
      <protection locked="0"/>
    </xf>
    <xf numFmtId="176" fontId="24" fillId="4" borderId="35" xfId="0" applyNumberFormat="1" applyFont="1" applyFill="1" applyBorder="1" applyAlignment="1" applyProtection="1">
      <alignment vertical="center" shrinkToFit="1"/>
      <protection hidden="1"/>
    </xf>
    <xf numFmtId="176" fontId="24" fillId="4" borderId="37" xfId="0" applyNumberFormat="1" applyFont="1" applyFill="1" applyBorder="1" applyAlignment="1" applyProtection="1">
      <alignment horizontal="right" vertical="center" shrinkToFit="1"/>
      <protection hidden="1"/>
    </xf>
    <xf numFmtId="191" fontId="43" fillId="17" borderId="0" xfId="0" applyNumberFormat="1" applyFont="1" applyFill="1" applyBorder="1" applyAlignment="1" applyProtection="1">
      <alignment horizontal="center" vertical="center" shrinkToFit="1"/>
      <protection locked="0"/>
    </xf>
    <xf numFmtId="182" fontId="43" fillId="22" borderId="0" xfId="0" applyNumberFormat="1" applyFont="1" applyFill="1" applyBorder="1" applyAlignment="1" applyProtection="1">
      <alignment horizontal="right" vertical="center" shrinkToFit="1"/>
      <protection locked="0"/>
    </xf>
    <xf numFmtId="184" fontId="12" fillId="4" borderId="37" xfId="0" applyNumberFormat="1" applyFont="1" applyFill="1" applyBorder="1" applyAlignment="1" applyProtection="1">
      <alignment horizontal="right" vertical="center" shrinkToFit="1"/>
      <protection hidden="1"/>
    </xf>
    <xf numFmtId="184" fontId="12" fillId="4" borderId="0" xfId="0" applyNumberFormat="1" applyFont="1" applyFill="1" applyBorder="1" applyAlignment="1" applyProtection="1">
      <alignment horizontal="right" vertical="center" shrinkToFit="1"/>
      <protection hidden="1"/>
    </xf>
    <xf numFmtId="184" fontId="12" fillId="4" borderId="36" xfId="0" applyNumberFormat="1" applyFont="1" applyFill="1" applyBorder="1" applyAlignment="1" applyProtection="1">
      <alignment horizontal="right" vertical="center" shrinkToFit="1"/>
      <protection hidden="1"/>
    </xf>
    <xf numFmtId="0" fontId="12" fillId="4" borderId="37" xfId="0" applyFont="1" applyFill="1" applyBorder="1" applyAlignment="1" applyProtection="1">
      <alignment horizontal="center" vertical="center" shrinkToFit="1"/>
      <protection hidden="1"/>
    </xf>
    <xf numFmtId="0" fontId="12" fillId="4" borderId="0" xfId="0" applyFont="1" applyFill="1" applyBorder="1" applyAlignment="1" applyProtection="1">
      <alignment horizontal="center" vertical="center" shrinkToFit="1"/>
      <protection hidden="1"/>
    </xf>
    <xf numFmtId="0" fontId="43" fillId="4" borderId="287" xfId="0" quotePrefix="1" applyFont="1" applyFill="1" applyBorder="1" applyAlignment="1" applyProtection="1">
      <alignment horizontal="center" vertical="center" shrinkToFit="1"/>
      <protection hidden="1"/>
    </xf>
    <xf numFmtId="0" fontId="43" fillId="4" borderId="288" xfId="0" applyFont="1" applyFill="1" applyBorder="1" applyAlignment="1" applyProtection="1">
      <alignment horizontal="center" vertical="center" shrinkToFit="1"/>
      <protection hidden="1"/>
    </xf>
    <xf numFmtId="0" fontId="44" fillId="22" borderId="37" xfId="0" applyFont="1" applyFill="1" applyBorder="1" applyAlignment="1" applyProtection="1">
      <alignment horizontal="center" vertical="center"/>
      <protection locked="0"/>
    </xf>
    <xf numFmtId="0" fontId="44" fillId="22" borderId="0" xfId="0" applyFont="1" applyFill="1" applyBorder="1" applyAlignment="1" applyProtection="1">
      <alignment horizontal="center" vertical="center"/>
      <protection locked="0"/>
    </xf>
    <xf numFmtId="0" fontId="44" fillId="22" borderId="36" xfId="0" applyFont="1" applyFill="1" applyBorder="1" applyAlignment="1" applyProtection="1">
      <alignment horizontal="center" vertical="center"/>
      <protection locked="0"/>
    </xf>
    <xf numFmtId="0" fontId="43" fillId="4" borderId="103" xfId="0" applyFont="1" applyFill="1" applyBorder="1" applyAlignment="1" applyProtection="1">
      <alignment horizontal="center" vertical="center" shrinkToFit="1"/>
      <protection hidden="1"/>
    </xf>
    <xf numFmtId="0" fontId="43" fillId="4" borderId="0" xfId="0" applyFont="1" applyFill="1" applyBorder="1" applyAlignment="1" applyProtection="1">
      <alignment horizontal="center" vertical="center" shrinkToFit="1"/>
      <protection hidden="1"/>
    </xf>
    <xf numFmtId="0" fontId="43" fillId="4" borderId="36" xfId="0" applyFont="1" applyFill="1" applyBorder="1" applyAlignment="1" applyProtection="1">
      <alignment horizontal="center" vertical="center" shrinkToFit="1"/>
      <protection hidden="1"/>
    </xf>
    <xf numFmtId="0" fontId="31" fillId="4" borderId="36" xfId="0" applyFont="1" applyFill="1" applyBorder="1" applyAlignment="1" applyProtection="1">
      <alignment horizontal="center" vertical="center"/>
      <protection hidden="1"/>
    </xf>
    <xf numFmtId="49" fontId="12" fillId="11" borderId="175" xfId="0" quotePrefix="1" applyNumberFormat="1" applyFont="1" applyFill="1" applyBorder="1" applyAlignment="1" applyProtection="1">
      <alignment horizontal="left" vertical="center" shrinkToFit="1"/>
      <protection hidden="1"/>
    </xf>
    <xf numFmtId="0" fontId="12" fillId="11" borderId="175" xfId="0" quotePrefix="1" applyFont="1" applyFill="1" applyBorder="1" applyAlignment="1" applyProtection="1">
      <alignment horizontal="left" vertical="center" shrinkToFit="1"/>
      <protection hidden="1"/>
    </xf>
    <xf numFmtId="0" fontId="11" fillId="18" borderId="173" xfId="0" quotePrefix="1" applyFont="1" applyFill="1" applyBorder="1" applyAlignment="1" applyProtection="1">
      <alignment horizontal="center" vertical="center" shrinkToFit="1"/>
      <protection hidden="1"/>
    </xf>
    <xf numFmtId="49" fontId="24" fillId="11" borderId="175" xfId="0" quotePrefix="1" applyNumberFormat="1" applyFont="1" applyFill="1" applyBorder="1" applyAlignment="1" applyProtection="1">
      <alignment horizontal="left" vertical="center" shrinkToFit="1"/>
      <protection hidden="1"/>
    </xf>
    <xf numFmtId="0" fontId="12" fillId="11" borderId="175" xfId="0" quotePrefix="1" applyNumberFormat="1" applyFont="1" applyFill="1" applyBorder="1" applyAlignment="1" applyProtection="1">
      <alignment horizontal="left" vertical="center" shrinkToFit="1"/>
      <protection hidden="1"/>
    </xf>
    <xf numFmtId="0" fontId="11" fillId="18" borderId="173" xfId="0" quotePrefix="1" applyNumberFormat="1" applyFont="1" applyFill="1" applyBorder="1" applyAlignment="1" applyProtection="1">
      <alignment horizontal="center" vertical="center" shrinkToFit="1"/>
      <protection hidden="1"/>
    </xf>
    <xf numFmtId="185" fontId="11" fillId="7" borderId="128" xfId="0" applyNumberFormat="1" applyFont="1" applyFill="1" applyBorder="1" applyAlignment="1" applyProtection="1">
      <alignment horizontal="center" vertical="center" shrinkToFit="1"/>
      <protection hidden="1"/>
    </xf>
    <xf numFmtId="185" fontId="11" fillId="7" borderId="289" xfId="0" applyNumberFormat="1" applyFont="1" applyFill="1" applyBorder="1" applyAlignment="1" applyProtection="1">
      <alignment horizontal="center" vertical="center" shrinkToFit="1"/>
      <protection hidden="1"/>
    </xf>
    <xf numFmtId="182" fontId="12" fillId="17" borderId="0" xfId="0" applyNumberFormat="1" applyFont="1" applyFill="1" applyBorder="1" applyAlignment="1" applyProtection="1">
      <alignment horizontal="left" vertical="center" shrinkToFit="1"/>
      <protection hidden="1"/>
    </xf>
    <xf numFmtId="182" fontId="11" fillId="2" borderId="0" xfId="0" applyNumberFormat="1" applyFont="1" applyFill="1" applyAlignment="1" applyProtection="1">
      <alignment vertical="center"/>
      <protection hidden="1"/>
    </xf>
    <xf numFmtId="176" fontId="11" fillId="7" borderId="63" xfId="0" applyNumberFormat="1" applyFont="1" applyFill="1" applyBorder="1" applyAlignment="1" applyProtection="1">
      <alignment horizontal="center" vertical="center" shrinkToFit="1"/>
      <protection hidden="1"/>
    </xf>
    <xf numFmtId="176" fontId="11" fillId="7" borderId="17" xfId="0" applyNumberFormat="1" applyFont="1" applyFill="1" applyBorder="1" applyAlignment="1" applyProtection="1">
      <alignment horizontal="center" vertical="center" shrinkToFit="1"/>
      <protection hidden="1"/>
    </xf>
    <xf numFmtId="176" fontId="11" fillId="7" borderId="74" xfId="0" applyNumberFormat="1" applyFont="1" applyFill="1" applyBorder="1" applyAlignment="1" applyProtection="1">
      <alignment horizontal="center" vertical="center" shrinkToFit="1"/>
      <protection hidden="1"/>
    </xf>
    <xf numFmtId="178" fontId="11" fillId="7" borderId="61" xfId="0" applyNumberFormat="1" applyFont="1" applyFill="1" applyBorder="1" applyAlignment="1" applyProtection="1">
      <alignment horizontal="center" vertical="center" shrinkToFit="1"/>
      <protection hidden="1"/>
    </xf>
    <xf numFmtId="178" fontId="11" fillId="7" borderId="66" xfId="0" applyNumberFormat="1" applyFont="1" applyFill="1" applyBorder="1" applyAlignment="1" applyProtection="1">
      <alignment horizontal="center" vertical="center" shrinkToFit="1"/>
      <protection hidden="1"/>
    </xf>
    <xf numFmtId="0" fontId="11" fillId="2" borderId="0" xfId="0" applyFont="1" applyFill="1" applyAlignment="1" applyProtection="1">
      <alignment horizontal="left" vertical="center"/>
      <protection hidden="1"/>
    </xf>
    <xf numFmtId="185" fontId="11" fillId="2" borderId="0" xfId="0" applyNumberFormat="1" applyFont="1" applyFill="1" applyAlignment="1" applyProtection="1">
      <alignment horizontal="left" vertical="center"/>
      <protection hidden="1"/>
    </xf>
    <xf numFmtId="176" fontId="11" fillId="7" borderId="68" xfId="0" applyNumberFormat="1" applyFont="1" applyFill="1" applyBorder="1" applyAlignment="1" applyProtection="1">
      <alignment horizontal="center" vertical="center" shrinkToFit="1"/>
      <protection hidden="1"/>
    </xf>
    <xf numFmtId="176" fontId="11" fillId="7" borderId="122" xfId="0" applyNumberFormat="1" applyFont="1" applyFill="1" applyBorder="1" applyAlignment="1" applyProtection="1">
      <alignment horizontal="center" vertical="center" shrinkToFit="1"/>
      <protection hidden="1"/>
    </xf>
    <xf numFmtId="176" fontId="11" fillId="7" borderId="127" xfId="0" applyNumberFormat="1" applyFont="1" applyFill="1" applyBorder="1" applyAlignment="1" applyProtection="1">
      <alignment horizontal="center" vertical="center" shrinkToFit="1"/>
      <protection hidden="1"/>
    </xf>
    <xf numFmtId="178" fontId="11" fillId="7" borderId="72" xfId="0" applyNumberFormat="1" applyFont="1" applyFill="1" applyBorder="1" applyAlignment="1" applyProtection="1">
      <alignment horizontal="center" vertical="center" shrinkToFit="1"/>
      <protection hidden="1"/>
    </xf>
    <xf numFmtId="193" fontId="11" fillId="2" borderId="0" xfId="0" applyNumberFormat="1" applyFont="1" applyFill="1" applyAlignment="1" applyProtection="1">
      <alignment horizontal="right" vertical="center" shrinkToFit="1"/>
      <protection hidden="1"/>
    </xf>
    <xf numFmtId="0" fontId="30" fillId="5" borderId="29" xfId="1" applyFont="1" applyFill="1" applyBorder="1" applyAlignment="1" applyProtection="1">
      <alignment vertical="top" shrinkToFit="1"/>
      <protection hidden="1"/>
    </xf>
    <xf numFmtId="0" fontId="43" fillId="5" borderId="0" xfId="0" applyFont="1" applyFill="1" applyBorder="1" applyAlignment="1" applyProtection="1">
      <alignment horizontal="right" vertical="center"/>
      <protection hidden="1"/>
    </xf>
    <xf numFmtId="0" fontId="43" fillId="5" borderId="5" xfId="0" applyFont="1" applyFill="1" applyBorder="1" applyAlignment="1" applyProtection="1">
      <alignment horizontal="right" vertical="center"/>
      <protection hidden="1"/>
    </xf>
    <xf numFmtId="0" fontId="35" fillId="5" borderId="0" xfId="0" quotePrefix="1" applyFont="1" applyFill="1" applyBorder="1" applyAlignment="1" applyProtection="1">
      <alignment vertical="center" wrapText="1"/>
      <protection hidden="1"/>
    </xf>
    <xf numFmtId="49" fontId="11" fillId="7" borderId="0" xfId="0" applyNumberFormat="1" applyFont="1" applyFill="1" applyBorder="1" applyAlignment="1" applyProtection="1">
      <alignment horizontal="left" vertical="center"/>
      <protection hidden="1"/>
    </xf>
    <xf numFmtId="49" fontId="11" fillId="2" borderId="0" xfId="0" applyNumberFormat="1" applyFont="1" applyFill="1" applyAlignment="1" applyProtection="1">
      <alignment horizontal="left" vertical="center"/>
      <protection hidden="1"/>
    </xf>
    <xf numFmtId="0" fontId="258" fillId="5" borderId="291" xfId="0" applyFont="1" applyFill="1" applyBorder="1" applyAlignment="1" applyProtection="1">
      <alignment horizontal="left" vertical="center"/>
      <protection hidden="1"/>
    </xf>
    <xf numFmtId="0" fontId="258" fillId="5" borderId="291" xfId="0" applyFont="1" applyFill="1" applyBorder="1" applyAlignment="1" applyProtection="1">
      <alignment horizontal="center" vertical="center"/>
      <protection hidden="1"/>
    </xf>
    <xf numFmtId="0" fontId="13" fillId="5" borderId="0" xfId="0" applyFont="1" applyFill="1" applyBorder="1" applyAlignment="1" applyProtection="1">
      <alignment horizontal="center" vertical="center"/>
      <protection hidden="1"/>
    </xf>
    <xf numFmtId="0" fontId="13" fillId="5" borderId="5" xfId="0" applyFont="1" applyFill="1" applyBorder="1" applyAlignment="1" applyProtection="1">
      <alignment horizontal="center" vertical="center"/>
      <protection hidden="1"/>
    </xf>
    <xf numFmtId="0" fontId="10" fillId="5" borderId="0" xfId="0" applyFont="1" applyFill="1" applyBorder="1" applyAlignment="1" applyProtection="1">
      <alignment horizontal="left" vertical="center"/>
      <protection hidden="1"/>
    </xf>
    <xf numFmtId="0" fontId="342" fillId="5" borderId="0" xfId="0" applyFont="1" applyFill="1" applyBorder="1" applyAlignment="1" applyProtection="1">
      <alignment horizontal="left" vertical="center"/>
      <protection hidden="1"/>
    </xf>
    <xf numFmtId="0" fontId="258" fillId="5" borderId="0" xfId="0" applyFont="1" applyFill="1" applyBorder="1" applyAlignment="1" applyProtection="1">
      <alignment horizontal="left" vertical="center"/>
      <protection hidden="1"/>
    </xf>
    <xf numFmtId="0" fontId="13" fillId="5" borderId="219" xfId="0" applyFont="1" applyFill="1" applyBorder="1" applyAlignment="1" applyProtection="1">
      <alignment horizontal="left" vertical="center"/>
      <protection hidden="1"/>
    </xf>
    <xf numFmtId="0" fontId="53" fillId="5" borderId="0" xfId="0" applyFont="1" applyFill="1" applyBorder="1" applyAlignment="1" applyProtection="1">
      <alignment horizontal="right" vertical="center"/>
      <protection hidden="1"/>
    </xf>
    <xf numFmtId="0" fontId="11" fillId="7" borderId="173" xfId="0" applyFont="1" applyFill="1" applyBorder="1" applyAlignment="1" applyProtection="1">
      <alignment vertical="center"/>
      <protection hidden="1"/>
    </xf>
    <xf numFmtId="0" fontId="11" fillId="7" borderId="173" xfId="0" applyFont="1" applyFill="1" applyBorder="1" applyAlignment="1" applyProtection="1">
      <alignment horizontal="center" vertical="center"/>
      <protection hidden="1"/>
    </xf>
    <xf numFmtId="0" fontId="28" fillId="5" borderId="5" xfId="0" quotePrefix="1" applyFont="1" applyFill="1" applyBorder="1" applyAlignment="1" applyProtection="1">
      <alignment horizontal="center" vertical="center"/>
      <protection hidden="1"/>
    </xf>
    <xf numFmtId="0" fontId="35" fillId="5" borderId="5" xfId="0" applyFont="1" applyFill="1" applyBorder="1" applyAlignment="1" applyProtection="1">
      <alignment horizontal="center" vertical="center"/>
      <protection hidden="1"/>
    </xf>
    <xf numFmtId="0" fontId="335" fillId="28" borderId="0" xfId="2" applyFont="1" applyFill="1" applyAlignment="1" applyProtection="1">
      <alignment horizontal="center" vertical="center"/>
      <protection hidden="1"/>
    </xf>
    <xf numFmtId="176" fontId="24" fillId="4" borderId="0" xfId="0" applyNumberFormat="1" applyFont="1" applyFill="1" applyBorder="1" applyAlignment="1" applyProtection="1">
      <alignment horizontal="right" vertical="center" shrinkToFit="1"/>
      <protection hidden="1"/>
    </xf>
    <xf numFmtId="191" fontId="43" fillId="17" borderId="267" xfId="0" applyNumberFormat="1" applyFont="1" applyFill="1" applyBorder="1" applyAlignment="1" applyProtection="1">
      <alignment horizontal="center" vertical="center" shrinkToFit="1"/>
      <protection locked="0"/>
    </xf>
    <xf numFmtId="191" fontId="43" fillId="17" borderId="228" xfId="0" applyNumberFormat="1" applyFont="1" applyFill="1" applyBorder="1" applyAlignment="1" applyProtection="1">
      <alignment horizontal="center" vertical="center" shrinkToFit="1"/>
      <protection locked="0"/>
    </xf>
    <xf numFmtId="182" fontId="43" fillId="22" borderId="267" xfId="0" applyNumberFormat="1" applyFont="1" applyFill="1" applyBorder="1" applyAlignment="1" applyProtection="1">
      <alignment horizontal="right" vertical="center" shrinkToFit="1"/>
      <protection locked="0"/>
    </xf>
    <xf numFmtId="182" fontId="43" fillId="22" borderId="228" xfId="0" applyNumberFormat="1" applyFont="1" applyFill="1" applyBorder="1" applyAlignment="1" applyProtection="1">
      <alignment horizontal="right" vertical="center" shrinkToFit="1"/>
      <protection locked="0"/>
    </xf>
    <xf numFmtId="0" fontId="31" fillId="4" borderId="0" xfId="0" quotePrefix="1" applyFont="1" applyFill="1" applyBorder="1" applyAlignment="1" applyProtection="1">
      <alignment horizontal="center" vertical="center"/>
      <protection hidden="1"/>
    </xf>
    <xf numFmtId="0" fontId="32" fillId="5" borderId="0" xfId="0" applyFont="1" applyFill="1" applyBorder="1" applyAlignment="1" applyProtection="1">
      <alignment vertical="center" shrinkToFit="1"/>
      <protection hidden="1"/>
    </xf>
    <xf numFmtId="0" fontId="26" fillId="3" borderId="27" xfId="0" applyFont="1" applyFill="1" applyBorder="1" applyAlignment="1" applyProtection="1">
      <alignment horizontal="center" vertical="center" textRotation="180" shrinkToFit="1"/>
      <protection hidden="1"/>
    </xf>
    <xf numFmtId="0" fontId="242" fillId="5" borderId="319" xfId="0" applyFont="1" applyFill="1" applyBorder="1" applyAlignment="1" applyProtection="1">
      <alignment vertical="center" shrinkToFit="1"/>
      <protection hidden="1"/>
    </xf>
    <xf numFmtId="0" fontId="242" fillId="5" borderId="320" xfId="0" applyFont="1" applyFill="1" applyBorder="1" applyAlignment="1" applyProtection="1">
      <alignment vertical="center" shrinkToFit="1"/>
      <protection hidden="1"/>
    </xf>
    <xf numFmtId="0" fontId="2" fillId="5" borderId="321" xfId="0" applyFont="1" applyFill="1" applyBorder="1" applyAlignment="1" applyProtection="1">
      <alignment horizontal="center" vertical="center"/>
      <protection hidden="1"/>
    </xf>
    <xf numFmtId="0" fontId="2" fillId="5" borderId="316" xfId="0" applyFont="1" applyFill="1" applyBorder="1" applyAlignment="1" applyProtection="1">
      <alignment horizontal="center" vertical="center"/>
      <protection hidden="1"/>
    </xf>
    <xf numFmtId="0" fontId="184" fillId="5" borderId="317" xfId="1" applyFont="1" applyFill="1" applyBorder="1" applyAlignment="1" applyProtection="1">
      <alignment vertical="center" wrapText="1" shrinkToFit="1"/>
      <protection hidden="1"/>
    </xf>
    <xf numFmtId="0" fontId="184" fillId="5" borderId="318" xfId="1" applyFont="1" applyFill="1" applyBorder="1" applyAlignment="1" applyProtection="1">
      <alignment vertical="center" wrapText="1" shrinkToFit="1"/>
      <protection hidden="1"/>
    </xf>
    <xf numFmtId="0" fontId="2" fillId="5" borderId="313" xfId="0" applyFont="1" applyFill="1" applyBorder="1" applyAlignment="1" applyProtection="1">
      <alignment horizontal="center" vertical="center"/>
      <protection hidden="1"/>
    </xf>
    <xf numFmtId="0" fontId="2" fillId="5" borderId="314" xfId="0" applyFont="1" applyFill="1" applyBorder="1" applyAlignment="1" applyProtection="1">
      <alignment horizontal="center" vertical="center"/>
      <protection hidden="1"/>
    </xf>
    <xf numFmtId="0" fontId="2" fillId="5" borderId="322" xfId="0" applyFont="1" applyFill="1" applyBorder="1" applyAlignment="1" applyProtection="1">
      <alignment horizontal="center" vertical="center"/>
      <protection hidden="1"/>
    </xf>
    <xf numFmtId="0" fontId="2" fillId="5" borderId="323" xfId="0" applyFont="1" applyFill="1" applyBorder="1" applyAlignment="1" applyProtection="1">
      <alignment horizontal="center" vertical="center"/>
      <protection hidden="1"/>
    </xf>
    <xf numFmtId="176" fontId="11" fillId="7" borderId="0" xfId="0" applyNumberFormat="1" applyFont="1" applyFill="1" applyBorder="1" applyAlignment="1" applyProtection="1">
      <alignment vertical="center"/>
      <protection hidden="1"/>
    </xf>
    <xf numFmtId="177" fontId="10" fillId="28" borderId="0" xfId="2" applyNumberFormat="1" applyFont="1" applyFill="1" applyAlignment="1" applyProtection="1">
      <alignment vertical="center" shrinkToFit="1"/>
      <protection hidden="1"/>
    </xf>
    <xf numFmtId="0" fontId="11" fillId="13" borderId="221" xfId="0" applyFont="1" applyFill="1" applyBorder="1" applyAlignment="1" applyProtection="1">
      <alignment horizontal="center" vertical="center" shrinkToFit="1"/>
      <protection locked="0"/>
    </xf>
    <xf numFmtId="0" fontId="15" fillId="28" borderId="0" xfId="2" applyFont="1" applyFill="1" applyProtection="1">
      <alignment vertical="center"/>
      <protection hidden="1"/>
    </xf>
    <xf numFmtId="177" fontId="15" fillId="28" borderId="0" xfId="2" applyNumberFormat="1" applyFont="1" applyFill="1" applyAlignment="1" applyProtection="1">
      <alignment shrinkToFit="1"/>
      <protection hidden="1"/>
    </xf>
    <xf numFmtId="0" fontId="15" fillId="28" borderId="0" xfId="2" applyFont="1" applyFill="1" applyAlignment="1" applyProtection="1">
      <alignment horizontal="left"/>
      <protection hidden="1"/>
    </xf>
    <xf numFmtId="0" fontId="15" fillId="28" borderId="0" xfId="2" applyFont="1" applyFill="1" applyAlignment="1" applyProtection="1">
      <alignment horizontal="center" vertical="center"/>
      <protection hidden="1"/>
    </xf>
    <xf numFmtId="0" fontId="343" fillId="29" borderId="0" xfId="1" applyFont="1" applyFill="1" applyBorder="1" applyAlignment="1" applyProtection="1">
      <alignment horizontal="center" vertical="center" shrinkToFit="1"/>
      <protection hidden="1"/>
    </xf>
    <xf numFmtId="178" fontId="232" fillId="29" borderId="0" xfId="1" applyNumberFormat="1" applyFont="1" applyFill="1" applyBorder="1" applyAlignment="1" applyProtection="1">
      <alignment vertical="center" shrinkToFit="1"/>
      <protection hidden="1"/>
    </xf>
    <xf numFmtId="178" fontId="15" fillId="28" borderId="173" xfId="2" applyNumberFormat="1" applyFont="1" applyFill="1" applyBorder="1" applyAlignment="1" applyProtection="1">
      <alignment horizontal="center" vertical="center"/>
      <protection hidden="1"/>
    </xf>
    <xf numFmtId="178" fontId="186" fillId="28" borderId="0" xfId="2" applyNumberFormat="1" applyFont="1" applyFill="1" applyAlignment="1" applyProtection="1">
      <alignment horizontal="center"/>
      <protection hidden="1"/>
    </xf>
    <xf numFmtId="177" fontId="232" fillId="29" borderId="0" xfId="1" applyNumberFormat="1" applyFont="1" applyFill="1" applyBorder="1" applyAlignment="1" applyProtection="1">
      <alignment vertical="center" shrinkToFit="1"/>
      <protection hidden="1"/>
    </xf>
    <xf numFmtId="0" fontId="15" fillId="28" borderId="0" xfId="2" applyFont="1" applyFill="1" applyAlignment="1" applyProtection="1">
      <alignment horizontal="center"/>
      <protection hidden="1"/>
    </xf>
    <xf numFmtId="182" fontId="344" fillId="28" borderId="0" xfId="2" applyNumberFormat="1" applyFont="1" applyFill="1" applyAlignment="1" applyProtection="1">
      <alignment horizontal="center" shrinkToFit="1"/>
      <protection hidden="1"/>
    </xf>
    <xf numFmtId="178" fontId="186" fillId="28" borderId="0" xfId="2" applyNumberFormat="1" applyFont="1" applyFill="1" applyAlignment="1" applyProtection="1">
      <alignment horizontal="center" vertical="top"/>
      <protection hidden="1"/>
    </xf>
    <xf numFmtId="178" fontId="25" fillId="28" borderId="173" xfId="2" applyNumberFormat="1" applyFont="1" applyFill="1" applyBorder="1" applyAlignment="1" applyProtection="1">
      <alignment horizontal="center" vertical="center" shrinkToFit="1"/>
      <protection hidden="1"/>
    </xf>
    <xf numFmtId="178" fontId="15" fillId="28" borderId="173" xfId="2" applyNumberFormat="1" applyFont="1" applyFill="1" applyBorder="1" applyAlignment="1" applyProtection="1">
      <alignment horizontal="center"/>
      <protection hidden="1"/>
    </xf>
    <xf numFmtId="177" fontId="15" fillId="28" borderId="0" xfId="2" applyNumberFormat="1" applyFont="1" applyFill="1" applyAlignment="1" applyProtection="1">
      <alignment vertical="center" shrinkToFit="1"/>
      <protection hidden="1"/>
    </xf>
    <xf numFmtId="0" fontId="15" fillId="28" borderId="0" xfId="2" applyFont="1" applyFill="1" applyAlignment="1" applyProtection="1">
      <alignment horizontal="left" vertical="center"/>
      <protection hidden="1"/>
    </xf>
    <xf numFmtId="194" fontId="25" fillId="28" borderId="173" xfId="2" applyNumberFormat="1" applyFont="1" applyFill="1" applyBorder="1" applyAlignment="1" applyProtection="1">
      <alignment horizontal="center" vertical="center" shrinkToFit="1"/>
      <protection hidden="1"/>
    </xf>
    <xf numFmtId="178" fontId="70" fillId="28" borderId="173" xfId="2" applyNumberFormat="1" applyFont="1" applyFill="1" applyBorder="1" applyAlignment="1" applyProtection="1">
      <alignment horizontal="center" shrinkToFit="1"/>
      <protection hidden="1"/>
    </xf>
    <xf numFmtId="0" fontId="10" fillId="18" borderId="0" xfId="3" applyFont="1" applyFill="1" applyProtection="1"/>
    <xf numFmtId="0" fontId="10" fillId="28" borderId="0" xfId="2" applyFont="1" applyFill="1" applyAlignment="1" applyProtection="1">
      <alignment horizontal="center" vertical="center"/>
      <protection hidden="1"/>
    </xf>
    <xf numFmtId="0" fontId="30" fillId="24" borderId="271" xfId="0" applyFont="1" applyFill="1" applyBorder="1" applyAlignment="1">
      <alignment horizontal="center" vertical="center"/>
    </xf>
    <xf numFmtId="0" fontId="2" fillId="7" borderId="0" xfId="0" applyFont="1" applyFill="1" applyBorder="1" applyAlignment="1" applyProtection="1">
      <alignment horizontal="center" vertical="center"/>
      <protection hidden="1"/>
    </xf>
    <xf numFmtId="0" fontId="10" fillId="18" borderId="17" xfId="3" applyNumberFormat="1" applyFont="1" applyFill="1" applyBorder="1" applyAlignment="1" applyProtection="1">
      <alignment horizontal="left"/>
      <protection hidden="1"/>
    </xf>
    <xf numFmtId="0" fontId="342" fillId="5" borderId="0" xfId="0" applyFont="1" applyFill="1" applyBorder="1" applyAlignment="1" applyProtection="1">
      <alignment horizontal="center" vertical="center"/>
      <protection hidden="1"/>
    </xf>
    <xf numFmtId="191" fontId="43" fillId="17" borderId="267" xfId="0" applyNumberFormat="1" applyFont="1" applyFill="1" applyBorder="1" applyAlignment="1" applyProtection="1">
      <alignment horizontal="right" vertical="center" shrinkToFit="1"/>
      <protection locked="0"/>
    </xf>
    <xf numFmtId="191" fontId="43" fillId="17" borderId="0" xfId="0" applyNumberFormat="1" applyFont="1" applyFill="1" applyBorder="1" applyAlignment="1" applyProtection="1">
      <alignment horizontal="right" vertical="center" shrinkToFit="1"/>
      <protection locked="0"/>
    </xf>
    <xf numFmtId="191" fontId="43" fillId="17" borderId="228" xfId="0" applyNumberFormat="1" applyFont="1" applyFill="1" applyBorder="1" applyAlignment="1" applyProtection="1">
      <alignment horizontal="right" vertical="center" shrinkToFit="1"/>
      <protection locked="0"/>
    </xf>
    <xf numFmtId="176" fontId="28" fillId="5" borderId="0" xfId="0" applyNumberFormat="1" applyFont="1" applyFill="1" applyBorder="1" applyAlignment="1" applyProtection="1">
      <alignment horizontal="center" vertical="center" shrinkToFit="1"/>
      <protection hidden="1"/>
    </xf>
    <xf numFmtId="0" fontId="32" fillId="5" borderId="0" xfId="0" quotePrefix="1" applyFont="1" applyFill="1" applyBorder="1" applyAlignment="1" applyProtection="1">
      <alignment vertical="center" shrinkToFit="1"/>
      <protection hidden="1"/>
    </xf>
    <xf numFmtId="185" fontId="11" fillId="7" borderId="176" xfId="0" applyNumberFormat="1" applyFont="1" applyFill="1" applyBorder="1" applyAlignment="1" applyProtection="1">
      <alignment horizontal="center" vertical="center" shrinkToFit="1"/>
      <protection hidden="1"/>
    </xf>
    <xf numFmtId="185" fontId="11" fillId="7" borderId="173" xfId="0" applyNumberFormat="1" applyFont="1" applyFill="1" applyBorder="1" applyAlignment="1" applyProtection="1">
      <alignment horizontal="center" vertical="center" shrinkToFit="1"/>
      <protection hidden="1"/>
    </xf>
    <xf numFmtId="176" fontId="11" fillId="7" borderId="0" xfId="0" applyNumberFormat="1" applyFont="1" applyFill="1" applyBorder="1" applyAlignment="1" applyProtection="1">
      <alignment horizontal="center" vertical="center" shrinkToFit="1"/>
      <protection hidden="1"/>
    </xf>
    <xf numFmtId="0" fontId="2" fillId="2" borderId="5" xfId="0" applyFont="1" applyFill="1" applyBorder="1" applyAlignment="1" applyProtection="1">
      <alignment vertical="center"/>
      <protection hidden="1"/>
    </xf>
    <xf numFmtId="178" fontId="11" fillId="0" borderId="173" xfId="0" applyNumberFormat="1" applyFont="1" applyFill="1" applyBorder="1" applyAlignment="1">
      <alignment horizontal="center" vertical="center" shrinkToFit="1"/>
    </xf>
    <xf numFmtId="0" fontId="347" fillId="0" borderId="0" xfId="0" applyFont="1" applyFill="1" applyAlignment="1">
      <alignment horizontal="center" vertical="center"/>
    </xf>
    <xf numFmtId="182" fontId="347" fillId="0" borderId="0" xfId="0" applyNumberFormat="1" applyFont="1" applyFill="1" applyAlignment="1">
      <alignment horizontal="center" vertical="center"/>
    </xf>
    <xf numFmtId="0" fontId="11" fillId="0" borderId="0" xfId="0" applyFont="1" applyFill="1" applyBorder="1" applyAlignment="1">
      <alignment horizontal="center" vertical="center"/>
    </xf>
    <xf numFmtId="182" fontId="11" fillId="0" borderId="0" xfId="0" applyNumberFormat="1" applyFont="1" applyFill="1" applyBorder="1" applyAlignment="1">
      <alignment horizontal="center" vertical="center"/>
    </xf>
    <xf numFmtId="182" fontId="11" fillId="0" borderId="0" xfId="0" applyNumberFormat="1" applyFont="1" applyFill="1" applyBorder="1" applyAlignment="1">
      <alignment horizontal="right" vertical="center" shrinkToFit="1"/>
    </xf>
    <xf numFmtId="182" fontId="11" fillId="0" borderId="0" xfId="0" quotePrefix="1" applyNumberFormat="1" applyFont="1" applyFill="1" applyBorder="1" applyAlignment="1">
      <alignment horizontal="center" vertical="center" shrinkToFit="1"/>
    </xf>
    <xf numFmtId="182" fontId="11" fillId="0" borderId="0" xfId="0" applyNumberFormat="1" applyFont="1" applyFill="1" applyBorder="1" applyAlignment="1">
      <alignment horizontal="center" vertical="center" shrinkToFit="1"/>
    </xf>
    <xf numFmtId="1" fontId="11" fillId="0" borderId="0" xfId="0" applyNumberFormat="1" applyFont="1" applyFill="1" applyBorder="1" applyAlignment="1">
      <alignment horizontal="right" vertical="center" shrinkToFit="1"/>
    </xf>
    <xf numFmtId="185" fontId="11" fillId="0" borderId="0" xfId="0" applyNumberFormat="1" applyFont="1" applyFill="1" applyBorder="1" applyAlignment="1">
      <alignment horizontal="center" vertical="center" shrinkToFit="1"/>
    </xf>
    <xf numFmtId="185" fontId="11" fillId="0" borderId="0" xfId="0" applyNumberFormat="1" applyFont="1" applyFill="1" applyBorder="1" applyAlignment="1">
      <alignment vertical="center" shrinkToFit="1"/>
    </xf>
    <xf numFmtId="191" fontId="11" fillId="0" borderId="0" xfId="0" applyNumberFormat="1" applyFont="1" applyFill="1" applyBorder="1" applyAlignment="1">
      <alignment horizontal="center" vertical="center" shrinkToFit="1"/>
    </xf>
    <xf numFmtId="0" fontId="2" fillId="7" borderId="115" xfId="0" applyFont="1" applyFill="1" applyBorder="1" applyAlignment="1" applyProtection="1">
      <alignment vertical="center"/>
      <protection hidden="1"/>
    </xf>
    <xf numFmtId="184" fontId="15" fillId="5" borderId="165" xfId="0" applyNumberFormat="1" applyFont="1" applyFill="1" applyBorder="1" applyAlignment="1" applyProtection="1">
      <alignment vertical="center" shrinkToFit="1"/>
      <protection hidden="1"/>
    </xf>
    <xf numFmtId="0" fontId="30" fillId="5" borderId="0" xfId="1" applyFont="1" applyFill="1" applyBorder="1" applyAlignment="1" applyProtection="1">
      <alignment vertical="top" shrinkToFit="1"/>
      <protection hidden="1"/>
    </xf>
    <xf numFmtId="183" fontId="11" fillId="2" borderId="173" xfId="0" applyNumberFormat="1" applyFont="1" applyFill="1" applyBorder="1" applyAlignment="1" applyProtection="1">
      <alignment horizontal="center" vertical="center" shrinkToFit="1"/>
      <protection hidden="1"/>
    </xf>
    <xf numFmtId="4" fontId="2" fillId="2" borderId="0" xfId="0" applyNumberFormat="1" applyFont="1" applyFill="1" applyAlignment="1" applyProtection="1">
      <alignment horizontal="center" vertical="center"/>
      <protection hidden="1"/>
    </xf>
    <xf numFmtId="182" fontId="11" fillId="2" borderId="176" xfId="0" applyNumberFormat="1" applyFont="1" applyFill="1" applyBorder="1" applyAlignment="1" applyProtection="1">
      <alignment vertical="center" shrinkToFit="1"/>
      <protection hidden="1"/>
    </xf>
    <xf numFmtId="182" fontId="11" fillId="2" borderId="0" xfId="0" applyNumberFormat="1" applyFont="1" applyFill="1" applyBorder="1" applyAlignment="1" applyProtection="1">
      <alignment vertical="center" shrinkToFit="1"/>
      <protection hidden="1"/>
    </xf>
    <xf numFmtId="0" fontId="11" fillId="2" borderId="0" xfId="0" applyNumberFormat="1" applyFont="1" applyFill="1" applyBorder="1" applyAlignment="1" applyProtection="1">
      <alignment horizontal="left" vertical="center"/>
      <protection hidden="1"/>
    </xf>
    <xf numFmtId="193" fontId="53" fillId="2" borderId="0" xfId="0" applyNumberFormat="1" applyFont="1" applyFill="1" applyBorder="1" applyAlignment="1" applyProtection="1">
      <alignment vertical="center" shrinkToFit="1"/>
      <protection hidden="1"/>
    </xf>
    <xf numFmtId="0" fontId="11" fillId="2" borderId="0" xfId="0" applyNumberFormat="1" applyFont="1" applyFill="1" applyBorder="1" applyAlignment="1" applyProtection="1">
      <alignment horizontal="left" vertical="center" shrinkToFit="1"/>
      <protection hidden="1"/>
    </xf>
    <xf numFmtId="0" fontId="273" fillId="33" borderId="0" xfId="0" applyNumberFormat="1" applyFont="1" applyFill="1" applyBorder="1" applyAlignment="1" applyProtection="1">
      <alignment horizontal="left" vertical="center" wrapText="1" shrinkToFit="1"/>
      <protection hidden="1"/>
    </xf>
    <xf numFmtId="0" fontId="273" fillId="33" borderId="0" xfId="0" applyNumberFormat="1" applyFont="1" applyFill="1" applyBorder="1" applyAlignment="1" applyProtection="1">
      <alignment horizontal="left" vertical="center" shrinkToFit="1"/>
      <protection hidden="1"/>
    </xf>
    <xf numFmtId="0" fontId="265" fillId="33" borderId="0" xfId="0" applyNumberFormat="1" applyFont="1" applyFill="1" applyBorder="1" applyAlignment="1" applyProtection="1">
      <alignment horizontal="left" vertical="center" wrapText="1" shrinkToFit="1"/>
      <protection hidden="1"/>
    </xf>
    <xf numFmtId="0" fontId="265" fillId="33" borderId="0" xfId="0" applyNumberFormat="1" applyFont="1" applyFill="1" applyBorder="1" applyAlignment="1" applyProtection="1">
      <alignment horizontal="left" vertical="center" shrinkToFit="1"/>
      <protection hidden="1"/>
    </xf>
    <xf numFmtId="0" fontId="12" fillId="33" borderId="0" xfId="0" applyNumberFormat="1" applyFont="1" applyFill="1" applyBorder="1" applyAlignment="1" applyProtection="1">
      <alignment horizontal="left" vertical="center" wrapText="1" shrinkToFit="1"/>
      <protection hidden="1"/>
    </xf>
    <xf numFmtId="0" fontId="12" fillId="33" borderId="0" xfId="0" applyNumberFormat="1" applyFont="1" applyFill="1" applyBorder="1" applyAlignment="1" applyProtection="1">
      <alignment horizontal="left" vertical="center" shrinkToFit="1"/>
      <protection hidden="1"/>
    </xf>
    <xf numFmtId="0" fontId="70" fillId="33" borderId="0" xfId="0" applyNumberFormat="1" applyFont="1" applyFill="1" applyBorder="1" applyAlignment="1" applyProtection="1">
      <alignment horizontal="left" vertical="center" wrapText="1" shrinkToFit="1"/>
      <protection hidden="1"/>
    </xf>
    <xf numFmtId="0" fontId="70" fillId="33" borderId="0" xfId="0" applyNumberFormat="1" applyFont="1" applyFill="1" applyBorder="1" applyAlignment="1" applyProtection="1">
      <alignment horizontal="left" vertical="center" shrinkToFit="1"/>
      <protection hidden="1"/>
    </xf>
    <xf numFmtId="0" fontId="12" fillId="58" borderId="0" xfId="0" applyNumberFormat="1" applyFont="1" applyFill="1" applyBorder="1" applyAlignment="1" applyProtection="1">
      <alignment horizontal="left" vertical="center" wrapText="1" shrinkToFit="1"/>
      <protection hidden="1"/>
    </xf>
    <xf numFmtId="0" fontId="12" fillId="58" borderId="0" xfId="0" applyNumberFormat="1" applyFont="1" applyFill="1" applyBorder="1" applyAlignment="1" applyProtection="1">
      <alignment horizontal="left" vertical="center" shrinkToFit="1"/>
      <protection hidden="1"/>
    </xf>
    <xf numFmtId="0" fontId="200" fillId="54" borderId="0" xfId="0" applyNumberFormat="1" applyFont="1" applyFill="1" applyBorder="1" applyAlignment="1" applyProtection="1">
      <alignment horizontal="left" vertical="center"/>
      <protection hidden="1"/>
    </xf>
    <xf numFmtId="0" fontId="272" fillId="33" borderId="0" xfId="0" applyNumberFormat="1" applyFont="1" applyFill="1" applyBorder="1" applyAlignment="1" applyProtection="1">
      <alignment horizontal="left" vertical="center" wrapText="1" shrinkToFit="1"/>
      <protection hidden="1"/>
    </xf>
    <xf numFmtId="0" fontId="272" fillId="33" borderId="0" xfId="0" applyNumberFormat="1" applyFont="1" applyFill="1" applyBorder="1" applyAlignment="1" applyProtection="1">
      <alignment horizontal="left" vertical="center" shrinkToFit="1"/>
      <protection hidden="1"/>
    </xf>
    <xf numFmtId="0" fontId="180" fillId="33" borderId="0" xfId="0" applyNumberFormat="1" applyFont="1" applyFill="1" applyBorder="1" applyAlignment="1" applyProtection="1">
      <alignment horizontal="left" vertical="center" wrapText="1" shrinkToFit="1"/>
      <protection hidden="1"/>
    </xf>
    <xf numFmtId="0" fontId="180" fillId="33" borderId="0" xfId="0" applyNumberFormat="1" applyFont="1" applyFill="1" applyBorder="1" applyAlignment="1" applyProtection="1">
      <alignment horizontal="left" vertical="center" shrinkToFit="1"/>
      <protection hidden="1"/>
    </xf>
    <xf numFmtId="0" fontId="266" fillId="33" borderId="0" xfId="0" applyNumberFormat="1" applyFont="1" applyFill="1" applyBorder="1" applyAlignment="1" applyProtection="1">
      <alignment horizontal="left" vertical="center" wrapText="1" shrinkToFit="1"/>
      <protection hidden="1"/>
    </xf>
    <xf numFmtId="0" fontId="266" fillId="33" borderId="0" xfId="0" applyNumberFormat="1" applyFont="1" applyFill="1" applyBorder="1" applyAlignment="1" applyProtection="1">
      <alignment horizontal="left" vertical="center" shrinkToFit="1"/>
      <protection hidden="1"/>
    </xf>
    <xf numFmtId="0" fontId="72" fillId="33" borderId="0" xfId="0" applyNumberFormat="1" applyFont="1" applyFill="1" applyBorder="1" applyAlignment="1" applyProtection="1">
      <alignment horizontal="left" vertical="center" shrinkToFit="1"/>
      <protection hidden="1"/>
    </xf>
    <xf numFmtId="0" fontId="207" fillId="54" borderId="0" xfId="0" applyNumberFormat="1" applyFont="1" applyFill="1" applyBorder="1" applyAlignment="1" applyProtection="1">
      <alignment horizontal="left" vertical="center"/>
      <protection hidden="1"/>
    </xf>
    <xf numFmtId="0" fontId="66" fillId="0" borderId="0" xfId="0" applyNumberFormat="1" applyFont="1" applyBorder="1" applyAlignment="1" applyProtection="1">
      <alignment vertical="center"/>
      <protection hidden="1"/>
    </xf>
    <xf numFmtId="0" fontId="66" fillId="60" borderId="0" xfId="0" applyNumberFormat="1" applyFont="1" applyFill="1" applyBorder="1" applyAlignment="1" applyProtection="1">
      <alignment vertical="center"/>
      <protection hidden="1"/>
    </xf>
    <xf numFmtId="0" fontId="181" fillId="60" borderId="0" xfId="0" applyNumberFormat="1" applyFont="1" applyFill="1" applyBorder="1" applyAlignment="1" applyProtection="1">
      <alignment horizontal="right" vertical="center" shrinkToFit="1"/>
      <protection hidden="1"/>
    </xf>
    <xf numFmtId="0" fontId="196" fillId="33" borderId="0" xfId="0" applyNumberFormat="1" applyFont="1" applyFill="1" applyBorder="1" applyAlignment="1" applyProtection="1">
      <alignment horizontal="right" vertical="center" shrinkToFit="1"/>
      <protection hidden="1"/>
    </xf>
    <xf numFmtId="0" fontId="327" fillId="33" borderId="0" xfId="0" applyNumberFormat="1" applyFont="1" applyFill="1" applyBorder="1" applyAlignment="1" applyProtection="1">
      <alignment horizontal="right" vertical="center" shrinkToFit="1"/>
      <protection hidden="1"/>
    </xf>
    <xf numFmtId="0" fontId="193" fillId="33" borderId="0" xfId="0" applyNumberFormat="1" applyFont="1" applyFill="1" applyBorder="1" applyAlignment="1" applyProtection="1">
      <alignment horizontal="right" vertical="center" shrinkToFit="1"/>
      <protection hidden="1"/>
    </xf>
    <xf numFmtId="0" fontId="30" fillId="24" borderId="271" xfId="1" applyFont="1" applyFill="1" applyBorder="1" applyAlignment="1">
      <alignment horizontal="center" vertical="center"/>
    </xf>
    <xf numFmtId="0" fontId="30" fillId="24" borderId="278" xfId="1" applyFont="1" applyFill="1" applyBorder="1" applyAlignment="1">
      <alignment horizontal="center" vertical="center"/>
    </xf>
    <xf numFmtId="0" fontId="27" fillId="63" borderId="115" xfId="2" applyFont="1" applyFill="1" applyBorder="1" applyAlignment="1" applyProtection="1">
      <alignment horizontal="center" vertical="center"/>
      <protection hidden="1"/>
    </xf>
    <xf numFmtId="0" fontId="27" fillId="63" borderId="75" xfId="2" applyFont="1" applyFill="1" applyBorder="1" applyAlignment="1" applyProtection="1">
      <alignment horizontal="center" vertical="center"/>
      <protection hidden="1"/>
    </xf>
    <xf numFmtId="0" fontId="13" fillId="63" borderId="58" xfId="2" quotePrefix="1" applyFont="1" applyFill="1" applyBorder="1" applyAlignment="1" applyProtection="1">
      <alignment horizontal="center" vertical="center" shrinkToFit="1"/>
      <protection hidden="1"/>
    </xf>
    <xf numFmtId="0" fontId="27" fillId="63" borderId="122" xfId="2" applyFont="1" applyFill="1" applyBorder="1" applyAlignment="1" applyProtection="1">
      <alignment horizontal="center" vertical="center"/>
      <protection hidden="1"/>
    </xf>
    <xf numFmtId="0" fontId="13" fillId="63" borderId="114" xfId="2" applyFont="1" applyFill="1" applyBorder="1" applyAlignment="1" applyProtection="1">
      <alignment horizontal="center" vertical="center" shrinkToFit="1"/>
      <protection hidden="1"/>
    </xf>
    <xf numFmtId="0" fontId="27" fillId="63" borderId="68" xfId="2" applyFont="1" applyFill="1" applyBorder="1" applyAlignment="1" applyProtection="1">
      <alignment horizontal="center" vertical="center"/>
      <protection hidden="1"/>
    </xf>
    <xf numFmtId="0" fontId="13" fillId="63" borderId="70" xfId="2" applyFont="1" applyFill="1" applyBorder="1" applyAlignment="1" applyProtection="1">
      <alignment horizontal="center" vertical="center" shrinkToFit="1"/>
      <protection hidden="1"/>
    </xf>
    <xf numFmtId="0" fontId="13" fillId="63" borderId="13" xfId="2" quotePrefix="1" applyFont="1" applyFill="1" applyBorder="1" applyAlignment="1" applyProtection="1">
      <alignment horizontal="center" vertical="center" shrinkToFit="1"/>
      <protection hidden="1"/>
    </xf>
    <xf numFmtId="0" fontId="27" fillId="63" borderId="112" xfId="2" applyFont="1" applyFill="1" applyBorder="1" applyAlignment="1" applyProtection="1">
      <alignment horizontal="center" vertical="center"/>
      <protection hidden="1"/>
    </xf>
    <xf numFmtId="0" fontId="13" fillId="63" borderId="4" xfId="2" quotePrefix="1" applyFont="1" applyFill="1" applyBorder="1" applyAlignment="1" applyProtection="1">
      <alignment horizontal="center" vertical="center" shrinkToFit="1"/>
      <protection hidden="1"/>
    </xf>
    <xf numFmtId="0" fontId="27" fillId="63" borderId="127" xfId="2" applyFont="1" applyFill="1" applyBorder="1" applyAlignment="1" applyProtection="1">
      <alignment horizontal="center" vertical="center"/>
      <protection hidden="1"/>
    </xf>
    <xf numFmtId="0" fontId="13" fillId="18" borderId="116" xfId="2" applyFont="1" applyFill="1" applyBorder="1" applyAlignment="1" applyProtection="1">
      <protection hidden="1"/>
    </xf>
    <xf numFmtId="0" fontId="27" fillId="18" borderId="117" xfId="2" applyFont="1" applyFill="1" applyBorder="1" applyAlignment="1" applyProtection="1">
      <alignment horizontal="center"/>
      <protection hidden="1"/>
    </xf>
    <xf numFmtId="0" fontId="27" fillId="18" borderId="117" xfId="2" applyFont="1" applyFill="1" applyBorder="1" applyAlignment="1" applyProtection="1">
      <protection hidden="1"/>
    </xf>
    <xf numFmtId="0" fontId="13" fillId="18" borderId="118" xfId="2" applyFont="1" applyFill="1" applyBorder="1" applyAlignment="1" applyProtection="1">
      <protection hidden="1"/>
    </xf>
    <xf numFmtId="0" fontId="11" fillId="2" borderId="0" xfId="0" applyFont="1" applyFill="1" applyBorder="1" applyAlignment="1" applyProtection="1">
      <alignment horizontal="left" vertical="center"/>
      <protection hidden="1"/>
    </xf>
    <xf numFmtId="0" fontId="2" fillId="4" borderId="0" xfId="0" applyFont="1" applyFill="1" applyBorder="1" applyAlignment="1" applyProtection="1">
      <alignment horizontal="center" vertical="center"/>
      <protection hidden="1"/>
    </xf>
    <xf numFmtId="0" fontId="28" fillId="5" borderId="0" xfId="0" applyFont="1" applyFill="1" applyBorder="1" applyAlignment="1" applyProtection="1">
      <alignment horizontal="center" vertical="center" shrinkToFit="1"/>
      <protection hidden="1"/>
    </xf>
    <xf numFmtId="0" fontId="12" fillId="4" borderId="33" xfId="0" applyFont="1" applyFill="1" applyBorder="1" applyAlignment="1" applyProtection="1">
      <alignment vertical="center" shrinkToFit="1"/>
      <protection hidden="1"/>
    </xf>
    <xf numFmtId="0" fontId="12" fillId="4" borderId="35" xfId="0" applyFont="1" applyFill="1" applyBorder="1" applyAlignment="1" applyProtection="1">
      <alignment vertical="center" shrinkToFit="1"/>
      <protection hidden="1"/>
    </xf>
    <xf numFmtId="0" fontId="12" fillId="4" borderId="36" xfId="0" applyFont="1" applyFill="1" applyBorder="1" applyAlignment="1" applyProtection="1">
      <alignment horizontal="center" vertical="center" shrinkToFit="1"/>
      <protection hidden="1"/>
    </xf>
    <xf numFmtId="0" fontId="265" fillId="33" borderId="0" xfId="0" applyNumberFormat="1" applyFont="1" applyFill="1" applyBorder="1" applyAlignment="1" applyProtection="1">
      <alignment horizontal="left" vertical="center" wrapText="1" shrinkToFit="1"/>
      <protection hidden="1"/>
    </xf>
    <xf numFmtId="0" fontId="265" fillId="33" borderId="0" xfId="0" applyNumberFormat="1" applyFont="1" applyFill="1" applyBorder="1" applyAlignment="1" applyProtection="1">
      <alignment horizontal="left" vertical="center" shrinkToFit="1"/>
      <protection hidden="1"/>
    </xf>
    <xf numFmtId="0" fontId="252" fillId="30" borderId="0" xfId="3" applyNumberFormat="1" applyFont="1" applyFill="1" applyBorder="1" applyAlignment="1" applyProtection="1">
      <alignment horizontal="left" vertical="center"/>
      <protection locked="0"/>
    </xf>
    <xf numFmtId="0" fontId="252" fillId="30" borderId="0" xfId="3" applyNumberFormat="1" applyFont="1" applyFill="1" applyBorder="1" applyAlignment="1" applyProtection="1">
      <alignment horizontal="center" vertical="center"/>
      <protection locked="0"/>
    </xf>
    <xf numFmtId="49" fontId="263" fillId="30" borderId="199" xfId="3" applyNumberFormat="1" applyFont="1" applyFill="1" applyBorder="1" applyAlignment="1" applyProtection="1">
      <alignment horizontal="right" vertical="center"/>
      <protection locked="0"/>
    </xf>
    <xf numFmtId="0" fontId="158" fillId="30" borderId="199" xfId="3" applyNumberFormat="1" applyFont="1" applyFill="1" applyBorder="1" applyAlignment="1" applyProtection="1">
      <protection locked="0"/>
    </xf>
    <xf numFmtId="178" fontId="15" fillId="28" borderId="0" xfId="2" applyNumberFormat="1" applyFont="1" applyFill="1" applyAlignment="1" applyProtection="1">
      <alignment horizontal="center" shrinkToFit="1"/>
      <protection hidden="1"/>
    </xf>
    <xf numFmtId="178" fontId="10" fillId="28" borderId="0" xfId="2" applyNumberFormat="1" applyFont="1" applyFill="1" applyAlignment="1" applyProtection="1">
      <alignment horizontal="center" vertical="top"/>
      <protection hidden="1"/>
    </xf>
    <xf numFmtId="176" fontId="24" fillId="4" borderId="299" xfId="0" applyNumberFormat="1" applyFont="1" applyFill="1" applyBorder="1" applyAlignment="1" applyProtection="1">
      <alignment horizontal="right" vertical="center" shrinkToFit="1"/>
      <protection locked="0"/>
    </xf>
    <xf numFmtId="176" fontId="24" fillId="4" borderId="35" xfId="0" applyNumberFormat="1" applyFont="1" applyFill="1" applyBorder="1" applyAlignment="1" applyProtection="1">
      <alignment horizontal="right" vertical="center" shrinkToFit="1"/>
      <protection locked="0"/>
    </xf>
    <xf numFmtId="176" fontId="24" fillId="4" borderId="290" xfId="0" applyNumberFormat="1" applyFont="1" applyFill="1" applyBorder="1" applyAlignment="1" applyProtection="1">
      <alignment horizontal="right" vertical="center" shrinkToFit="1"/>
      <protection locked="0"/>
    </xf>
    <xf numFmtId="176" fontId="24" fillId="4" borderId="299" xfId="0" applyNumberFormat="1" applyFont="1" applyFill="1" applyBorder="1" applyAlignment="1" applyProtection="1">
      <alignment vertical="center" shrinkToFit="1"/>
      <protection locked="0"/>
    </xf>
    <xf numFmtId="176" fontId="24" fillId="4" borderId="35" xfId="0" applyNumberFormat="1" applyFont="1" applyFill="1" applyBorder="1" applyAlignment="1" applyProtection="1">
      <alignment vertical="center" shrinkToFit="1"/>
      <protection locked="0"/>
    </xf>
    <xf numFmtId="176" fontId="24" fillId="4" borderId="290" xfId="0" applyNumberFormat="1" applyFont="1" applyFill="1" applyBorder="1" applyAlignment="1" applyProtection="1">
      <alignment vertical="center" shrinkToFit="1"/>
      <protection locked="0"/>
    </xf>
    <xf numFmtId="191" fontId="43" fillId="4" borderId="299" xfId="0" applyNumberFormat="1" applyFont="1" applyFill="1" applyBorder="1" applyAlignment="1" applyProtection="1">
      <alignment horizontal="right" vertical="center" shrinkToFit="1"/>
      <protection locked="0"/>
    </xf>
    <xf numFmtId="191" fontId="43" fillId="4" borderId="35" xfId="0" applyNumberFormat="1" applyFont="1" applyFill="1" applyBorder="1" applyAlignment="1" applyProtection="1">
      <alignment horizontal="right" vertical="center" shrinkToFit="1"/>
      <protection locked="0"/>
    </xf>
    <xf numFmtId="191" fontId="43" fillId="4" borderId="290" xfId="0" applyNumberFormat="1" applyFont="1" applyFill="1" applyBorder="1" applyAlignment="1" applyProtection="1">
      <alignment horizontal="right" vertical="center" shrinkToFit="1"/>
      <protection locked="0"/>
    </xf>
    <xf numFmtId="0" fontId="12" fillId="4" borderId="35" xfId="0" applyFont="1" applyFill="1" applyBorder="1" applyAlignment="1" applyProtection="1">
      <alignment vertical="center" shrinkToFit="1"/>
      <protection locked="0"/>
    </xf>
    <xf numFmtId="0" fontId="31" fillId="17" borderId="37" xfId="0" applyFont="1" applyFill="1" applyBorder="1" applyAlignment="1" applyProtection="1">
      <alignment horizontal="center" vertical="center" shrinkToFit="1"/>
      <protection locked="0"/>
    </xf>
    <xf numFmtId="0" fontId="31" fillId="17" borderId="0" xfId="0" applyFont="1" applyFill="1" applyBorder="1" applyAlignment="1" applyProtection="1">
      <alignment horizontal="center" vertical="center" shrinkToFit="1"/>
      <protection locked="0"/>
    </xf>
    <xf numFmtId="0" fontId="31" fillId="17" borderId="36" xfId="0" applyFont="1" applyFill="1" applyBorder="1" applyAlignment="1" applyProtection="1">
      <alignment horizontal="center" vertical="center" shrinkToFit="1"/>
      <protection locked="0"/>
    </xf>
    <xf numFmtId="0" fontId="42" fillId="17" borderId="37" xfId="0" applyFont="1" applyFill="1" applyBorder="1" applyAlignment="1" applyProtection="1">
      <alignment horizontal="center" vertical="center" shrinkToFit="1"/>
      <protection locked="0"/>
    </xf>
    <xf numFmtId="0" fontId="42" fillId="17" borderId="0" xfId="0" applyFont="1" applyFill="1" applyBorder="1" applyAlignment="1" applyProtection="1">
      <alignment horizontal="center" vertical="center" shrinkToFit="1"/>
      <protection locked="0"/>
    </xf>
    <xf numFmtId="0" fontId="42" fillId="17" borderId="36" xfId="0" applyFont="1" applyFill="1" applyBorder="1" applyAlignment="1" applyProtection="1">
      <alignment horizontal="center" vertical="center" shrinkToFit="1"/>
      <protection locked="0"/>
    </xf>
    <xf numFmtId="0" fontId="12" fillId="4" borderId="35" xfId="0" applyFont="1" applyFill="1" applyBorder="1" applyAlignment="1" applyProtection="1">
      <alignment vertical="center"/>
      <protection locked="0"/>
    </xf>
    <xf numFmtId="49" fontId="12" fillId="4" borderId="299" xfId="0" applyNumberFormat="1" applyFont="1" applyFill="1" applyBorder="1" applyAlignment="1" applyProtection="1">
      <alignment vertical="center"/>
      <protection locked="0"/>
    </xf>
    <xf numFmtId="49" fontId="12" fillId="4" borderId="35" xfId="0" applyNumberFormat="1" applyFont="1" applyFill="1" applyBorder="1" applyAlignment="1" applyProtection="1">
      <alignment vertical="center"/>
      <protection locked="0"/>
    </xf>
    <xf numFmtId="49" fontId="12" fillId="4" borderId="290" xfId="0" applyNumberFormat="1" applyFont="1" applyFill="1" applyBorder="1" applyAlignment="1" applyProtection="1">
      <alignment vertical="center"/>
      <protection locked="0"/>
    </xf>
    <xf numFmtId="49" fontId="12" fillId="4" borderId="267" xfId="0" applyNumberFormat="1" applyFont="1" applyFill="1" applyBorder="1" applyAlignment="1" applyProtection="1">
      <alignment vertical="center"/>
      <protection locked="0"/>
    </xf>
    <xf numFmtId="49" fontId="12" fillId="4" borderId="0" xfId="0" applyNumberFormat="1" applyFont="1" applyFill="1" applyBorder="1" applyAlignment="1" applyProtection="1">
      <alignment vertical="center"/>
      <protection locked="0"/>
    </xf>
    <xf numFmtId="49" fontId="12" fillId="4" borderId="228" xfId="0" applyNumberFormat="1" applyFont="1" applyFill="1" applyBorder="1" applyAlignment="1" applyProtection="1">
      <alignment vertical="center"/>
      <protection locked="0"/>
    </xf>
    <xf numFmtId="185" fontId="12" fillId="4" borderId="0" xfId="0" applyNumberFormat="1" applyFont="1" applyFill="1" applyBorder="1" applyAlignment="1" applyProtection="1">
      <alignment horizontal="center" vertical="center" shrinkToFit="1"/>
      <protection hidden="1"/>
    </xf>
    <xf numFmtId="185" fontId="12" fillId="4" borderId="84" xfId="0" applyNumberFormat="1" applyFont="1" applyFill="1" applyBorder="1" applyAlignment="1" applyProtection="1">
      <alignment horizontal="center" vertical="center" shrinkToFit="1"/>
      <protection hidden="1"/>
    </xf>
    <xf numFmtId="0" fontId="45" fillId="22" borderId="29" xfId="0" applyFont="1" applyFill="1" applyBorder="1" applyAlignment="1" applyProtection="1">
      <alignment horizontal="center" vertical="center"/>
      <protection hidden="1"/>
    </xf>
    <xf numFmtId="0" fontId="45" fillId="22" borderId="0" xfId="0" applyFont="1" applyFill="1" applyBorder="1" applyAlignment="1" applyProtection="1">
      <alignment horizontal="center" vertical="center"/>
      <protection hidden="1"/>
    </xf>
    <xf numFmtId="0" fontId="232" fillId="29" borderId="0" xfId="1" applyFont="1" applyFill="1" applyBorder="1" applyAlignment="1" applyProtection="1">
      <alignment horizontal="center" vertical="center" shrinkToFit="1"/>
      <protection hidden="1"/>
    </xf>
    <xf numFmtId="178" fontId="25" fillId="28" borderId="173" xfId="2" applyNumberFormat="1" applyFont="1" applyFill="1" applyBorder="1" applyAlignment="1" applyProtection="1">
      <alignment horizontal="center" vertical="center"/>
      <protection hidden="1"/>
    </xf>
    <xf numFmtId="0" fontId="25" fillId="28" borderId="173" xfId="2" applyFont="1" applyFill="1" applyBorder="1" applyAlignment="1" applyProtection="1">
      <alignment horizontal="center" vertical="center"/>
      <protection hidden="1"/>
    </xf>
    <xf numFmtId="0" fontId="10" fillId="28" borderId="0" xfId="2" quotePrefix="1" applyFont="1" applyFill="1" applyAlignment="1" applyProtection="1">
      <alignment horizontal="center" vertical="center"/>
      <protection hidden="1"/>
    </xf>
    <xf numFmtId="0" fontId="15" fillId="28" borderId="173" xfId="2" applyFont="1" applyFill="1" applyBorder="1" applyAlignment="1" applyProtection="1">
      <alignment horizontal="center" vertical="center" shrinkToFit="1"/>
      <protection hidden="1"/>
    </xf>
    <xf numFmtId="0" fontId="10" fillId="28" borderId="0" xfId="2" applyFont="1" applyFill="1" applyAlignment="1" applyProtection="1">
      <alignment vertical="center" shrinkToFit="1"/>
      <protection hidden="1"/>
    </xf>
    <xf numFmtId="14" fontId="15" fillId="28" borderId="0" xfId="2" applyNumberFormat="1" applyFont="1" applyFill="1" applyAlignment="1" applyProtection="1">
      <alignment horizontal="center" vertical="center" shrinkToFit="1"/>
      <protection hidden="1"/>
    </xf>
    <xf numFmtId="0" fontId="10" fillId="28" borderId="146" xfId="2" applyNumberFormat="1" applyFont="1" applyFill="1" applyBorder="1" applyAlignment="1" applyProtection="1">
      <alignment horizontal="center" vertical="center" shrinkToFit="1"/>
      <protection hidden="1"/>
    </xf>
    <xf numFmtId="178" fontId="15" fillId="28" borderId="0" xfId="2" applyNumberFormat="1" applyFont="1" applyFill="1" applyBorder="1" applyAlignment="1" applyProtection="1">
      <alignment horizontal="center" vertical="center" shrinkToFit="1"/>
      <protection hidden="1"/>
    </xf>
    <xf numFmtId="194" fontId="25" fillId="28" borderId="199" xfId="2" applyNumberFormat="1" applyFont="1" applyFill="1" applyBorder="1" applyAlignment="1" applyProtection="1">
      <alignment horizontal="center" vertical="center" shrinkToFit="1"/>
      <protection hidden="1"/>
    </xf>
    <xf numFmtId="178" fontId="25" fillId="28" borderId="199" xfId="2" applyNumberFormat="1" applyFont="1" applyFill="1" applyBorder="1" applyAlignment="1" applyProtection="1">
      <alignment horizontal="center" vertical="center" shrinkToFit="1"/>
      <protection hidden="1"/>
    </xf>
    <xf numFmtId="178" fontId="25" fillId="28" borderId="199" xfId="2" applyNumberFormat="1" applyFont="1" applyFill="1" applyBorder="1" applyAlignment="1" applyProtection="1">
      <alignment horizontal="center" vertical="center"/>
      <protection hidden="1"/>
    </xf>
    <xf numFmtId="194" fontId="25" fillId="28" borderId="0" xfId="2" applyNumberFormat="1" applyFont="1" applyFill="1" applyBorder="1" applyAlignment="1" applyProtection="1">
      <alignment horizontal="center" vertical="center" shrinkToFit="1"/>
      <protection hidden="1"/>
    </xf>
    <xf numFmtId="178" fontId="25" fillId="28" borderId="0" xfId="2" applyNumberFormat="1" applyFont="1" applyFill="1" applyBorder="1" applyAlignment="1" applyProtection="1">
      <alignment horizontal="center" vertical="center" shrinkToFit="1"/>
      <protection hidden="1"/>
    </xf>
    <xf numFmtId="178" fontId="25" fillId="28" borderId="0" xfId="2" applyNumberFormat="1" applyFont="1" applyFill="1" applyBorder="1" applyAlignment="1" applyProtection="1">
      <alignment horizontal="center" vertical="center"/>
      <protection hidden="1"/>
    </xf>
    <xf numFmtId="0" fontId="25" fillId="28" borderId="0" xfId="2" applyFont="1" applyFill="1" applyBorder="1" applyAlignment="1" applyProtection="1">
      <alignment horizontal="center" vertical="center"/>
      <protection hidden="1"/>
    </xf>
    <xf numFmtId="0" fontId="25" fillId="28" borderId="0" xfId="2" quotePrefix="1" applyFont="1" applyFill="1" applyBorder="1" applyAlignment="1" applyProtection="1">
      <alignment horizontal="center" vertical="center"/>
      <protection hidden="1"/>
    </xf>
    <xf numFmtId="0" fontId="10" fillId="28" borderId="0" xfId="2" applyFont="1" applyFill="1" applyBorder="1" applyProtection="1">
      <alignment vertical="center"/>
      <protection hidden="1"/>
    </xf>
    <xf numFmtId="178" fontId="25" fillId="28" borderId="342" xfId="2" applyNumberFormat="1" applyFont="1" applyFill="1" applyBorder="1" applyAlignment="1" applyProtection="1">
      <alignment horizontal="center" vertical="center"/>
      <protection hidden="1"/>
    </xf>
    <xf numFmtId="0" fontId="15" fillId="28" borderId="0" xfId="2" applyFont="1" applyFill="1" applyBorder="1" applyAlignment="1" applyProtection="1">
      <alignment horizontal="center" vertical="center" shrinkToFit="1"/>
      <protection hidden="1"/>
    </xf>
    <xf numFmtId="14" fontId="10" fillId="28" borderId="0" xfId="2" applyNumberFormat="1" applyFont="1" applyFill="1" applyAlignment="1" applyProtection="1">
      <alignment vertical="center"/>
      <protection hidden="1"/>
    </xf>
    <xf numFmtId="0" fontId="10" fillId="28" borderId="0" xfId="2" applyFont="1" applyFill="1" applyAlignment="1" applyProtection="1">
      <alignment vertical="center"/>
      <protection hidden="1"/>
    </xf>
    <xf numFmtId="0" fontId="15" fillId="28" borderId="0" xfId="2" applyFont="1" applyFill="1" applyAlignment="1" applyProtection="1">
      <alignment vertical="center"/>
      <protection hidden="1"/>
    </xf>
    <xf numFmtId="18" fontId="15" fillId="28" borderId="173" xfId="2" applyNumberFormat="1" applyFont="1" applyFill="1" applyBorder="1" applyAlignment="1" applyProtection="1">
      <alignment horizontal="center" vertical="center"/>
      <protection hidden="1"/>
    </xf>
    <xf numFmtId="0" fontId="15" fillId="28" borderId="173" xfId="2" applyNumberFormat="1" applyFont="1" applyFill="1" applyBorder="1" applyAlignment="1" applyProtection="1">
      <alignment horizontal="center" vertical="center" shrinkToFit="1"/>
      <protection hidden="1"/>
    </xf>
    <xf numFmtId="196" fontId="10" fillId="28" borderId="173" xfId="2" applyNumberFormat="1" applyFont="1" applyFill="1" applyBorder="1" applyAlignment="1" applyProtection="1">
      <alignment vertical="center" shrinkToFit="1"/>
      <protection hidden="1"/>
    </xf>
    <xf numFmtId="178" fontId="15" fillId="28" borderId="0" xfId="2" applyNumberFormat="1" applyFont="1" applyFill="1" applyAlignment="1" applyProtection="1">
      <alignment horizontal="center" vertical="center"/>
      <protection hidden="1"/>
    </xf>
    <xf numFmtId="0" fontId="15" fillId="28" borderId="21" xfId="2" applyFont="1" applyFill="1" applyBorder="1" applyAlignment="1" applyProtection="1">
      <alignment horizontal="center" vertical="center" shrinkToFit="1"/>
      <protection hidden="1"/>
    </xf>
    <xf numFmtId="0" fontId="25" fillId="28" borderId="0" xfId="2" applyNumberFormat="1" applyFont="1" applyFill="1" applyAlignment="1" applyProtection="1">
      <alignment horizontal="center" vertical="center"/>
      <protection hidden="1"/>
    </xf>
    <xf numFmtId="0" fontId="25" fillId="28" borderId="175" xfId="2" applyFont="1" applyFill="1" applyBorder="1" applyAlignment="1" applyProtection="1">
      <alignment horizontal="center" vertical="center" shrinkToFit="1"/>
      <protection hidden="1"/>
    </xf>
    <xf numFmtId="0" fontId="25" fillId="28" borderId="173" xfId="2" applyFont="1" applyFill="1" applyBorder="1" applyAlignment="1" applyProtection="1">
      <alignment horizontal="center" vertical="center" shrinkToFit="1"/>
      <protection hidden="1"/>
    </xf>
    <xf numFmtId="0" fontId="15" fillId="28" borderId="0" xfId="2" applyFont="1" applyFill="1" applyAlignment="1" applyProtection="1">
      <alignment horizontal="center" vertical="center" shrinkToFit="1"/>
      <protection hidden="1"/>
    </xf>
    <xf numFmtId="0" fontId="194" fillId="5" borderId="343" xfId="1" applyFont="1" applyFill="1" applyBorder="1" applyAlignment="1" applyProtection="1">
      <alignment horizontal="left" vertical="center"/>
      <protection hidden="1"/>
    </xf>
    <xf numFmtId="0" fontId="194" fillId="5" borderId="344" xfId="1" applyFont="1" applyFill="1" applyBorder="1" applyAlignment="1" applyProtection="1">
      <alignment horizontal="left" vertical="center"/>
      <protection hidden="1"/>
    </xf>
    <xf numFmtId="0" fontId="350" fillId="33" borderId="0" xfId="0" applyNumberFormat="1" applyFont="1" applyFill="1" applyBorder="1" applyAlignment="1" applyProtection="1">
      <alignment horizontal="left" vertical="center" shrinkToFit="1"/>
      <protection hidden="1"/>
    </xf>
    <xf numFmtId="193" fontId="11" fillId="2" borderId="175" xfId="0" applyNumberFormat="1" applyFont="1" applyFill="1" applyBorder="1" applyAlignment="1" applyProtection="1">
      <alignment vertical="center" shrinkToFit="1"/>
      <protection hidden="1"/>
    </xf>
    <xf numFmtId="193" fontId="11" fillId="2" borderId="175" xfId="0" applyNumberFormat="1" applyFont="1" applyFill="1" applyBorder="1" applyAlignment="1" applyProtection="1">
      <alignment vertical="center"/>
      <protection hidden="1"/>
    </xf>
    <xf numFmtId="185" fontId="11" fillId="2" borderId="175" xfId="0" applyNumberFormat="1" applyFont="1" applyFill="1" applyBorder="1" applyAlignment="1" applyProtection="1">
      <alignment vertical="center" shrinkToFit="1"/>
      <protection hidden="1"/>
    </xf>
    <xf numFmtId="0" fontId="24" fillId="4" borderId="299" xfId="0" applyNumberFormat="1" applyFont="1" applyFill="1" applyBorder="1" applyAlignment="1" applyProtection="1">
      <alignment horizontal="center" vertical="center" shrinkToFit="1"/>
      <protection hidden="1"/>
    </xf>
    <xf numFmtId="0" fontId="24" fillId="4" borderId="35" xfId="0" applyNumberFormat="1" applyFont="1" applyFill="1" applyBorder="1" applyAlignment="1" applyProtection="1">
      <alignment horizontal="center" vertical="center" shrinkToFit="1"/>
      <protection hidden="1"/>
    </xf>
    <xf numFmtId="0" fontId="24" fillId="4" borderId="290" xfId="0" applyNumberFormat="1" applyFont="1" applyFill="1" applyBorder="1" applyAlignment="1" applyProtection="1">
      <alignment horizontal="center" vertical="center" shrinkToFit="1"/>
      <protection hidden="1"/>
    </xf>
    <xf numFmtId="176" fontId="24" fillId="4" borderId="299" xfId="0" applyNumberFormat="1" applyFont="1" applyFill="1" applyBorder="1" applyAlignment="1" applyProtection="1">
      <alignment horizontal="right" vertical="center" shrinkToFit="1"/>
      <protection hidden="1"/>
    </xf>
    <xf numFmtId="176" fontId="24" fillId="4" borderId="35" xfId="0" applyNumberFormat="1" applyFont="1" applyFill="1" applyBorder="1" applyAlignment="1" applyProtection="1">
      <alignment horizontal="right" vertical="center" shrinkToFit="1"/>
      <protection hidden="1"/>
    </xf>
    <xf numFmtId="176" fontId="24" fillId="4" borderId="290" xfId="0" applyNumberFormat="1" applyFont="1" applyFill="1" applyBorder="1" applyAlignment="1" applyProtection="1">
      <alignment horizontal="right" vertical="center" shrinkToFit="1"/>
      <protection hidden="1"/>
    </xf>
    <xf numFmtId="191" fontId="43" fillId="4" borderId="299" xfId="0" applyNumberFormat="1" applyFont="1" applyFill="1" applyBorder="1" applyAlignment="1" applyProtection="1">
      <alignment horizontal="right" vertical="center" shrinkToFit="1"/>
      <protection hidden="1"/>
    </xf>
    <xf numFmtId="191" fontId="43" fillId="4" borderId="35" xfId="0" applyNumberFormat="1" applyFont="1" applyFill="1" applyBorder="1" applyAlignment="1" applyProtection="1">
      <alignment horizontal="right" vertical="center" shrinkToFit="1"/>
      <protection hidden="1"/>
    </xf>
    <xf numFmtId="191" fontId="43" fillId="4" borderId="290" xfId="0" applyNumberFormat="1" applyFont="1" applyFill="1" applyBorder="1" applyAlignment="1" applyProtection="1">
      <alignment horizontal="right" vertical="center" shrinkToFit="1"/>
      <protection hidden="1"/>
    </xf>
    <xf numFmtId="49" fontId="12" fillId="4" borderId="299" xfId="0" applyNumberFormat="1" applyFont="1" applyFill="1" applyBorder="1" applyAlignment="1" applyProtection="1">
      <alignment vertical="center"/>
      <protection hidden="1"/>
    </xf>
    <xf numFmtId="49" fontId="12" fillId="4" borderId="35" xfId="0" applyNumberFormat="1" applyFont="1" applyFill="1" applyBorder="1" applyAlignment="1" applyProtection="1">
      <alignment vertical="center"/>
      <protection hidden="1"/>
    </xf>
    <xf numFmtId="49" fontId="12" fillId="4" borderId="290" xfId="0" applyNumberFormat="1" applyFont="1" applyFill="1" applyBorder="1" applyAlignment="1" applyProtection="1">
      <alignment vertical="center"/>
      <protection hidden="1"/>
    </xf>
    <xf numFmtId="195" fontId="15" fillId="28" borderId="173" xfId="2" applyNumberFormat="1" applyFont="1" applyFill="1" applyBorder="1" applyAlignment="1" applyProtection="1">
      <alignment horizontal="center" vertical="center" shrinkToFit="1"/>
      <protection hidden="1"/>
    </xf>
    <xf numFmtId="0" fontId="236" fillId="18" borderId="0" xfId="2" applyFont="1" applyFill="1" applyBorder="1" applyAlignment="1" applyProtection="1">
      <alignment horizontal="center" vertical="center" wrapText="1"/>
      <protection hidden="1"/>
    </xf>
    <xf numFmtId="0" fontId="188" fillId="18" borderId="0" xfId="2" applyFont="1" applyFill="1" applyBorder="1" applyAlignment="1" applyProtection="1">
      <alignment horizontal="center" vertical="center" wrapText="1"/>
      <protection hidden="1"/>
    </xf>
    <xf numFmtId="0" fontId="13" fillId="18" borderId="0" xfId="2" applyFont="1" applyFill="1" applyBorder="1" applyAlignment="1" applyProtection="1">
      <alignment vertical="top" wrapText="1"/>
      <protection hidden="1"/>
    </xf>
    <xf numFmtId="0" fontId="10" fillId="18" borderId="0" xfId="2" applyFont="1" applyFill="1" applyBorder="1" applyProtection="1">
      <alignment vertical="center"/>
      <protection hidden="1"/>
    </xf>
    <xf numFmtId="0" fontId="25" fillId="18" borderId="0" xfId="2" applyFont="1" applyFill="1" applyBorder="1" applyAlignment="1" applyProtection="1">
      <alignment horizontal="distributed" vertical="center"/>
      <protection hidden="1"/>
    </xf>
    <xf numFmtId="0" fontId="27" fillId="30" borderId="0" xfId="2" applyFont="1" applyFill="1" applyBorder="1" applyAlignment="1" applyProtection="1">
      <alignment horizontal="left" vertical="center" shrinkToFit="1"/>
      <protection hidden="1"/>
    </xf>
    <xf numFmtId="0" fontId="13" fillId="18" borderId="0" xfId="2" applyFont="1" applyFill="1" applyBorder="1" applyAlignment="1" applyProtection="1">
      <protection hidden="1"/>
    </xf>
    <xf numFmtId="0" fontId="13" fillId="18" borderId="0" xfId="2" applyFont="1" applyFill="1" applyBorder="1" applyAlignment="1" applyProtection="1">
      <alignment horizontal="center"/>
      <protection hidden="1"/>
    </xf>
    <xf numFmtId="176" fontId="38" fillId="5" borderId="0" xfId="0" applyNumberFormat="1" applyFont="1" applyFill="1" applyBorder="1" applyAlignment="1" applyProtection="1">
      <alignment vertical="center" wrapText="1"/>
      <protection hidden="1"/>
    </xf>
    <xf numFmtId="176" fontId="12" fillId="17" borderId="0" xfId="0" applyNumberFormat="1" applyFont="1" applyFill="1" applyBorder="1" applyAlignment="1" applyProtection="1">
      <alignment horizontal="left" vertical="center" shrinkToFit="1"/>
      <protection hidden="1"/>
    </xf>
    <xf numFmtId="181" fontId="12" fillId="4" borderId="37" xfId="0" applyNumberFormat="1" applyFont="1" applyFill="1" applyBorder="1" applyAlignment="1" applyProtection="1">
      <alignment horizontal="right" vertical="center" shrinkToFit="1"/>
      <protection hidden="1"/>
    </xf>
    <xf numFmtId="181" fontId="12" fillId="4" borderId="0" xfId="0" applyNumberFormat="1" applyFont="1" applyFill="1" applyBorder="1" applyAlignment="1" applyProtection="1">
      <alignment horizontal="right" vertical="center" shrinkToFit="1"/>
      <protection hidden="1"/>
    </xf>
    <xf numFmtId="181" fontId="12" fillId="4" borderId="36" xfId="0" applyNumberFormat="1" applyFont="1" applyFill="1" applyBorder="1" applyAlignment="1" applyProtection="1">
      <alignment horizontal="right" vertical="center" shrinkToFit="1"/>
      <protection hidden="1"/>
    </xf>
    <xf numFmtId="0" fontId="13" fillId="5" borderId="0" xfId="0" applyFont="1" applyFill="1" applyBorder="1" applyAlignment="1" applyProtection="1">
      <alignment horizontal="left" vertical="center"/>
      <protection hidden="1"/>
    </xf>
    <xf numFmtId="0" fontId="11" fillId="7" borderId="14" xfId="0" applyFont="1" applyFill="1" applyBorder="1" applyAlignment="1" applyProtection="1">
      <alignment horizontal="center" vertical="center"/>
      <protection hidden="1"/>
    </xf>
    <xf numFmtId="0" fontId="11" fillId="7" borderId="12" xfId="0" applyFont="1" applyFill="1" applyBorder="1" applyAlignment="1" applyProtection="1">
      <alignment horizontal="center" vertical="center" shrinkToFit="1"/>
      <protection hidden="1"/>
    </xf>
    <xf numFmtId="49" fontId="37" fillId="22" borderId="267" xfId="0" quotePrefix="1" applyNumberFormat="1" applyFont="1" applyFill="1" applyBorder="1" applyAlignment="1" applyProtection="1">
      <alignment horizontal="center" vertical="top" wrapText="1"/>
      <protection locked="0"/>
    </xf>
    <xf numFmtId="49" fontId="37" fillId="22" borderId="0" xfId="0" applyNumberFormat="1" applyFont="1" applyFill="1" applyBorder="1" applyAlignment="1" applyProtection="1">
      <alignment horizontal="center" vertical="top" wrapText="1"/>
      <protection locked="0"/>
    </xf>
    <xf numFmtId="49" fontId="37" fillId="22" borderId="228" xfId="0" applyNumberFormat="1" applyFont="1" applyFill="1" applyBorder="1" applyAlignment="1" applyProtection="1">
      <alignment horizontal="center" vertical="top" wrapText="1"/>
      <protection locked="0"/>
    </xf>
    <xf numFmtId="0" fontId="11" fillId="12" borderId="12" xfId="0" applyFont="1" applyFill="1" applyBorder="1" applyAlignment="1" applyProtection="1">
      <alignment horizontal="center" vertical="center" shrinkToFit="1"/>
      <protection hidden="1"/>
    </xf>
    <xf numFmtId="188" fontId="25" fillId="18" borderId="0" xfId="3" applyNumberFormat="1" applyFont="1" applyFill="1" applyBorder="1" applyAlignment="1" applyProtection="1">
      <alignment vertical="center"/>
      <protection locked="0"/>
    </xf>
    <xf numFmtId="189" fontId="188" fillId="18" borderId="12" xfId="3" applyNumberFormat="1" applyFont="1" applyFill="1" applyBorder="1" applyAlignment="1" applyProtection="1">
      <alignment horizontal="right" vertical="center" shrinkToFit="1"/>
      <protection hidden="1"/>
    </xf>
    <xf numFmtId="0" fontId="11" fillId="7" borderId="0" xfId="0" applyFont="1" applyFill="1" applyBorder="1" applyAlignment="1" applyProtection="1">
      <alignment horizontal="center" vertical="center" wrapText="1"/>
      <protection hidden="1"/>
    </xf>
    <xf numFmtId="9" fontId="11" fillId="2" borderId="0" xfId="0" applyNumberFormat="1" applyFont="1" applyFill="1" applyBorder="1" applyAlignment="1" applyProtection="1">
      <alignment vertical="center" shrinkToFit="1"/>
      <protection hidden="1"/>
    </xf>
    <xf numFmtId="0" fontId="158" fillId="18" borderId="0" xfId="3" applyFont="1" applyFill="1" applyProtection="1">
      <protection hidden="1"/>
    </xf>
    <xf numFmtId="186" fontId="15" fillId="18" borderId="14" xfId="3" applyNumberFormat="1" applyFont="1" applyFill="1" applyBorder="1" applyAlignment="1" applyProtection="1">
      <alignment horizontal="right" vertical="center" shrinkToFit="1"/>
      <protection hidden="1"/>
    </xf>
    <xf numFmtId="186" fontId="15" fillId="18" borderId="12" xfId="3" applyNumberFormat="1" applyFont="1" applyFill="1" applyBorder="1" applyAlignment="1" applyProtection="1">
      <alignment horizontal="right" vertical="center" shrinkToFit="1"/>
      <protection hidden="1"/>
    </xf>
    <xf numFmtId="186" fontId="15" fillId="18" borderId="0" xfId="3" applyNumberFormat="1" applyFont="1" applyFill="1" applyAlignment="1" applyProtection="1">
      <alignment horizontal="right"/>
      <protection hidden="1"/>
    </xf>
    <xf numFmtId="186" fontId="15" fillId="18" borderId="12" xfId="3" applyNumberFormat="1" applyFont="1" applyFill="1" applyBorder="1" applyAlignment="1" applyProtection="1">
      <alignment horizontal="right"/>
      <protection hidden="1"/>
    </xf>
    <xf numFmtId="186" fontId="15" fillId="18" borderId="12" xfId="3" applyNumberFormat="1" applyFont="1" applyFill="1" applyBorder="1" applyAlignment="1" applyProtection="1">
      <alignment horizontal="right" shrinkToFit="1"/>
      <protection hidden="1"/>
    </xf>
    <xf numFmtId="186" fontId="158" fillId="18" borderId="0" xfId="3" applyNumberFormat="1" applyFont="1" applyFill="1" applyAlignment="1" applyProtection="1">
      <alignment horizontal="right"/>
      <protection hidden="1"/>
    </xf>
    <xf numFmtId="186" fontId="158" fillId="18" borderId="12" xfId="3" applyNumberFormat="1" applyFont="1" applyFill="1" applyBorder="1" applyAlignment="1" applyProtection="1">
      <alignment horizontal="right" vertical="center" shrinkToFit="1"/>
      <protection hidden="1"/>
    </xf>
    <xf numFmtId="0" fontId="15" fillId="18" borderId="173" xfId="3" quotePrefix="1" applyFont="1" applyFill="1" applyBorder="1" applyAlignment="1" applyProtection="1">
      <alignment horizontal="center" vertical="center" shrinkToFit="1"/>
      <protection hidden="1"/>
    </xf>
    <xf numFmtId="0" fontId="15" fillId="18" borderId="173" xfId="3" applyFont="1" applyFill="1" applyBorder="1" applyAlignment="1" applyProtection="1">
      <alignment horizontal="center" vertical="center" shrinkToFit="1"/>
      <protection hidden="1"/>
    </xf>
    <xf numFmtId="0" fontId="15" fillId="18" borderId="0" xfId="3" applyFont="1" applyFill="1" applyAlignment="1" applyProtection="1">
      <alignment horizontal="center" vertical="center" shrinkToFit="1"/>
      <protection hidden="1"/>
    </xf>
    <xf numFmtId="176" fontId="15" fillId="18" borderId="12" xfId="3" applyNumberFormat="1" applyFont="1" applyFill="1" applyBorder="1" applyAlignment="1" applyProtection="1">
      <alignment horizontal="center" vertical="center" shrinkToFit="1"/>
      <protection hidden="1"/>
    </xf>
    <xf numFmtId="186" fontId="47" fillId="18" borderId="12" xfId="3" applyNumberFormat="1" applyFont="1" applyFill="1" applyBorder="1" applyAlignment="1" applyProtection="1">
      <alignment horizontal="right" vertical="center" shrinkToFit="1"/>
      <protection hidden="1"/>
    </xf>
    <xf numFmtId="0" fontId="13" fillId="18" borderId="145" xfId="3" applyNumberFormat="1" applyFont="1" applyFill="1" applyBorder="1" applyAlignment="1" applyProtection="1">
      <alignment horizontal="center" vertical="center" shrinkToFit="1"/>
      <protection locked="0"/>
    </xf>
    <xf numFmtId="49" fontId="53" fillId="2" borderId="0" xfId="0" applyNumberFormat="1" applyFont="1" applyFill="1" applyAlignment="1" applyProtection="1">
      <alignment horizontal="left" vertical="center"/>
      <protection hidden="1"/>
    </xf>
    <xf numFmtId="186" fontId="15" fillId="18" borderId="12" xfId="3" quotePrefix="1" applyNumberFormat="1" applyFont="1" applyFill="1" applyBorder="1" applyAlignment="1" applyProtection="1">
      <alignment horizontal="right" vertical="center" shrinkToFit="1"/>
      <protection hidden="1"/>
    </xf>
    <xf numFmtId="0" fontId="2" fillId="0" borderId="0" xfId="0" applyFont="1" applyFill="1" applyAlignment="1" applyProtection="1">
      <alignment horizontal="center" vertical="center"/>
      <protection hidden="1"/>
    </xf>
    <xf numFmtId="176" fontId="53" fillId="0" borderId="173" xfId="0" applyNumberFormat="1" applyFont="1" applyFill="1" applyBorder="1" applyAlignment="1" applyProtection="1">
      <alignment horizontal="center" vertical="center" shrinkToFit="1"/>
      <protection hidden="1"/>
    </xf>
    <xf numFmtId="0" fontId="11" fillId="0" borderId="0" xfId="0" applyFont="1" applyFill="1" applyAlignment="1" applyProtection="1">
      <alignment horizontal="right" vertical="center" shrinkToFit="1"/>
      <protection hidden="1"/>
    </xf>
    <xf numFmtId="0" fontId="11" fillId="0" borderId="0" xfId="0" applyFont="1" applyFill="1" applyAlignment="1" applyProtection="1">
      <alignment horizontal="right" vertical="center"/>
      <protection hidden="1"/>
    </xf>
    <xf numFmtId="0" fontId="11" fillId="0" borderId="0" xfId="0" applyFont="1" applyFill="1" applyAlignment="1" applyProtection="1">
      <alignment horizontal="left" vertical="center"/>
      <protection hidden="1"/>
    </xf>
    <xf numFmtId="0" fontId="2" fillId="29" borderId="20" xfId="0" applyFont="1" applyFill="1" applyBorder="1" applyAlignment="1" applyProtection="1">
      <alignment horizontal="center" vertical="center"/>
      <protection hidden="1"/>
    </xf>
    <xf numFmtId="0" fontId="2" fillId="29" borderId="219" xfId="0" applyFont="1" applyFill="1" applyBorder="1" applyAlignment="1" applyProtection="1">
      <alignment horizontal="center" vertical="center"/>
      <protection hidden="1"/>
    </xf>
    <xf numFmtId="0" fontId="12" fillId="29" borderId="219" xfId="0" applyFont="1" applyFill="1" applyBorder="1" applyAlignment="1" applyProtection="1">
      <alignment horizontal="center" vertical="center"/>
      <protection hidden="1"/>
    </xf>
    <xf numFmtId="0" fontId="181" fillId="29" borderId="219" xfId="0" applyFont="1" applyFill="1" applyBorder="1" applyAlignment="1" applyProtection="1">
      <alignment horizontal="center" vertical="center"/>
      <protection hidden="1"/>
    </xf>
    <xf numFmtId="0" fontId="181" fillId="29" borderId="219" xfId="0" applyFont="1" applyFill="1" applyBorder="1" applyAlignment="1" applyProtection="1">
      <alignment vertical="center" shrinkToFit="1"/>
      <protection hidden="1"/>
    </xf>
    <xf numFmtId="186" fontId="181" fillId="29" borderId="219" xfId="0" applyNumberFormat="1" applyFont="1" applyFill="1" applyBorder="1" applyAlignment="1" applyProtection="1">
      <alignment vertical="center" shrinkToFit="1"/>
      <protection hidden="1"/>
    </xf>
    <xf numFmtId="0" fontId="2" fillId="29" borderId="177" xfId="0" applyFont="1" applyFill="1" applyBorder="1" applyAlignment="1" applyProtection="1">
      <alignment horizontal="center" vertical="center"/>
      <protection hidden="1"/>
    </xf>
    <xf numFmtId="0" fontId="2" fillId="29" borderId="5" xfId="0" applyFont="1" applyFill="1" applyBorder="1" applyAlignment="1" applyProtection="1">
      <alignment horizontal="center" vertical="center"/>
      <protection hidden="1"/>
    </xf>
    <xf numFmtId="0" fontId="2" fillId="29" borderId="0" xfId="0" applyFont="1" applyFill="1" applyBorder="1" applyAlignment="1" applyProtection="1">
      <alignment horizontal="center" vertical="center"/>
      <protection hidden="1"/>
    </xf>
    <xf numFmtId="0" fontId="12" fillId="29" borderId="0" xfId="0" applyFont="1" applyFill="1" applyBorder="1" applyAlignment="1" applyProtection="1">
      <alignment horizontal="center" vertical="center"/>
      <protection hidden="1"/>
    </xf>
    <xf numFmtId="0" fontId="2" fillId="29" borderId="4" xfId="0" applyFont="1" applyFill="1" applyBorder="1" applyAlignment="1" applyProtection="1">
      <alignment horizontal="center" vertical="center"/>
      <protection hidden="1"/>
    </xf>
    <xf numFmtId="0" fontId="12" fillId="3" borderId="173" xfId="0" applyFont="1" applyFill="1" applyBorder="1" applyAlignment="1" applyProtection="1">
      <alignment horizontal="center" vertical="center" textRotation="180" shrinkToFit="1"/>
      <protection hidden="1"/>
    </xf>
    <xf numFmtId="0" fontId="2" fillId="0" borderId="0" xfId="0" applyFont="1" applyFill="1" applyAlignment="1" applyProtection="1">
      <alignment vertical="center"/>
      <protection hidden="1"/>
    </xf>
    <xf numFmtId="0" fontId="12" fillId="3" borderId="20" xfId="0" applyFont="1" applyFill="1" applyBorder="1" applyAlignment="1" applyProtection="1">
      <alignment horizontal="center" vertical="center" textRotation="180" shrinkToFit="1"/>
      <protection hidden="1"/>
    </xf>
    <xf numFmtId="0" fontId="12" fillId="29" borderId="0" xfId="0" applyFont="1" applyFill="1" applyBorder="1" applyAlignment="1" applyProtection="1">
      <alignment horizontal="left" vertical="center"/>
      <protection hidden="1"/>
    </xf>
    <xf numFmtId="0" fontId="12" fillId="3" borderId="359" xfId="0" applyFont="1" applyFill="1" applyBorder="1" applyAlignment="1" applyProtection="1">
      <alignment horizontal="center" vertical="center" textRotation="180" shrinkToFit="1"/>
      <protection hidden="1"/>
    </xf>
    <xf numFmtId="0" fontId="12" fillId="29" borderId="0" xfId="0" applyFont="1" applyFill="1" applyBorder="1" applyAlignment="1" applyProtection="1">
      <alignment vertical="center"/>
      <protection hidden="1"/>
    </xf>
    <xf numFmtId="0" fontId="12" fillId="3" borderId="176" xfId="0" applyFont="1" applyFill="1" applyBorder="1" applyAlignment="1" applyProtection="1">
      <alignment horizontal="center" vertical="center" textRotation="180" shrinkToFit="1"/>
      <protection hidden="1"/>
    </xf>
    <xf numFmtId="0" fontId="181" fillId="29" borderId="0" xfId="0" applyFont="1" applyFill="1" applyBorder="1" applyAlignment="1" applyProtection="1">
      <alignment horizontal="center" vertical="center"/>
      <protection hidden="1"/>
    </xf>
    <xf numFmtId="0" fontId="11" fillId="0" borderId="0" xfId="0" applyFont="1" applyFill="1" applyAlignment="1" applyProtection="1">
      <alignment horizontal="center" vertical="center"/>
      <protection hidden="1"/>
    </xf>
    <xf numFmtId="0" fontId="11" fillId="0" borderId="173" xfId="0" applyFont="1" applyFill="1" applyBorder="1" applyAlignment="1" applyProtection="1">
      <alignment horizontal="center" vertical="center" shrinkToFit="1"/>
      <protection hidden="1"/>
    </xf>
    <xf numFmtId="0" fontId="2" fillId="29" borderId="0" xfId="0" applyFont="1" applyFill="1" applyBorder="1" applyAlignment="1" applyProtection="1">
      <alignment vertical="center"/>
      <protection hidden="1"/>
    </xf>
    <xf numFmtId="0" fontId="12" fillId="29" borderId="0" xfId="0" applyFont="1" applyFill="1" applyBorder="1" applyAlignment="1" applyProtection="1">
      <alignment horizontal="right" vertical="center"/>
      <protection hidden="1"/>
    </xf>
    <xf numFmtId="0" fontId="48" fillId="29" borderId="0" xfId="0" applyFont="1" applyFill="1" applyBorder="1" applyAlignment="1" applyProtection="1">
      <alignment horizontal="center" vertical="center"/>
      <protection hidden="1"/>
    </xf>
    <xf numFmtId="0" fontId="11" fillId="0" borderId="0" xfId="0" applyFont="1" applyFill="1" applyAlignment="1" applyProtection="1">
      <alignment horizontal="center" vertical="center" shrinkToFit="1"/>
      <protection hidden="1"/>
    </xf>
    <xf numFmtId="0" fontId="11" fillId="0" borderId="0" xfId="0" applyFont="1" applyFill="1" applyBorder="1" applyAlignment="1" applyProtection="1">
      <alignment horizontal="center" vertical="center"/>
      <protection hidden="1"/>
    </xf>
    <xf numFmtId="0" fontId="11" fillId="0" borderId="146" xfId="0" applyFont="1" applyFill="1" applyBorder="1" applyAlignment="1" applyProtection="1">
      <alignment horizontal="center" vertical="center"/>
      <protection hidden="1"/>
    </xf>
    <xf numFmtId="186" fontId="11" fillId="0" borderId="0" xfId="0" applyNumberFormat="1" applyFont="1" applyFill="1" applyBorder="1" applyAlignment="1" applyProtection="1">
      <alignment vertical="center" shrinkToFit="1"/>
      <protection hidden="1"/>
    </xf>
    <xf numFmtId="0" fontId="358" fillId="3" borderId="176" xfId="0" applyFont="1" applyFill="1" applyBorder="1" applyAlignment="1" applyProtection="1">
      <alignment horizontal="center" vertical="center" textRotation="180" shrinkToFit="1"/>
      <protection hidden="1"/>
    </xf>
    <xf numFmtId="0" fontId="12" fillId="29" borderId="5" xfId="0" applyFont="1" applyFill="1" applyBorder="1" applyAlignment="1" applyProtection="1">
      <alignment horizontal="center" vertical="center"/>
      <protection hidden="1"/>
    </xf>
    <xf numFmtId="0" fontId="12" fillId="3" borderId="372" xfId="0" applyFont="1" applyFill="1" applyBorder="1" applyAlignment="1" applyProtection="1">
      <alignment horizontal="center" vertical="center" textRotation="180" shrinkToFit="1"/>
      <protection hidden="1"/>
    </xf>
    <xf numFmtId="0" fontId="2" fillId="0" borderId="0" xfId="0" applyFont="1" applyFill="1" applyAlignment="1" applyProtection="1">
      <alignment horizontal="left" vertical="center"/>
      <protection hidden="1"/>
    </xf>
    <xf numFmtId="0" fontId="12" fillId="3" borderId="126" xfId="0" applyFont="1" applyFill="1" applyBorder="1" applyAlignment="1" applyProtection="1">
      <alignment horizontal="center" vertical="center" textRotation="180" shrinkToFit="1"/>
      <protection hidden="1"/>
    </xf>
    <xf numFmtId="0" fontId="12" fillId="3" borderId="131" xfId="0" applyFont="1" applyFill="1" applyBorder="1" applyAlignment="1" applyProtection="1">
      <alignment horizontal="center" vertical="center" textRotation="180" shrinkToFit="1"/>
      <protection hidden="1"/>
    </xf>
    <xf numFmtId="0" fontId="11" fillId="0" borderId="173" xfId="0" applyFont="1" applyFill="1" applyBorder="1" applyAlignment="1" applyProtection="1">
      <alignment horizontal="center" vertical="center"/>
      <protection hidden="1"/>
    </xf>
    <xf numFmtId="186" fontId="11" fillId="0" borderId="0" xfId="0" applyNumberFormat="1" applyFont="1" applyFill="1" applyAlignment="1" applyProtection="1">
      <alignment horizontal="right" vertical="center" shrinkToFit="1"/>
      <protection hidden="1"/>
    </xf>
    <xf numFmtId="0" fontId="12" fillId="3" borderId="379" xfId="0" applyFont="1" applyFill="1" applyBorder="1" applyAlignment="1" applyProtection="1">
      <alignment horizontal="center" vertical="center" textRotation="180" shrinkToFit="1"/>
      <protection hidden="1"/>
    </xf>
    <xf numFmtId="0" fontId="12" fillId="3" borderId="382" xfId="0" applyFont="1" applyFill="1" applyBorder="1" applyAlignment="1" applyProtection="1">
      <alignment horizontal="center" vertical="center" textRotation="180" shrinkToFit="1"/>
      <protection hidden="1"/>
    </xf>
    <xf numFmtId="186" fontId="11" fillId="0" borderId="219" xfId="0" applyNumberFormat="1" applyFont="1" applyFill="1" applyBorder="1" applyAlignment="1" applyProtection="1">
      <alignment vertical="center" shrinkToFit="1"/>
      <protection hidden="1"/>
    </xf>
    <xf numFmtId="186" fontId="359" fillId="0" borderId="0" xfId="0" applyNumberFormat="1" applyFont="1" applyFill="1" applyBorder="1" applyAlignment="1" applyProtection="1">
      <alignment horizontal="right" vertical="center" shrinkToFit="1"/>
      <protection hidden="1"/>
    </xf>
    <xf numFmtId="186" fontId="359" fillId="0" borderId="176" xfId="0" applyNumberFormat="1" applyFont="1" applyFill="1" applyBorder="1" applyAlignment="1" applyProtection="1">
      <alignment horizontal="right" vertical="center" shrinkToFit="1"/>
      <protection hidden="1"/>
    </xf>
    <xf numFmtId="186" fontId="360" fillId="0" borderId="386" xfId="0" applyNumberFormat="1" applyFont="1" applyFill="1" applyBorder="1" applyAlignment="1" applyProtection="1">
      <alignment horizontal="right" vertical="center" shrinkToFit="1"/>
      <protection hidden="1"/>
    </xf>
    <xf numFmtId="0" fontId="12" fillId="3" borderId="221" xfId="0" applyFont="1" applyFill="1" applyBorder="1" applyAlignment="1" applyProtection="1">
      <alignment horizontal="center" vertical="center" textRotation="180" shrinkToFit="1"/>
      <protection hidden="1"/>
    </xf>
    <xf numFmtId="0" fontId="12" fillId="3" borderId="385" xfId="0" applyFont="1" applyFill="1" applyBorder="1" applyAlignment="1" applyProtection="1">
      <alignment horizontal="center" vertical="center" textRotation="180" shrinkToFit="1"/>
      <protection hidden="1"/>
    </xf>
    <xf numFmtId="0" fontId="359" fillId="0" borderId="0" xfId="0" applyFont="1" applyFill="1" applyAlignment="1" applyProtection="1">
      <alignment horizontal="center" vertical="center"/>
      <protection hidden="1"/>
    </xf>
    <xf numFmtId="0" fontId="360" fillId="0" borderId="388" xfId="0" applyFont="1" applyFill="1" applyBorder="1" applyAlignment="1" applyProtection="1">
      <alignment horizontal="center" vertical="center"/>
      <protection hidden="1"/>
    </xf>
    <xf numFmtId="186" fontId="11" fillId="0" borderId="173" xfId="0" applyNumberFormat="1" applyFont="1" applyFill="1" applyBorder="1" applyAlignment="1" applyProtection="1">
      <alignment horizontal="center" vertical="center" shrinkToFit="1"/>
      <protection hidden="1"/>
    </xf>
    <xf numFmtId="0" fontId="12" fillId="3" borderId="69" xfId="0" applyFont="1" applyFill="1" applyBorder="1" applyAlignment="1" applyProtection="1">
      <alignment horizontal="center" vertical="center" textRotation="180" shrinkToFit="1"/>
      <protection hidden="1"/>
    </xf>
    <xf numFmtId="0" fontId="11" fillId="0" borderId="0" xfId="0" applyFont="1" applyFill="1" applyAlignment="1" applyProtection="1">
      <alignment horizontal="center"/>
      <protection hidden="1"/>
    </xf>
    <xf numFmtId="186" fontId="359" fillId="0" borderId="0" xfId="0" applyNumberFormat="1" applyFont="1" applyFill="1" applyBorder="1" applyAlignment="1" applyProtection="1">
      <alignment horizontal="center" vertical="center" shrinkToFit="1"/>
      <protection hidden="1"/>
    </xf>
    <xf numFmtId="186" fontId="35" fillId="29" borderId="0" xfId="0" applyNumberFormat="1" applyFont="1" applyFill="1" applyBorder="1" applyAlignment="1" applyProtection="1">
      <alignment horizontal="center" vertical="center"/>
      <protection hidden="1"/>
    </xf>
    <xf numFmtId="0" fontId="12" fillId="3" borderId="390" xfId="0" applyFont="1" applyFill="1" applyBorder="1" applyAlignment="1" applyProtection="1">
      <alignment horizontal="center" vertical="center" textRotation="180" shrinkToFit="1"/>
      <protection hidden="1"/>
    </xf>
    <xf numFmtId="186" fontId="11" fillId="0" borderId="0" xfId="0" applyNumberFormat="1" applyFont="1" applyFill="1" applyAlignment="1" applyProtection="1">
      <alignment vertical="center" shrinkToFit="1"/>
      <protection hidden="1"/>
    </xf>
    <xf numFmtId="0" fontId="12" fillId="11" borderId="15" xfId="0" applyFont="1" applyFill="1" applyBorder="1" applyAlignment="1" applyProtection="1">
      <alignment horizontal="center" vertical="center" textRotation="180" shrinkToFit="1"/>
      <protection hidden="1"/>
    </xf>
    <xf numFmtId="0" fontId="12" fillId="0" borderId="0" xfId="0" applyFont="1" applyFill="1" applyAlignment="1" applyProtection="1">
      <alignment horizontal="center" wrapText="1"/>
      <protection hidden="1"/>
    </xf>
    <xf numFmtId="0" fontId="11" fillId="0" borderId="173" xfId="0" quotePrefix="1" applyFont="1" applyFill="1" applyBorder="1" applyAlignment="1" applyProtection="1">
      <alignment horizontal="center" vertical="center"/>
      <protection hidden="1"/>
    </xf>
    <xf numFmtId="0" fontId="26" fillId="3" borderId="173" xfId="0" applyFont="1" applyFill="1" applyBorder="1" applyAlignment="1" applyProtection="1">
      <alignment horizontal="center" vertical="center" textRotation="180" shrinkToFit="1"/>
      <protection hidden="1"/>
    </xf>
    <xf numFmtId="0" fontId="2" fillId="29" borderId="221" xfId="0" applyFont="1" applyFill="1" applyBorder="1" applyAlignment="1" applyProtection="1">
      <alignment horizontal="center" vertical="center"/>
      <protection hidden="1"/>
    </xf>
    <xf numFmtId="0" fontId="2" fillId="29" borderId="199" xfId="0" applyFont="1" applyFill="1" applyBorder="1" applyAlignment="1" applyProtection="1">
      <alignment horizontal="center" vertical="center"/>
      <protection hidden="1"/>
    </xf>
    <xf numFmtId="0" fontId="2" fillId="29" borderId="220" xfId="0" applyFont="1" applyFill="1" applyBorder="1" applyAlignment="1" applyProtection="1">
      <alignment horizontal="center" vertical="center"/>
      <protection hidden="1"/>
    </xf>
    <xf numFmtId="0" fontId="28" fillId="0" borderId="0" xfId="0" applyFont="1" applyFill="1" applyAlignment="1" applyProtection="1">
      <alignment horizontal="center" vertical="center"/>
      <protection hidden="1"/>
    </xf>
    <xf numFmtId="0" fontId="43" fillId="65" borderId="219" xfId="0" applyFont="1" applyFill="1" applyBorder="1" applyAlignment="1" applyProtection="1">
      <alignment horizontal="center" vertical="center" shrinkToFit="1"/>
      <protection hidden="1"/>
    </xf>
    <xf numFmtId="0" fontId="12" fillId="64" borderId="5" xfId="0" applyFont="1" applyFill="1" applyBorder="1" applyAlignment="1" applyProtection="1">
      <alignment horizontal="center" vertical="center"/>
      <protection hidden="1"/>
    </xf>
    <xf numFmtId="0" fontId="12" fillId="64" borderId="0" xfId="0" applyFont="1" applyFill="1" applyBorder="1" applyAlignment="1" applyProtection="1">
      <alignment horizontal="center" vertical="center"/>
      <protection hidden="1"/>
    </xf>
    <xf numFmtId="0" fontId="12" fillId="30" borderId="5" xfId="0" applyNumberFormat="1" applyFont="1" applyFill="1" applyBorder="1" applyAlignment="1" applyProtection="1">
      <alignment horizontal="center" vertical="center" shrinkToFit="1"/>
      <protection hidden="1"/>
    </xf>
    <xf numFmtId="0" fontId="12" fillId="30" borderId="0" xfId="0" applyNumberFormat="1" applyFont="1" applyFill="1" applyBorder="1" applyAlignment="1" applyProtection="1">
      <alignment horizontal="center" vertical="center" shrinkToFit="1"/>
      <protection hidden="1"/>
    </xf>
    <xf numFmtId="0" fontId="12" fillId="30" borderId="4" xfId="0" applyNumberFormat="1" applyFont="1" applyFill="1" applyBorder="1" applyAlignment="1" applyProtection="1">
      <alignment horizontal="center" vertical="center" shrinkToFit="1"/>
      <protection hidden="1"/>
    </xf>
    <xf numFmtId="0" fontId="73" fillId="29" borderId="219" xfId="0" applyFont="1" applyFill="1" applyBorder="1" applyAlignment="1" applyProtection="1">
      <protection hidden="1"/>
    </xf>
    <xf numFmtId="0" fontId="4" fillId="29" borderId="0" xfId="0" applyFont="1" applyFill="1" applyBorder="1" applyAlignment="1" applyProtection="1">
      <alignment horizontal="center" vertical="center"/>
      <protection hidden="1"/>
    </xf>
    <xf numFmtId="0" fontId="73" fillId="29" borderId="0" xfId="0" applyFont="1" applyFill="1" applyBorder="1" applyAlignment="1" applyProtection="1">
      <protection hidden="1"/>
    </xf>
    <xf numFmtId="0" fontId="12" fillId="63" borderId="0" xfId="0" applyFont="1" applyFill="1" applyBorder="1" applyAlignment="1" applyProtection="1">
      <alignment vertical="center"/>
      <protection hidden="1"/>
    </xf>
    <xf numFmtId="0" fontId="12" fillId="29" borderId="5" xfId="0" applyFont="1" applyFill="1" applyBorder="1" applyAlignment="1" applyProtection="1">
      <alignment vertical="center"/>
      <protection hidden="1"/>
    </xf>
    <xf numFmtId="0" fontId="12" fillId="11" borderId="0" xfId="0" applyFont="1" applyFill="1" applyBorder="1" applyAlignment="1" applyProtection="1">
      <alignment horizontal="center" vertical="center" shrinkToFit="1"/>
      <protection hidden="1"/>
    </xf>
    <xf numFmtId="185" fontId="11" fillId="0" borderId="0" xfId="0" applyNumberFormat="1" applyFont="1" applyFill="1" applyBorder="1" applyAlignment="1" applyProtection="1">
      <alignment horizontal="center" vertical="center" shrinkToFit="1"/>
      <protection hidden="1"/>
    </xf>
    <xf numFmtId="0" fontId="2" fillId="66" borderId="0" xfId="0" applyFont="1" applyFill="1" applyBorder="1" applyAlignment="1" applyProtection="1">
      <alignment horizontal="center" vertical="center" shrinkToFit="1"/>
      <protection hidden="1"/>
    </xf>
    <xf numFmtId="0" fontId="12" fillId="29" borderId="4" xfId="0" applyFont="1" applyFill="1" applyBorder="1" applyAlignment="1" applyProtection="1">
      <alignment vertical="center"/>
      <protection hidden="1"/>
    </xf>
    <xf numFmtId="0" fontId="69" fillId="29" borderId="219" xfId="0" applyFont="1" applyFill="1" applyBorder="1" applyAlignment="1" applyProtection="1">
      <protection hidden="1"/>
    </xf>
    <xf numFmtId="0" fontId="69" fillId="29" borderId="0" xfId="0" applyFont="1" applyFill="1" applyBorder="1" applyAlignment="1" applyProtection="1">
      <protection hidden="1"/>
    </xf>
    <xf numFmtId="185" fontId="2" fillId="0" borderId="0" xfId="0" applyNumberFormat="1" applyFont="1" applyFill="1" applyAlignment="1" applyProtection="1">
      <alignment horizontal="center" vertical="center"/>
      <protection hidden="1"/>
    </xf>
    <xf numFmtId="0" fontId="361" fillId="29" borderId="0" xfId="0" applyFont="1" applyFill="1" applyBorder="1" applyAlignment="1" applyProtection="1">
      <alignment horizontal="center" vertical="center"/>
      <protection hidden="1"/>
    </xf>
    <xf numFmtId="0" fontId="2" fillId="29" borderId="393" xfId="0" applyFont="1" applyFill="1" applyBorder="1" applyAlignment="1" applyProtection="1">
      <alignment horizontal="center" vertical="center"/>
      <protection hidden="1"/>
    </xf>
    <xf numFmtId="0" fontId="2" fillId="29" borderId="394" xfId="0" applyFont="1" applyFill="1" applyBorder="1" applyAlignment="1" applyProtection="1">
      <alignment horizontal="center" vertical="center"/>
      <protection hidden="1"/>
    </xf>
    <xf numFmtId="0" fontId="2" fillId="29" borderId="395" xfId="0" applyFont="1" applyFill="1" applyBorder="1" applyAlignment="1" applyProtection="1">
      <alignment horizontal="center" vertical="center"/>
      <protection hidden="1"/>
    </xf>
    <xf numFmtId="0" fontId="2" fillId="29" borderId="396" xfId="0" applyFont="1" applyFill="1" applyBorder="1" applyAlignment="1" applyProtection="1">
      <alignment horizontal="center" vertical="center"/>
      <protection hidden="1"/>
    </xf>
    <xf numFmtId="0" fontId="2" fillId="29" borderId="397" xfId="0" applyFont="1" applyFill="1" applyBorder="1" applyAlignment="1" applyProtection="1">
      <alignment horizontal="center" vertical="center"/>
      <protection hidden="1"/>
    </xf>
    <xf numFmtId="0" fontId="2" fillId="29" borderId="398" xfId="0" applyFont="1" applyFill="1" applyBorder="1" applyAlignment="1" applyProtection="1">
      <alignment horizontal="center" vertical="center"/>
      <protection hidden="1"/>
    </xf>
    <xf numFmtId="0" fontId="11" fillId="29"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12" fillId="30" borderId="0" xfId="0" applyNumberFormat="1" applyFont="1" applyFill="1" applyBorder="1" applyAlignment="1" applyProtection="1">
      <alignment vertical="center" shrinkToFit="1"/>
      <protection hidden="1"/>
    </xf>
    <xf numFmtId="182" fontId="2" fillId="0" borderId="0" xfId="0" applyNumberFormat="1" applyFont="1" applyFill="1" applyBorder="1" applyAlignment="1" applyProtection="1">
      <alignment horizontal="center" vertical="center"/>
      <protection hidden="1"/>
    </xf>
    <xf numFmtId="182" fontId="11" fillId="0" borderId="173" xfId="0" applyNumberFormat="1" applyFont="1" applyFill="1" applyBorder="1" applyAlignment="1" applyProtection="1">
      <alignment horizontal="center" vertical="center" shrinkToFit="1"/>
      <protection hidden="1"/>
    </xf>
    <xf numFmtId="189" fontId="2" fillId="0" borderId="0" xfId="0" applyNumberFormat="1" applyFont="1" applyFill="1" applyAlignment="1" applyProtection="1">
      <alignment horizontal="center" vertical="center" shrinkToFit="1"/>
      <protection hidden="1"/>
    </xf>
    <xf numFmtId="182" fontId="2" fillId="0" borderId="0" xfId="0" applyNumberFormat="1" applyFont="1" applyFill="1" applyBorder="1" applyAlignment="1" applyProtection="1">
      <alignment horizontal="center" vertical="center" shrinkToFit="1"/>
      <protection hidden="1"/>
    </xf>
    <xf numFmtId="0" fontId="12" fillId="3" borderId="178" xfId="0" applyFont="1" applyFill="1" applyBorder="1" applyAlignment="1" applyProtection="1">
      <alignment horizontal="center" vertical="center" textRotation="180" shrinkToFit="1"/>
      <protection hidden="1"/>
    </xf>
    <xf numFmtId="185" fontId="11" fillId="0" borderId="0" xfId="0" applyNumberFormat="1" applyFont="1" applyFill="1" applyBorder="1" applyAlignment="1" applyProtection="1">
      <alignment horizontal="center" vertical="center"/>
      <protection hidden="1"/>
    </xf>
    <xf numFmtId="182" fontId="11" fillId="0" borderId="173" xfId="0" quotePrefix="1" applyNumberFormat="1" applyFont="1" applyFill="1" applyBorder="1" applyAlignment="1" applyProtection="1">
      <alignment horizontal="center" vertical="center"/>
      <protection hidden="1"/>
    </xf>
    <xf numFmtId="198" fontId="2" fillId="0" borderId="0" xfId="0" applyNumberFormat="1" applyFont="1" applyFill="1" applyAlignment="1" applyProtection="1">
      <alignment horizontal="center" vertical="center"/>
      <protection hidden="1"/>
    </xf>
    <xf numFmtId="0" fontId="11" fillId="0" borderId="0" xfId="0" quotePrefix="1" applyFont="1" applyFill="1" applyBorder="1" applyAlignment="1" applyProtection="1">
      <alignment horizontal="center" vertical="center" shrinkToFit="1"/>
      <protection hidden="1"/>
    </xf>
    <xf numFmtId="0" fontId="11" fillId="0" borderId="173" xfId="0" quotePrefix="1" applyFont="1" applyFill="1" applyBorder="1" applyAlignment="1" applyProtection="1">
      <alignment horizontal="center" vertical="center" shrinkToFit="1"/>
      <protection hidden="1"/>
    </xf>
    <xf numFmtId="185" fontId="11" fillId="0" borderId="173" xfId="0" applyNumberFormat="1" applyFont="1" applyFill="1" applyBorder="1" applyAlignment="1" applyProtection="1">
      <alignment horizontal="center" vertical="center" shrinkToFit="1"/>
      <protection hidden="1"/>
    </xf>
    <xf numFmtId="189" fontId="12" fillId="30" borderId="0" xfId="0" applyNumberFormat="1" applyFont="1" applyFill="1" applyBorder="1" applyAlignment="1" applyProtection="1">
      <alignment vertical="center"/>
      <protection hidden="1"/>
    </xf>
    <xf numFmtId="189" fontId="11" fillId="30" borderId="0" xfId="0" applyNumberFormat="1" applyFont="1" applyFill="1" applyBorder="1" applyAlignment="1" applyProtection="1">
      <alignment vertical="center"/>
      <protection hidden="1"/>
    </xf>
    <xf numFmtId="0" fontId="11" fillId="68" borderId="0" xfId="0" applyFont="1" applyFill="1" applyBorder="1" applyAlignment="1" applyProtection="1">
      <alignment vertical="center"/>
      <protection hidden="1"/>
    </xf>
    <xf numFmtId="0" fontId="11" fillId="69" borderId="0" xfId="0" applyFont="1" applyFill="1" applyBorder="1" applyAlignment="1" applyProtection="1">
      <alignment vertical="center"/>
      <protection hidden="1"/>
    </xf>
    <xf numFmtId="0" fontId="2" fillId="0" borderId="173" xfId="0" applyFont="1" applyFill="1" applyBorder="1" applyAlignment="1" applyProtection="1">
      <alignment horizontal="center" vertical="center"/>
      <protection hidden="1"/>
    </xf>
    <xf numFmtId="0" fontId="2" fillId="29" borderId="0" xfId="0" applyFont="1" applyFill="1" applyBorder="1" applyAlignment="1" applyProtection="1">
      <alignment horizontal="center" vertical="center" shrinkToFit="1"/>
      <protection hidden="1"/>
    </xf>
    <xf numFmtId="0" fontId="177" fillId="29" borderId="0" xfId="0" applyFont="1" applyFill="1" applyBorder="1" applyAlignment="1" applyProtection="1">
      <alignment horizontal="center" vertical="center" shrinkToFit="1"/>
      <protection hidden="1"/>
    </xf>
    <xf numFmtId="0" fontId="12" fillId="29" borderId="0" xfId="0" applyFont="1" applyFill="1" applyBorder="1" applyAlignment="1" applyProtection="1">
      <alignment horizontal="center" vertical="center" shrinkToFit="1"/>
      <protection hidden="1"/>
    </xf>
    <xf numFmtId="185" fontId="2" fillId="0" borderId="0" xfId="0" quotePrefix="1" applyNumberFormat="1" applyFont="1" applyFill="1" applyBorder="1" applyAlignment="1" applyProtection="1">
      <alignment vertical="center"/>
      <protection hidden="1"/>
    </xf>
    <xf numFmtId="0" fontId="24" fillId="0" borderId="0" xfId="0" applyFont="1" applyFill="1" applyAlignment="1" applyProtection="1">
      <alignment horizontal="left" vertical="center"/>
      <protection hidden="1"/>
    </xf>
    <xf numFmtId="176" fontId="11" fillId="0" borderId="0" xfId="0" applyNumberFormat="1" applyFont="1" applyFill="1" applyBorder="1" applyAlignment="1" applyProtection="1">
      <alignment horizontal="right" vertical="center"/>
      <protection hidden="1"/>
    </xf>
    <xf numFmtId="0" fontId="24" fillId="0" borderId="0" xfId="0" applyFont="1" applyFill="1" applyAlignment="1" applyProtection="1">
      <alignment horizontal="center" vertical="center"/>
      <protection hidden="1"/>
    </xf>
    <xf numFmtId="0" fontId="362" fillId="0" borderId="0" xfId="0" applyFont="1" applyFill="1" applyAlignment="1" applyProtection="1">
      <alignment horizontal="center" vertical="center"/>
      <protection hidden="1"/>
    </xf>
    <xf numFmtId="0" fontId="362" fillId="0" borderId="0" xfId="1" applyFont="1" applyFill="1" applyAlignment="1" applyProtection="1">
      <alignment horizontal="left" vertical="center"/>
      <protection hidden="1"/>
    </xf>
    <xf numFmtId="0" fontId="11" fillId="0" borderId="0" xfId="0" applyNumberFormat="1" applyFont="1" applyFill="1" applyAlignment="1" applyProtection="1">
      <alignment horizontal="left" vertical="center"/>
      <protection hidden="1"/>
    </xf>
    <xf numFmtId="192" fontId="11" fillId="0" borderId="173" xfId="0" applyNumberFormat="1" applyFont="1" applyFill="1" applyBorder="1" applyAlignment="1" applyProtection="1">
      <alignment horizontal="center" vertical="center" shrinkToFit="1"/>
      <protection hidden="1"/>
    </xf>
    <xf numFmtId="0" fontId="2" fillId="0" borderId="20" xfId="0" applyFont="1" applyFill="1" applyBorder="1" applyAlignment="1" applyProtection="1">
      <alignment horizontal="center" vertical="center"/>
      <protection hidden="1"/>
    </xf>
    <xf numFmtId="0" fontId="24" fillId="0" borderId="15" xfId="0" applyFont="1" applyFill="1" applyBorder="1" applyAlignment="1" applyProtection="1">
      <alignment horizontal="center" vertical="center" shrinkToFit="1"/>
      <protection hidden="1"/>
    </xf>
    <xf numFmtId="0" fontId="363" fillId="5" borderId="0" xfId="0" applyFont="1" applyFill="1" applyBorder="1" applyAlignment="1" applyProtection="1">
      <alignment vertical="center" shrinkToFit="1"/>
      <protection hidden="1"/>
    </xf>
    <xf numFmtId="0" fontId="14" fillId="29" borderId="0" xfId="0" applyFont="1" applyFill="1" applyBorder="1" applyAlignment="1" applyProtection="1">
      <alignment horizontal="left" vertical="center" shrinkToFit="1"/>
      <protection hidden="1"/>
    </xf>
    <xf numFmtId="0" fontId="2" fillId="29" borderId="0" xfId="0" applyFont="1" applyFill="1" applyBorder="1" applyAlignment="1" applyProtection="1">
      <alignment horizontal="left" vertical="center"/>
      <protection hidden="1"/>
    </xf>
    <xf numFmtId="0" fontId="24" fillId="0" borderId="219" xfId="0" applyFont="1" applyFill="1" applyBorder="1" applyAlignment="1" applyProtection="1">
      <alignment vertical="center"/>
      <protection hidden="1"/>
    </xf>
    <xf numFmtId="0" fontId="14" fillId="70" borderId="0" xfId="0" applyFont="1" applyFill="1" applyBorder="1" applyAlignment="1" applyProtection="1">
      <alignment vertical="center" shrinkToFit="1"/>
      <protection hidden="1"/>
    </xf>
    <xf numFmtId="0" fontId="24" fillId="0" borderId="0" xfId="0" applyFont="1" applyFill="1" applyBorder="1" applyAlignment="1" applyProtection="1">
      <alignment vertical="center"/>
      <protection hidden="1"/>
    </xf>
    <xf numFmtId="0" fontId="2" fillId="70" borderId="0" xfId="0" applyFont="1" applyFill="1" applyBorder="1" applyAlignment="1" applyProtection="1">
      <alignment horizontal="center" vertical="center"/>
      <protection hidden="1"/>
    </xf>
    <xf numFmtId="0" fontId="364" fillId="70" borderId="0" xfId="0" applyFont="1" applyFill="1" applyBorder="1" applyAlignment="1" applyProtection="1">
      <alignment horizontal="center" vertical="center"/>
      <protection hidden="1"/>
    </xf>
    <xf numFmtId="0" fontId="2" fillId="29" borderId="4" xfId="0" applyFont="1" applyFill="1" applyBorder="1" applyAlignment="1" applyProtection="1">
      <alignment vertical="center"/>
      <protection hidden="1"/>
    </xf>
    <xf numFmtId="0" fontId="2" fillId="29" borderId="199" xfId="0" applyFont="1" applyFill="1" applyBorder="1" applyAlignment="1" applyProtection="1">
      <alignment vertical="center"/>
      <protection hidden="1"/>
    </xf>
    <xf numFmtId="192" fontId="2" fillId="0" borderId="0" xfId="0" applyNumberFormat="1" applyFont="1" applyFill="1" applyAlignment="1" applyProtection="1">
      <alignment horizontal="center" vertical="center"/>
      <protection hidden="1"/>
    </xf>
    <xf numFmtId="0" fontId="2" fillId="29" borderId="403" xfId="0" applyFont="1" applyFill="1" applyBorder="1" applyAlignment="1" applyProtection="1">
      <alignment vertical="center"/>
      <protection hidden="1"/>
    </xf>
    <xf numFmtId="182" fontId="2" fillId="0" borderId="0" xfId="0" applyNumberFormat="1" applyFont="1" applyFill="1" applyAlignment="1" applyProtection="1">
      <alignment horizontal="center" vertical="center"/>
      <protection hidden="1"/>
    </xf>
    <xf numFmtId="0" fontId="35" fillId="29" borderId="220" xfId="0" applyFont="1" applyFill="1" applyBorder="1" applyAlignment="1" applyProtection="1">
      <alignment horizontal="center" vertical="center"/>
      <protection hidden="1"/>
    </xf>
    <xf numFmtId="0" fontId="30" fillId="0" borderId="0" xfId="1" applyFont="1" applyProtection="1">
      <alignment vertical="center"/>
      <protection hidden="1"/>
    </xf>
    <xf numFmtId="0" fontId="12" fillId="30" borderId="404" xfId="4" applyFont="1" applyFill="1" applyBorder="1" applyAlignment="1" applyProtection="1">
      <alignment horizontal="left" vertical="center" shrinkToFit="1"/>
      <protection hidden="1"/>
    </xf>
    <xf numFmtId="0" fontId="11" fillId="30" borderId="0" xfId="4" applyFont="1" applyFill="1" applyBorder="1" applyAlignment="1" applyProtection="1">
      <alignment horizontal="left" vertical="center"/>
      <protection hidden="1"/>
    </xf>
    <xf numFmtId="191" fontId="11" fillId="0" borderId="173" xfId="0" applyNumberFormat="1" applyFont="1" applyFill="1" applyBorder="1" applyAlignment="1" applyProtection="1">
      <alignment horizontal="center" vertical="center" shrinkToFit="1"/>
      <protection hidden="1"/>
    </xf>
    <xf numFmtId="182" fontId="11" fillId="0" borderId="0" xfId="0" applyNumberFormat="1" applyFont="1" applyFill="1" applyAlignment="1" applyProtection="1">
      <alignment horizontal="right" vertical="center" shrinkToFit="1"/>
      <protection hidden="1"/>
    </xf>
    <xf numFmtId="182" fontId="11" fillId="0" borderId="173" xfId="0" applyNumberFormat="1" applyFont="1" applyFill="1" applyBorder="1" applyAlignment="1" applyProtection="1">
      <alignment horizontal="right" vertical="center" shrinkToFit="1"/>
      <protection hidden="1"/>
    </xf>
    <xf numFmtId="191" fontId="11" fillId="0" borderId="220" xfId="0" applyNumberFormat="1" applyFont="1" applyFill="1" applyBorder="1" applyAlignment="1" applyProtection="1">
      <alignment horizontal="center" vertical="center" shrinkToFit="1"/>
      <protection hidden="1"/>
    </xf>
    <xf numFmtId="182" fontId="11" fillId="0" borderId="173" xfId="0" quotePrefix="1" applyNumberFormat="1" applyFont="1" applyFill="1" applyBorder="1" applyAlignment="1" applyProtection="1">
      <alignment horizontal="center" vertical="center" shrinkToFit="1"/>
      <protection hidden="1"/>
    </xf>
    <xf numFmtId="182" fontId="11" fillId="0" borderId="0" xfId="0" quotePrefix="1" applyNumberFormat="1" applyFont="1" applyFill="1" applyAlignment="1" applyProtection="1">
      <alignment horizontal="center" vertical="center" shrinkToFit="1"/>
      <protection hidden="1"/>
    </xf>
    <xf numFmtId="182" fontId="11" fillId="0" borderId="175" xfId="0" quotePrefix="1" applyNumberFormat="1" applyFont="1" applyFill="1" applyBorder="1" applyAlignment="1" applyProtection="1">
      <alignment horizontal="center" vertical="center" shrinkToFit="1"/>
      <protection hidden="1"/>
    </xf>
    <xf numFmtId="0" fontId="11" fillId="0" borderId="0" xfId="0" applyFont="1" applyFill="1" applyBorder="1" applyAlignment="1" applyProtection="1">
      <alignment horizontal="left" vertical="center"/>
      <protection hidden="1"/>
    </xf>
    <xf numFmtId="176" fontId="11" fillId="0" borderId="0" xfId="0" applyNumberFormat="1" applyFont="1" applyFill="1" applyBorder="1" applyAlignment="1" applyProtection="1">
      <alignment horizontal="center" vertical="center" shrinkToFit="1"/>
      <protection hidden="1"/>
    </xf>
    <xf numFmtId="0" fontId="12" fillId="29" borderId="176" xfId="0" applyFont="1" applyFill="1" applyBorder="1" applyAlignment="1" applyProtection="1">
      <alignment horizontal="center" vertical="center"/>
      <protection hidden="1"/>
    </xf>
    <xf numFmtId="0" fontId="12" fillId="29" borderId="178" xfId="0" applyFont="1" applyFill="1" applyBorder="1" applyAlignment="1" applyProtection="1">
      <alignment horizontal="center" vertical="center"/>
      <protection hidden="1"/>
    </xf>
    <xf numFmtId="0" fontId="390" fillId="0" borderId="0" xfId="0" applyFont="1" applyFill="1" applyAlignment="1" applyProtection="1">
      <alignment horizontal="center" vertical="center" shrinkToFit="1"/>
      <protection hidden="1"/>
    </xf>
    <xf numFmtId="186" fontId="12" fillId="29" borderId="0" xfId="0" applyNumberFormat="1" applyFont="1" applyFill="1" applyBorder="1" applyAlignment="1" applyProtection="1">
      <alignment horizontal="center" vertical="center"/>
      <protection hidden="1"/>
    </xf>
    <xf numFmtId="0" fontId="12" fillId="3" borderId="389" xfId="0" applyFont="1" applyFill="1" applyBorder="1" applyAlignment="1" applyProtection="1">
      <alignment horizontal="center" vertical="center" textRotation="180" shrinkToFit="1"/>
      <protection hidden="1"/>
    </xf>
    <xf numFmtId="178" fontId="11" fillId="0" borderId="0" xfId="0" quotePrefix="1" applyNumberFormat="1" applyFont="1" applyFill="1" applyBorder="1" applyAlignment="1" applyProtection="1">
      <alignment horizontal="right" vertical="center" shrinkToFit="1"/>
      <protection hidden="1"/>
    </xf>
    <xf numFmtId="193" fontId="11" fillId="0" borderId="0" xfId="0" applyNumberFormat="1" applyFont="1" applyFill="1" applyBorder="1" applyAlignment="1" applyProtection="1">
      <alignment horizontal="right" vertical="center" shrinkToFit="1"/>
      <protection hidden="1"/>
    </xf>
    <xf numFmtId="0" fontId="12" fillId="3" borderId="142" xfId="0" applyFont="1" applyFill="1" applyBorder="1" applyAlignment="1" applyProtection="1">
      <alignment horizontal="center" vertical="center" textRotation="180" shrinkToFit="1"/>
      <protection hidden="1"/>
    </xf>
    <xf numFmtId="176" fontId="11" fillId="0" borderId="0" xfId="0" applyNumberFormat="1" applyFont="1" applyFill="1" applyAlignment="1" applyProtection="1">
      <alignment horizontal="center" vertical="center" shrinkToFit="1"/>
      <protection hidden="1"/>
    </xf>
    <xf numFmtId="0" fontId="391" fillId="30" borderId="404" xfId="4" applyFont="1" applyFill="1" applyBorder="1" applyAlignment="1" applyProtection="1">
      <alignment horizontal="left" vertical="center" shrinkToFit="1"/>
      <protection hidden="1"/>
    </xf>
    <xf numFmtId="1" fontId="11" fillId="0" borderId="0" xfId="0" quotePrefix="1" applyNumberFormat="1" applyFont="1" applyFill="1" applyAlignment="1" applyProtection="1">
      <alignment horizontal="right" vertical="center" shrinkToFit="1"/>
      <protection hidden="1"/>
    </xf>
    <xf numFmtId="193" fontId="11" fillId="0" borderId="0" xfId="0" applyNumberFormat="1" applyFont="1" applyFill="1" applyAlignment="1" applyProtection="1">
      <alignment horizontal="right" vertical="center" shrinkToFit="1"/>
      <protection hidden="1"/>
    </xf>
    <xf numFmtId="186" fontId="12" fillId="29" borderId="0" xfId="0" applyNumberFormat="1" applyFont="1" applyFill="1" applyBorder="1" applyAlignment="1" applyProtection="1">
      <alignment vertical="center"/>
      <protection hidden="1"/>
    </xf>
    <xf numFmtId="178" fontId="11" fillId="0" borderId="0" xfId="0" quotePrefix="1" applyNumberFormat="1" applyFont="1" applyFill="1" applyAlignment="1" applyProtection="1">
      <alignment horizontal="right" vertical="center" shrinkToFit="1"/>
      <protection hidden="1"/>
    </xf>
    <xf numFmtId="0" fontId="12" fillId="3" borderId="342" xfId="0" applyFont="1" applyFill="1" applyBorder="1" applyAlignment="1" applyProtection="1">
      <alignment horizontal="center" vertical="center" textRotation="180" shrinkToFit="1"/>
      <protection hidden="1"/>
    </xf>
    <xf numFmtId="0" fontId="12" fillId="29" borderId="0" xfId="0" applyNumberFormat="1" applyFont="1" applyFill="1" applyBorder="1" applyAlignment="1" applyProtection="1">
      <alignment horizontal="center" vertical="center"/>
      <protection hidden="1"/>
    </xf>
    <xf numFmtId="0" fontId="12" fillId="11" borderId="416" xfId="0" applyFont="1" applyFill="1" applyBorder="1" applyAlignment="1" applyProtection="1">
      <alignment horizontal="center" vertical="center" textRotation="180" shrinkToFit="1"/>
      <protection hidden="1"/>
    </xf>
    <xf numFmtId="0" fontId="73" fillId="29" borderId="0" xfId="0" applyFont="1" applyFill="1" applyBorder="1" applyAlignment="1" applyProtection="1">
      <alignment vertical="center"/>
      <protection hidden="1"/>
    </xf>
    <xf numFmtId="0" fontId="43" fillId="29" borderId="0" xfId="0" applyFont="1" applyFill="1" applyBorder="1" applyAlignment="1" applyProtection="1">
      <alignment vertical="center"/>
      <protection hidden="1"/>
    </xf>
    <xf numFmtId="0" fontId="12" fillId="3" borderId="21" xfId="0" applyFont="1" applyFill="1" applyBorder="1" applyAlignment="1" applyProtection="1">
      <alignment horizontal="center" vertical="center" textRotation="180" shrinkToFit="1"/>
      <protection hidden="1"/>
    </xf>
    <xf numFmtId="0" fontId="43" fillId="29" borderId="422" xfId="0" applyFont="1" applyFill="1" applyBorder="1" applyAlignment="1" applyProtection="1">
      <alignment vertical="center"/>
      <protection hidden="1"/>
    </xf>
    <xf numFmtId="0" fontId="31" fillId="71" borderId="0" xfId="0" applyFont="1" applyFill="1" applyBorder="1" applyAlignment="1" applyProtection="1">
      <alignment vertical="center" shrinkToFit="1"/>
      <protection hidden="1"/>
    </xf>
    <xf numFmtId="202" fontId="11" fillId="0" borderId="173" xfId="0" applyNumberFormat="1" applyFont="1" applyFill="1" applyBorder="1" applyAlignment="1" applyProtection="1">
      <alignment horizontal="center" vertical="center" shrinkToFit="1"/>
      <protection hidden="1"/>
    </xf>
    <xf numFmtId="203" fontId="11" fillId="0" borderId="173" xfId="0" applyNumberFormat="1" applyFont="1" applyFill="1" applyBorder="1" applyAlignment="1" applyProtection="1">
      <alignment horizontal="right" vertical="center" shrinkToFit="1"/>
      <protection hidden="1"/>
    </xf>
    <xf numFmtId="193" fontId="11" fillId="0" borderId="0" xfId="0" quotePrefix="1" applyNumberFormat="1" applyFont="1" applyFill="1" applyAlignment="1" applyProtection="1">
      <alignment horizontal="center" vertical="center" shrinkToFit="1"/>
      <protection hidden="1"/>
    </xf>
    <xf numFmtId="193" fontId="11" fillId="0" borderId="0" xfId="0" applyNumberFormat="1" applyFont="1" applyFill="1" applyAlignment="1" applyProtection="1">
      <alignment horizontal="center" vertical="center" shrinkToFit="1"/>
      <protection hidden="1"/>
    </xf>
    <xf numFmtId="0" fontId="11" fillId="0" borderId="0" xfId="0" applyNumberFormat="1" applyFont="1" applyFill="1" applyBorder="1" applyAlignment="1" applyProtection="1">
      <alignment horizontal="right" vertical="center" shrinkToFit="1"/>
      <protection hidden="1"/>
    </xf>
    <xf numFmtId="0" fontId="12" fillId="5" borderId="0" xfId="0" applyFont="1" applyFill="1" applyBorder="1" applyAlignment="1" applyProtection="1">
      <alignment vertical="center" shrinkToFit="1"/>
      <protection hidden="1"/>
    </xf>
    <xf numFmtId="0" fontId="11" fillId="0" borderId="0" xfId="0" applyFont="1" applyFill="1" applyBorder="1" applyAlignment="1" applyProtection="1">
      <alignment horizontal="center" vertical="center" shrinkToFit="1"/>
      <protection hidden="1"/>
    </xf>
    <xf numFmtId="0" fontId="43" fillId="29" borderId="0" xfId="0" applyFont="1" applyFill="1" applyBorder="1" applyAlignment="1" applyProtection="1">
      <alignment horizontal="left" vertical="center"/>
      <protection hidden="1"/>
    </xf>
    <xf numFmtId="0" fontId="12" fillId="29" borderId="4" xfId="0" applyFont="1" applyFill="1" applyBorder="1" applyAlignment="1" applyProtection="1">
      <alignment horizontal="center" vertical="center"/>
      <protection hidden="1"/>
    </xf>
    <xf numFmtId="0" fontId="43" fillId="29" borderId="422" xfId="0" applyFont="1" applyFill="1" applyBorder="1" applyAlignment="1" applyProtection="1">
      <alignment horizontal="left" vertical="center"/>
      <protection hidden="1"/>
    </xf>
    <xf numFmtId="193" fontId="11" fillId="0" borderId="0" xfId="0" applyNumberFormat="1" applyFont="1" applyFill="1" applyBorder="1" applyAlignment="1" applyProtection="1">
      <alignment horizontal="center" vertical="center" shrinkToFit="1"/>
      <protection hidden="1"/>
    </xf>
    <xf numFmtId="0" fontId="53" fillId="29" borderId="0" xfId="0" applyFont="1" applyFill="1" applyBorder="1" applyAlignment="1" applyProtection="1">
      <alignment vertical="center"/>
      <protection hidden="1"/>
    </xf>
    <xf numFmtId="193" fontId="11" fillId="0" borderId="173" xfId="0" applyNumberFormat="1" applyFont="1" applyFill="1" applyBorder="1" applyAlignment="1" applyProtection="1">
      <alignment horizontal="center" shrinkToFit="1"/>
      <protection hidden="1"/>
    </xf>
    <xf numFmtId="193" fontId="11" fillId="0" borderId="0" xfId="0" applyNumberFormat="1" applyFont="1" applyFill="1" applyAlignment="1" applyProtection="1">
      <alignment horizontal="right" shrinkToFit="1"/>
      <protection hidden="1"/>
    </xf>
    <xf numFmtId="0" fontId="12" fillId="29" borderId="0" xfId="0" applyFont="1" applyFill="1" applyBorder="1" applyAlignment="1" applyProtection="1">
      <alignment vertical="center" shrinkToFit="1"/>
      <protection hidden="1"/>
    </xf>
    <xf numFmtId="185" fontId="12" fillId="29" borderId="0" xfId="0" applyNumberFormat="1" applyFont="1" applyFill="1" applyBorder="1" applyAlignment="1" applyProtection="1">
      <alignment vertical="center" shrinkToFit="1"/>
      <protection hidden="1"/>
    </xf>
    <xf numFmtId="0" fontId="43" fillId="29" borderId="5" xfId="0" applyFont="1" applyFill="1" applyBorder="1" applyAlignment="1" applyProtection="1">
      <alignment horizontal="left" vertical="center" shrinkToFit="1"/>
      <protection hidden="1"/>
    </xf>
    <xf numFmtId="0" fontId="43" fillId="29" borderId="0" xfId="0" applyFont="1" applyFill="1" applyBorder="1" applyAlignment="1" applyProtection="1">
      <alignment horizontal="left" vertical="center" shrinkToFit="1"/>
      <protection hidden="1"/>
    </xf>
    <xf numFmtId="0" fontId="43" fillId="29" borderId="4" xfId="0" applyFont="1" applyFill="1" applyBorder="1" applyAlignment="1" applyProtection="1">
      <alignment horizontal="left" vertical="center"/>
      <protection hidden="1"/>
    </xf>
    <xf numFmtId="182" fontId="2" fillId="29" borderId="0" xfId="0" applyNumberFormat="1" applyFont="1" applyFill="1" applyBorder="1" applyAlignment="1" applyProtection="1">
      <alignment vertical="center" shrinkToFit="1"/>
      <protection hidden="1"/>
    </xf>
    <xf numFmtId="0" fontId="11" fillId="29" borderId="5" xfId="0" applyFont="1" applyFill="1" applyBorder="1" applyAlignment="1" applyProtection="1">
      <alignment vertical="center"/>
      <protection hidden="1"/>
    </xf>
    <xf numFmtId="0" fontId="11" fillId="29" borderId="0" xfId="0" applyFont="1" applyFill="1" applyBorder="1" applyAlignment="1" applyProtection="1">
      <alignment vertical="center"/>
      <protection hidden="1"/>
    </xf>
    <xf numFmtId="182" fontId="241" fillId="29" borderId="0" xfId="0" applyNumberFormat="1" applyFont="1" applyFill="1" applyBorder="1" applyAlignment="1" applyProtection="1">
      <alignment vertical="top" shrinkToFit="1"/>
      <protection hidden="1"/>
    </xf>
    <xf numFmtId="0" fontId="25" fillId="29" borderId="0" xfId="0" applyFont="1" applyFill="1" applyBorder="1" applyAlignment="1" applyProtection="1">
      <alignment horizontal="right" vertical="top"/>
      <protection hidden="1"/>
    </xf>
    <xf numFmtId="0" fontId="61" fillId="29" borderId="0" xfId="0" applyFont="1" applyFill="1" applyBorder="1" applyAlignment="1" applyProtection="1">
      <alignment horizontal="center" vertical="top"/>
      <protection hidden="1"/>
    </xf>
    <xf numFmtId="182" fontId="392" fillId="29" borderId="0" xfId="0" applyNumberFormat="1" applyFont="1" applyFill="1" applyBorder="1" applyAlignment="1" applyProtection="1">
      <alignment vertical="top" shrinkToFit="1"/>
      <protection hidden="1"/>
    </xf>
    <xf numFmtId="0" fontId="61" fillId="29" borderId="418" xfId="0" applyFont="1" applyFill="1" applyBorder="1" applyAlignment="1" applyProtection="1">
      <alignment vertical="top"/>
      <protection hidden="1"/>
    </xf>
    <xf numFmtId="0" fontId="393" fillId="29" borderId="219" xfId="0" applyFont="1" applyFill="1" applyBorder="1" applyAlignment="1" applyProtection="1">
      <alignment vertical="center" shrinkToFit="1"/>
      <protection hidden="1"/>
    </xf>
    <xf numFmtId="0" fontId="11" fillId="0" borderId="219" xfId="0" applyFont="1" applyFill="1" applyBorder="1" applyAlignment="1" applyProtection="1">
      <alignment horizontal="center" vertical="center"/>
      <protection hidden="1"/>
    </xf>
    <xf numFmtId="0" fontId="53" fillId="29" borderId="0" xfId="0" applyFont="1" applyFill="1" applyBorder="1" applyAlignment="1" applyProtection="1">
      <alignment horizontal="right" vertical="center"/>
      <protection hidden="1"/>
    </xf>
    <xf numFmtId="0" fontId="25" fillId="29" borderId="0" xfId="0" applyFont="1" applyFill="1" applyBorder="1" applyAlignment="1" applyProtection="1">
      <alignment horizontal="right" vertical="center"/>
      <protection hidden="1"/>
    </xf>
    <xf numFmtId="183" fontId="12" fillId="29" borderId="0" xfId="0" applyNumberFormat="1" applyFont="1" applyFill="1" applyBorder="1" applyAlignment="1" applyProtection="1">
      <alignment vertical="center"/>
      <protection hidden="1"/>
    </xf>
    <xf numFmtId="0" fontId="393" fillId="29" borderId="0" xfId="0" applyFont="1" applyFill="1" applyBorder="1" applyAlignment="1" applyProtection="1">
      <alignment vertical="center" shrinkToFit="1"/>
      <protection hidden="1"/>
    </xf>
    <xf numFmtId="185" fontId="11" fillId="0" borderId="199" xfId="0" applyNumberFormat="1" applyFont="1" applyFill="1" applyBorder="1" applyAlignment="1" applyProtection="1">
      <alignment vertical="center" shrinkToFit="1"/>
      <protection hidden="1"/>
    </xf>
    <xf numFmtId="0" fontId="211" fillId="29" borderId="0" xfId="1" quotePrefix="1" applyFont="1" applyFill="1" applyBorder="1" applyAlignment="1" applyProtection="1">
      <alignment horizontal="center" vertical="center"/>
      <protection hidden="1"/>
    </xf>
    <xf numFmtId="1" fontId="11" fillId="0" borderId="0" xfId="0" applyNumberFormat="1" applyFont="1" applyFill="1" applyAlignment="1" applyProtection="1">
      <alignment horizontal="center" vertical="center"/>
      <protection hidden="1"/>
    </xf>
    <xf numFmtId="1" fontId="53" fillId="0" borderId="0" xfId="0" applyNumberFormat="1" applyFont="1" applyFill="1" applyBorder="1" applyAlignment="1" applyProtection="1">
      <alignment horizontal="center" vertical="center"/>
      <protection hidden="1"/>
    </xf>
    <xf numFmtId="0" fontId="53" fillId="0" borderId="0" xfId="0" applyFont="1" applyFill="1" applyBorder="1" applyAlignment="1" applyProtection="1">
      <alignment horizontal="center" vertical="center"/>
      <protection hidden="1"/>
    </xf>
    <xf numFmtId="0" fontId="53" fillId="0" borderId="0" xfId="0" applyFont="1" applyFill="1" applyBorder="1" applyAlignment="1" applyProtection="1">
      <alignment horizontal="center" vertical="center" shrinkToFit="1"/>
      <protection hidden="1"/>
    </xf>
    <xf numFmtId="0" fontId="175" fillId="29" borderId="0" xfId="0" applyFont="1" applyFill="1" applyBorder="1" applyAlignment="1" applyProtection="1">
      <alignment horizontal="center" vertical="center"/>
      <protection hidden="1"/>
    </xf>
    <xf numFmtId="0" fontId="12" fillId="70" borderId="0" xfId="0" applyFont="1" applyFill="1" applyBorder="1" applyAlignment="1" applyProtection="1">
      <alignment vertical="center"/>
      <protection hidden="1"/>
    </xf>
    <xf numFmtId="0" fontId="31" fillId="70" borderId="0" xfId="0" applyFont="1" applyFill="1" applyBorder="1" applyAlignment="1" applyProtection="1">
      <alignment vertical="center"/>
      <protection hidden="1"/>
    </xf>
    <xf numFmtId="1" fontId="53" fillId="0" borderId="173" xfId="0" applyNumberFormat="1" applyFont="1" applyFill="1" applyBorder="1" applyAlignment="1" applyProtection="1">
      <alignment horizontal="center" vertical="center"/>
      <protection hidden="1"/>
    </xf>
    <xf numFmtId="0" fontId="53" fillId="0" borderId="173" xfId="0" applyFont="1" applyFill="1" applyBorder="1" applyAlignment="1" applyProtection="1">
      <alignment horizontal="center" vertical="center"/>
      <protection hidden="1"/>
    </xf>
    <xf numFmtId="0" fontId="53" fillId="0" borderId="173" xfId="0" applyFont="1" applyFill="1" applyBorder="1" applyAlignment="1" applyProtection="1">
      <alignment horizontal="center" vertical="center" shrinkToFit="1"/>
      <protection hidden="1"/>
    </xf>
    <xf numFmtId="185" fontId="11" fillId="0" borderId="15" xfId="0" applyNumberFormat="1" applyFont="1" applyFill="1" applyBorder="1" applyAlignment="1" applyProtection="1">
      <alignment vertical="center" shrinkToFit="1"/>
      <protection hidden="1"/>
    </xf>
    <xf numFmtId="0" fontId="2" fillId="3" borderId="157" xfId="0" applyFont="1" applyFill="1" applyBorder="1" applyAlignment="1" applyProtection="1">
      <alignment horizontal="center" vertical="center"/>
      <protection hidden="1"/>
    </xf>
    <xf numFmtId="0" fontId="2" fillId="3" borderId="156" xfId="0" applyFont="1" applyFill="1" applyBorder="1" applyAlignment="1" applyProtection="1">
      <alignment horizontal="center" vertical="center"/>
      <protection hidden="1"/>
    </xf>
    <xf numFmtId="0" fontId="2" fillId="3" borderId="139" xfId="0" applyFont="1" applyFill="1" applyBorder="1" applyAlignment="1" applyProtection="1">
      <alignment horizontal="center" vertical="center" shrinkToFit="1"/>
      <protection hidden="1"/>
    </xf>
    <xf numFmtId="0" fontId="2" fillId="3" borderId="436" xfId="0" applyFont="1" applyFill="1" applyBorder="1" applyAlignment="1" applyProtection="1">
      <alignment horizontal="center" vertical="center" shrinkToFit="1"/>
      <protection hidden="1"/>
    </xf>
    <xf numFmtId="0" fontId="2" fillId="3" borderId="437" xfId="0" applyFont="1" applyFill="1" applyBorder="1" applyAlignment="1" applyProtection="1">
      <alignment horizontal="center" vertical="center" shrinkToFit="1"/>
      <protection hidden="1"/>
    </xf>
    <xf numFmtId="0" fontId="11" fillId="3" borderId="139" xfId="0" applyFont="1" applyFill="1" applyBorder="1" applyAlignment="1" applyProtection="1">
      <alignment horizontal="center" vertical="center" shrinkToFit="1"/>
      <protection hidden="1"/>
    </xf>
    <xf numFmtId="0" fontId="2" fillId="3" borderId="438" xfId="0" applyFont="1" applyFill="1" applyBorder="1" applyAlignment="1" applyProtection="1">
      <alignment horizontal="center" vertical="center"/>
      <protection hidden="1"/>
    </xf>
    <xf numFmtId="0" fontId="2" fillId="29" borderId="439" xfId="0" applyFont="1" applyFill="1" applyBorder="1" applyAlignment="1" applyProtection="1">
      <alignment horizontal="center" vertical="center"/>
      <protection hidden="1"/>
    </xf>
    <xf numFmtId="0" fontId="175" fillId="29" borderId="26" xfId="0" applyFont="1" applyFill="1" applyBorder="1" applyAlignment="1" applyProtection="1">
      <alignment horizontal="center" vertical="center"/>
      <protection hidden="1"/>
    </xf>
    <xf numFmtId="193" fontId="2" fillId="0" borderId="0" xfId="0" applyNumberFormat="1" applyFont="1" applyFill="1" applyAlignment="1" applyProtection="1">
      <alignment horizontal="center" vertical="center" shrinkToFit="1"/>
      <protection hidden="1"/>
    </xf>
    <xf numFmtId="0" fontId="11" fillId="0" borderId="74" xfId="0" applyFont="1" applyFill="1" applyBorder="1" applyAlignment="1" applyProtection="1">
      <alignment horizontal="center"/>
      <protection hidden="1"/>
    </xf>
    <xf numFmtId="0" fontId="11" fillId="0" borderId="0" xfId="0" applyFont="1" applyFill="1" applyBorder="1" applyAlignment="1" applyProtection="1">
      <alignment horizontal="right" vertical="center"/>
      <protection hidden="1"/>
    </xf>
    <xf numFmtId="193" fontId="11" fillId="0" borderId="0" xfId="0" applyNumberFormat="1" applyFont="1" applyFill="1" applyAlignment="1" applyProtection="1">
      <alignment vertical="center" shrinkToFit="1"/>
      <protection hidden="1"/>
    </xf>
    <xf numFmtId="0" fontId="11" fillId="0" borderId="219" xfId="0" applyFont="1" applyFill="1" applyBorder="1" applyAlignment="1" applyProtection="1">
      <alignment horizontal="center"/>
      <protection hidden="1"/>
    </xf>
    <xf numFmtId="0" fontId="2" fillId="3" borderId="133" xfId="0" applyFont="1" applyFill="1" applyBorder="1" applyAlignment="1" applyProtection="1">
      <alignment horizontal="center" vertical="center"/>
      <protection hidden="1"/>
    </xf>
    <xf numFmtId="0" fontId="35" fillId="3" borderId="442" xfId="0" applyFont="1" applyFill="1" applyBorder="1" applyAlignment="1" applyProtection="1">
      <alignment horizontal="center" vertical="center" shrinkToFit="1"/>
      <protection hidden="1"/>
    </xf>
    <xf numFmtId="0" fontId="395" fillId="11" borderId="15" xfId="0" applyFont="1" applyFill="1" applyBorder="1" applyAlignment="1" applyProtection="1">
      <alignment horizontal="center" vertical="center"/>
      <protection hidden="1"/>
    </xf>
    <xf numFmtId="0" fontId="395" fillId="11" borderId="443" xfId="0" applyFont="1" applyFill="1" applyBorder="1" applyAlignment="1" applyProtection="1">
      <alignment horizontal="center" vertical="center"/>
      <protection hidden="1"/>
    </xf>
    <xf numFmtId="0" fontId="395" fillId="72" borderId="444" xfId="0" applyFont="1" applyFill="1" applyBorder="1" applyAlignment="1" applyProtection="1">
      <alignment horizontal="center" vertical="center"/>
      <protection hidden="1"/>
    </xf>
    <xf numFmtId="0" fontId="395" fillId="72" borderId="15" xfId="0" applyFont="1" applyFill="1" applyBorder="1" applyAlignment="1" applyProtection="1">
      <alignment horizontal="center" vertical="center"/>
      <protection hidden="1"/>
    </xf>
    <xf numFmtId="0" fontId="395" fillId="72" borderId="445" xfId="0" applyFont="1" applyFill="1" applyBorder="1" applyAlignment="1" applyProtection="1">
      <alignment horizontal="center" vertical="center"/>
      <protection hidden="1"/>
    </xf>
    <xf numFmtId="0" fontId="61" fillId="29" borderId="447" xfId="0" applyFont="1" applyFill="1" applyBorder="1" applyAlignment="1" applyProtection="1">
      <alignment vertical="top" wrapText="1"/>
      <protection hidden="1"/>
    </xf>
    <xf numFmtId="0" fontId="61" fillId="29" borderId="155" xfId="0" applyFont="1" applyFill="1" applyBorder="1" applyAlignment="1" applyProtection="1">
      <alignment vertical="top" wrapText="1"/>
      <protection hidden="1"/>
    </xf>
    <xf numFmtId="0" fontId="2" fillId="70" borderId="0" xfId="0" applyFont="1" applyFill="1" applyBorder="1" applyAlignment="1" applyProtection="1">
      <alignment vertical="center"/>
      <protection hidden="1"/>
    </xf>
    <xf numFmtId="0" fontId="176" fillId="70" borderId="0" xfId="0" applyFont="1" applyFill="1" applyBorder="1" applyAlignment="1" applyProtection="1">
      <alignment vertical="center"/>
      <protection hidden="1"/>
    </xf>
    <xf numFmtId="193" fontId="11" fillId="0" borderId="0" xfId="0" applyNumberFormat="1" applyFont="1" applyFill="1" applyAlignment="1" applyProtection="1">
      <alignment horizontal="left" vertical="center" shrinkToFit="1"/>
      <protection hidden="1"/>
    </xf>
    <xf numFmtId="0" fontId="2" fillId="3" borderId="0" xfId="0" applyFont="1" applyFill="1" applyBorder="1" applyAlignment="1" applyProtection="1">
      <alignment horizontal="center" vertical="center"/>
      <protection hidden="1"/>
    </xf>
    <xf numFmtId="0" fontId="35" fillId="3" borderId="442" xfId="0" applyFont="1" applyFill="1" applyBorder="1" applyAlignment="1" applyProtection="1">
      <alignment horizontal="center" vertical="center"/>
      <protection hidden="1"/>
    </xf>
    <xf numFmtId="0" fontId="2" fillId="11" borderId="357" xfId="0" applyFont="1" applyFill="1" applyBorder="1" applyAlignment="1" applyProtection="1">
      <alignment horizontal="center" vertical="center" shrinkToFit="1"/>
      <protection hidden="1"/>
    </xf>
    <xf numFmtId="0" fontId="2" fillId="11" borderId="173" xfId="0" applyFont="1" applyFill="1" applyBorder="1" applyAlignment="1" applyProtection="1">
      <alignment horizontal="center" vertical="center" shrinkToFit="1"/>
      <protection hidden="1"/>
    </xf>
    <xf numFmtId="0" fontId="2" fillId="11" borderId="449" xfId="0" applyFont="1" applyFill="1" applyBorder="1" applyAlignment="1" applyProtection="1">
      <alignment horizontal="center" vertical="center" shrinkToFit="1"/>
      <protection hidden="1"/>
    </xf>
    <xf numFmtId="0" fontId="2" fillId="72" borderId="450" xfId="0" applyFont="1" applyFill="1" applyBorder="1" applyAlignment="1" applyProtection="1">
      <alignment horizontal="center" vertical="center" shrinkToFit="1"/>
      <protection hidden="1"/>
    </xf>
    <xf numFmtId="0" fontId="2" fillId="72" borderId="173" xfId="0" applyFont="1" applyFill="1" applyBorder="1" applyAlignment="1" applyProtection="1">
      <alignment horizontal="center" vertical="center" shrinkToFit="1"/>
      <protection hidden="1"/>
    </xf>
    <xf numFmtId="0" fontId="2" fillId="72" borderId="354" xfId="0" applyFont="1" applyFill="1" applyBorder="1" applyAlignment="1" applyProtection="1">
      <alignment horizontal="center" vertical="center" shrinkToFit="1"/>
      <protection hidden="1"/>
    </xf>
    <xf numFmtId="0" fontId="12" fillId="70" borderId="4" xfId="0" applyFont="1" applyFill="1" applyBorder="1" applyAlignment="1" applyProtection="1">
      <alignment vertical="center"/>
      <protection hidden="1"/>
    </xf>
    <xf numFmtId="0" fontId="12" fillId="70" borderId="219" xfId="0" applyFont="1" applyFill="1" applyBorder="1" applyAlignment="1" applyProtection="1">
      <alignment vertical="center"/>
      <protection hidden="1"/>
    </xf>
    <xf numFmtId="192" fontId="11" fillId="0" borderId="0" xfId="0" applyNumberFormat="1" applyFont="1" applyFill="1" applyBorder="1" applyAlignment="1" applyProtection="1">
      <alignment horizontal="center" vertical="center" shrinkToFit="1"/>
      <protection hidden="1"/>
    </xf>
    <xf numFmtId="1" fontId="11" fillId="0" borderId="20" xfId="0" applyNumberFormat="1" applyFont="1" applyFill="1" applyBorder="1" applyAlignment="1" applyProtection="1">
      <alignment horizontal="center" vertical="center" shrinkToFit="1"/>
      <protection hidden="1"/>
    </xf>
    <xf numFmtId="193" fontId="11" fillId="0" borderId="219" xfId="0" applyNumberFormat="1" applyFont="1" applyFill="1" applyBorder="1" applyAlignment="1" applyProtection="1">
      <alignment horizontal="center" vertical="center" shrinkToFit="1"/>
      <protection hidden="1"/>
    </xf>
    <xf numFmtId="192" fontId="11" fillId="0" borderId="219" xfId="0" applyNumberFormat="1" applyFont="1" applyFill="1" applyBorder="1" applyAlignment="1" applyProtection="1">
      <alignment horizontal="center" vertical="center" shrinkToFit="1"/>
      <protection hidden="1"/>
    </xf>
    <xf numFmtId="193" fontId="11" fillId="0" borderId="177" xfId="0" applyNumberFormat="1" applyFont="1" applyFill="1" applyBorder="1" applyAlignment="1" applyProtection="1">
      <alignment horizontal="center" vertical="center" shrinkToFit="1"/>
      <protection hidden="1"/>
    </xf>
    <xf numFmtId="178" fontId="11" fillId="0" borderId="219" xfId="0" applyNumberFormat="1" applyFont="1" applyFill="1" applyBorder="1" applyAlignment="1" applyProtection="1">
      <alignment horizontal="center" vertical="center" shrinkToFit="1"/>
      <protection hidden="1"/>
    </xf>
    <xf numFmtId="204" fontId="11" fillId="0" borderId="219" xfId="0" applyNumberFormat="1" applyFont="1" applyFill="1" applyBorder="1" applyAlignment="1" applyProtection="1">
      <alignment horizontal="center" vertical="center" shrinkToFit="1"/>
      <protection hidden="1"/>
    </xf>
    <xf numFmtId="1" fontId="11" fillId="0" borderId="219" xfId="0" applyNumberFormat="1" applyFont="1" applyFill="1" applyBorder="1" applyAlignment="1" applyProtection="1">
      <alignment horizontal="center" vertical="center" shrinkToFit="1"/>
      <protection hidden="1"/>
    </xf>
    <xf numFmtId="193" fontId="11" fillId="0" borderId="20" xfId="0" applyNumberFormat="1" applyFont="1" applyFill="1" applyBorder="1" applyAlignment="1" applyProtection="1">
      <alignment horizontal="center" vertical="center" shrinkToFit="1"/>
      <protection hidden="1"/>
    </xf>
    <xf numFmtId="0" fontId="11" fillId="0" borderId="219" xfId="0" applyFont="1" applyFill="1" applyBorder="1" applyAlignment="1" applyProtection="1">
      <alignment horizontal="center" vertical="center" shrinkToFit="1"/>
      <protection hidden="1"/>
    </xf>
    <xf numFmtId="0" fontId="35" fillId="3" borderId="451" xfId="0" applyFont="1" applyFill="1" applyBorder="1" applyAlignment="1" applyProtection="1">
      <alignment horizontal="center" vertical="center"/>
      <protection hidden="1"/>
    </xf>
    <xf numFmtId="0" fontId="2" fillId="11" borderId="452" xfId="0" applyFont="1" applyFill="1" applyBorder="1" applyAlignment="1" applyProtection="1">
      <alignment horizontal="center" vertical="center" shrinkToFit="1"/>
      <protection hidden="1"/>
    </xf>
    <xf numFmtId="0" fontId="2" fillId="11" borderId="453" xfId="0" applyFont="1" applyFill="1" applyBorder="1" applyAlignment="1" applyProtection="1">
      <alignment horizontal="center" vertical="center" shrinkToFit="1"/>
      <protection hidden="1"/>
    </xf>
    <xf numFmtId="0" fontId="2" fillId="11" borderId="454" xfId="0" applyFont="1" applyFill="1" applyBorder="1" applyAlignment="1" applyProtection="1">
      <alignment horizontal="center" vertical="center" shrinkToFit="1"/>
      <protection hidden="1"/>
    </xf>
    <xf numFmtId="0" fontId="2" fillId="72" borderId="455" xfId="0" applyFont="1" applyFill="1" applyBorder="1" applyAlignment="1" applyProtection="1">
      <alignment horizontal="center" vertical="center" shrinkToFit="1"/>
      <protection hidden="1"/>
    </xf>
    <xf numFmtId="0" fontId="2" fillId="72" borderId="456" xfId="0" applyFont="1" applyFill="1" applyBorder="1" applyAlignment="1" applyProtection="1">
      <alignment horizontal="center" vertical="center" shrinkToFit="1"/>
      <protection hidden="1"/>
    </xf>
    <xf numFmtId="0" fontId="2" fillId="72" borderId="457" xfId="0" applyFont="1" applyFill="1" applyBorder="1" applyAlignment="1" applyProtection="1">
      <alignment horizontal="center" vertical="center" shrinkToFit="1"/>
      <protection hidden="1"/>
    </xf>
    <xf numFmtId="0" fontId="12" fillId="70" borderId="199" xfId="0" applyFont="1" applyFill="1" applyBorder="1" applyAlignment="1" applyProtection="1">
      <alignment vertical="center"/>
      <protection hidden="1"/>
    </xf>
    <xf numFmtId="193" fontId="11" fillId="0" borderId="0" xfId="0" applyNumberFormat="1" applyFont="1" applyFill="1" applyBorder="1" applyAlignment="1" applyProtection="1">
      <alignment horizontal="left" vertical="center" shrinkToFit="1"/>
      <protection hidden="1"/>
    </xf>
    <xf numFmtId="1" fontId="11" fillId="0" borderId="5" xfId="0" applyNumberFormat="1" applyFont="1" applyFill="1" applyBorder="1" applyAlignment="1" applyProtection="1">
      <alignment horizontal="center" vertical="center" shrinkToFit="1"/>
      <protection hidden="1"/>
    </xf>
    <xf numFmtId="193" fontId="11" fillId="0" borderId="4" xfId="0" applyNumberFormat="1" applyFont="1" applyFill="1" applyBorder="1" applyAlignment="1" applyProtection="1">
      <alignment horizontal="center" vertical="center" shrinkToFit="1"/>
      <protection hidden="1"/>
    </xf>
    <xf numFmtId="178" fontId="11" fillId="0" borderId="0" xfId="0" applyNumberFormat="1" applyFont="1" applyFill="1" applyBorder="1" applyAlignment="1" applyProtection="1">
      <alignment horizontal="center" vertical="center" shrinkToFit="1"/>
      <protection hidden="1"/>
    </xf>
    <xf numFmtId="204" fontId="11" fillId="0" borderId="0" xfId="0" applyNumberFormat="1" applyFont="1" applyFill="1" applyBorder="1" applyAlignment="1" applyProtection="1">
      <alignment horizontal="center" vertical="center" shrinkToFit="1"/>
      <protection hidden="1"/>
    </xf>
    <xf numFmtId="1" fontId="11" fillId="0" borderId="0" xfId="0" applyNumberFormat="1" applyFont="1" applyFill="1" applyBorder="1" applyAlignment="1" applyProtection="1">
      <alignment horizontal="center" vertical="center" shrinkToFit="1"/>
      <protection hidden="1"/>
    </xf>
    <xf numFmtId="193" fontId="11" fillId="0" borderId="5" xfId="0" applyNumberFormat="1" applyFont="1" applyFill="1" applyBorder="1" applyAlignment="1" applyProtection="1">
      <alignment horizontal="center" vertical="center" shrinkToFit="1"/>
      <protection hidden="1"/>
    </xf>
    <xf numFmtId="0" fontId="35" fillId="3" borderId="461" xfId="0" applyFont="1" applyFill="1" applyBorder="1" applyAlignment="1" applyProtection="1">
      <alignment horizontal="center" vertical="center" shrinkToFit="1"/>
      <protection hidden="1"/>
    </xf>
    <xf numFmtId="0" fontId="395" fillId="11" borderId="173" xfId="0" applyFont="1" applyFill="1" applyBorder="1" applyAlignment="1" applyProtection="1">
      <alignment horizontal="center" vertical="center"/>
      <protection hidden="1"/>
    </xf>
    <xf numFmtId="0" fontId="395" fillId="11" borderId="462" xfId="0" applyFont="1" applyFill="1" applyBorder="1" applyAlignment="1" applyProtection="1">
      <alignment horizontal="center" vertical="center"/>
      <protection hidden="1"/>
    </xf>
    <xf numFmtId="0" fontId="395" fillId="11" borderId="463" xfId="0" applyFont="1" applyFill="1" applyBorder="1" applyAlignment="1" applyProtection="1">
      <alignment horizontal="center" vertical="center"/>
      <protection hidden="1"/>
    </xf>
    <xf numFmtId="0" fontId="395" fillId="11" borderId="450" xfId="0" applyFont="1" applyFill="1" applyBorder="1" applyAlignment="1" applyProtection="1">
      <alignment horizontal="center" vertical="center"/>
      <protection hidden="1"/>
    </xf>
    <xf numFmtId="0" fontId="395" fillId="11" borderId="464" xfId="0" applyFont="1" applyFill="1" applyBorder="1" applyAlignment="1" applyProtection="1">
      <alignment horizontal="center" vertical="center"/>
      <protection hidden="1"/>
    </xf>
    <xf numFmtId="193" fontId="11" fillId="0" borderId="0" xfId="0" quotePrefix="1" applyNumberFormat="1" applyFont="1" applyFill="1" applyBorder="1" applyAlignment="1" applyProtection="1">
      <alignment horizontal="center" vertical="center" shrinkToFit="1"/>
      <protection hidden="1"/>
    </xf>
    <xf numFmtId="193" fontId="11" fillId="0" borderId="4" xfId="0" quotePrefix="1" applyNumberFormat="1" applyFont="1" applyFill="1" applyBorder="1" applyAlignment="1" applyProtection="1">
      <alignment horizontal="center" vertical="center" shrinkToFit="1"/>
      <protection hidden="1"/>
    </xf>
    <xf numFmtId="193" fontId="11" fillId="0" borderId="5" xfId="0" quotePrefix="1" applyNumberFormat="1" applyFont="1" applyFill="1" applyBorder="1" applyAlignment="1" applyProtection="1">
      <alignment horizontal="center" vertical="center" shrinkToFit="1"/>
      <protection hidden="1"/>
    </xf>
    <xf numFmtId="0" fontId="2" fillId="11" borderId="462" xfId="0" applyFont="1" applyFill="1" applyBorder="1" applyAlignment="1" applyProtection="1">
      <alignment horizontal="center" vertical="center" shrinkToFit="1"/>
      <protection hidden="1"/>
    </xf>
    <xf numFmtId="0" fontId="2" fillId="11" borderId="463" xfId="0" applyFont="1" applyFill="1" applyBorder="1" applyAlignment="1" applyProtection="1">
      <alignment horizontal="center" vertical="center" shrinkToFit="1"/>
      <protection hidden="1"/>
    </xf>
    <xf numFmtId="0" fontId="2" fillId="11" borderId="450" xfId="0" applyFont="1" applyFill="1" applyBorder="1" applyAlignment="1" applyProtection="1">
      <alignment horizontal="center" vertical="center" shrinkToFit="1"/>
      <protection hidden="1"/>
    </xf>
    <xf numFmtId="0" fontId="2" fillId="11" borderId="354" xfId="0" applyFont="1" applyFill="1" applyBorder="1" applyAlignment="1" applyProtection="1">
      <alignment horizontal="center" vertical="center" shrinkToFit="1"/>
      <protection hidden="1"/>
    </xf>
    <xf numFmtId="0" fontId="31" fillId="70" borderId="0" xfId="0" applyFont="1" applyFill="1" applyBorder="1" applyAlignment="1" applyProtection="1">
      <alignment vertical="center" shrinkToFit="1"/>
      <protection hidden="1"/>
    </xf>
    <xf numFmtId="0" fontId="12" fillId="70" borderId="0" xfId="0" applyFont="1" applyFill="1" applyBorder="1" applyAlignment="1" applyProtection="1">
      <alignment vertical="center" shrinkToFit="1"/>
      <protection hidden="1"/>
    </xf>
    <xf numFmtId="0" fontId="30" fillId="70" borderId="20" xfId="0" applyFont="1" applyFill="1" applyBorder="1" applyAlignment="1" applyProtection="1">
      <alignment vertical="center" shrinkToFit="1"/>
      <protection hidden="1"/>
    </xf>
    <xf numFmtId="1" fontId="11" fillId="0" borderId="221" xfId="0" applyNumberFormat="1" applyFont="1" applyFill="1" applyBorder="1" applyAlignment="1" applyProtection="1">
      <alignment horizontal="center" vertical="center" shrinkToFit="1"/>
      <protection hidden="1"/>
    </xf>
    <xf numFmtId="0" fontId="2" fillId="11" borderId="470" xfId="0" applyFont="1" applyFill="1" applyBorder="1" applyAlignment="1" applyProtection="1">
      <alignment horizontal="center" vertical="center" shrinkToFit="1"/>
      <protection hidden="1"/>
    </xf>
    <xf numFmtId="0" fontId="2" fillId="11" borderId="342" xfId="0" applyFont="1" applyFill="1" applyBorder="1" applyAlignment="1" applyProtection="1">
      <alignment horizontal="center" vertical="center" shrinkToFit="1"/>
      <protection hidden="1"/>
    </xf>
    <xf numFmtId="0" fontId="2" fillId="11" borderId="471" xfId="0" applyFont="1" applyFill="1" applyBorder="1" applyAlignment="1" applyProtection="1">
      <alignment horizontal="center" vertical="center" shrinkToFit="1"/>
      <protection hidden="1"/>
    </xf>
    <xf numFmtId="0" fontId="2" fillId="11" borderId="472" xfId="0" applyFont="1" applyFill="1" applyBorder="1" applyAlignment="1" applyProtection="1">
      <alignment horizontal="center" vertical="center" shrinkToFit="1"/>
      <protection hidden="1"/>
    </xf>
    <xf numFmtId="0" fontId="2" fillId="11" borderId="473" xfId="0" applyFont="1" applyFill="1" applyBorder="1" applyAlignment="1" applyProtection="1">
      <alignment horizontal="center" vertical="center" shrinkToFit="1"/>
      <protection hidden="1"/>
    </xf>
    <xf numFmtId="0" fontId="2" fillId="11" borderId="474" xfId="0" applyFont="1" applyFill="1" applyBorder="1" applyAlignment="1" applyProtection="1">
      <alignment horizontal="center" vertical="center" shrinkToFit="1"/>
      <protection hidden="1"/>
    </xf>
    <xf numFmtId="0" fontId="61" fillId="29" borderId="133" xfId="0" applyFont="1" applyFill="1" applyBorder="1" applyAlignment="1" applyProtection="1">
      <alignment wrapText="1"/>
      <protection hidden="1"/>
    </xf>
    <xf numFmtId="0" fontId="61" fillId="29" borderId="0" xfId="0" applyFont="1" applyFill="1" applyBorder="1" applyAlignment="1" applyProtection="1">
      <alignment wrapText="1"/>
      <protection hidden="1"/>
    </xf>
    <xf numFmtId="0" fontId="30" fillId="70" borderId="5" xfId="0" applyFont="1" applyFill="1" applyBorder="1" applyAlignment="1" applyProtection="1">
      <alignment vertical="center" shrinkToFit="1"/>
      <protection hidden="1"/>
    </xf>
    <xf numFmtId="193" fontId="24" fillId="0" borderId="0" xfId="0" applyNumberFormat="1" applyFont="1" applyFill="1" applyBorder="1" applyAlignment="1" applyProtection="1">
      <alignment horizontal="left" vertical="center" shrinkToFit="1"/>
      <protection hidden="1"/>
    </xf>
    <xf numFmtId="193" fontId="24" fillId="0" borderId="0" xfId="0" applyNumberFormat="1" applyFont="1" applyFill="1" applyBorder="1" applyAlignment="1" applyProtection="1">
      <alignment horizontal="center" vertical="center" shrinkToFit="1"/>
      <protection hidden="1"/>
    </xf>
    <xf numFmtId="0" fontId="24" fillId="0" borderId="0" xfId="0" applyFont="1" applyFill="1" applyBorder="1" applyAlignment="1" applyProtection="1">
      <alignment horizontal="center" vertical="center" shrinkToFit="1"/>
      <protection hidden="1"/>
    </xf>
    <xf numFmtId="0" fontId="24" fillId="0" borderId="121" xfId="0" applyFont="1" applyFill="1" applyBorder="1" applyAlignment="1" applyProtection="1">
      <alignment horizontal="center" vertical="center" shrinkToFit="1"/>
      <protection hidden="1"/>
    </xf>
    <xf numFmtId="193" fontId="24" fillId="0" borderId="120" xfId="0" applyNumberFormat="1" applyFont="1" applyFill="1" applyBorder="1" applyAlignment="1" applyProtection="1">
      <alignment horizontal="left" vertical="center" shrinkToFit="1"/>
      <protection hidden="1"/>
    </xf>
    <xf numFmtId="193" fontId="24" fillId="0" borderId="120" xfId="0" applyNumberFormat="1" applyFont="1" applyFill="1" applyBorder="1" applyAlignment="1" applyProtection="1">
      <alignment horizontal="center" vertical="center" shrinkToFit="1"/>
      <protection hidden="1"/>
    </xf>
    <xf numFmtId="0" fontId="24" fillId="0" borderId="120" xfId="0" applyFont="1" applyFill="1" applyBorder="1" applyAlignment="1" applyProtection="1">
      <alignment horizontal="center" vertical="center" shrinkToFit="1"/>
      <protection hidden="1"/>
    </xf>
    <xf numFmtId="0" fontId="24" fillId="0" borderId="119" xfId="0" applyFont="1" applyFill="1" applyBorder="1" applyAlignment="1" applyProtection="1">
      <alignment horizontal="center" vertical="center" shrinkToFit="1"/>
      <protection hidden="1"/>
    </xf>
    <xf numFmtId="0" fontId="31" fillId="3" borderId="0" xfId="0" applyFont="1" applyFill="1" applyBorder="1" applyAlignment="1" applyProtection="1">
      <protection hidden="1"/>
    </xf>
    <xf numFmtId="0" fontId="2" fillId="3" borderId="477" xfId="0" applyFont="1" applyFill="1" applyBorder="1" applyAlignment="1" applyProtection="1">
      <alignment horizontal="center" vertical="center"/>
      <protection hidden="1"/>
    </xf>
    <xf numFmtId="0" fontId="2" fillId="3" borderId="478" xfId="0" applyFont="1" applyFill="1" applyBorder="1" applyAlignment="1" applyProtection="1">
      <alignment horizontal="center" vertical="center"/>
      <protection hidden="1"/>
    </xf>
    <xf numFmtId="0" fontId="2" fillId="3" borderId="479" xfId="0" applyFont="1" applyFill="1" applyBorder="1" applyAlignment="1" applyProtection="1">
      <alignment horizontal="center" vertical="center"/>
      <protection hidden="1"/>
    </xf>
    <xf numFmtId="0" fontId="2" fillId="3" borderId="442" xfId="0" applyFont="1" applyFill="1" applyBorder="1" applyAlignment="1" applyProtection="1">
      <alignment horizontal="center" vertical="center"/>
      <protection hidden="1"/>
    </xf>
    <xf numFmtId="185" fontId="30" fillId="70" borderId="0" xfId="0" applyNumberFormat="1" applyFont="1" applyFill="1" applyBorder="1" applyAlignment="1" applyProtection="1">
      <alignment vertical="center"/>
      <protection hidden="1"/>
    </xf>
    <xf numFmtId="0" fontId="20" fillId="70" borderId="4" xfId="0" applyFont="1" applyFill="1" applyBorder="1" applyAlignment="1" applyProtection="1">
      <alignment horizontal="left" vertical="center"/>
      <protection hidden="1"/>
    </xf>
    <xf numFmtId="0" fontId="11" fillId="30" borderId="221" xfId="4" applyFont="1" applyFill="1" applyBorder="1" applyAlignment="1" applyProtection="1">
      <alignment horizontal="left" vertical="center"/>
      <protection hidden="1"/>
    </xf>
    <xf numFmtId="0" fontId="24" fillId="0" borderId="199" xfId="0" applyFont="1" applyFill="1" applyBorder="1" applyAlignment="1" applyProtection="1">
      <alignment vertical="center" shrinkToFit="1"/>
      <protection hidden="1"/>
    </xf>
    <xf numFmtId="0" fontId="24" fillId="0" borderId="221" xfId="0" applyFont="1" applyFill="1" applyBorder="1" applyAlignment="1" applyProtection="1">
      <alignment vertical="center" shrinkToFit="1"/>
      <protection hidden="1"/>
    </xf>
    <xf numFmtId="0" fontId="11" fillId="0" borderId="199" xfId="0" applyFont="1" applyFill="1" applyBorder="1" applyAlignment="1" applyProtection="1">
      <alignment horizontal="center" vertical="center" shrinkToFit="1"/>
      <protection hidden="1"/>
    </xf>
    <xf numFmtId="0" fontId="2" fillId="3" borderId="480" xfId="0" applyFont="1" applyFill="1" applyBorder="1" applyAlignment="1" applyProtection="1">
      <alignment horizontal="center" vertical="center"/>
      <protection hidden="1"/>
    </xf>
    <xf numFmtId="0" fontId="2" fillId="3" borderId="482" xfId="0" applyFont="1" applyFill="1" applyBorder="1" applyAlignment="1" applyProtection="1">
      <alignment horizontal="center" vertical="center"/>
      <protection hidden="1"/>
    </xf>
    <xf numFmtId="185" fontId="398" fillId="29" borderId="0" xfId="0" applyNumberFormat="1" applyFont="1" applyFill="1" applyBorder="1" applyAlignment="1" applyProtection="1">
      <alignment vertical="center" shrinkToFit="1"/>
      <protection hidden="1"/>
    </xf>
    <xf numFmtId="185" fontId="398" fillId="70" borderId="0" xfId="0" applyNumberFormat="1" applyFont="1" applyFill="1" applyBorder="1" applyAlignment="1" applyProtection="1">
      <alignment vertical="center" shrinkToFit="1"/>
      <protection hidden="1"/>
    </xf>
    <xf numFmtId="0" fontId="11" fillId="30" borderId="20" xfId="4" applyFont="1" applyFill="1" applyBorder="1" applyAlignment="1" applyProtection="1">
      <alignment horizontal="center" vertical="center"/>
      <protection hidden="1"/>
    </xf>
    <xf numFmtId="203" fontId="11" fillId="0" borderId="0" xfId="0" applyNumberFormat="1" applyFont="1" applyFill="1" applyAlignment="1" applyProtection="1">
      <alignment horizontal="center" vertical="center" shrinkToFit="1"/>
      <protection hidden="1"/>
    </xf>
    <xf numFmtId="0" fontId="11" fillId="30" borderId="177" xfId="4" applyFont="1" applyFill="1" applyBorder="1" applyAlignment="1" applyProtection="1">
      <alignment horizontal="left" vertical="center"/>
      <protection hidden="1"/>
    </xf>
    <xf numFmtId="178" fontId="11" fillId="0" borderId="20" xfId="0" applyNumberFormat="1" applyFont="1" applyFill="1" applyBorder="1" applyAlignment="1" applyProtection="1">
      <alignment horizontal="center" vertical="center" shrinkToFit="1"/>
      <protection hidden="1"/>
    </xf>
    <xf numFmtId="203" fontId="11" fillId="0" borderId="0" xfId="0" applyNumberFormat="1" applyFont="1" applyFill="1" applyBorder="1" applyAlignment="1" applyProtection="1">
      <alignment horizontal="center" vertical="center" shrinkToFit="1"/>
      <protection hidden="1"/>
    </xf>
    <xf numFmtId="0" fontId="11" fillId="0" borderId="20" xfId="0" applyFont="1" applyFill="1" applyBorder="1" applyAlignment="1" applyProtection="1">
      <alignment horizontal="center" vertical="center" shrinkToFit="1"/>
      <protection hidden="1"/>
    </xf>
    <xf numFmtId="193" fontId="11" fillId="0" borderId="177" xfId="0" applyNumberFormat="1" applyFont="1" applyFill="1" applyBorder="1" applyAlignment="1" applyProtection="1">
      <alignment shrinkToFit="1"/>
      <protection hidden="1"/>
    </xf>
    <xf numFmtId="193" fontId="11" fillId="0" borderId="20" xfId="0" quotePrefix="1" applyNumberFormat="1" applyFont="1" applyFill="1" applyBorder="1" applyAlignment="1" applyProtection="1">
      <alignment horizontal="center" vertical="center" shrinkToFit="1"/>
      <protection hidden="1"/>
    </xf>
    <xf numFmtId="185" fontId="11" fillId="0" borderId="0" xfId="0" applyNumberFormat="1" applyFont="1" applyFill="1" applyAlignment="1" applyProtection="1">
      <alignment horizontal="center" vertical="center" shrinkToFit="1"/>
      <protection hidden="1"/>
    </xf>
    <xf numFmtId="192" fontId="11" fillId="0" borderId="0" xfId="0" applyNumberFormat="1" applyFont="1" applyFill="1" applyAlignment="1" applyProtection="1">
      <alignment horizontal="center" vertical="center" shrinkToFit="1"/>
      <protection hidden="1"/>
    </xf>
    <xf numFmtId="192" fontId="11" fillId="0" borderId="4" xfId="0" quotePrefix="1" applyNumberFormat="1" applyFont="1" applyFill="1" applyBorder="1" applyAlignment="1" applyProtection="1">
      <alignment horizontal="center" vertical="center" shrinkToFit="1"/>
      <protection hidden="1"/>
    </xf>
    <xf numFmtId="0" fontId="11" fillId="0" borderId="5" xfId="0" applyFont="1" applyFill="1" applyBorder="1" applyAlignment="1" applyProtection="1">
      <alignment horizontal="center" vertical="center" shrinkToFit="1"/>
      <protection hidden="1"/>
    </xf>
    <xf numFmtId="192" fontId="11" fillId="0" borderId="4" xfId="0" applyNumberFormat="1" applyFont="1" applyFill="1" applyBorder="1" applyAlignment="1" applyProtection="1">
      <alignment horizontal="center" vertical="center" shrinkToFit="1"/>
      <protection hidden="1"/>
    </xf>
    <xf numFmtId="0" fontId="176" fillId="3" borderId="0" xfId="0" applyFont="1" applyFill="1" applyBorder="1" applyAlignment="1" applyProtection="1">
      <alignment horizontal="left" vertical="center"/>
      <protection hidden="1"/>
    </xf>
    <xf numFmtId="0" fontId="363" fillId="29" borderId="0" xfId="0" applyFont="1" applyFill="1" applyBorder="1" applyAlignment="1" applyProtection="1">
      <alignment vertical="center"/>
      <protection hidden="1"/>
    </xf>
    <xf numFmtId="0" fontId="2" fillId="29" borderId="486" xfId="0" applyFont="1" applyFill="1" applyBorder="1" applyAlignment="1" applyProtection="1">
      <alignment horizontal="center" vertical="center"/>
      <protection hidden="1"/>
    </xf>
    <xf numFmtId="0" fontId="11" fillId="0" borderId="5" xfId="0" quotePrefix="1" applyFont="1" applyFill="1" applyBorder="1" applyAlignment="1" applyProtection="1">
      <alignment horizontal="center" vertical="center" shrinkToFit="1"/>
      <protection hidden="1"/>
    </xf>
    <xf numFmtId="185" fontId="11" fillId="0" borderId="4" xfId="0" applyNumberFormat="1" applyFont="1" applyFill="1" applyBorder="1" applyAlignment="1" applyProtection="1">
      <alignment horizontal="center" vertical="center" shrinkToFit="1"/>
      <protection hidden="1"/>
    </xf>
    <xf numFmtId="192" fontId="11" fillId="0" borderId="0" xfId="0" quotePrefix="1" applyNumberFormat="1" applyFont="1" applyFill="1" applyBorder="1" applyAlignment="1" applyProtection="1">
      <alignment horizontal="center" vertical="center" shrinkToFit="1"/>
      <protection hidden="1"/>
    </xf>
    <xf numFmtId="0" fontId="31" fillId="3" borderId="133" xfId="0" applyFont="1" applyFill="1" applyBorder="1" applyAlignment="1" applyProtection="1">
      <alignment vertical="top"/>
      <protection hidden="1"/>
    </xf>
    <xf numFmtId="0" fontId="31" fillId="3" borderId="0" xfId="0" applyFont="1" applyFill="1" applyBorder="1" applyAlignment="1" applyProtection="1">
      <alignment vertical="center"/>
      <protection hidden="1"/>
    </xf>
    <xf numFmtId="0" fontId="2" fillId="3" borderId="0" xfId="0" applyFont="1" applyFill="1" applyBorder="1" applyAlignment="1" applyProtection="1">
      <alignment vertical="center"/>
      <protection hidden="1"/>
    </xf>
    <xf numFmtId="0" fontId="24" fillId="3" borderId="490" xfId="0" applyFont="1" applyFill="1" applyBorder="1" applyAlignment="1" applyProtection="1">
      <alignment horizontal="center" vertical="center"/>
      <protection hidden="1"/>
    </xf>
    <xf numFmtId="0" fontId="2" fillId="3" borderId="491" xfId="0" applyFont="1" applyFill="1" applyBorder="1" applyAlignment="1" applyProtection="1">
      <alignment horizontal="center" vertical="center"/>
      <protection hidden="1"/>
    </xf>
    <xf numFmtId="0" fontId="31" fillId="3" borderId="491" xfId="0" applyFont="1" applyFill="1" applyBorder="1" applyAlignment="1" applyProtection="1">
      <alignment vertical="center"/>
      <protection hidden="1"/>
    </xf>
    <xf numFmtId="0" fontId="2" fillId="3" borderId="151" xfId="0" applyFont="1" applyFill="1" applyBorder="1" applyAlignment="1" applyProtection="1">
      <alignment horizontal="center" vertical="center"/>
      <protection hidden="1"/>
    </xf>
    <xf numFmtId="0" fontId="2" fillId="3" borderId="151" xfId="0" applyFont="1" applyFill="1" applyBorder="1" applyAlignment="1" applyProtection="1">
      <alignment vertical="center"/>
      <protection hidden="1"/>
    </xf>
    <xf numFmtId="0" fontId="11" fillId="71" borderId="0" xfId="0" applyFont="1" applyFill="1" applyBorder="1" applyAlignment="1" applyProtection="1">
      <alignment vertical="center" shrinkToFit="1"/>
      <protection hidden="1"/>
    </xf>
    <xf numFmtId="0" fontId="11" fillId="0" borderId="121" xfId="0" applyFont="1" applyFill="1" applyBorder="1" applyAlignment="1" applyProtection="1">
      <alignment horizontal="center" vertical="center" shrinkToFit="1"/>
      <protection hidden="1"/>
    </xf>
    <xf numFmtId="0" fontId="11" fillId="0" borderId="120" xfId="0" applyFont="1" applyFill="1" applyBorder="1" applyAlignment="1" applyProtection="1">
      <alignment horizontal="center" vertical="center" shrinkToFit="1"/>
      <protection hidden="1"/>
    </xf>
    <xf numFmtId="0" fontId="11" fillId="0" borderId="120" xfId="0" applyFont="1" applyFill="1" applyBorder="1" applyAlignment="1" applyProtection="1">
      <alignment horizontal="center" vertical="center" wrapText="1" shrinkToFit="1"/>
      <protection hidden="1"/>
    </xf>
    <xf numFmtId="0" fontId="11" fillId="0" borderId="119" xfId="0" applyFont="1" applyFill="1" applyBorder="1" applyAlignment="1" applyProtection="1">
      <alignment horizontal="center" vertical="center" shrinkToFit="1"/>
      <protection hidden="1"/>
    </xf>
    <xf numFmtId="0" fontId="363" fillId="29" borderId="199" xfId="0" applyFont="1" applyFill="1" applyBorder="1" applyAlignment="1" applyProtection="1">
      <alignment vertical="center"/>
      <protection hidden="1"/>
    </xf>
    <xf numFmtId="0" fontId="211" fillId="0" borderId="0" xfId="1" applyFont="1" applyFill="1" applyAlignment="1" applyProtection="1">
      <alignment horizontal="center" vertical="center"/>
      <protection hidden="1"/>
    </xf>
    <xf numFmtId="185" fontId="2" fillId="0" borderId="0" xfId="0" applyNumberFormat="1" applyFont="1" applyFill="1" applyAlignment="1" applyProtection="1">
      <alignment vertical="center"/>
      <protection hidden="1"/>
    </xf>
    <xf numFmtId="0" fontId="53" fillId="0" borderId="0" xfId="0" applyFont="1" applyFill="1" applyAlignment="1" applyProtection="1">
      <alignment horizontal="right" vertical="center"/>
      <protection hidden="1"/>
    </xf>
    <xf numFmtId="187" fontId="2" fillId="0" borderId="0" xfId="0" applyNumberFormat="1" applyFont="1" applyFill="1" applyAlignment="1" applyProtection="1">
      <alignment vertical="center"/>
      <protection hidden="1"/>
    </xf>
    <xf numFmtId="187" fontId="2" fillId="0" borderId="0" xfId="0" applyNumberFormat="1" applyFont="1" applyFill="1" applyBorder="1" applyAlignment="1" applyProtection="1">
      <alignment vertical="center"/>
      <protection hidden="1"/>
    </xf>
    <xf numFmtId="187" fontId="11" fillId="0" borderId="0" xfId="0" applyNumberFormat="1" applyFont="1" applyFill="1" applyBorder="1" applyAlignment="1" applyProtection="1">
      <alignment vertical="center"/>
      <protection hidden="1"/>
    </xf>
    <xf numFmtId="0" fontId="2" fillId="29" borderId="157" xfId="0" applyFont="1" applyFill="1" applyBorder="1" applyAlignment="1" applyProtection="1">
      <alignment horizontal="center" vertical="center"/>
      <protection hidden="1"/>
    </xf>
    <xf numFmtId="183" fontId="53" fillId="29" borderId="156" xfId="0" applyNumberFormat="1" applyFont="1" applyFill="1" applyBorder="1" applyAlignment="1" applyProtection="1">
      <alignment horizontal="center" vertical="center" shrinkToFit="1"/>
      <protection hidden="1"/>
    </xf>
    <xf numFmtId="187" fontId="12" fillId="29" borderId="156" xfId="0" applyNumberFormat="1" applyFont="1" applyFill="1" applyBorder="1" applyAlignment="1" applyProtection="1">
      <alignment horizontal="right" vertical="center" shrinkToFit="1"/>
      <protection hidden="1"/>
    </xf>
    <xf numFmtId="0" fontId="12" fillId="29" borderId="156" xfId="0" applyFont="1" applyFill="1" applyBorder="1" applyAlignment="1" applyProtection="1">
      <alignment horizontal="right" vertical="center"/>
      <protection hidden="1"/>
    </xf>
    <xf numFmtId="0" fontId="2" fillId="29" borderId="156" xfId="0" applyFont="1" applyFill="1" applyBorder="1" applyAlignment="1" applyProtection="1">
      <alignment horizontal="center" vertical="center"/>
      <protection hidden="1"/>
    </xf>
    <xf numFmtId="187" fontId="34" fillId="29" borderId="156" xfId="0" applyNumberFormat="1" applyFont="1" applyFill="1" applyBorder="1" applyAlignment="1" applyProtection="1">
      <alignment horizontal="right" vertical="center" shrinkToFit="1"/>
      <protection hidden="1"/>
    </xf>
    <xf numFmtId="187" fontId="43" fillId="29" borderId="156" xfId="0" applyNumberFormat="1" applyFont="1" applyFill="1" applyBorder="1" applyAlignment="1" applyProtection="1">
      <alignment vertical="center" shrinkToFit="1"/>
      <protection hidden="1"/>
    </xf>
    <xf numFmtId="187" fontId="43" fillId="29" borderId="156" xfId="0" applyNumberFormat="1" applyFont="1" applyFill="1" applyBorder="1" applyAlignment="1" applyProtection="1">
      <alignment horizontal="center" vertical="center" shrinkToFit="1"/>
      <protection hidden="1"/>
    </xf>
    <xf numFmtId="0" fontId="12" fillId="29" borderId="156" xfId="0" applyFont="1" applyFill="1" applyBorder="1" applyAlignment="1" applyProtection="1">
      <alignment horizontal="left" vertical="center" shrinkToFit="1"/>
      <protection hidden="1"/>
    </xf>
    <xf numFmtId="0" fontId="12" fillId="29" borderId="156" xfId="0" applyFont="1" applyFill="1" applyBorder="1" applyAlignment="1" applyProtection="1">
      <alignment horizontal="distributed" vertical="center" shrinkToFit="1"/>
      <protection hidden="1"/>
    </xf>
    <xf numFmtId="0" fontId="2" fillId="29" borderId="438" xfId="0" applyFont="1" applyFill="1" applyBorder="1" applyAlignment="1" applyProtection="1">
      <alignment horizontal="center" vertical="center"/>
      <protection hidden="1"/>
    </xf>
    <xf numFmtId="186" fontId="2" fillId="0" borderId="0" xfId="0" applyNumberFormat="1" applyFont="1" applyFill="1" applyAlignment="1" applyProtection="1">
      <alignment horizontal="center" vertical="center"/>
      <protection hidden="1"/>
    </xf>
    <xf numFmtId="0" fontId="2" fillId="29" borderId="133" xfId="0" applyFont="1" applyFill="1" applyBorder="1" applyAlignment="1" applyProtection="1">
      <alignment horizontal="center" vertical="center"/>
      <protection hidden="1"/>
    </xf>
    <xf numFmtId="0" fontId="12" fillId="11" borderId="173" xfId="0" applyFont="1" applyFill="1" applyBorder="1" applyAlignment="1" applyProtection="1">
      <alignment horizontal="center" vertical="center" textRotation="180" shrinkToFit="1"/>
      <protection hidden="1"/>
    </xf>
    <xf numFmtId="0" fontId="2" fillId="29" borderId="442" xfId="0" applyFont="1" applyFill="1" applyBorder="1" applyAlignment="1" applyProtection="1">
      <alignment horizontal="center" vertical="center"/>
      <protection hidden="1"/>
    </xf>
    <xf numFmtId="185" fontId="11" fillId="0" borderId="173" xfId="0" applyNumberFormat="1" applyFont="1" applyFill="1" applyBorder="1" applyAlignment="1" applyProtection="1">
      <alignment horizontal="right" vertical="center" shrinkToFit="1"/>
      <protection hidden="1"/>
    </xf>
    <xf numFmtId="186" fontId="11" fillId="0" borderId="0" xfId="0" applyNumberFormat="1" applyFont="1" applyFill="1" applyBorder="1" applyAlignment="1" applyProtection="1">
      <alignment horizontal="right" vertical="center" shrinkToFit="1"/>
      <protection hidden="1"/>
    </xf>
    <xf numFmtId="205" fontId="2" fillId="0" borderId="0" xfId="0" applyNumberFormat="1" applyFont="1" applyFill="1" applyAlignment="1" applyProtection="1">
      <alignment vertical="center"/>
      <protection hidden="1"/>
    </xf>
    <xf numFmtId="0" fontId="53" fillId="0" borderId="0" xfId="0" applyFont="1" applyFill="1" applyAlignment="1" applyProtection="1">
      <alignment horizontal="center"/>
      <protection hidden="1"/>
    </xf>
    <xf numFmtId="0" fontId="24" fillId="0" borderId="0" xfId="0" applyFont="1" applyFill="1" applyAlignment="1" applyProtection="1">
      <alignment horizontal="right" vertical="center"/>
      <protection hidden="1"/>
    </xf>
    <xf numFmtId="176" fontId="11" fillId="0" borderId="173" xfId="0" applyNumberFormat="1" applyFont="1" applyFill="1" applyBorder="1" applyAlignment="1" applyProtection="1">
      <alignment horizontal="center" vertical="center" shrinkToFit="1"/>
      <protection hidden="1"/>
    </xf>
    <xf numFmtId="0" fontId="57" fillId="0" borderId="0" xfId="0" applyFont="1" applyFill="1" applyAlignment="1" applyProtection="1">
      <alignment horizontal="center"/>
      <protection hidden="1"/>
    </xf>
    <xf numFmtId="0" fontId="10" fillId="0" borderId="0" xfId="0" applyFont="1" applyFill="1" applyAlignment="1" applyProtection="1">
      <alignment horizontal="center" vertical="center"/>
      <protection hidden="1"/>
    </xf>
    <xf numFmtId="0" fontId="19" fillId="0" borderId="0" xfId="0" applyFont="1" applyFill="1" applyAlignment="1" applyProtection="1">
      <alignment horizontal="center" vertical="center"/>
      <protection hidden="1"/>
    </xf>
    <xf numFmtId="0" fontId="44" fillId="0" borderId="0" xfId="0" applyFont="1" applyFill="1" applyAlignment="1" applyProtection="1">
      <alignment horizontal="center"/>
      <protection hidden="1"/>
    </xf>
    <xf numFmtId="0" fontId="2" fillId="74" borderId="133" xfId="0" applyFont="1" applyFill="1" applyBorder="1" applyAlignment="1" applyProtection="1">
      <alignment horizontal="center" vertical="center"/>
      <protection hidden="1"/>
    </xf>
    <xf numFmtId="0" fontId="12" fillId="74" borderId="0" xfId="0" applyFont="1" applyFill="1" applyBorder="1" applyAlignment="1" applyProtection="1">
      <alignment horizontal="center" vertical="center"/>
      <protection hidden="1"/>
    </xf>
    <xf numFmtId="0" fontId="2" fillId="74" borderId="442" xfId="0" applyFont="1" applyFill="1" applyBorder="1" applyAlignment="1" applyProtection="1">
      <alignment horizontal="center" vertical="center"/>
      <protection hidden="1"/>
    </xf>
    <xf numFmtId="0" fontId="11" fillId="0" borderId="173" xfId="0" applyFont="1" applyFill="1" applyBorder="1" applyAlignment="1" applyProtection="1">
      <alignment horizontal="right" vertical="center"/>
      <protection hidden="1"/>
    </xf>
    <xf numFmtId="0" fontId="12" fillId="74" borderId="0" xfId="0" applyFont="1" applyFill="1" applyBorder="1" applyAlignment="1" applyProtection="1">
      <alignment horizontal="center" vertical="center" shrinkToFit="1"/>
      <protection hidden="1"/>
    </xf>
    <xf numFmtId="0" fontId="12" fillId="74" borderId="498" xfId="0" applyFont="1" applyFill="1" applyBorder="1" applyAlignment="1" applyProtection="1">
      <alignment vertical="center" shrinkToFit="1"/>
      <protection hidden="1"/>
    </xf>
    <xf numFmtId="0" fontId="12" fillId="74" borderId="499" xfId="0" applyFont="1" applyFill="1" applyBorder="1" applyAlignment="1" applyProtection="1">
      <alignment vertical="center" shrinkToFit="1"/>
      <protection hidden="1"/>
    </xf>
    <xf numFmtId="0" fontId="12" fillId="74" borderId="497" xfId="0" applyFont="1" applyFill="1" applyBorder="1" applyAlignment="1" applyProtection="1">
      <alignment vertical="center" shrinkToFit="1"/>
      <protection hidden="1"/>
    </xf>
    <xf numFmtId="0" fontId="12" fillId="74" borderId="0" xfId="0" applyFont="1" applyFill="1" applyBorder="1" applyAlignment="1" applyProtection="1">
      <alignment horizontal="left" vertical="center"/>
      <protection hidden="1"/>
    </xf>
    <xf numFmtId="0" fontId="2" fillId="74" borderId="0" xfId="0" applyFont="1" applyFill="1" applyAlignment="1" applyProtection="1">
      <alignment horizontal="center" vertical="center"/>
      <protection hidden="1"/>
    </xf>
    <xf numFmtId="0" fontId="11" fillId="74" borderId="0" xfId="0" applyFont="1" applyFill="1" applyAlignment="1" applyProtection="1">
      <alignment horizontal="center"/>
      <protection hidden="1"/>
    </xf>
    <xf numFmtId="0" fontId="2" fillId="74" borderId="0" xfId="0" applyFont="1" applyFill="1" applyAlignment="1" applyProtection="1">
      <alignment horizontal="center"/>
      <protection hidden="1"/>
    </xf>
    <xf numFmtId="0" fontId="11" fillId="74" borderId="0" xfId="0" applyFont="1" applyFill="1" applyAlignment="1" applyProtection="1">
      <alignment horizontal="center" vertical="center"/>
      <protection hidden="1"/>
    </xf>
    <xf numFmtId="0" fontId="2" fillId="74" borderId="0" xfId="0" applyFont="1" applyFill="1" applyBorder="1" applyAlignment="1" applyProtection="1">
      <alignment horizontal="center" vertical="center"/>
      <protection hidden="1"/>
    </xf>
    <xf numFmtId="0" fontId="12" fillId="3" borderId="500" xfId="0" applyFont="1" applyFill="1" applyBorder="1" applyAlignment="1" applyProtection="1">
      <alignment vertical="center" shrinkToFit="1"/>
      <protection hidden="1"/>
    </xf>
    <xf numFmtId="0" fontId="12" fillId="3" borderId="397" xfId="0" applyFont="1" applyFill="1" applyBorder="1" applyAlignment="1" applyProtection="1">
      <alignment vertical="top" shrinkToFit="1"/>
      <protection hidden="1"/>
    </xf>
    <xf numFmtId="0" fontId="43" fillId="3" borderId="398" xfId="0" applyFont="1" applyFill="1" applyBorder="1" applyAlignment="1" applyProtection="1">
      <alignment vertical="top" shrinkToFit="1"/>
      <protection hidden="1"/>
    </xf>
    <xf numFmtId="0" fontId="12" fillId="3" borderId="398" xfId="0" applyFont="1" applyFill="1" applyBorder="1" applyAlignment="1" applyProtection="1">
      <alignment vertical="center" shrinkToFit="1"/>
      <protection hidden="1"/>
    </xf>
    <xf numFmtId="0" fontId="12" fillId="3" borderId="502" xfId="0" applyFont="1" applyFill="1" applyBorder="1" applyAlignment="1" applyProtection="1">
      <alignment vertical="center" shrinkToFit="1"/>
      <protection hidden="1"/>
    </xf>
    <xf numFmtId="0" fontId="12" fillId="3" borderId="199" xfId="0" applyFont="1" applyFill="1" applyBorder="1" applyAlignment="1" applyProtection="1">
      <alignment shrinkToFit="1"/>
      <protection hidden="1"/>
    </xf>
    <xf numFmtId="0" fontId="43" fillId="3" borderId="220" xfId="0" applyFont="1" applyFill="1" applyBorder="1" applyAlignment="1" applyProtection="1">
      <alignment shrinkToFit="1"/>
      <protection hidden="1"/>
    </xf>
    <xf numFmtId="0" fontId="12" fillId="3" borderId="220" xfId="0" applyFont="1" applyFill="1" applyBorder="1" applyAlignment="1" applyProtection="1">
      <alignment vertical="center" shrinkToFit="1"/>
      <protection hidden="1"/>
    </xf>
    <xf numFmtId="0" fontId="12" fillId="3" borderId="504" xfId="0" applyFont="1" applyFill="1" applyBorder="1" applyAlignment="1" applyProtection="1">
      <alignment vertical="center" shrinkToFit="1"/>
      <protection hidden="1"/>
    </xf>
    <xf numFmtId="0" fontId="12" fillId="3" borderId="219" xfId="0" applyFont="1" applyFill="1" applyBorder="1" applyAlignment="1" applyProtection="1">
      <alignment vertical="center" shrinkToFit="1"/>
      <protection hidden="1"/>
    </xf>
    <xf numFmtId="0" fontId="12" fillId="3" borderId="219" xfId="0" applyFont="1" applyFill="1" applyBorder="1" applyAlignment="1" applyProtection="1">
      <alignment vertical="top" shrinkToFit="1"/>
      <protection hidden="1"/>
    </xf>
    <xf numFmtId="0" fontId="43" fillId="3" borderId="177" xfId="0" applyFont="1" applyFill="1" applyBorder="1" applyAlignment="1" applyProtection="1">
      <alignment vertical="top" shrinkToFit="1"/>
      <protection hidden="1"/>
    </xf>
    <xf numFmtId="0" fontId="12" fillId="3" borderId="177" xfId="0" applyFont="1" applyFill="1" applyBorder="1" applyAlignment="1" applyProtection="1">
      <alignment vertical="center" shrinkToFit="1"/>
      <protection hidden="1"/>
    </xf>
    <xf numFmtId="0" fontId="12" fillId="3" borderId="199" xfId="0" applyFont="1" applyFill="1" applyBorder="1" applyAlignment="1" applyProtection="1">
      <alignment vertical="center" shrinkToFit="1"/>
      <protection hidden="1"/>
    </xf>
    <xf numFmtId="0" fontId="12" fillId="3" borderId="4" xfId="0" applyFont="1" applyFill="1" applyBorder="1" applyAlignment="1" applyProtection="1">
      <alignment vertical="center" shrinkToFit="1"/>
      <protection hidden="1"/>
    </xf>
    <xf numFmtId="0" fontId="12" fillId="3" borderId="504" xfId="0" applyFont="1" applyFill="1" applyBorder="1" applyAlignment="1" applyProtection="1">
      <alignment vertical="top" shrinkToFit="1"/>
      <protection hidden="1"/>
    </xf>
    <xf numFmtId="0" fontId="12" fillId="3" borderId="502" xfId="0" applyFont="1" applyFill="1" applyBorder="1" applyAlignment="1" applyProtection="1">
      <alignment shrinkToFit="1"/>
      <protection hidden="1"/>
    </xf>
    <xf numFmtId="0" fontId="11" fillId="0" borderId="0" xfId="0" applyFont="1" applyFill="1" applyAlignment="1" applyProtection="1">
      <alignment vertical="center"/>
      <protection hidden="1"/>
    </xf>
    <xf numFmtId="201" fontId="2" fillId="0" borderId="0" xfId="0" applyNumberFormat="1" applyFont="1" applyFill="1" applyAlignment="1" applyProtection="1">
      <alignment vertical="center"/>
      <protection hidden="1"/>
    </xf>
    <xf numFmtId="0" fontId="12" fillId="3" borderId="514" xfId="0" applyFont="1" applyFill="1" applyBorder="1" applyAlignment="1" applyProtection="1">
      <alignment vertical="center" shrinkToFit="1"/>
      <protection hidden="1"/>
    </xf>
    <xf numFmtId="0" fontId="12" fillId="3" borderId="0" xfId="0" applyFont="1" applyFill="1" applyBorder="1" applyAlignment="1" applyProtection="1">
      <alignment vertical="center" shrinkToFit="1"/>
      <protection hidden="1"/>
    </xf>
    <xf numFmtId="0" fontId="43" fillId="3" borderId="4" xfId="0" applyFont="1" applyFill="1" applyBorder="1" applyAlignment="1" applyProtection="1">
      <alignment shrinkToFit="1"/>
      <protection hidden="1"/>
    </xf>
    <xf numFmtId="0" fontId="12" fillId="11" borderId="515" xfId="0" applyFont="1" applyFill="1" applyBorder="1" applyAlignment="1" applyProtection="1">
      <alignment vertical="center"/>
      <protection hidden="1"/>
    </xf>
    <xf numFmtId="0" fontId="347" fillId="0" borderId="0" xfId="0" applyFont="1" applyFill="1" applyAlignment="1" applyProtection="1">
      <alignment horizontal="right" vertical="center" shrinkToFit="1"/>
      <protection hidden="1"/>
    </xf>
    <xf numFmtId="185" fontId="11" fillId="0" borderId="173" xfId="0" applyNumberFormat="1" applyFont="1" applyFill="1" applyBorder="1" applyAlignment="1" applyProtection="1">
      <alignment vertical="center" shrinkToFit="1"/>
      <protection hidden="1"/>
    </xf>
    <xf numFmtId="0" fontId="347" fillId="0" borderId="0" xfId="0" applyFont="1" applyFill="1" applyBorder="1" applyAlignment="1" applyProtection="1">
      <alignment horizontal="right" vertical="center"/>
      <protection hidden="1"/>
    </xf>
    <xf numFmtId="182" fontId="11" fillId="0" borderId="0" xfId="0" applyNumberFormat="1" applyFont="1" applyFill="1" applyBorder="1" applyAlignment="1" applyProtection="1">
      <alignment horizontal="center" vertical="center" shrinkToFit="1"/>
      <protection hidden="1"/>
    </xf>
    <xf numFmtId="182" fontId="11" fillId="0" borderId="21" xfId="0" applyNumberFormat="1" applyFont="1" applyFill="1" applyBorder="1" applyAlignment="1" applyProtection="1">
      <alignment horizontal="center" vertical="center" shrinkToFit="1"/>
      <protection hidden="1"/>
    </xf>
    <xf numFmtId="182" fontId="2" fillId="0" borderId="0" xfId="0" applyNumberFormat="1" applyFont="1" applyFill="1" applyAlignment="1" applyProtection="1">
      <alignment horizontal="center" vertical="center" shrinkToFit="1"/>
      <protection hidden="1"/>
    </xf>
    <xf numFmtId="0" fontId="12" fillId="29" borderId="0" xfId="0" applyFont="1" applyFill="1" applyBorder="1" applyAlignment="1" applyProtection="1">
      <protection hidden="1"/>
    </xf>
    <xf numFmtId="0" fontId="12" fillId="29" borderId="0" xfId="0" applyFont="1" applyFill="1" applyBorder="1" applyAlignment="1" applyProtection="1">
      <alignment horizontal="left" textRotation="180" shrinkToFit="1"/>
      <protection hidden="1"/>
    </xf>
    <xf numFmtId="0" fontId="24" fillId="0" borderId="5" xfId="0" applyFont="1" applyFill="1" applyBorder="1" applyAlignment="1" applyProtection="1">
      <alignment vertical="center" shrinkToFit="1"/>
      <protection hidden="1"/>
    </xf>
    <xf numFmtId="0" fontId="24" fillId="0" borderId="0" xfId="0" applyFont="1" applyFill="1" applyAlignment="1" applyProtection="1">
      <alignment vertical="center" shrinkToFit="1"/>
      <protection hidden="1"/>
    </xf>
    <xf numFmtId="0" fontId="11" fillId="0" borderId="0" xfId="0" applyFont="1" applyFill="1" applyAlignment="1" applyProtection="1">
      <alignment vertical="center" shrinkToFit="1"/>
      <protection hidden="1"/>
    </xf>
    <xf numFmtId="0" fontId="11" fillId="0" borderId="0" xfId="0" applyFont="1" applyFill="1" applyAlignment="1" applyProtection="1">
      <alignment horizontal="center" shrinkToFit="1"/>
      <protection hidden="1"/>
    </xf>
    <xf numFmtId="0" fontId="15" fillId="0" borderId="0" xfId="0" applyFont="1" applyFill="1" applyBorder="1" applyAlignment="1" applyProtection="1">
      <alignment horizontal="center"/>
      <protection hidden="1"/>
    </xf>
    <xf numFmtId="0" fontId="397" fillId="0" borderId="0" xfId="0" applyFont="1" applyFill="1" applyBorder="1" applyAlignment="1" applyProtection="1">
      <alignment horizontal="right" vertical="center"/>
      <protection hidden="1"/>
    </xf>
    <xf numFmtId="0" fontId="44" fillId="0" borderId="0" xfId="0" applyFont="1" applyFill="1" applyBorder="1" applyAlignment="1" applyProtection="1">
      <alignment vertical="center"/>
      <protection hidden="1"/>
    </xf>
    <xf numFmtId="0" fontId="24" fillId="0" borderId="0" xfId="0" applyFont="1" applyFill="1" applyAlignment="1" applyProtection="1">
      <alignment horizontal="center"/>
      <protection hidden="1"/>
    </xf>
    <xf numFmtId="0" fontId="24" fillId="11" borderId="173" xfId="0" applyFont="1" applyFill="1" applyBorder="1" applyAlignment="1" applyProtection="1">
      <alignment horizontal="center" vertical="center" textRotation="180" shrinkToFit="1"/>
      <protection hidden="1"/>
    </xf>
    <xf numFmtId="0" fontId="24" fillId="29" borderId="0" xfId="0" applyFont="1" applyFill="1" applyBorder="1" applyAlignment="1" applyProtection="1">
      <alignment textRotation="180" shrinkToFit="1"/>
      <protection hidden="1"/>
    </xf>
    <xf numFmtId="0" fontId="35" fillId="29" borderId="0" xfId="0" applyFont="1" applyFill="1" applyBorder="1" applyAlignment="1" applyProtection="1">
      <alignment horizontal="center" vertical="center"/>
      <protection hidden="1"/>
    </xf>
    <xf numFmtId="0" fontId="44" fillId="0" borderId="17" xfId="0" applyFont="1" applyFill="1" applyBorder="1" applyAlignment="1" applyProtection="1">
      <alignment horizontal="center" vertical="center"/>
      <protection hidden="1"/>
    </xf>
    <xf numFmtId="0" fontId="347" fillId="0" borderId="0" xfId="0" applyFont="1" applyFill="1" applyAlignment="1" applyProtection="1">
      <alignment horizontal="center" vertical="center" shrinkToFit="1"/>
      <protection hidden="1"/>
    </xf>
    <xf numFmtId="0" fontId="2" fillId="29" borderId="133" xfId="0" applyFont="1" applyFill="1" applyBorder="1" applyAlignment="1" applyProtection="1">
      <alignment vertical="center"/>
      <protection hidden="1"/>
    </xf>
    <xf numFmtId="0" fontId="2" fillId="29" borderId="442" xfId="0" applyFont="1" applyFill="1" applyBorder="1" applyAlignment="1" applyProtection="1">
      <alignment vertical="center"/>
      <protection hidden="1"/>
    </xf>
    <xf numFmtId="0" fontId="12" fillId="74" borderId="21" xfId="0" applyFont="1" applyFill="1" applyBorder="1" applyAlignment="1" applyProtection="1">
      <alignment horizontal="center" vertical="center"/>
      <protection hidden="1"/>
    </xf>
    <xf numFmtId="0" fontId="220" fillId="29" borderId="0" xfId="0" applyFont="1" applyFill="1" applyBorder="1" applyAlignment="1" applyProtection="1">
      <alignment horizontal="center" vertical="center"/>
      <protection hidden="1"/>
    </xf>
    <xf numFmtId="0" fontId="2" fillId="29" borderId="490" xfId="0" applyFont="1" applyFill="1" applyBorder="1" applyAlignment="1" applyProtection="1">
      <alignment horizontal="center" vertical="center"/>
      <protection hidden="1"/>
    </xf>
    <xf numFmtId="0" fontId="2" fillId="29" borderId="151" xfId="0" applyFont="1" applyFill="1" applyBorder="1" applyAlignment="1" applyProtection="1">
      <alignment horizontal="center" vertical="center"/>
      <protection hidden="1"/>
    </xf>
    <xf numFmtId="0" fontId="35" fillId="29" borderId="492" xfId="0" applyFont="1" applyFill="1" applyBorder="1" applyAlignment="1" applyProtection="1">
      <alignment horizontal="center" vertical="center"/>
      <protection hidden="1"/>
    </xf>
    <xf numFmtId="0" fontId="154" fillId="18" borderId="0" xfId="3" applyFill="1" applyProtection="1">
      <protection hidden="1"/>
    </xf>
    <xf numFmtId="0" fontId="350" fillId="18" borderId="0" xfId="3" applyFont="1" applyFill="1" applyProtection="1">
      <protection hidden="1"/>
    </xf>
    <xf numFmtId="0" fontId="158" fillId="18" borderId="0" xfId="3" quotePrefix="1" applyFont="1" applyFill="1" applyAlignment="1" applyProtection="1">
      <alignment vertical="center"/>
      <protection hidden="1"/>
    </xf>
    <xf numFmtId="176" fontId="153" fillId="18" borderId="0" xfId="3" applyNumberFormat="1" applyFont="1" applyFill="1" applyBorder="1" applyAlignment="1" applyProtection="1">
      <alignment horizontal="left" vertical="center" shrinkToFit="1"/>
      <protection hidden="1"/>
    </xf>
    <xf numFmtId="207" fontId="154" fillId="18" borderId="0" xfId="3" applyNumberFormat="1" applyFill="1" applyAlignment="1" applyProtection="1">
      <alignment horizontal="right" vertical="center" shrinkToFit="1"/>
      <protection hidden="1"/>
    </xf>
    <xf numFmtId="0" fontId="435" fillId="18" borderId="0" xfId="3" applyNumberFormat="1" applyFont="1" applyFill="1" applyBorder="1" applyAlignment="1" applyProtection="1">
      <alignment vertical="center" shrinkToFit="1"/>
      <protection hidden="1"/>
    </xf>
    <xf numFmtId="49" fontId="153" fillId="18" borderId="0" xfId="3" applyNumberFormat="1" applyFont="1" applyFill="1" applyBorder="1" applyAlignment="1" applyProtection="1">
      <alignment horizontal="left"/>
      <protection hidden="1"/>
    </xf>
    <xf numFmtId="49" fontId="153" fillId="18" borderId="121" xfId="3" applyNumberFormat="1" applyFont="1" applyFill="1" applyBorder="1" applyAlignment="1" applyProtection="1">
      <alignment horizontal="left"/>
      <protection hidden="1"/>
    </xf>
    <xf numFmtId="49" fontId="153" fillId="18" borderId="120" xfId="3" applyNumberFormat="1" applyFont="1" applyFill="1" applyBorder="1" applyAlignment="1" applyProtection="1">
      <alignment horizontal="left"/>
      <protection hidden="1"/>
    </xf>
    <xf numFmtId="49" fontId="436" fillId="18" borderId="120" xfId="3" applyNumberFormat="1" applyFont="1" applyFill="1" applyBorder="1" applyAlignment="1" applyProtection="1">
      <alignment horizontal="left" vertical="top"/>
      <protection hidden="1"/>
    </xf>
    <xf numFmtId="49" fontId="153" fillId="18" borderId="119" xfId="3" applyNumberFormat="1" applyFont="1" applyFill="1" applyBorder="1" applyAlignment="1" applyProtection="1">
      <alignment horizontal="left"/>
      <protection hidden="1"/>
    </xf>
    <xf numFmtId="49" fontId="153" fillId="18" borderId="131" xfId="3" applyNumberFormat="1" applyFont="1" applyFill="1" applyBorder="1" applyAlignment="1" applyProtection="1">
      <alignment horizontal="left"/>
      <protection hidden="1"/>
    </xf>
    <xf numFmtId="49" fontId="153" fillId="18" borderId="0" xfId="3" applyNumberFormat="1" applyFont="1" applyFill="1" applyBorder="1" applyAlignment="1" applyProtection="1">
      <alignment horizontal="left" vertical="center" shrinkToFit="1"/>
      <protection hidden="1"/>
    </xf>
    <xf numFmtId="182" fontId="437" fillId="18" borderId="0" xfId="3" applyNumberFormat="1" applyFont="1" applyFill="1" applyBorder="1" applyAlignment="1" applyProtection="1">
      <alignment horizontal="right" vertical="center" shrinkToFit="1"/>
      <protection hidden="1"/>
    </xf>
    <xf numFmtId="49" fontId="436" fillId="18" borderId="0" xfId="3" applyNumberFormat="1" applyFont="1" applyFill="1" applyBorder="1" applyAlignment="1" applyProtection="1">
      <alignment horizontal="left" vertical="center"/>
      <protection hidden="1"/>
    </xf>
    <xf numFmtId="49" fontId="153" fillId="18" borderId="130" xfId="3" applyNumberFormat="1" applyFont="1" applyFill="1" applyBorder="1" applyAlignment="1" applyProtection="1">
      <alignment horizontal="left"/>
      <protection hidden="1"/>
    </xf>
    <xf numFmtId="49" fontId="153" fillId="18" borderId="130" xfId="3" applyNumberFormat="1" applyFont="1" applyFill="1" applyBorder="1" applyAlignment="1" applyProtection="1">
      <alignment horizontal="left" vertical="center" shrinkToFit="1"/>
      <protection hidden="1"/>
    </xf>
    <xf numFmtId="182" fontId="437" fillId="18" borderId="130" xfId="3" applyNumberFormat="1" applyFont="1" applyFill="1" applyBorder="1" applyAlignment="1" applyProtection="1">
      <alignment horizontal="right" vertical="center" shrinkToFit="1"/>
      <protection hidden="1"/>
    </xf>
    <xf numFmtId="49" fontId="436" fillId="18" borderId="130" xfId="3" applyNumberFormat="1" applyFont="1" applyFill="1" applyBorder="1" applyAlignment="1" applyProtection="1">
      <alignment horizontal="left" vertical="top"/>
      <protection hidden="1"/>
    </xf>
    <xf numFmtId="49" fontId="436" fillId="18" borderId="129" xfId="3" applyNumberFormat="1" applyFont="1" applyFill="1" applyBorder="1" applyAlignment="1" applyProtection="1">
      <alignment horizontal="left"/>
      <protection hidden="1"/>
    </xf>
    <xf numFmtId="49" fontId="153" fillId="18" borderId="126" xfId="3" applyNumberFormat="1" applyFont="1" applyFill="1" applyBorder="1" applyAlignment="1" applyProtection="1">
      <alignment horizontal="left"/>
      <protection hidden="1"/>
    </xf>
    <xf numFmtId="49" fontId="436" fillId="30" borderId="125" xfId="3" applyNumberFormat="1" applyFont="1" applyFill="1" applyBorder="1" applyAlignment="1" applyProtection="1">
      <alignment horizontal="left" vertical="center" shrinkToFit="1"/>
      <protection hidden="1"/>
    </xf>
    <xf numFmtId="182" fontId="349" fillId="76" borderId="125" xfId="3" applyNumberFormat="1" applyFont="1" applyFill="1" applyBorder="1" applyAlignment="1" applyProtection="1">
      <alignment horizontal="right" vertical="center" shrinkToFit="1"/>
      <protection hidden="1"/>
    </xf>
    <xf numFmtId="49" fontId="153" fillId="30" borderId="125" xfId="3" applyNumberFormat="1" applyFont="1" applyFill="1" applyBorder="1" applyAlignment="1" applyProtection="1">
      <alignment horizontal="center" vertical="center" shrinkToFit="1"/>
      <protection hidden="1"/>
    </xf>
    <xf numFmtId="49" fontId="153" fillId="18" borderId="125" xfId="3" applyNumberFormat="1" applyFont="1" applyFill="1" applyBorder="1" applyAlignment="1" applyProtection="1">
      <alignment horizontal="left"/>
      <protection hidden="1"/>
    </xf>
    <xf numFmtId="49" fontId="10" fillId="18" borderId="173" xfId="3" applyNumberFormat="1" applyFont="1" applyFill="1" applyBorder="1" applyAlignment="1" applyProtection="1">
      <alignment horizontal="left" vertical="center" shrinkToFit="1"/>
      <protection hidden="1"/>
    </xf>
    <xf numFmtId="182" fontId="349" fillId="77" borderId="173" xfId="3" applyNumberFormat="1" applyFont="1" applyFill="1" applyBorder="1" applyAlignment="1" applyProtection="1">
      <alignment horizontal="right" vertical="center" shrinkToFit="1"/>
      <protection hidden="1"/>
    </xf>
    <xf numFmtId="49" fontId="10" fillId="18" borderId="173" xfId="3" applyNumberFormat="1" applyFont="1" applyFill="1" applyBorder="1" applyAlignment="1" applyProtection="1">
      <alignment horizontal="center" vertical="center" shrinkToFit="1"/>
      <protection hidden="1"/>
    </xf>
    <xf numFmtId="49" fontId="436" fillId="18" borderId="124" xfId="3" applyNumberFormat="1" applyFont="1" applyFill="1" applyBorder="1" applyAlignment="1" applyProtection="1">
      <alignment horizontal="left"/>
      <protection hidden="1"/>
    </xf>
    <xf numFmtId="49" fontId="153" fillId="30" borderId="125" xfId="3" applyNumberFormat="1" applyFont="1" applyFill="1" applyBorder="1" applyAlignment="1" applyProtection="1">
      <alignment horizontal="left" vertical="center" shrinkToFit="1"/>
      <protection hidden="1"/>
    </xf>
    <xf numFmtId="182" fontId="349" fillId="78" borderId="125" xfId="3" applyNumberFormat="1" applyFont="1" applyFill="1" applyBorder="1" applyAlignment="1" applyProtection="1">
      <alignment horizontal="right" vertical="center" shrinkToFit="1"/>
      <protection hidden="1"/>
    </xf>
    <xf numFmtId="182" fontId="349" fillId="79" borderId="173" xfId="3" applyNumberFormat="1" applyFont="1" applyFill="1" applyBorder="1" applyAlignment="1" applyProtection="1">
      <alignment horizontal="right" vertical="center" shrinkToFit="1"/>
      <protection locked="0"/>
    </xf>
    <xf numFmtId="185" fontId="349" fillId="78" borderId="125" xfId="3" applyNumberFormat="1" applyFont="1" applyFill="1" applyBorder="1" applyAlignment="1" applyProtection="1">
      <alignment horizontal="right" vertical="center" shrinkToFit="1"/>
      <protection hidden="1"/>
    </xf>
    <xf numFmtId="185" fontId="349" fillId="79" borderId="173" xfId="3" applyNumberFormat="1" applyFont="1" applyFill="1" applyBorder="1" applyAlignment="1" applyProtection="1">
      <alignment horizontal="right" vertical="center" shrinkToFit="1"/>
      <protection locked="0"/>
    </xf>
    <xf numFmtId="0" fontId="15" fillId="18" borderId="0" xfId="3" applyFont="1" applyFill="1" applyProtection="1">
      <protection hidden="1"/>
    </xf>
    <xf numFmtId="0" fontId="439" fillId="18" borderId="0" xfId="3" applyNumberFormat="1" applyFont="1" applyFill="1" applyBorder="1" applyAlignment="1" applyProtection="1">
      <alignment horizontal="left" shrinkToFit="1"/>
      <protection hidden="1"/>
    </xf>
    <xf numFmtId="176" fontId="154" fillId="18" borderId="173" xfId="3" applyNumberFormat="1" applyFill="1" applyBorder="1" applyProtection="1">
      <protection hidden="1"/>
    </xf>
    <xf numFmtId="49" fontId="153" fillId="18" borderId="0" xfId="3" applyNumberFormat="1" applyFont="1" applyFill="1" applyBorder="1" applyAlignment="1" applyProtection="1">
      <alignment horizontal="center" vertical="center" shrinkToFit="1"/>
      <protection hidden="1"/>
    </xf>
    <xf numFmtId="49" fontId="153" fillId="18" borderId="117" xfId="3" applyNumberFormat="1" applyFont="1" applyFill="1" applyBorder="1" applyAlignment="1" applyProtection="1">
      <alignment horizontal="left"/>
      <protection hidden="1"/>
    </xf>
    <xf numFmtId="49" fontId="153" fillId="18" borderId="219" xfId="3" applyNumberFormat="1" applyFont="1" applyFill="1" applyBorder="1" applyAlignment="1" applyProtection="1">
      <alignment horizontal="left" vertical="center" shrinkToFit="1"/>
      <protection hidden="1"/>
    </xf>
    <xf numFmtId="182" fontId="437" fillId="18" borderId="219" xfId="3" applyNumberFormat="1" applyFont="1" applyFill="1" applyBorder="1" applyAlignment="1" applyProtection="1">
      <alignment horizontal="right" vertical="center" shrinkToFit="1"/>
      <protection hidden="1"/>
    </xf>
    <xf numFmtId="49" fontId="440" fillId="18" borderId="219" xfId="3" applyNumberFormat="1" applyFont="1" applyFill="1" applyBorder="1" applyAlignment="1" applyProtection="1">
      <alignment horizontal="left" vertical="center"/>
      <protection hidden="1"/>
    </xf>
    <xf numFmtId="0" fontId="154" fillId="18" borderId="0" xfId="3" applyFill="1" applyBorder="1" applyProtection="1">
      <protection hidden="1"/>
    </xf>
    <xf numFmtId="49" fontId="153" fillId="18" borderId="125" xfId="3" applyNumberFormat="1" applyFont="1" applyFill="1" applyBorder="1" applyAlignment="1" applyProtection="1">
      <alignment horizontal="left" vertical="center" shrinkToFit="1"/>
      <protection hidden="1"/>
    </xf>
    <xf numFmtId="182" fontId="437" fillId="18" borderId="125" xfId="3" applyNumberFormat="1" applyFont="1" applyFill="1" applyBorder="1" applyAlignment="1" applyProtection="1">
      <alignment horizontal="right" vertical="center" shrinkToFit="1"/>
      <protection hidden="1"/>
    </xf>
    <xf numFmtId="49" fontId="153" fillId="18" borderId="125" xfId="3" applyNumberFormat="1" applyFont="1" applyFill="1" applyBorder="1" applyAlignment="1" applyProtection="1">
      <alignment horizontal="center" vertical="center" shrinkToFit="1"/>
      <protection hidden="1"/>
    </xf>
    <xf numFmtId="176" fontId="441" fillId="18" borderId="125" xfId="3" applyNumberFormat="1" applyFont="1" applyFill="1" applyBorder="1" applyAlignment="1" applyProtection="1">
      <alignment horizontal="left" vertical="center"/>
      <protection hidden="1"/>
    </xf>
    <xf numFmtId="0" fontId="8" fillId="18" borderId="0" xfId="3" applyNumberFormat="1" applyFont="1" applyFill="1" applyBorder="1" applyAlignment="1" applyProtection="1">
      <alignment horizontal="left" shrinkToFit="1"/>
      <protection hidden="1"/>
    </xf>
    <xf numFmtId="49" fontId="153" fillId="18" borderId="117" xfId="3" applyNumberFormat="1" applyFont="1" applyFill="1" applyBorder="1" applyAlignment="1" applyProtection="1">
      <alignment horizontal="left" vertical="center" shrinkToFit="1"/>
      <protection hidden="1"/>
    </xf>
    <xf numFmtId="182" fontId="437" fillId="18" borderId="117" xfId="3" applyNumberFormat="1" applyFont="1" applyFill="1" applyBorder="1" applyAlignment="1" applyProtection="1">
      <alignment horizontal="right" vertical="center" shrinkToFit="1"/>
      <protection hidden="1"/>
    </xf>
    <xf numFmtId="49" fontId="153" fillId="18" borderId="117" xfId="3" applyNumberFormat="1" applyFont="1" applyFill="1" applyBorder="1" applyAlignment="1" applyProtection="1">
      <alignment horizontal="center" vertical="center" shrinkToFit="1"/>
      <protection hidden="1"/>
    </xf>
    <xf numFmtId="49" fontId="153" fillId="18" borderId="158" xfId="3" applyNumberFormat="1" applyFont="1" applyFill="1" applyBorder="1" applyAlignment="1" applyProtection="1">
      <alignment horizontal="left" vertical="center" shrinkToFit="1"/>
      <protection hidden="1"/>
    </xf>
    <xf numFmtId="182" fontId="437" fillId="18" borderId="158" xfId="3" applyNumberFormat="1" applyFont="1" applyFill="1" applyBorder="1" applyAlignment="1" applyProtection="1">
      <alignment horizontal="right" vertical="center" shrinkToFit="1"/>
      <protection hidden="1"/>
    </xf>
    <xf numFmtId="0" fontId="440" fillId="18" borderId="158" xfId="3" applyNumberFormat="1" applyFont="1" applyFill="1" applyBorder="1" applyAlignment="1" applyProtection="1">
      <alignment horizontal="left" vertical="center"/>
      <protection hidden="1"/>
    </xf>
    <xf numFmtId="185" fontId="349" fillId="76" borderId="125" xfId="3" applyNumberFormat="1" applyFont="1" applyFill="1" applyBorder="1" applyAlignment="1" applyProtection="1">
      <alignment horizontal="right" vertical="center" shrinkToFit="1"/>
      <protection hidden="1"/>
    </xf>
    <xf numFmtId="49" fontId="153" fillId="18" borderId="173" xfId="3" applyNumberFormat="1" applyFont="1" applyFill="1" applyBorder="1" applyAlignment="1" applyProtection="1">
      <alignment horizontal="left" vertical="center" shrinkToFit="1"/>
      <protection hidden="1"/>
    </xf>
    <xf numFmtId="185" fontId="349" fillId="77" borderId="173" xfId="3" applyNumberFormat="1" applyFont="1" applyFill="1" applyBorder="1" applyAlignment="1" applyProtection="1">
      <alignment horizontal="right" vertical="center" shrinkToFit="1"/>
      <protection hidden="1"/>
    </xf>
    <xf numFmtId="0" fontId="153" fillId="18" borderId="125" xfId="3" applyNumberFormat="1" applyFont="1" applyFill="1" applyBorder="1" applyAlignment="1" applyProtection="1">
      <alignment horizontal="left" vertical="center" shrinkToFit="1"/>
      <protection hidden="1"/>
    </xf>
    <xf numFmtId="185" fontId="349" fillId="80" borderId="125" xfId="3" applyNumberFormat="1" applyFont="1" applyFill="1" applyBorder="1" applyAlignment="1" applyProtection="1">
      <alignment horizontal="right" vertical="center" shrinkToFit="1"/>
      <protection hidden="1"/>
    </xf>
    <xf numFmtId="181" fontId="349" fillId="81" borderId="173" xfId="3" applyNumberFormat="1" applyFont="1" applyFill="1" applyBorder="1" applyAlignment="1" applyProtection="1">
      <alignment horizontal="right" vertical="center" shrinkToFit="1"/>
      <protection hidden="1"/>
    </xf>
    <xf numFmtId="49" fontId="153" fillId="18" borderId="124" xfId="3" applyNumberFormat="1" applyFont="1" applyFill="1" applyBorder="1" applyAlignment="1" applyProtection="1">
      <alignment horizontal="left"/>
      <protection hidden="1"/>
    </xf>
    <xf numFmtId="208" fontId="154" fillId="18" borderId="0" xfId="3" applyNumberFormat="1" applyFill="1" applyAlignment="1" applyProtection="1">
      <alignment horizontal="center" vertical="top"/>
      <protection hidden="1"/>
    </xf>
    <xf numFmtId="185" fontId="154" fillId="18" borderId="0" xfId="3" applyNumberFormat="1" applyFill="1" applyAlignment="1" applyProtection="1">
      <alignment vertical="top"/>
      <protection hidden="1"/>
    </xf>
    <xf numFmtId="185" fontId="154" fillId="18" borderId="0" xfId="3" applyNumberFormat="1" applyFill="1" applyAlignment="1" applyProtection="1">
      <alignment horizontal="center" vertical="top"/>
      <protection hidden="1"/>
    </xf>
    <xf numFmtId="49" fontId="153" fillId="18" borderId="0" xfId="3" applyNumberFormat="1" applyFont="1" applyFill="1" applyBorder="1" applyAlignment="1" applyProtection="1">
      <alignment horizontal="right" vertical="center"/>
      <protection hidden="1"/>
    </xf>
    <xf numFmtId="49" fontId="436" fillId="18" borderId="130" xfId="3" applyNumberFormat="1" applyFont="1" applyFill="1" applyBorder="1" applyAlignment="1" applyProtection="1">
      <alignment horizontal="left" vertical="center" shrinkToFit="1"/>
      <protection hidden="1"/>
    </xf>
    <xf numFmtId="185" fontId="437" fillId="18" borderId="130" xfId="3" applyNumberFormat="1" applyFont="1" applyFill="1" applyBorder="1" applyAlignment="1" applyProtection="1">
      <alignment horizontal="right" vertical="center" shrinkToFit="1"/>
      <protection hidden="1"/>
    </xf>
    <xf numFmtId="49" fontId="153" fillId="18" borderId="130" xfId="3" applyNumberFormat="1" applyFont="1" applyFill="1" applyBorder="1" applyAlignment="1" applyProtection="1">
      <alignment horizontal="center" vertical="center" shrinkToFit="1"/>
      <protection hidden="1"/>
    </xf>
    <xf numFmtId="49" fontId="436" fillId="18" borderId="125" xfId="3" applyNumberFormat="1" applyFont="1" applyFill="1" applyBorder="1" applyAlignment="1" applyProtection="1">
      <alignment horizontal="left" vertical="center" shrinkToFit="1"/>
      <protection hidden="1"/>
    </xf>
    <xf numFmtId="185" fontId="437" fillId="18" borderId="125" xfId="3" applyNumberFormat="1" applyFont="1" applyFill="1" applyBorder="1" applyAlignment="1" applyProtection="1">
      <alignment horizontal="right" vertical="center" shrinkToFit="1"/>
      <protection hidden="1"/>
    </xf>
    <xf numFmtId="190" fontId="153" fillId="18" borderId="0" xfId="3" applyNumberFormat="1" applyFont="1" applyFill="1" applyBorder="1" applyAlignment="1" applyProtection="1">
      <alignment horizontal="left" vertical="center" shrinkToFit="1"/>
      <protection hidden="1"/>
    </xf>
    <xf numFmtId="0" fontId="3" fillId="18" borderId="125" xfId="3" applyNumberFormat="1" applyFont="1" applyFill="1" applyBorder="1" applyAlignment="1" applyProtection="1">
      <alignment horizontal="left" vertical="center"/>
      <protection hidden="1"/>
    </xf>
    <xf numFmtId="0" fontId="442" fillId="18" borderId="0" xfId="3" applyFont="1" applyFill="1" applyProtection="1">
      <protection hidden="1"/>
    </xf>
    <xf numFmtId="208" fontId="442" fillId="18" borderId="0" xfId="3" applyNumberFormat="1" applyFont="1" applyFill="1" applyAlignment="1" applyProtection="1">
      <alignment horizontal="center" vertical="top"/>
      <protection hidden="1"/>
    </xf>
    <xf numFmtId="185" fontId="442" fillId="18" borderId="0" xfId="3" applyNumberFormat="1" applyFont="1" applyFill="1" applyAlignment="1" applyProtection="1">
      <alignment vertical="top"/>
      <protection hidden="1"/>
    </xf>
    <xf numFmtId="185" fontId="442" fillId="18" borderId="0" xfId="3" applyNumberFormat="1" applyFont="1" applyFill="1" applyAlignment="1" applyProtection="1">
      <alignment horizontal="center" vertical="top"/>
      <protection hidden="1"/>
    </xf>
    <xf numFmtId="49" fontId="436" fillId="18" borderId="0" xfId="3" applyNumberFormat="1" applyFont="1" applyFill="1" applyBorder="1" applyAlignment="1" applyProtection="1">
      <alignment horizontal="left" vertical="center" shrinkToFit="1"/>
      <protection hidden="1"/>
    </xf>
    <xf numFmtId="185" fontId="443" fillId="18" borderId="0" xfId="3" applyNumberFormat="1" applyFont="1" applyFill="1" applyBorder="1" applyAlignment="1" applyProtection="1">
      <alignment horizontal="left" vertical="center"/>
      <protection hidden="1"/>
    </xf>
    <xf numFmtId="185" fontId="437" fillId="18" borderId="0" xfId="3" applyNumberFormat="1" applyFont="1" applyFill="1" applyBorder="1" applyAlignment="1" applyProtection="1">
      <alignment horizontal="right" vertical="center" shrinkToFit="1"/>
      <protection hidden="1"/>
    </xf>
    <xf numFmtId="0" fontId="3" fillId="18" borderId="0" xfId="3" applyNumberFormat="1" applyFont="1" applyFill="1" applyBorder="1" applyAlignment="1" applyProtection="1">
      <alignment horizontal="left"/>
      <protection hidden="1"/>
    </xf>
    <xf numFmtId="0" fontId="442" fillId="18" borderId="0" xfId="3" applyFont="1" applyFill="1" applyAlignment="1" applyProtection="1">
      <alignment shrinkToFit="1"/>
      <protection hidden="1"/>
    </xf>
    <xf numFmtId="208" fontId="442" fillId="18" borderId="0" xfId="3" applyNumberFormat="1" applyFont="1" applyFill="1" applyAlignment="1" applyProtection="1">
      <alignment horizontal="center" vertical="top" shrinkToFit="1"/>
      <protection hidden="1"/>
    </xf>
    <xf numFmtId="185" fontId="442" fillId="18" borderId="0" xfId="3" applyNumberFormat="1" applyFont="1" applyFill="1" applyAlignment="1" applyProtection="1">
      <alignment vertical="top" shrinkToFit="1"/>
      <protection hidden="1"/>
    </xf>
    <xf numFmtId="185" fontId="442" fillId="18" borderId="0" xfId="3" applyNumberFormat="1" applyFont="1" applyFill="1" applyAlignment="1" applyProtection="1">
      <alignment horizontal="center" vertical="top" shrinkToFit="1"/>
      <protection hidden="1"/>
    </xf>
    <xf numFmtId="185" fontId="437" fillId="82" borderId="125" xfId="3" applyNumberFormat="1" applyFont="1" applyFill="1" applyBorder="1" applyAlignment="1" applyProtection="1">
      <alignment horizontal="right" vertical="center" shrinkToFit="1"/>
      <protection hidden="1"/>
    </xf>
    <xf numFmtId="49" fontId="436" fillId="18" borderId="173" xfId="3" applyNumberFormat="1" applyFont="1" applyFill="1" applyBorder="1" applyAlignment="1" applyProtection="1">
      <alignment horizontal="left" vertical="center" shrinkToFit="1"/>
      <protection hidden="1"/>
    </xf>
    <xf numFmtId="185" fontId="349" fillId="83" borderId="173" xfId="3" applyNumberFormat="1" applyFont="1" applyFill="1" applyBorder="1" applyAlignment="1" applyProtection="1">
      <alignment horizontal="right" vertical="center" shrinkToFit="1"/>
      <protection hidden="1"/>
    </xf>
    <xf numFmtId="49" fontId="10" fillId="3" borderId="173" xfId="3" applyNumberFormat="1" applyFont="1" applyFill="1" applyBorder="1" applyAlignment="1" applyProtection="1">
      <alignment horizontal="center" vertical="center" shrinkToFit="1"/>
      <protection hidden="1"/>
    </xf>
    <xf numFmtId="0" fontId="442" fillId="18" borderId="0" xfId="3" applyFont="1" applyFill="1" applyAlignment="1" applyProtection="1">
      <alignment horizontal="center" shrinkToFit="1"/>
      <protection hidden="1"/>
    </xf>
    <xf numFmtId="0" fontId="153" fillId="30" borderId="125" xfId="3" applyNumberFormat="1" applyFont="1" applyFill="1" applyBorder="1" applyAlignment="1" applyProtection="1">
      <alignment horizontal="left" vertical="center" shrinkToFit="1"/>
      <protection hidden="1"/>
    </xf>
    <xf numFmtId="184" fontId="437" fillId="82" borderId="125" xfId="3" applyNumberFormat="1" applyFont="1" applyFill="1" applyBorder="1" applyAlignment="1" applyProtection="1">
      <alignment horizontal="right" vertical="center" shrinkToFit="1"/>
      <protection hidden="1"/>
    </xf>
    <xf numFmtId="0" fontId="69" fillId="18" borderId="173" xfId="3" applyNumberFormat="1" applyFont="1" applyFill="1" applyBorder="1" applyAlignment="1" applyProtection="1">
      <alignment horizontal="left" vertical="center" shrinkToFit="1"/>
      <protection hidden="1"/>
    </xf>
    <xf numFmtId="184" fontId="349" fillId="83" borderId="173" xfId="3" applyNumberFormat="1" applyFont="1" applyFill="1" applyBorder="1" applyAlignment="1" applyProtection="1">
      <alignment horizontal="right" vertical="center" shrinkToFit="1"/>
      <protection hidden="1"/>
    </xf>
    <xf numFmtId="49" fontId="153" fillId="18" borderId="125" xfId="3" applyNumberFormat="1" applyFont="1" applyFill="1" applyBorder="1" applyAlignment="1" applyProtection="1">
      <alignment horizontal="left" vertical="center"/>
      <protection hidden="1"/>
    </xf>
    <xf numFmtId="0" fontId="153" fillId="18" borderId="0" xfId="3" applyNumberFormat="1" applyFont="1" applyFill="1" applyBorder="1" applyAlignment="1" applyProtection="1">
      <alignment horizontal="left"/>
      <protection hidden="1"/>
    </xf>
    <xf numFmtId="209" fontId="10" fillId="84" borderId="173" xfId="3" applyNumberFormat="1" applyFont="1" applyFill="1" applyBorder="1" applyAlignment="1" applyProtection="1">
      <alignment horizontal="center"/>
      <protection locked="0"/>
    </xf>
    <xf numFmtId="176" fontId="10" fillId="3" borderId="173" xfId="3" applyNumberFormat="1" applyFont="1" applyFill="1" applyBorder="1" applyAlignment="1" applyProtection="1">
      <alignment horizontal="center"/>
      <protection hidden="1"/>
    </xf>
    <xf numFmtId="184" fontId="349" fillId="83" borderId="173" xfId="3" applyNumberFormat="1" applyFont="1" applyFill="1" applyBorder="1" applyAlignment="1" applyProtection="1">
      <alignment horizontal="right" vertical="center" shrinkToFit="1"/>
      <protection locked="0"/>
    </xf>
    <xf numFmtId="208" fontId="442" fillId="18" borderId="0" xfId="3" applyNumberFormat="1" applyFont="1" applyFill="1" applyAlignment="1" applyProtection="1">
      <alignment vertical="top" shrinkToFit="1"/>
      <protection hidden="1"/>
    </xf>
    <xf numFmtId="185" fontId="349" fillId="85" borderId="173" xfId="3" applyNumberFormat="1" applyFont="1" applyFill="1" applyBorder="1" applyAlignment="1" applyProtection="1">
      <alignment horizontal="right" vertical="center" shrinkToFit="1"/>
      <protection locked="0"/>
    </xf>
    <xf numFmtId="209" fontId="437" fillId="30" borderId="0" xfId="3" applyNumberFormat="1" applyFont="1" applyFill="1" applyBorder="1" applyAlignment="1" applyProtection="1">
      <alignment horizontal="center"/>
      <protection hidden="1"/>
    </xf>
    <xf numFmtId="176" fontId="437" fillId="30" borderId="0" xfId="3" applyNumberFormat="1" applyFont="1" applyFill="1" applyBorder="1" applyAlignment="1" applyProtection="1">
      <alignment horizontal="right"/>
      <protection hidden="1"/>
    </xf>
    <xf numFmtId="208" fontId="10" fillId="84" borderId="173" xfId="3" applyNumberFormat="1" applyFont="1" applyFill="1" applyBorder="1" applyAlignment="1" applyProtection="1">
      <alignment horizontal="center"/>
      <protection locked="0"/>
    </xf>
    <xf numFmtId="181" fontId="349" fillId="83" borderId="173" xfId="3" applyNumberFormat="1" applyFont="1" applyFill="1" applyBorder="1" applyAlignment="1" applyProtection="1">
      <alignment horizontal="right" vertical="center" shrinkToFit="1"/>
      <protection hidden="1"/>
    </xf>
    <xf numFmtId="209" fontId="25" fillId="30" borderId="0" xfId="3" applyNumberFormat="1" applyFont="1" applyFill="1" applyBorder="1" applyAlignment="1" applyProtection="1">
      <alignment horizontal="left" vertical="center"/>
      <protection hidden="1"/>
    </xf>
    <xf numFmtId="176" fontId="437" fillId="30" borderId="173" xfId="3" applyNumberFormat="1" applyFont="1" applyFill="1" applyBorder="1" applyAlignment="1" applyProtection="1">
      <alignment horizontal="center" vertical="center"/>
      <protection hidden="1"/>
    </xf>
    <xf numFmtId="49" fontId="153" fillId="18" borderId="118" xfId="3" applyNumberFormat="1" applyFont="1" applyFill="1" applyBorder="1" applyAlignment="1" applyProtection="1">
      <alignment horizontal="left"/>
      <protection hidden="1"/>
    </xf>
    <xf numFmtId="183" fontId="349" fillId="82" borderId="173" xfId="3" applyNumberFormat="1" applyFont="1" applyFill="1" applyBorder="1" applyAlignment="1" applyProtection="1">
      <alignment horizontal="right" vertical="center" shrinkToFit="1"/>
      <protection hidden="1"/>
    </xf>
    <xf numFmtId="0" fontId="10" fillId="86" borderId="173" xfId="3" applyFont="1" applyFill="1" applyBorder="1" applyAlignment="1" applyProtection="1">
      <alignment horizontal="center" vertical="center" shrinkToFit="1"/>
      <protection hidden="1"/>
    </xf>
    <xf numFmtId="183" fontId="349" fillId="82" borderId="173" xfId="3" quotePrefix="1" applyNumberFormat="1" applyFont="1" applyFill="1" applyBorder="1" applyAlignment="1" applyProtection="1">
      <alignment horizontal="right" vertical="center" shrinkToFit="1"/>
      <protection hidden="1"/>
    </xf>
    <xf numFmtId="49" fontId="10" fillId="3" borderId="21" xfId="3" applyNumberFormat="1" applyFont="1" applyFill="1" applyBorder="1" applyAlignment="1" applyProtection="1">
      <alignment horizontal="center" vertical="center" shrinkToFit="1"/>
      <protection hidden="1"/>
    </xf>
    <xf numFmtId="49" fontId="445" fillId="87" borderId="125" xfId="3" applyNumberFormat="1" applyFont="1" applyFill="1" applyBorder="1" applyAlignment="1" applyProtection="1">
      <alignment vertical="center"/>
      <protection hidden="1"/>
    </xf>
    <xf numFmtId="49" fontId="153" fillId="30" borderId="125" xfId="3" applyNumberFormat="1" applyFont="1" applyFill="1" applyBorder="1" applyAlignment="1" applyProtection="1">
      <alignment horizontal="left"/>
      <protection hidden="1"/>
    </xf>
    <xf numFmtId="0" fontId="446" fillId="11" borderId="173" xfId="3" applyNumberFormat="1" applyFont="1" applyFill="1" applyBorder="1" applyAlignment="1" applyProtection="1">
      <alignment horizontal="center" vertical="center" shrinkToFit="1"/>
      <protection hidden="1"/>
    </xf>
    <xf numFmtId="208" fontId="437" fillId="30" borderId="0" xfId="3" applyNumberFormat="1" applyFont="1" applyFill="1" applyBorder="1" applyAlignment="1" applyProtection="1">
      <alignment horizontal="center"/>
      <protection hidden="1"/>
    </xf>
    <xf numFmtId="49" fontId="249" fillId="18" borderId="125" xfId="3" applyNumberFormat="1" applyFont="1" applyFill="1" applyBorder="1" applyAlignment="1" applyProtection="1">
      <alignment horizontal="left"/>
      <protection hidden="1"/>
    </xf>
    <xf numFmtId="0" fontId="153" fillId="30" borderId="0" xfId="3" applyFont="1" applyFill="1" applyBorder="1" applyAlignment="1" applyProtection="1">
      <alignment horizontal="center" vertical="center" shrinkToFit="1"/>
      <protection hidden="1"/>
    </xf>
    <xf numFmtId="49" fontId="448" fillId="18" borderId="124" xfId="3" applyNumberFormat="1" applyFont="1" applyFill="1" applyBorder="1" applyAlignment="1" applyProtection="1">
      <alignment horizontal="left"/>
      <protection hidden="1"/>
    </xf>
    <xf numFmtId="196" fontId="153" fillId="18" borderId="0" xfId="3" applyNumberFormat="1" applyFont="1" applyFill="1" applyBorder="1" applyAlignment="1" applyProtection="1">
      <alignment horizontal="right"/>
      <protection hidden="1"/>
    </xf>
    <xf numFmtId="209" fontId="153" fillId="18" borderId="0" xfId="3" applyNumberFormat="1" applyFont="1" applyFill="1" applyBorder="1" applyAlignment="1" applyProtection="1">
      <alignment horizontal="right"/>
      <protection hidden="1"/>
    </xf>
    <xf numFmtId="49" fontId="449" fillId="18" borderId="125" xfId="3" applyNumberFormat="1" applyFont="1" applyFill="1" applyBorder="1" applyAlignment="1" applyProtection="1">
      <alignment horizontal="left"/>
      <protection hidden="1"/>
    </xf>
    <xf numFmtId="0" fontId="153" fillId="18" borderId="125" xfId="3" applyFont="1" applyFill="1" applyBorder="1" applyAlignment="1" applyProtection="1">
      <alignment horizontal="left"/>
      <protection hidden="1"/>
    </xf>
    <xf numFmtId="0" fontId="153" fillId="18" borderId="124" xfId="3" applyFont="1" applyFill="1" applyBorder="1" applyAlignment="1" applyProtection="1">
      <alignment horizontal="left"/>
      <protection hidden="1"/>
    </xf>
    <xf numFmtId="0" fontId="249" fillId="18" borderId="125" xfId="3" applyFont="1" applyFill="1" applyBorder="1" applyAlignment="1" applyProtection="1">
      <alignment horizontal="left"/>
      <protection hidden="1"/>
    </xf>
    <xf numFmtId="0" fontId="154" fillId="18" borderId="0" xfId="3" applyFill="1" applyAlignment="1" applyProtection="1">
      <alignment shrinkToFit="1"/>
      <protection hidden="1"/>
    </xf>
    <xf numFmtId="0" fontId="153" fillId="18" borderId="0" xfId="3" applyFont="1" applyFill="1" applyBorder="1" applyAlignment="1" applyProtection="1">
      <alignment horizontal="left"/>
      <protection hidden="1"/>
    </xf>
    <xf numFmtId="0" fontId="153" fillId="18" borderId="126" xfId="3" applyFont="1" applyFill="1" applyBorder="1" applyAlignment="1" applyProtection="1">
      <alignment horizontal="left"/>
      <protection hidden="1"/>
    </xf>
    <xf numFmtId="0" fontId="249" fillId="18" borderId="124" xfId="3" applyFont="1" applyFill="1" applyBorder="1" applyAlignment="1" applyProtection="1">
      <alignment horizontal="left"/>
      <protection hidden="1"/>
    </xf>
    <xf numFmtId="0" fontId="154" fillId="18" borderId="0" xfId="3" applyFill="1" applyAlignment="1" applyProtection="1">
      <alignment wrapText="1" shrinkToFit="1"/>
      <protection hidden="1"/>
    </xf>
    <xf numFmtId="0" fontId="451" fillId="88" borderId="527" xfId="3" applyFont="1" applyFill="1" applyBorder="1" applyAlignment="1" applyProtection="1">
      <alignment horizontal="right" vertical="center"/>
      <protection hidden="1"/>
    </xf>
    <xf numFmtId="0" fontId="452" fillId="88" borderId="528" xfId="3" applyFont="1" applyFill="1" applyBorder="1" applyAlignment="1" applyProtection="1">
      <alignment horizontal="left"/>
      <protection hidden="1"/>
    </xf>
    <xf numFmtId="0" fontId="453" fillId="88" borderId="529" xfId="3" applyFont="1" applyFill="1" applyBorder="1" applyAlignment="1" applyProtection="1">
      <alignment horizontal="left" vertical="center"/>
      <protection hidden="1"/>
    </xf>
    <xf numFmtId="0" fontId="454" fillId="18" borderId="0" xfId="3" applyFont="1" applyFill="1" applyProtection="1">
      <protection hidden="1"/>
    </xf>
    <xf numFmtId="0" fontId="342" fillId="18" borderId="0" xfId="3" applyFont="1" applyFill="1" applyBorder="1" applyAlignment="1" applyProtection="1">
      <alignment vertical="top"/>
      <protection hidden="1"/>
    </xf>
    <xf numFmtId="0" fontId="440" fillId="18" borderId="410" xfId="3" applyFont="1" applyFill="1" applyBorder="1" applyAlignment="1" applyProtection="1">
      <alignment horizontal="center" vertical="center"/>
      <protection hidden="1"/>
    </xf>
    <xf numFmtId="0" fontId="3" fillId="18" borderId="411" xfId="3" applyFont="1" applyFill="1" applyBorder="1" applyAlignment="1" applyProtection="1">
      <alignment horizontal="center" vertical="center" shrinkToFit="1"/>
      <protection hidden="1"/>
    </xf>
    <xf numFmtId="0" fontId="457" fillId="18" borderId="20" xfId="3" applyFont="1" applyFill="1" applyBorder="1" applyAlignment="1" applyProtection="1">
      <alignment horizontal="center" vertical="center"/>
      <protection hidden="1"/>
    </xf>
    <xf numFmtId="0" fontId="457" fillId="18" borderId="219" xfId="3" applyFont="1" applyFill="1" applyBorder="1" applyAlignment="1" applyProtection="1">
      <alignment horizontal="center" vertical="center"/>
      <protection hidden="1"/>
    </xf>
    <xf numFmtId="0" fontId="457" fillId="18" borderId="219" xfId="3" applyFont="1" applyFill="1" applyBorder="1" applyAlignment="1" applyProtection="1">
      <alignment vertical="center"/>
      <protection hidden="1"/>
    </xf>
    <xf numFmtId="0" fontId="4" fillId="23" borderId="333" xfId="1" applyFont="1" applyFill="1" applyBorder="1" applyAlignment="1" applyProtection="1">
      <alignment vertical="center" shrinkToFit="1"/>
      <protection hidden="1"/>
    </xf>
    <xf numFmtId="0" fontId="457" fillId="18" borderId="199" xfId="3" applyFont="1" applyFill="1" applyBorder="1" applyAlignment="1" applyProtection="1">
      <alignment vertical="center"/>
      <protection hidden="1"/>
    </xf>
    <xf numFmtId="0" fontId="448" fillId="18" borderId="220" xfId="3" applyFont="1" applyFill="1" applyBorder="1" applyAlignment="1" applyProtection="1">
      <alignment vertical="center"/>
      <protection hidden="1"/>
    </xf>
    <xf numFmtId="0" fontId="459" fillId="18" borderId="0" xfId="3" applyFont="1" applyFill="1" applyProtection="1">
      <protection hidden="1"/>
    </xf>
    <xf numFmtId="22" fontId="458" fillId="18" borderId="0" xfId="3" applyNumberFormat="1" applyFont="1" applyFill="1" applyAlignment="1" applyProtection="1">
      <alignment shrinkToFit="1"/>
      <protection hidden="1"/>
    </xf>
    <xf numFmtId="0" fontId="460" fillId="18" borderId="0" xfId="3" applyFont="1" applyFill="1" applyProtection="1">
      <protection hidden="1"/>
    </xf>
    <xf numFmtId="0" fontId="460" fillId="18" borderId="0" xfId="3" quotePrefix="1" applyFont="1" applyFill="1" applyProtection="1">
      <protection hidden="1"/>
    </xf>
    <xf numFmtId="0" fontId="448" fillId="18" borderId="0" xfId="3" applyFont="1" applyFill="1" applyProtection="1">
      <protection hidden="1"/>
    </xf>
    <xf numFmtId="0" fontId="3" fillId="18" borderId="0" xfId="3" applyFont="1" applyFill="1" applyAlignment="1" applyProtection="1">
      <alignment vertical="center" textRotation="180"/>
      <protection hidden="1"/>
    </xf>
    <xf numFmtId="0" fontId="154" fillId="0" borderId="0" xfId="5" applyProtection="1">
      <alignment vertical="center"/>
      <protection hidden="1"/>
    </xf>
    <xf numFmtId="0" fontId="350" fillId="0" borderId="0" xfId="5" applyFont="1" applyProtection="1">
      <alignment vertical="center"/>
      <protection hidden="1"/>
    </xf>
    <xf numFmtId="0" fontId="461" fillId="0" borderId="0" xfId="5" applyFont="1" applyProtection="1">
      <alignment vertical="center"/>
      <protection hidden="1"/>
    </xf>
    <xf numFmtId="193" fontId="462" fillId="30" borderId="530" xfId="5" applyNumberFormat="1" applyFont="1" applyFill="1" applyBorder="1" applyAlignment="1" applyProtection="1">
      <alignment horizontal="center" vertical="center" shrinkToFit="1"/>
      <protection hidden="1"/>
    </xf>
    <xf numFmtId="193" fontId="462" fillId="30" borderId="411" xfId="5" applyNumberFormat="1" applyFont="1" applyFill="1" applyBorder="1" applyAlignment="1" applyProtection="1">
      <alignment horizontal="center" vertical="center" shrinkToFit="1"/>
      <protection hidden="1"/>
    </xf>
    <xf numFmtId="193" fontId="462" fillId="30" borderId="409" xfId="5" applyNumberFormat="1" applyFont="1" applyFill="1" applyBorder="1" applyAlignment="1" applyProtection="1">
      <alignment horizontal="center" vertical="center" shrinkToFit="1"/>
      <protection hidden="1"/>
    </xf>
    <xf numFmtId="193" fontId="462" fillId="30" borderId="412" xfId="5" applyNumberFormat="1" applyFont="1" applyFill="1" applyBorder="1" applyAlignment="1" applyProtection="1">
      <alignment horizontal="center" vertical="center" shrinkToFit="1"/>
      <protection hidden="1"/>
    </xf>
    <xf numFmtId="0" fontId="463" fillId="89" borderId="530" xfId="5" applyFont="1" applyFill="1" applyBorder="1" applyAlignment="1" applyProtection="1">
      <alignment horizontal="center" vertical="center" wrapText="1"/>
      <protection hidden="1"/>
    </xf>
    <xf numFmtId="193" fontId="462" fillId="30" borderId="357" xfId="5" applyNumberFormat="1" applyFont="1" applyFill="1" applyBorder="1" applyAlignment="1" applyProtection="1">
      <alignment horizontal="center" vertical="center" shrinkToFit="1"/>
      <protection hidden="1"/>
    </xf>
    <xf numFmtId="193" fontId="462" fillId="30" borderId="173" xfId="5" applyNumberFormat="1" applyFont="1" applyFill="1" applyBorder="1" applyAlignment="1" applyProtection="1">
      <alignment horizontal="center" vertical="center" shrinkToFit="1"/>
      <protection hidden="1"/>
    </xf>
    <xf numFmtId="193" fontId="462" fillId="30" borderId="175" xfId="5" applyNumberFormat="1" applyFont="1" applyFill="1" applyBorder="1" applyAlignment="1" applyProtection="1">
      <alignment horizontal="center" vertical="center" shrinkToFit="1"/>
      <protection hidden="1"/>
    </xf>
    <xf numFmtId="193" fontId="462" fillId="30" borderId="354" xfId="5" applyNumberFormat="1" applyFont="1" applyFill="1" applyBorder="1" applyAlignment="1" applyProtection="1">
      <alignment horizontal="center" vertical="center" shrinkToFit="1"/>
      <protection hidden="1"/>
    </xf>
    <xf numFmtId="0" fontId="463" fillId="89" borderId="357" xfId="5" applyFont="1" applyFill="1" applyBorder="1" applyAlignment="1" applyProtection="1">
      <alignment horizontal="center" vertical="center" wrapText="1"/>
      <protection hidden="1"/>
    </xf>
    <xf numFmtId="193" fontId="462" fillId="30" borderId="470" xfId="5" applyNumberFormat="1" applyFont="1" applyFill="1" applyBorder="1" applyAlignment="1" applyProtection="1">
      <alignment horizontal="center" vertical="center" shrinkToFit="1"/>
      <protection hidden="1"/>
    </xf>
    <xf numFmtId="193" fontId="462" fillId="30" borderId="342" xfId="5" applyNumberFormat="1" applyFont="1" applyFill="1" applyBorder="1" applyAlignment="1" applyProtection="1">
      <alignment horizontal="center" vertical="center" shrinkToFit="1"/>
      <protection hidden="1"/>
    </xf>
    <xf numFmtId="193" fontId="462" fillId="30" borderId="414" xfId="5" applyNumberFormat="1" applyFont="1" applyFill="1" applyBorder="1" applyAlignment="1" applyProtection="1">
      <alignment horizontal="center" vertical="center" shrinkToFit="1"/>
      <protection hidden="1"/>
    </xf>
    <xf numFmtId="193" fontId="462" fillId="30" borderId="474" xfId="5" applyNumberFormat="1" applyFont="1" applyFill="1" applyBorder="1" applyAlignment="1" applyProtection="1">
      <alignment horizontal="center" vertical="center" shrinkToFit="1"/>
      <protection hidden="1"/>
    </xf>
    <xf numFmtId="0" fontId="463" fillId="89" borderId="470" xfId="5" applyFont="1" applyFill="1" applyBorder="1" applyAlignment="1" applyProtection="1">
      <alignment horizontal="center" vertical="center" wrapText="1"/>
      <protection hidden="1"/>
    </xf>
    <xf numFmtId="0" fontId="154" fillId="0" borderId="0" xfId="5" applyBorder="1" applyProtection="1">
      <alignment vertical="center"/>
      <protection hidden="1"/>
    </xf>
    <xf numFmtId="0" fontId="154" fillId="0" borderId="0" xfId="5" applyFont="1" applyBorder="1" applyProtection="1">
      <alignment vertical="center"/>
      <protection hidden="1"/>
    </xf>
    <xf numFmtId="0" fontId="154" fillId="91" borderId="0" xfId="5" applyFill="1" applyBorder="1" applyProtection="1">
      <alignment vertical="center"/>
      <protection hidden="1"/>
    </xf>
    <xf numFmtId="0" fontId="467" fillId="91" borderId="0" xfId="5" applyFont="1" applyFill="1" applyBorder="1" applyAlignment="1" applyProtection="1">
      <alignment horizontal="center" vertical="center"/>
      <protection hidden="1"/>
    </xf>
    <xf numFmtId="0" fontId="154" fillId="90" borderId="0" xfId="5" applyFill="1" applyBorder="1" applyProtection="1">
      <alignment vertical="center"/>
      <protection hidden="1"/>
    </xf>
    <xf numFmtId="0" fontId="154" fillId="91" borderId="0" xfId="5" applyFill="1" applyProtection="1">
      <alignment vertical="center"/>
      <protection hidden="1"/>
    </xf>
    <xf numFmtId="0" fontId="467" fillId="0" borderId="0" xfId="5" applyFont="1" applyAlignment="1" applyProtection="1">
      <alignment horizontal="center" vertical="center"/>
      <protection hidden="1"/>
    </xf>
    <xf numFmtId="0" fontId="154" fillId="90" borderId="0" xfId="5" applyFill="1" applyProtection="1">
      <alignment vertical="center"/>
      <protection hidden="1"/>
    </xf>
    <xf numFmtId="193" fontId="468" fillId="0" borderId="175" xfId="5" applyNumberFormat="1" applyFont="1" applyBorder="1" applyAlignment="1" applyProtection="1">
      <alignment horizontal="center" vertical="center" shrinkToFit="1"/>
      <protection hidden="1"/>
    </xf>
    <xf numFmtId="193" fontId="468" fillId="0" borderId="173" xfId="5" applyNumberFormat="1" applyFont="1" applyBorder="1" applyAlignment="1" applyProtection="1">
      <alignment horizontal="center" vertical="center" shrinkToFit="1"/>
      <protection hidden="1"/>
    </xf>
    <xf numFmtId="193" fontId="468" fillId="0" borderId="176" xfId="5" applyNumberFormat="1" applyFont="1" applyBorder="1" applyAlignment="1" applyProtection="1">
      <alignment horizontal="center" vertical="center" shrinkToFit="1"/>
      <protection hidden="1"/>
    </xf>
    <xf numFmtId="210" fontId="470" fillId="92" borderId="173" xfId="5" applyNumberFormat="1" applyFont="1" applyFill="1" applyBorder="1" applyAlignment="1" applyProtection="1">
      <alignment horizontal="center" vertical="center" shrinkToFit="1"/>
      <protection hidden="1"/>
    </xf>
    <xf numFmtId="0" fontId="158" fillId="92" borderId="173" xfId="5" applyFont="1" applyFill="1" applyBorder="1" applyAlignment="1" applyProtection="1">
      <alignment horizontal="center" vertical="center" wrapText="1"/>
      <protection hidden="1"/>
    </xf>
    <xf numFmtId="190" fontId="158" fillId="0" borderId="414" xfId="5" applyNumberFormat="1" applyFont="1" applyBorder="1" applyAlignment="1" applyProtection="1">
      <alignment horizontal="center" vertical="center" shrinkToFit="1"/>
      <protection hidden="1"/>
    </xf>
    <xf numFmtId="190" fontId="158" fillId="0" borderId="342" xfId="5" applyNumberFormat="1" applyFont="1" applyBorder="1" applyAlignment="1" applyProtection="1">
      <alignment horizontal="center" vertical="center" shrinkToFit="1"/>
      <protection hidden="1"/>
    </xf>
    <xf numFmtId="190" fontId="158" fillId="0" borderId="415" xfId="5" applyNumberFormat="1" applyFont="1" applyBorder="1" applyAlignment="1" applyProtection="1">
      <alignment horizontal="center" vertical="center" shrinkToFit="1"/>
      <protection hidden="1"/>
    </xf>
    <xf numFmtId="0" fontId="472" fillId="93" borderId="20" xfId="5" applyFont="1" applyFill="1" applyBorder="1" applyAlignment="1" applyProtection="1">
      <alignment vertical="center"/>
      <protection hidden="1"/>
    </xf>
    <xf numFmtId="0" fontId="472" fillId="93" borderId="177" xfId="5" applyFont="1" applyFill="1" applyBorder="1" applyAlignment="1" applyProtection="1">
      <alignment vertical="center"/>
      <protection hidden="1"/>
    </xf>
    <xf numFmtId="0" fontId="154" fillId="18" borderId="0" xfId="5" applyFill="1" applyBorder="1" applyProtection="1">
      <alignment vertical="center"/>
      <protection hidden="1"/>
    </xf>
    <xf numFmtId="0" fontId="154" fillId="18" borderId="0" xfId="5" applyFill="1" applyProtection="1">
      <alignment vertical="center"/>
      <protection hidden="1"/>
    </xf>
    <xf numFmtId="0" fontId="10" fillId="0" borderId="151" xfId="5" applyFont="1" applyBorder="1" applyAlignment="1" applyProtection="1">
      <alignment horizontal="center" vertical="center" shrinkToFit="1"/>
      <protection hidden="1"/>
    </xf>
    <xf numFmtId="211" fontId="13" fillId="82" borderId="176" xfId="5" applyNumberFormat="1" applyFont="1" applyFill="1" applyBorder="1" applyAlignment="1" applyProtection="1">
      <alignment horizontal="center" vertical="center" shrinkToFit="1"/>
      <protection hidden="1"/>
    </xf>
    <xf numFmtId="0" fontId="158" fillId="3" borderId="173" xfId="5" applyFont="1" applyFill="1" applyBorder="1" applyAlignment="1" applyProtection="1">
      <alignment horizontal="right" vertical="center"/>
      <protection hidden="1"/>
    </xf>
    <xf numFmtId="193" fontId="473" fillId="0" borderId="531" xfId="5" applyNumberFormat="1" applyFont="1" applyBorder="1" applyAlignment="1" applyProtection="1">
      <alignment horizontal="center" vertical="center" shrinkToFit="1"/>
      <protection hidden="1"/>
    </xf>
    <xf numFmtId="193" fontId="473" fillId="0" borderId="137" xfId="5" applyNumberFormat="1" applyFont="1" applyBorder="1" applyAlignment="1" applyProtection="1">
      <alignment horizontal="center" vertical="center" shrinkToFit="1"/>
      <protection hidden="1"/>
    </xf>
    <xf numFmtId="212" fontId="473" fillId="0" borderId="532" xfId="5" applyNumberFormat="1" applyFont="1" applyBorder="1" applyAlignment="1" applyProtection="1">
      <alignment horizontal="center" vertical="center" shrinkToFit="1"/>
      <protection hidden="1"/>
    </xf>
    <xf numFmtId="211" fontId="474" fillId="94" borderId="176" xfId="5" applyNumberFormat="1" applyFont="1" applyFill="1" applyBorder="1" applyAlignment="1" applyProtection="1">
      <alignment horizontal="center" vertical="center" shrinkToFit="1"/>
      <protection hidden="1"/>
    </xf>
    <xf numFmtId="0" fontId="467" fillId="0" borderId="0" xfId="5" applyFont="1" applyBorder="1" applyProtection="1">
      <alignment vertical="center"/>
      <protection hidden="1"/>
    </xf>
    <xf numFmtId="0" fontId="467" fillId="0" borderId="0" xfId="5" applyFont="1" applyProtection="1">
      <alignment vertical="center"/>
      <protection hidden="1"/>
    </xf>
    <xf numFmtId="0" fontId="467" fillId="0" borderId="0" xfId="5" applyFont="1" applyAlignment="1" applyProtection="1">
      <alignment horizontal="right" vertical="center"/>
      <protection hidden="1"/>
    </xf>
    <xf numFmtId="0" fontId="474" fillId="0" borderId="5" xfId="5" applyFont="1" applyBorder="1" applyProtection="1">
      <alignment vertical="center"/>
      <protection hidden="1"/>
    </xf>
    <xf numFmtId="209" fontId="475" fillId="0" borderId="5" xfId="5" applyNumberFormat="1" applyFont="1" applyBorder="1" applyProtection="1">
      <alignment vertical="center"/>
      <protection hidden="1"/>
    </xf>
    <xf numFmtId="0" fontId="476" fillId="93" borderId="0" xfId="5" applyFont="1" applyFill="1" applyBorder="1" applyProtection="1">
      <alignment vertical="center"/>
      <protection hidden="1"/>
    </xf>
    <xf numFmtId="0" fontId="476" fillId="93" borderId="0" xfId="5" applyFont="1" applyFill="1" applyProtection="1">
      <alignment vertical="center"/>
      <protection hidden="1"/>
    </xf>
    <xf numFmtId="182" fontId="477" fillId="93" borderId="0" xfId="5" applyNumberFormat="1" applyFont="1" applyFill="1" applyBorder="1" applyAlignment="1" applyProtection="1">
      <alignment vertical="center"/>
      <protection hidden="1"/>
    </xf>
    <xf numFmtId="0" fontId="477" fillId="93" borderId="442" xfId="5" applyFont="1" applyFill="1" applyBorder="1" applyAlignment="1" applyProtection="1">
      <alignment horizontal="left" vertical="center"/>
      <protection hidden="1"/>
    </xf>
    <xf numFmtId="213" fontId="470" fillId="82" borderId="176" xfId="5" quotePrefix="1" applyNumberFormat="1" applyFont="1" applyFill="1" applyBorder="1" applyAlignment="1" applyProtection="1">
      <alignment horizontal="center" vertical="center" shrinkToFit="1"/>
      <protection hidden="1"/>
    </xf>
    <xf numFmtId="182" fontId="478" fillId="93" borderId="0" xfId="5" applyNumberFormat="1" applyFont="1" applyFill="1" applyBorder="1" applyAlignment="1" applyProtection="1">
      <alignment vertical="center"/>
      <protection hidden="1"/>
    </xf>
    <xf numFmtId="0" fontId="478" fillId="93" borderId="442" xfId="5" applyFont="1" applyFill="1" applyBorder="1" applyAlignment="1" applyProtection="1">
      <alignment horizontal="right" vertical="center"/>
      <protection hidden="1"/>
    </xf>
    <xf numFmtId="0" fontId="474" fillId="82" borderId="5" xfId="5" applyFont="1" applyFill="1" applyBorder="1" applyAlignment="1" applyProtection="1">
      <alignment vertical="center" shrinkToFit="1"/>
      <protection hidden="1"/>
    </xf>
    <xf numFmtId="214" fontId="474" fillId="82" borderId="176" xfId="5" applyNumberFormat="1" applyFont="1" applyFill="1" applyBorder="1" applyAlignment="1" applyProtection="1">
      <alignment horizontal="center" vertical="center" shrinkToFit="1"/>
      <protection hidden="1"/>
    </xf>
    <xf numFmtId="215" fontId="474" fillId="82" borderId="176" xfId="5" applyNumberFormat="1" applyFont="1" applyFill="1" applyBorder="1" applyAlignment="1" applyProtection="1">
      <alignment horizontal="center" vertical="center" shrinkToFit="1"/>
      <protection hidden="1"/>
    </xf>
    <xf numFmtId="0" fontId="478" fillId="93" borderId="0" xfId="5" applyFont="1" applyFill="1" applyBorder="1" applyAlignment="1" applyProtection="1">
      <alignment horizontal="right" vertical="center"/>
      <protection hidden="1"/>
    </xf>
    <xf numFmtId="216" fontId="474" fillId="82" borderId="176" xfId="5" applyNumberFormat="1" applyFont="1" applyFill="1" applyBorder="1" applyAlignment="1" applyProtection="1">
      <alignment horizontal="center" vertical="center" shrinkToFit="1"/>
      <protection hidden="1"/>
    </xf>
    <xf numFmtId="0" fontId="479" fillId="93" borderId="0" xfId="5" applyFont="1" applyFill="1" applyBorder="1" applyProtection="1">
      <alignment vertical="center"/>
      <protection hidden="1"/>
    </xf>
    <xf numFmtId="0" fontId="479" fillId="93" borderId="0" xfId="5" applyFont="1" applyFill="1" applyProtection="1">
      <alignment vertical="center"/>
      <protection hidden="1"/>
    </xf>
    <xf numFmtId="0" fontId="479" fillId="93" borderId="0" xfId="5" applyFont="1" applyFill="1" applyBorder="1" applyAlignment="1" applyProtection="1">
      <alignment horizontal="right" vertical="center"/>
      <protection hidden="1"/>
    </xf>
    <xf numFmtId="0" fontId="479" fillId="93" borderId="442" xfId="5" applyFont="1" applyFill="1" applyBorder="1" applyAlignment="1" applyProtection="1">
      <alignment horizontal="right" vertical="center"/>
      <protection hidden="1"/>
    </xf>
    <xf numFmtId="0" fontId="154" fillId="0" borderId="5" xfId="5" applyBorder="1" applyProtection="1">
      <alignment vertical="center"/>
      <protection hidden="1"/>
    </xf>
    <xf numFmtId="0" fontId="154" fillId="0" borderId="4" xfId="5" applyBorder="1" applyAlignment="1" applyProtection="1">
      <alignment horizontal="right" vertical="center"/>
      <protection hidden="1"/>
    </xf>
    <xf numFmtId="0" fontId="479" fillId="93" borderId="442" xfId="5" applyFont="1" applyFill="1" applyBorder="1" applyProtection="1">
      <alignment vertical="center"/>
      <protection hidden="1"/>
    </xf>
    <xf numFmtId="0" fontId="154" fillId="0" borderId="4" xfId="5" applyBorder="1" applyProtection="1">
      <alignment vertical="center"/>
      <protection hidden="1"/>
    </xf>
    <xf numFmtId="190" fontId="467" fillId="0" borderId="5" xfId="5" applyNumberFormat="1" applyFont="1" applyBorder="1" applyAlignment="1" applyProtection="1">
      <alignment horizontal="left" vertical="center"/>
      <protection hidden="1"/>
    </xf>
    <xf numFmtId="0" fontId="467" fillId="0" borderId="4" xfId="5" applyFont="1" applyBorder="1" applyAlignment="1" applyProtection="1">
      <alignment horizontal="right" vertical="center"/>
      <protection hidden="1"/>
    </xf>
    <xf numFmtId="0" fontId="467" fillId="0" borderId="5" xfId="5" applyFont="1" applyBorder="1" applyProtection="1">
      <alignment vertical="center"/>
      <protection hidden="1"/>
    </xf>
    <xf numFmtId="0" fontId="467" fillId="0" borderId="4" xfId="5" applyFont="1" applyBorder="1" applyProtection="1">
      <alignment vertical="center"/>
      <protection hidden="1"/>
    </xf>
    <xf numFmtId="217" fontId="467" fillId="0" borderId="5" xfId="5" applyNumberFormat="1" applyFont="1" applyBorder="1" applyProtection="1">
      <alignment vertical="center"/>
      <protection hidden="1"/>
    </xf>
    <xf numFmtId="218" fontId="467" fillId="0" borderId="5" xfId="5" applyNumberFormat="1" applyFont="1" applyBorder="1" applyProtection="1">
      <alignment vertical="center"/>
      <protection hidden="1"/>
    </xf>
    <xf numFmtId="193" fontId="480" fillId="93" borderId="0" xfId="5" applyNumberFormat="1" applyFont="1" applyFill="1" applyBorder="1" applyAlignment="1" applyProtection="1">
      <alignment horizontal="center" vertical="center" shrinkToFit="1"/>
      <protection hidden="1"/>
    </xf>
    <xf numFmtId="193" fontId="480" fillId="93" borderId="0" xfId="5" applyNumberFormat="1" applyFont="1" applyFill="1" applyAlignment="1" applyProtection="1">
      <alignment horizontal="center" vertical="center" shrinkToFit="1"/>
      <protection hidden="1"/>
    </xf>
    <xf numFmtId="208" fontId="476" fillId="93" borderId="0" xfId="5" applyNumberFormat="1" applyFont="1" applyFill="1" applyAlignment="1" applyProtection="1">
      <alignment horizontal="center" vertical="center"/>
      <protection hidden="1"/>
    </xf>
    <xf numFmtId="218" fontId="481" fillId="0" borderId="5" xfId="5" applyNumberFormat="1" applyFont="1" applyBorder="1" applyProtection="1">
      <alignment vertical="center"/>
      <protection hidden="1"/>
    </xf>
    <xf numFmtId="0" fontId="481" fillId="0" borderId="4" xfId="5" applyFont="1" applyBorder="1" applyAlignment="1" applyProtection="1">
      <alignment horizontal="right" vertical="center"/>
      <protection hidden="1"/>
    </xf>
    <xf numFmtId="190" fontId="476" fillId="93" borderId="0" xfId="5" applyNumberFormat="1" applyFont="1" applyFill="1" applyBorder="1" applyAlignment="1" applyProtection="1">
      <alignment horizontal="center" vertical="center"/>
      <protection hidden="1"/>
    </xf>
    <xf numFmtId="190" fontId="476" fillId="93" borderId="0" xfId="5" applyNumberFormat="1" applyFont="1" applyFill="1" applyAlignment="1" applyProtection="1">
      <alignment horizontal="center" vertical="center"/>
      <protection hidden="1"/>
    </xf>
    <xf numFmtId="201" fontId="476" fillId="93" borderId="0" xfId="5" applyNumberFormat="1" applyFont="1" applyFill="1" applyAlignment="1" applyProtection="1">
      <alignment horizontal="center" vertical="center"/>
      <protection hidden="1"/>
    </xf>
    <xf numFmtId="208" fontId="476" fillId="93" borderId="0" xfId="5" applyNumberFormat="1" applyFont="1" applyFill="1" applyAlignment="1" applyProtection="1">
      <alignment horizontal="center" vertical="center" shrinkToFit="1"/>
      <protection hidden="1"/>
    </xf>
    <xf numFmtId="0" fontId="482" fillId="93" borderId="0" xfId="5" applyFont="1" applyFill="1" applyBorder="1" applyAlignment="1" applyProtection="1">
      <alignment horizontal="center" vertical="center" shrinkToFit="1"/>
      <protection hidden="1"/>
    </xf>
    <xf numFmtId="0" fontId="482" fillId="93" borderId="0" xfId="5" applyFont="1" applyFill="1" applyAlignment="1" applyProtection="1">
      <alignment horizontal="center" vertical="center" shrinkToFit="1"/>
      <protection hidden="1"/>
    </xf>
    <xf numFmtId="0" fontId="437" fillId="0" borderId="5" xfId="5" applyFont="1" applyBorder="1" applyAlignment="1" applyProtection="1">
      <alignment horizontal="right" vertical="center"/>
      <protection hidden="1"/>
    </xf>
    <xf numFmtId="176" fontId="483" fillId="93" borderId="5" xfId="5" applyNumberFormat="1" applyFont="1" applyFill="1" applyBorder="1" applyAlignment="1" applyProtection="1">
      <alignment horizontal="left" vertical="center"/>
      <protection hidden="1"/>
    </xf>
    <xf numFmtId="49" fontId="484" fillId="93" borderId="4" xfId="5" applyNumberFormat="1" applyFont="1" applyFill="1" applyBorder="1" applyAlignment="1" applyProtection="1">
      <alignment horizontal="left" vertical="center"/>
      <protection hidden="1"/>
    </xf>
    <xf numFmtId="0" fontId="467" fillId="90" borderId="0" xfId="5" applyFont="1" applyFill="1" applyAlignment="1" applyProtection="1">
      <alignment horizontal="center" vertical="center"/>
      <protection hidden="1"/>
    </xf>
    <xf numFmtId="211" fontId="474" fillId="82" borderId="176" xfId="5" applyNumberFormat="1" applyFont="1" applyFill="1" applyBorder="1" applyAlignment="1" applyProtection="1">
      <alignment horizontal="center" vertical="center" shrinkToFit="1"/>
      <protection hidden="1"/>
    </xf>
    <xf numFmtId="0" fontId="474" fillId="82" borderId="5" xfId="5" applyFont="1" applyFill="1" applyBorder="1" applyProtection="1">
      <alignment vertical="center"/>
      <protection hidden="1"/>
    </xf>
    <xf numFmtId="209" fontId="475" fillId="82" borderId="5" xfId="5" applyNumberFormat="1" applyFont="1" applyFill="1" applyBorder="1" applyProtection="1">
      <alignment vertical="center"/>
      <protection hidden="1"/>
    </xf>
    <xf numFmtId="0" fontId="154" fillId="90" borderId="0" xfId="5" applyFont="1" applyFill="1" applyProtection="1">
      <alignment vertical="center"/>
      <protection hidden="1"/>
    </xf>
    <xf numFmtId="182" fontId="485" fillId="93" borderId="0" xfId="5" applyNumberFormat="1" applyFont="1" applyFill="1" applyBorder="1" applyAlignment="1" applyProtection="1">
      <alignment vertical="center"/>
      <protection hidden="1"/>
    </xf>
    <xf numFmtId="0" fontId="486" fillId="93" borderId="442" xfId="5" applyFont="1" applyFill="1" applyBorder="1" applyAlignment="1" applyProtection="1">
      <alignment horizontal="left" vertical="center"/>
      <protection hidden="1"/>
    </xf>
    <xf numFmtId="182" fontId="487" fillId="93" borderId="0" xfId="5" applyNumberFormat="1" applyFont="1" applyFill="1" applyBorder="1" applyAlignment="1" applyProtection="1">
      <alignment vertical="center"/>
      <protection hidden="1"/>
    </xf>
    <xf numFmtId="0" fontId="488" fillId="93" borderId="442" xfId="5" applyFont="1" applyFill="1" applyBorder="1" applyAlignment="1" applyProtection="1">
      <alignment horizontal="right" vertical="center"/>
      <protection hidden="1"/>
    </xf>
    <xf numFmtId="182" fontId="489" fillId="93" borderId="0" xfId="5" applyNumberFormat="1" applyFont="1" applyFill="1" applyBorder="1" applyAlignment="1" applyProtection="1">
      <alignment vertical="center"/>
      <protection hidden="1"/>
    </xf>
    <xf numFmtId="0" fontId="490" fillId="93" borderId="0" xfId="5" applyFont="1" applyFill="1" applyProtection="1">
      <alignment vertical="center"/>
      <protection hidden="1"/>
    </xf>
    <xf numFmtId="0" fontId="476" fillId="93" borderId="0" xfId="5" applyFont="1" applyFill="1" applyBorder="1" applyAlignment="1" applyProtection="1">
      <alignment horizontal="right" vertical="center"/>
      <protection hidden="1"/>
    </xf>
    <xf numFmtId="0" fontId="476" fillId="93" borderId="442" xfId="5" applyFont="1" applyFill="1" applyBorder="1" applyAlignment="1" applyProtection="1">
      <alignment horizontal="right" vertical="center"/>
      <protection hidden="1"/>
    </xf>
    <xf numFmtId="0" fontId="491" fillId="93" borderId="442" xfId="5" applyFont="1" applyFill="1" applyBorder="1" applyProtection="1">
      <alignment vertical="center"/>
      <protection hidden="1"/>
    </xf>
    <xf numFmtId="0" fontId="154" fillId="93" borderId="0" xfId="5" applyFont="1" applyFill="1" applyProtection="1">
      <alignment vertical="center"/>
      <protection hidden="1"/>
    </xf>
    <xf numFmtId="0" fontId="154" fillId="93" borderId="0" xfId="5" applyFont="1" applyFill="1" applyBorder="1" applyAlignment="1" applyProtection="1">
      <alignment horizontal="right" vertical="center"/>
      <protection hidden="1"/>
    </xf>
    <xf numFmtId="0" fontId="154" fillId="93" borderId="442" xfId="5" applyFont="1" applyFill="1" applyBorder="1" applyAlignment="1" applyProtection="1">
      <alignment horizontal="right" vertical="center"/>
      <protection hidden="1"/>
    </xf>
    <xf numFmtId="0" fontId="154" fillId="0" borderId="4" xfId="5" applyFont="1" applyBorder="1" applyAlignment="1" applyProtection="1">
      <alignment horizontal="right" vertical="center"/>
      <protection hidden="1"/>
    </xf>
    <xf numFmtId="0" fontId="154" fillId="0" borderId="5" xfId="5" applyFont="1" applyBorder="1" applyProtection="1">
      <alignment vertical="center"/>
      <protection hidden="1"/>
    </xf>
    <xf numFmtId="0" fontId="154" fillId="93" borderId="0" xfId="5" applyFont="1" applyFill="1" applyBorder="1" applyProtection="1">
      <alignment vertical="center"/>
      <protection hidden="1"/>
    </xf>
    <xf numFmtId="0" fontId="154" fillId="93" borderId="442" xfId="5" applyFont="1" applyFill="1" applyBorder="1" applyProtection="1">
      <alignment vertical="center"/>
      <protection hidden="1"/>
    </xf>
    <xf numFmtId="0" fontId="154" fillId="0" borderId="4" xfId="5" applyFont="1" applyBorder="1" applyProtection="1">
      <alignment vertical="center"/>
      <protection hidden="1"/>
    </xf>
    <xf numFmtId="190" fontId="154" fillId="0" borderId="5" xfId="5" applyNumberFormat="1" applyFont="1" applyBorder="1" applyAlignment="1" applyProtection="1">
      <alignment horizontal="left" vertical="center"/>
      <protection hidden="1"/>
    </xf>
    <xf numFmtId="217" fontId="154" fillId="0" borderId="5" xfId="5" applyNumberFormat="1" applyFont="1" applyBorder="1" applyProtection="1">
      <alignment vertical="center"/>
      <protection hidden="1"/>
    </xf>
    <xf numFmtId="218" fontId="154" fillId="0" borderId="5" xfId="5" applyNumberFormat="1" applyFont="1" applyBorder="1" applyProtection="1">
      <alignment vertical="center"/>
      <protection hidden="1"/>
    </xf>
    <xf numFmtId="193" fontId="492" fillId="93" borderId="0" xfId="5" applyNumberFormat="1" applyFont="1" applyFill="1" applyAlignment="1" applyProtection="1">
      <alignment horizontal="center" vertical="center" shrinkToFit="1"/>
      <protection hidden="1"/>
    </xf>
    <xf numFmtId="208" fontId="493" fillId="93" borderId="0" xfId="5" applyNumberFormat="1" applyFont="1" applyFill="1" applyAlignment="1" applyProtection="1">
      <alignment horizontal="center" vertical="center"/>
      <protection hidden="1"/>
    </xf>
    <xf numFmtId="218" fontId="493" fillId="0" borderId="5" xfId="5" applyNumberFormat="1" applyFont="1" applyBorder="1" applyProtection="1">
      <alignment vertical="center"/>
      <protection hidden="1"/>
    </xf>
    <xf numFmtId="0" fontId="493" fillId="0" borderId="4" xfId="5" applyFont="1" applyBorder="1" applyAlignment="1" applyProtection="1">
      <alignment horizontal="right" vertical="center"/>
      <protection hidden="1"/>
    </xf>
    <xf numFmtId="190" fontId="493" fillId="93" borderId="0" xfId="5" applyNumberFormat="1" applyFont="1" applyFill="1" applyAlignment="1" applyProtection="1">
      <alignment horizontal="center" vertical="center"/>
      <protection hidden="1"/>
    </xf>
    <xf numFmtId="201" fontId="493" fillId="93" borderId="0" xfId="5" applyNumberFormat="1" applyFont="1" applyFill="1" applyAlignment="1" applyProtection="1">
      <alignment horizontal="center" vertical="center"/>
      <protection hidden="1"/>
    </xf>
    <xf numFmtId="208" fontId="493" fillId="93" borderId="0" xfId="5" applyNumberFormat="1" applyFont="1" applyFill="1" applyAlignment="1" applyProtection="1">
      <alignment horizontal="center" vertical="center" shrinkToFit="1"/>
      <protection hidden="1"/>
    </xf>
    <xf numFmtId="0" fontId="437" fillId="93" borderId="0" xfId="5" applyFont="1" applyFill="1" applyAlignment="1" applyProtection="1">
      <alignment horizontal="center" vertical="center" shrinkToFit="1"/>
      <protection hidden="1"/>
    </xf>
    <xf numFmtId="193" fontId="468" fillId="0" borderId="387" xfId="5" applyNumberFormat="1" applyFont="1" applyBorder="1" applyAlignment="1" applyProtection="1">
      <alignment horizontal="center" vertical="center" shrinkToFit="1"/>
      <protection hidden="1"/>
    </xf>
    <xf numFmtId="193" fontId="468" fillId="0" borderId="281" xfId="5" applyNumberFormat="1" applyFont="1" applyBorder="1" applyAlignment="1" applyProtection="1">
      <alignment horizontal="center" vertical="center" shrinkToFit="1"/>
      <protection hidden="1"/>
    </xf>
    <xf numFmtId="0" fontId="494" fillId="18" borderId="533" xfId="5" applyFont="1" applyFill="1" applyBorder="1" applyAlignment="1" applyProtection="1">
      <alignment horizontal="center" vertical="center" wrapText="1"/>
      <protection hidden="1"/>
    </xf>
    <xf numFmtId="0" fontId="168" fillId="18" borderId="177" xfId="5" applyFont="1" applyFill="1" applyBorder="1" applyAlignment="1" applyProtection="1">
      <alignment horizontal="right" vertical="center" shrinkToFit="1"/>
      <protection hidden="1"/>
    </xf>
    <xf numFmtId="0" fontId="158" fillId="92" borderId="21" xfId="5" applyFont="1" applyFill="1" applyBorder="1" applyAlignment="1" applyProtection="1">
      <alignment horizontal="center" vertical="center" wrapText="1"/>
      <protection hidden="1"/>
    </xf>
    <xf numFmtId="193" fontId="468" fillId="0" borderId="390" xfId="5" applyNumberFormat="1" applyFont="1" applyBorder="1" applyAlignment="1" applyProtection="1">
      <alignment horizontal="center" vertical="center" shrinkToFit="1"/>
      <protection hidden="1"/>
    </xf>
    <xf numFmtId="193" fontId="468" fillId="0" borderId="534" xfId="5" applyNumberFormat="1" applyFont="1" applyBorder="1" applyAlignment="1" applyProtection="1">
      <alignment horizontal="center" vertical="center" shrinkToFit="1"/>
      <protection hidden="1"/>
    </xf>
    <xf numFmtId="0" fontId="494" fillId="18" borderId="535" xfId="5" applyFont="1" applyFill="1" applyBorder="1" applyAlignment="1" applyProtection="1">
      <alignment horizontal="center" vertical="center" wrapText="1"/>
      <protection hidden="1"/>
    </xf>
    <xf numFmtId="0" fontId="168" fillId="18" borderId="220" xfId="5" applyFont="1" applyFill="1" applyBorder="1" applyAlignment="1" applyProtection="1">
      <alignment horizontal="right" vertical="center" shrinkToFit="1"/>
      <protection hidden="1"/>
    </xf>
    <xf numFmtId="0" fontId="158" fillId="92" borderId="15" xfId="5" applyFont="1" applyFill="1" applyBorder="1" applyAlignment="1" applyProtection="1">
      <alignment horizontal="center" vertical="center" wrapText="1"/>
      <protection hidden="1"/>
    </xf>
    <xf numFmtId="190" fontId="158" fillId="0" borderId="474" xfId="5" applyNumberFormat="1" applyFont="1" applyBorder="1" applyAlignment="1" applyProtection="1">
      <alignment horizontal="center" vertical="center" shrinkToFit="1"/>
      <protection hidden="1"/>
    </xf>
    <xf numFmtId="0" fontId="10" fillId="0" borderId="492" xfId="5" applyFont="1" applyBorder="1" applyAlignment="1" applyProtection="1">
      <alignment horizontal="center" vertical="center" shrinkToFit="1"/>
      <protection hidden="1"/>
    </xf>
    <xf numFmtId="0" fontId="154" fillId="0" borderId="0" xfId="5" applyFont="1" applyProtection="1">
      <alignment vertical="center"/>
      <protection hidden="1"/>
    </xf>
    <xf numFmtId="0" fontId="154" fillId="0" borderId="0" xfId="5" applyFont="1" applyAlignment="1" applyProtection="1">
      <alignment horizontal="right" vertical="center"/>
      <protection hidden="1"/>
    </xf>
    <xf numFmtId="0" fontId="490" fillId="93" borderId="0" xfId="5" applyFont="1" applyFill="1" applyBorder="1" applyProtection="1">
      <alignment vertical="center"/>
      <protection hidden="1"/>
    </xf>
    <xf numFmtId="182" fontId="495" fillId="93" borderId="0" xfId="5" applyNumberFormat="1" applyFont="1" applyFill="1" applyBorder="1" applyAlignment="1" applyProtection="1">
      <alignment vertical="center"/>
      <protection hidden="1"/>
    </xf>
    <xf numFmtId="0" fontId="495" fillId="93" borderId="442" xfId="5" applyFont="1" applyFill="1" applyBorder="1" applyAlignment="1" applyProtection="1">
      <alignment horizontal="right" vertical="center"/>
      <protection hidden="1"/>
    </xf>
    <xf numFmtId="182" fontId="490" fillId="93" borderId="0" xfId="5" applyNumberFormat="1" applyFont="1" applyFill="1" applyBorder="1" applyAlignment="1" applyProtection="1">
      <alignment vertical="center"/>
      <protection hidden="1"/>
    </xf>
    <xf numFmtId="0" fontId="490" fillId="93" borderId="442" xfId="5" applyFont="1" applyFill="1" applyBorder="1" applyAlignment="1" applyProtection="1">
      <alignment horizontal="right" vertical="center"/>
      <protection hidden="1"/>
    </xf>
    <xf numFmtId="0" fontId="496" fillId="91" borderId="0" xfId="5" applyFont="1" applyFill="1" applyAlignment="1" applyProtection="1">
      <alignment horizontal="left" vertical="center"/>
      <protection hidden="1"/>
    </xf>
    <xf numFmtId="0" fontId="490" fillId="93" borderId="0" xfId="5" applyFont="1" applyFill="1" applyBorder="1" applyAlignment="1" applyProtection="1">
      <alignment horizontal="right" vertical="center"/>
      <protection hidden="1"/>
    </xf>
    <xf numFmtId="0" fontId="443" fillId="93" borderId="0" xfId="5" applyFont="1" applyFill="1" applyProtection="1">
      <alignment vertical="center"/>
      <protection hidden="1"/>
    </xf>
    <xf numFmtId="0" fontId="443" fillId="93" borderId="0" xfId="5" applyFont="1" applyFill="1" applyBorder="1" applyAlignment="1" applyProtection="1">
      <alignment horizontal="right" vertical="center"/>
      <protection hidden="1"/>
    </xf>
    <xf numFmtId="0" fontId="443" fillId="93" borderId="442" xfId="5" applyFont="1" applyFill="1" applyBorder="1" applyAlignment="1" applyProtection="1">
      <alignment horizontal="right" vertical="center"/>
      <protection hidden="1"/>
    </xf>
    <xf numFmtId="0" fontId="443" fillId="93" borderId="0" xfId="5" applyFont="1" applyFill="1" applyBorder="1" applyProtection="1">
      <alignment vertical="center"/>
      <protection hidden="1"/>
    </xf>
    <xf numFmtId="0" fontId="443" fillId="93" borderId="442" xfId="5" applyFont="1" applyFill="1" applyBorder="1" applyProtection="1">
      <alignment vertical="center"/>
      <protection hidden="1"/>
    </xf>
    <xf numFmtId="190" fontId="467" fillId="91" borderId="0" xfId="5" applyNumberFormat="1" applyFont="1" applyFill="1" applyBorder="1" applyAlignment="1" applyProtection="1">
      <alignment horizontal="left" vertical="center"/>
      <protection hidden="1"/>
    </xf>
    <xf numFmtId="0" fontId="467" fillId="91" borderId="0" xfId="5" applyFont="1" applyFill="1" applyBorder="1" applyProtection="1">
      <alignment vertical="center"/>
      <protection hidden="1"/>
    </xf>
    <xf numFmtId="217" fontId="467" fillId="91" borderId="0" xfId="5" applyNumberFormat="1" applyFont="1" applyFill="1" applyBorder="1" applyProtection="1">
      <alignment vertical="center"/>
      <protection hidden="1"/>
    </xf>
    <xf numFmtId="218" fontId="467" fillId="91" borderId="0" xfId="5" applyNumberFormat="1" applyFont="1" applyFill="1" applyBorder="1" applyProtection="1">
      <alignment vertical="center"/>
      <protection hidden="1"/>
    </xf>
    <xf numFmtId="193" fontId="497" fillId="93" borderId="0" xfId="5" applyNumberFormat="1" applyFont="1" applyFill="1" applyBorder="1" applyAlignment="1" applyProtection="1">
      <alignment horizontal="center" vertical="center" shrinkToFit="1"/>
      <protection hidden="1"/>
    </xf>
    <xf numFmtId="193" fontId="497" fillId="93" borderId="0" xfId="5" applyNumberFormat="1" applyFont="1" applyFill="1" applyAlignment="1" applyProtection="1">
      <alignment horizontal="center" vertical="center" shrinkToFit="1"/>
      <protection hidden="1"/>
    </xf>
    <xf numFmtId="193" fontId="342" fillId="93" borderId="0" xfId="5" applyNumberFormat="1" applyFont="1" applyFill="1" applyAlignment="1" applyProtection="1">
      <alignment horizontal="center" vertical="center" shrinkToFit="1"/>
      <protection hidden="1"/>
    </xf>
    <xf numFmtId="208" fontId="443" fillId="93" borderId="0" xfId="5" applyNumberFormat="1" applyFont="1" applyFill="1" applyAlignment="1" applyProtection="1">
      <alignment horizontal="center" vertical="center"/>
      <protection hidden="1"/>
    </xf>
    <xf numFmtId="218" fontId="481" fillId="91" borderId="0" xfId="5" applyNumberFormat="1" applyFont="1" applyFill="1" applyBorder="1" applyProtection="1">
      <alignment vertical="center"/>
      <protection hidden="1"/>
    </xf>
    <xf numFmtId="190" fontId="490" fillId="93" borderId="0" xfId="5" applyNumberFormat="1" applyFont="1" applyFill="1" applyBorder="1" applyAlignment="1" applyProtection="1">
      <alignment horizontal="center" vertical="center"/>
      <protection hidden="1"/>
    </xf>
    <xf numFmtId="190" fontId="490" fillId="93" borderId="0" xfId="5" applyNumberFormat="1" applyFont="1" applyFill="1" applyAlignment="1" applyProtection="1">
      <alignment horizontal="center" vertical="center"/>
      <protection hidden="1"/>
    </xf>
    <xf numFmtId="190" fontId="443" fillId="93" borderId="0" xfId="5" applyNumberFormat="1" applyFont="1" applyFill="1" applyAlignment="1" applyProtection="1">
      <alignment horizontal="center" vertical="center"/>
      <protection hidden="1"/>
    </xf>
    <xf numFmtId="201" fontId="443" fillId="93" borderId="0" xfId="5" applyNumberFormat="1" applyFont="1" applyFill="1" applyAlignment="1" applyProtection="1">
      <alignment horizontal="center" vertical="center"/>
      <protection hidden="1"/>
    </xf>
    <xf numFmtId="208" fontId="443" fillId="93" borderId="0" xfId="5" applyNumberFormat="1" applyFont="1" applyFill="1" applyAlignment="1" applyProtection="1">
      <alignment horizontal="center" vertical="center" shrinkToFit="1"/>
      <protection hidden="1"/>
    </xf>
    <xf numFmtId="0" fontId="490" fillId="93" borderId="0" xfId="5" applyFont="1" applyFill="1" applyBorder="1" applyAlignment="1" applyProtection="1">
      <alignment horizontal="center" vertical="center" shrinkToFit="1"/>
      <protection hidden="1"/>
    </xf>
    <xf numFmtId="0" fontId="490" fillId="93" borderId="0" xfId="5" applyFont="1" applyFill="1" applyAlignment="1" applyProtection="1">
      <alignment horizontal="center" vertical="center" shrinkToFit="1"/>
      <protection hidden="1"/>
    </xf>
    <xf numFmtId="0" fontId="443" fillId="93" borderId="0" xfId="5" applyFont="1" applyFill="1" applyAlignment="1" applyProtection="1">
      <alignment horizontal="center" vertical="center" shrinkToFit="1"/>
      <protection hidden="1"/>
    </xf>
    <xf numFmtId="0" fontId="437" fillId="91" borderId="0" xfId="5" applyFont="1" applyFill="1" applyAlignment="1" applyProtection="1">
      <alignment horizontal="right" vertical="center"/>
      <protection hidden="1"/>
    </xf>
    <xf numFmtId="209" fontId="443" fillId="93" borderId="442" xfId="5" applyNumberFormat="1" applyFont="1" applyFill="1" applyBorder="1" applyProtection="1">
      <alignment vertical="center"/>
      <protection hidden="1"/>
    </xf>
    <xf numFmtId="0" fontId="437" fillId="91" borderId="0" xfId="5" applyFont="1" applyFill="1" applyBorder="1" applyAlignment="1" applyProtection="1">
      <alignment horizontal="right" vertical="center"/>
      <protection hidden="1"/>
    </xf>
    <xf numFmtId="49" fontId="469" fillId="93" borderId="4" xfId="5" applyNumberFormat="1" applyFont="1" applyFill="1" applyBorder="1" applyAlignment="1" applyProtection="1">
      <alignment horizontal="left" vertical="center"/>
      <protection hidden="1"/>
    </xf>
    <xf numFmtId="193" fontId="468" fillId="0" borderId="536" xfId="5" applyNumberFormat="1" applyFont="1" applyBorder="1" applyAlignment="1" applyProtection="1">
      <alignment horizontal="center" vertical="center" shrinkToFit="1"/>
      <protection hidden="1"/>
    </xf>
    <xf numFmtId="0" fontId="477" fillId="93" borderId="442" xfId="5" applyFont="1" applyFill="1" applyBorder="1" applyAlignment="1" applyProtection="1">
      <alignment horizontal="right" vertical="center"/>
      <protection hidden="1"/>
    </xf>
    <xf numFmtId="211" fontId="154" fillId="93" borderId="442" xfId="5" applyNumberFormat="1" applyFont="1" applyFill="1" applyBorder="1" applyProtection="1">
      <alignment vertical="center"/>
      <protection hidden="1"/>
    </xf>
    <xf numFmtId="0" fontId="154" fillId="95" borderId="0" xfId="5" applyFill="1" applyProtection="1">
      <alignment vertical="center"/>
      <protection hidden="1"/>
    </xf>
    <xf numFmtId="0" fontId="460" fillId="0" borderId="0" xfId="5" applyFont="1" applyProtection="1">
      <alignment vertical="center"/>
      <protection hidden="1"/>
    </xf>
    <xf numFmtId="0" fontId="53" fillId="0" borderId="0" xfId="0" applyFont="1" applyFill="1" applyAlignment="1" applyProtection="1">
      <alignment horizontal="center" vertical="center"/>
      <protection hidden="1"/>
    </xf>
    <xf numFmtId="182" fontId="11" fillId="0" borderId="173" xfId="0" quotePrefix="1" applyNumberFormat="1" applyFont="1" applyFill="1" applyBorder="1" applyAlignment="1" applyProtection="1">
      <alignment horizontal="right" vertical="center" shrinkToFit="1"/>
      <protection hidden="1"/>
    </xf>
    <xf numFmtId="0" fontId="25" fillId="30" borderId="0" xfId="4" applyFont="1" applyFill="1" applyBorder="1" applyAlignment="1" applyProtection="1">
      <alignment horizontal="left" vertical="center"/>
      <protection hidden="1"/>
    </xf>
    <xf numFmtId="182" fontId="336" fillId="0" borderId="173" xfId="1" applyNumberFormat="1" applyFont="1" applyFill="1" applyBorder="1" applyAlignment="1" applyProtection="1">
      <alignment horizontal="right" vertical="center" shrinkToFit="1"/>
      <protection locked="0"/>
    </xf>
    <xf numFmtId="182" fontId="336" fillId="0" borderId="173" xfId="1" quotePrefix="1" applyNumberFormat="1" applyFont="1" applyFill="1" applyBorder="1" applyAlignment="1" applyProtection="1">
      <alignment horizontal="right" vertical="center" shrinkToFit="1"/>
      <protection locked="0"/>
    </xf>
    <xf numFmtId="182" fontId="336" fillId="0" borderId="0" xfId="0" applyNumberFormat="1" applyFont="1" applyFill="1" applyAlignment="1" applyProtection="1">
      <alignment horizontal="right" vertical="center" shrinkToFit="1"/>
      <protection locked="0"/>
    </xf>
    <xf numFmtId="182" fontId="336" fillId="0" borderId="173" xfId="0" applyNumberFormat="1" applyFont="1" applyFill="1" applyBorder="1" applyAlignment="1" applyProtection="1">
      <alignment horizontal="right" vertical="center" shrinkToFit="1"/>
      <protection locked="0"/>
    </xf>
    <xf numFmtId="0" fontId="394" fillId="29" borderId="0" xfId="0" applyFont="1" applyFill="1" applyBorder="1" applyAlignment="1" applyProtection="1">
      <alignment horizontal="center" vertical="center"/>
      <protection hidden="1"/>
    </xf>
    <xf numFmtId="0" fontId="498" fillId="0" borderId="0" xfId="0" applyFont="1">
      <alignment vertical="center"/>
    </xf>
    <xf numFmtId="0" fontId="498" fillId="0" borderId="0" xfId="0" applyFont="1" applyFill="1" applyAlignment="1" applyProtection="1">
      <alignment horizontal="center" vertical="center"/>
      <protection hidden="1"/>
    </xf>
    <xf numFmtId="0" fontId="2" fillId="0" borderId="177" xfId="0" applyFont="1" applyFill="1" applyBorder="1" applyAlignment="1" applyProtection="1">
      <alignment horizontal="center" vertical="center"/>
      <protection hidden="1"/>
    </xf>
    <xf numFmtId="0" fontId="24" fillId="0" borderId="219" xfId="0" applyFont="1" applyFill="1" applyBorder="1" applyAlignment="1" applyProtection="1">
      <alignment horizontal="center" vertical="center"/>
      <protection hidden="1"/>
    </xf>
    <xf numFmtId="176" fontId="11" fillId="0" borderId="177" xfId="0" applyNumberFormat="1" applyFont="1" applyFill="1" applyBorder="1" applyAlignment="1" applyProtection="1">
      <alignment horizontal="right" vertical="center"/>
      <protection hidden="1"/>
    </xf>
    <xf numFmtId="0" fontId="498" fillId="0" borderId="219" xfId="0" applyFont="1" applyBorder="1">
      <alignment vertical="center"/>
    </xf>
    <xf numFmtId="0" fontId="362" fillId="0" borderId="20" xfId="0" applyFont="1" applyFill="1" applyBorder="1" applyAlignment="1" applyProtection="1">
      <alignment horizontal="center" vertical="center"/>
      <protection hidden="1"/>
    </xf>
    <xf numFmtId="0" fontId="12" fillId="29" borderId="0" xfId="0" applyFont="1" applyFill="1" applyBorder="1" applyAlignment="1" applyProtection="1">
      <alignment horizontal="center" vertical="center"/>
      <protection hidden="1"/>
    </xf>
    <xf numFmtId="0" fontId="2" fillId="29" borderId="0" xfId="0" applyFont="1" applyFill="1" applyBorder="1" applyAlignment="1" applyProtection="1">
      <alignment horizontal="center" vertical="center"/>
      <protection hidden="1"/>
    </xf>
    <xf numFmtId="0" fontId="2" fillId="0" borderId="0" xfId="0" applyFont="1" applyFill="1" applyBorder="1" applyAlignment="1" applyProtection="1">
      <alignment vertical="center"/>
      <protection hidden="1"/>
    </xf>
    <xf numFmtId="0" fontId="69" fillId="18" borderId="173" xfId="3" quotePrefix="1" applyNumberFormat="1" applyFont="1" applyFill="1" applyBorder="1" applyAlignment="1" applyProtection="1">
      <alignment horizontal="left" vertical="center" shrinkToFit="1"/>
      <protection hidden="1"/>
    </xf>
    <xf numFmtId="0" fontId="30" fillId="57" borderId="110" xfId="1" applyNumberFormat="1" applyFont="1" applyFill="1" applyBorder="1" applyAlignment="1" applyProtection="1">
      <alignment horizontal="center" vertical="center" shrinkToFit="1"/>
      <protection hidden="1"/>
    </xf>
    <xf numFmtId="0" fontId="273" fillId="33" borderId="0" xfId="0" applyNumberFormat="1" applyFont="1" applyFill="1" applyBorder="1" applyAlignment="1" applyProtection="1">
      <alignment horizontal="left" vertical="center" wrapText="1" shrinkToFit="1"/>
      <protection hidden="1"/>
    </xf>
    <xf numFmtId="0" fontId="273" fillId="33" borderId="0" xfId="0" applyNumberFormat="1" applyFont="1" applyFill="1" applyBorder="1" applyAlignment="1" applyProtection="1">
      <alignment horizontal="left" vertical="center" shrinkToFit="1"/>
      <protection hidden="1"/>
    </xf>
    <xf numFmtId="0" fontId="12" fillId="33" borderId="0" xfId="0" applyNumberFormat="1" applyFont="1" applyFill="1" applyBorder="1" applyAlignment="1" applyProtection="1">
      <alignment horizontal="left" vertical="center" wrapText="1" shrinkToFit="1"/>
      <protection hidden="1"/>
    </xf>
    <xf numFmtId="0" fontId="12" fillId="33" borderId="0" xfId="0" applyNumberFormat="1" applyFont="1" applyFill="1" applyBorder="1" applyAlignment="1" applyProtection="1">
      <alignment horizontal="left" vertical="center" shrinkToFit="1"/>
      <protection hidden="1"/>
    </xf>
    <xf numFmtId="0" fontId="350" fillId="33" borderId="0" xfId="0" applyNumberFormat="1" applyFont="1" applyFill="1" applyBorder="1" applyAlignment="1" applyProtection="1">
      <alignment horizontal="left" vertical="center" shrinkToFit="1"/>
      <protection hidden="1"/>
    </xf>
    <xf numFmtId="0" fontId="265" fillId="33" borderId="0" xfId="0" applyNumberFormat="1" applyFont="1" applyFill="1" applyBorder="1" applyAlignment="1" applyProtection="1">
      <alignment horizontal="left" vertical="center" shrinkToFit="1"/>
      <protection hidden="1"/>
    </xf>
    <xf numFmtId="0" fontId="12" fillId="58" borderId="0" xfId="0" applyNumberFormat="1" applyFont="1" applyFill="1" applyBorder="1" applyAlignment="1" applyProtection="1">
      <alignment horizontal="left" vertical="center" shrinkToFit="1"/>
      <protection hidden="1"/>
    </xf>
    <xf numFmtId="0" fontId="70" fillId="33" borderId="0" xfId="0" applyNumberFormat="1" applyFont="1" applyFill="1" applyBorder="1" applyAlignment="1" applyProtection="1">
      <alignment horizontal="left" vertical="center" wrapText="1" shrinkToFit="1"/>
      <protection hidden="1"/>
    </xf>
    <xf numFmtId="0" fontId="70" fillId="33" borderId="0" xfId="0" applyNumberFormat="1" applyFont="1" applyFill="1" applyBorder="1" applyAlignment="1" applyProtection="1">
      <alignment horizontal="left" vertical="center" shrinkToFit="1"/>
      <protection hidden="1"/>
    </xf>
    <xf numFmtId="0" fontId="12" fillId="33" borderId="0" xfId="0" applyNumberFormat="1" applyFont="1" applyFill="1" applyAlignment="1" applyProtection="1">
      <alignment horizontal="left" vertical="center" shrinkToFit="1"/>
      <protection hidden="1"/>
    </xf>
    <xf numFmtId="0" fontId="200" fillId="54" borderId="0" xfId="0" applyNumberFormat="1" applyFont="1" applyFill="1" applyBorder="1" applyAlignment="1" applyProtection="1">
      <alignment horizontal="left" vertical="center"/>
      <protection hidden="1"/>
    </xf>
    <xf numFmtId="0" fontId="272" fillId="33" borderId="0" xfId="0" applyNumberFormat="1" applyFont="1" applyFill="1" applyBorder="1" applyAlignment="1" applyProtection="1">
      <alignment horizontal="left" vertical="center" shrinkToFit="1"/>
      <protection hidden="1"/>
    </xf>
    <xf numFmtId="0" fontId="180" fillId="33" borderId="0" xfId="0" applyNumberFormat="1" applyFont="1" applyFill="1" applyBorder="1" applyAlignment="1" applyProtection="1">
      <alignment horizontal="left" vertical="center" shrinkToFit="1"/>
      <protection hidden="1"/>
    </xf>
    <xf numFmtId="0" fontId="266" fillId="33" borderId="0" xfId="0" applyNumberFormat="1" applyFont="1" applyFill="1" applyBorder="1" applyAlignment="1" applyProtection="1">
      <alignment horizontal="left" vertical="center" shrinkToFit="1"/>
      <protection hidden="1"/>
    </xf>
    <xf numFmtId="0" fontId="72" fillId="33" borderId="0" xfId="0" applyNumberFormat="1" applyFont="1" applyFill="1" applyBorder="1" applyAlignment="1" applyProtection="1">
      <alignment horizontal="left" vertical="center" shrinkToFit="1"/>
      <protection hidden="1"/>
    </xf>
    <xf numFmtId="0" fontId="499" fillId="24" borderId="110" xfId="1" applyFont="1" applyFill="1" applyBorder="1" applyAlignment="1">
      <alignment horizontal="center" vertical="center"/>
    </xf>
    <xf numFmtId="0" fontId="30" fillId="0" borderId="0" xfId="0" applyFont="1" applyFill="1" applyAlignment="1" applyProtection="1">
      <alignment horizontal="center" vertical="center"/>
      <protection hidden="1"/>
    </xf>
    <xf numFmtId="0" fontId="220" fillId="96" borderId="132" xfId="1" applyFont="1" applyFill="1" applyBorder="1" applyAlignment="1" applyProtection="1">
      <alignment horizontal="center" vertical="center" shrinkToFit="1"/>
      <protection hidden="1"/>
    </xf>
    <xf numFmtId="0" fontId="220" fillId="96" borderId="132" xfId="1" applyFont="1" applyFill="1" applyBorder="1" applyAlignment="1">
      <alignment horizontal="center" vertical="center"/>
    </xf>
    <xf numFmtId="0" fontId="500" fillId="0" borderId="110" xfId="1" applyFont="1" applyBorder="1" applyAlignment="1" applyProtection="1">
      <alignment horizontal="center" vertical="center"/>
      <protection hidden="1"/>
    </xf>
    <xf numFmtId="0" fontId="501" fillId="24" borderId="110" xfId="1" applyFont="1" applyFill="1" applyBorder="1" applyAlignment="1" applyProtection="1">
      <alignment horizontal="center" vertical="center" shrinkToFit="1"/>
      <protection hidden="1"/>
    </xf>
    <xf numFmtId="0" fontId="502" fillId="24" borderId="110" xfId="1" applyFont="1" applyFill="1" applyBorder="1" applyAlignment="1">
      <alignment horizontal="center" vertical="center"/>
    </xf>
    <xf numFmtId="0" fontId="208" fillId="21" borderId="32" xfId="1" applyFont="1" applyFill="1" applyBorder="1" applyAlignment="1" applyProtection="1">
      <alignment horizontal="center" vertical="center" shrinkToFit="1"/>
      <protection hidden="1"/>
    </xf>
    <xf numFmtId="181" fontId="53" fillId="4" borderId="48" xfId="0" applyNumberFormat="1" applyFont="1" applyFill="1" applyBorder="1" applyAlignment="1" applyProtection="1">
      <alignment horizontal="right" vertical="center" shrinkToFit="1"/>
      <protection hidden="1"/>
    </xf>
    <xf numFmtId="181" fontId="53" fillId="4" borderId="39" xfId="0" applyNumberFormat="1" applyFont="1" applyFill="1" applyBorder="1" applyAlignment="1" applyProtection="1">
      <alignment horizontal="right" vertical="center" shrinkToFit="1"/>
      <protection hidden="1"/>
    </xf>
    <xf numFmtId="181" fontId="53" fillId="4" borderId="40" xfId="0" applyNumberFormat="1" applyFont="1" applyFill="1" applyBorder="1" applyAlignment="1" applyProtection="1">
      <alignment horizontal="right" vertical="center" shrinkToFit="1"/>
      <protection hidden="1"/>
    </xf>
    <xf numFmtId="193" fontId="53" fillId="2" borderId="175" xfId="0" applyNumberFormat="1" applyFont="1" applyFill="1" applyBorder="1" applyAlignment="1" applyProtection="1">
      <alignment horizontal="left" vertical="center" shrinkToFit="1"/>
      <protection hidden="1"/>
    </xf>
    <xf numFmtId="193" fontId="53" fillId="2" borderId="176" xfId="0" applyNumberFormat="1" applyFont="1" applyFill="1" applyBorder="1" applyAlignment="1" applyProtection="1">
      <alignment horizontal="left" vertical="center" shrinkToFit="1"/>
      <protection hidden="1"/>
    </xf>
    <xf numFmtId="182" fontId="53" fillId="2" borderId="173" xfId="0" applyNumberFormat="1" applyFont="1" applyFill="1" applyBorder="1" applyAlignment="1" applyProtection="1">
      <alignment horizontal="center" vertical="center" shrinkToFit="1"/>
      <protection hidden="1"/>
    </xf>
    <xf numFmtId="0" fontId="53" fillId="2" borderId="0" xfId="0" applyFont="1" applyFill="1" applyAlignment="1" applyProtection="1">
      <alignment horizontal="center" vertical="top"/>
      <protection hidden="1"/>
    </xf>
    <xf numFmtId="0" fontId="53" fillId="2" borderId="219" xfId="0" applyFont="1" applyFill="1" applyBorder="1" applyAlignment="1" applyProtection="1">
      <alignment horizontal="center" vertical="center"/>
      <protection hidden="1"/>
    </xf>
    <xf numFmtId="182" fontId="11" fillId="2" borderId="199" xfId="0" applyNumberFormat="1" applyFont="1" applyFill="1" applyBorder="1" applyAlignment="1" applyProtection="1">
      <alignment horizontal="center" vertical="center" shrinkToFit="1"/>
      <protection hidden="1"/>
    </xf>
    <xf numFmtId="0" fontId="11" fillId="7" borderId="175" xfId="0" applyFont="1" applyFill="1" applyBorder="1" applyAlignment="1" applyProtection="1">
      <alignment horizontal="center" vertical="center"/>
      <protection hidden="1"/>
    </xf>
    <xf numFmtId="0" fontId="11" fillId="7" borderId="176" xfId="0" applyFont="1" applyFill="1" applyBorder="1" applyAlignment="1" applyProtection="1">
      <alignment horizontal="center" vertical="center"/>
      <protection hidden="1"/>
    </xf>
    <xf numFmtId="0" fontId="69" fillId="21" borderId="173" xfId="0" applyFont="1" applyFill="1" applyBorder="1" applyAlignment="1" applyProtection="1">
      <alignment horizontal="center" vertical="center"/>
      <protection hidden="1"/>
    </xf>
    <xf numFmtId="0" fontId="21" fillId="2" borderId="164" xfId="0" applyFont="1" applyFill="1" applyBorder="1" applyAlignment="1" applyProtection="1">
      <alignment horizontal="center" vertical="center" shrinkToFit="1"/>
      <protection hidden="1"/>
    </xf>
    <xf numFmtId="0" fontId="21" fillId="2" borderId="165" xfId="0" applyFont="1" applyFill="1" applyBorder="1" applyAlignment="1" applyProtection="1">
      <alignment horizontal="center" vertical="center" shrinkToFit="1"/>
      <protection hidden="1"/>
    </xf>
    <xf numFmtId="0" fontId="21" fillId="2" borderId="28" xfId="0" applyFont="1" applyFill="1" applyBorder="1" applyAlignment="1" applyProtection="1">
      <alignment horizontal="center" vertical="center" shrinkToFit="1"/>
      <protection hidden="1"/>
    </xf>
    <xf numFmtId="0" fontId="21" fillId="2" borderId="155" xfId="0" applyFont="1" applyFill="1" applyBorder="1" applyAlignment="1" applyProtection="1">
      <alignment horizontal="center" vertical="center" shrinkToFit="1"/>
      <protection hidden="1"/>
    </xf>
    <xf numFmtId="182" fontId="53" fillId="4" borderId="173" xfId="0" applyNumberFormat="1" applyFont="1" applyFill="1" applyBorder="1" applyAlignment="1" applyProtection="1">
      <alignment horizontal="right" vertical="center" shrinkToFit="1"/>
      <protection hidden="1"/>
    </xf>
    <xf numFmtId="0" fontId="53" fillId="5" borderId="4" xfId="0" applyFont="1" applyFill="1" applyBorder="1" applyAlignment="1" applyProtection="1">
      <alignment horizontal="left" vertical="center"/>
      <protection hidden="1"/>
    </xf>
    <xf numFmtId="0" fontId="53" fillId="5" borderId="0" xfId="0" applyFont="1" applyFill="1" applyBorder="1" applyAlignment="1" applyProtection="1">
      <alignment horizontal="left" vertical="center"/>
      <protection hidden="1"/>
    </xf>
    <xf numFmtId="0" fontId="53" fillId="5" borderId="0" xfId="0" applyFont="1" applyFill="1" applyBorder="1" applyAlignment="1" applyProtection="1">
      <alignment horizontal="left" vertical="center" shrinkToFit="1"/>
      <protection hidden="1"/>
    </xf>
    <xf numFmtId="0" fontId="12" fillId="22" borderId="267" xfId="0" applyNumberFormat="1" applyFont="1" applyFill="1" applyBorder="1" applyAlignment="1" applyProtection="1">
      <alignment horizontal="center" vertical="center" shrinkToFit="1"/>
      <protection locked="0"/>
    </xf>
    <xf numFmtId="0" fontId="12" fillId="22" borderId="0" xfId="0" applyNumberFormat="1" applyFont="1" applyFill="1" applyBorder="1" applyAlignment="1" applyProtection="1">
      <alignment horizontal="center" vertical="center" shrinkToFit="1"/>
      <protection locked="0"/>
    </xf>
    <xf numFmtId="0" fontId="12" fillId="22" borderId="228" xfId="0" applyNumberFormat="1" applyFont="1" applyFill="1" applyBorder="1" applyAlignment="1" applyProtection="1">
      <alignment horizontal="center" vertical="center" shrinkToFit="1"/>
      <protection locked="0"/>
    </xf>
    <xf numFmtId="181" fontId="12" fillId="4" borderId="37" xfId="0" applyNumberFormat="1" applyFont="1" applyFill="1" applyBorder="1" applyAlignment="1" applyProtection="1">
      <alignment horizontal="right" vertical="center" shrinkToFit="1"/>
      <protection hidden="1"/>
    </xf>
    <xf numFmtId="181" fontId="12" fillId="4" borderId="0" xfId="0" applyNumberFormat="1" applyFont="1" applyFill="1" applyBorder="1" applyAlignment="1" applyProtection="1">
      <alignment horizontal="right" vertical="center" shrinkToFit="1"/>
      <protection hidden="1"/>
    </xf>
    <xf numFmtId="181" fontId="12" fillId="4" borderId="36" xfId="0" applyNumberFormat="1" applyFont="1" applyFill="1" applyBorder="1" applyAlignment="1" applyProtection="1">
      <alignment horizontal="right" vertical="center" shrinkToFit="1"/>
      <protection hidden="1"/>
    </xf>
    <xf numFmtId="187" fontId="12" fillId="4" borderId="35" xfId="0" applyNumberFormat="1" applyFont="1" applyFill="1" applyBorder="1" applyAlignment="1" applyProtection="1">
      <alignment horizontal="right" shrinkToFit="1"/>
      <protection hidden="1"/>
    </xf>
    <xf numFmtId="187" fontId="12" fillId="4" borderId="34" xfId="0" applyNumberFormat="1" applyFont="1" applyFill="1" applyBorder="1" applyAlignment="1" applyProtection="1">
      <alignment horizontal="right" shrinkToFit="1"/>
      <protection hidden="1"/>
    </xf>
    <xf numFmtId="187" fontId="12" fillId="4" borderId="29" xfId="0" applyNumberFormat="1" applyFont="1" applyFill="1" applyBorder="1" applyAlignment="1" applyProtection="1">
      <alignment horizontal="right" shrinkToFit="1"/>
      <protection hidden="1"/>
    </xf>
    <xf numFmtId="187" fontId="12" fillId="4" borderId="47" xfId="0" applyNumberFormat="1" applyFont="1" applyFill="1" applyBorder="1" applyAlignment="1" applyProtection="1">
      <alignment horizontal="right" shrinkToFit="1"/>
      <protection hidden="1"/>
    </xf>
    <xf numFmtId="181" fontId="12" fillId="4" borderId="38" xfId="0" applyNumberFormat="1" applyFont="1" applyFill="1" applyBorder="1" applyAlignment="1" applyProtection="1">
      <alignment horizontal="right" vertical="center" shrinkToFit="1"/>
      <protection hidden="1"/>
    </xf>
    <xf numFmtId="181" fontId="12" fillId="4" borderId="29" xfId="0" applyNumberFormat="1" applyFont="1" applyFill="1" applyBorder="1" applyAlignment="1" applyProtection="1">
      <alignment horizontal="right" vertical="center" shrinkToFit="1"/>
      <protection hidden="1"/>
    </xf>
    <xf numFmtId="181" fontId="12" fillId="4" borderId="47" xfId="0" applyNumberFormat="1" applyFont="1" applyFill="1" applyBorder="1" applyAlignment="1" applyProtection="1">
      <alignment horizontal="right" vertical="center" shrinkToFit="1"/>
      <protection hidden="1"/>
    </xf>
    <xf numFmtId="0" fontId="31" fillId="17" borderId="38" xfId="0" applyFont="1" applyFill="1" applyBorder="1" applyAlignment="1" applyProtection="1">
      <alignment horizontal="center" vertical="center" shrinkToFit="1"/>
      <protection locked="0"/>
    </xf>
    <xf numFmtId="0" fontId="31" fillId="17" borderId="29" xfId="0" applyFont="1" applyFill="1" applyBorder="1" applyAlignment="1" applyProtection="1">
      <alignment horizontal="center" vertical="center" shrinkToFit="1"/>
      <protection locked="0"/>
    </xf>
    <xf numFmtId="0" fontId="31" fillId="17" borderId="47" xfId="0" applyFont="1" applyFill="1" applyBorder="1" applyAlignment="1" applyProtection="1">
      <alignment horizontal="center" vertical="center" shrinkToFit="1"/>
      <protection locked="0"/>
    </xf>
    <xf numFmtId="184" fontId="12" fillId="4" borderId="38" xfId="0" applyNumberFormat="1" applyFont="1" applyFill="1" applyBorder="1" applyAlignment="1" applyProtection="1">
      <alignment horizontal="right" vertical="center" shrinkToFit="1"/>
      <protection hidden="1"/>
    </xf>
    <xf numFmtId="184" fontId="12" fillId="4" borderId="29" xfId="0" applyNumberFormat="1" applyFont="1" applyFill="1" applyBorder="1" applyAlignment="1" applyProtection="1">
      <alignment horizontal="right" vertical="center" shrinkToFit="1"/>
      <protection hidden="1"/>
    </xf>
    <xf numFmtId="184" fontId="12" fillId="4" borderId="47" xfId="0" applyNumberFormat="1" applyFont="1" applyFill="1" applyBorder="1" applyAlignment="1" applyProtection="1">
      <alignment horizontal="right" vertical="center" shrinkToFit="1"/>
      <protection hidden="1"/>
    </xf>
    <xf numFmtId="176" fontId="24" fillId="4" borderId="38" xfId="0" applyNumberFormat="1" applyFont="1" applyFill="1" applyBorder="1" applyAlignment="1" applyProtection="1">
      <alignment horizontal="right" vertical="center" shrinkToFit="1"/>
      <protection hidden="1"/>
    </xf>
    <xf numFmtId="176" fontId="24" fillId="4" borderId="29" xfId="0" applyNumberFormat="1" applyFont="1" applyFill="1" applyBorder="1" applyAlignment="1" applyProtection="1">
      <alignment horizontal="right" vertical="center" shrinkToFit="1"/>
      <protection hidden="1"/>
    </xf>
    <xf numFmtId="0" fontId="12" fillId="22" borderId="268" xfId="0" applyNumberFormat="1" applyFont="1" applyFill="1" applyBorder="1" applyAlignment="1" applyProtection="1">
      <alignment horizontal="center" vertical="center" shrinkToFit="1"/>
      <protection hidden="1"/>
    </xf>
    <xf numFmtId="0" fontId="12" fillId="22" borderId="29" xfId="0" applyNumberFormat="1" applyFont="1" applyFill="1" applyBorder="1" applyAlignment="1" applyProtection="1">
      <alignment horizontal="center" vertical="center" shrinkToFit="1"/>
      <protection hidden="1"/>
    </xf>
    <xf numFmtId="0" fontId="12" fillId="22" borderId="300" xfId="0" applyNumberFormat="1" applyFont="1" applyFill="1" applyBorder="1" applyAlignment="1" applyProtection="1">
      <alignment horizontal="center" vertical="center" shrinkToFit="1"/>
      <protection hidden="1"/>
    </xf>
    <xf numFmtId="185" fontId="12" fillId="4" borderId="268" xfId="0" applyNumberFormat="1" applyFont="1" applyFill="1" applyBorder="1" applyAlignment="1" applyProtection="1">
      <alignment horizontal="center" vertical="center" shrinkToFit="1"/>
      <protection hidden="1"/>
    </xf>
    <xf numFmtId="185" fontId="12" fillId="4" borderId="29" xfId="0" applyNumberFormat="1" applyFont="1" applyFill="1" applyBorder="1" applyAlignment="1" applyProtection="1">
      <alignment horizontal="center" vertical="center" shrinkToFit="1"/>
      <protection hidden="1"/>
    </xf>
    <xf numFmtId="185" fontId="12" fillId="4" borderId="90" xfId="0" applyNumberFormat="1" applyFont="1" applyFill="1" applyBorder="1" applyAlignment="1" applyProtection="1">
      <alignment horizontal="center" vertical="center" shrinkToFit="1"/>
      <protection hidden="1"/>
    </xf>
    <xf numFmtId="191" fontId="43" fillId="17" borderId="268" xfId="0" applyNumberFormat="1" applyFont="1" applyFill="1" applyBorder="1" applyAlignment="1" applyProtection="1">
      <alignment horizontal="right" vertical="center" shrinkToFit="1"/>
      <protection hidden="1"/>
    </xf>
    <xf numFmtId="191" fontId="43" fillId="17" borderId="29" xfId="0" applyNumberFormat="1" applyFont="1" applyFill="1" applyBorder="1" applyAlignment="1" applyProtection="1">
      <alignment horizontal="right" vertical="center" shrinkToFit="1"/>
      <protection hidden="1"/>
    </xf>
    <xf numFmtId="191" fontId="43" fillId="17" borderId="300" xfId="0" applyNumberFormat="1" applyFont="1" applyFill="1" applyBorder="1" applyAlignment="1" applyProtection="1">
      <alignment horizontal="right" vertical="center" shrinkToFit="1"/>
      <protection hidden="1"/>
    </xf>
    <xf numFmtId="182" fontId="43" fillId="22" borderId="268" xfId="0" applyNumberFormat="1" applyFont="1" applyFill="1" applyBorder="1" applyAlignment="1" applyProtection="1">
      <alignment horizontal="right" vertical="center" shrinkToFit="1"/>
      <protection locked="0"/>
    </xf>
    <xf numFmtId="182" fontId="43" fillId="22" borderId="29" xfId="0" applyNumberFormat="1" applyFont="1" applyFill="1" applyBorder="1" applyAlignment="1" applyProtection="1">
      <alignment horizontal="right" vertical="center" shrinkToFit="1"/>
      <protection locked="0"/>
    </xf>
    <xf numFmtId="182" fontId="43" fillId="22" borderId="300" xfId="0" applyNumberFormat="1" applyFont="1" applyFill="1" applyBorder="1" applyAlignment="1" applyProtection="1">
      <alignment horizontal="right" vertical="center" shrinkToFit="1"/>
      <protection locked="0"/>
    </xf>
    <xf numFmtId="0" fontId="31" fillId="17" borderId="38" xfId="0" applyFont="1" applyFill="1" applyBorder="1" applyAlignment="1" applyProtection="1">
      <alignment horizontal="center" vertical="center" shrinkToFit="1"/>
      <protection hidden="1"/>
    </xf>
    <xf numFmtId="0" fontId="31" fillId="17" borderId="29" xfId="0" applyFont="1" applyFill="1" applyBorder="1" applyAlignment="1" applyProtection="1">
      <alignment horizontal="center" vertical="center" shrinkToFit="1"/>
      <protection hidden="1"/>
    </xf>
    <xf numFmtId="0" fontId="31" fillId="17" borderId="47" xfId="0" applyFont="1" applyFill="1" applyBorder="1" applyAlignment="1" applyProtection="1">
      <alignment horizontal="center" vertical="center" shrinkToFit="1"/>
      <protection hidden="1"/>
    </xf>
    <xf numFmtId="0" fontId="12" fillId="4" borderId="38" xfId="0" applyFont="1" applyFill="1" applyBorder="1" applyAlignment="1" applyProtection="1">
      <alignment horizontal="center" vertical="center" shrinkToFit="1"/>
      <protection hidden="1"/>
    </xf>
    <xf numFmtId="0" fontId="12" fillId="4" borderId="29" xfId="0" applyFont="1" applyFill="1" applyBorder="1" applyAlignment="1" applyProtection="1">
      <alignment horizontal="center" vertical="center" shrinkToFit="1"/>
      <protection hidden="1"/>
    </xf>
    <xf numFmtId="0" fontId="12" fillId="4" borderId="47" xfId="0" applyFont="1" applyFill="1" applyBorder="1" applyAlignment="1" applyProtection="1">
      <alignment horizontal="center" vertical="center" shrinkToFit="1"/>
      <protection hidden="1"/>
    </xf>
    <xf numFmtId="0" fontId="42" fillId="17" borderId="38" xfId="0" applyFont="1" applyFill="1" applyBorder="1" applyAlignment="1" applyProtection="1">
      <alignment horizontal="center" vertical="center" shrinkToFit="1"/>
      <protection hidden="1"/>
    </xf>
    <xf numFmtId="0" fontId="42" fillId="17" borderId="29" xfId="0" applyFont="1" applyFill="1" applyBorder="1" applyAlignment="1" applyProtection="1">
      <alignment horizontal="center" vertical="center" shrinkToFit="1"/>
      <protection hidden="1"/>
    </xf>
    <xf numFmtId="0" fontId="42" fillId="17" borderId="47" xfId="0" applyFont="1" applyFill="1" applyBorder="1" applyAlignment="1" applyProtection="1">
      <alignment horizontal="center" vertical="center" shrinkToFit="1"/>
      <protection hidden="1"/>
    </xf>
    <xf numFmtId="0" fontId="12" fillId="22" borderId="267" xfId="0" applyNumberFormat="1" applyFont="1" applyFill="1" applyBorder="1" applyAlignment="1" applyProtection="1">
      <alignment horizontal="center" vertical="center" shrinkToFit="1"/>
      <protection hidden="1"/>
    </xf>
    <xf numFmtId="0" fontId="12" fillId="22" borderId="0" xfId="0" applyNumberFormat="1" applyFont="1" applyFill="1" applyBorder="1" applyAlignment="1" applyProtection="1">
      <alignment horizontal="center" vertical="center" shrinkToFit="1"/>
      <protection hidden="1"/>
    </xf>
    <xf numFmtId="0" fontId="12" fillId="22" borderId="228" xfId="0" applyNumberFormat="1" applyFont="1" applyFill="1" applyBorder="1" applyAlignment="1" applyProtection="1">
      <alignment horizontal="center" vertical="center" shrinkToFit="1"/>
      <protection hidden="1"/>
    </xf>
    <xf numFmtId="0" fontId="44" fillId="17" borderId="38" xfId="0" applyFont="1" applyFill="1" applyBorder="1" applyAlignment="1" applyProtection="1">
      <alignment horizontal="center" vertical="center" shrinkToFit="1"/>
      <protection locked="0"/>
    </xf>
    <xf numFmtId="0" fontId="44" fillId="17" borderId="29" xfId="0" applyFont="1" applyFill="1" applyBorder="1" applyAlignment="1" applyProtection="1">
      <alignment horizontal="center" vertical="center" shrinkToFit="1"/>
      <protection locked="0"/>
    </xf>
    <xf numFmtId="0" fontId="44" fillId="17" borderId="47" xfId="0" applyFont="1" applyFill="1" applyBorder="1" applyAlignment="1" applyProtection="1">
      <alignment horizontal="center" vertical="center" shrinkToFit="1"/>
      <protection locked="0"/>
    </xf>
    <xf numFmtId="0" fontId="12" fillId="22" borderId="268" xfId="0" applyNumberFormat="1" applyFont="1" applyFill="1" applyBorder="1" applyAlignment="1" applyProtection="1">
      <alignment horizontal="center" vertical="center" shrinkToFit="1"/>
      <protection locked="0"/>
    </xf>
    <xf numFmtId="0" fontId="12" fillId="22" borderId="29" xfId="0" applyNumberFormat="1" applyFont="1" applyFill="1" applyBorder="1" applyAlignment="1" applyProtection="1">
      <alignment horizontal="center" vertical="center" shrinkToFit="1"/>
      <protection locked="0"/>
    </xf>
    <xf numFmtId="0" fontId="12" fillId="22" borderId="300" xfId="0" applyNumberFormat="1" applyFont="1" applyFill="1" applyBorder="1" applyAlignment="1" applyProtection="1">
      <alignment horizontal="center" vertical="center" shrinkToFit="1"/>
      <protection locked="0"/>
    </xf>
    <xf numFmtId="191" fontId="43" fillId="17" borderId="268" xfId="0" applyNumberFormat="1" applyFont="1" applyFill="1" applyBorder="1" applyAlignment="1" applyProtection="1">
      <alignment horizontal="right" vertical="center" shrinkToFit="1"/>
      <protection locked="0"/>
    </xf>
    <xf numFmtId="191" fontId="43" fillId="17" borderId="29" xfId="0" applyNumberFormat="1" applyFont="1" applyFill="1" applyBorder="1" applyAlignment="1" applyProtection="1">
      <alignment horizontal="right" vertical="center" shrinkToFit="1"/>
      <protection locked="0"/>
    </xf>
    <xf numFmtId="191" fontId="43" fillId="17" borderId="300" xfId="0" applyNumberFormat="1" applyFont="1" applyFill="1" applyBorder="1" applyAlignment="1" applyProtection="1">
      <alignment horizontal="right" vertical="center" shrinkToFit="1"/>
      <protection locked="0"/>
    </xf>
    <xf numFmtId="192" fontId="12" fillId="2" borderId="0" xfId="0" applyNumberFormat="1" applyFont="1" applyFill="1" applyBorder="1" applyAlignment="1" applyProtection="1">
      <alignment horizontal="center" vertical="center" wrapText="1" shrinkToFit="1"/>
      <protection hidden="1"/>
    </xf>
    <xf numFmtId="192" fontId="12" fillId="2" borderId="29" xfId="0" applyNumberFormat="1" applyFont="1" applyFill="1" applyBorder="1" applyAlignment="1" applyProtection="1">
      <alignment horizontal="center" vertical="center" wrapText="1" shrinkToFit="1"/>
      <protection hidden="1"/>
    </xf>
    <xf numFmtId="0" fontId="31" fillId="4" borderId="29" xfId="0" quotePrefix="1" applyFont="1" applyFill="1" applyBorder="1" applyAlignment="1" applyProtection="1">
      <alignment horizontal="center" vertical="center"/>
      <protection hidden="1"/>
    </xf>
    <xf numFmtId="0" fontId="31" fillId="4" borderId="47" xfId="0" applyFont="1" applyFill="1" applyBorder="1" applyAlignment="1" applyProtection="1">
      <alignment horizontal="center" vertical="center"/>
      <protection hidden="1"/>
    </xf>
    <xf numFmtId="178" fontId="165" fillId="21" borderId="77" xfId="0" applyNumberFormat="1" applyFont="1" applyFill="1" applyBorder="1" applyAlignment="1" applyProtection="1">
      <alignment horizontal="right" vertical="center" shrinkToFit="1"/>
      <protection hidden="1"/>
    </xf>
    <xf numFmtId="0" fontId="11" fillId="21" borderId="106" xfId="0" applyFont="1" applyFill="1" applyBorder="1" applyAlignment="1" applyProtection="1">
      <alignment horizontal="center" shrinkToFit="1"/>
      <protection hidden="1"/>
    </xf>
    <xf numFmtId="0" fontId="11" fillId="21" borderId="264" xfId="0" applyFont="1" applyFill="1" applyBorder="1" applyAlignment="1" applyProtection="1">
      <alignment horizontal="center" vertical="top" shrinkToFit="1"/>
      <protection hidden="1"/>
    </xf>
    <xf numFmtId="0" fontId="12" fillId="4" borderId="39" xfId="0" applyFont="1" applyFill="1" applyBorder="1" applyAlignment="1" applyProtection="1">
      <alignment horizontal="left" vertical="center" shrinkToFit="1"/>
      <protection hidden="1"/>
    </xf>
    <xf numFmtId="0" fontId="12" fillId="4" borderId="40" xfId="0" applyFont="1" applyFill="1" applyBorder="1" applyAlignment="1" applyProtection="1">
      <alignment horizontal="left" vertical="center" shrinkToFit="1"/>
      <protection hidden="1"/>
    </xf>
    <xf numFmtId="0" fontId="25" fillId="2" borderId="95" xfId="0" applyFont="1" applyFill="1" applyBorder="1" applyAlignment="1" applyProtection="1">
      <alignment horizontal="center" vertical="center" shrinkToFit="1"/>
      <protection hidden="1"/>
    </xf>
    <xf numFmtId="0" fontId="25" fillId="2" borderId="96" xfId="0" applyFont="1" applyFill="1" applyBorder="1" applyAlignment="1" applyProtection="1">
      <alignment horizontal="center" vertical="center" shrinkToFit="1"/>
      <protection hidden="1"/>
    </xf>
    <xf numFmtId="0" fontId="25" fillId="2" borderId="97" xfId="0" applyFont="1" applyFill="1" applyBorder="1" applyAlignment="1" applyProtection="1">
      <alignment horizontal="center" vertical="center" shrinkToFit="1"/>
      <protection hidden="1"/>
    </xf>
    <xf numFmtId="0" fontId="59" fillId="2" borderId="86" xfId="0" applyFont="1" applyFill="1" applyBorder="1" applyAlignment="1" applyProtection="1">
      <alignment horizontal="center" vertical="center" shrinkToFit="1"/>
      <protection hidden="1"/>
    </xf>
    <xf numFmtId="0" fontId="59" fillId="2" borderId="87" xfId="0" applyFont="1" applyFill="1" applyBorder="1" applyAlignment="1" applyProtection="1">
      <alignment horizontal="center" vertical="center" shrinkToFit="1"/>
      <protection hidden="1"/>
    </xf>
    <xf numFmtId="0" fontId="53" fillId="2" borderId="41" xfId="0" applyFont="1" applyFill="1" applyBorder="1" applyAlignment="1" applyProtection="1">
      <alignment horizontal="center" vertical="center" shrinkToFit="1"/>
      <protection hidden="1"/>
    </xf>
    <xf numFmtId="0" fontId="53" fillId="2" borderId="42" xfId="0" applyFont="1" applyFill="1" applyBorder="1" applyAlignment="1" applyProtection="1">
      <alignment horizontal="center" vertical="center" shrinkToFit="1"/>
      <protection hidden="1"/>
    </xf>
    <xf numFmtId="0" fontId="53" fillId="2" borderId="43" xfId="0" applyFont="1" applyFill="1" applyBorder="1" applyAlignment="1" applyProtection="1">
      <alignment horizontal="center" vertical="center" shrinkToFit="1"/>
      <protection hidden="1"/>
    </xf>
    <xf numFmtId="0" fontId="53" fillId="21" borderId="41" xfId="0" applyFont="1" applyFill="1" applyBorder="1" applyAlignment="1" applyProtection="1">
      <alignment horizontal="center" shrinkToFit="1"/>
      <protection hidden="1"/>
    </xf>
    <xf numFmtId="0" fontId="53" fillId="21" borderId="42" xfId="0" applyFont="1" applyFill="1" applyBorder="1" applyAlignment="1" applyProtection="1">
      <alignment horizontal="center" shrinkToFit="1"/>
      <protection hidden="1"/>
    </xf>
    <xf numFmtId="0" fontId="53" fillId="21" borderId="43" xfId="0" applyFont="1" applyFill="1" applyBorder="1" applyAlignment="1" applyProtection="1">
      <alignment horizontal="center" shrinkToFit="1"/>
      <protection hidden="1"/>
    </xf>
    <xf numFmtId="0" fontId="53" fillId="21" borderId="33" xfId="0" applyFont="1" applyFill="1" applyBorder="1" applyAlignment="1" applyProtection="1">
      <alignment horizontal="center" vertical="center" wrapText="1" shrinkToFit="1"/>
      <protection hidden="1"/>
    </xf>
    <xf numFmtId="0" fontId="53" fillId="21" borderId="35" xfId="0" applyFont="1" applyFill="1" applyBorder="1" applyAlignment="1" applyProtection="1">
      <alignment horizontal="center" vertical="center" wrapText="1" shrinkToFit="1"/>
      <protection hidden="1"/>
    </xf>
    <xf numFmtId="0" fontId="53" fillId="21" borderId="34" xfId="0" applyFont="1" applyFill="1" applyBorder="1" applyAlignment="1" applyProtection="1">
      <alignment horizontal="center" vertical="center" wrapText="1" shrinkToFit="1"/>
      <protection hidden="1"/>
    </xf>
    <xf numFmtId="193" fontId="12" fillId="4" borderId="223" xfId="0" applyNumberFormat="1" applyFont="1" applyFill="1" applyBorder="1" applyAlignment="1" applyProtection="1">
      <alignment horizontal="right" vertical="center" shrinkToFit="1"/>
      <protection hidden="1"/>
    </xf>
    <xf numFmtId="193" fontId="12" fillId="4" borderId="224" xfId="0" applyNumberFormat="1" applyFont="1" applyFill="1" applyBorder="1" applyAlignment="1" applyProtection="1">
      <alignment horizontal="right" vertical="center" shrinkToFit="1"/>
      <protection hidden="1"/>
    </xf>
    <xf numFmtId="193" fontId="12" fillId="4" borderId="222" xfId="0" applyNumberFormat="1" applyFont="1" applyFill="1" applyBorder="1" applyAlignment="1" applyProtection="1">
      <alignment horizontal="right" vertical="center" shrinkToFit="1"/>
      <protection hidden="1"/>
    </xf>
    <xf numFmtId="192" fontId="12" fillId="62" borderId="295" xfId="0" applyNumberFormat="1" applyFont="1" applyFill="1" applyBorder="1" applyAlignment="1" applyProtection="1">
      <alignment horizontal="center" vertical="center" shrinkToFit="1"/>
      <protection locked="0"/>
    </xf>
    <xf numFmtId="192" fontId="12" fillId="62" borderId="77" xfId="0" applyNumberFormat="1" applyFont="1" applyFill="1" applyBorder="1" applyAlignment="1" applyProtection="1">
      <alignment horizontal="center" vertical="center" shrinkToFit="1"/>
      <protection locked="0"/>
    </xf>
    <xf numFmtId="192" fontId="12" fillId="62" borderId="248" xfId="0" applyNumberFormat="1" applyFont="1" applyFill="1" applyBorder="1" applyAlignment="1" applyProtection="1">
      <alignment horizontal="center" vertical="center" shrinkToFit="1"/>
      <protection locked="0"/>
    </xf>
    <xf numFmtId="191" fontId="25" fillId="4" borderId="40" xfId="0" quotePrefix="1" applyNumberFormat="1" applyFont="1" applyFill="1" applyBorder="1" applyAlignment="1" applyProtection="1">
      <alignment horizontal="right" vertical="center" shrinkToFit="1"/>
      <protection hidden="1"/>
    </xf>
    <xf numFmtId="191" fontId="25" fillId="4" borderId="77" xfId="0" applyNumberFormat="1" applyFont="1" applyFill="1" applyBorder="1" applyAlignment="1" applyProtection="1">
      <alignment horizontal="right" vertical="center" shrinkToFit="1"/>
      <protection hidden="1"/>
    </xf>
    <xf numFmtId="0" fontId="12" fillId="4" borderId="48" xfId="0" applyFont="1" applyFill="1" applyBorder="1" applyAlignment="1" applyProtection="1">
      <alignment horizontal="right" vertical="center" shrinkToFit="1"/>
      <protection hidden="1"/>
    </xf>
    <xf numFmtId="0" fontId="12" fillId="4" borderId="39" xfId="0" applyFont="1" applyFill="1" applyBorder="1" applyAlignment="1" applyProtection="1">
      <alignment horizontal="right" vertical="center" shrinkToFit="1"/>
      <protection hidden="1"/>
    </xf>
    <xf numFmtId="192" fontId="12" fillId="62" borderId="296" xfId="0" applyNumberFormat="1" applyFont="1" applyFill="1" applyBorder="1" applyAlignment="1" applyProtection="1">
      <alignment horizontal="center" vertical="center" shrinkToFit="1"/>
      <protection locked="0"/>
    </xf>
    <xf numFmtId="192" fontId="12" fillId="62" borderId="243" xfId="0" applyNumberFormat="1" applyFont="1" applyFill="1" applyBorder="1" applyAlignment="1" applyProtection="1">
      <alignment horizontal="center" vertical="center" shrinkToFit="1"/>
      <protection locked="0"/>
    </xf>
    <xf numFmtId="192" fontId="12" fillId="62" borderId="252" xfId="0" applyNumberFormat="1" applyFont="1" applyFill="1" applyBorder="1" applyAlignment="1" applyProtection="1">
      <alignment horizontal="center" vertical="center" shrinkToFit="1"/>
      <protection locked="0"/>
    </xf>
    <xf numFmtId="192" fontId="12" fillId="62" borderId="295" xfId="0" applyNumberFormat="1" applyFont="1" applyFill="1" applyBorder="1" applyAlignment="1" applyProtection="1">
      <alignment horizontal="center" vertical="center" shrinkToFit="1"/>
      <protection hidden="1"/>
    </xf>
    <xf numFmtId="192" fontId="12" fillId="62" borderId="77" xfId="0" applyNumberFormat="1" applyFont="1" applyFill="1" applyBorder="1" applyAlignment="1" applyProtection="1">
      <alignment horizontal="center" vertical="center" shrinkToFit="1"/>
      <protection hidden="1"/>
    </xf>
    <xf numFmtId="192" fontId="12" fillId="62" borderId="248" xfId="0" applyNumberFormat="1" applyFont="1" applyFill="1" applyBorder="1" applyAlignment="1" applyProtection="1">
      <alignment horizontal="center" vertical="center" shrinkToFit="1"/>
      <protection hidden="1"/>
    </xf>
    <xf numFmtId="0" fontId="30" fillId="24" borderId="30" xfId="1" applyFont="1" applyFill="1" applyBorder="1">
      <alignment vertical="center"/>
    </xf>
    <xf numFmtId="0" fontId="30" fillId="24" borderId="31" xfId="1" applyFont="1" applyFill="1" applyBorder="1">
      <alignment vertical="center"/>
    </xf>
    <xf numFmtId="0" fontId="30" fillId="24" borderId="32" xfId="1" applyFont="1" applyFill="1" applyBorder="1">
      <alignment vertical="center"/>
    </xf>
    <xf numFmtId="0" fontId="27" fillId="21" borderId="226" xfId="0" applyFont="1" applyFill="1" applyBorder="1" applyAlignment="1" applyProtection="1">
      <alignment horizontal="center" vertical="center" wrapText="1" shrinkToFit="1"/>
      <protection hidden="1"/>
    </xf>
    <xf numFmtId="0" fontId="27" fillId="21" borderId="264" xfId="0" applyFont="1" applyFill="1" applyBorder="1" applyAlignment="1" applyProtection="1">
      <alignment horizontal="center" vertical="center" wrapText="1" shrinkToFit="1"/>
      <protection hidden="1"/>
    </xf>
    <xf numFmtId="192" fontId="12" fillId="62" borderId="292" xfId="0" applyNumberFormat="1" applyFont="1" applyFill="1" applyBorder="1" applyAlignment="1" applyProtection="1">
      <alignment horizontal="center" vertical="center" shrinkToFit="1"/>
      <protection hidden="1"/>
    </xf>
    <xf numFmtId="192" fontId="12" fillId="62" borderId="293" xfId="0" applyNumberFormat="1" applyFont="1" applyFill="1" applyBorder="1" applyAlignment="1" applyProtection="1">
      <alignment horizontal="center" vertical="center" shrinkToFit="1"/>
      <protection hidden="1"/>
    </xf>
    <xf numFmtId="192" fontId="12" fillId="62" borderId="294" xfId="0" applyNumberFormat="1" applyFont="1" applyFill="1" applyBorder="1" applyAlignment="1" applyProtection="1">
      <alignment horizontal="center" vertical="center" shrinkToFit="1"/>
      <protection hidden="1"/>
    </xf>
    <xf numFmtId="0" fontId="37" fillId="4" borderId="39" xfId="0" applyFont="1" applyFill="1" applyBorder="1" applyAlignment="1" applyProtection="1">
      <alignment horizontal="distributed" vertical="center" shrinkToFit="1"/>
      <protection hidden="1"/>
    </xf>
    <xf numFmtId="0" fontId="37" fillId="4" borderId="40" xfId="0" applyFont="1" applyFill="1" applyBorder="1" applyAlignment="1" applyProtection="1">
      <alignment horizontal="distributed" vertical="center" shrinkToFit="1"/>
      <protection hidden="1"/>
    </xf>
    <xf numFmtId="0" fontId="28" fillId="5" borderId="29" xfId="0" applyFont="1" applyFill="1" applyBorder="1" applyAlignment="1" applyProtection="1">
      <alignment horizontal="right" vertical="top" shrinkToFit="1"/>
      <protection hidden="1"/>
    </xf>
    <xf numFmtId="186" fontId="28" fillId="5" borderId="29" xfId="0" applyNumberFormat="1" applyFont="1" applyFill="1" applyBorder="1" applyAlignment="1" applyProtection="1">
      <alignment horizontal="left" vertical="top" shrinkToFit="1"/>
      <protection hidden="1"/>
    </xf>
    <xf numFmtId="0" fontId="55" fillId="2" borderId="38" xfId="0" applyFont="1" applyFill="1" applyBorder="1" applyAlignment="1" applyProtection="1">
      <alignment horizontal="center" vertical="center" shrinkToFit="1"/>
      <protection hidden="1"/>
    </xf>
    <xf numFmtId="0" fontId="55" fillId="2" borderId="29" xfId="0" applyFont="1" applyFill="1" applyBorder="1" applyAlignment="1" applyProtection="1">
      <alignment horizontal="center" vertical="center" shrinkToFit="1"/>
      <protection hidden="1"/>
    </xf>
    <xf numFmtId="0" fontId="55" fillId="4" borderId="91" xfId="0" applyFont="1" applyFill="1" applyBorder="1" applyAlignment="1" applyProtection="1">
      <alignment horizontal="center" vertical="center" shrinkToFit="1"/>
      <protection hidden="1"/>
    </xf>
    <xf numFmtId="0" fontId="55" fillId="2" borderId="91" xfId="0" applyFont="1" applyFill="1" applyBorder="1" applyAlignment="1" applyProtection="1">
      <alignment horizontal="center" vertical="center" shrinkToFit="1"/>
      <protection hidden="1"/>
    </xf>
    <xf numFmtId="0" fontId="37" fillId="2" borderId="91" xfId="0" applyFont="1" applyFill="1" applyBorder="1" applyAlignment="1" applyProtection="1">
      <alignment horizontal="center" vertical="center" shrinkToFit="1"/>
      <protection hidden="1"/>
    </xf>
    <xf numFmtId="0" fontId="55" fillId="4" borderId="29" xfId="0" applyFont="1" applyFill="1" applyBorder="1" applyAlignment="1" applyProtection="1">
      <alignment horizontal="center" vertical="center" shrinkToFit="1"/>
      <protection hidden="1"/>
    </xf>
    <xf numFmtId="0" fontId="55" fillId="4" borderId="47" xfId="0" applyFont="1" applyFill="1" applyBorder="1" applyAlignment="1" applyProtection="1">
      <alignment horizontal="center" vertical="center" shrinkToFit="1"/>
      <protection hidden="1"/>
    </xf>
    <xf numFmtId="0" fontId="2" fillId="21" borderId="48" xfId="0" applyFont="1" applyFill="1" applyBorder="1" applyAlignment="1" applyProtection="1">
      <alignment horizontal="center" vertical="center" shrinkToFit="1"/>
      <protection hidden="1"/>
    </xf>
    <xf numFmtId="0" fontId="2" fillId="21" borderId="39" xfId="0" applyFont="1" applyFill="1" applyBorder="1" applyAlignment="1" applyProtection="1">
      <alignment horizontal="center" vertical="center" shrinkToFit="1"/>
      <protection hidden="1"/>
    </xf>
    <xf numFmtId="0" fontId="2" fillId="21" borderId="40" xfId="0" applyFont="1" applyFill="1" applyBorder="1" applyAlignment="1" applyProtection="1">
      <alignment horizontal="center" vertical="center" shrinkToFit="1"/>
      <protection hidden="1"/>
    </xf>
    <xf numFmtId="0" fontId="12" fillId="4" borderId="48" xfId="0" applyFont="1" applyFill="1" applyBorder="1" applyAlignment="1" applyProtection="1">
      <alignment horizontal="center" vertical="center"/>
      <protection hidden="1"/>
    </xf>
    <xf numFmtId="0" fontId="12" fillId="4" borderId="39" xfId="0" applyFont="1" applyFill="1" applyBorder="1" applyAlignment="1" applyProtection="1">
      <alignment horizontal="center" vertical="center"/>
      <protection hidden="1"/>
    </xf>
    <xf numFmtId="0" fontId="55" fillId="4" borderId="41" xfId="0" applyFont="1" applyFill="1" applyBorder="1" applyAlignment="1" applyProtection="1">
      <alignment horizontal="center" vertical="center" shrinkToFit="1"/>
      <protection hidden="1"/>
    </xf>
    <xf numFmtId="0" fontId="55" fillId="4" borderId="42" xfId="0" applyFont="1" applyFill="1" applyBorder="1" applyAlignment="1" applyProtection="1">
      <alignment horizontal="center" vertical="center" shrinkToFit="1"/>
      <protection hidden="1"/>
    </xf>
    <xf numFmtId="0" fontId="55" fillId="2" borderId="45" xfId="0" applyFont="1" applyFill="1" applyBorder="1" applyAlignment="1" applyProtection="1">
      <alignment horizontal="center" vertical="center" shrinkToFit="1"/>
      <protection hidden="1"/>
    </xf>
    <xf numFmtId="0" fontId="28" fillId="5" borderId="0" xfId="0" applyFont="1" applyFill="1" applyBorder="1" applyAlignment="1" applyProtection="1">
      <alignment horizontal="right" vertical="top" shrinkToFit="1"/>
      <protection hidden="1"/>
    </xf>
    <xf numFmtId="0" fontId="13" fillId="21" borderId="35" xfId="0" applyFont="1" applyFill="1" applyBorder="1" applyAlignment="1" applyProtection="1">
      <alignment horizontal="center" shrinkToFit="1"/>
      <protection hidden="1"/>
    </xf>
    <xf numFmtId="0" fontId="13" fillId="21" borderId="34" xfId="0" applyFont="1" applyFill="1" applyBorder="1" applyAlignment="1" applyProtection="1">
      <alignment horizontal="center" shrinkToFit="1"/>
      <protection hidden="1"/>
    </xf>
    <xf numFmtId="0" fontId="13" fillId="21" borderId="37" xfId="0" applyFont="1" applyFill="1" applyBorder="1" applyAlignment="1" applyProtection="1">
      <alignment horizontal="center" vertical="center" shrinkToFit="1"/>
      <protection hidden="1"/>
    </xf>
    <xf numFmtId="0" fontId="13" fillId="21" borderId="0" xfId="0" applyFont="1" applyFill="1" applyBorder="1" applyAlignment="1" applyProtection="1">
      <alignment horizontal="center" vertical="center" shrinkToFit="1"/>
      <protection hidden="1"/>
    </xf>
    <xf numFmtId="0" fontId="13" fillId="21" borderId="36" xfId="0" applyFont="1" applyFill="1" applyBorder="1" applyAlignment="1" applyProtection="1">
      <alignment horizontal="center" vertical="center" shrinkToFit="1"/>
      <protection hidden="1"/>
    </xf>
    <xf numFmtId="182" fontId="21" fillId="4" borderId="48" xfId="0" applyNumberFormat="1" applyFont="1" applyFill="1" applyBorder="1" applyAlignment="1" applyProtection="1">
      <alignment horizontal="right" vertical="center"/>
      <protection hidden="1"/>
    </xf>
    <xf numFmtId="182" fontId="21" fillId="4" borderId="39" xfId="0" applyNumberFormat="1" applyFont="1" applyFill="1" applyBorder="1" applyAlignment="1" applyProtection="1">
      <alignment horizontal="right" vertical="center"/>
      <protection hidden="1"/>
    </xf>
    <xf numFmtId="0" fontId="13" fillId="5" borderId="37" xfId="0" applyFont="1" applyFill="1" applyBorder="1" applyAlignment="1" applyProtection="1">
      <alignment horizontal="left" vertical="center"/>
      <protection hidden="1"/>
    </xf>
    <xf numFmtId="0" fontId="13" fillId="5" borderId="0" xfId="0" applyFont="1" applyFill="1" applyBorder="1" applyAlignment="1" applyProtection="1">
      <alignment horizontal="left" vertical="center"/>
      <protection hidden="1"/>
    </xf>
    <xf numFmtId="0" fontId="67" fillId="4" borderId="77" xfId="0" applyFont="1" applyFill="1" applyBorder="1" applyAlignment="1" applyProtection="1">
      <alignment horizontal="center" vertical="center" shrinkToFit="1"/>
      <protection hidden="1"/>
    </xf>
    <xf numFmtId="0" fontId="68" fillId="22" borderId="263" xfId="0" applyFont="1" applyFill="1" applyBorder="1" applyAlignment="1" applyProtection="1">
      <alignment horizontal="center" vertical="center" shrinkToFit="1"/>
      <protection locked="0"/>
    </xf>
    <xf numFmtId="0" fontId="68" fillId="22" borderId="108" xfId="0" applyFont="1" applyFill="1" applyBorder="1" applyAlignment="1" applyProtection="1">
      <alignment horizontal="center" vertical="center" shrinkToFit="1"/>
      <protection locked="0"/>
    </xf>
    <xf numFmtId="0" fontId="68" fillId="22" borderId="109" xfId="0" applyFont="1" applyFill="1" applyBorder="1" applyAlignment="1" applyProtection="1">
      <alignment horizontal="center" vertical="center" shrinkToFit="1"/>
      <protection locked="0"/>
    </xf>
    <xf numFmtId="0" fontId="12" fillId="4" borderId="217" xfId="0" applyFont="1" applyFill="1" applyBorder="1" applyAlignment="1" applyProtection="1">
      <alignment horizontal="center" vertical="center"/>
      <protection hidden="1"/>
    </xf>
    <xf numFmtId="0" fontId="68" fillId="22" borderId="77" xfId="0" applyFont="1" applyFill="1" applyBorder="1" applyAlignment="1" applyProtection="1">
      <alignment horizontal="center" vertical="center" shrinkToFit="1"/>
      <protection locked="0"/>
    </xf>
    <xf numFmtId="0" fontId="163" fillId="27" borderId="152" xfId="0" applyFont="1" applyFill="1" applyBorder="1" applyAlignment="1" applyProtection="1">
      <alignment horizontal="left" vertical="center"/>
      <protection locked="0"/>
    </xf>
    <xf numFmtId="0" fontId="163" fillId="27" borderId="153" xfId="0" applyFont="1" applyFill="1" applyBorder="1" applyAlignment="1" applyProtection="1">
      <alignment horizontal="left" vertical="center"/>
      <protection locked="0"/>
    </xf>
    <xf numFmtId="0" fontId="163" fillId="27" borderId="154" xfId="0" applyFont="1" applyFill="1" applyBorder="1" applyAlignment="1" applyProtection="1">
      <alignment horizontal="left" vertical="center"/>
      <protection locked="0"/>
    </xf>
    <xf numFmtId="0" fontId="12" fillId="4" borderId="107" xfId="0" applyFont="1" applyFill="1" applyBorder="1" applyAlignment="1" applyProtection="1">
      <alignment horizontal="left" vertical="center" shrinkToFit="1"/>
      <protection hidden="1"/>
    </xf>
    <xf numFmtId="0" fontId="12" fillId="4" borderId="109" xfId="0" applyFont="1" applyFill="1" applyBorder="1" applyAlignment="1" applyProtection="1">
      <alignment horizontal="left" vertical="center" shrinkToFit="1"/>
      <protection hidden="1"/>
    </xf>
    <xf numFmtId="0" fontId="333" fillId="27" borderId="30" xfId="1" applyFont="1" applyFill="1" applyBorder="1" applyAlignment="1" applyProtection="1">
      <alignment horizontal="left" vertical="center"/>
      <protection hidden="1"/>
    </xf>
    <xf numFmtId="0" fontId="333" fillId="27" borderId="31" xfId="1" applyFont="1" applyFill="1" applyBorder="1" applyAlignment="1" applyProtection="1">
      <alignment horizontal="left" vertical="center"/>
      <protection hidden="1"/>
    </xf>
    <xf numFmtId="0" fontId="333" fillId="27" borderId="32" xfId="1" applyFont="1" applyFill="1" applyBorder="1" applyAlignment="1" applyProtection="1">
      <alignment horizontal="left" vertical="center"/>
      <protection hidden="1"/>
    </xf>
    <xf numFmtId="0" fontId="2" fillId="27" borderId="333" xfId="0" applyFont="1" applyFill="1" applyBorder="1" applyAlignment="1" applyProtection="1">
      <alignment horizontal="left" vertical="center"/>
      <protection hidden="1"/>
    </xf>
    <xf numFmtId="0" fontId="2" fillId="27" borderId="0" xfId="0" applyFont="1" applyFill="1" applyBorder="1" applyAlignment="1" applyProtection="1">
      <alignment horizontal="left" vertical="center"/>
      <protection hidden="1"/>
    </xf>
    <xf numFmtId="0" fontId="2" fillId="27" borderId="334" xfId="0" applyFont="1" applyFill="1" applyBorder="1" applyAlignment="1" applyProtection="1">
      <alignment horizontal="left" vertical="center"/>
      <protection hidden="1"/>
    </xf>
    <xf numFmtId="0" fontId="71" fillId="4" borderId="218" xfId="0" applyFont="1" applyFill="1" applyBorder="1" applyAlignment="1" applyProtection="1">
      <alignment horizontal="left" vertical="center"/>
      <protection hidden="1"/>
    </xf>
    <xf numFmtId="0" fontId="71" fillId="4" borderId="39" xfId="0" applyFont="1" applyFill="1" applyBorder="1" applyAlignment="1" applyProtection="1">
      <alignment horizontal="left" vertical="center"/>
      <protection hidden="1"/>
    </xf>
    <xf numFmtId="0" fontId="71" fillId="4" borderId="40" xfId="0" applyFont="1" applyFill="1" applyBorder="1" applyAlignment="1" applyProtection="1">
      <alignment horizontal="left" vertical="center"/>
      <protection hidden="1"/>
    </xf>
    <xf numFmtId="0" fontId="69" fillId="4" borderId="109" xfId="0" applyFont="1" applyFill="1" applyBorder="1" applyAlignment="1" applyProtection="1">
      <alignment horizontal="left" vertical="center" shrinkToFit="1"/>
      <protection hidden="1"/>
    </xf>
    <xf numFmtId="0" fontId="69" fillId="4" borderId="263" xfId="0" applyFont="1" applyFill="1" applyBorder="1" applyAlignment="1" applyProtection="1">
      <alignment horizontal="left" vertical="center" shrinkToFit="1"/>
      <protection hidden="1"/>
    </xf>
    <xf numFmtId="0" fontId="68" fillId="22" borderId="57" xfId="0" applyFont="1" applyFill="1" applyBorder="1" applyAlignment="1" applyProtection="1">
      <alignment horizontal="center" vertical="center" shrinkToFit="1"/>
      <protection locked="0"/>
    </xf>
    <xf numFmtId="0" fontId="68" fillId="22" borderId="40" xfId="0" applyFont="1" applyFill="1" applyBorder="1" applyAlignment="1" applyProtection="1">
      <alignment horizontal="center" vertical="center" shrinkToFit="1"/>
      <protection locked="0"/>
    </xf>
    <xf numFmtId="0" fontId="333" fillId="27" borderId="30" xfId="0" applyFont="1" applyFill="1" applyBorder="1" applyAlignment="1" applyProtection="1">
      <alignment horizontal="left" vertical="center"/>
      <protection hidden="1"/>
    </xf>
    <xf numFmtId="0" fontId="333" fillId="27" borderId="31" xfId="0" applyFont="1" applyFill="1" applyBorder="1" applyAlignment="1" applyProtection="1">
      <alignment horizontal="left" vertical="center"/>
      <protection hidden="1"/>
    </xf>
    <xf numFmtId="0" fontId="333" fillId="27" borderId="32" xfId="0" applyFont="1" applyFill="1" applyBorder="1" applyAlignment="1" applyProtection="1">
      <alignment horizontal="left" vertical="center"/>
      <protection hidden="1"/>
    </xf>
    <xf numFmtId="0" fontId="30" fillId="24" borderId="30" xfId="1" quotePrefix="1" applyFont="1" applyFill="1" applyBorder="1">
      <alignment vertical="center"/>
    </xf>
    <xf numFmtId="0" fontId="194" fillId="61" borderId="0" xfId="1" applyFont="1" applyFill="1">
      <alignment vertical="center"/>
    </xf>
    <xf numFmtId="0" fontId="163" fillId="27" borderId="30" xfId="0" applyFont="1" applyFill="1" applyBorder="1" applyAlignment="1" applyProtection="1">
      <alignment horizontal="left" vertical="center"/>
      <protection locked="0"/>
    </xf>
    <xf numFmtId="0" fontId="163" fillId="27" borderId="31" xfId="0" applyFont="1" applyFill="1" applyBorder="1" applyAlignment="1" applyProtection="1">
      <alignment horizontal="left" vertical="center"/>
      <protection locked="0"/>
    </xf>
    <xf numFmtId="0" fontId="163" fillId="27" borderId="32" xfId="0" applyFont="1" applyFill="1" applyBorder="1" applyAlignment="1" applyProtection="1">
      <alignment horizontal="left" vertical="center"/>
      <protection locked="0"/>
    </xf>
    <xf numFmtId="0" fontId="333" fillId="27" borderId="330" xfId="0" applyFont="1" applyFill="1" applyBorder="1" applyAlignment="1" applyProtection="1">
      <alignment horizontal="left" vertical="center"/>
      <protection hidden="1"/>
    </xf>
    <xf numFmtId="0" fontId="333" fillId="27" borderId="331" xfId="0" applyFont="1" applyFill="1" applyBorder="1" applyAlignment="1" applyProtection="1">
      <alignment horizontal="left" vertical="center"/>
      <protection hidden="1"/>
    </xf>
    <xf numFmtId="0" fontId="333" fillId="27" borderId="332" xfId="0" applyFont="1" applyFill="1" applyBorder="1" applyAlignment="1" applyProtection="1">
      <alignment horizontal="left" vertical="center"/>
      <protection hidden="1"/>
    </xf>
    <xf numFmtId="0" fontId="2" fillId="27" borderId="152" xfId="0" applyFont="1" applyFill="1" applyBorder="1" applyAlignment="1" applyProtection="1">
      <alignment horizontal="left" vertical="center"/>
      <protection hidden="1"/>
    </xf>
    <xf numFmtId="0" fontId="2" fillId="27" borderId="153" xfId="0" applyFont="1" applyFill="1" applyBorder="1" applyAlignment="1" applyProtection="1">
      <alignment horizontal="left" vertical="center"/>
      <protection hidden="1"/>
    </xf>
    <xf numFmtId="0" fontId="2" fillId="27" borderId="154" xfId="0" applyFont="1" applyFill="1" applyBorder="1" applyAlignment="1" applyProtection="1">
      <alignment horizontal="left" vertical="center"/>
      <protection hidden="1"/>
    </xf>
    <xf numFmtId="0" fontId="66" fillId="27" borderId="330" xfId="0" applyFont="1" applyFill="1" applyBorder="1" applyAlignment="1" applyProtection="1">
      <alignment horizontal="left" vertical="center"/>
      <protection hidden="1"/>
    </xf>
    <xf numFmtId="0" fontId="66" fillId="27" borderId="331" xfId="0" applyFont="1" applyFill="1" applyBorder="1" applyAlignment="1" applyProtection="1">
      <alignment horizontal="left" vertical="center"/>
      <protection hidden="1"/>
    </xf>
    <xf numFmtId="0" fontId="66" fillId="27" borderId="332" xfId="0" applyFont="1" applyFill="1" applyBorder="1" applyAlignment="1" applyProtection="1">
      <alignment horizontal="left" vertical="center"/>
      <protection hidden="1"/>
    </xf>
    <xf numFmtId="185" fontId="12" fillId="4" borderId="39" xfId="0" applyNumberFormat="1" applyFont="1" applyFill="1" applyBorder="1" applyAlignment="1" applyProtection="1">
      <alignment horizontal="left" vertical="center" shrinkToFit="1"/>
      <protection hidden="1"/>
    </xf>
    <xf numFmtId="0" fontId="333" fillId="27" borderId="152" xfId="1" applyFont="1" applyFill="1" applyBorder="1" applyAlignment="1" applyProtection="1">
      <alignment horizontal="left" vertical="center"/>
      <protection hidden="1"/>
    </xf>
    <xf numFmtId="0" fontId="333" fillId="27" borderId="153" xfId="1" applyFont="1" applyFill="1" applyBorder="1" applyAlignment="1" applyProtection="1">
      <alignment horizontal="left" vertical="center"/>
      <protection hidden="1"/>
    </xf>
    <xf numFmtId="0" fontId="333" fillId="27" borderId="154" xfId="1" applyFont="1" applyFill="1" applyBorder="1" applyAlignment="1" applyProtection="1">
      <alignment horizontal="left" vertical="center"/>
      <protection hidden="1"/>
    </xf>
    <xf numFmtId="0" fontId="333" fillId="27" borderId="330" xfId="1" applyFont="1" applyFill="1" applyBorder="1" applyAlignment="1" applyProtection="1">
      <alignment horizontal="left" vertical="center"/>
      <protection hidden="1"/>
    </xf>
    <xf numFmtId="0" fontId="333" fillId="27" borderId="331" xfId="1" applyFont="1" applyFill="1" applyBorder="1" applyAlignment="1" applyProtection="1">
      <alignment horizontal="left" vertical="center"/>
      <protection hidden="1"/>
    </xf>
    <xf numFmtId="0" fontId="333" fillId="27" borderId="332" xfId="1" applyFont="1" applyFill="1" applyBorder="1" applyAlignment="1" applyProtection="1">
      <alignment horizontal="left" vertical="center"/>
      <protection hidden="1"/>
    </xf>
    <xf numFmtId="0" fontId="334" fillId="61" borderId="0" xfId="1" applyFont="1" applyFill="1">
      <alignment vertical="center"/>
    </xf>
    <xf numFmtId="0" fontId="11" fillId="7" borderId="1" xfId="0" applyFont="1" applyFill="1" applyBorder="1" applyAlignment="1" applyProtection="1">
      <alignment horizontal="center" vertical="center" wrapText="1" shrinkToFit="1"/>
      <protection hidden="1"/>
    </xf>
    <xf numFmtId="0" fontId="11" fillId="7" borderId="2" xfId="0" applyFont="1" applyFill="1" applyBorder="1" applyAlignment="1" applyProtection="1">
      <alignment horizontal="center" vertical="center" wrapText="1" shrinkToFit="1"/>
      <protection hidden="1"/>
    </xf>
    <xf numFmtId="0" fontId="11" fillId="7" borderId="3" xfId="0" applyFont="1" applyFill="1" applyBorder="1" applyAlignment="1" applyProtection="1">
      <alignment horizontal="center" vertical="center" wrapText="1" shrinkToFit="1"/>
      <protection hidden="1"/>
    </xf>
    <xf numFmtId="0" fontId="11" fillId="7" borderId="4" xfId="0" applyFont="1" applyFill="1" applyBorder="1" applyAlignment="1" applyProtection="1">
      <alignment horizontal="center" vertical="center" wrapText="1" shrinkToFit="1"/>
      <protection hidden="1"/>
    </xf>
    <xf numFmtId="0" fontId="11" fillId="7" borderId="0" xfId="0" applyFont="1" applyFill="1" applyBorder="1" applyAlignment="1" applyProtection="1">
      <alignment horizontal="center" vertical="center" wrapText="1" shrinkToFit="1"/>
      <protection hidden="1"/>
    </xf>
    <xf numFmtId="0" fontId="11" fillId="7" borderId="5" xfId="0" applyFont="1" applyFill="1" applyBorder="1" applyAlignment="1" applyProtection="1">
      <alignment horizontal="center" vertical="center" wrapText="1" shrinkToFit="1"/>
      <protection hidden="1"/>
    </xf>
    <xf numFmtId="0" fontId="11" fillId="7" borderId="19" xfId="0" applyFont="1" applyFill="1" applyBorder="1" applyAlignment="1" applyProtection="1">
      <alignment horizontal="center" vertical="center" wrapText="1" shrinkToFit="1"/>
      <protection hidden="1"/>
    </xf>
    <xf numFmtId="0" fontId="11" fillId="7" borderId="11" xfId="0" applyFont="1" applyFill="1" applyBorder="1" applyAlignment="1" applyProtection="1">
      <alignment horizontal="center" vertical="center" wrapText="1" shrinkToFit="1"/>
      <protection hidden="1"/>
    </xf>
    <xf numFmtId="0" fontId="11" fillId="7" borderId="20" xfId="0" applyFont="1" applyFill="1" applyBorder="1" applyAlignment="1" applyProtection="1">
      <alignment horizontal="center" vertical="center" wrapText="1" shrinkToFit="1"/>
      <protection hidden="1"/>
    </xf>
    <xf numFmtId="0" fontId="37" fillId="4" borderId="100" xfId="0" applyFont="1" applyFill="1" applyBorder="1" applyAlignment="1" applyProtection="1">
      <alignment horizontal="center" vertical="center" textRotation="255" shrinkToFit="1"/>
      <protection hidden="1"/>
    </xf>
    <xf numFmtId="0" fontId="37" fillId="4" borderId="104" xfId="0" applyFont="1" applyFill="1" applyBorder="1" applyAlignment="1" applyProtection="1">
      <alignment horizontal="center" vertical="center" textRotation="255" shrinkToFit="1"/>
      <protection hidden="1"/>
    </xf>
    <xf numFmtId="0" fontId="37" fillId="4" borderId="101" xfId="0" applyFont="1" applyFill="1" applyBorder="1" applyAlignment="1" applyProtection="1">
      <alignment horizontal="center" vertical="center" textRotation="255" shrinkToFit="1"/>
      <protection hidden="1"/>
    </xf>
    <xf numFmtId="0" fontId="37" fillId="4" borderId="49" xfId="0" applyFont="1" applyFill="1" applyBorder="1" applyAlignment="1" applyProtection="1">
      <alignment horizontal="center" vertical="center" textRotation="255" shrinkToFit="1"/>
      <protection hidden="1"/>
    </xf>
    <xf numFmtId="0" fontId="37" fillId="4" borderId="50" xfId="0" applyFont="1" applyFill="1" applyBorder="1" applyAlignment="1" applyProtection="1">
      <alignment horizontal="center" vertical="center" textRotation="255" shrinkToFit="1"/>
      <protection hidden="1"/>
    </xf>
    <xf numFmtId="0" fontId="37" fillId="4" borderId="51" xfId="0" applyFont="1" applyFill="1" applyBorder="1" applyAlignment="1" applyProtection="1">
      <alignment horizontal="center" vertical="center" textRotation="255" shrinkToFit="1"/>
      <protection hidden="1"/>
    </xf>
    <xf numFmtId="0" fontId="37" fillId="22" borderId="57" xfId="0" applyFont="1" applyFill="1" applyBorder="1" applyAlignment="1" applyProtection="1">
      <alignment horizontal="center" vertical="center" shrinkToFit="1"/>
      <protection locked="0"/>
    </xf>
    <xf numFmtId="0" fontId="37" fillId="22" borderId="40" xfId="0" applyFont="1" applyFill="1" applyBorder="1" applyAlignment="1" applyProtection="1">
      <alignment horizontal="center" vertical="center" shrinkToFit="1"/>
      <protection locked="0"/>
    </xf>
    <xf numFmtId="0" fontId="11" fillId="7" borderId="1" xfId="0" applyFont="1" applyFill="1" applyBorder="1" applyAlignment="1" applyProtection="1">
      <alignment horizontal="center" vertical="center"/>
      <protection hidden="1"/>
    </xf>
    <xf numFmtId="0" fontId="11" fillId="7" borderId="3" xfId="0" applyFont="1" applyFill="1" applyBorder="1" applyAlignment="1" applyProtection="1">
      <alignment horizontal="center" vertical="center"/>
      <protection hidden="1"/>
    </xf>
    <xf numFmtId="0" fontId="37" fillId="2" borderId="0" xfId="0" applyFont="1" applyFill="1" applyBorder="1" applyAlignment="1" applyProtection="1">
      <alignment horizontal="center" vertical="center" shrinkToFit="1"/>
      <protection hidden="1"/>
    </xf>
    <xf numFmtId="0" fontId="11" fillId="7" borderId="4" xfId="0" applyFont="1" applyFill="1" applyBorder="1" applyAlignment="1" applyProtection="1">
      <alignment horizontal="center" vertical="center"/>
      <protection hidden="1"/>
    </xf>
    <xf numFmtId="0" fontId="11" fillId="7" borderId="5" xfId="0" applyFont="1" applyFill="1" applyBorder="1" applyAlignment="1" applyProtection="1">
      <alignment horizontal="center" vertical="center"/>
      <protection hidden="1"/>
    </xf>
    <xf numFmtId="0" fontId="24" fillId="21" borderId="77" xfId="0" applyFont="1" applyFill="1" applyBorder="1" applyAlignment="1" applyProtection="1">
      <alignment horizontal="left" vertical="center" shrinkToFit="1"/>
      <protection hidden="1"/>
    </xf>
    <xf numFmtId="185" fontId="12" fillId="4" borderId="218" xfId="0" applyNumberFormat="1" applyFont="1" applyFill="1" applyBorder="1" applyAlignment="1" applyProtection="1">
      <alignment horizontal="left" vertical="center" shrinkToFit="1"/>
      <protection hidden="1"/>
    </xf>
    <xf numFmtId="0" fontId="11" fillId="7" borderId="19" xfId="0" applyFont="1" applyFill="1" applyBorder="1" applyAlignment="1" applyProtection="1">
      <alignment horizontal="center" vertical="center"/>
      <protection hidden="1"/>
    </xf>
    <xf numFmtId="0" fontId="11" fillId="7" borderId="20" xfId="0" applyFont="1" applyFill="1" applyBorder="1" applyAlignment="1" applyProtection="1">
      <alignment horizontal="center" vertical="center"/>
      <protection hidden="1"/>
    </xf>
    <xf numFmtId="0" fontId="2" fillId="21" borderId="77" xfId="0" applyFont="1" applyFill="1" applyBorder="1" applyAlignment="1" applyProtection="1">
      <alignment horizontal="center" vertical="center" shrinkToFit="1"/>
      <protection hidden="1"/>
    </xf>
    <xf numFmtId="0" fontId="2" fillId="21" borderId="106" xfId="0" applyFont="1" applyFill="1" applyBorder="1" applyAlignment="1" applyProtection="1">
      <alignment horizontal="center" vertical="center" shrinkToFit="1"/>
      <protection hidden="1"/>
    </xf>
    <xf numFmtId="0" fontId="60" fillId="4" borderId="92" xfId="0" applyFont="1" applyFill="1" applyBorder="1" applyAlignment="1" applyProtection="1">
      <alignment horizontal="center" vertical="center" shrinkToFit="1"/>
      <protection hidden="1"/>
    </xf>
    <xf numFmtId="0" fontId="60" fillId="4" borderId="93" xfId="0" applyFont="1" applyFill="1" applyBorder="1" applyAlignment="1" applyProtection="1">
      <alignment horizontal="center" vertical="center" shrinkToFit="1"/>
      <protection hidden="1"/>
    </xf>
    <xf numFmtId="0" fontId="37" fillId="4" borderId="93" xfId="0" applyFont="1" applyFill="1" applyBorder="1" applyAlignment="1" applyProtection="1">
      <alignment horizontal="center" vertical="center" shrinkToFit="1"/>
      <protection hidden="1"/>
    </xf>
    <xf numFmtId="0" fontId="37" fillId="4" borderId="94" xfId="0" applyFont="1" applyFill="1" applyBorder="1" applyAlignment="1" applyProtection="1">
      <alignment horizontal="center" vertical="center" shrinkToFit="1"/>
      <protection hidden="1"/>
    </xf>
    <xf numFmtId="0" fontId="37" fillId="4" borderId="50" xfId="0" applyFont="1" applyFill="1" applyBorder="1" applyAlignment="1" applyProtection="1">
      <alignment horizontal="center" vertical="center" shrinkToFit="1"/>
      <protection hidden="1"/>
    </xf>
    <xf numFmtId="0" fontId="37" fillId="4" borderId="51" xfId="0" applyFont="1" applyFill="1" applyBorder="1" applyAlignment="1" applyProtection="1">
      <alignment horizontal="center" vertical="center" shrinkToFit="1"/>
      <protection hidden="1"/>
    </xf>
    <xf numFmtId="0" fontId="37" fillId="2" borderId="38" xfId="0" applyFont="1" applyFill="1" applyBorder="1" applyAlignment="1" applyProtection="1">
      <alignment horizontal="center" vertical="center" shrinkToFit="1"/>
      <protection hidden="1"/>
    </xf>
    <xf numFmtId="0" fontId="37" fillId="2" borderId="29" xfId="0" applyFont="1" applyFill="1" applyBorder="1" applyAlignment="1" applyProtection="1">
      <alignment horizontal="center" vertical="center" shrinkToFit="1"/>
      <protection hidden="1"/>
    </xf>
    <xf numFmtId="0" fontId="37" fillId="2" borderId="47" xfId="0" applyFont="1" applyFill="1" applyBorder="1" applyAlignment="1" applyProtection="1">
      <alignment horizontal="center" vertical="center" shrinkToFit="1"/>
      <protection hidden="1"/>
    </xf>
    <xf numFmtId="0" fontId="55" fillId="2" borderId="42" xfId="0" applyFont="1" applyFill="1" applyBorder="1" applyAlignment="1" applyProtection="1">
      <alignment horizontal="center" vertical="center" shrinkToFit="1"/>
      <protection hidden="1"/>
    </xf>
    <xf numFmtId="0" fontId="55" fillId="2" borderId="43" xfId="0" applyFont="1" applyFill="1" applyBorder="1" applyAlignment="1" applyProtection="1">
      <alignment horizontal="center" vertical="center" shrinkToFit="1"/>
      <protection hidden="1"/>
    </xf>
    <xf numFmtId="176" fontId="64" fillId="4" borderId="37" xfId="0" applyNumberFormat="1" applyFont="1" applyFill="1" applyBorder="1" applyAlignment="1" applyProtection="1">
      <alignment horizontal="center" vertical="center" shrinkToFit="1"/>
      <protection hidden="1"/>
    </xf>
    <xf numFmtId="176" fontId="64" fillId="4" borderId="0" xfId="0" applyNumberFormat="1" applyFont="1" applyFill="1" applyBorder="1" applyAlignment="1" applyProtection="1">
      <alignment horizontal="center" vertical="center" shrinkToFit="1"/>
      <protection hidden="1"/>
    </xf>
    <xf numFmtId="176" fontId="64" fillId="4" borderId="84" xfId="0" applyNumberFormat="1" applyFont="1" applyFill="1" applyBorder="1" applyAlignment="1" applyProtection="1">
      <alignment horizontal="center" vertical="center" shrinkToFit="1"/>
      <protection hidden="1"/>
    </xf>
    <xf numFmtId="176" fontId="64" fillId="4" borderId="38" xfId="0" applyNumberFormat="1" applyFont="1" applyFill="1" applyBorder="1" applyAlignment="1" applyProtection="1">
      <alignment horizontal="center" vertical="center" shrinkToFit="1"/>
      <protection hidden="1"/>
    </xf>
    <xf numFmtId="176" fontId="64" fillId="4" borderId="29" xfId="0" applyNumberFormat="1" applyFont="1" applyFill="1" applyBorder="1" applyAlignment="1" applyProtection="1">
      <alignment horizontal="center" vertical="center" shrinkToFit="1"/>
      <protection hidden="1"/>
    </xf>
    <xf numFmtId="176" fontId="64" fillId="4" borderId="90" xfId="0" applyNumberFormat="1" applyFont="1" applyFill="1" applyBorder="1" applyAlignment="1" applyProtection="1">
      <alignment horizontal="center" vertical="center" shrinkToFit="1"/>
      <protection hidden="1"/>
    </xf>
    <xf numFmtId="0" fontId="11" fillId="7" borderId="13" xfId="0" applyFont="1" applyFill="1" applyBorder="1" applyAlignment="1" applyProtection="1">
      <alignment horizontal="center" vertical="center"/>
      <protection hidden="1"/>
    </xf>
    <xf numFmtId="0" fontId="11" fillId="7" borderId="14" xfId="0" applyFont="1" applyFill="1" applyBorder="1" applyAlignment="1" applyProtection="1">
      <alignment horizontal="center" vertical="center"/>
      <protection hidden="1"/>
    </xf>
    <xf numFmtId="0" fontId="11" fillId="7" borderId="13" xfId="0" applyFont="1" applyFill="1" applyBorder="1" applyAlignment="1" applyProtection="1">
      <alignment horizontal="center" vertical="center" shrinkToFit="1"/>
      <protection hidden="1"/>
    </xf>
    <xf numFmtId="0" fontId="11" fillId="7" borderId="16" xfId="0" applyFont="1" applyFill="1" applyBorder="1" applyAlignment="1" applyProtection="1">
      <alignment horizontal="center" vertical="center" shrinkToFit="1"/>
      <protection hidden="1"/>
    </xf>
    <xf numFmtId="0" fontId="11" fillId="7" borderId="14" xfId="0" applyFont="1" applyFill="1" applyBorder="1" applyAlignment="1" applyProtection="1">
      <alignment horizontal="center" vertical="center" shrinkToFit="1"/>
      <protection hidden="1"/>
    </xf>
    <xf numFmtId="0" fontId="25" fillId="2" borderId="41" xfId="0" applyFont="1" applyFill="1" applyBorder="1" applyAlignment="1" applyProtection="1">
      <alignment horizontal="center" vertical="center" shrinkToFit="1"/>
      <protection hidden="1"/>
    </xf>
    <xf numFmtId="0" fontId="25" fillId="2" borderId="42" xfId="0" applyFont="1" applyFill="1" applyBorder="1" applyAlignment="1" applyProtection="1">
      <alignment horizontal="center" vertical="center" shrinkToFit="1"/>
      <protection hidden="1"/>
    </xf>
    <xf numFmtId="0" fontId="25" fillId="2" borderId="43" xfId="0" applyFont="1" applyFill="1" applyBorder="1" applyAlignment="1" applyProtection="1">
      <alignment horizontal="center" vertical="center" shrinkToFit="1"/>
      <protection hidden="1"/>
    </xf>
    <xf numFmtId="0" fontId="37" fillId="4" borderId="37" xfId="0" quotePrefix="1" applyFont="1" applyFill="1" applyBorder="1" applyAlignment="1" applyProtection="1">
      <alignment horizontal="center" vertical="center" textRotation="255" shrinkToFit="1"/>
      <protection hidden="1"/>
    </xf>
    <xf numFmtId="0" fontId="37" fillId="4" borderId="0" xfId="0" applyFont="1" applyFill="1" applyBorder="1" applyAlignment="1" applyProtection="1">
      <alignment horizontal="center" vertical="center" textRotation="255" shrinkToFit="1"/>
      <protection hidden="1"/>
    </xf>
    <xf numFmtId="0" fontId="37" fillId="4" borderId="36" xfId="0" applyFont="1" applyFill="1" applyBorder="1" applyAlignment="1" applyProtection="1">
      <alignment horizontal="center" vertical="center" textRotation="255" shrinkToFit="1"/>
      <protection hidden="1"/>
    </xf>
    <xf numFmtId="0" fontId="37" fillId="4" borderId="37" xfId="0" applyFont="1" applyFill="1" applyBorder="1" applyAlignment="1" applyProtection="1">
      <alignment horizontal="center" vertical="center" textRotation="255" shrinkToFit="1"/>
      <protection hidden="1"/>
    </xf>
    <xf numFmtId="0" fontId="37" fillId="4" borderId="38" xfId="0" applyFont="1" applyFill="1" applyBorder="1" applyAlignment="1" applyProtection="1">
      <alignment horizontal="center" vertical="center" textRotation="255" shrinkToFit="1"/>
      <protection hidden="1"/>
    </xf>
    <xf numFmtId="0" fontId="37" fillId="4" borderId="29" xfId="0" applyFont="1" applyFill="1" applyBorder="1" applyAlignment="1" applyProtection="1">
      <alignment horizontal="center" vertical="center" textRotation="255" shrinkToFit="1"/>
      <protection hidden="1"/>
    </xf>
    <xf numFmtId="0" fontId="37" fillId="4" borderId="47" xfId="0" applyFont="1" applyFill="1" applyBorder="1" applyAlignment="1" applyProtection="1">
      <alignment horizontal="center" vertical="center" textRotation="255" shrinkToFit="1"/>
      <protection hidden="1"/>
    </xf>
    <xf numFmtId="0" fontId="11" fillId="7" borderId="12" xfId="0" applyFont="1" applyFill="1" applyBorder="1" applyAlignment="1" applyProtection="1">
      <alignment horizontal="center" vertical="center" shrinkToFit="1"/>
      <protection hidden="1"/>
    </xf>
    <xf numFmtId="0" fontId="55" fillId="4" borderId="33" xfId="0" applyFont="1" applyFill="1" applyBorder="1" applyAlignment="1" applyProtection="1">
      <alignment horizontal="center" vertical="center" shrinkToFit="1"/>
      <protection hidden="1"/>
    </xf>
    <xf numFmtId="0" fontId="55" fillId="4" borderId="35" xfId="0" applyFont="1" applyFill="1" applyBorder="1" applyAlignment="1" applyProtection="1">
      <alignment horizontal="center" vertical="center" shrinkToFit="1"/>
      <protection hidden="1"/>
    </xf>
    <xf numFmtId="0" fontId="55" fillId="2" borderId="83" xfId="0" applyFont="1" applyFill="1" applyBorder="1" applyAlignment="1" applyProtection="1">
      <alignment horizontal="center" vertical="center" shrinkToFit="1"/>
      <protection hidden="1"/>
    </xf>
    <xf numFmtId="0" fontId="55" fillId="4" borderId="83" xfId="0" applyFont="1" applyFill="1" applyBorder="1" applyAlignment="1" applyProtection="1">
      <alignment horizontal="center" vertical="center" shrinkToFit="1"/>
      <protection hidden="1"/>
    </xf>
    <xf numFmtId="0" fontId="37" fillId="4" borderId="83" xfId="0" applyFont="1" applyFill="1" applyBorder="1" applyAlignment="1" applyProtection="1">
      <alignment horizontal="center" vertical="center" shrinkToFit="1"/>
      <protection hidden="1"/>
    </xf>
    <xf numFmtId="0" fontId="55" fillId="2" borderId="35" xfId="0" applyFont="1" applyFill="1" applyBorder="1" applyAlignment="1" applyProtection="1">
      <alignment horizontal="center" vertical="center" shrinkToFit="1"/>
      <protection hidden="1"/>
    </xf>
    <xf numFmtId="0" fontId="55" fillId="2" borderId="34" xfId="0" applyFont="1" applyFill="1" applyBorder="1" applyAlignment="1" applyProtection="1">
      <alignment horizontal="center" vertical="center" shrinkToFit="1"/>
      <protection hidden="1"/>
    </xf>
    <xf numFmtId="0" fontId="37" fillId="4" borderId="93" xfId="0" quotePrefix="1" applyFont="1" applyFill="1" applyBorder="1" applyAlignment="1" applyProtection="1">
      <alignment horizontal="center" vertical="center" shrinkToFit="1"/>
      <protection hidden="1"/>
    </xf>
    <xf numFmtId="0" fontId="53" fillId="2" borderId="33" xfId="0" applyFont="1" applyFill="1" applyBorder="1" applyAlignment="1" applyProtection="1">
      <alignment horizontal="center" vertical="center" shrinkToFit="1"/>
      <protection hidden="1"/>
    </xf>
    <xf numFmtId="0" fontId="53" fillId="2" borderId="35" xfId="0" applyFont="1" applyFill="1" applyBorder="1" applyAlignment="1" applyProtection="1">
      <alignment horizontal="center" vertical="center" shrinkToFit="1"/>
      <protection hidden="1"/>
    </xf>
    <xf numFmtId="0" fontId="53" fillId="2" borderId="34" xfId="0" applyFont="1" applyFill="1" applyBorder="1" applyAlignment="1" applyProtection="1">
      <alignment horizontal="center" vertical="center" shrinkToFit="1"/>
      <protection hidden="1"/>
    </xf>
    <xf numFmtId="0" fontId="37" fillId="4" borderId="85" xfId="0" quotePrefix="1" applyFont="1" applyFill="1" applyBorder="1" applyAlignment="1" applyProtection="1">
      <alignment horizontal="center" vertical="center" shrinkToFit="1"/>
      <protection hidden="1"/>
    </xf>
    <xf numFmtId="0" fontId="37" fillId="4" borderId="86" xfId="0" applyFont="1" applyFill="1" applyBorder="1" applyAlignment="1" applyProtection="1">
      <alignment horizontal="center" vertical="center" shrinkToFit="1"/>
      <protection hidden="1"/>
    </xf>
    <xf numFmtId="0" fontId="37" fillId="4" borderId="89" xfId="0" applyFont="1" applyFill="1" applyBorder="1" applyAlignment="1" applyProtection="1">
      <alignment horizontal="center" vertical="center" shrinkToFit="1"/>
      <protection hidden="1"/>
    </xf>
    <xf numFmtId="0" fontId="53" fillId="2" borderId="95" xfId="0" applyFont="1" applyFill="1" applyBorder="1" applyAlignment="1" applyProtection="1">
      <alignment horizontal="center" vertical="center" shrinkToFit="1"/>
      <protection hidden="1"/>
    </xf>
    <xf numFmtId="0" fontId="53" fillId="2" borderId="96" xfId="0" applyFont="1" applyFill="1" applyBorder="1" applyAlignment="1" applyProtection="1">
      <alignment horizontal="center" vertical="center" shrinkToFit="1"/>
      <protection hidden="1"/>
    </xf>
    <xf numFmtId="0" fontId="53" fillId="2" borderId="97" xfId="0" applyFont="1" applyFill="1" applyBorder="1" applyAlignment="1" applyProtection="1">
      <alignment horizontal="center" vertical="center" shrinkToFit="1"/>
      <protection hidden="1"/>
    </xf>
    <xf numFmtId="0" fontId="37" fillId="2" borderId="41" xfId="0" applyFont="1" applyFill="1" applyBorder="1" applyAlignment="1" applyProtection="1">
      <alignment horizontal="center" vertical="center" textRotation="255" shrinkToFit="1"/>
      <protection hidden="1"/>
    </xf>
    <xf numFmtId="0" fontId="37" fillId="2" borderId="43" xfId="0" applyFont="1" applyFill="1" applyBorder="1" applyAlignment="1" applyProtection="1">
      <alignment horizontal="center" vertical="center" textRotation="255" shrinkToFit="1"/>
      <protection hidden="1"/>
    </xf>
    <xf numFmtId="0" fontId="37" fillId="2" borderId="100" xfId="0" applyFont="1" applyFill="1" applyBorder="1" applyAlignment="1" applyProtection="1">
      <alignment horizontal="center" vertical="center" textRotation="255" shrinkToFit="1"/>
      <protection hidden="1"/>
    </xf>
    <xf numFmtId="0" fontId="37" fillId="2" borderId="101" xfId="0" applyFont="1" applyFill="1" applyBorder="1" applyAlignment="1" applyProtection="1">
      <alignment horizontal="center" vertical="center" textRotation="255" shrinkToFit="1"/>
      <protection hidden="1"/>
    </xf>
    <xf numFmtId="0" fontId="25" fillId="2" borderId="48" xfId="0" applyFont="1" applyFill="1" applyBorder="1" applyAlignment="1" applyProtection="1">
      <alignment horizontal="left" vertical="center" shrinkToFit="1"/>
      <protection hidden="1"/>
    </xf>
    <xf numFmtId="0" fontId="25" fillId="2" borderId="39" xfId="0" applyFont="1" applyFill="1" applyBorder="1" applyAlignment="1" applyProtection="1">
      <alignment horizontal="left" vertical="center" shrinkToFit="1"/>
      <protection hidden="1"/>
    </xf>
    <xf numFmtId="0" fontId="25" fillId="2" borderId="40" xfId="0" applyFont="1" applyFill="1" applyBorder="1" applyAlignment="1" applyProtection="1">
      <alignment horizontal="left" vertical="center" shrinkToFit="1"/>
      <protection hidden="1"/>
    </xf>
    <xf numFmtId="0" fontId="37" fillId="4" borderId="55" xfId="0" applyFont="1" applyFill="1" applyBorder="1" applyAlignment="1" applyProtection="1">
      <alignment horizontal="center" vertical="center" shrinkToFit="1"/>
      <protection hidden="1"/>
    </xf>
    <xf numFmtId="0" fontId="37" fillId="4" borderId="56" xfId="0" applyFont="1" applyFill="1" applyBorder="1" applyAlignment="1" applyProtection="1">
      <alignment horizontal="center" vertical="center" shrinkToFit="1"/>
      <protection hidden="1"/>
    </xf>
    <xf numFmtId="0" fontId="37" fillId="4" borderId="56" xfId="0" quotePrefix="1" applyFont="1" applyFill="1" applyBorder="1" applyAlignment="1" applyProtection="1">
      <alignment horizontal="center" vertical="center" shrinkToFit="1"/>
      <protection hidden="1"/>
    </xf>
    <xf numFmtId="0" fontId="37" fillId="2" borderId="56" xfId="0" applyFont="1" applyFill="1" applyBorder="1" applyAlignment="1" applyProtection="1">
      <alignment horizontal="center" vertical="center" shrinkToFit="1"/>
      <protection hidden="1"/>
    </xf>
    <xf numFmtId="0" fontId="37" fillId="2" borderId="82" xfId="0" applyFont="1" applyFill="1" applyBorder="1" applyAlignment="1" applyProtection="1">
      <alignment horizontal="center" vertical="center" shrinkToFit="1"/>
      <protection hidden="1"/>
    </xf>
    <xf numFmtId="0" fontId="37" fillId="2" borderId="98" xfId="0" applyFont="1" applyFill="1" applyBorder="1" applyAlignment="1" applyProtection="1">
      <alignment horizontal="center" vertical="center" wrapText="1"/>
      <protection hidden="1"/>
    </xf>
    <xf numFmtId="0" fontId="37" fillId="2" borderId="99" xfId="0" applyFont="1" applyFill="1" applyBorder="1" applyAlignment="1" applyProtection="1">
      <alignment horizontal="center" vertical="center" wrapText="1"/>
      <protection hidden="1"/>
    </xf>
    <xf numFmtId="0" fontId="61" fillId="2" borderId="93" xfId="0" applyFont="1" applyFill="1" applyBorder="1" applyAlignment="1" applyProtection="1">
      <alignment horizontal="center" vertical="center" wrapText="1"/>
      <protection hidden="1"/>
    </xf>
    <xf numFmtId="0" fontId="61" fillId="2" borderId="94" xfId="0" applyFont="1" applyFill="1" applyBorder="1" applyAlignment="1" applyProtection="1">
      <alignment horizontal="center" vertical="center" wrapText="1"/>
      <protection hidden="1"/>
    </xf>
    <xf numFmtId="0" fontId="55" fillId="4" borderId="50" xfId="0" applyFont="1" applyFill="1" applyBorder="1" applyAlignment="1" applyProtection="1">
      <alignment horizontal="center" vertical="center" shrinkToFit="1"/>
      <protection hidden="1"/>
    </xf>
    <xf numFmtId="0" fontId="55" fillId="4" borderId="51" xfId="0" applyFont="1" applyFill="1" applyBorder="1" applyAlignment="1" applyProtection="1">
      <alignment horizontal="center" vertical="center" shrinkToFit="1"/>
      <protection hidden="1"/>
    </xf>
    <xf numFmtId="0" fontId="37" fillId="2" borderId="41" xfId="0" applyFont="1" applyFill="1" applyBorder="1" applyAlignment="1" applyProtection="1">
      <alignment horizontal="center" vertical="center" shrinkToFit="1"/>
      <protection hidden="1"/>
    </xf>
    <xf numFmtId="0" fontId="37" fillId="2" borderId="42" xfId="0" applyFont="1" applyFill="1" applyBorder="1" applyAlignment="1" applyProtection="1">
      <alignment horizontal="center" vertical="center" shrinkToFit="1"/>
      <protection hidden="1"/>
    </xf>
    <xf numFmtId="0" fontId="37" fillId="2" borderId="43" xfId="0" applyFont="1" applyFill="1" applyBorder="1" applyAlignment="1" applyProtection="1">
      <alignment horizontal="center" vertical="center" shrinkToFit="1"/>
      <protection hidden="1"/>
    </xf>
    <xf numFmtId="0" fontId="37" fillId="4" borderId="49" xfId="0" quotePrefix="1" applyFont="1" applyFill="1" applyBorder="1" applyAlignment="1" applyProtection="1">
      <alignment horizontal="center" vertical="center" shrinkToFit="1"/>
      <protection hidden="1"/>
    </xf>
    <xf numFmtId="0" fontId="24" fillId="2" borderId="95" xfId="0" applyFont="1" applyFill="1" applyBorder="1" applyAlignment="1" applyProtection="1">
      <alignment horizontal="center" vertical="center" shrinkToFit="1"/>
      <protection hidden="1"/>
    </xf>
    <xf numFmtId="0" fontId="24" fillId="2" borderId="96" xfId="0" applyFont="1" applyFill="1" applyBorder="1" applyAlignment="1" applyProtection="1">
      <alignment horizontal="center" vertical="center" shrinkToFit="1"/>
      <protection hidden="1"/>
    </xf>
    <xf numFmtId="0" fontId="24" fillId="2" borderId="97" xfId="0" applyFont="1" applyFill="1" applyBorder="1" applyAlignment="1" applyProtection="1">
      <alignment horizontal="center" vertical="center" shrinkToFit="1"/>
      <protection hidden="1"/>
    </xf>
    <xf numFmtId="0" fontId="37" fillId="4" borderId="87" xfId="0" applyFont="1" applyFill="1" applyBorder="1" applyAlignment="1" applyProtection="1">
      <alignment horizontal="center" vertical="center" shrinkToFit="1"/>
      <protection hidden="1"/>
    </xf>
    <xf numFmtId="0" fontId="11" fillId="7" borderId="21" xfId="0" applyFont="1" applyFill="1" applyBorder="1" applyAlignment="1" applyProtection="1">
      <alignment horizontal="center" vertical="center" shrinkToFit="1"/>
      <protection hidden="1"/>
    </xf>
    <xf numFmtId="0" fontId="11" fillId="7" borderId="19" xfId="0" applyFont="1" applyFill="1" applyBorder="1" applyAlignment="1" applyProtection="1">
      <alignment horizontal="center" vertical="center" shrinkToFit="1"/>
      <protection hidden="1"/>
    </xf>
    <xf numFmtId="0" fontId="11" fillId="7" borderId="11" xfId="0" applyFont="1" applyFill="1" applyBorder="1" applyAlignment="1" applyProtection="1">
      <alignment horizontal="center" vertical="center" shrinkToFit="1"/>
      <protection hidden="1"/>
    </xf>
    <xf numFmtId="0" fontId="11" fillId="7" borderId="20" xfId="0" applyFont="1" applyFill="1" applyBorder="1" applyAlignment="1" applyProtection="1">
      <alignment horizontal="center" vertical="center" shrinkToFit="1"/>
      <protection hidden="1"/>
    </xf>
    <xf numFmtId="0" fontId="55" fillId="2" borderId="49" xfId="0" applyFont="1" applyFill="1" applyBorder="1" applyAlignment="1" applyProtection="1">
      <alignment horizontal="center" vertical="center" shrinkToFit="1"/>
      <protection hidden="1"/>
    </xf>
    <xf numFmtId="0" fontId="55" fillId="2" borderId="50" xfId="0" applyFont="1" applyFill="1" applyBorder="1" applyAlignment="1" applyProtection="1">
      <alignment horizontal="center" vertical="center" shrinkToFit="1"/>
      <protection hidden="1"/>
    </xf>
    <xf numFmtId="0" fontId="55" fillId="4" borderId="52" xfId="0" applyFont="1" applyFill="1" applyBorder="1" applyAlignment="1" applyProtection="1">
      <alignment horizontal="center" vertical="center" shrinkToFit="1"/>
      <protection hidden="1"/>
    </xf>
    <xf numFmtId="0" fontId="55" fillId="4" borderId="81" xfId="0" applyFont="1" applyFill="1" applyBorder="1" applyAlignment="1" applyProtection="1">
      <alignment horizontal="center" vertical="center" shrinkToFit="1"/>
      <protection hidden="1"/>
    </xf>
    <xf numFmtId="0" fontId="55" fillId="2" borderId="54" xfId="0" applyFont="1" applyFill="1" applyBorder="1" applyAlignment="1" applyProtection="1">
      <alignment horizontal="center" vertical="center" shrinkToFit="1"/>
      <protection hidden="1"/>
    </xf>
    <xf numFmtId="0" fontId="37" fillId="4" borderId="55" xfId="0" quotePrefix="1" applyFont="1" applyFill="1" applyBorder="1" applyAlignment="1" applyProtection="1">
      <alignment horizontal="center" vertical="center" shrinkToFit="1"/>
      <protection hidden="1"/>
    </xf>
    <xf numFmtId="0" fontId="25" fillId="2" borderId="38" xfId="0" applyFont="1" applyFill="1" applyBorder="1" applyAlignment="1" applyProtection="1">
      <alignment horizontal="left" vertical="center" shrinkToFit="1"/>
      <protection hidden="1"/>
    </xf>
    <xf numFmtId="0" fontId="25" fillId="2" borderId="29" xfId="0" applyFont="1" applyFill="1" applyBorder="1" applyAlignment="1" applyProtection="1">
      <alignment horizontal="left" vertical="center" shrinkToFit="1"/>
      <protection hidden="1"/>
    </xf>
    <xf numFmtId="0" fontId="25" fillId="2" borderId="47" xfId="0" applyFont="1" applyFill="1" applyBorder="1" applyAlignment="1" applyProtection="1">
      <alignment horizontal="left" vertical="center" shrinkToFit="1"/>
      <protection hidden="1"/>
    </xf>
    <xf numFmtId="0" fontId="37" fillId="4" borderId="206" xfId="0" applyFont="1" applyFill="1" applyBorder="1" applyAlignment="1" applyProtection="1">
      <alignment horizontal="center" vertical="center" shrinkToFit="1"/>
      <protection hidden="1"/>
    </xf>
    <xf numFmtId="0" fontId="37" fillId="4" borderId="91" xfId="0" applyFont="1" applyFill="1" applyBorder="1" applyAlignment="1" applyProtection="1">
      <alignment horizontal="center" vertical="center" shrinkToFit="1"/>
      <protection hidden="1"/>
    </xf>
    <xf numFmtId="0" fontId="37" fillId="4" borderId="207" xfId="0" applyFont="1" applyFill="1" applyBorder="1" applyAlignment="1" applyProtection="1">
      <alignment horizontal="center" vertical="center" shrinkToFit="1"/>
      <protection hidden="1"/>
    </xf>
    <xf numFmtId="0" fontId="37" fillId="4" borderId="49" xfId="0" applyFont="1" applyFill="1" applyBorder="1" applyAlignment="1" applyProtection="1">
      <alignment horizontal="center" vertical="center" shrinkToFit="1"/>
      <protection hidden="1"/>
    </xf>
    <xf numFmtId="0" fontId="37" fillId="4" borderId="81" xfId="0" applyFont="1" applyFill="1" applyBorder="1" applyAlignment="1" applyProtection="1">
      <alignment horizontal="center" vertical="center" shrinkToFit="1"/>
      <protection hidden="1"/>
    </xf>
    <xf numFmtId="0" fontId="37" fillId="4" borderId="50" xfId="0" quotePrefix="1" applyFont="1" applyFill="1" applyBorder="1" applyAlignment="1" applyProtection="1">
      <alignment horizontal="center" vertical="center" shrinkToFit="1"/>
      <protection hidden="1"/>
    </xf>
    <xf numFmtId="0" fontId="11" fillId="7" borderId="1" xfId="0" applyFont="1" applyFill="1" applyBorder="1" applyAlignment="1" applyProtection="1">
      <alignment horizontal="center"/>
      <protection hidden="1"/>
    </xf>
    <xf numFmtId="0" fontId="11" fillId="7" borderId="3" xfId="0" applyFont="1" applyFill="1" applyBorder="1" applyAlignment="1" applyProtection="1">
      <alignment horizontal="center"/>
      <protection hidden="1"/>
    </xf>
    <xf numFmtId="0" fontId="55" fillId="4" borderId="38" xfId="0" applyFont="1" applyFill="1" applyBorder="1" applyAlignment="1" applyProtection="1">
      <alignment horizontal="center" vertical="center" shrinkToFit="1"/>
    </xf>
    <xf numFmtId="0" fontId="55" fillId="4" borderId="29" xfId="0" applyFont="1" applyFill="1" applyBorder="1" applyAlignment="1" applyProtection="1">
      <alignment horizontal="center" vertical="center" shrinkToFit="1"/>
    </xf>
    <xf numFmtId="0" fontId="56" fillId="4" borderId="29" xfId="0" applyFont="1" applyFill="1" applyBorder="1" applyAlignment="1" applyProtection="1">
      <alignment horizontal="center" vertical="center" shrinkToFit="1"/>
      <protection hidden="1"/>
    </xf>
    <xf numFmtId="0" fontId="56" fillId="4" borderId="47" xfId="0" applyFont="1" applyFill="1" applyBorder="1" applyAlignment="1" applyProtection="1">
      <alignment horizontal="center" vertical="center" shrinkToFit="1"/>
      <protection hidden="1"/>
    </xf>
    <xf numFmtId="176" fontId="37" fillId="4" borderId="37" xfId="0" quotePrefix="1" applyNumberFormat="1" applyFont="1" applyFill="1" applyBorder="1" applyAlignment="1" applyProtection="1">
      <alignment horizontal="center" vertical="center" wrapText="1" shrinkToFit="1"/>
      <protection hidden="1"/>
    </xf>
    <xf numFmtId="176" fontId="37" fillId="4" borderId="0" xfId="0" quotePrefix="1" applyNumberFormat="1" applyFont="1" applyFill="1" applyBorder="1" applyAlignment="1" applyProtection="1">
      <alignment horizontal="center" vertical="center" wrapText="1" shrinkToFit="1"/>
      <protection hidden="1"/>
    </xf>
    <xf numFmtId="176" fontId="37" fillId="4" borderId="36" xfId="0" quotePrefix="1" applyNumberFormat="1" applyFont="1" applyFill="1" applyBorder="1" applyAlignment="1" applyProtection="1">
      <alignment horizontal="center" vertical="center" wrapText="1" shrinkToFit="1"/>
      <protection hidden="1"/>
    </xf>
    <xf numFmtId="176" fontId="37" fillId="4" borderId="38" xfId="0" quotePrefix="1" applyNumberFormat="1" applyFont="1" applyFill="1" applyBorder="1" applyAlignment="1" applyProtection="1">
      <alignment horizontal="center" vertical="center" wrapText="1" shrinkToFit="1"/>
      <protection hidden="1"/>
    </xf>
    <xf numFmtId="176" fontId="37" fillId="4" borderId="29" xfId="0" quotePrefix="1" applyNumberFormat="1" applyFont="1" applyFill="1" applyBorder="1" applyAlignment="1" applyProtection="1">
      <alignment horizontal="center" vertical="center" wrapText="1" shrinkToFit="1"/>
      <protection hidden="1"/>
    </xf>
    <xf numFmtId="176" fontId="37" fillId="4" borderId="47" xfId="0" quotePrefix="1" applyNumberFormat="1" applyFont="1" applyFill="1" applyBorder="1" applyAlignment="1" applyProtection="1">
      <alignment horizontal="center" vertical="center" wrapText="1" shrinkToFit="1"/>
      <protection hidden="1"/>
    </xf>
    <xf numFmtId="176" fontId="37" fillId="4" borderId="37" xfId="0" quotePrefix="1" applyNumberFormat="1" applyFont="1" applyFill="1" applyBorder="1" applyAlignment="1" applyProtection="1">
      <alignment horizontal="center" vertical="center" textRotation="255" shrinkToFit="1"/>
      <protection hidden="1"/>
    </xf>
    <xf numFmtId="176" fontId="37" fillId="4" borderId="0" xfId="0" quotePrefix="1" applyNumberFormat="1" applyFont="1" applyFill="1" applyBorder="1" applyAlignment="1" applyProtection="1">
      <alignment horizontal="center" vertical="center" textRotation="255" shrinkToFit="1"/>
      <protection hidden="1"/>
    </xf>
    <xf numFmtId="176" fontId="37" fillId="4" borderId="84" xfId="0" quotePrefix="1" applyNumberFormat="1" applyFont="1" applyFill="1" applyBorder="1" applyAlignment="1" applyProtection="1">
      <alignment horizontal="center" vertical="center" textRotation="255" shrinkToFit="1"/>
      <protection hidden="1"/>
    </xf>
    <xf numFmtId="176" fontId="37" fillId="4" borderId="38" xfId="0" quotePrefix="1" applyNumberFormat="1" applyFont="1" applyFill="1" applyBorder="1" applyAlignment="1" applyProtection="1">
      <alignment horizontal="center" vertical="center" textRotation="255" shrinkToFit="1"/>
      <protection hidden="1"/>
    </xf>
    <xf numFmtId="176" fontId="37" fillId="4" borderId="29" xfId="0" quotePrefix="1" applyNumberFormat="1" applyFont="1" applyFill="1" applyBorder="1" applyAlignment="1" applyProtection="1">
      <alignment horizontal="center" vertical="center" textRotation="255" shrinkToFit="1"/>
      <protection hidden="1"/>
    </xf>
    <xf numFmtId="176" fontId="37" fillId="4" borderId="90" xfId="0" quotePrefix="1" applyNumberFormat="1" applyFont="1" applyFill="1" applyBorder="1" applyAlignment="1" applyProtection="1">
      <alignment horizontal="center" vertical="center" textRotation="255" shrinkToFit="1"/>
      <protection hidden="1"/>
    </xf>
    <xf numFmtId="0" fontId="53" fillId="21" borderId="208" xfId="0" applyFont="1" applyFill="1" applyBorder="1" applyAlignment="1" applyProtection="1">
      <alignment horizontal="center" vertical="top" shrinkToFit="1"/>
      <protection hidden="1"/>
    </xf>
    <xf numFmtId="0" fontId="53" fillId="21" borderId="205" xfId="0" applyFont="1" applyFill="1" applyBorder="1" applyAlignment="1" applyProtection="1">
      <alignment horizontal="center" vertical="top" shrinkToFit="1"/>
      <protection hidden="1"/>
    </xf>
    <xf numFmtId="0" fontId="24" fillId="21" borderId="208" xfId="0" applyFont="1" applyFill="1" applyBorder="1" applyAlignment="1" applyProtection="1">
      <alignment horizontal="center" vertical="top" shrinkToFit="1"/>
      <protection hidden="1"/>
    </xf>
    <xf numFmtId="0" fontId="24" fillId="21" borderId="162" xfId="0" applyFont="1" applyFill="1" applyBorder="1" applyAlignment="1" applyProtection="1">
      <alignment horizontal="center" vertical="top" shrinkToFit="1"/>
      <protection hidden="1"/>
    </xf>
    <xf numFmtId="0" fontId="24" fillId="21" borderId="205" xfId="0" applyFont="1" applyFill="1" applyBorder="1" applyAlignment="1" applyProtection="1">
      <alignment horizontal="center" vertical="top" shrinkToFit="1"/>
      <protection hidden="1"/>
    </xf>
    <xf numFmtId="0" fontId="53" fillId="21" borderId="162" xfId="0" applyFont="1" applyFill="1" applyBorder="1" applyAlignment="1" applyProtection="1">
      <alignment horizontal="center" vertical="top" shrinkToFit="1"/>
      <protection hidden="1"/>
    </xf>
    <xf numFmtId="0" fontId="53" fillId="21" borderId="209" xfId="0" applyFont="1" applyFill="1" applyBorder="1" applyAlignment="1" applyProtection="1">
      <alignment horizontal="center" vertical="center" shrinkToFit="1"/>
      <protection hidden="1"/>
    </xf>
    <xf numFmtId="0" fontId="53" fillId="21" borderId="210" xfId="0" applyFont="1" applyFill="1" applyBorder="1" applyAlignment="1" applyProtection="1">
      <alignment horizontal="center" vertical="center" shrinkToFit="1"/>
      <protection hidden="1"/>
    </xf>
    <xf numFmtId="0" fontId="53" fillId="21" borderId="216" xfId="0" applyFont="1" applyFill="1" applyBorder="1" applyAlignment="1" applyProtection="1">
      <alignment horizontal="center" vertical="center" shrinkToFit="1"/>
      <protection hidden="1"/>
    </xf>
    <xf numFmtId="0" fontId="53" fillId="21" borderId="215" xfId="0" applyFont="1" applyFill="1" applyBorder="1" applyAlignment="1" applyProtection="1">
      <alignment horizontal="center" vertical="center" shrinkToFit="1"/>
      <protection hidden="1"/>
    </xf>
    <xf numFmtId="0" fontId="53" fillId="21" borderId="212" xfId="0" applyFont="1" applyFill="1" applyBorder="1" applyAlignment="1" applyProtection="1">
      <alignment horizontal="center" vertical="center" shrinkToFit="1"/>
      <protection hidden="1"/>
    </xf>
    <xf numFmtId="0" fontId="53" fillId="21" borderId="208" xfId="0" applyFont="1" applyFill="1" applyBorder="1" applyAlignment="1" applyProtection="1">
      <alignment horizontal="center" vertical="center" shrinkToFit="1"/>
      <protection hidden="1"/>
    </xf>
    <xf numFmtId="0" fontId="53" fillId="21" borderId="162" xfId="0" applyFont="1" applyFill="1" applyBorder="1" applyAlignment="1" applyProtection="1">
      <alignment horizontal="center" vertical="center" shrinkToFit="1"/>
      <protection hidden="1"/>
    </xf>
    <xf numFmtId="0" fontId="53" fillId="21" borderId="205" xfId="0" applyFont="1" applyFill="1" applyBorder="1" applyAlignment="1" applyProtection="1">
      <alignment horizontal="center" vertical="center" shrinkToFit="1"/>
      <protection hidden="1"/>
    </xf>
    <xf numFmtId="0" fontId="53" fillId="21" borderId="208" xfId="0" applyFont="1" applyFill="1" applyBorder="1" applyAlignment="1" applyProtection="1">
      <alignment horizontal="center" vertical="center" wrapText="1"/>
      <protection hidden="1"/>
    </xf>
    <xf numFmtId="0" fontId="53" fillId="21" borderId="205" xfId="0" applyFont="1" applyFill="1" applyBorder="1" applyAlignment="1" applyProtection="1">
      <alignment horizontal="center" vertical="center" wrapText="1"/>
      <protection hidden="1"/>
    </xf>
    <xf numFmtId="0" fontId="37" fillId="4" borderId="88" xfId="0" applyFont="1" applyFill="1" applyBorder="1" applyAlignment="1" applyProtection="1">
      <alignment horizontal="center" vertical="center" shrinkToFit="1"/>
      <protection hidden="1"/>
    </xf>
    <xf numFmtId="0" fontId="53" fillId="21" borderId="33" xfId="0" applyFont="1" applyFill="1" applyBorder="1" applyAlignment="1" applyProtection="1">
      <alignment horizontal="center" shrinkToFit="1"/>
      <protection hidden="1"/>
    </xf>
    <xf numFmtId="0" fontId="53" fillId="21" borderId="34" xfId="0" applyFont="1" applyFill="1" applyBorder="1" applyAlignment="1" applyProtection="1">
      <alignment horizontal="center" shrinkToFit="1"/>
      <protection hidden="1"/>
    </xf>
    <xf numFmtId="0" fontId="53" fillId="21" borderId="35" xfId="0" applyFont="1" applyFill="1" applyBorder="1" applyAlignment="1" applyProtection="1">
      <alignment horizontal="center" shrinkToFit="1"/>
      <protection hidden="1"/>
    </xf>
    <xf numFmtId="0" fontId="2" fillId="2" borderId="5" xfId="0" applyFont="1" applyFill="1" applyBorder="1" applyAlignment="1" applyProtection="1">
      <alignment horizontal="center" vertical="center"/>
      <protection hidden="1"/>
    </xf>
    <xf numFmtId="0" fontId="52" fillId="21" borderId="41" xfId="0" applyFont="1" applyFill="1" applyBorder="1" applyAlignment="1" applyProtection="1">
      <alignment horizontal="center" vertical="center" shrinkToFit="1"/>
      <protection hidden="1"/>
    </xf>
    <xf numFmtId="0" fontId="52" fillId="21" borderId="42" xfId="0" applyFont="1" applyFill="1" applyBorder="1" applyAlignment="1" applyProtection="1">
      <alignment horizontal="center" vertical="center" shrinkToFit="1"/>
      <protection hidden="1"/>
    </xf>
    <xf numFmtId="0" fontId="53" fillId="21" borderId="42" xfId="0" applyFont="1" applyFill="1" applyBorder="1" applyAlignment="1" applyProtection="1">
      <alignment horizontal="distributed" vertical="center" shrinkToFit="1"/>
      <protection hidden="1"/>
    </xf>
    <xf numFmtId="0" fontId="52" fillId="21" borderId="43" xfId="0" applyFont="1" applyFill="1" applyBorder="1" applyAlignment="1" applyProtection="1">
      <alignment horizontal="center" vertical="center" shrinkToFit="1"/>
      <protection hidden="1"/>
    </xf>
    <xf numFmtId="0" fontId="53" fillId="21" borderId="41" xfId="0" applyFont="1" applyFill="1" applyBorder="1" applyAlignment="1" applyProtection="1">
      <alignment horizontal="center" vertical="center" wrapText="1"/>
      <protection hidden="1"/>
    </xf>
    <xf numFmtId="0" fontId="53" fillId="21" borderId="42" xfId="0" applyFont="1" applyFill="1" applyBorder="1" applyAlignment="1" applyProtection="1">
      <alignment horizontal="center" vertical="center" wrapText="1"/>
      <protection hidden="1"/>
    </xf>
    <xf numFmtId="0" fontId="53" fillId="21" borderId="43" xfId="0" applyFont="1" applyFill="1" applyBorder="1" applyAlignment="1" applyProtection="1">
      <alignment horizontal="center" vertical="center" wrapText="1"/>
      <protection hidden="1"/>
    </xf>
    <xf numFmtId="0" fontId="55" fillId="4" borderId="45" xfId="0" applyFont="1" applyFill="1" applyBorder="1" applyAlignment="1" applyProtection="1">
      <alignment horizontal="center" vertical="center" shrinkToFit="1"/>
      <protection hidden="1"/>
    </xf>
    <xf numFmtId="0" fontId="24" fillId="21" borderId="159" xfId="0" applyFont="1" applyFill="1" applyBorder="1" applyAlignment="1" applyProtection="1">
      <alignment horizontal="left" vertical="center" shrinkToFit="1"/>
      <protection hidden="1"/>
    </xf>
    <xf numFmtId="0" fontId="24" fillId="21" borderId="160" xfId="0" applyFont="1" applyFill="1" applyBorder="1" applyAlignment="1" applyProtection="1">
      <alignment horizontal="left" vertical="center" shrinkToFit="1"/>
      <protection hidden="1"/>
    </xf>
    <xf numFmtId="0" fontId="37" fillId="4" borderId="45" xfId="0" applyFont="1" applyFill="1" applyBorder="1" applyAlignment="1" applyProtection="1">
      <alignment horizontal="center" vertical="center" shrinkToFit="1"/>
      <protection hidden="1"/>
    </xf>
    <xf numFmtId="0" fontId="357" fillId="4" borderId="39" xfId="0" quotePrefix="1" applyFont="1" applyFill="1" applyBorder="1" applyAlignment="1" applyProtection="1">
      <alignment horizontal="left" vertical="center" shrinkToFit="1"/>
      <protection hidden="1"/>
    </xf>
    <xf numFmtId="0" fontId="357" fillId="4" borderId="39" xfId="0" applyFont="1" applyFill="1" applyBorder="1" applyAlignment="1" applyProtection="1">
      <alignment horizontal="left" vertical="center" shrinkToFit="1"/>
      <protection hidden="1"/>
    </xf>
    <xf numFmtId="0" fontId="357" fillId="4" borderId="40" xfId="0" applyFont="1" applyFill="1" applyBorder="1" applyAlignment="1" applyProtection="1">
      <alignment horizontal="left" vertical="center" shrinkToFit="1"/>
      <protection hidden="1"/>
    </xf>
    <xf numFmtId="0" fontId="69" fillId="4" borderId="39" xfId="0" quotePrefix="1" applyFont="1" applyFill="1" applyBorder="1" applyAlignment="1" applyProtection="1">
      <alignment horizontal="left" vertical="center" shrinkToFit="1"/>
      <protection hidden="1"/>
    </xf>
    <xf numFmtId="0" fontId="69" fillId="4" borderId="39" xfId="0" applyFont="1" applyFill="1" applyBorder="1" applyAlignment="1" applyProtection="1">
      <alignment horizontal="left" vertical="center" shrinkToFit="1"/>
      <protection hidden="1"/>
    </xf>
    <xf numFmtId="0" fontId="69" fillId="4" borderId="40" xfId="0" applyFont="1" applyFill="1" applyBorder="1" applyAlignment="1" applyProtection="1">
      <alignment horizontal="left" vertical="center" shrinkToFit="1"/>
      <protection hidden="1"/>
    </xf>
    <xf numFmtId="0" fontId="68" fillId="22" borderId="29" xfId="0" applyFont="1" applyFill="1" applyBorder="1" applyAlignment="1" applyProtection="1">
      <alignment horizontal="center" vertical="center" shrinkToFit="1"/>
      <protection locked="0"/>
    </xf>
    <xf numFmtId="0" fontId="68" fillId="22" borderId="47" xfId="0" applyFont="1" applyFill="1" applyBorder="1" applyAlignment="1" applyProtection="1">
      <alignment horizontal="center" vertical="center" shrinkToFit="1"/>
      <protection locked="0"/>
    </xf>
    <xf numFmtId="176" fontId="62" fillId="2" borderId="103" xfId="0" applyNumberFormat="1" applyFont="1" applyFill="1" applyBorder="1" applyAlignment="1" applyProtection="1">
      <alignment horizontal="center" vertical="center" shrinkToFit="1"/>
      <protection hidden="1"/>
    </xf>
    <xf numFmtId="176" fontId="63" fillId="2" borderId="0" xfId="0" applyNumberFormat="1" applyFont="1" applyFill="1" applyBorder="1" applyAlignment="1" applyProtection="1">
      <alignment horizontal="center" vertical="center" shrinkToFit="1"/>
      <protection hidden="1"/>
    </xf>
    <xf numFmtId="176" fontId="63" fillId="2" borderId="36" xfId="0" applyNumberFormat="1" applyFont="1" applyFill="1" applyBorder="1" applyAlignment="1" applyProtection="1">
      <alignment horizontal="center" vertical="center" shrinkToFit="1"/>
      <protection hidden="1"/>
    </xf>
    <xf numFmtId="176" fontId="65" fillId="17" borderId="88" xfId="0" applyNumberFormat="1" applyFont="1" applyFill="1" applyBorder="1" applyAlignment="1" applyProtection="1">
      <alignment horizontal="center" vertical="center" shrinkToFit="1"/>
      <protection locked="0"/>
    </xf>
    <xf numFmtId="176" fontId="65" fillId="17" borderId="86" xfId="0" applyNumberFormat="1" applyFont="1" applyFill="1" applyBorder="1" applyAlignment="1" applyProtection="1">
      <alignment horizontal="center" vertical="center" shrinkToFit="1"/>
      <protection locked="0"/>
    </xf>
    <xf numFmtId="176" fontId="65" fillId="17" borderId="87" xfId="0" applyNumberFormat="1" applyFont="1" applyFill="1" applyBorder="1" applyAlignment="1" applyProtection="1">
      <alignment horizontal="center" vertical="center" shrinkToFit="1"/>
      <protection locked="0"/>
    </xf>
    <xf numFmtId="176" fontId="65" fillId="17" borderId="103" xfId="0" applyNumberFormat="1" applyFont="1" applyFill="1" applyBorder="1" applyAlignment="1" applyProtection="1">
      <alignment horizontal="center" vertical="center" shrinkToFit="1"/>
      <protection locked="0"/>
    </xf>
    <xf numFmtId="176" fontId="65" fillId="17" borderId="0" xfId="0" applyNumberFormat="1" applyFont="1" applyFill="1" applyBorder="1" applyAlignment="1" applyProtection="1">
      <alignment horizontal="center" vertical="center" shrinkToFit="1"/>
      <protection locked="0"/>
    </xf>
    <xf numFmtId="176" fontId="65" fillId="17" borderId="36" xfId="0" applyNumberFormat="1" applyFont="1" applyFill="1" applyBorder="1" applyAlignment="1" applyProtection="1">
      <alignment horizontal="center" vertical="center" shrinkToFit="1"/>
      <protection locked="0"/>
    </xf>
    <xf numFmtId="176" fontId="65" fillId="17" borderId="105" xfId="0" applyNumberFormat="1" applyFont="1" applyFill="1" applyBorder="1" applyAlignment="1" applyProtection="1">
      <alignment horizontal="center" vertical="center" shrinkToFit="1"/>
      <protection locked="0"/>
    </xf>
    <xf numFmtId="176" fontId="65" fillId="17" borderId="29" xfId="0" applyNumberFormat="1" applyFont="1" applyFill="1" applyBorder="1" applyAlignment="1" applyProtection="1">
      <alignment horizontal="center" vertical="center" shrinkToFit="1"/>
      <protection locked="0"/>
    </xf>
    <xf numFmtId="176" fontId="65" fillId="17" borderId="47" xfId="0" applyNumberFormat="1" applyFont="1" applyFill="1" applyBorder="1" applyAlignment="1" applyProtection="1">
      <alignment horizontal="center" vertical="center" shrinkToFit="1"/>
      <protection locked="0"/>
    </xf>
    <xf numFmtId="0" fontId="21" fillId="7" borderId="77" xfId="0" applyFont="1" applyFill="1" applyBorder="1" applyAlignment="1" applyProtection="1">
      <alignment horizontal="center" vertical="center"/>
      <protection hidden="1"/>
    </xf>
    <xf numFmtId="0" fontId="13" fillId="5" borderId="36" xfId="0" applyFont="1" applyFill="1" applyBorder="1" applyAlignment="1" applyProtection="1">
      <alignment horizontal="left" vertical="center"/>
      <protection hidden="1"/>
    </xf>
    <xf numFmtId="0" fontId="21" fillId="7" borderId="48" xfId="0" applyFont="1" applyFill="1" applyBorder="1" applyAlignment="1" applyProtection="1">
      <alignment horizontal="center" vertical="center"/>
      <protection hidden="1"/>
    </xf>
    <xf numFmtId="0" fontId="21" fillId="7" borderId="39" xfId="0" applyFont="1" applyFill="1" applyBorder="1" applyAlignment="1" applyProtection="1">
      <alignment horizontal="center" vertical="center"/>
      <protection hidden="1"/>
    </xf>
    <xf numFmtId="0" fontId="21" fillId="7" borderId="40" xfId="0" applyFont="1" applyFill="1" applyBorder="1" applyAlignment="1" applyProtection="1">
      <alignment horizontal="center" vertical="center"/>
      <protection hidden="1"/>
    </xf>
    <xf numFmtId="182" fontId="21" fillId="4" borderId="40" xfId="0" applyNumberFormat="1" applyFont="1" applyFill="1" applyBorder="1" applyAlignment="1" applyProtection="1">
      <alignment horizontal="right" vertical="center"/>
      <protection hidden="1"/>
    </xf>
    <xf numFmtId="0" fontId="37" fillId="2" borderId="54" xfId="0" applyFont="1" applyFill="1" applyBorder="1" applyAlignment="1" applyProtection="1">
      <alignment horizontal="center" vertical="center" shrinkToFit="1"/>
      <protection hidden="1"/>
    </xf>
    <xf numFmtId="0" fontId="51" fillId="21" borderId="78" xfId="0" applyFont="1" applyFill="1" applyBorder="1" applyAlignment="1" applyProtection="1">
      <alignment horizontal="center" shrinkToFit="1"/>
      <protection hidden="1"/>
    </xf>
    <xf numFmtId="0" fontId="51" fillId="21" borderId="79" xfId="0" applyFont="1" applyFill="1" applyBorder="1" applyAlignment="1" applyProtection="1">
      <alignment horizontal="center" shrinkToFit="1"/>
      <protection hidden="1"/>
    </xf>
    <xf numFmtId="0" fontId="51" fillId="21" borderId="80" xfId="0" applyFont="1" applyFill="1" applyBorder="1" applyAlignment="1" applyProtection="1">
      <alignment horizontal="center" shrinkToFit="1"/>
      <protection hidden="1"/>
    </xf>
    <xf numFmtId="0" fontId="24" fillId="4" borderId="38" xfId="0" applyFont="1" applyFill="1" applyBorder="1" applyAlignment="1" applyProtection="1">
      <alignment horizontal="center" vertical="center" shrinkToFit="1"/>
      <protection hidden="1"/>
    </xf>
    <xf numFmtId="0" fontId="24" fillId="4" borderId="29" xfId="0" applyFont="1" applyFill="1" applyBorder="1" applyAlignment="1" applyProtection="1">
      <alignment horizontal="center" vertical="center" shrinkToFit="1"/>
      <protection hidden="1"/>
    </xf>
    <xf numFmtId="0" fontId="24" fillId="4" borderId="47" xfId="0" applyFont="1" applyFill="1" applyBorder="1" applyAlignment="1" applyProtection="1">
      <alignment horizontal="center" vertical="center" shrinkToFit="1"/>
      <protection hidden="1"/>
    </xf>
    <xf numFmtId="0" fontId="53" fillId="21" borderId="211" xfId="0" applyFont="1" applyFill="1" applyBorder="1" applyAlignment="1" applyProtection="1">
      <alignment horizontal="center" vertical="center" shrinkToFit="1"/>
      <protection hidden="1"/>
    </xf>
    <xf numFmtId="0" fontId="53" fillId="21" borderId="213" xfId="0" applyFont="1" applyFill="1" applyBorder="1" applyAlignment="1" applyProtection="1">
      <alignment horizontal="center" vertical="center" wrapText="1"/>
      <protection hidden="1"/>
    </xf>
    <xf numFmtId="0" fontId="53" fillId="21" borderId="211" xfId="0" applyFont="1" applyFill="1" applyBorder="1" applyAlignment="1" applyProtection="1">
      <alignment horizontal="center" vertical="center" wrapText="1"/>
      <protection hidden="1"/>
    </xf>
    <xf numFmtId="0" fontId="53" fillId="21" borderId="214" xfId="0" applyFont="1" applyFill="1" applyBorder="1" applyAlignment="1" applyProtection="1">
      <alignment horizontal="center" vertical="center" wrapText="1"/>
      <protection hidden="1"/>
    </xf>
    <xf numFmtId="0" fontId="53" fillId="21" borderId="33" xfId="0" applyFont="1" applyFill="1" applyBorder="1" applyAlignment="1" applyProtection="1">
      <alignment horizontal="center" vertical="center" wrapText="1"/>
      <protection hidden="1"/>
    </xf>
    <xf numFmtId="0" fontId="53" fillId="21" borderId="34" xfId="0" applyFont="1" applyFill="1" applyBorder="1" applyAlignment="1" applyProtection="1">
      <alignment horizontal="center" vertical="center" wrapText="1"/>
      <protection hidden="1"/>
    </xf>
    <xf numFmtId="0" fontId="49" fillId="21" borderId="200" xfId="0" applyFont="1" applyFill="1" applyBorder="1" applyAlignment="1" applyProtection="1">
      <alignment horizontal="center" vertical="center" shrinkToFit="1"/>
      <protection hidden="1"/>
    </xf>
    <xf numFmtId="0" fontId="49" fillId="21" borderId="201" xfId="0" applyFont="1" applyFill="1" applyBorder="1" applyAlignment="1" applyProtection="1">
      <alignment horizontal="center" vertical="center" shrinkToFit="1"/>
      <protection hidden="1"/>
    </xf>
    <xf numFmtId="0" fontId="49" fillId="21" borderId="202" xfId="0" applyFont="1" applyFill="1" applyBorder="1" applyAlignment="1" applyProtection="1">
      <alignment horizontal="center" vertical="center" shrinkToFit="1"/>
      <protection hidden="1"/>
    </xf>
    <xf numFmtId="0" fontId="49" fillId="21" borderId="203" xfId="0" applyFont="1" applyFill="1" applyBorder="1" applyAlignment="1" applyProtection="1">
      <alignment horizontal="center" vertical="center" shrinkToFit="1"/>
      <protection hidden="1"/>
    </xf>
    <xf numFmtId="0" fontId="30" fillId="23" borderId="30" xfId="1" applyFont="1" applyFill="1" applyBorder="1" applyAlignment="1" applyProtection="1">
      <alignment horizontal="center" vertical="center" shrinkToFit="1"/>
      <protection hidden="1"/>
    </xf>
    <xf numFmtId="0" fontId="30" fillId="23" borderId="31" xfId="1" applyFont="1" applyFill="1" applyBorder="1" applyAlignment="1" applyProtection="1">
      <alignment horizontal="center" vertical="center" shrinkToFit="1"/>
      <protection hidden="1"/>
    </xf>
    <xf numFmtId="0" fontId="30" fillId="23" borderId="32" xfId="1" applyFont="1" applyFill="1" applyBorder="1" applyAlignment="1" applyProtection="1">
      <alignment horizontal="center" vertical="center" shrinkToFit="1"/>
      <protection hidden="1"/>
    </xf>
    <xf numFmtId="0" fontId="30" fillId="23" borderId="152" xfId="1" applyFont="1" applyFill="1" applyBorder="1" applyAlignment="1" applyProtection="1">
      <alignment horizontal="center" vertical="center"/>
      <protection hidden="1"/>
    </xf>
    <xf numFmtId="0" fontId="30" fillId="23" borderId="153" xfId="1" applyFont="1" applyFill="1" applyBorder="1" applyAlignment="1" applyProtection="1">
      <alignment horizontal="center" vertical="center"/>
      <protection hidden="1"/>
    </xf>
    <xf numFmtId="0" fontId="30" fillId="23" borderId="154" xfId="1" applyFont="1" applyFill="1" applyBorder="1" applyAlignment="1" applyProtection="1">
      <alignment horizontal="center" vertical="center"/>
      <protection hidden="1"/>
    </xf>
    <xf numFmtId="0" fontId="348" fillId="24" borderId="30" xfId="1" applyFont="1" applyFill="1" applyBorder="1" applyAlignment="1">
      <alignment horizontal="center" vertical="center"/>
    </xf>
    <xf numFmtId="0" fontId="348" fillId="24" borderId="31" xfId="1" applyFont="1" applyFill="1" applyBorder="1" applyAlignment="1">
      <alignment horizontal="center" vertical="center"/>
    </xf>
    <xf numFmtId="0" fontId="348" fillId="24" borderId="32" xfId="1" applyFont="1" applyFill="1" applyBorder="1" applyAlignment="1">
      <alignment horizontal="center" vertical="center"/>
    </xf>
    <xf numFmtId="0" fontId="30" fillId="24" borderId="30" xfId="1" applyFont="1" applyFill="1" applyBorder="1" applyAlignment="1">
      <alignment horizontal="center" vertical="center"/>
    </xf>
    <xf numFmtId="0" fontId="30" fillId="24" borderId="31" xfId="1" applyFont="1" applyFill="1" applyBorder="1" applyAlignment="1">
      <alignment horizontal="center" vertical="center"/>
    </xf>
    <xf numFmtId="0" fontId="30" fillId="24" borderId="32" xfId="1" applyFont="1" applyFill="1" applyBorder="1" applyAlignment="1">
      <alignment horizontal="center" vertical="center"/>
    </xf>
    <xf numFmtId="0" fontId="43" fillId="4" borderId="105" xfId="0" applyFont="1" applyFill="1" applyBorder="1" applyAlignment="1" applyProtection="1">
      <alignment horizontal="center" vertical="center" shrinkToFit="1"/>
      <protection hidden="1"/>
    </xf>
    <xf numFmtId="0" fontId="43" fillId="4" borderId="29" xfId="0" applyFont="1" applyFill="1" applyBorder="1" applyAlignment="1" applyProtection="1">
      <alignment horizontal="center" vertical="center" shrinkToFit="1"/>
      <protection hidden="1"/>
    </xf>
    <xf numFmtId="0" fontId="43" fillId="4" borderId="47" xfId="0" applyFont="1" applyFill="1" applyBorder="1" applyAlignment="1" applyProtection="1">
      <alignment horizontal="center" vertical="center" shrinkToFit="1"/>
      <protection hidden="1"/>
    </xf>
    <xf numFmtId="0" fontId="44" fillId="22" borderId="38" xfId="0" applyFont="1" applyFill="1" applyBorder="1" applyAlignment="1" applyProtection="1">
      <alignment horizontal="center" vertical="center"/>
      <protection locked="0"/>
    </xf>
    <xf numFmtId="0" fontId="44" fillId="22" borderId="29" xfId="0" applyFont="1" applyFill="1" applyBorder="1" applyAlignment="1" applyProtection="1">
      <alignment horizontal="center" vertical="center"/>
      <protection locked="0"/>
    </xf>
    <xf numFmtId="0" fontId="44" fillId="22" borderId="47" xfId="0" applyFont="1" applyFill="1" applyBorder="1" applyAlignment="1" applyProtection="1">
      <alignment horizontal="center" vertical="center"/>
      <protection locked="0"/>
    </xf>
    <xf numFmtId="49" fontId="37" fillId="22" borderId="253" xfId="0" quotePrefix="1" applyNumberFormat="1" applyFont="1" applyFill="1" applyBorder="1" applyAlignment="1" applyProtection="1">
      <alignment horizontal="center" vertical="top" wrapText="1"/>
      <protection locked="0"/>
    </xf>
    <xf numFmtId="49" fontId="37" fillId="22" borderId="254" xfId="0" applyNumberFormat="1" applyFont="1" applyFill="1" applyBorder="1" applyAlignment="1" applyProtection="1">
      <alignment horizontal="center" vertical="top" wrapText="1"/>
      <protection locked="0"/>
    </xf>
    <xf numFmtId="49" fontId="37" fillId="22" borderId="255" xfId="0" applyNumberFormat="1" applyFont="1" applyFill="1" applyBorder="1" applyAlignment="1" applyProtection="1">
      <alignment horizontal="center" vertical="top" wrapText="1"/>
      <protection locked="0"/>
    </xf>
    <xf numFmtId="176" fontId="28" fillId="5" borderId="35" xfId="0" applyNumberFormat="1" applyFont="1" applyFill="1" applyBorder="1" applyAlignment="1" applyProtection="1">
      <alignment horizontal="center" vertical="center" shrinkToFit="1"/>
      <protection hidden="1"/>
    </xf>
    <xf numFmtId="4" fontId="43" fillId="4" borderId="38" xfId="0" applyNumberFormat="1" applyFont="1" applyFill="1" applyBorder="1" applyAlignment="1" applyProtection="1">
      <alignment horizontal="right" vertical="center" shrinkToFit="1"/>
      <protection hidden="1"/>
    </xf>
    <xf numFmtId="4" fontId="43" fillId="4" borderId="29" xfId="0" applyNumberFormat="1" applyFont="1" applyFill="1" applyBorder="1" applyAlignment="1" applyProtection="1">
      <alignment horizontal="right" vertical="center" shrinkToFit="1"/>
      <protection hidden="1"/>
    </xf>
    <xf numFmtId="4" fontId="43" fillId="4" borderId="47" xfId="0" applyNumberFormat="1" applyFont="1" applyFill="1" applyBorder="1" applyAlignment="1" applyProtection="1">
      <alignment horizontal="right" vertical="center" shrinkToFit="1"/>
      <protection hidden="1"/>
    </xf>
    <xf numFmtId="184" fontId="43" fillId="4" borderId="48" xfId="0" applyNumberFormat="1" applyFont="1" applyFill="1" applyBorder="1" applyAlignment="1" applyProtection="1">
      <alignment horizontal="right" vertical="center" shrinkToFit="1"/>
      <protection hidden="1"/>
    </xf>
    <xf numFmtId="184" fontId="43" fillId="4" borderId="39" xfId="0" applyNumberFormat="1" applyFont="1" applyFill="1" applyBorder="1" applyAlignment="1" applyProtection="1">
      <alignment horizontal="right" vertical="center" shrinkToFit="1"/>
      <protection hidden="1"/>
    </xf>
    <xf numFmtId="184" fontId="43" fillId="4" borderId="40" xfId="0" applyNumberFormat="1" applyFont="1" applyFill="1" applyBorder="1" applyAlignment="1" applyProtection="1">
      <alignment horizontal="right" vertical="center" shrinkToFit="1"/>
      <protection hidden="1"/>
    </xf>
    <xf numFmtId="181" fontId="43" fillId="4" borderId="48" xfId="0" applyNumberFormat="1" applyFont="1" applyFill="1" applyBorder="1" applyAlignment="1" applyProtection="1">
      <alignment horizontal="right" vertical="center" shrinkToFit="1"/>
      <protection hidden="1"/>
    </xf>
    <xf numFmtId="181" fontId="43" fillId="4" borderId="39" xfId="0" applyNumberFormat="1" applyFont="1" applyFill="1" applyBorder="1" applyAlignment="1" applyProtection="1">
      <alignment horizontal="right" vertical="center" shrinkToFit="1"/>
      <protection hidden="1"/>
    </xf>
    <xf numFmtId="181" fontId="43" fillId="4" borderId="40" xfId="0" applyNumberFormat="1" applyFont="1" applyFill="1" applyBorder="1" applyAlignment="1" applyProtection="1">
      <alignment horizontal="right" vertical="center" shrinkToFit="1"/>
      <protection hidden="1"/>
    </xf>
    <xf numFmtId="176" fontId="12" fillId="4" borderId="48" xfId="0" applyNumberFormat="1" applyFont="1" applyFill="1" applyBorder="1" applyAlignment="1" applyProtection="1">
      <alignment horizontal="right" vertical="center" shrinkToFit="1"/>
      <protection hidden="1"/>
    </xf>
    <xf numFmtId="176" fontId="12" fillId="4" borderId="39" xfId="0" applyNumberFormat="1" applyFont="1" applyFill="1" applyBorder="1" applyAlignment="1" applyProtection="1">
      <alignment horizontal="right" vertical="center" shrinkToFit="1"/>
      <protection hidden="1"/>
    </xf>
    <xf numFmtId="176" fontId="12" fillId="4" borderId="40" xfId="0" applyNumberFormat="1" applyFont="1" applyFill="1" applyBorder="1" applyAlignment="1" applyProtection="1">
      <alignment horizontal="right" vertical="center" shrinkToFit="1"/>
      <protection hidden="1"/>
    </xf>
    <xf numFmtId="0" fontId="42" fillId="17" borderId="38" xfId="0" applyFont="1" applyFill="1" applyBorder="1" applyAlignment="1" applyProtection="1">
      <alignment horizontal="center" vertical="center" shrinkToFit="1"/>
      <protection locked="0"/>
    </xf>
    <xf numFmtId="0" fontId="42" fillId="17" borderId="29" xfId="0" applyFont="1" applyFill="1" applyBorder="1" applyAlignment="1" applyProtection="1">
      <alignment horizontal="center" vertical="center" shrinkToFit="1"/>
      <protection locked="0"/>
    </xf>
    <xf numFmtId="0" fontId="42" fillId="17" borderId="47" xfId="0" applyFont="1" applyFill="1" applyBorder="1" applyAlignment="1" applyProtection="1">
      <alignment horizontal="center" vertical="center" shrinkToFit="1"/>
      <protection locked="0"/>
    </xf>
    <xf numFmtId="0" fontId="43" fillId="4" borderId="206" xfId="0" quotePrefix="1" applyFont="1" applyFill="1" applyBorder="1" applyAlignment="1" applyProtection="1">
      <alignment horizontal="center" vertical="center" shrinkToFit="1"/>
      <protection hidden="1"/>
    </xf>
    <xf numFmtId="0" fontId="43" fillId="4" borderId="91" xfId="0" applyFont="1" applyFill="1" applyBorder="1" applyAlignment="1" applyProtection="1">
      <alignment horizontal="center" vertical="center" shrinkToFit="1"/>
      <protection hidden="1"/>
    </xf>
    <xf numFmtId="0" fontId="30" fillId="14" borderId="35" xfId="0" applyFont="1" applyFill="1" applyBorder="1" applyAlignment="1" applyProtection="1">
      <alignment horizontal="center" vertical="center"/>
      <protection hidden="1"/>
    </xf>
    <xf numFmtId="0" fontId="12" fillId="22" borderId="253" xfId="0" applyNumberFormat="1" applyFont="1" applyFill="1" applyBorder="1" applyAlignment="1" applyProtection="1">
      <alignment horizontal="center" vertical="center" shrinkToFit="1"/>
      <protection locked="0"/>
    </xf>
    <xf numFmtId="0" fontId="12" fillId="22" borderId="254" xfId="0" applyNumberFormat="1" applyFont="1" applyFill="1" applyBorder="1" applyAlignment="1" applyProtection="1">
      <alignment horizontal="center" vertical="center" shrinkToFit="1"/>
      <protection locked="0"/>
    </xf>
    <xf numFmtId="0" fontId="12" fillId="22" borderId="255" xfId="0" applyNumberFormat="1" applyFont="1" applyFill="1" applyBorder="1" applyAlignment="1" applyProtection="1">
      <alignment horizontal="center" vertical="center" shrinkToFit="1"/>
      <protection locked="0"/>
    </xf>
    <xf numFmtId="191" fontId="43" fillId="17" borderId="253" xfId="0" applyNumberFormat="1" applyFont="1" applyFill="1" applyBorder="1" applyAlignment="1" applyProtection="1">
      <alignment horizontal="right" vertical="center" shrinkToFit="1"/>
      <protection locked="0"/>
    </xf>
    <xf numFmtId="191" fontId="43" fillId="17" borderId="254" xfId="0" applyNumberFormat="1" applyFont="1" applyFill="1" applyBorder="1" applyAlignment="1" applyProtection="1">
      <alignment horizontal="right" vertical="center" shrinkToFit="1"/>
      <protection locked="0"/>
    </xf>
    <xf numFmtId="191" fontId="43" fillId="17" borderId="255" xfId="0" applyNumberFormat="1" applyFont="1" applyFill="1" applyBorder="1" applyAlignment="1" applyProtection="1">
      <alignment horizontal="right" vertical="center" shrinkToFit="1"/>
      <protection locked="0"/>
    </xf>
    <xf numFmtId="182" fontId="43" fillId="22" borderId="253" xfId="0" applyNumberFormat="1" applyFont="1" applyFill="1" applyBorder="1" applyAlignment="1" applyProtection="1">
      <alignment horizontal="right" vertical="center" shrinkToFit="1"/>
      <protection locked="0"/>
    </xf>
    <xf numFmtId="182" fontId="43" fillId="22" borderId="254" xfId="0" applyNumberFormat="1" applyFont="1" applyFill="1" applyBorder="1" applyAlignment="1" applyProtection="1">
      <alignment horizontal="right" vertical="center" shrinkToFit="1"/>
      <protection locked="0"/>
    </xf>
    <xf numFmtId="182" fontId="43" fillId="22" borderId="255" xfId="0" applyNumberFormat="1" applyFont="1" applyFill="1" applyBorder="1" applyAlignment="1" applyProtection="1">
      <alignment horizontal="right" vertical="center" shrinkToFit="1"/>
      <protection locked="0"/>
    </xf>
    <xf numFmtId="0" fontId="21" fillId="7" borderId="48" xfId="0" applyFont="1" applyFill="1" applyBorder="1" applyAlignment="1" applyProtection="1">
      <alignment horizontal="right" vertical="center"/>
      <protection hidden="1"/>
    </xf>
    <xf numFmtId="0" fontId="21" fillId="7" borderId="39" xfId="0" applyFont="1" applyFill="1" applyBorder="1" applyAlignment="1" applyProtection="1">
      <alignment horizontal="right" vertical="center"/>
      <protection hidden="1"/>
    </xf>
    <xf numFmtId="0" fontId="21" fillId="7" borderId="40" xfId="0" applyFont="1" applyFill="1" applyBorder="1" applyAlignment="1" applyProtection="1">
      <alignment horizontal="right" vertical="center"/>
      <protection hidden="1"/>
    </xf>
    <xf numFmtId="49" fontId="37" fillId="22" borderId="268" xfId="0" quotePrefix="1" applyNumberFormat="1" applyFont="1" applyFill="1" applyBorder="1" applyAlignment="1" applyProtection="1">
      <alignment horizontal="center" vertical="top" wrapText="1"/>
      <protection locked="0"/>
    </xf>
    <xf numFmtId="49" fontId="37" fillId="22" borderId="29" xfId="0" applyNumberFormat="1" applyFont="1" applyFill="1" applyBorder="1" applyAlignment="1" applyProtection="1">
      <alignment horizontal="center" vertical="top" wrapText="1"/>
      <protection locked="0"/>
    </xf>
    <xf numFmtId="49" fontId="37" fillId="22" borderId="300" xfId="0" applyNumberFormat="1" applyFont="1" applyFill="1" applyBorder="1" applyAlignment="1" applyProtection="1">
      <alignment horizontal="center" vertical="top" wrapText="1"/>
      <protection locked="0"/>
    </xf>
    <xf numFmtId="49" fontId="37" fillId="22" borderId="267" xfId="0" quotePrefix="1" applyNumberFormat="1" applyFont="1" applyFill="1" applyBorder="1" applyAlignment="1" applyProtection="1">
      <alignment horizontal="center" vertical="top" wrapText="1"/>
      <protection locked="0"/>
    </xf>
    <xf numFmtId="49" fontId="37" fillId="22" borderId="0" xfId="0" applyNumberFormat="1" applyFont="1" applyFill="1" applyBorder="1" applyAlignment="1" applyProtection="1">
      <alignment horizontal="center" vertical="top" wrapText="1"/>
      <protection locked="0"/>
    </xf>
    <xf numFmtId="49" fontId="37" fillId="22" borderId="228" xfId="0" applyNumberFormat="1" applyFont="1" applyFill="1" applyBorder="1" applyAlignment="1" applyProtection="1">
      <alignment horizontal="center" vertical="top" wrapText="1"/>
      <protection locked="0"/>
    </xf>
    <xf numFmtId="0" fontId="43" fillId="4" borderId="105" xfId="0" applyFont="1" applyFill="1" applyBorder="1" applyAlignment="1" applyProtection="1">
      <alignment horizontal="center" vertical="center"/>
      <protection hidden="1"/>
    </xf>
    <xf numFmtId="0" fontId="43" fillId="4" borderId="29" xfId="0" applyFont="1" applyFill="1" applyBorder="1" applyAlignment="1" applyProtection="1">
      <alignment horizontal="center" vertical="center"/>
      <protection hidden="1"/>
    </xf>
    <xf numFmtId="0" fontId="43" fillId="4" borderId="47" xfId="0" applyFont="1" applyFill="1" applyBorder="1" applyAlignment="1" applyProtection="1">
      <alignment horizontal="center" vertical="center"/>
      <protection hidden="1"/>
    </xf>
    <xf numFmtId="0" fontId="43" fillId="4" borderId="206" xfId="0" quotePrefix="1" applyFont="1" applyFill="1" applyBorder="1" applyAlignment="1" applyProtection="1">
      <alignment horizontal="center" vertical="center"/>
      <protection hidden="1"/>
    </xf>
    <xf numFmtId="0" fontId="43" fillId="4" borderId="91" xfId="0" applyFont="1" applyFill="1" applyBorder="1" applyAlignment="1" applyProtection="1">
      <alignment horizontal="center" vertical="center"/>
      <protection hidden="1"/>
    </xf>
    <xf numFmtId="181" fontId="44" fillId="17" borderId="38" xfId="0" applyNumberFormat="1" applyFont="1" applyFill="1" applyBorder="1" applyAlignment="1" applyProtection="1">
      <alignment horizontal="center" vertical="center" shrinkToFit="1"/>
      <protection locked="0"/>
    </xf>
    <xf numFmtId="181" fontId="44" fillId="17" borderId="29" xfId="0" applyNumberFormat="1" applyFont="1" applyFill="1" applyBorder="1" applyAlignment="1" applyProtection="1">
      <alignment horizontal="center" vertical="center" shrinkToFit="1"/>
      <protection locked="0"/>
    </xf>
    <xf numFmtId="181" fontId="44" fillId="17" borderId="47" xfId="0" applyNumberFormat="1" applyFont="1" applyFill="1" applyBorder="1" applyAlignment="1" applyProtection="1">
      <alignment horizontal="center" vertical="center" shrinkToFit="1"/>
      <protection locked="0"/>
    </xf>
    <xf numFmtId="0" fontId="44" fillId="22" borderId="38" xfId="0" applyFont="1" applyFill="1" applyBorder="1" applyAlignment="1" applyProtection="1">
      <alignment horizontal="center" vertical="center"/>
      <protection hidden="1"/>
    </xf>
    <xf numFmtId="0" fontId="44" fillId="22" borderId="29" xfId="0" applyFont="1" applyFill="1" applyBorder="1" applyAlignment="1" applyProtection="1">
      <alignment horizontal="center" vertical="center"/>
      <protection hidden="1"/>
    </xf>
    <xf numFmtId="0" fontId="44" fillId="22" borderId="47" xfId="0" applyFont="1" applyFill="1" applyBorder="1" applyAlignment="1" applyProtection="1">
      <alignment horizontal="center" vertical="center"/>
      <protection hidden="1"/>
    </xf>
    <xf numFmtId="49" fontId="37" fillId="22" borderId="268" xfId="0" quotePrefix="1" applyNumberFormat="1" applyFont="1" applyFill="1" applyBorder="1" applyAlignment="1" applyProtection="1">
      <alignment horizontal="center" vertical="top" wrapText="1"/>
      <protection hidden="1"/>
    </xf>
    <xf numFmtId="49" fontId="37" fillId="22" borderId="29" xfId="0" applyNumberFormat="1" applyFont="1" applyFill="1" applyBorder="1" applyAlignment="1" applyProtection="1">
      <alignment horizontal="center" vertical="top" wrapText="1"/>
      <protection hidden="1"/>
    </xf>
    <xf numFmtId="49" fontId="37" fillId="22" borderId="300" xfId="0" applyNumberFormat="1" applyFont="1" applyFill="1" applyBorder="1" applyAlignment="1" applyProtection="1">
      <alignment horizontal="center" vertical="top" wrapText="1"/>
      <protection hidden="1"/>
    </xf>
    <xf numFmtId="49" fontId="37" fillId="22" borderId="297" xfId="0" quotePrefix="1" applyNumberFormat="1" applyFont="1" applyFill="1" applyBorder="1" applyAlignment="1" applyProtection="1">
      <alignment horizontal="center" vertical="top" wrapText="1"/>
      <protection hidden="1"/>
    </xf>
    <xf numFmtId="49" fontId="37" fillId="22" borderId="227" xfId="0" applyNumberFormat="1" applyFont="1" applyFill="1" applyBorder="1" applyAlignment="1" applyProtection="1">
      <alignment horizontal="center" vertical="top" wrapText="1"/>
      <protection hidden="1"/>
    </xf>
    <xf numFmtId="49" fontId="37" fillId="22" borderId="298" xfId="0" applyNumberFormat="1" applyFont="1" applyFill="1" applyBorder="1" applyAlignment="1" applyProtection="1">
      <alignment horizontal="center" vertical="top" wrapText="1"/>
      <protection hidden="1"/>
    </xf>
    <xf numFmtId="0" fontId="12" fillId="22" borderId="297" xfId="0" applyNumberFormat="1" applyFont="1" applyFill="1" applyBorder="1" applyAlignment="1" applyProtection="1">
      <alignment horizontal="center" vertical="center" shrinkToFit="1"/>
      <protection hidden="1"/>
    </xf>
    <xf numFmtId="0" fontId="12" fillId="22" borderId="227" xfId="0" applyNumberFormat="1" applyFont="1" applyFill="1" applyBorder="1" applyAlignment="1" applyProtection="1">
      <alignment horizontal="center" vertical="center" shrinkToFit="1"/>
      <protection hidden="1"/>
    </xf>
    <xf numFmtId="0" fontId="12" fillId="22" borderId="298" xfId="0" applyNumberFormat="1" applyFont="1" applyFill="1" applyBorder="1" applyAlignment="1" applyProtection="1">
      <alignment horizontal="center" vertical="center" shrinkToFit="1"/>
      <protection hidden="1"/>
    </xf>
    <xf numFmtId="191" fontId="43" fillId="17" borderId="297" xfId="0" applyNumberFormat="1" applyFont="1" applyFill="1" applyBorder="1" applyAlignment="1" applyProtection="1">
      <alignment horizontal="right" vertical="center" shrinkToFit="1"/>
      <protection hidden="1"/>
    </xf>
    <xf numFmtId="191" fontId="43" fillId="17" borderId="227" xfId="0" applyNumberFormat="1" applyFont="1" applyFill="1" applyBorder="1" applyAlignment="1" applyProtection="1">
      <alignment horizontal="right" vertical="center" shrinkToFit="1"/>
      <protection hidden="1"/>
    </xf>
    <xf numFmtId="191" fontId="43" fillId="17" borderId="298" xfId="0" applyNumberFormat="1" applyFont="1" applyFill="1" applyBorder="1" applyAlignment="1" applyProtection="1">
      <alignment horizontal="right" vertical="center" shrinkToFit="1"/>
      <protection hidden="1"/>
    </xf>
    <xf numFmtId="182" fontId="43" fillId="22" borderId="297" xfId="0" applyNumberFormat="1" applyFont="1" applyFill="1" applyBorder="1" applyAlignment="1" applyProtection="1">
      <alignment horizontal="right" vertical="center" shrinkToFit="1"/>
      <protection locked="0"/>
    </xf>
    <xf numFmtId="182" fontId="43" fillId="22" borderId="227" xfId="0" applyNumberFormat="1" applyFont="1" applyFill="1" applyBorder="1" applyAlignment="1" applyProtection="1">
      <alignment horizontal="right" vertical="center" shrinkToFit="1"/>
      <protection locked="0"/>
    </xf>
    <xf numFmtId="182" fontId="43" fillId="22" borderId="298" xfId="0" applyNumberFormat="1" applyFont="1" applyFill="1" applyBorder="1" applyAlignment="1" applyProtection="1">
      <alignment horizontal="right" vertical="center" shrinkToFit="1"/>
      <protection locked="0"/>
    </xf>
    <xf numFmtId="187" fontId="12" fillId="4" borderId="33" xfId="0" applyNumberFormat="1" applyFont="1" applyFill="1" applyBorder="1" applyAlignment="1" applyProtection="1">
      <alignment horizontal="right" shrinkToFit="1"/>
      <protection hidden="1"/>
    </xf>
    <xf numFmtId="0" fontId="21" fillId="21" borderId="38" xfId="0" applyFont="1" applyFill="1" applyBorder="1" applyAlignment="1" applyProtection="1">
      <alignment horizontal="center" vertical="center" shrinkToFit="1"/>
      <protection hidden="1"/>
    </xf>
    <xf numFmtId="0" fontId="21" fillId="21" borderId="29" xfId="0" applyFont="1" applyFill="1" applyBorder="1" applyAlignment="1" applyProtection="1">
      <alignment horizontal="center" vertical="center" shrinkToFit="1"/>
      <protection hidden="1"/>
    </xf>
    <xf numFmtId="0" fontId="21" fillId="21" borderId="47" xfId="0" applyFont="1" applyFill="1" applyBorder="1" applyAlignment="1" applyProtection="1">
      <alignment horizontal="center" vertical="center" shrinkToFit="1"/>
      <protection hidden="1"/>
    </xf>
    <xf numFmtId="0" fontId="31" fillId="21" borderId="48" xfId="0" applyFont="1" applyFill="1" applyBorder="1" applyAlignment="1" applyProtection="1">
      <alignment horizontal="center" vertical="center" shrinkToFit="1"/>
      <protection hidden="1"/>
    </xf>
    <xf numFmtId="0" fontId="31" fillId="21" borderId="39" xfId="0" applyFont="1" applyFill="1" applyBorder="1" applyAlignment="1" applyProtection="1">
      <alignment horizontal="center" vertical="center" shrinkToFit="1"/>
      <protection hidden="1"/>
    </xf>
    <xf numFmtId="0" fontId="31" fillId="21" borderId="40" xfId="0" applyFont="1" applyFill="1" applyBorder="1" applyAlignment="1" applyProtection="1">
      <alignment horizontal="center" vertical="center" shrinkToFit="1"/>
      <protection hidden="1"/>
    </xf>
    <xf numFmtId="0" fontId="21" fillId="21" borderId="33" xfId="0" applyFont="1" applyFill="1" applyBorder="1" applyAlignment="1" applyProtection="1">
      <alignment horizontal="center" shrinkToFit="1"/>
      <protection hidden="1"/>
    </xf>
    <xf numFmtId="0" fontId="21" fillId="21" borderId="35" xfId="0" applyFont="1" applyFill="1" applyBorder="1" applyAlignment="1" applyProtection="1">
      <alignment horizontal="center" shrinkToFit="1"/>
      <protection hidden="1"/>
    </xf>
    <xf numFmtId="0" fontId="21" fillId="21" borderId="34" xfId="0" applyFont="1" applyFill="1" applyBorder="1" applyAlignment="1" applyProtection="1">
      <alignment horizontal="center" shrinkToFit="1"/>
      <protection hidden="1"/>
    </xf>
    <xf numFmtId="0" fontId="21" fillId="21" borderId="41" xfId="0" applyFont="1" applyFill="1" applyBorder="1" applyAlignment="1" applyProtection="1">
      <alignment horizontal="center" shrinkToFit="1"/>
      <protection hidden="1"/>
    </xf>
    <xf numFmtId="0" fontId="21" fillId="21" borderId="42" xfId="0" applyFont="1" applyFill="1" applyBorder="1" applyAlignment="1" applyProtection="1">
      <alignment horizontal="center" shrinkToFit="1"/>
      <protection hidden="1"/>
    </xf>
    <xf numFmtId="0" fontId="21" fillId="21" borderId="43" xfId="0" applyFont="1" applyFill="1" applyBorder="1" applyAlignment="1" applyProtection="1">
      <alignment horizontal="center" shrinkToFit="1"/>
      <protection hidden="1"/>
    </xf>
    <xf numFmtId="0" fontId="21" fillId="21" borderId="44" xfId="0" applyFont="1" applyFill="1" applyBorder="1" applyAlignment="1" applyProtection="1">
      <alignment horizontal="center" vertical="center" shrinkToFit="1"/>
      <protection hidden="1"/>
    </xf>
    <xf numFmtId="0" fontId="21" fillId="21" borderId="45" xfId="0" applyFont="1" applyFill="1" applyBorder="1" applyAlignment="1" applyProtection="1">
      <alignment horizontal="center" vertical="center" shrinkToFit="1"/>
      <protection hidden="1"/>
    </xf>
    <xf numFmtId="0" fontId="21" fillId="21" borderId="46" xfId="0" applyFont="1" applyFill="1" applyBorder="1" applyAlignment="1" applyProtection="1">
      <alignment horizontal="center" vertical="center" shrinkToFit="1"/>
      <protection hidden="1"/>
    </xf>
    <xf numFmtId="0" fontId="41" fillId="21" borderId="49" xfId="0" applyFont="1" applyFill="1" applyBorder="1" applyAlignment="1" applyProtection="1">
      <alignment horizontal="center" vertical="center" shrinkToFit="1"/>
      <protection hidden="1"/>
    </xf>
    <xf numFmtId="0" fontId="41" fillId="21" borderId="50" xfId="0" applyFont="1" applyFill="1" applyBorder="1" applyAlignment="1" applyProtection="1">
      <alignment horizontal="center" vertical="center" shrinkToFit="1"/>
      <protection hidden="1"/>
    </xf>
    <xf numFmtId="0" fontId="41" fillId="21" borderId="51" xfId="0" applyFont="1" applyFill="1" applyBorder="1" applyAlignment="1" applyProtection="1">
      <alignment horizontal="center" vertical="center" shrinkToFit="1"/>
      <protection hidden="1"/>
    </xf>
    <xf numFmtId="0" fontId="42" fillId="21" borderId="38" xfId="0" applyFont="1" applyFill="1" applyBorder="1" applyAlignment="1" applyProtection="1">
      <alignment horizontal="center" vertical="center" shrinkToFit="1"/>
      <protection hidden="1"/>
    </xf>
    <xf numFmtId="0" fontId="42" fillId="21" borderId="29" xfId="0" applyFont="1" applyFill="1" applyBorder="1" applyAlignment="1" applyProtection="1">
      <alignment horizontal="center" vertical="center" shrinkToFit="1"/>
      <protection hidden="1"/>
    </xf>
    <xf numFmtId="0" fontId="42" fillId="21" borderId="47" xfId="0" applyFont="1" applyFill="1" applyBorder="1" applyAlignment="1" applyProtection="1">
      <alignment horizontal="center" vertical="center" shrinkToFit="1"/>
      <protection hidden="1"/>
    </xf>
    <xf numFmtId="0" fontId="42" fillId="21" borderId="52" xfId="0" applyFont="1" applyFill="1" applyBorder="1" applyAlignment="1" applyProtection="1">
      <alignment horizontal="center" vertical="center" shrinkToFit="1"/>
      <protection hidden="1"/>
    </xf>
    <xf numFmtId="0" fontId="42" fillId="21" borderId="50" xfId="0" applyFont="1" applyFill="1" applyBorder="1" applyAlignment="1" applyProtection="1">
      <alignment horizontal="center" vertical="center" shrinkToFit="1"/>
      <protection hidden="1"/>
    </xf>
    <xf numFmtId="0" fontId="42" fillId="21" borderId="51" xfId="0" applyFont="1" applyFill="1" applyBorder="1" applyAlignment="1" applyProtection="1">
      <alignment horizontal="center" vertical="center" shrinkToFit="1"/>
      <protection hidden="1"/>
    </xf>
    <xf numFmtId="0" fontId="40" fillId="5" borderId="29" xfId="0" applyFont="1" applyFill="1" applyBorder="1" applyAlignment="1" applyProtection="1">
      <alignment horizontal="center" vertical="center" shrinkToFit="1"/>
      <protection hidden="1"/>
    </xf>
    <xf numFmtId="0" fontId="21" fillId="21" borderId="33" xfId="0" applyFont="1" applyFill="1" applyBorder="1" applyAlignment="1" applyProtection="1">
      <alignment horizontal="center" vertical="center" textRotation="255" shrinkToFit="1"/>
      <protection hidden="1"/>
    </xf>
    <xf numFmtId="0" fontId="21" fillId="21" borderId="34" xfId="0" applyFont="1" applyFill="1" applyBorder="1" applyAlignment="1" applyProtection="1">
      <alignment horizontal="center" vertical="center" textRotation="255" shrinkToFit="1"/>
      <protection hidden="1"/>
    </xf>
    <xf numFmtId="0" fontId="21" fillId="21" borderId="38" xfId="0" applyFont="1" applyFill="1" applyBorder="1" applyAlignment="1" applyProtection="1">
      <alignment horizontal="center" vertical="center" textRotation="255" shrinkToFit="1"/>
      <protection hidden="1"/>
    </xf>
    <xf numFmtId="0" fontId="21" fillId="21" borderId="47" xfId="0" applyFont="1" applyFill="1" applyBorder="1" applyAlignment="1" applyProtection="1">
      <alignment horizontal="center" vertical="center" textRotation="255" shrinkToFit="1"/>
      <protection hidden="1"/>
    </xf>
    <xf numFmtId="0" fontId="41" fillId="21" borderId="33" xfId="0" applyFont="1" applyFill="1" applyBorder="1" applyAlignment="1" applyProtection="1">
      <alignment horizontal="center" vertical="center" wrapText="1" shrinkToFit="1"/>
      <protection hidden="1"/>
    </xf>
    <xf numFmtId="0" fontId="41" fillId="21" borderId="35" xfId="0" applyFont="1" applyFill="1" applyBorder="1" applyAlignment="1" applyProtection="1">
      <alignment horizontal="center" vertical="center" wrapText="1" shrinkToFit="1"/>
      <protection hidden="1"/>
    </xf>
    <xf numFmtId="0" fontId="41" fillId="21" borderId="34" xfId="0" applyFont="1" applyFill="1" applyBorder="1" applyAlignment="1" applyProtection="1">
      <alignment horizontal="center" vertical="center" wrapText="1" shrinkToFit="1"/>
      <protection hidden="1"/>
    </xf>
    <xf numFmtId="0" fontId="41" fillId="21" borderId="38" xfId="0" applyFont="1" applyFill="1" applyBorder="1" applyAlignment="1" applyProtection="1">
      <alignment horizontal="center" vertical="center" wrapText="1" shrinkToFit="1"/>
      <protection hidden="1"/>
    </xf>
    <xf numFmtId="0" fontId="41" fillId="21" borderId="29" xfId="0" applyFont="1" applyFill="1" applyBorder="1" applyAlignment="1" applyProtection="1">
      <alignment horizontal="center" vertical="center" wrapText="1" shrinkToFit="1"/>
      <protection hidden="1"/>
    </xf>
    <xf numFmtId="0" fontId="41" fillId="21" borderId="47" xfId="0" applyFont="1" applyFill="1" applyBorder="1" applyAlignment="1" applyProtection="1">
      <alignment horizontal="center" vertical="center" wrapText="1" shrinkToFit="1"/>
      <protection hidden="1"/>
    </xf>
    <xf numFmtId="176" fontId="241" fillId="7" borderId="13" xfId="0" applyNumberFormat="1" applyFont="1" applyFill="1" applyBorder="1" applyAlignment="1" applyProtection="1">
      <alignment horizontal="center" vertical="center" shrinkToFit="1"/>
      <protection hidden="1"/>
    </xf>
    <xf numFmtId="176" fontId="241" fillId="7" borderId="14" xfId="0" applyNumberFormat="1" applyFont="1" applyFill="1" applyBorder="1" applyAlignment="1" applyProtection="1">
      <alignment horizontal="center" vertical="center" shrinkToFit="1"/>
      <protection hidden="1"/>
    </xf>
    <xf numFmtId="0" fontId="21" fillId="21" borderId="327" xfId="0" applyFont="1" applyFill="1" applyBorder="1" applyAlignment="1" applyProtection="1">
      <alignment horizontal="center" vertical="center" shrinkToFit="1"/>
      <protection hidden="1"/>
    </xf>
    <xf numFmtId="0" fontId="21" fillId="21" borderId="328" xfId="0" applyFont="1" applyFill="1" applyBorder="1" applyAlignment="1" applyProtection="1">
      <alignment horizontal="center" vertical="center" shrinkToFit="1"/>
      <protection hidden="1"/>
    </xf>
    <xf numFmtId="0" fontId="21" fillId="21" borderId="329" xfId="0" applyFont="1" applyFill="1" applyBorder="1" applyAlignment="1" applyProtection="1">
      <alignment horizontal="center" vertical="center" shrinkToFit="1"/>
      <protection hidden="1"/>
    </xf>
    <xf numFmtId="182" fontId="21" fillId="22" borderId="304" xfId="0" applyNumberFormat="1" applyFont="1" applyFill="1" applyBorder="1" applyAlignment="1" applyProtection="1">
      <alignment horizontal="right" vertical="center" shrinkToFit="1"/>
      <protection locked="0"/>
    </xf>
    <xf numFmtId="182" fontId="21" fillId="22" borderId="305" xfId="0" applyNumberFormat="1" applyFont="1" applyFill="1" applyBorder="1" applyAlignment="1" applyProtection="1">
      <alignment horizontal="right" vertical="center" shrinkToFit="1"/>
      <protection locked="0"/>
    </xf>
    <xf numFmtId="182" fontId="21" fillId="22" borderId="306" xfId="0" applyNumberFormat="1" applyFont="1" applyFill="1" applyBorder="1" applyAlignment="1" applyProtection="1">
      <alignment horizontal="right" vertical="center" shrinkToFit="1"/>
      <protection locked="0"/>
    </xf>
    <xf numFmtId="0" fontId="41" fillId="21" borderId="53" xfId="0" applyFont="1" applyFill="1" applyBorder="1" applyAlignment="1" applyProtection="1">
      <alignment horizontal="center" vertical="center" shrinkToFit="1"/>
      <protection hidden="1"/>
    </xf>
    <xf numFmtId="0" fontId="41" fillId="21" borderId="54" xfId="0" applyFont="1" applyFill="1" applyBorder="1" applyAlignment="1" applyProtection="1">
      <alignment horizontal="center" vertical="center" shrinkToFit="1"/>
      <protection hidden="1"/>
    </xf>
    <xf numFmtId="0" fontId="42" fillId="21" borderId="49" xfId="0" applyFont="1" applyFill="1" applyBorder="1" applyAlignment="1" applyProtection="1">
      <alignment horizontal="center" vertical="center" shrinkToFit="1"/>
      <protection hidden="1"/>
    </xf>
    <xf numFmtId="0" fontId="21" fillId="21" borderId="38" xfId="0" applyFont="1" applyFill="1" applyBorder="1" applyAlignment="1" applyProtection="1">
      <alignment horizontal="center" vertical="top" shrinkToFit="1"/>
      <protection hidden="1"/>
    </xf>
    <xf numFmtId="0" fontId="21" fillId="21" borderId="29" xfId="0" applyFont="1" applyFill="1" applyBorder="1" applyAlignment="1" applyProtection="1">
      <alignment horizontal="center" vertical="top" shrinkToFit="1"/>
      <protection hidden="1"/>
    </xf>
    <xf numFmtId="0" fontId="21" fillId="21" borderId="47" xfId="0" applyFont="1" applyFill="1" applyBorder="1" applyAlignment="1" applyProtection="1">
      <alignment horizontal="center" vertical="top" shrinkToFit="1"/>
      <protection hidden="1"/>
    </xf>
    <xf numFmtId="0" fontId="41" fillId="21" borderId="38" xfId="0" applyFont="1" applyFill="1" applyBorder="1" applyAlignment="1" applyProtection="1">
      <alignment horizontal="center" vertical="center" shrinkToFit="1"/>
      <protection hidden="1"/>
    </xf>
    <xf numFmtId="0" fontId="41" fillId="21" borderId="47" xfId="0" applyFont="1" applyFill="1" applyBorder="1" applyAlignment="1" applyProtection="1">
      <alignment horizontal="center" vertical="center" shrinkToFit="1"/>
      <protection hidden="1"/>
    </xf>
    <xf numFmtId="0" fontId="41" fillId="21" borderId="33" xfId="0" applyFont="1" applyFill="1" applyBorder="1" applyAlignment="1" applyProtection="1">
      <alignment horizontal="center" vertical="center" shrinkToFit="1"/>
      <protection hidden="1"/>
    </xf>
    <xf numFmtId="0" fontId="41" fillId="21" borderId="34" xfId="0" applyFont="1" applyFill="1" applyBorder="1" applyAlignment="1" applyProtection="1">
      <alignment horizontal="center" vertical="center" shrinkToFit="1"/>
      <protection hidden="1"/>
    </xf>
    <xf numFmtId="0" fontId="21" fillId="21" borderId="25" xfId="0" applyFont="1" applyFill="1" applyBorder="1" applyAlignment="1" applyProtection="1">
      <alignment horizontal="center" vertical="center" shrinkToFit="1"/>
      <protection hidden="1"/>
    </xf>
    <xf numFmtId="0" fontId="21" fillId="21" borderId="26" xfId="0" applyFont="1" applyFill="1" applyBorder="1" applyAlignment="1" applyProtection="1">
      <alignment horizontal="center" vertical="center" shrinkToFit="1"/>
      <protection hidden="1"/>
    </xf>
    <xf numFmtId="0" fontId="21" fillId="4" borderId="28" xfId="0" applyFont="1" applyFill="1" applyBorder="1" applyAlignment="1" applyProtection="1">
      <alignment horizontal="center" vertical="center" shrinkToFit="1"/>
      <protection hidden="1"/>
    </xf>
    <xf numFmtId="0" fontId="21" fillId="4" borderId="155" xfId="0" applyFont="1" applyFill="1" applyBorder="1" applyAlignment="1" applyProtection="1">
      <alignment horizontal="center" vertical="center" shrinkToFit="1"/>
      <protection hidden="1"/>
    </xf>
    <xf numFmtId="0" fontId="21" fillId="4" borderId="166" xfId="0" applyFont="1" applyFill="1" applyBorder="1" applyAlignment="1" applyProtection="1">
      <alignment horizontal="center" vertical="center" shrinkToFit="1"/>
      <protection hidden="1"/>
    </xf>
    <xf numFmtId="0" fontId="21" fillId="22" borderId="345" xfId="0" applyFont="1" applyFill="1" applyBorder="1" applyAlignment="1" applyProtection="1">
      <alignment horizontal="center" vertical="center" shrinkToFit="1"/>
      <protection locked="0"/>
    </xf>
    <xf numFmtId="0" fontId="21" fillId="22" borderId="346" xfId="0" applyFont="1" applyFill="1" applyBorder="1" applyAlignment="1" applyProtection="1">
      <alignment horizontal="center" vertical="center" shrinkToFit="1"/>
      <protection locked="0"/>
    </xf>
    <xf numFmtId="0" fontId="21" fillId="22" borderId="347" xfId="0" applyFont="1" applyFill="1" applyBorder="1" applyAlignment="1" applyProtection="1">
      <alignment horizontal="center" vertical="center" shrinkToFit="1"/>
      <protection locked="0"/>
    </xf>
    <xf numFmtId="0" fontId="21" fillId="22" borderId="348" xfId="0" applyFont="1" applyFill="1" applyBorder="1" applyAlignment="1" applyProtection="1">
      <alignment horizontal="center" vertical="center" shrinkToFit="1"/>
      <protection locked="0"/>
    </xf>
    <xf numFmtId="0" fontId="21" fillId="22" borderId="349" xfId="0" applyFont="1" applyFill="1" applyBorder="1" applyAlignment="1" applyProtection="1">
      <alignment horizontal="center" vertical="center" shrinkToFit="1"/>
      <protection locked="0"/>
    </xf>
    <xf numFmtId="0" fontId="21" fillId="22" borderId="350" xfId="0" applyFont="1" applyFill="1" applyBorder="1" applyAlignment="1" applyProtection="1">
      <alignment horizontal="center" vertical="center" shrinkToFit="1"/>
      <protection locked="0"/>
    </xf>
    <xf numFmtId="0" fontId="21" fillId="8" borderId="23" xfId="0" applyFont="1" applyFill="1" applyBorder="1" applyAlignment="1" applyProtection="1">
      <alignment horizontal="center" vertical="center" shrinkToFit="1"/>
      <protection hidden="1"/>
    </xf>
    <xf numFmtId="0" fontId="13" fillId="10" borderId="23" xfId="0" applyFont="1" applyFill="1" applyBorder="1" applyAlignment="1" applyProtection="1">
      <alignment horizontal="center" vertical="center" shrinkToFit="1"/>
      <protection locked="0"/>
    </xf>
    <xf numFmtId="0" fontId="13" fillId="10" borderId="338" xfId="0" applyFont="1" applyFill="1" applyBorder="1" applyAlignment="1" applyProtection="1">
      <alignment horizontal="center" vertical="center" shrinkToFit="1"/>
      <protection locked="0"/>
    </xf>
    <xf numFmtId="0" fontId="30" fillId="20" borderId="265" xfId="1" applyFont="1" applyFill="1" applyBorder="1" applyAlignment="1" applyProtection="1">
      <alignment horizontal="center" vertical="center" shrinkToFit="1"/>
      <protection hidden="1"/>
    </xf>
    <xf numFmtId="0" fontId="30" fillId="20" borderId="266" xfId="1" applyFont="1" applyFill="1" applyBorder="1" applyAlignment="1" applyProtection="1">
      <alignment horizontal="center" vertical="center" shrinkToFit="1"/>
      <protection hidden="1"/>
    </xf>
    <xf numFmtId="0" fontId="30" fillId="20" borderId="308" xfId="1" applyFont="1" applyFill="1" applyBorder="1" applyAlignment="1" applyProtection="1">
      <alignment horizontal="center" vertical="center" shrinkToFit="1"/>
      <protection hidden="1"/>
    </xf>
    <xf numFmtId="0" fontId="13" fillId="10" borderId="304" xfId="0" applyFont="1" applyFill="1" applyBorder="1" applyAlignment="1" applyProtection="1">
      <alignment horizontal="center" vertical="top" wrapText="1"/>
      <protection locked="0"/>
    </xf>
    <xf numFmtId="0" fontId="13" fillId="10" borderId="305" xfId="0" applyFont="1" applyFill="1" applyBorder="1" applyAlignment="1" applyProtection="1">
      <alignment horizontal="center" vertical="top" wrapText="1"/>
      <protection locked="0"/>
    </xf>
    <xf numFmtId="0" fontId="13" fillId="10" borderId="306" xfId="0" applyFont="1" applyFill="1" applyBorder="1" applyAlignment="1" applyProtection="1">
      <alignment horizontal="center" vertical="top" wrapText="1"/>
      <protection locked="0"/>
    </xf>
    <xf numFmtId="0" fontId="13" fillId="19" borderId="26" xfId="0" applyFont="1" applyFill="1" applyBorder="1" applyAlignment="1" applyProtection="1">
      <alignment horizontal="left" vertical="center" shrinkToFit="1"/>
      <protection hidden="1"/>
    </xf>
    <xf numFmtId="0" fontId="13" fillId="19" borderId="23" xfId="0" applyFont="1" applyFill="1" applyBorder="1" applyAlignment="1" applyProtection="1">
      <alignment horizontal="left" vertical="center" shrinkToFit="1"/>
      <protection hidden="1"/>
    </xf>
    <xf numFmtId="0" fontId="13" fillId="19" borderId="27" xfId="0" applyFont="1" applyFill="1" applyBorder="1" applyAlignment="1" applyProtection="1">
      <alignment horizontal="left" vertical="center" shrinkToFit="1"/>
      <protection hidden="1"/>
    </xf>
    <xf numFmtId="0" fontId="31" fillId="19" borderId="23" xfId="0" applyFont="1" applyFill="1" applyBorder="1" applyAlignment="1" applyProtection="1">
      <alignment horizontal="center" vertical="center" shrinkToFit="1"/>
      <protection hidden="1"/>
    </xf>
    <xf numFmtId="0" fontId="2" fillId="21" borderId="23" xfId="0" applyFont="1" applyFill="1" applyBorder="1" applyAlignment="1" applyProtection="1">
      <alignment horizontal="center" vertical="center" shrinkToFit="1"/>
      <protection hidden="1"/>
    </xf>
    <xf numFmtId="182" fontId="12" fillId="4" borderId="24" xfId="0" applyNumberFormat="1" applyFont="1" applyFill="1" applyBorder="1" applyAlignment="1" applyProtection="1">
      <alignment horizontal="right" vertical="center" shrinkToFit="1"/>
      <protection hidden="1"/>
    </xf>
    <xf numFmtId="182" fontId="12" fillId="4" borderId="25" xfId="0" applyNumberFormat="1" applyFont="1" applyFill="1" applyBorder="1" applyAlignment="1" applyProtection="1">
      <alignment horizontal="right" vertical="center" shrinkToFit="1"/>
      <protection hidden="1"/>
    </xf>
    <xf numFmtId="182" fontId="12" fillId="4" borderId="26" xfId="0" applyNumberFormat="1" applyFont="1" applyFill="1" applyBorder="1" applyAlignment="1" applyProtection="1">
      <alignment horizontal="right" vertical="center" shrinkToFit="1"/>
      <protection hidden="1"/>
    </xf>
    <xf numFmtId="182" fontId="12" fillId="4" borderId="23" xfId="0" applyNumberFormat="1" applyFont="1" applyFill="1" applyBorder="1" applyAlignment="1" applyProtection="1">
      <alignment horizontal="right" vertical="center" shrinkToFit="1"/>
      <protection hidden="1"/>
    </xf>
    <xf numFmtId="0" fontId="20" fillId="14" borderId="0" xfId="0" applyFont="1" applyFill="1" applyBorder="1" applyAlignment="1" applyProtection="1">
      <alignment horizontal="center" vertical="center"/>
      <protection hidden="1"/>
    </xf>
    <xf numFmtId="0" fontId="32" fillId="5" borderId="0" xfId="0" applyFont="1" applyFill="1" applyBorder="1" applyAlignment="1" applyProtection="1">
      <alignment horizontal="center" shrinkToFit="1"/>
      <protection hidden="1"/>
    </xf>
    <xf numFmtId="0" fontId="34" fillId="5" borderId="0" xfId="0" applyFont="1" applyFill="1" applyBorder="1" applyAlignment="1" applyProtection="1">
      <alignment horizontal="left" vertical="center"/>
      <protection hidden="1"/>
    </xf>
    <xf numFmtId="0" fontId="21" fillId="21" borderId="164" xfId="0" applyFont="1" applyFill="1" applyBorder="1" applyAlignment="1" applyProtection="1">
      <alignment horizontal="center" vertical="center" shrinkToFit="1"/>
      <protection hidden="1"/>
    </xf>
    <xf numFmtId="0" fontId="21" fillId="21" borderId="165" xfId="0" applyFont="1" applyFill="1" applyBorder="1" applyAlignment="1" applyProtection="1">
      <alignment horizontal="center" vertical="center" shrinkToFit="1"/>
      <protection hidden="1"/>
    </xf>
    <xf numFmtId="0" fontId="21" fillId="21" borderId="28" xfId="0" applyFont="1" applyFill="1" applyBorder="1" applyAlignment="1" applyProtection="1">
      <alignment horizontal="center" vertical="center" shrinkToFit="1"/>
      <protection hidden="1"/>
    </xf>
    <xf numFmtId="0" fontId="21" fillId="21" borderId="155" xfId="0" applyFont="1" applyFill="1" applyBorder="1" applyAlignment="1" applyProtection="1">
      <alignment horizontal="center" vertical="center" shrinkToFit="1"/>
      <protection hidden="1"/>
    </xf>
    <xf numFmtId="181" fontId="21" fillId="17" borderId="229" xfId="0" applyNumberFormat="1" applyFont="1" applyFill="1" applyBorder="1" applyAlignment="1" applyProtection="1">
      <alignment horizontal="right" vertical="center" shrinkToFit="1"/>
      <protection locked="0"/>
    </xf>
    <xf numFmtId="181" fontId="21" fillId="17" borderId="230" xfId="0" applyNumberFormat="1" applyFont="1" applyFill="1" applyBorder="1" applyAlignment="1" applyProtection="1">
      <alignment horizontal="right" vertical="center" shrinkToFit="1"/>
      <protection locked="0"/>
    </xf>
    <xf numFmtId="181" fontId="21" fillId="17" borderId="262" xfId="0" applyNumberFormat="1" applyFont="1" applyFill="1" applyBorder="1" applyAlignment="1" applyProtection="1">
      <alignment horizontal="right" vertical="center" shrinkToFit="1"/>
      <protection locked="0"/>
    </xf>
    <xf numFmtId="181" fontId="21" fillId="17" borderId="253" xfId="0" applyNumberFormat="1" applyFont="1" applyFill="1" applyBorder="1" applyAlignment="1" applyProtection="1">
      <alignment horizontal="right" vertical="center" shrinkToFit="1"/>
      <protection locked="0"/>
    </xf>
    <xf numFmtId="181" fontId="21" fillId="17" borderId="254" xfId="0" applyNumberFormat="1" applyFont="1" applyFill="1" applyBorder="1" applyAlignment="1" applyProtection="1">
      <alignment horizontal="right" vertical="center" shrinkToFit="1"/>
      <protection locked="0"/>
    </xf>
    <xf numFmtId="181" fontId="21" fillId="17" borderId="255" xfId="0" applyNumberFormat="1" applyFont="1" applyFill="1" applyBorder="1" applyAlignment="1" applyProtection="1">
      <alignment horizontal="right" vertical="center" shrinkToFit="1"/>
      <protection locked="0"/>
    </xf>
    <xf numFmtId="0" fontId="11" fillId="7" borderId="13" xfId="0" applyFont="1" applyFill="1" applyBorder="1" applyAlignment="1" applyProtection="1">
      <alignment horizontal="center" vertical="center" wrapText="1"/>
      <protection hidden="1"/>
    </xf>
    <xf numFmtId="0" fontId="11" fillId="7" borderId="14" xfId="0" applyFont="1" applyFill="1" applyBorder="1" applyAlignment="1" applyProtection="1">
      <alignment horizontal="center" vertical="center" wrapText="1"/>
      <protection hidden="1"/>
    </xf>
    <xf numFmtId="0" fontId="21" fillId="8" borderId="166" xfId="0" quotePrefix="1" applyFont="1" applyFill="1" applyBorder="1" applyAlignment="1" applyProtection="1">
      <alignment horizontal="center" vertical="center" shrinkToFit="1"/>
      <protection hidden="1"/>
    </xf>
    <xf numFmtId="0" fontId="21" fillId="8" borderId="27" xfId="0" applyFont="1" applyFill="1" applyBorder="1" applyAlignment="1" applyProtection="1">
      <alignment horizontal="center" vertical="center" shrinkToFit="1"/>
      <protection hidden="1"/>
    </xf>
    <xf numFmtId="176" fontId="21" fillId="19" borderId="27" xfId="0" applyNumberFormat="1" applyFont="1" applyFill="1" applyBorder="1" applyAlignment="1" applyProtection="1">
      <alignment horizontal="right" vertical="center" shrinkToFit="1"/>
      <protection hidden="1"/>
    </xf>
    <xf numFmtId="179" fontId="13" fillId="9" borderId="27" xfId="0" applyNumberFormat="1" applyFont="1" applyFill="1" applyBorder="1" applyAlignment="1" applyProtection="1">
      <alignment horizontal="right" vertical="center" shrinkToFit="1"/>
      <protection locked="0"/>
    </xf>
    <xf numFmtId="0" fontId="13" fillId="9" borderId="351" xfId="0" applyFont="1" applyFill="1" applyBorder="1" applyAlignment="1" applyProtection="1">
      <alignment horizontal="center" vertical="center" shrinkToFit="1"/>
      <protection locked="0"/>
    </xf>
    <xf numFmtId="0" fontId="13" fillId="9" borderId="302" xfId="0" applyFont="1" applyFill="1" applyBorder="1" applyAlignment="1" applyProtection="1">
      <alignment horizontal="center" vertical="center" shrinkToFit="1"/>
      <protection locked="0"/>
    </xf>
    <xf numFmtId="0" fontId="13" fillId="8" borderId="352" xfId="0" applyFont="1" applyFill="1" applyBorder="1" applyAlignment="1" applyProtection="1">
      <alignment horizontal="center" vertical="center" shrinkToFit="1"/>
      <protection hidden="1"/>
    </xf>
    <xf numFmtId="0" fontId="13" fillId="8" borderId="302" xfId="0" applyFont="1" applyFill="1" applyBorder="1" applyAlignment="1" applyProtection="1">
      <alignment horizontal="center" vertical="center" shrinkToFit="1"/>
      <protection hidden="1"/>
    </xf>
    <xf numFmtId="0" fontId="13" fillId="8" borderId="353" xfId="0" applyFont="1" applyFill="1" applyBorder="1" applyAlignment="1" applyProtection="1">
      <alignment horizontal="center" vertical="center" shrinkToFit="1"/>
      <protection hidden="1"/>
    </xf>
    <xf numFmtId="219" fontId="27" fillId="19" borderId="28" xfId="0" applyNumberFormat="1" applyFont="1" applyFill="1" applyBorder="1" applyAlignment="1" applyProtection="1">
      <alignment horizontal="right" vertical="center" shrinkToFit="1"/>
      <protection hidden="1"/>
    </xf>
    <xf numFmtId="219" fontId="27" fillId="19" borderId="155" xfId="0" applyNumberFormat="1" applyFont="1" applyFill="1" applyBorder="1" applyAlignment="1" applyProtection="1">
      <alignment horizontal="right" vertical="center" shrinkToFit="1"/>
      <protection hidden="1"/>
    </xf>
    <xf numFmtId="219" fontId="27" fillId="19" borderId="25" xfId="0" applyNumberFormat="1" applyFont="1" applyFill="1" applyBorder="1" applyAlignment="1" applyProtection="1">
      <alignment horizontal="right" vertical="center" shrinkToFit="1"/>
      <protection hidden="1"/>
    </xf>
    <xf numFmtId="180" fontId="27" fillId="19" borderId="155" xfId="0" applyNumberFormat="1" applyFont="1" applyFill="1" applyBorder="1" applyAlignment="1" applyProtection="1">
      <alignment horizontal="left" vertical="center" shrinkToFit="1"/>
      <protection hidden="1"/>
    </xf>
    <xf numFmtId="0" fontId="27" fillId="19" borderId="155" xfId="0" applyFont="1" applyFill="1" applyBorder="1" applyAlignment="1" applyProtection="1">
      <alignment horizontal="center" vertical="center" shrinkToFit="1"/>
      <protection locked="0"/>
    </xf>
    <xf numFmtId="0" fontId="27" fillId="19" borderId="166" xfId="0" applyFont="1" applyFill="1" applyBorder="1" applyAlignment="1" applyProtection="1">
      <alignment horizontal="center" vertical="center" shrinkToFit="1"/>
      <protection locked="0"/>
    </xf>
    <xf numFmtId="0" fontId="12" fillId="11" borderId="25" xfId="0" applyFont="1" applyFill="1" applyBorder="1" applyAlignment="1" applyProtection="1">
      <alignment horizontal="left" vertical="center" shrinkToFit="1"/>
      <protection hidden="1"/>
    </xf>
    <xf numFmtId="0" fontId="12" fillId="11" borderId="26" xfId="0" applyFont="1" applyFill="1" applyBorder="1" applyAlignment="1" applyProtection="1">
      <alignment horizontal="left" vertical="center" shrinkToFit="1"/>
      <protection hidden="1"/>
    </xf>
    <xf numFmtId="0" fontId="25" fillId="10" borderId="24" xfId="0" applyFont="1" applyFill="1" applyBorder="1" applyAlignment="1" applyProtection="1">
      <alignment horizontal="center" vertical="center" shrinkToFit="1"/>
      <protection locked="0"/>
    </xf>
    <xf numFmtId="0" fontId="25" fillId="10" borderId="25" xfId="0" applyFont="1" applyFill="1" applyBorder="1" applyAlignment="1" applyProtection="1">
      <alignment horizontal="center" vertical="center" shrinkToFit="1"/>
      <protection locked="0"/>
    </xf>
    <xf numFmtId="0" fontId="25" fillId="10" borderId="26" xfId="0" applyFont="1" applyFill="1" applyBorder="1" applyAlignment="1" applyProtection="1">
      <alignment horizontal="center" vertical="center" shrinkToFit="1"/>
      <protection locked="0"/>
    </xf>
    <xf numFmtId="0" fontId="16" fillId="11" borderId="12" xfId="0" applyFont="1" applyFill="1" applyBorder="1" applyAlignment="1" applyProtection="1">
      <alignment horizontal="center" vertical="center" shrinkToFit="1"/>
      <protection hidden="1"/>
    </xf>
    <xf numFmtId="0" fontId="11" fillId="11" borderId="13" xfId="0" applyFont="1" applyFill="1" applyBorder="1" applyAlignment="1" applyProtection="1">
      <alignment horizontal="center" vertical="center" shrinkToFit="1"/>
      <protection hidden="1"/>
    </xf>
    <xf numFmtId="0" fontId="11" fillId="11" borderId="14" xfId="0" applyFont="1" applyFill="1" applyBorder="1" applyAlignment="1" applyProtection="1">
      <alignment horizontal="center" vertical="center" shrinkToFit="1"/>
      <protection hidden="1"/>
    </xf>
    <xf numFmtId="0" fontId="21" fillId="16" borderId="22" xfId="0" applyFont="1" applyFill="1" applyBorder="1" applyAlignment="1" applyProtection="1">
      <alignment horizontal="center" vertical="center" shrinkToFit="1"/>
      <protection hidden="1"/>
    </xf>
    <xf numFmtId="177" fontId="22" fillId="4" borderId="78" xfId="0" applyNumberFormat="1" applyFont="1" applyFill="1" applyBorder="1" applyAlignment="1" applyProtection="1">
      <alignment horizontal="center" vertical="center"/>
      <protection locked="0"/>
    </xf>
    <xf numFmtId="177" fontId="22" fillId="4" borderId="79" xfId="0" applyNumberFormat="1" applyFont="1" applyFill="1" applyBorder="1" applyAlignment="1" applyProtection="1">
      <alignment horizontal="center" vertical="center"/>
      <protection locked="0"/>
    </xf>
    <xf numFmtId="177" fontId="22" fillId="4" borderId="307" xfId="0" applyNumberFormat="1" applyFont="1" applyFill="1" applyBorder="1" applyAlignment="1" applyProtection="1">
      <alignment horizontal="center" vertical="center"/>
      <protection locked="0"/>
    </xf>
    <xf numFmtId="0" fontId="21" fillId="8" borderId="24" xfId="0" applyFont="1" applyFill="1" applyBorder="1" applyAlignment="1" applyProtection="1">
      <alignment horizontal="center" vertical="center" shrinkToFit="1"/>
      <protection hidden="1"/>
    </xf>
    <xf numFmtId="178" fontId="13" fillId="9" borderId="304" xfId="0" applyNumberFormat="1" applyFont="1" applyFill="1" applyBorder="1" applyAlignment="1" applyProtection="1">
      <alignment horizontal="left" vertical="center" indent="1" shrinkToFit="1"/>
      <protection locked="0"/>
    </xf>
    <xf numFmtId="178" fontId="13" fillId="9" borderId="305" xfId="0" applyNumberFormat="1" applyFont="1" applyFill="1" applyBorder="1" applyAlignment="1" applyProtection="1">
      <alignment horizontal="left" vertical="center" indent="1" shrinkToFit="1"/>
      <protection locked="0"/>
    </xf>
    <xf numFmtId="178" fontId="13" fillId="9" borderId="306" xfId="0" applyNumberFormat="1" applyFont="1" applyFill="1" applyBorder="1" applyAlignment="1" applyProtection="1">
      <alignment horizontal="left" vertical="center" indent="1" shrinkToFit="1"/>
      <protection locked="0"/>
    </xf>
    <xf numFmtId="0" fontId="11" fillId="12" borderId="12" xfId="0" applyFont="1" applyFill="1" applyBorder="1" applyAlignment="1" applyProtection="1">
      <alignment horizontal="center" vertical="center" shrinkToFit="1"/>
      <protection hidden="1"/>
    </xf>
    <xf numFmtId="0" fontId="11" fillId="12" borderId="13" xfId="0" applyFont="1" applyFill="1" applyBorder="1" applyAlignment="1" applyProtection="1">
      <alignment horizontal="center" vertical="center" shrinkToFit="1"/>
      <protection hidden="1"/>
    </xf>
    <xf numFmtId="0" fontId="11" fillId="12" borderId="14" xfId="0" applyFont="1" applyFill="1" applyBorder="1" applyAlignment="1" applyProtection="1">
      <alignment horizontal="center" vertical="center" shrinkToFit="1"/>
      <protection hidden="1"/>
    </xf>
    <xf numFmtId="0" fontId="13" fillId="11" borderId="13" xfId="0" applyFont="1" applyFill="1" applyBorder="1" applyAlignment="1" applyProtection="1">
      <alignment horizontal="center" vertical="center" shrinkToFit="1"/>
      <protection hidden="1"/>
    </xf>
    <xf numFmtId="0" fontId="15" fillId="11" borderId="16" xfId="0" applyFont="1" applyFill="1" applyBorder="1" applyAlignment="1" applyProtection="1">
      <alignment horizontal="center" vertical="center" shrinkToFit="1"/>
      <protection hidden="1"/>
    </xf>
    <xf numFmtId="0" fontId="15" fillId="11" borderId="14" xfId="0" applyFont="1" applyFill="1" applyBorder="1" applyAlignment="1" applyProtection="1">
      <alignment horizontal="center" vertical="center" shrinkToFit="1"/>
      <protection hidden="1"/>
    </xf>
    <xf numFmtId="0" fontId="13" fillId="11" borderId="12" xfId="0" applyFont="1" applyFill="1" applyBorder="1" applyAlignment="1" applyProtection="1">
      <alignment horizontal="center" vertical="center" shrinkToFit="1"/>
      <protection hidden="1"/>
    </xf>
    <xf numFmtId="0" fontId="16" fillId="11" borderId="13" xfId="0" applyFont="1" applyFill="1" applyBorder="1" applyAlignment="1" applyProtection="1">
      <alignment horizontal="center" vertical="center" shrinkToFit="1"/>
      <protection hidden="1"/>
    </xf>
    <xf numFmtId="0" fontId="17" fillId="11" borderId="16" xfId="0" applyFont="1" applyFill="1" applyBorder="1" applyAlignment="1" applyProtection="1">
      <alignment horizontal="center" vertical="center" shrinkToFit="1"/>
      <protection hidden="1"/>
    </xf>
    <xf numFmtId="0" fontId="17" fillId="11" borderId="14" xfId="0" applyFont="1" applyFill="1" applyBorder="1" applyAlignment="1" applyProtection="1">
      <alignment horizontal="center" vertical="center" shrinkToFit="1"/>
      <protection hidden="1"/>
    </xf>
    <xf numFmtId="0" fontId="195" fillId="8" borderId="8" xfId="0" applyFont="1" applyFill="1" applyBorder="1" applyAlignment="1" applyProtection="1">
      <alignment horizontal="center" vertical="center"/>
      <protection hidden="1"/>
    </xf>
    <xf numFmtId="0" fontId="195" fillId="8" borderId="9" xfId="0" applyFont="1" applyFill="1" applyBorder="1" applyAlignment="1" applyProtection="1">
      <alignment horizontal="center" vertical="center"/>
      <protection hidden="1"/>
    </xf>
    <xf numFmtId="0" fontId="195" fillId="8" borderId="10" xfId="0" applyFont="1" applyFill="1" applyBorder="1" applyAlignment="1" applyProtection="1">
      <alignment horizontal="center" vertical="center"/>
      <protection hidden="1"/>
    </xf>
    <xf numFmtId="9" fontId="176" fillId="10" borderId="8" xfId="0" applyNumberFormat="1" applyFont="1" applyFill="1" applyBorder="1" applyAlignment="1" applyProtection="1">
      <alignment horizontal="center" vertical="center" shrinkToFit="1"/>
      <protection locked="0"/>
    </xf>
    <xf numFmtId="9" fontId="176" fillId="10" borderId="9" xfId="0" applyNumberFormat="1" applyFont="1" applyFill="1" applyBorder="1" applyAlignment="1" applyProtection="1">
      <alignment horizontal="center" vertical="center" shrinkToFit="1"/>
      <protection locked="0"/>
    </xf>
    <xf numFmtId="9" fontId="176" fillId="10" borderId="10" xfId="0" applyNumberFormat="1" applyFont="1" applyFill="1" applyBorder="1" applyAlignment="1" applyProtection="1">
      <alignment horizontal="center" vertical="center" shrinkToFit="1"/>
      <protection locked="0"/>
    </xf>
    <xf numFmtId="0" fontId="55" fillId="4" borderId="56" xfId="0" applyFont="1" applyFill="1" applyBorder="1" applyAlignment="1" applyProtection="1">
      <alignment horizontal="center" vertical="center" shrinkToFit="1"/>
      <protection hidden="1"/>
    </xf>
    <xf numFmtId="0" fontId="12" fillId="3" borderId="0" xfId="0" applyFont="1" applyFill="1" applyBorder="1" applyAlignment="1" applyProtection="1">
      <alignment horizontal="left" shrinkToFit="1"/>
      <protection hidden="1"/>
    </xf>
    <xf numFmtId="0" fontId="12" fillId="3" borderId="11" xfId="0" applyFont="1" applyFill="1" applyBorder="1" applyAlignment="1" applyProtection="1">
      <alignment horizontal="left" shrinkToFit="1"/>
      <protection hidden="1"/>
    </xf>
    <xf numFmtId="0" fontId="9" fillId="8" borderId="6" xfId="0" applyFont="1" applyFill="1" applyBorder="1" applyAlignment="1" applyProtection="1">
      <alignment horizontal="center" vertical="center"/>
      <protection hidden="1"/>
    </xf>
    <xf numFmtId="0" fontId="10" fillId="9" borderId="6" xfId="0" applyNumberFormat="1" applyFont="1" applyFill="1" applyBorder="1" applyAlignment="1" applyProtection="1">
      <alignment horizontal="left" vertical="center" shrinkToFit="1"/>
      <protection locked="0"/>
    </xf>
    <xf numFmtId="0" fontId="10" fillId="9" borderId="7" xfId="0" applyNumberFormat="1" applyFont="1" applyFill="1" applyBorder="1" applyAlignment="1" applyProtection="1">
      <alignment horizontal="left" vertical="center" shrinkToFit="1"/>
      <protection locked="0"/>
    </xf>
    <xf numFmtId="0" fontId="11" fillId="11" borderId="1" xfId="0" applyFont="1" applyFill="1" applyBorder="1" applyAlignment="1" applyProtection="1">
      <alignment horizontal="center" vertical="center" shrinkToFit="1"/>
      <protection hidden="1"/>
    </xf>
    <xf numFmtId="0" fontId="11" fillId="11" borderId="2" xfId="0" applyFont="1" applyFill="1" applyBorder="1" applyAlignment="1" applyProtection="1">
      <alignment horizontal="center" vertical="center" shrinkToFit="1"/>
      <protection hidden="1"/>
    </xf>
    <xf numFmtId="0" fontId="11" fillId="11" borderId="3" xfId="0" applyFont="1" applyFill="1" applyBorder="1" applyAlignment="1" applyProtection="1">
      <alignment horizontal="center" vertical="center" shrinkToFit="1"/>
      <protection hidden="1"/>
    </xf>
    <xf numFmtId="0" fontId="11" fillId="11" borderId="19" xfId="0" applyFont="1" applyFill="1" applyBorder="1" applyAlignment="1" applyProtection="1">
      <alignment horizontal="center" vertical="center" shrinkToFit="1"/>
      <protection hidden="1"/>
    </xf>
    <xf numFmtId="0" fontId="11" fillId="11" borderId="11" xfId="0" applyFont="1" applyFill="1" applyBorder="1" applyAlignment="1" applyProtection="1">
      <alignment horizontal="center" vertical="center" shrinkToFit="1"/>
      <protection hidden="1"/>
    </xf>
    <xf numFmtId="0" fontId="11" fillId="11" borderId="20" xfId="0" applyFont="1" applyFill="1" applyBorder="1" applyAlignment="1" applyProtection="1">
      <alignment horizontal="center" vertical="center" shrinkToFit="1"/>
      <protection hidden="1"/>
    </xf>
    <xf numFmtId="0" fontId="9" fillId="8" borderId="9" xfId="0" applyFont="1" applyFill="1" applyBorder="1" applyAlignment="1" applyProtection="1">
      <alignment horizontal="center" vertical="center"/>
      <protection hidden="1"/>
    </xf>
    <xf numFmtId="0" fontId="9" fillId="10" borderId="304" xfId="0" applyFont="1" applyFill="1" applyBorder="1" applyAlignment="1" applyProtection="1">
      <alignment horizontal="left" vertical="center" shrinkToFit="1"/>
      <protection locked="0"/>
    </xf>
    <xf numFmtId="0" fontId="9" fillId="10" borderId="305" xfId="0" applyFont="1" applyFill="1" applyBorder="1" applyAlignment="1" applyProtection="1">
      <alignment horizontal="left" vertical="center" shrinkToFit="1"/>
      <protection locked="0"/>
    </xf>
    <xf numFmtId="0" fontId="9" fillId="10" borderId="306" xfId="0" applyFont="1" applyFill="1" applyBorder="1" applyAlignment="1" applyProtection="1">
      <alignment horizontal="left" vertical="center" shrinkToFit="1"/>
      <protection locked="0"/>
    </xf>
    <xf numFmtId="0" fontId="10" fillId="10" borderId="304" xfId="0" applyNumberFormat="1" applyFont="1" applyFill="1" applyBorder="1" applyAlignment="1" applyProtection="1">
      <alignment horizontal="left" vertical="center" shrinkToFit="1"/>
      <protection locked="0"/>
    </xf>
    <xf numFmtId="0" fontId="10" fillId="10" borderId="305" xfId="0" applyNumberFormat="1" applyFont="1" applyFill="1" applyBorder="1" applyAlignment="1" applyProtection="1">
      <alignment horizontal="left" vertical="center" shrinkToFit="1"/>
      <protection locked="0"/>
    </xf>
    <xf numFmtId="0" fontId="10" fillId="10" borderId="306" xfId="0" applyNumberFormat="1" applyFont="1" applyFill="1" applyBorder="1" applyAlignment="1" applyProtection="1">
      <alignment horizontal="left" vertical="center" shrinkToFit="1"/>
      <protection locked="0"/>
    </xf>
    <xf numFmtId="0" fontId="10" fillId="10" borderId="301" xfId="0" applyNumberFormat="1" applyFont="1" applyFill="1" applyBorder="1" applyAlignment="1" applyProtection="1">
      <alignment horizontal="left" vertical="center" shrinkToFit="1"/>
      <protection locked="0"/>
    </xf>
    <xf numFmtId="0" fontId="10" fillId="10" borderId="302" xfId="0" applyNumberFormat="1" applyFont="1" applyFill="1" applyBorder="1" applyAlignment="1" applyProtection="1">
      <alignment horizontal="left" vertical="center" shrinkToFit="1"/>
      <protection locked="0"/>
    </xf>
    <xf numFmtId="0" fontId="10" fillId="10" borderId="303" xfId="0" applyNumberFormat="1" applyFont="1" applyFill="1" applyBorder="1" applyAlignment="1" applyProtection="1">
      <alignment horizontal="left" vertical="center" shrinkToFit="1"/>
      <protection locked="0"/>
    </xf>
    <xf numFmtId="0" fontId="13" fillId="9" borderId="304" xfId="0" applyFont="1" applyFill="1" applyBorder="1" applyAlignment="1" applyProtection="1">
      <alignment horizontal="left" vertical="center" indent="1" shrinkToFit="1"/>
      <protection locked="0"/>
    </xf>
    <xf numFmtId="0" fontId="13" fillId="9" borderId="305" xfId="0" applyFont="1" applyFill="1" applyBorder="1" applyAlignment="1" applyProtection="1">
      <alignment horizontal="left" vertical="center" indent="1" shrinkToFit="1"/>
      <protection locked="0"/>
    </xf>
    <xf numFmtId="0" fontId="13" fillId="9" borderId="306" xfId="0" applyFont="1" applyFill="1" applyBorder="1" applyAlignment="1" applyProtection="1">
      <alignment horizontal="left" vertical="center" indent="1" shrinkToFit="1"/>
      <protection locked="0"/>
    </xf>
    <xf numFmtId="0" fontId="13" fillId="8" borderId="166" xfId="0" applyFont="1" applyFill="1" applyBorder="1" applyAlignment="1" applyProtection="1">
      <alignment horizontal="center" vertical="center" shrinkToFit="1"/>
      <protection locked="0"/>
    </xf>
    <xf numFmtId="0" fontId="13" fillId="8" borderId="27" xfId="0" applyFont="1" applyFill="1" applyBorder="1" applyAlignment="1" applyProtection="1">
      <alignment horizontal="center" vertical="center" shrinkToFit="1"/>
      <protection locked="0"/>
    </xf>
    <xf numFmtId="0" fontId="13" fillId="8" borderId="28" xfId="0" applyFont="1" applyFill="1" applyBorder="1" applyAlignment="1" applyProtection="1">
      <alignment horizontal="center" vertical="center" shrinkToFit="1"/>
      <protection locked="0"/>
    </xf>
    <xf numFmtId="0" fontId="25" fillId="10" borderId="304" xfId="0" applyFont="1" applyFill="1" applyBorder="1" applyAlignment="1" applyProtection="1">
      <alignment horizontal="center" vertical="center" shrinkToFit="1"/>
      <protection locked="0"/>
    </xf>
    <xf numFmtId="0" fontId="25" fillId="10" borderId="305" xfId="0" applyFont="1" applyFill="1" applyBorder="1" applyAlignment="1" applyProtection="1">
      <alignment horizontal="center" vertical="center" shrinkToFit="1"/>
      <protection locked="0"/>
    </xf>
    <xf numFmtId="0" fontId="25" fillId="10" borderId="306" xfId="0" applyFont="1" applyFill="1" applyBorder="1" applyAlignment="1" applyProtection="1">
      <alignment horizontal="center" vertical="center" shrinkToFit="1"/>
      <protection locked="0"/>
    </xf>
    <xf numFmtId="0" fontId="9" fillId="8" borderId="10" xfId="0" applyFont="1" applyFill="1" applyBorder="1" applyAlignment="1" applyProtection="1">
      <alignment horizontal="center" vertical="center"/>
      <protection hidden="1"/>
    </xf>
    <xf numFmtId="0" fontId="9" fillId="8" borderId="8" xfId="0" applyFont="1" applyFill="1" applyBorder="1" applyAlignment="1" applyProtection="1">
      <alignment horizontal="center" vertical="center"/>
      <protection hidden="1"/>
    </xf>
    <xf numFmtId="0" fontId="10" fillId="9" borderId="304" xfId="0" applyNumberFormat="1" applyFont="1" applyFill="1" applyBorder="1" applyAlignment="1" applyProtection="1">
      <alignment horizontal="left" vertical="center" shrinkToFit="1"/>
      <protection locked="0"/>
    </xf>
    <xf numFmtId="0" fontId="10" fillId="9" borderId="305" xfId="0" applyNumberFormat="1" applyFont="1" applyFill="1" applyBorder="1" applyAlignment="1" applyProtection="1">
      <alignment horizontal="left" vertical="center" shrinkToFit="1"/>
      <protection locked="0"/>
    </xf>
    <xf numFmtId="0" fontId="10" fillId="9" borderId="306" xfId="0" applyNumberFormat="1" applyFont="1" applyFill="1" applyBorder="1" applyAlignment="1" applyProtection="1">
      <alignment horizontal="left" vertical="center" shrinkToFit="1"/>
      <protection locked="0"/>
    </xf>
    <xf numFmtId="0" fontId="356" fillId="5" borderId="220" xfId="0" applyFont="1" applyFill="1" applyBorder="1" applyAlignment="1" applyProtection="1">
      <alignment horizontal="center" vertical="center" wrapText="1"/>
      <protection hidden="1"/>
    </xf>
    <xf numFmtId="0" fontId="356" fillId="5" borderId="199" xfId="0" applyFont="1" applyFill="1" applyBorder="1" applyAlignment="1" applyProtection="1">
      <alignment horizontal="center" vertical="center" wrapText="1"/>
      <protection hidden="1"/>
    </xf>
    <xf numFmtId="0" fontId="356" fillId="5" borderId="4" xfId="0" applyFont="1" applyFill="1" applyBorder="1" applyAlignment="1" applyProtection="1">
      <alignment horizontal="center" vertical="center" wrapText="1"/>
      <protection hidden="1"/>
    </xf>
    <xf numFmtId="0" fontId="356" fillId="5" borderId="0" xfId="0" applyFont="1" applyFill="1" applyBorder="1" applyAlignment="1" applyProtection="1">
      <alignment horizontal="center" vertical="center" wrapText="1"/>
      <protection hidden="1"/>
    </xf>
    <xf numFmtId="0" fontId="4" fillId="6" borderId="199" xfId="0" applyFont="1" applyFill="1" applyBorder="1" applyAlignment="1" applyProtection="1">
      <alignment horizontal="center" vertical="center"/>
      <protection hidden="1"/>
    </xf>
    <xf numFmtId="0" fontId="4" fillId="6" borderId="0" xfId="0" applyFont="1" applyFill="1" applyBorder="1" applyAlignment="1" applyProtection="1">
      <alignment horizontal="center" vertical="center"/>
      <protection hidden="1"/>
    </xf>
    <xf numFmtId="0" fontId="6" fillId="6" borderId="199" xfId="0" applyFont="1" applyFill="1" applyBorder="1" applyAlignment="1" applyProtection="1">
      <alignment horizontal="left" wrapText="1"/>
      <protection hidden="1"/>
    </xf>
    <xf numFmtId="0" fontId="7" fillId="6" borderId="0" xfId="0" applyFont="1" applyFill="1" applyBorder="1" applyAlignment="1" applyProtection="1">
      <alignment horizontal="left" vertical="center"/>
      <protection hidden="1"/>
    </xf>
    <xf numFmtId="0" fontId="21" fillId="8" borderId="8" xfId="0" applyFont="1" applyFill="1" applyBorder="1" applyAlignment="1" applyProtection="1">
      <alignment horizontal="center" vertical="center"/>
      <protection hidden="1"/>
    </xf>
    <xf numFmtId="0" fontId="21" fillId="8" borderId="9" xfId="0" applyFont="1" applyFill="1" applyBorder="1" applyAlignment="1" applyProtection="1">
      <alignment horizontal="center" vertical="center"/>
      <protection hidden="1"/>
    </xf>
    <xf numFmtId="0" fontId="9" fillId="9" borderId="301" xfId="0" applyFont="1" applyFill="1" applyBorder="1" applyAlignment="1" applyProtection="1">
      <alignment horizontal="left" vertical="center" shrinkToFit="1"/>
      <protection locked="0"/>
    </xf>
    <xf numFmtId="0" fontId="9" fillId="9" borderId="302" xfId="0" applyFont="1" applyFill="1" applyBorder="1" applyAlignment="1" applyProtection="1">
      <alignment horizontal="left" vertical="center" shrinkToFit="1"/>
      <protection locked="0"/>
    </xf>
    <xf numFmtId="0" fontId="9" fillId="9" borderId="303" xfId="0" applyFont="1" applyFill="1" applyBorder="1" applyAlignment="1" applyProtection="1">
      <alignment horizontal="left" vertical="center" shrinkToFit="1"/>
      <protection locked="0"/>
    </xf>
    <xf numFmtId="0" fontId="187" fillId="6" borderId="2" xfId="0" applyFont="1" applyFill="1" applyBorder="1" applyAlignment="1" applyProtection="1">
      <alignment horizontal="left" vertical="center" wrapText="1"/>
      <protection hidden="1"/>
    </xf>
    <xf numFmtId="0" fontId="187" fillId="6" borderId="0" xfId="0" applyFont="1" applyFill="1" applyBorder="1" applyAlignment="1" applyProtection="1">
      <alignment horizontal="left" vertical="center" wrapText="1"/>
      <protection hidden="1"/>
    </xf>
    <xf numFmtId="0" fontId="4" fillId="6" borderId="2" xfId="0" applyFont="1" applyFill="1" applyBorder="1" applyAlignment="1" applyProtection="1">
      <alignment horizontal="right" vertical="center" wrapText="1"/>
      <protection hidden="1"/>
    </xf>
    <xf numFmtId="0" fontId="4" fillId="6" borderId="0" xfId="0" applyFont="1" applyFill="1" applyBorder="1" applyAlignment="1" applyProtection="1">
      <alignment horizontal="right" vertical="center" wrapText="1"/>
      <protection hidden="1"/>
    </xf>
    <xf numFmtId="0" fontId="331" fillId="5" borderId="18" xfId="0" applyFont="1" applyFill="1" applyBorder="1" applyAlignment="1" applyProtection="1">
      <alignment horizontal="center" vertical="center" wrapText="1"/>
      <protection hidden="1"/>
    </xf>
    <xf numFmtId="0" fontId="331" fillId="5" borderId="254" xfId="0" applyFont="1" applyFill="1" applyBorder="1" applyAlignment="1" applyProtection="1">
      <alignment horizontal="center" vertical="center" wrapText="1"/>
      <protection hidden="1"/>
    </xf>
    <xf numFmtId="0" fontId="4" fillId="5" borderId="199" xfId="0" applyFont="1" applyFill="1" applyBorder="1" applyAlignment="1" applyProtection="1">
      <alignment horizontal="center" vertical="center" wrapText="1"/>
      <protection hidden="1"/>
    </xf>
    <xf numFmtId="0" fontId="4" fillId="5" borderId="221" xfId="0" applyFont="1" applyFill="1" applyBorder="1" applyAlignment="1" applyProtection="1">
      <alignment horizontal="center" vertical="center" wrapText="1"/>
      <protection hidden="1"/>
    </xf>
    <xf numFmtId="0" fontId="4" fillId="5" borderId="0" xfId="0" applyFont="1" applyFill="1" applyBorder="1" applyAlignment="1" applyProtection="1">
      <alignment horizontal="center" vertical="center" wrapText="1"/>
      <protection hidden="1"/>
    </xf>
    <xf numFmtId="0" fontId="4" fillId="5" borderId="5" xfId="0" applyFont="1" applyFill="1" applyBorder="1" applyAlignment="1" applyProtection="1">
      <alignment horizontal="center" vertical="center" wrapText="1"/>
      <protection hidden="1"/>
    </xf>
    <xf numFmtId="0" fontId="24" fillId="21" borderId="204" xfId="0" applyFont="1" applyFill="1" applyBorder="1" applyAlignment="1" applyProtection="1">
      <alignment horizontal="left" vertical="center" shrinkToFit="1"/>
      <protection hidden="1"/>
    </xf>
    <xf numFmtId="0" fontId="24" fillId="4" borderId="41" xfId="0" applyFont="1" applyFill="1" applyBorder="1" applyAlignment="1" applyProtection="1">
      <alignment horizontal="center" vertical="center" shrinkToFit="1"/>
      <protection hidden="1"/>
    </xf>
    <xf numFmtId="0" fontId="24" fillId="4" borderId="42" xfId="0" applyFont="1" applyFill="1" applyBorder="1" applyAlignment="1" applyProtection="1">
      <alignment horizontal="center" vertical="center" shrinkToFit="1"/>
      <protection hidden="1"/>
    </xf>
    <xf numFmtId="0" fontId="24" fillId="4" borderId="43" xfId="0" applyFont="1" applyFill="1" applyBorder="1" applyAlignment="1" applyProtection="1">
      <alignment horizontal="center" vertical="center" shrinkToFit="1"/>
      <protection hidden="1"/>
    </xf>
    <xf numFmtId="0" fontId="24" fillId="4" borderId="49" xfId="0" applyFont="1" applyFill="1" applyBorder="1" applyAlignment="1" applyProtection="1">
      <alignment horizontal="center" vertical="center" shrinkToFit="1"/>
      <protection hidden="1"/>
    </xf>
    <xf numFmtId="0" fontId="24" fillId="4" borderId="50" xfId="0" applyFont="1" applyFill="1" applyBorder="1" applyAlignment="1" applyProtection="1">
      <alignment horizontal="center" vertical="center" shrinkToFit="1"/>
      <protection hidden="1"/>
    </xf>
    <xf numFmtId="0" fontId="24" fillId="4" borderId="51" xfId="0" applyFont="1" applyFill="1" applyBorder="1" applyAlignment="1" applyProtection="1">
      <alignment horizontal="center" vertical="center" shrinkToFit="1"/>
      <protection hidden="1"/>
    </xf>
    <xf numFmtId="0" fontId="24" fillId="4" borderId="48" xfId="0" applyFont="1" applyFill="1" applyBorder="1" applyAlignment="1" applyProtection="1">
      <alignment horizontal="center" vertical="center" shrinkToFit="1"/>
      <protection hidden="1"/>
    </xf>
    <xf numFmtId="0" fontId="24" fillId="4" borderId="39" xfId="0" applyFont="1" applyFill="1" applyBorder="1" applyAlignment="1" applyProtection="1">
      <alignment horizontal="center" vertical="center" shrinkToFit="1"/>
      <protection hidden="1"/>
    </xf>
    <xf numFmtId="0" fontId="24" fillId="4" borderId="40" xfId="0" applyFont="1" applyFill="1" applyBorder="1" applyAlignment="1" applyProtection="1">
      <alignment horizontal="center" vertical="center" shrinkToFit="1"/>
      <protection hidden="1"/>
    </xf>
    <xf numFmtId="0" fontId="55" fillId="4" borderId="54" xfId="0" applyFont="1" applyFill="1" applyBorder="1" applyAlignment="1" applyProtection="1">
      <alignment horizontal="center" vertical="center" shrinkToFit="1"/>
      <protection hidden="1"/>
    </xf>
    <xf numFmtId="0" fontId="55" fillId="4" borderId="48" xfId="0" applyFont="1" applyFill="1" applyBorder="1" applyAlignment="1" applyProtection="1">
      <alignment horizontal="center" vertical="center" shrinkToFit="1"/>
      <protection hidden="1"/>
    </xf>
    <xf numFmtId="0" fontId="55" fillId="4" borderId="39" xfId="0" applyFont="1" applyFill="1" applyBorder="1" applyAlignment="1" applyProtection="1">
      <alignment horizontal="center" vertical="center" shrinkToFit="1"/>
      <protection hidden="1"/>
    </xf>
    <xf numFmtId="0" fontId="55" fillId="4" borderId="40" xfId="0" applyFont="1" applyFill="1" applyBorder="1" applyAlignment="1" applyProtection="1">
      <alignment horizontal="center" vertical="center" shrinkToFit="1"/>
      <protection hidden="1"/>
    </xf>
    <xf numFmtId="176" fontId="37" fillId="2" borderId="95" xfId="0" applyNumberFormat="1" applyFont="1" applyFill="1" applyBorder="1" applyAlignment="1" applyProtection="1">
      <alignment horizontal="center" vertical="center" shrinkToFit="1"/>
      <protection hidden="1"/>
    </xf>
    <xf numFmtId="176" fontId="37" fillId="2" borderId="96" xfId="0" applyNumberFormat="1" applyFont="1" applyFill="1" applyBorder="1" applyAlignment="1" applyProtection="1">
      <alignment horizontal="center" vertical="center" shrinkToFit="1"/>
      <protection hidden="1"/>
    </xf>
    <xf numFmtId="176" fontId="37" fillId="2" borderId="102" xfId="0" applyNumberFormat="1" applyFont="1" applyFill="1" applyBorder="1" applyAlignment="1" applyProtection="1">
      <alignment horizontal="center" vertical="center" shrinkToFit="1"/>
      <protection hidden="1"/>
    </xf>
    <xf numFmtId="0" fontId="37" fillId="22" borderId="39" xfId="0" applyFont="1" applyFill="1" applyBorder="1" applyAlignment="1" applyProtection="1">
      <alignment horizontal="center" vertical="center" shrinkToFit="1"/>
      <protection locked="0"/>
    </xf>
    <xf numFmtId="182" fontId="53" fillId="17" borderId="231" xfId="0" applyNumberFormat="1" applyFont="1" applyFill="1" applyBorder="1" applyAlignment="1" applyProtection="1">
      <alignment horizontal="right" vertical="center" shrinkToFit="1"/>
      <protection hidden="1"/>
    </xf>
    <xf numFmtId="182" fontId="53" fillId="17" borderId="232" xfId="0" applyNumberFormat="1" applyFont="1" applyFill="1" applyBorder="1" applyAlignment="1" applyProtection="1">
      <alignment horizontal="right" vertical="center" shrinkToFit="1"/>
      <protection hidden="1"/>
    </xf>
    <xf numFmtId="182" fontId="53" fillId="17" borderId="233" xfId="0" applyNumberFormat="1" applyFont="1" applyFill="1" applyBorder="1" applyAlignment="1" applyProtection="1">
      <alignment horizontal="right" vertical="center" shrinkToFit="1"/>
      <protection hidden="1"/>
    </xf>
    <xf numFmtId="182" fontId="53" fillId="17" borderId="234" xfId="0" applyNumberFormat="1" applyFont="1" applyFill="1" applyBorder="1" applyAlignment="1" applyProtection="1">
      <alignment horizontal="right" vertical="center" shrinkToFit="1"/>
      <protection hidden="1"/>
    </xf>
    <xf numFmtId="182" fontId="53" fillId="17" borderId="235" xfId="0" applyNumberFormat="1" applyFont="1" applyFill="1" applyBorder="1" applyAlignment="1" applyProtection="1">
      <alignment horizontal="right" vertical="center" shrinkToFit="1"/>
      <protection hidden="1"/>
    </xf>
    <xf numFmtId="182" fontId="53" fillId="17" borderId="236" xfId="0" applyNumberFormat="1" applyFont="1" applyFill="1" applyBorder="1" applyAlignment="1" applyProtection="1">
      <alignment horizontal="right" vertical="center" shrinkToFit="1"/>
      <protection hidden="1"/>
    </xf>
    <xf numFmtId="182" fontId="53" fillId="17" borderId="247" xfId="0" applyNumberFormat="1" applyFont="1" applyFill="1" applyBorder="1" applyAlignment="1" applyProtection="1">
      <alignment horizontal="right" vertical="center" shrinkToFit="1"/>
      <protection hidden="1"/>
    </xf>
    <xf numFmtId="0" fontId="12" fillId="21" borderId="256" xfId="0" applyFont="1" applyFill="1" applyBorder="1" applyAlignment="1" applyProtection="1">
      <alignment horizontal="center" vertical="center"/>
      <protection hidden="1"/>
    </xf>
    <xf numFmtId="0" fontId="12" fillId="21" borderId="257" xfId="0" applyFont="1" applyFill="1" applyBorder="1" applyAlignment="1" applyProtection="1">
      <alignment horizontal="center" vertical="center"/>
      <protection hidden="1"/>
    </xf>
    <xf numFmtId="0" fontId="12" fillId="21" borderId="258" xfId="0" applyFont="1" applyFill="1" applyBorder="1" applyAlignment="1" applyProtection="1">
      <alignment horizontal="center" vertical="center"/>
      <protection hidden="1"/>
    </xf>
    <xf numFmtId="0" fontId="12" fillId="21" borderId="259" xfId="0" applyFont="1" applyFill="1" applyBorder="1" applyAlignment="1" applyProtection="1">
      <alignment horizontal="center" vertical="center"/>
      <protection hidden="1"/>
    </xf>
    <xf numFmtId="0" fontId="12" fillId="21" borderId="260" xfId="0" applyFont="1" applyFill="1" applyBorder="1" applyAlignment="1" applyProtection="1">
      <alignment horizontal="center" vertical="center"/>
      <protection hidden="1"/>
    </xf>
    <xf numFmtId="0" fontId="12" fillId="21" borderId="261" xfId="0" applyFont="1" applyFill="1" applyBorder="1" applyAlignment="1" applyProtection="1">
      <alignment horizontal="center" vertical="center"/>
      <protection hidden="1"/>
    </xf>
    <xf numFmtId="0" fontId="12" fillId="21" borderId="277" xfId="0" applyFont="1" applyFill="1" applyBorder="1" applyAlignment="1" applyProtection="1">
      <alignment horizontal="center" vertical="center"/>
      <protection hidden="1"/>
    </xf>
    <xf numFmtId="182" fontId="53" fillId="17" borderId="324" xfId="0" applyNumberFormat="1" applyFont="1" applyFill="1" applyBorder="1" applyAlignment="1" applyProtection="1">
      <alignment horizontal="right" vertical="center" shrinkToFit="1"/>
      <protection hidden="1"/>
    </xf>
    <xf numFmtId="182" fontId="53" fillId="17" borderId="325" xfId="0" applyNumberFormat="1" applyFont="1" applyFill="1" applyBorder="1" applyAlignment="1" applyProtection="1">
      <alignment horizontal="right" vertical="center" shrinkToFit="1"/>
      <protection hidden="1"/>
    </xf>
    <xf numFmtId="182" fontId="53" fillId="17" borderId="326" xfId="0" applyNumberFormat="1" applyFont="1" applyFill="1" applyBorder="1" applyAlignment="1" applyProtection="1">
      <alignment horizontal="right" vertical="center" shrinkToFit="1"/>
      <protection hidden="1"/>
    </xf>
    <xf numFmtId="182" fontId="53" fillId="17" borderId="77" xfId="0" applyNumberFormat="1" applyFont="1" applyFill="1" applyBorder="1" applyAlignment="1" applyProtection="1">
      <alignment horizontal="right" vertical="center" shrinkToFit="1"/>
      <protection hidden="1"/>
    </xf>
    <xf numFmtId="182" fontId="53" fillId="17" borderId="223" xfId="0" applyNumberFormat="1" applyFont="1" applyFill="1" applyBorder="1" applyAlignment="1" applyProtection="1">
      <alignment horizontal="right" vertical="center" shrinkToFit="1"/>
      <protection hidden="1"/>
    </xf>
    <xf numFmtId="182" fontId="53" fillId="17" borderId="224" xfId="0" applyNumberFormat="1" applyFont="1" applyFill="1" applyBorder="1" applyAlignment="1" applyProtection="1">
      <alignment horizontal="right" vertical="center" shrinkToFit="1"/>
      <protection hidden="1"/>
    </xf>
    <xf numFmtId="182" fontId="53" fillId="17" borderId="238" xfId="0" applyNumberFormat="1" applyFont="1" applyFill="1" applyBorder="1" applyAlignment="1" applyProtection="1">
      <alignment horizontal="right" vertical="center" shrinkToFit="1"/>
      <protection hidden="1"/>
    </xf>
    <xf numFmtId="182" fontId="53" fillId="17" borderId="248" xfId="0" applyNumberFormat="1" applyFont="1" applyFill="1" applyBorder="1" applyAlignment="1" applyProtection="1">
      <alignment horizontal="right" vertical="center" shrinkToFit="1"/>
      <protection hidden="1"/>
    </xf>
    <xf numFmtId="182" fontId="53" fillId="17" borderId="48" xfId="0" applyNumberFormat="1" applyFont="1" applyFill="1" applyBorder="1" applyAlignment="1" applyProtection="1">
      <alignment horizontal="right" vertical="center" shrinkToFit="1"/>
      <protection hidden="1"/>
    </xf>
    <xf numFmtId="182" fontId="53" fillId="17" borderId="39" xfId="0" applyNumberFormat="1" applyFont="1" applyFill="1" applyBorder="1" applyAlignment="1" applyProtection="1">
      <alignment horizontal="right" vertical="center" shrinkToFit="1"/>
      <protection hidden="1"/>
    </xf>
    <xf numFmtId="182" fontId="53" fillId="17" borderId="40" xfId="0" applyNumberFormat="1" applyFont="1" applyFill="1" applyBorder="1" applyAlignment="1" applyProtection="1">
      <alignment horizontal="right" vertical="center" shrinkToFit="1"/>
      <protection hidden="1"/>
    </xf>
    <xf numFmtId="182" fontId="53" fillId="17" borderId="284" xfId="0" applyNumberFormat="1" applyFont="1" applyFill="1" applyBorder="1" applyAlignment="1" applyProtection="1">
      <alignment horizontal="right" vertical="center" shrinkToFit="1"/>
      <protection hidden="1"/>
    </xf>
    <xf numFmtId="182" fontId="53" fillId="17" borderId="48" xfId="0" applyNumberFormat="1" applyFont="1" applyFill="1" applyBorder="1" applyAlignment="1" applyProtection="1">
      <alignment horizontal="right" vertical="center" shrinkToFit="1"/>
      <protection locked="0"/>
    </xf>
    <xf numFmtId="182" fontId="53" fillId="17" borderId="39" xfId="0" applyNumberFormat="1" applyFont="1" applyFill="1" applyBorder="1" applyAlignment="1" applyProtection="1">
      <alignment horizontal="right" vertical="center" shrinkToFit="1"/>
      <protection locked="0"/>
    </xf>
    <xf numFmtId="182" fontId="53" fillId="17" borderId="40" xfId="0" applyNumberFormat="1" applyFont="1" applyFill="1" applyBorder="1" applyAlignment="1" applyProtection="1">
      <alignment horizontal="right" vertical="center" shrinkToFit="1"/>
      <protection locked="0"/>
    </xf>
    <xf numFmtId="182" fontId="53" fillId="17" borderId="284" xfId="0" applyNumberFormat="1" applyFont="1" applyFill="1" applyBorder="1" applyAlignment="1" applyProtection="1">
      <alignment horizontal="right" vertical="center" shrinkToFit="1"/>
      <protection locked="0"/>
    </xf>
    <xf numFmtId="182" fontId="53" fillId="17" borderId="324" xfId="0" applyNumberFormat="1" applyFont="1" applyFill="1" applyBorder="1" applyAlignment="1" applyProtection="1">
      <alignment horizontal="right" vertical="center" shrinkToFit="1"/>
      <protection locked="0"/>
    </xf>
    <xf numFmtId="182" fontId="53" fillId="17" borderId="325" xfId="0" applyNumberFormat="1" applyFont="1" applyFill="1" applyBorder="1" applyAlignment="1" applyProtection="1">
      <alignment horizontal="right" vertical="center" shrinkToFit="1"/>
      <protection locked="0"/>
    </xf>
    <xf numFmtId="182" fontId="53" fillId="17" borderId="326" xfId="0" applyNumberFormat="1" applyFont="1" applyFill="1" applyBorder="1" applyAlignment="1" applyProtection="1">
      <alignment horizontal="right" vertical="center" shrinkToFit="1"/>
      <protection locked="0"/>
    </xf>
    <xf numFmtId="182" fontId="53" fillId="17" borderId="77" xfId="0" applyNumberFormat="1" applyFont="1" applyFill="1" applyBorder="1" applyAlignment="1" applyProtection="1">
      <alignment horizontal="right" vertical="center" shrinkToFit="1"/>
      <protection locked="0"/>
    </xf>
    <xf numFmtId="182" fontId="53" fillId="17" borderId="248" xfId="0" applyNumberFormat="1" applyFont="1" applyFill="1" applyBorder="1" applyAlignment="1" applyProtection="1">
      <alignment horizontal="right" vertical="center" shrinkToFit="1"/>
      <protection locked="0"/>
    </xf>
    <xf numFmtId="182" fontId="53" fillId="17" borderId="237" xfId="0" applyNumberFormat="1" applyFont="1" applyFill="1" applyBorder="1" applyAlignment="1" applyProtection="1">
      <alignment horizontal="right" vertical="center" shrinkToFit="1"/>
      <protection locked="0"/>
    </xf>
    <xf numFmtId="182" fontId="53" fillId="17" borderId="224" xfId="0" applyNumberFormat="1" applyFont="1" applyFill="1" applyBorder="1" applyAlignment="1" applyProtection="1">
      <alignment horizontal="right" vertical="center" shrinkToFit="1"/>
      <protection locked="0"/>
    </xf>
    <xf numFmtId="182" fontId="53" fillId="17" borderId="225" xfId="0" applyNumberFormat="1" applyFont="1" applyFill="1" applyBorder="1" applyAlignment="1" applyProtection="1">
      <alignment horizontal="right" vertical="center" shrinkToFit="1"/>
      <protection locked="0"/>
    </xf>
    <xf numFmtId="182" fontId="53" fillId="17" borderId="339" xfId="0" applyNumberFormat="1" applyFont="1" applyFill="1" applyBorder="1" applyAlignment="1" applyProtection="1">
      <alignment horizontal="right" vertical="center" shrinkToFit="1"/>
      <protection locked="0"/>
    </xf>
    <xf numFmtId="182" fontId="53" fillId="17" borderId="340" xfId="0" applyNumberFormat="1" applyFont="1" applyFill="1" applyBorder="1" applyAlignment="1" applyProtection="1">
      <alignment horizontal="right" vertical="center" shrinkToFit="1"/>
      <protection locked="0"/>
    </xf>
    <xf numFmtId="182" fontId="53" fillId="17" borderId="341" xfId="0" applyNumberFormat="1" applyFont="1" applyFill="1" applyBorder="1" applyAlignment="1" applyProtection="1">
      <alignment horizontal="right" vertical="center" shrinkToFit="1"/>
      <protection locked="0"/>
    </xf>
    <xf numFmtId="182" fontId="53" fillId="17" borderId="226" xfId="0" applyNumberFormat="1" applyFont="1" applyFill="1" applyBorder="1" applyAlignment="1" applyProtection="1">
      <alignment horizontal="right" vertical="center" shrinkToFit="1"/>
      <protection locked="0"/>
    </xf>
    <xf numFmtId="182" fontId="53" fillId="17" borderId="249" xfId="0" applyNumberFormat="1" applyFont="1" applyFill="1" applyBorder="1" applyAlignment="1" applyProtection="1">
      <alignment horizontal="right" vertical="center" shrinkToFit="1"/>
      <protection locked="0"/>
    </xf>
    <xf numFmtId="182" fontId="53" fillId="17" borderId="286" xfId="0" applyNumberFormat="1" applyFont="1" applyFill="1" applyBorder="1" applyAlignment="1" applyProtection="1">
      <alignment horizontal="right" vertical="center" shrinkToFit="1"/>
      <protection locked="0"/>
    </xf>
    <xf numFmtId="182" fontId="53" fillId="17" borderId="223" xfId="0" applyNumberFormat="1" applyFont="1" applyFill="1" applyBorder="1" applyAlignment="1" applyProtection="1">
      <alignment horizontal="right" vertical="center" shrinkToFit="1"/>
      <protection locked="0"/>
    </xf>
    <xf numFmtId="182" fontId="53" fillId="17" borderId="238" xfId="0" applyNumberFormat="1" applyFont="1" applyFill="1" applyBorder="1" applyAlignment="1" applyProtection="1">
      <alignment horizontal="right" vertical="center" shrinkToFit="1"/>
      <protection locked="0"/>
    </xf>
    <xf numFmtId="182" fontId="53" fillId="17" borderId="239" xfId="0" applyNumberFormat="1" applyFont="1" applyFill="1" applyBorder="1" applyAlignment="1" applyProtection="1">
      <alignment horizontal="right" vertical="center" shrinkToFit="1"/>
      <protection locked="0"/>
    </xf>
    <xf numFmtId="182" fontId="53" fillId="17" borderId="240" xfId="0" applyNumberFormat="1" applyFont="1" applyFill="1" applyBorder="1" applyAlignment="1" applyProtection="1">
      <alignment horizontal="right" vertical="center" shrinkToFit="1"/>
      <protection locked="0"/>
    </xf>
    <xf numFmtId="182" fontId="53" fillId="17" borderId="241" xfId="0" applyNumberFormat="1" applyFont="1" applyFill="1" applyBorder="1" applyAlignment="1" applyProtection="1">
      <alignment horizontal="right" vertical="center" shrinkToFit="1"/>
      <protection locked="0"/>
    </xf>
    <xf numFmtId="182" fontId="53" fillId="17" borderId="242" xfId="0" applyNumberFormat="1" applyFont="1" applyFill="1" applyBorder="1" applyAlignment="1" applyProtection="1">
      <alignment horizontal="right" vertical="center" shrinkToFit="1"/>
      <protection locked="0"/>
    </xf>
    <xf numFmtId="182" fontId="53" fillId="17" borderId="243" xfId="0" applyNumberFormat="1" applyFont="1" applyFill="1" applyBorder="1" applyAlignment="1" applyProtection="1">
      <alignment horizontal="right" vertical="center" shrinkToFit="1"/>
      <protection locked="0"/>
    </xf>
    <xf numFmtId="182" fontId="53" fillId="17" borderId="244" xfId="0" applyNumberFormat="1" applyFont="1" applyFill="1" applyBorder="1" applyAlignment="1" applyProtection="1">
      <alignment horizontal="right" vertical="center" shrinkToFit="1"/>
      <protection locked="0"/>
    </xf>
    <xf numFmtId="182" fontId="53" fillId="17" borderId="245" xfId="0" applyNumberFormat="1" applyFont="1" applyFill="1" applyBorder="1" applyAlignment="1" applyProtection="1">
      <alignment horizontal="right" vertical="center" shrinkToFit="1"/>
      <protection locked="0"/>
    </xf>
    <xf numFmtId="182" fontId="53" fillId="17" borderId="246" xfId="0" applyNumberFormat="1" applyFont="1" applyFill="1" applyBorder="1" applyAlignment="1" applyProtection="1">
      <alignment horizontal="right" vertical="center" shrinkToFit="1"/>
      <protection locked="0"/>
    </xf>
    <xf numFmtId="182" fontId="53" fillId="17" borderId="250" xfId="0" applyNumberFormat="1" applyFont="1" applyFill="1" applyBorder="1" applyAlignment="1" applyProtection="1">
      <alignment horizontal="right" vertical="center" shrinkToFit="1"/>
      <protection locked="0"/>
    </xf>
    <xf numFmtId="182" fontId="53" fillId="17" borderId="251" xfId="0" applyNumberFormat="1" applyFont="1" applyFill="1" applyBorder="1" applyAlignment="1" applyProtection="1">
      <alignment horizontal="right" vertical="center" shrinkToFit="1"/>
      <protection locked="0"/>
    </xf>
    <xf numFmtId="182" fontId="53" fillId="17" borderId="252" xfId="0" applyNumberFormat="1" applyFont="1" applyFill="1" applyBorder="1" applyAlignment="1" applyProtection="1">
      <alignment horizontal="right" vertical="center" shrinkToFit="1"/>
      <protection locked="0"/>
    </xf>
    <xf numFmtId="0" fontId="12" fillId="21" borderId="309" xfId="0" applyFont="1" applyFill="1" applyBorder="1" applyAlignment="1" applyProtection="1">
      <alignment horizontal="center" vertical="center"/>
      <protection hidden="1"/>
    </xf>
    <xf numFmtId="0" fontId="12" fillId="21" borderId="310" xfId="0" applyFont="1" applyFill="1" applyBorder="1" applyAlignment="1" applyProtection="1">
      <alignment horizontal="center" vertical="center"/>
      <protection hidden="1"/>
    </xf>
    <xf numFmtId="0" fontId="12" fillId="21" borderId="311" xfId="0" applyFont="1" applyFill="1" applyBorder="1" applyAlignment="1" applyProtection="1">
      <alignment horizontal="center" vertical="center"/>
      <protection hidden="1"/>
    </xf>
    <xf numFmtId="0" fontId="12" fillId="21" borderId="312" xfId="0" applyFont="1" applyFill="1" applyBorder="1" applyAlignment="1" applyProtection="1">
      <alignment horizontal="center" vertical="center"/>
      <protection hidden="1"/>
    </xf>
    <xf numFmtId="176" fontId="12" fillId="21" borderId="33" xfId="0" applyNumberFormat="1" applyFont="1" applyFill="1" applyBorder="1" applyAlignment="1" applyProtection="1">
      <alignment horizontal="center" vertical="center" shrinkToFit="1"/>
      <protection hidden="1"/>
    </xf>
    <xf numFmtId="176" fontId="12" fillId="21" borderId="35" xfId="0" applyNumberFormat="1" applyFont="1" applyFill="1" applyBorder="1" applyAlignment="1" applyProtection="1">
      <alignment horizontal="center" vertical="center" shrinkToFit="1"/>
      <protection hidden="1"/>
    </xf>
    <xf numFmtId="176" fontId="12" fillId="21" borderId="34" xfId="0" applyNumberFormat="1" applyFont="1" applyFill="1" applyBorder="1" applyAlignment="1" applyProtection="1">
      <alignment horizontal="center" vertical="center" shrinkToFit="1"/>
      <protection hidden="1"/>
    </xf>
    <xf numFmtId="176" fontId="12" fillId="21" borderId="38" xfId="0" applyNumberFormat="1" applyFont="1" applyFill="1" applyBorder="1" applyAlignment="1" applyProtection="1">
      <alignment horizontal="center" vertical="center" shrinkToFit="1"/>
      <protection hidden="1"/>
    </xf>
    <xf numFmtId="176" fontId="12" fillId="21" borderId="29" xfId="0" applyNumberFormat="1" applyFont="1" applyFill="1" applyBorder="1" applyAlignment="1" applyProtection="1">
      <alignment horizontal="center" vertical="center" shrinkToFit="1"/>
      <protection hidden="1"/>
    </xf>
    <xf numFmtId="176" fontId="12" fillId="21" borderId="47" xfId="0" applyNumberFormat="1" applyFont="1" applyFill="1" applyBorder="1" applyAlignment="1" applyProtection="1">
      <alignment horizontal="center" vertical="center" shrinkToFit="1"/>
      <protection hidden="1"/>
    </xf>
    <xf numFmtId="182" fontId="53" fillId="4" borderId="286" xfId="0" quotePrefix="1" applyNumberFormat="1" applyFont="1" applyFill="1" applyBorder="1" applyAlignment="1" applyProtection="1">
      <alignment horizontal="right" vertical="center" shrinkToFit="1"/>
      <protection hidden="1"/>
    </xf>
    <xf numFmtId="182" fontId="53" fillId="4" borderId="39" xfId="0" quotePrefix="1" applyNumberFormat="1" applyFont="1" applyFill="1" applyBorder="1" applyAlignment="1" applyProtection="1">
      <alignment horizontal="right" vertical="center" shrinkToFit="1"/>
      <protection hidden="1"/>
    </xf>
    <xf numFmtId="182" fontId="53" fillId="4" borderId="40" xfId="0" quotePrefix="1" applyNumberFormat="1" applyFont="1" applyFill="1" applyBorder="1" applyAlignment="1" applyProtection="1">
      <alignment horizontal="right" vertical="center" shrinkToFit="1"/>
      <protection hidden="1"/>
    </xf>
    <xf numFmtId="182" fontId="53" fillId="4" borderId="77" xfId="0" quotePrefix="1" applyNumberFormat="1" applyFont="1" applyFill="1" applyBorder="1" applyAlignment="1" applyProtection="1">
      <alignment horizontal="right" vertical="center" shrinkToFit="1"/>
      <protection hidden="1"/>
    </xf>
    <xf numFmtId="182" fontId="53" fillId="4" borderId="77" xfId="0" applyNumberFormat="1" applyFont="1" applyFill="1" applyBorder="1" applyAlignment="1" applyProtection="1">
      <alignment horizontal="right" vertical="center" shrinkToFit="1"/>
      <protection hidden="1"/>
    </xf>
    <xf numFmtId="0" fontId="27" fillId="21" borderId="33" xfId="0" applyFont="1" applyFill="1" applyBorder="1" applyAlignment="1" applyProtection="1">
      <alignment horizontal="center" vertical="center" wrapText="1" shrinkToFit="1"/>
      <protection hidden="1"/>
    </xf>
    <xf numFmtId="0" fontId="27" fillId="21" borderId="35" xfId="0" applyFont="1" applyFill="1" applyBorder="1" applyAlignment="1" applyProtection="1">
      <alignment horizontal="center" vertical="center" wrapText="1" shrinkToFit="1"/>
      <protection hidden="1"/>
    </xf>
    <xf numFmtId="0" fontId="27" fillId="21" borderId="38" xfId="0" applyFont="1" applyFill="1" applyBorder="1" applyAlignment="1" applyProtection="1">
      <alignment horizontal="center" vertical="center" wrapText="1" shrinkToFit="1"/>
      <protection hidden="1"/>
    </xf>
    <xf numFmtId="0" fontId="27" fillId="21" borderId="29" xfId="0" applyFont="1" applyFill="1" applyBorder="1" applyAlignment="1" applyProtection="1">
      <alignment horizontal="center" vertical="center" wrapText="1" shrinkToFit="1"/>
      <protection hidden="1"/>
    </xf>
    <xf numFmtId="0" fontId="27" fillId="21" borderId="47" xfId="0" applyFont="1" applyFill="1" applyBorder="1" applyAlignment="1" applyProtection="1">
      <alignment horizontal="center" vertical="center" wrapText="1" shrinkToFit="1"/>
      <protection hidden="1"/>
    </xf>
    <xf numFmtId="0" fontId="244" fillId="21" borderId="313" xfId="0" applyFont="1" applyFill="1" applyBorder="1" applyAlignment="1" applyProtection="1">
      <alignment horizontal="left" vertical="top" shrinkToFit="1"/>
      <protection hidden="1"/>
    </xf>
    <xf numFmtId="0" fontId="247" fillId="21" borderId="314" xfId="0" applyFont="1" applyFill="1" applyBorder="1" applyAlignment="1" applyProtection="1">
      <alignment horizontal="left" vertical="top" shrinkToFit="1"/>
      <protection hidden="1"/>
    </xf>
    <xf numFmtId="0" fontId="247" fillId="21" borderId="315" xfId="0" applyFont="1" applyFill="1" applyBorder="1" applyAlignment="1" applyProtection="1">
      <alignment horizontal="left" vertical="top" shrinkToFit="1"/>
      <protection hidden="1"/>
    </xf>
    <xf numFmtId="0" fontId="244" fillId="21" borderId="316" xfId="0" applyFont="1" applyFill="1" applyBorder="1" applyAlignment="1" applyProtection="1">
      <alignment horizontal="center" shrinkToFit="1"/>
      <protection hidden="1"/>
    </xf>
    <xf numFmtId="0" fontId="244" fillId="21" borderId="317" xfId="0" applyFont="1" applyFill="1" applyBorder="1" applyAlignment="1" applyProtection="1">
      <alignment horizontal="center" shrinkToFit="1"/>
      <protection hidden="1"/>
    </xf>
    <xf numFmtId="0" fontId="244" fillId="21" borderId="318" xfId="0" applyFont="1" applyFill="1" applyBorder="1" applyAlignment="1" applyProtection="1">
      <alignment horizontal="center" shrinkToFit="1"/>
      <protection hidden="1"/>
    </xf>
    <xf numFmtId="0" fontId="332" fillId="24" borderId="30" xfId="1" applyFont="1" applyFill="1" applyBorder="1" applyAlignment="1">
      <alignment horizontal="center" vertical="center"/>
    </xf>
    <xf numFmtId="0" fontId="332" fillId="24" borderId="31" xfId="1" applyFont="1" applyFill="1" applyBorder="1" applyAlignment="1">
      <alignment horizontal="center" vertical="center"/>
    </xf>
    <xf numFmtId="0" fontId="332" fillId="24" borderId="32" xfId="1" applyFont="1" applyFill="1" applyBorder="1" applyAlignment="1">
      <alignment horizontal="center" vertical="center"/>
    </xf>
    <xf numFmtId="0" fontId="184" fillId="5" borderId="0" xfId="1" applyFont="1" applyFill="1" applyBorder="1" applyAlignment="1" applyProtection="1">
      <alignment horizontal="center" vertical="center" wrapText="1" shrinkToFit="1"/>
      <protection hidden="1"/>
    </xf>
    <xf numFmtId="0" fontId="12" fillId="4" borderId="40" xfId="0" applyFont="1" applyFill="1" applyBorder="1" applyAlignment="1" applyProtection="1">
      <alignment horizontal="right" vertical="center" shrinkToFit="1"/>
      <protection hidden="1"/>
    </xf>
    <xf numFmtId="192" fontId="12" fillId="4" borderId="77" xfId="0" applyNumberFormat="1" applyFont="1" applyFill="1" applyBorder="1" applyAlignment="1" applyProtection="1">
      <alignment horizontal="center" vertical="center" shrinkToFit="1"/>
      <protection hidden="1"/>
    </xf>
    <xf numFmtId="0" fontId="30" fillId="23" borderId="153" xfId="1" applyFont="1" applyFill="1" applyBorder="1" applyAlignment="1" applyProtection="1">
      <alignment horizontal="center" vertical="center" shrinkToFit="1"/>
      <protection hidden="1"/>
    </xf>
    <xf numFmtId="0" fontId="30" fillId="24" borderId="30" xfId="1" applyFont="1" applyFill="1" applyBorder="1" applyAlignment="1">
      <alignment horizontal="center" vertical="center" shrinkToFit="1"/>
    </xf>
    <xf numFmtId="0" fontId="30" fillId="24" borderId="31" xfId="1" applyFont="1" applyFill="1" applyBorder="1" applyAlignment="1">
      <alignment horizontal="center" vertical="center" shrinkToFit="1"/>
    </xf>
    <xf numFmtId="0" fontId="30" fillId="24" borderId="32" xfId="1" applyFont="1" applyFill="1" applyBorder="1" applyAlignment="1">
      <alignment horizontal="center" vertical="center" shrinkToFit="1"/>
    </xf>
    <xf numFmtId="0" fontId="258" fillId="5" borderId="4" xfId="0" applyFont="1" applyFill="1" applyBorder="1" applyAlignment="1" applyProtection="1">
      <alignment horizontal="center" vertical="center"/>
      <protection hidden="1"/>
    </xf>
    <xf numFmtId="0" fontId="258" fillId="5" borderId="177" xfId="0" applyFont="1" applyFill="1" applyBorder="1" applyAlignment="1" applyProtection="1">
      <alignment horizontal="center" vertical="center"/>
      <protection hidden="1"/>
    </xf>
    <xf numFmtId="0" fontId="13" fillId="22" borderId="175" xfId="0" applyFont="1" applyFill="1" applyBorder="1" applyAlignment="1" applyProtection="1">
      <alignment horizontal="center" vertical="center"/>
      <protection hidden="1"/>
    </xf>
    <xf numFmtId="0" fontId="13" fillId="22" borderId="178" xfId="0" applyFont="1" applyFill="1" applyBorder="1" applyAlignment="1" applyProtection="1">
      <alignment horizontal="center" vertical="center"/>
      <protection hidden="1"/>
    </xf>
    <xf numFmtId="0" fontId="13" fillId="22" borderId="176" xfId="0" applyFont="1" applyFill="1" applyBorder="1" applyAlignment="1" applyProtection="1">
      <alignment horizontal="center" vertical="center"/>
      <protection hidden="1"/>
    </xf>
    <xf numFmtId="0" fontId="13" fillId="17" borderId="175" xfId="0" applyFont="1" applyFill="1" applyBorder="1" applyAlignment="1" applyProtection="1">
      <alignment horizontal="center" vertical="center"/>
      <protection hidden="1"/>
    </xf>
    <xf numFmtId="0" fontId="13" fillId="17" borderId="178" xfId="0" applyFont="1" applyFill="1" applyBorder="1" applyAlignment="1" applyProtection="1">
      <alignment horizontal="center" vertical="center"/>
      <protection hidden="1"/>
    </xf>
    <xf numFmtId="0" fontId="13" fillId="17" borderId="176" xfId="0" applyFont="1" applyFill="1" applyBorder="1" applyAlignment="1" applyProtection="1">
      <alignment horizontal="center" vertical="center"/>
      <protection hidden="1"/>
    </xf>
    <xf numFmtId="0" fontId="37" fillId="2" borderId="37" xfId="0" applyFont="1" applyFill="1" applyBorder="1" applyAlignment="1" applyProtection="1">
      <alignment horizontal="center" vertical="center" shrinkToFit="1"/>
      <protection hidden="1"/>
    </xf>
    <xf numFmtId="0" fontId="37" fillId="2" borderId="36" xfId="0" applyFont="1" applyFill="1" applyBorder="1" applyAlignment="1" applyProtection="1">
      <alignment horizontal="center" vertical="center" shrinkToFit="1"/>
      <protection hidden="1"/>
    </xf>
    <xf numFmtId="0" fontId="27" fillId="18" borderId="75" xfId="2" applyFont="1" applyFill="1" applyBorder="1" applyAlignment="1" applyProtection="1">
      <alignment horizontal="left" vertical="top" wrapText="1"/>
      <protection hidden="1"/>
    </xf>
    <xf numFmtId="0" fontId="27" fillId="18" borderId="120" xfId="2" applyFont="1" applyFill="1" applyBorder="1" applyAlignment="1" applyProtection="1">
      <alignment horizontal="left" vertical="top" wrapText="1"/>
      <protection hidden="1"/>
    </xf>
    <xf numFmtId="0" fontId="188" fillId="18" borderId="111" xfId="2" applyFont="1" applyFill="1" applyBorder="1" applyAlignment="1" applyProtection="1">
      <alignment horizontal="center" vertical="center" wrapText="1"/>
      <protection hidden="1"/>
    </xf>
    <xf numFmtId="0" fontId="188" fillId="18" borderId="112" xfId="2" applyFont="1" applyFill="1" applyBorder="1" applyAlignment="1" applyProtection="1">
      <alignment horizontal="center" vertical="center"/>
      <protection hidden="1"/>
    </xf>
    <xf numFmtId="0" fontId="188" fillId="18" borderId="13" xfId="2" applyFont="1" applyFill="1" applyBorder="1" applyAlignment="1" applyProtection="1">
      <alignment horizontal="center" vertical="center" wrapText="1"/>
      <protection hidden="1"/>
    </xf>
    <xf numFmtId="0" fontId="188" fillId="18" borderId="16" xfId="2" applyFont="1" applyFill="1" applyBorder="1" applyAlignment="1" applyProtection="1">
      <alignment horizontal="center" vertical="center" wrapText="1"/>
      <protection hidden="1"/>
    </xf>
    <xf numFmtId="0" fontId="188" fillId="18" borderId="14" xfId="2" applyFont="1" applyFill="1" applyBorder="1" applyAlignment="1" applyProtection="1">
      <alignment horizontal="center" vertical="center" wrapText="1"/>
      <protection hidden="1"/>
    </xf>
    <xf numFmtId="0" fontId="13" fillId="63" borderId="114" xfId="2" quotePrefix="1" applyFont="1" applyFill="1" applyBorder="1" applyAlignment="1" applyProtection="1">
      <alignment horizontal="center" vertical="center" shrinkToFit="1"/>
      <protection hidden="1"/>
    </xf>
    <xf numFmtId="0" fontId="13" fillId="63" borderId="70" xfId="2" applyFont="1" applyFill="1" applyBorder="1" applyAlignment="1" applyProtection="1">
      <alignment horizontal="center" vertical="center" shrinkToFit="1"/>
      <protection hidden="1"/>
    </xf>
    <xf numFmtId="0" fontId="13" fillId="63" borderId="58" xfId="2" quotePrefix="1" applyFont="1" applyFill="1" applyBorder="1" applyAlignment="1" applyProtection="1">
      <alignment horizontal="center" vertical="center" shrinkToFit="1"/>
      <protection hidden="1"/>
    </xf>
    <xf numFmtId="0" fontId="13" fillId="63" borderId="114" xfId="2" applyFont="1" applyFill="1" applyBorder="1" applyAlignment="1" applyProtection="1">
      <alignment horizontal="center" vertical="center" shrinkToFit="1"/>
      <protection hidden="1"/>
    </xf>
    <xf numFmtId="0" fontId="13" fillId="30" borderId="58" xfId="2" quotePrefix="1" applyFont="1" applyFill="1" applyBorder="1" applyAlignment="1" applyProtection="1">
      <alignment horizontal="center" vertical="center" shrinkToFit="1"/>
      <protection hidden="1"/>
    </xf>
    <xf numFmtId="0" fontId="13" fillId="30" borderId="70" xfId="2" applyFont="1" applyFill="1" applyBorder="1" applyAlignment="1" applyProtection="1">
      <alignment horizontal="center" vertical="center" shrinkToFit="1"/>
      <protection hidden="1"/>
    </xf>
    <xf numFmtId="0" fontId="27" fillId="30" borderId="178" xfId="2" applyFont="1" applyFill="1" applyBorder="1" applyAlignment="1" applyProtection="1">
      <alignment horizontal="left" vertical="center" shrinkToFit="1"/>
      <protection hidden="1"/>
    </xf>
    <xf numFmtId="0" fontId="27" fillId="30" borderId="176" xfId="2" applyFont="1" applyFill="1" applyBorder="1" applyAlignment="1" applyProtection="1">
      <alignment horizontal="left" vertical="center" shrinkToFit="1"/>
      <protection hidden="1"/>
    </xf>
    <xf numFmtId="0" fontId="13" fillId="63" borderId="175" xfId="2" quotePrefix="1" applyFont="1" applyFill="1" applyBorder="1" applyAlignment="1" applyProtection="1">
      <alignment horizontal="center" vertical="center" shrinkToFit="1"/>
      <protection hidden="1"/>
    </xf>
    <xf numFmtId="0" fontId="13" fillId="63" borderId="176" xfId="2" quotePrefix="1" applyFont="1" applyFill="1" applyBorder="1" applyAlignment="1" applyProtection="1">
      <alignment horizontal="center" vertical="center" shrinkToFit="1"/>
      <protection hidden="1"/>
    </xf>
    <xf numFmtId="193" fontId="15" fillId="28" borderId="0" xfId="2" applyNumberFormat="1" applyFont="1" applyFill="1" applyAlignment="1" applyProtection="1">
      <alignment horizontal="center"/>
      <protection hidden="1"/>
    </xf>
    <xf numFmtId="0" fontId="236" fillId="18" borderId="178" xfId="2" applyFont="1" applyFill="1" applyBorder="1" applyAlignment="1" applyProtection="1">
      <alignment horizontal="center" vertical="center" wrapText="1"/>
      <protection hidden="1"/>
    </xf>
    <xf numFmtId="0" fontId="236" fillId="18" borderId="176" xfId="2" applyFont="1" applyFill="1" applyBorder="1" applyAlignment="1" applyProtection="1">
      <alignment horizontal="center" vertical="center" wrapText="1"/>
      <protection hidden="1"/>
    </xf>
    <xf numFmtId="0" fontId="349" fillId="30" borderId="175" xfId="1" applyFont="1" applyFill="1" applyBorder="1" applyAlignment="1">
      <alignment horizontal="center" vertical="center"/>
    </xf>
    <xf numFmtId="0" fontId="349" fillId="30" borderId="178" xfId="1" applyFont="1" applyFill="1" applyBorder="1" applyAlignment="1">
      <alignment horizontal="center" vertical="center"/>
    </xf>
    <xf numFmtId="0" fontId="158" fillId="18" borderId="68" xfId="3" applyNumberFormat="1" applyFont="1" applyFill="1" applyBorder="1" applyAlignment="1" applyProtection="1">
      <alignment horizontal="left" indent="1"/>
      <protection hidden="1"/>
    </xf>
    <xf numFmtId="0" fontId="158" fillId="18" borderId="125" xfId="3" applyNumberFormat="1" applyFont="1" applyFill="1" applyBorder="1" applyAlignment="1" applyProtection="1">
      <alignment horizontal="left" indent="1"/>
      <protection hidden="1"/>
    </xf>
    <xf numFmtId="0" fontId="158" fillId="18" borderId="144" xfId="3" applyNumberFormat="1" applyFont="1" applyFill="1" applyBorder="1" applyAlignment="1" applyProtection="1">
      <alignment horizontal="left" indent="1"/>
      <protection hidden="1"/>
    </xf>
    <xf numFmtId="186" fontId="158" fillId="18" borderId="17" xfId="3" applyNumberFormat="1" applyFont="1" applyFill="1" applyBorder="1" applyAlignment="1" applyProtection="1">
      <alignment horizontal="right"/>
      <protection hidden="1"/>
    </xf>
    <xf numFmtId="0" fontId="10" fillId="18" borderId="68" xfId="3" applyNumberFormat="1" applyFont="1" applyFill="1" applyBorder="1" applyAlignment="1" applyProtection="1">
      <alignment horizontal="left"/>
      <protection hidden="1"/>
    </xf>
    <xf numFmtId="0" fontId="10" fillId="18" borderId="125" xfId="3" applyNumberFormat="1" applyFont="1" applyFill="1" applyBorder="1" applyAlignment="1" applyProtection="1">
      <alignment horizontal="left"/>
      <protection hidden="1"/>
    </xf>
    <xf numFmtId="0" fontId="10" fillId="18" borderId="148" xfId="3" applyNumberFormat="1" applyFont="1" applyFill="1" applyBorder="1" applyAlignment="1" applyProtection="1">
      <alignment horizontal="left"/>
      <protection hidden="1"/>
    </xf>
    <xf numFmtId="0" fontId="13" fillId="18" borderId="0" xfId="3" applyFont="1" applyFill="1" applyAlignment="1" applyProtection="1">
      <alignment horizontal="center" vertical="center" textRotation="180"/>
    </xf>
    <xf numFmtId="0" fontId="258" fillId="18" borderId="0" xfId="3" applyFont="1" applyFill="1" applyAlignment="1" applyProtection="1">
      <alignment horizontal="center" vertical="center"/>
    </xf>
    <xf numFmtId="0" fontId="248" fillId="30" borderId="11" xfId="3" applyNumberFormat="1" applyFont="1" applyFill="1" applyBorder="1" applyAlignment="1" applyProtection="1">
      <alignment horizontal="right" vertical="center"/>
      <protection locked="0"/>
    </xf>
    <xf numFmtId="14" fontId="262" fillId="30" borderId="219" xfId="3" applyNumberFormat="1" applyFont="1" applyFill="1" applyBorder="1" applyAlignment="1" applyProtection="1">
      <alignment horizontal="left" shrinkToFit="1"/>
      <protection hidden="1"/>
    </xf>
    <xf numFmtId="49" fontId="258" fillId="30" borderId="0" xfId="3" applyNumberFormat="1" applyFont="1" applyFill="1" applyBorder="1" applyAlignment="1" applyProtection="1">
      <alignment horizontal="left" vertical="center"/>
      <protection locked="0"/>
    </xf>
    <xf numFmtId="0" fontId="258" fillId="30" borderId="0" xfId="3" applyNumberFormat="1" applyFont="1" applyFill="1" applyBorder="1" applyAlignment="1" applyProtection="1">
      <alignment horizontal="left" vertical="center"/>
      <protection locked="0"/>
    </xf>
    <xf numFmtId="49" fontId="258" fillId="30" borderId="0" xfId="3" applyNumberFormat="1" applyFont="1" applyFill="1" applyBorder="1" applyAlignment="1" applyProtection="1">
      <alignment horizontal="left" vertical="top"/>
      <protection locked="0"/>
    </xf>
    <xf numFmtId="0" fontId="258" fillId="30" borderId="0" xfId="3" applyNumberFormat="1" applyFont="1" applyFill="1" applyBorder="1" applyAlignment="1" applyProtection="1">
      <alignment horizontal="left" vertical="top"/>
      <protection locked="0"/>
    </xf>
    <xf numFmtId="0" fontId="158" fillId="18" borderId="75" xfId="3" applyNumberFormat="1" applyFont="1" applyFill="1" applyBorder="1" applyAlignment="1" applyProtection="1">
      <alignment horizontal="right" indent="1"/>
      <protection hidden="1"/>
    </xf>
    <xf numFmtId="0" fontId="158" fillId="18" borderId="120" xfId="3" applyNumberFormat="1" applyFont="1" applyFill="1" applyBorder="1" applyAlignment="1" applyProtection="1">
      <alignment horizontal="right" indent="1"/>
      <protection hidden="1"/>
    </xf>
    <xf numFmtId="0" fontId="158" fillId="18" borderId="282" xfId="3" applyNumberFormat="1" applyFont="1" applyFill="1" applyBorder="1" applyAlignment="1" applyProtection="1">
      <alignment horizontal="right" indent="1"/>
      <protection hidden="1"/>
    </xf>
    <xf numFmtId="186" fontId="158" fillId="18" borderId="74" xfId="3" applyNumberFormat="1" applyFont="1" applyFill="1" applyBorder="1" applyAlignment="1" applyProtection="1">
      <alignment horizontal="right"/>
      <protection hidden="1"/>
    </xf>
    <xf numFmtId="186" fontId="222" fillId="18" borderId="74" xfId="3" applyNumberFormat="1" applyFont="1" applyFill="1" applyBorder="1" applyAlignment="1" applyProtection="1">
      <alignment horizontal="right"/>
      <protection hidden="1"/>
    </xf>
    <xf numFmtId="0" fontId="10" fillId="18" borderId="75" xfId="3" applyNumberFormat="1" applyFont="1" applyFill="1" applyBorder="1" applyAlignment="1" applyProtection="1">
      <alignment horizontal="left"/>
      <protection hidden="1"/>
    </xf>
    <xf numFmtId="0" fontId="10" fillId="18" borderId="120" xfId="3" applyNumberFormat="1" applyFont="1" applyFill="1" applyBorder="1" applyAlignment="1" applyProtection="1">
      <alignment horizontal="left"/>
      <protection hidden="1"/>
    </xf>
    <xf numFmtId="0" fontId="10" fillId="18" borderId="283" xfId="3" applyNumberFormat="1" applyFont="1" applyFill="1" applyBorder="1" applyAlignment="1" applyProtection="1">
      <alignment horizontal="left"/>
      <protection hidden="1"/>
    </xf>
    <xf numFmtId="186" fontId="222" fillId="18" borderId="17" xfId="3" applyNumberFormat="1" applyFont="1" applyFill="1" applyBorder="1" applyAlignment="1" applyProtection="1">
      <alignment horizontal="right"/>
      <protection hidden="1"/>
    </xf>
    <xf numFmtId="0" fontId="252" fillId="18" borderId="122" xfId="3" applyNumberFormat="1" applyFont="1" applyFill="1" applyBorder="1" applyAlignment="1" applyProtection="1">
      <alignment horizontal="left"/>
      <protection hidden="1"/>
    </xf>
    <xf numFmtId="0" fontId="252" fillId="18" borderId="117" xfId="3" applyNumberFormat="1" applyFont="1" applyFill="1" applyBorder="1" applyAlignment="1" applyProtection="1">
      <alignment horizontal="left"/>
      <protection hidden="1"/>
    </xf>
    <xf numFmtId="186" fontId="177" fillId="18" borderId="117" xfId="3" applyNumberFormat="1" applyFont="1" applyFill="1" applyBorder="1" applyAlignment="1" applyProtection="1">
      <alignment horizontal="right"/>
      <protection hidden="1"/>
    </xf>
    <xf numFmtId="0" fontId="254" fillId="18" borderId="158" xfId="3" applyNumberFormat="1" applyFont="1" applyFill="1" applyBorder="1" applyAlignment="1" applyProtection="1">
      <alignment horizontal="right"/>
      <protection hidden="1"/>
    </xf>
    <xf numFmtId="182" fontId="256" fillId="18" borderId="158" xfId="3" applyNumberFormat="1" applyFont="1" applyFill="1" applyBorder="1" applyAlignment="1" applyProtection="1">
      <alignment horizontal="right" shrinkToFit="1"/>
      <protection hidden="1"/>
    </xf>
    <xf numFmtId="0" fontId="252" fillId="18" borderId="75" xfId="3" applyNumberFormat="1" applyFont="1" applyFill="1" applyBorder="1" applyAlignment="1" applyProtection="1">
      <alignment horizontal="right" indent="1"/>
      <protection hidden="1"/>
    </xf>
    <xf numFmtId="0" fontId="252" fillId="18" borderId="120" xfId="3" applyNumberFormat="1" applyFont="1" applyFill="1" applyBorder="1" applyAlignment="1" applyProtection="1">
      <alignment horizontal="right" indent="1"/>
      <protection hidden="1"/>
    </xf>
    <xf numFmtId="0" fontId="252" fillId="18" borderId="282" xfId="3" applyNumberFormat="1" applyFont="1" applyFill="1" applyBorder="1" applyAlignment="1" applyProtection="1">
      <alignment horizontal="right" indent="1"/>
      <protection hidden="1"/>
    </xf>
    <xf numFmtId="186" fontId="255" fillId="18" borderId="64" xfId="3" applyNumberFormat="1" applyFont="1" applyFill="1" applyBorder="1" applyAlignment="1" applyProtection="1">
      <alignment horizontal="right"/>
      <protection hidden="1"/>
    </xf>
    <xf numFmtId="186" fontId="177" fillId="18" borderId="117" xfId="3" applyNumberFormat="1" applyFont="1" applyFill="1" applyBorder="1" applyAlignment="1" applyProtection="1">
      <alignment horizontal="right" shrinkToFit="1"/>
      <protection hidden="1"/>
    </xf>
    <xf numFmtId="0" fontId="252" fillId="18" borderId="68" xfId="3" applyNumberFormat="1" applyFont="1" applyFill="1" applyBorder="1" applyAlignment="1" applyProtection="1">
      <alignment horizontal="left" indent="1"/>
      <protection hidden="1"/>
    </xf>
    <xf numFmtId="0" fontId="252" fillId="18" borderId="125" xfId="3" applyNumberFormat="1" applyFont="1" applyFill="1" applyBorder="1" applyAlignment="1" applyProtection="1">
      <alignment horizontal="left" indent="1"/>
      <protection hidden="1"/>
    </xf>
    <xf numFmtId="0" fontId="252" fillId="18" borderId="144" xfId="3" applyNumberFormat="1" applyFont="1" applyFill="1" applyBorder="1" applyAlignment="1" applyProtection="1">
      <alignment horizontal="left" indent="1"/>
      <protection hidden="1"/>
    </xf>
    <xf numFmtId="186" fontId="252" fillId="18" borderId="17" xfId="3" applyNumberFormat="1" applyFont="1" applyFill="1" applyBorder="1" applyAlignment="1" applyProtection="1">
      <alignment horizontal="right"/>
      <protection hidden="1"/>
    </xf>
    <xf numFmtId="0" fontId="188" fillId="18" borderId="194" xfId="3" applyNumberFormat="1" applyFont="1" applyFill="1" applyBorder="1" applyAlignment="1" applyProtection="1">
      <alignment horizontal="center" shrinkToFit="1"/>
      <protection hidden="1"/>
    </xf>
    <xf numFmtId="0" fontId="188" fillId="18" borderId="197" xfId="3" applyNumberFormat="1" applyFont="1" applyFill="1" applyBorder="1" applyAlignment="1" applyProtection="1">
      <alignment horizontal="center" shrinkToFit="1"/>
      <protection hidden="1"/>
    </xf>
    <xf numFmtId="0" fontId="188" fillId="18" borderId="195" xfId="3" applyNumberFormat="1" applyFont="1" applyFill="1" applyBorder="1" applyAlignment="1" applyProtection="1">
      <alignment horizontal="center" shrinkToFit="1"/>
      <protection hidden="1"/>
    </xf>
    <xf numFmtId="0" fontId="188" fillId="18" borderId="171" xfId="3" applyNumberFormat="1" applyFont="1" applyFill="1" applyBorder="1" applyAlignment="1" applyProtection="1">
      <alignment horizontal="center" shrinkToFit="1"/>
      <protection hidden="1"/>
    </xf>
    <xf numFmtId="0" fontId="188" fillId="18" borderId="196" xfId="3" applyNumberFormat="1" applyFont="1" applyFill="1" applyBorder="1" applyAlignment="1" applyProtection="1">
      <alignment horizontal="center" shrinkToFit="1"/>
      <protection hidden="1"/>
    </xf>
    <xf numFmtId="0" fontId="252" fillId="18" borderId="65" xfId="3" applyNumberFormat="1" applyFont="1" applyFill="1" applyBorder="1" applyAlignment="1" applyProtection="1">
      <alignment horizontal="left"/>
      <protection hidden="1"/>
    </xf>
    <xf numFmtId="0" fontId="252" fillId="18" borderId="158" xfId="3" applyNumberFormat="1" applyFont="1" applyFill="1" applyBorder="1" applyAlignment="1" applyProtection="1">
      <alignment horizontal="left"/>
      <protection hidden="1"/>
    </xf>
    <xf numFmtId="186" fontId="177" fillId="18" borderId="125" xfId="3" applyNumberFormat="1" applyFont="1" applyFill="1" applyBorder="1" applyAlignment="1" applyProtection="1">
      <alignment horizontal="right"/>
      <protection hidden="1"/>
    </xf>
    <xf numFmtId="186" fontId="177" fillId="18" borderId="125" xfId="3" applyNumberFormat="1" applyFont="1" applyFill="1" applyBorder="1" applyAlignment="1" applyProtection="1">
      <alignment horizontal="right" shrinkToFit="1"/>
      <protection hidden="1"/>
    </xf>
    <xf numFmtId="186" fontId="255" fillId="18" borderId="74" xfId="3" applyNumberFormat="1" applyFont="1" applyFill="1" applyBorder="1" applyAlignment="1" applyProtection="1">
      <alignment horizontal="right"/>
      <protection hidden="1"/>
    </xf>
    <xf numFmtId="0" fontId="10" fillId="18" borderId="127" xfId="3" applyNumberFormat="1" applyFont="1" applyFill="1" applyBorder="1" applyAlignment="1" applyProtection="1">
      <alignment horizontal="left"/>
      <protection hidden="1"/>
    </xf>
    <xf numFmtId="0" fontId="10" fillId="18" borderId="130" xfId="3" applyNumberFormat="1" applyFont="1" applyFill="1" applyBorder="1" applyAlignment="1" applyProtection="1">
      <alignment horizontal="left"/>
      <protection hidden="1"/>
    </xf>
    <xf numFmtId="0" fontId="10" fillId="18" borderId="150" xfId="3" applyNumberFormat="1" applyFont="1" applyFill="1" applyBorder="1" applyAlignment="1" applyProtection="1">
      <alignment horizontal="left"/>
      <protection hidden="1"/>
    </xf>
    <xf numFmtId="49" fontId="257" fillId="30" borderId="0" xfId="3" applyNumberFormat="1" applyFont="1" applyFill="1" applyBorder="1" applyAlignment="1" applyProtection="1">
      <alignment horizontal="left" vertical="center"/>
      <protection locked="0"/>
    </xf>
    <xf numFmtId="0" fontId="257" fillId="30" borderId="0" xfId="3" applyNumberFormat="1" applyFont="1" applyFill="1" applyBorder="1" applyAlignment="1" applyProtection="1">
      <alignment horizontal="left" vertical="center"/>
      <protection locked="0"/>
    </xf>
    <xf numFmtId="186" fontId="47" fillId="18" borderId="13" xfId="3" applyNumberFormat="1" applyFont="1" applyFill="1" applyBorder="1" applyAlignment="1" applyProtection="1">
      <alignment horizontal="right" vertical="center"/>
      <protection hidden="1"/>
    </xf>
    <xf numFmtId="186" fontId="47" fillId="18" borderId="16" xfId="3" applyNumberFormat="1" applyFont="1" applyFill="1" applyBorder="1" applyAlignment="1" applyProtection="1">
      <alignment horizontal="right" vertical="center"/>
      <protection hidden="1"/>
    </xf>
    <xf numFmtId="186" fontId="47" fillId="18" borderId="20" xfId="3" applyNumberFormat="1" applyFont="1" applyFill="1" applyBorder="1" applyAlignment="1" applyProtection="1">
      <alignment horizontal="right" vertical="center"/>
      <protection hidden="1"/>
    </xf>
    <xf numFmtId="0" fontId="249" fillId="18" borderId="122" xfId="3" applyNumberFormat="1" applyFont="1" applyFill="1" applyBorder="1" applyAlignment="1" applyProtection="1">
      <alignment horizontal="left" shrinkToFit="1"/>
      <protection hidden="1"/>
    </xf>
    <xf numFmtId="0" fontId="249" fillId="18" borderId="117" xfId="3" applyNumberFormat="1" applyFont="1" applyFill="1" applyBorder="1" applyAlignment="1" applyProtection="1">
      <alignment horizontal="left" shrinkToFit="1"/>
      <protection hidden="1"/>
    </xf>
    <xf numFmtId="0" fontId="249" fillId="18" borderId="141" xfId="3" applyNumberFormat="1" applyFont="1" applyFill="1" applyBorder="1" applyAlignment="1" applyProtection="1">
      <alignment horizontal="left" shrinkToFit="1"/>
      <protection hidden="1"/>
    </xf>
    <xf numFmtId="0" fontId="252" fillId="18" borderId="68" xfId="3" applyNumberFormat="1" applyFont="1" applyFill="1" applyBorder="1" applyAlignment="1" applyProtection="1">
      <alignment horizontal="right"/>
      <protection hidden="1"/>
    </xf>
    <xf numFmtId="0" fontId="252" fillId="18" borderId="125" xfId="3" applyNumberFormat="1" applyFont="1" applyFill="1" applyBorder="1" applyAlignment="1" applyProtection="1">
      <alignment horizontal="right"/>
      <protection hidden="1"/>
    </xf>
    <xf numFmtId="0" fontId="252" fillId="18" borderId="144" xfId="3" applyNumberFormat="1" applyFont="1" applyFill="1" applyBorder="1" applyAlignment="1" applyProtection="1">
      <alignment horizontal="right"/>
      <protection hidden="1"/>
    </xf>
    <xf numFmtId="186" fontId="255" fillId="18" borderId="122" xfId="3" applyNumberFormat="1" applyFont="1" applyFill="1" applyBorder="1" applyAlignment="1" applyProtection="1">
      <alignment horizontal="right"/>
      <protection hidden="1"/>
    </xf>
    <xf numFmtId="186" fontId="255" fillId="18" borderId="117" xfId="3" applyNumberFormat="1" applyFont="1" applyFill="1" applyBorder="1" applyAlignment="1" applyProtection="1">
      <alignment horizontal="right"/>
      <protection hidden="1"/>
    </xf>
    <xf numFmtId="186" fontId="255" fillId="18" borderId="141" xfId="3" applyNumberFormat="1" applyFont="1" applyFill="1" applyBorder="1" applyAlignment="1" applyProtection="1">
      <alignment horizontal="right"/>
      <protection hidden="1"/>
    </xf>
    <xf numFmtId="0" fontId="10" fillId="18" borderId="17" xfId="3" applyNumberFormat="1" applyFont="1" applyFill="1" applyBorder="1" applyAlignment="1" applyProtection="1">
      <alignment horizontal="left"/>
      <protection hidden="1"/>
    </xf>
    <xf numFmtId="0" fontId="10" fillId="18" borderId="147" xfId="3" applyNumberFormat="1" applyFont="1" applyFill="1" applyBorder="1" applyAlignment="1" applyProtection="1">
      <alignment horizontal="left"/>
      <protection hidden="1"/>
    </xf>
    <xf numFmtId="186" fontId="47" fillId="18" borderId="175" xfId="3" applyNumberFormat="1" applyFont="1" applyFill="1" applyBorder="1" applyAlignment="1" applyProtection="1">
      <alignment horizontal="right" vertical="center"/>
      <protection hidden="1"/>
    </xf>
    <xf numFmtId="186" fontId="47" fillId="18" borderId="178" xfId="3" applyNumberFormat="1" applyFont="1" applyFill="1" applyBorder="1" applyAlignment="1" applyProtection="1">
      <alignment horizontal="right" vertical="center"/>
      <protection hidden="1"/>
    </xf>
    <xf numFmtId="186" fontId="47" fillId="18" borderId="176" xfId="3" applyNumberFormat="1" applyFont="1" applyFill="1" applyBorder="1" applyAlignment="1" applyProtection="1">
      <alignment horizontal="right" vertical="center"/>
      <protection hidden="1"/>
    </xf>
    <xf numFmtId="49" fontId="257" fillId="30" borderId="0" xfId="3" applyNumberFormat="1" applyFont="1" applyFill="1" applyBorder="1" applyAlignment="1" applyProtection="1">
      <alignment horizontal="left" vertical="top"/>
      <protection locked="0"/>
    </xf>
    <xf numFmtId="0" fontId="257" fillId="30" borderId="0" xfId="3" applyNumberFormat="1" applyFont="1" applyFill="1" applyBorder="1" applyAlignment="1" applyProtection="1">
      <alignment horizontal="left" vertical="top"/>
      <protection locked="0"/>
    </xf>
    <xf numFmtId="186" fontId="255" fillId="18" borderId="122" xfId="3" quotePrefix="1" applyNumberFormat="1" applyFont="1" applyFill="1" applyBorder="1" applyAlignment="1" applyProtection="1">
      <alignment horizontal="right"/>
      <protection hidden="1"/>
    </xf>
    <xf numFmtId="0" fontId="252" fillId="18" borderId="68" xfId="3" applyNumberFormat="1" applyFont="1" applyFill="1" applyBorder="1" applyAlignment="1" applyProtection="1">
      <alignment horizontal="right" vertical="center" shrinkToFit="1"/>
      <protection hidden="1"/>
    </xf>
    <xf numFmtId="0" fontId="252" fillId="18" borderId="125" xfId="3" applyNumberFormat="1" applyFont="1" applyFill="1" applyBorder="1" applyAlignment="1" applyProtection="1">
      <alignment horizontal="right" vertical="center" shrinkToFit="1"/>
      <protection hidden="1"/>
    </xf>
    <xf numFmtId="186" fontId="177" fillId="18" borderId="125" xfId="3" applyNumberFormat="1" applyFont="1" applyFill="1" applyBorder="1" applyAlignment="1" applyProtection="1">
      <alignment horizontal="right" vertical="center" shrinkToFit="1"/>
      <protection hidden="1"/>
    </xf>
    <xf numFmtId="176" fontId="252" fillId="18" borderId="68" xfId="3" applyNumberFormat="1" applyFont="1" applyFill="1" applyBorder="1" applyAlignment="1" applyProtection="1">
      <alignment horizontal="right"/>
      <protection hidden="1"/>
    </xf>
    <xf numFmtId="0" fontId="252" fillId="18" borderId="68" xfId="3" applyNumberFormat="1" applyFont="1" applyFill="1" applyBorder="1" applyAlignment="1" applyProtection="1">
      <alignment horizontal="center"/>
      <protection hidden="1"/>
    </xf>
    <xf numFmtId="0" fontId="252" fillId="18" borderId="125" xfId="3" applyNumberFormat="1" applyFont="1" applyFill="1" applyBorder="1" applyAlignment="1" applyProtection="1">
      <alignment horizontal="center"/>
      <protection hidden="1"/>
    </xf>
    <xf numFmtId="0" fontId="252" fillId="18" borderId="144" xfId="3" applyNumberFormat="1" applyFont="1" applyFill="1" applyBorder="1" applyAlignment="1" applyProtection="1">
      <alignment horizontal="center"/>
      <protection hidden="1"/>
    </xf>
    <xf numFmtId="0" fontId="13" fillId="29" borderId="12" xfId="1" applyFont="1" applyFill="1" applyBorder="1" applyAlignment="1" applyProtection="1">
      <alignment horizontal="center" vertical="center" shrinkToFit="1"/>
      <protection hidden="1"/>
    </xf>
    <xf numFmtId="0" fontId="25" fillId="29" borderId="12" xfId="1" applyFont="1" applyFill="1" applyBorder="1" applyAlignment="1" applyProtection="1">
      <alignment horizontal="center" vertical="center" wrapText="1"/>
      <protection hidden="1"/>
    </xf>
    <xf numFmtId="0" fontId="19" fillId="29" borderId="20" xfId="1" applyFont="1" applyFill="1" applyBorder="1" applyAlignment="1" applyProtection="1">
      <alignment horizontal="center" vertical="center" shrinkToFit="1"/>
      <protection hidden="1"/>
    </xf>
    <xf numFmtId="0" fontId="19" fillId="29" borderId="21" xfId="1" applyFont="1" applyFill="1" applyBorder="1" applyAlignment="1" applyProtection="1">
      <alignment horizontal="center" vertical="center" shrinkToFit="1"/>
      <protection hidden="1"/>
    </xf>
    <xf numFmtId="0" fontId="10" fillId="29" borderId="21" xfId="1" applyFont="1" applyFill="1" applyBorder="1" applyAlignment="1" applyProtection="1">
      <alignment horizontal="center" vertical="center" shrinkToFit="1"/>
      <protection hidden="1"/>
    </xf>
    <xf numFmtId="0" fontId="10" fillId="29" borderId="142" xfId="1" applyFont="1" applyFill="1" applyBorder="1" applyAlignment="1" applyProtection="1">
      <alignment horizontal="center" vertical="center" shrinkToFit="1"/>
      <protection hidden="1"/>
    </xf>
    <xf numFmtId="0" fontId="10" fillId="29" borderId="12" xfId="1" applyFont="1" applyFill="1" applyBorder="1" applyAlignment="1" applyProtection="1">
      <alignment horizontal="center" vertical="center" shrinkToFit="1"/>
      <protection hidden="1"/>
    </xf>
    <xf numFmtId="0" fontId="10" fillId="29" borderId="15" xfId="1" applyFont="1" applyFill="1" applyBorder="1" applyAlignment="1" applyProtection="1">
      <alignment horizontal="center" vertical="center" shrinkToFit="1"/>
      <protection hidden="1"/>
    </xf>
    <xf numFmtId="0" fontId="13" fillId="29" borderId="21" xfId="1" applyFont="1" applyFill="1" applyBorder="1" applyAlignment="1" applyProtection="1">
      <alignment horizontal="center" vertical="center" shrinkToFit="1"/>
      <protection hidden="1"/>
    </xf>
    <xf numFmtId="0" fontId="225" fillId="18" borderId="139" xfId="3" applyFont="1" applyFill="1" applyBorder="1" applyAlignment="1" applyProtection="1">
      <alignment horizontal="center"/>
    </xf>
    <xf numFmtId="0" fontId="225" fillId="18" borderId="135" xfId="3" applyFont="1" applyFill="1" applyBorder="1" applyAlignment="1" applyProtection="1">
      <alignment horizontal="center"/>
    </xf>
    <xf numFmtId="0" fontId="231" fillId="29" borderId="136" xfId="1" applyFont="1" applyFill="1" applyBorder="1" applyAlignment="1" applyProtection="1">
      <alignment horizontal="center" vertical="center" shrinkToFit="1"/>
      <protection hidden="1"/>
    </xf>
    <xf numFmtId="0" fontId="231" fillId="29" borderId="137" xfId="1" applyFont="1" applyFill="1" applyBorder="1" applyAlignment="1" applyProtection="1">
      <alignment horizontal="center" vertical="center" shrinkToFit="1"/>
      <protection hidden="1"/>
    </xf>
    <xf numFmtId="0" fontId="231" fillId="29" borderId="138" xfId="1" applyFont="1" applyFill="1" applyBorder="1" applyAlignment="1" applyProtection="1">
      <alignment horizontal="center" vertical="center" shrinkToFit="1"/>
      <protection hidden="1"/>
    </xf>
    <xf numFmtId="0" fontId="231" fillId="29" borderId="134" xfId="1" applyFont="1" applyFill="1" applyBorder="1" applyAlignment="1" applyProtection="1">
      <alignment horizontal="center" vertical="center" shrinkToFit="1"/>
      <protection hidden="1"/>
    </xf>
    <xf numFmtId="0" fontId="231" fillId="29" borderId="139" xfId="1" applyFont="1" applyFill="1" applyBorder="1" applyAlignment="1" applyProtection="1">
      <alignment horizontal="center" vertical="center" shrinkToFit="1"/>
      <protection hidden="1"/>
    </xf>
    <xf numFmtId="0" fontId="231" fillId="29" borderId="135" xfId="1" applyFont="1" applyFill="1" applyBorder="1" applyAlignment="1" applyProtection="1">
      <alignment horizontal="center" vertical="center" shrinkToFit="1"/>
      <protection hidden="1"/>
    </xf>
    <xf numFmtId="0" fontId="25" fillId="29" borderId="14" xfId="1" applyFont="1" applyFill="1" applyBorder="1" applyAlignment="1" applyProtection="1">
      <alignment horizontal="center" vertical="center" wrapText="1"/>
      <protection hidden="1"/>
    </xf>
    <xf numFmtId="176" fontId="188" fillId="18" borderId="0" xfId="3" applyNumberFormat="1" applyFont="1" applyFill="1" applyBorder="1" applyAlignment="1" applyProtection="1">
      <alignment horizontal="center" vertical="center" shrinkToFit="1"/>
      <protection hidden="1"/>
    </xf>
    <xf numFmtId="0" fontId="265" fillId="30" borderId="0" xfId="3" quotePrefix="1" applyNumberFormat="1" applyFont="1" applyFill="1" applyAlignment="1" applyProtection="1">
      <alignment horizontal="center" vertical="center"/>
    </xf>
    <xf numFmtId="0" fontId="265" fillId="30" borderId="0" xfId="3" applyNumberFormat="1" applyFont="1" applyFill="1" applyAlignment="1" applyProtection="1">
      <alignment horizontal="center" vertical="center"/>
    </xf>
    <xf numFmtId="0" fontId="248" fillId="30" borderId="0" xfId="3" applyNumberFormat="1" applyFont="1" applyFill="1" applyBorder="1" applyAlignment="1" applyProtection="1">
      <alignment horizontal="right"/>
      <protection hidden="1"/>
    </xf>
    <xf numFmtId="14" fontId="262" fillId="30" borderId="0" xfId="3" quotePrefix="1" applyNumberFormat="1" applyFont="1" applyFill="1" applyBorder="1" applyAlignment="1" applyProtection="1">
      <alignment horizontal="left" shrinkToFit="1"/>
      <protection hidden="1"/>
    </xf>
    <xf numFmtId="14" fontId="262" fillId="30" borderId="0" xfId="3" applyNumberFormat="1" applyFont="1" applyFill="1" applyBorder="1" applyAlignment="1" applyProtection="1">
      <alignment horizontal="left" shrinkToFit="1"/>
      <protection hidden="1"/>
    </xf>
    <xf numFmtId="0" fontId="265" fillId="30" borderId="0" xfId="3" applyNumberFormat="1" applyFont="1" applyFill="1" applyBorder="1" applyAlignment="1" applyProtection="1">
      <alignment horizontal="center" vertical="center"/>
    </xf>
    <xf numFmtId="0" fontId="258" fillId="30" borderId="199" xfId="3" applyNumberFormat="1" applyFont="1" applyFill="1" applyBorder="1" applyAlignment="1" applyProtection="1">
      <alignment horizontal="left" vertical="center"/>
      <protection locked="0"/>
    </xf>
    <xf numFmtId="0" fontId="252" fillId="18" borderId="122" xfId="3" applyNumberFormat="1" applyFont="1" applyFill="1" applyBorder="1" applyAlignment="1" applyProtection="1">
      <alignment horizontal="right"/>
      <protection hidden="1"/>
    </xf>
    <xf numFmtId="0" fontId="252" fillId="18" borderId="117" xfId="3" applyNumberFormat="1" applyFont="1" applyFill="1" applyBorder="1" applyAlignment="1" applyProtection="1">
      <alignment horizontal="right"/>
      <protection hidden="1"/>
    </xf>
    <xf numFmtId="0" fontId="252" fillId="18" borderId="141" xfId="3" applyNumberFormat="1" applyFont="1" applyFill="1" applyBorder="1" applyAlignment="1" applyProtection="1">
      <alignment horizontal="right"/>
      <protection hidden="1"/>
    </xf>
    <xf numFmtId="0" fontId="10" fillId="18" borderId="59" xfId="3" applyNumberFormat="1" applyFont="1" applyFill="1" applyBorder="1" applyAlignment="1" applyProtection="1">
      <alignment horizontal="left"/>
      <protection hidden="1"/>
    </xf>
    <xf numFmtId="0" fontId="10" fillId="18" borderId="149" xfId="3" applyNumberFormat="1" applyFont="1" applyFill="1" applyBorder="1" applyAlignment="1" applyProtection="1">
      <alignment horizontal="left"/>
      <protection hidden="1"/>
    </xf>
    <xf numFmtId="186" fontId="253" fillId="18" borderId="17" xfId="3" applyNumberFormat="1" applyFont="1" applyFill="1" applyBorder="1" applyAlignment="1" applyProtection="1">
      <alignment horizontal="right"/>
      <protection hidden="1"/>
    </xf>
    <xf numFmtId="176" fontId="15" fillId="18" borderId="4" xfId="3" applyNumberFormat="1" applyFont="1" applyFill="1" applyBorder="1" applyAlignment="1" applyProtection="1">
      <alignment horizontal="center" shrinkToFit="1"/>
    </xf>
    <xf numFmtId="176" fontId="15" fillId="18" borderId="0" xfId="3" applyNumberFormat="1" applyFont="1" applyFill="1" applyBorder="1" applyAlignment="1" applyProtection="1">
      <alignment horizontal="center" shrinkToFit="1"/>
    </xf>
    <xf numFmtId="176" fontId="25" fillId="18" borderId="0" xfId="3" applyNumberFormat="1" applyFont="1" applyFill="1" applyAlignment="1" applyProtection="1">
      <alignment horizontal="center" shrinkToFit="1"/>
    </xf>
    <xf numFmtId="176" fontId="15" fillId="18" borderId="4" xfId="3" applyNumberFormat="1" applyFont="1" applyFill="1" applyBorder="1" applyAlignment="1" applyProtection="1">
      <alignment horizontal="center"/>
    </xf>
    <xf numFmtId="176" fontId="15" fillId="18" borderId="0" xfId="3" applyNumberFormat="1" applyFont="1" applyFill="1" applyAlignment="1" applyProtection="1">
      <alignment horizontal="center"/>
    </xf>
    <xf numFmtId="0" fontId="156" fillId="18" borderId="68" xfId="3" applyNumberFormat="1" applyFont="1" applyFill="1" applyBorder="1" applyAlignment="1" applyProtection="1">
      <alignment horizontal="left"/>
      <protection hidden="1"/>
    </xf>
    <xf numFmtId="0" fontId="156" fillId="18" borderId="125" xfId="3" applyNumberFormat="1" applyFont="1" applyFill="1" applyBorder="1" applyAlignment="1" applyProtection="1">
      <alignment horizontal="left"/>
      <protection hidden="1"/>
    </xf>
    <xf numFmtId="0" fontId="156" fillId="18" borderId="122" xfId="3" applyNumberFormat="1" applyFont="1" applyFill="1" applyBorder="1" applyAlignment="1" applyProtection="1">
      <alignment horizontal="left"/>
      <protection hidden="1"/>
    </xf>
    <xf numFmtId="0" fontId="156" fillId="18" borderId="117" xfId="3" applyNumberFormat="1" applyFont="1" applyFill="1" applyBorder="1" applyAlignment="1" applyProtection="1">
      <alignment horizontal="left"/>
      <protection hidden="1"/>
    </xf>
    <xf numFmtId="186" fontId="253" fillId="18" borderId="74" xfId="3" applyNumberFormat="1" applyFont="1" applyFill="1" applyBorder="1" applyAlignment="1" applyProtection="1">
      <alignment horizontal="right"/>
      <protection hidden="1"/>
    </xf>
    <xf numFmtId="0" fontId="249" fillId="18" borderId="171" xfId="3" applyNumberFormat="1" applyFont="1" applyFill="1" applyBorder="1" applyAlignment="1" applyProtection="1">
      <alignment horizontal="center" shrinkToFit="1"/>
      <protection hidden="1"/>
    </xf>
    <xf numFmtId="0" fontId="249" fillId="18" borderId="172" xfId="3" applyNumberFormat="1" applyFont="1" applyFill="1" applyBorder="1" applyAlignment="1" applyProtection="1">
      <alignment horizontal="center" shrinkToFit="1"/>
      <protection hidden="1"/>
    </xf>
    <xf numFmtId="0" fontId="258" fillId="18" borderId="0" xfId="3" applyFont="1" applyFill="1" applyBorder="1" applyAlignment="1" applyProtection="1">
      <alignment horizontal="center" vertical="center"/>
    </xf>
    <xf numFmtId="14" fontId="262" fillId="18" borderId="0" xfId="3" applyNumberFormat="1" applyFont="1" applyFill="1" applyBorder="1" applyAlignment="1" applyProtection="1">
      <alignment horizontal="left" shrinkToFit="1"/>
    </xf>
    <xf numFmtId="49" fontId="258" fillId="30" borderId="0" xfId="3" applyNumberFormat="1" applyFont="1" applyFill="1" applyBorder="1" applyAlignment="1" applyProtection="1">
      <alignment horizontal="left" vertical="center" shrinkToFit="1"/>
      <protection locked="0"/>
    </xf>
    <xf numFmtId="0" fontId="258" fillId="30" borderId="0" xfId="3" applyNumberFormat="1" applyFont="1" applyFill="1" applyBorder="1" applyAlignment="1" applyProtection="1">
      <alignment horizontal="left" vertical="center" shrinkToFit="1"/>
      <protection locked="0"/>
    </xf>
    <xf numFmtId="49" fontId="258" fillId="30" borderId="0" xfId="3" applyNumberFormat="1" applyFont="1" applyFill="1" applyBorder="1" applyAlignment="1" applyProtection="1">
      <alignment horizontal="left" vertical="top" shrinkToFit="1"/>
      <protection locked="0"/>
    </xf>
    <xf numFmtId="0" fontId="258" fillId="30" borderId="0" xfId="3" applyNumberFormat="1" applyFont="1" applyFill="1" applyBorder="1" applyAlignment="1" applyProtection="1">
      <alignment horizontal="left" vertical="top" shrinkToFit="1"/>
      <protection locked="0"/>
    </xf>
    <xf numFmtId="0" fontId="258" fillId="30" borderId="133" xfId="3" applyNumberFormat="1" applyFont="1" applyFill="1" applyBorder="1" applyAlignment="1" applyProtection="1">
      <alignment horizontal="left" vertical="top" shrinkToFit="1"/>
      <protection locked="0"/>
    </xf>
    <xf numFmtId="0" fontId="248" fillId="30" borderId="151" xfId="3" applyNumberFormat="1" applyFont="1" applyFill="1" applyBorder="1" applyAlignment="1" applyProtection="1">
      <alignment horizontal="right"/>
      <protection hidden="1"/>
    </xf>
    <xf numFmtId="14" fontId="262" fillId="18" borderId="151" xfId="3" applyNumberFormat="1" applyFont="1" applyFill="1" applyBorder="1" applyAlignment="1" applyProtection="1">
      <alignment horizontal="left" shrinkToFit="1"/>
    </xf>
    <xf numFmtId="186" fontId="255" fillId="18" borderId="17" xfId="3" applyNumberFormat="1" applyFont="1" applyFill="1" applyBorder="1" applyAlignment="1" applyProtection="1">
      <alignment horizontal="right"/>
      <protection hidden="1"/>
    </xf>
    <xf numFmtId="188" fontId="158" fillId="18" borderId="0" xfId="3" applyNumberFormat="1" applyFont="1" applyFill="1" applyBorder="1" applyAlignment="1" applyProtection="1">
      <alignment horizontal="center" vertical="center" shrinkToFit="1"/>
      <protection locked="0"/>
    </xf>
    <xf numFmtId="0" fontId="158" fillId="18" borderId="0" xfId="3" applyNumberFormat="1" applyFont="1" applyFill="1" applyBorder="1" applyAlignment="1" applyProtection="1">
      <alignment horizontal="center" vertical="center" shrinkToFit="1"/>
      <protection locked="0"/>
    </xf>
    <xf numFmtId="188" fontId="10" fillId="18" borderId="0" xfId="3" applyNumberFormat="1" applyFont="1" applyFill="1" applyBorder="1" applyAlignment="1" applyProtection="1">
      <alignment horizontal="center" vertical="center" shrinkToFit="1"/>
      <protection hidden="1"/>
    </xf>
    <xf numFmtId="0" fontId="252" fillId="18" borderId="68" xfId="3" applyNumberFormat="1" applyFont="1" applyFill="1" applyBorder="1" applyAlignment="1" applyProtection="1">
      <alignment horizontal="left" shrinkToFit="1"/>
      <protection hidden="1"/>
    </xf>
    <xf numFmtId="0" fontId="252" fillId="18" borderId="125" xfId="3" applyNumberFormat="1" applyFont="1" applyFill="1" applyBorder="1" applyAlignment="1" applyProtection="1">
      <alignment horizontal="left" shrinkToFit="1"/>
      <protection hidden="1"/>
    </xf>
    <xf numFmtId="0" fontId="252" fillId="18" borderId="144" xfId="3" applyNumberFormat="1" applyFont="1" applyFill="1" applyBorder="1" applyAlignment="1" applyProtection="1">
      <alignment horizontal="left" shrinkToFit="1"/>
      <protection hidden="1"/>
    </xf>
    <xf numFmtId="190" fontId="222" fillId="18" borderId="68" xfId="3" applyNumberFormat="1" applyFont="1" applyFill="1" applyBorder="1" applyAlignment="1" applyProtection="1">
      <alignment horizontal="right"/>
      <protection hidden="1"/>
    </xf>
    <xf numFmtId="0" fontId="222" fillId="18" borderId="125" xfId="3" applyNumberFormat="1" applyFont="1" applyFill="1" applyBorder="1" applyAlignment="1" applyProtection="1">
      <alignment horizontal="right"/>
      <protection hidden="1"/>
    </xf>
    <xf numFmtId="0" fontId="222" fillId="18" borderId="144" xfId="3" applyNumberFormat="1" applyFont="1" applyFill="1" applyBorder="1" applyAlignment="1" applyProtection="1">
      <alignment horizontal="right"/>
      <protection hidden="1"/>
    </xf>
    <xf numFmtId="186" fontId="252" fillId="18" borderId="68" xfId="3" applyNumberFormat="1" applyFont="1" applyFill="1" applyBorder="1" applyAlignment="1" applyProtection="1">
      <alignment horizontal="right"/>
      <protection hidden="1"/>
    </xf>
    <xf numFmtId="186" fontId="252" fillId="18" borderId="125" xfId="3" applyNumberFormat="1" applyFont="1" applyFill="1" applyBorder="1" applyAlignment="1" applyProtection="1">
      <alignment horizontal="right"/>
      <protection hidden="1"/>
    </xf>
    <xf numFmtId="186" fontId="252" fillId="18" borderId="144" xfId="3" applyNumberFormat="1" applyFont="1" applyFill="1" applyBorder="1" applyAlignment="1" applyProtection="1">
      <alignment horizontal="right"/>
      <protection hidden="1"/>
    </xf>
    <xf numFmtId="0" fontId="252" fillId="18" borderId="68" xfId="3" applyNumberFormat="1" applyFont="1" applyFill="1" applyBorder="1" applyAlignment="1" applyProtection="1">
      <alignment horizontal="left"/>
      <protection hidden="1"/>
    </xf>
    <xf numFmtId="0" fontId="252" fillId="18" borderId="125" xfId="3" applyNumberFormat="1" applyFont="1" applyFill="1" applyBorder="1" applyAlignment="1" applyProtection="1">
      <alignment horizontal="left"/>
      <protection hidden="1"/>
    </xf>
    <xf numFmtId="0" fontId="252" fillId="18" borderId="144" xfId="3" applyNumberFormat="1" applyFont="1" applyFill="1" applyBorder="1" applyAlignment="1" applyProtection="1">
      <alignment horizontal="left"/>
      <protection hidden="1"/>
    </xf>
    <xf numFmtId="185" fontId="222" fillId="18" borderId="68" xfId="3" applyNumberFormat="1" applyFont="1" applyFill="1" applyBorder="1" applyAlignment="1" applyProtection="1">
      <alignment horizontal="right"/>
      <protection hidden="1"/>
    </xf>
    <xf numFmtId="0" fontId="13" fillId="18" borderId="17" xfId="3" quotePrefix="1" applyNumberFormat="1" applyFont="1" applyFill="1" applyBorder="1" applyAlignment="1" applyProtection="1">
      <alignment horizontal="left"/>
      <protection hidden="1"/>
    </xf>
    <xf numFmtId="0" fontId="13" fillId="18" borderId="17" xfId="3" applyNumberFormat="1" applyFont="1" applyFill="1" applyBorder="1" applyAlignment="1" applyProtection="1">
      <alignment horizontal="left"/>
      <protection hidden="1"/>
    </xf>
    <xf numFmtId="0" fontId="13" fillId="18" borderId="147" xfId="3" applyNumberFormat="1" applyFont="1" applyFill="1" applyBorder="1" applyAlignment="1" applyProtection="1">
      <alignment horizontal="left"/>
      <protection hidden="1"/>
    </xf>
    <xf numFmtId="0" fontId="222" fillId="18" borderId="68" xfId="3" applyNumberFormat="1" applyFont="1" applyFill="1" applyBorder="1" applyAlignment="1" applyProtection="1">
      <alignment horizontal="right"/>
      <protection hidden="1"/>
    </xf>
    <xf numFmtId="186" fontId="222" fillId="18" borderId="68" xfId="3" applyNumberFormat="1" applyFont="1" applyFill="1" applyBorder="1" applyAlignment="1" applyProtection="1">
      <alignment horizontal="right"/>
      <protection hidden="1"/>
    </xf>
    <xf numFmtId="186" fontId="252" fillId="18" borderId="122" xfId="3" applyNumberFormat="1" applyFont="1" applyFill="1" applyBorder="1" applyAlignment="1" applyProtection="1">
      <alignment horizontal="right"/>
      <protection hidden="1"/>
    </xf>
    <xf numFmtId="186" fontId="252" fillId="18" borderId="117" xfId="3" applyNumberFormat="1" applyFont="1" applyFill="1" applyBorder="1" applyAlignment="1" applyProtection="1">
      <alignment horizontal="right"/>
      <protection hidden="1"/>
    </xf>
    <xf numFmtId="186" fontId="252" fillId="18" borderId="141" xfId="3" applyNumberFormat="1" applyFont="1" applyFill="1" applyBorder="1" applyAlignment="1" applyProtection="1">
      <alignment horizontal="right"/>
      <protection hidden="1"/>
    </xf>
    <xf numFmtId="0" fontId="222" fillId="18" borderId="68" xfId="3" applyNumberFormat="1" applyFont="1" applyFill="1" applyBorder="1" applyAlignment="1" applyProtection="1">
      <alignment horizontal="center"/>
      <protection hidden="1"/>
    </xf>
    <xf numFmtId="0" fontId="222" fillId="18" borderId="125" xfId="3" applyNumberFormat="1" applyFont="1" applyFill="1" applyBorder="1" applyAlignment="1" applyProtection="1">
      <alignment horizontal="center"/>
      <protection hidden="1"/>
    </xf>
    <xf numFmtId="0" fontId="222" fillId="18" borderId="144" xfId="3" applyNumberFormat="1" applyFont="1" applyFill="1" applyBorder="1" applyAlignment="1" applyProtection="1">
      <alignment horizontal="center"/>
      <protection hidden="1"/>
    </xf>
    <xf numFmtId="0" fontId="158" fillId="18" borderId="0" xfId="3" applyFont="1" applyFill="1" applyAlignment="1" applyProtection="1">
      <alignment horizontal="center" shrinkToFit="1"/>
    </xf>
    <xf numFmtId="0" fontId="13" fillId="18" borderId="0" xfId="3" applyFont="1" applyFill="1" applyBorder="1" applyAlignment="1" applyProtection="1">
      <alignment horizontal="center" vertical="center" textRotation="180"/>
    </xf>
    <xf numFmtId="0" fontId="265" fillId="30" borderId="0" xfId="3" quotePrefix="1" applyNumberFormat="1" applyFont="1" applyFill="1" applyAlignment="1" applyProtection="1">
      <alignment horizontal="center" vertical="center"/>
      <protection locked="0"/>
    </xf>
    <xf numFmtId="14" fontId="262" fillId="18" borderId="0" xfId="3" quotePrefix="1" applyNumberFormat="1" applyFont="1" applyFill="1" applyBorder="1" applyAlignment="1" applyProtection="1">
      <alignment horizontal="left" shrinkToFit="1"/>
    </xf>
    <xf numFmtId="0" fontId="265" fillId="30" borderId="0" xfId="3" applyNumberFormat="1" applyFont="1" applyFill="1" applyBorder="1" applyAlignment="1" applyProtection="1">
      <alignment horizontal="center" vertical="center"/>
      <protection locked="0"/>
    </xf>
    <xf numFmtId="0" fontId="225" fillId="29" borderId="134" xfId="1" applyFont="1" applyFill="1" applyBorder="1" applyAlignment="1" applyProtection="1">
      <alignment horizontal="center" vertical="center" shrinkToFit="1"/>
      <protection hidden="1"/>
    </xf>
    <xf numFmtId="0" fontId="225" fillId="29" borderId="139" xfId="1" applyFont="1" applyFill="1" applyBorder="1" applyAlignment="1" applyProtection="1">
      <alignment horizontal="center" vertical="center" shrinkToFit="1"/>
      <protection hidden="1"/>
    </xf>
    <xf numFmtId="0" fontId="225" fillId="29" borderId="135" xfId="1" applyFont="1" applyFill="1" applyBorder="1" applyAlignment="1" applyProtection="1">
      <alignment horizontal="center" vertical="center" shrinkToFit="1"/>
      <protection hidden="1"/>
    </xf>
    <xf numFmtId="0" fontId="252" fillId="18" borderId="122" xfId="3" applyNumberFormat="1" applyFont="1" applyFill="1" applyBorder="1" applyAlignment="1" applyProtection="1">
      <alignment horizontal="left" shrinkToFit="1"/>
      <protection hidden="1"/>
    </xf>
    <xf numFmtId="0" fontId="252" fillId="18" borderId="117" xfId="3" applyNumberFormat="1" applyFont="1" applyFill="1" applyBorder="1" applyAlignment="1" applyProtection="1">
      <alignment horizontal="left" shrinkToFit="1"/>
      <protection hidden="1"/>
    </xf>
    <xf numFmtId="0" fontId="252" fillId="18" borderId="141" xfId="3" applyNumberFormat="1" applyFont="1" applyFill="1" applyBorder="1" applyAlignment="1" applyProtection="1">
      <alignment horizontal="left" shrinkToFit="1"/>
      <protection hidden="1"/>
    </xf>
    <xf numFmtId="0" fontId="222" fillId="18" borderId="122" xfId="3" applyNumberFormat="1" applyFont="1" applyFill="1" applyBorder="1" applyAlignment="1" applyProtection="1">
      <alignment horizontal="right"/>
      <protection hidden="1"/>
    </xf>
    <xf numFmtId="0" fontId="222" fillId="18" borderId="117" xfId="3" applyNumberFormat="1" applyFont="1" applyFill="1" applyBorder="1" applyAlignment="1" applyProtection="1">
      <alignment horizontal="right"/>
      <protection hidden="1"/>
    </xf>
    <xf numFmtId="0" fontId="222" fillId="18" borderId="141" xfId="3" applyNumberFormat="1" applyFont="1" applyFill="1" applyBorder="1" applyAlignment="1" applyProtection="1">
      <alignment horizontal="right"/>
      <protection hidden="1"/>
    </xf>
    <xf numFmtId="0" fontId="12" fillId="3" borderId="175" xfId="0" applyFont="1" applyFill="1" applyBorder="1" applyAlignment="1" applyProtection="1">
      <alignment horizontal="left" vertical="center" shrinkToFit="1"/>
      <protection hidden="1"/>
    </xf>
    <xf numFmtId="0" fontId="12" fillId="3" borderId="178" xfId="0" applyFont="1" applyFill="1" applyBorder="1" applyAlignment="1" applyProtection="1">
      <alignment horizontal="left" vertical="center" shrinkToFit="1"/>
      <protection hidden="1"/>
    </xf>
    <xf numFmtId="0" fontId="12" fillId="3" borderId="176" xfId="0" applyFont="1" applyFill="1" applyBorder="1" applyAlignment="1" applyProtection="1">
      <alignment horizontal="left" vertical="center" shrinkToFit="1"/>
      <protection hidden="1"/>
    </xf>
    <xf numFmtId="0" fontId="12" fillId="63" borderId="175" xfId="0" applyFont="1" applyFill="1" applyBorder="1" applyAlignment="1" applyProtection="1">
      <alignment horizontal="left" vertical="center" shrinkToFit="1"/>
      <protection locked="0"/>
    </xf>
    <xf numFmtId="0" fontId="12" fillId="63" borderId="178" xfId="0" applyFont="1" applyFill="1" applyBorder="1" applyAlignment="1" applyProtection="1">
      <alignment horizontal="left" vertical="center" shrinkToFit="1"/>
      <protection locked="0"/>
    </xf>
    <xf numFmtId="0" fontId="12" fillId="63" borderId="176" xfId="0" applyFont="1" applyFill="1" applyBorder="1" applyAlignment="1" applyProtection="1">
      <alignment horizontal="left" vertical="center" shrinkToFit="1"/>
      <protection locked="0"/>
    </xf>
    <xf numFmtId="176" fontId="12" fillId="30" borderId="173" xfId="0" applyNumberFormat="1" applyFont="1" applyFill="1" applyBorder="1" applyAlignment="1" applyProtection="1">
      <alignment horizontal="center" vertical="center" shrinkToFit="1"/>
      <protection hidden="1"/>
    </xf>
    <xf numFmtId="0" fontId="12" fillId="63" borderId="173" xfId="0" applyFont="1" applyFill="1" applyBorder="1" applyAlignment="1" applyProtection="1">
      <alignment horizontal="center" vertical="center" shrinkToFit="1"/>
      <protection locked="0"/>
    </xf>
    <xf numFmtId="0" fontId="12" fillId="63" borderId="440" xfId="0" applyFont="1" applyFill="1" applyBorder="1" applyAlignment="1" applyProtection="1">
      <alignment horizontal="center" vertical="center"/>
      <protection locked="0"/>
    </xf>
    <xf numFmtId="0" fontId="12" fillId="63" borderId="39" xfId="0" applyFont="1" applyFill="1" applyBorder="1" applyAlignment="1" applyProtection="1">
      <alignment horizontal="center" vertical="center"/>
      <protection locked="0"/>
    </xf>
    <xf numFmtId="0" fontId="12" fillId="30" borderId="416" xfId="0" applyFont="1" applyFill="1" applyBorder="1" applyAlignment="1" applyProtection="1">
      <alignment horizontal="right" vertical="center" shrinkToFit="1"/>
      <protection hidden="1"/>
    </xf>
    <xf numFmtId="0" fontId="12" fillId="30" borderId="421" xfId="0" applyFont="1" applyFill="1" applyBorder="1" applyAlignment="1" applyProtection="1">
      <alignment horizontal="right" vertical="center" shrinkToFit="1"/>
      <protection hidden="1"/>
    </xf>
    <xf numFmtId="0" fontId="12" fillId="30" borderId="420" xfId="0" applyFont="1" applyFill="1" applyBorder="1" applyAlignment="1" applyProtection="1">
      <alignment horizontal="right" vertical="center" shrinkToFit="1"/>
      <protection hidden="1"/>
    </xf>
    <xf numFmtId="0" fontId="43" fillId="30" borderId="416" xfId="0" applyFont="1" applyFill="1" applyBorder="1" applyAlignment="1" applyProtection="1">
      <alignment horizontal="center" vertical="center" shrinkToFit="1"/>
      <protection hidden="1"/>
    </xf>
    <xf numFmtId="0" fontId="43" fillId="30" borderId="421" xfId="0" applyFont="1" applyFill="1" applyBorder="1" applyAlignment="1" applyProtection="1">
      <alignment horizontal="center" vertical="center" shrinkToFit="1"/>
      <protection hidden="1"/>
    </xf>
    <xf numFmtId="0" fontId="43" fillId="30" borderId="420" xfId="0" applyFont="1" applyFill="1" applyBorder="1" applyAlignment="1" applyProtection="1">
      <alignment horizontal="center" vertical="center" shrinkToFit="1"/>
      <protection hidden="1"/>
    </xf>
    <xf numFmtId="0" fontId="12" fillId="63" borderId="175" xfId="0" applyFont="1" applyFill="1" applyBorder="1" applyAlignment="1" applyProtection="1">
      <alignment horizontal="center" vertical="center" shrinkToFit="1"/>
      <protection locked="0"/>
    </xf>
    <xf numFmtId="0" fontId="12" fillId="63" borderId="178" xfId="0" applyFont="1" applyFill="1" applyBorder="1" applyAlignment="1" applyProtection="1">
      <alignment horizontal="center" vertical="center" shrinkToFit="1"/>
      <protection locked="0"/>
    </xf>
    <xf numFmtId="0" fontId="12" fillId="30" borderId="175" xfId="0" applyFont="1" applyFill="1" applyBorder="1" applyAlignment="1" applyProtection="1">
      <alignment horizontal="center" vertical="center" shrinkToFit="1"/>
      <protection hidden="1"/>
    </xf>
    <xf numFmtId="0" fontId="12" fillId="30" borderId="178" xfId="0" applyFont="1" applyFill="1" applyBorder="1" applyAlignment="1" applyProtection="1">
      <alignment horizontal="center" vertical="center" shrinkToFit="1"/>
      <protection hidden="1"/>
    </xf>
    <xf numFmtId="0" fontId="12" fillId="30" borderId="176" xfId="0" applyFont="1" applyFill="1" applyBorder="1" applyAlignment="1" applyProtection="1">
      <alignment horizontal="center" vertical="center" shrinkToFit="1"/>
      <protection hidden="1"/>
    </xf>
    <xf numFmtId="0" fontId="12" fillId="30" borderId="79" xfId="0" applyFont="1" applyFill="1" applyBorder="1" applyAlignment="1" applyProtection="1">
      <alignment horizontal="center" vertical="center" shrinkToFit="1"/>
      <protection hidden="1"/>
    </xf>
    <xf numFmtId="0" fontId="12" fillId="30" borderId="307" xfId="0" applyFont="1" applyFill="1" applyBorder="1" applyAlignment="1" applyProtection="1">
      <alignment horizontal="center" vertical="center" shrinkToFit="1"/>
      <protection hidden="1"/>
    </xf>
    <xf numFmtId="0" fontId="12" fillId="11" borderId="175" xfId="0" applyFont="1" applyFill="1" applyBorder="1" applyAlignment="1" applyProtection="1">
      <alignment horizontal="center" vertical="center" shrinkToFit="1"/>
      <protection hidden="1"/>
    </xf>
    <xf numFmtId="0" fontId="12" fillId="11" borderId="178" xfId="0" applyFont="1" applyFill="1" applyBorder="1" applyAlignment="1" applyProtection="1">
      <alignment horizontal="center" vertical="center" shrinkToFit="1"/>
      <protection hidden="1"/>
    </xf>
    <xf numFmtId="0" fontId="12" fillId="11" borderId="419" xfId="0" applyFont="1" applyFill="1" applyBorder="1" applyAlignment="1" applyProtection="1">
      <alignment horizontal="center" vertical="center" shrinkToFit="1"/>
      <protection hidden="1"/>
    </xf>
    <xf numFmtId="0" fontId="12" fillId="30" borderId="418" xfId="0" applyFont="1" applyFill="1" applyBorder="1" applyAlignment="1" applyProtection="1">
      <alignment horizontal="center" vertical="center" shrinkToFit="1"/>
      <protection hidden="1"/>
    </xf>
    <xf numFmtId="0" fontId="12" fillId="30" borderId="417" xfId="0" applyFont="1" applyFill="1" applyBorder="1" applyAlignment="1" applyProtection="1">
      <alignment horizontal="center" vertical="center" shrinkToFit="1"/>
      <protection hidden="1"/>
    </xf>
    <xf numFmtId="0" fontId="12" fillId="11" borderId="175" xfId="0" applyFont="1" applyFill="1" applyBorder="1" applyAlignment="1" applyProtection="1">
      <alignment horizontal="right" vertical="center" shrinkToFit="1"/>
      <protection hidden="1"/>
    </xf>
    <xf numFmtId="0" fontId="12" fillId="11" borderId="178" xfId="0" applyFont="1" applyFill="1" applyBorder="1" applyAlignment="1" applyProtection="1">
      <alignment horizontal="right" vertical="center" shrinkToFit="1"/>
      <protection hidden="1"/>
    </xf>
    <xf numFmtId="0" fontId="12" fillId="11" borderId="176" xfId="0" applyFont="1" applyFill="1" applyBorder="1" applyAlignment="1" applyProtection="1">
      <alignment horizontal="right" vertical="center" shrinkToFit="1"/>
      <protection hidden="1"/>
    </xf>
    <xf numFmtId="176" fontId="12" fillId="30" borderId="427" xfId="0" quotePrefix="1" applyNumberFormat="1" applyFont="1" applyFill="1" applyBorder="1" applyAlignment="1" applyProtection="1">
      <alignment horizontal="right" vertical="center" shrinkToFit="1"/>
      <protection hidden="1"/>
    </xf>
    <xf numFmtId="176" fontId="12" fillId="30" borderId="421" xfId="0" quotePrefix="1" applyNumberFormat="1" applyFont="1" applyFill="1" applyBorder="1" applyAlignment="1" applyProtection="1">
      <alignment horizontal="right" vertical="center" shrinkToFit="1"/>
      <protection hidden="1"/>
    </xf>
    <xf numFmtId="0" fontId="12" fillId="26" borderId="175" xfId="0" applyFont="1" applyFill="1" applyBorder="1" applyAlignment="1" applyProtection="1">
      <alignment horizontal="center" vertical="center"/>
      <protection locked="0"/>
    </xf>
    <xf numFmtId="0" fontId="12" fillId="26" borderId="178" xfId="0" applyFont="1" applyFill="1" applyBorder="1" applyAlignment="1" applyProtection="1">
      <alignment horizontal="center" vertical="center"/>
      <protection locked="0"/>
    </xf>
    <xf numFmtId="0" fontId="12" fillId="63" borderId="419" xfId="0" applyFont="1" applyFill="1" applyBorder="1" applyAlignment="1" applyProtection="1">
      <alignment horizontal="center" vertical="center" shrinkToFit="1"/>
      <protection locked="0"/>
    </xf>
    <xf numFmtId="0" fontId="12" fillId="30" borderId="416" xfId="0" applyFont="1" applyFill="1" applyBorder="1" applyAlignment="1" applyProtection="1">
      <alignment horizontal="center" vertical="center" shrinkToFit="1"/>
      <protection hidden="1"/>
    </xf>
    <xf numFmtId="0" fontId="12" fillId="30" borderId="421" xfId="0" applyFont="1" applyFill="1" applyBorder="1" applyAlignment="1" applyProtection="1">
      <alignment horizontal="center" vertical="center" shrinkToFit="1"/>
      <protection hidden="1"/>
    </xf>
    <xf numFmtId="0" fontId="12" fillId="30" borderId="423" xfId="0" applyFont="1" applyFill="1" applyBorder="1" applyAlignment="1" applyProtection="1">
      <alignment horizontal="center" vertical="center" shrinkToFit="1"/>
      <protection hidden="1"/>
    </xf>
    <xf numFmtId="0" fontId="53" fillId="29" borderId="397" xfId="0" applyFont="1" applyFill="1" applyBorder="1" applyAlignment="1" applyProtection="1">
      <alignment horizontal="center" vertical="center"/>
      <protection hidden="1"/>
    </xf>
    <xf numFmtId="186" fontId="12" fillId="63" borderId="363" xfId="0" applyNumberFormat="1" applyFont="1" applyFill="1" applyBorder="1" applyAlignment="1" applyProtection="1">
      <alignment horizontal="center" vertical="center"/>
      <protection locked="0"/>
    </xf>
    <xf numFmtId="186" fontId="12" fillId="63" borderId="362" xfId="0" applyNumberFormat="1" applyFont="1" applyFill="1" applyBorder="1" applyAlignment="1" applyProtection="1">
      <alignment horizontal="center" vertical="center"/>
      <protection locked="0"/>
    </xf>
    <xf numFmtId="186" fontId="12" fillId="63" borderId="361" xfId="0" applyNumberFormat="1" applyFont="1" applyFill="1" applyBorder="1" applyAlignment="1" applyProtection="1">
      <alignment horizontal="center" vertical="center"/>
      <protection locked="0"/>
    </xf>
    <xf numFmtId="186" fontId="12" fillId="11" borderId="406" xfId="0" applyNumberFormat="1" applyFont="1" applyFill="1" applyBorder="1" applyAlignment="1" applyProtection="1">
      <alignment horizontal="center" vertical="center"/>
      <protection hidden="1"/>
    </xf>
    <xf numFmtId="186" fontId="12" fillId="11" borderId="405" xfId="0" applyNumberFormat="1" applyFont="1" applyFill="1" applyBorder="1" applyAlignment="1" applyProtection="1">
      <alignment horizontal="center" vertical="center"/>
      <protection hidden="1"/>
    </xf>
    <xf numFmtId="186" fontId="12" fillId="30" borderId="359" xfId="0" applyNumberFormat="1" applyFont="1" applyFill="1" applyBorder="1" applyAlignment="1" applyProtection="1">
      <alignment horizontal="center" vertical="center"/>
      <protection hidden="1"/>
    </xf>
    <xf numFmtId="186" fontId="12" fillId="63" borderId="359" xfId="0" applyNumberFormat="1" applyFont="1" applyFill="1" applyBorder="1" applyAlignment="1" applyProtection="1">
      <alignment horizontal="center" vertical="center"/>
      <protection locked="0"/>
    </xf>
    <xf numFmtId="190" fontId="53" fillId="30" borderId="220" xfId="0" applyNumberFormat="1" applyFont="1" applyFill="1" applyBorder="1" applyAlignment="1" applyProtection="1">
      <alignment horizontal="right" vertical="center" shrinkToFit="1"/>
      <protection hidden="1"/>
    </xf>
    <xf numFmtId="190" fontId="53" fillId="30" borderId="199" xfId="0" applyNumberFormat="1" applyFont="1" applyFill="1" applyBorder="1" applyAlignment="1" applyProtection="1">
      <alignment horizontal="right" vertical="center" shrinkToFit="1"/>
      <protection hidden="1"/>
    </xf>
    <xf numFmtId="190" fontId="53" fillId="30" borderId="221" xfId="0" applyNumberFormat="1" applyFont="1" applyFill="1" applyBorder="1" applyAlignment="1" applyProtection="1">
      <alignment horizontal="right" vertical="center" shrinkToFit="1"/>
      <protection hidden="1"/>
    </xf>
    <xf numFmtId="201" fontId="53" fillId="30" borderId="116" xfId="0" applyNumberFormat="1" applyFont="1" applyFill="1" applyBorder="1" applyAlignment="1" applyProtection="1">
      <alignment horizontal="right" vertical="center" shrinkToFit="1"/>
      <protection hidden="1"/>
    </xf>
    <xf numFmtId="201" fontId="53" fillId="30" borderId="117" xfId="0" applyNumberFormat="1" applyFont="1" applyFill="1" applyBorder="1" applyAlignment="1" applyProtection="1">
      <alignment horizontal="right" vertical="center" shrinkToFit="1"/>
      <protection hidden="1"/>
    </xf>
    <xf numFmtId="201" fontId="53" fillId="30" borderId="118" xfId="0" applyNumberFormat="1" applyFont="1" applyFill="1" applyBorder="1" applyAlignment="1" applyProtection="1">
      <alignment horizontal="right" vertical="center" shrinkToFit="1"/>
      <protection hidden="1"/>
    </xf>
    <xf numFmtId="200" fontId="53" fillId="30" borderId="116" xfId="0" applyNumberFormat="1" applyFont="1" applyFill="1" applyBorder="1" applyAlignment="1" applyProtection="1">
      <alignment horizontal="right" vertical="center" shrinkToFit="1"/>
      <protection hidden="1"/>
    </xf>
    <xf numFmtId="200" fontId="53" fillId="30" borderId="117" xfId="0" applyNumberFormat="1" applyFont="1" applyFill="1" applyBorder="1" applyAlignment="1" applyProtection="1">
      <alignment horizontal="right" vertical="center" shrinkToFit="1"/>
      <protection hidden="1"/>
    </xf>
    <xf numFmtId="200" fontId="53" fillId="30" borderId="118" xfId="0" applyNumberFormat="1" applyFont="1" applyFill="1" applyBorder="1" applyAlignment="1" applyProtection="1">
      <alignment horizontal="right" vertical="center" shrinkToFit="1"/>
      <protection hidden="1"/>
    </xf>
    <xf numFmtId="0" fontId="12" fillId="30" borderId="4" xfId="0" applyFont="1" applyFill="1" applyBorder="1" applyAlignment="1" applyProtection="1">
      <alignment horizontal="right" vertical="center" shrinkToFit="1"/>
      <protection hidden="1"/>
    </xf>
    <xf numFmtId="0" fontId="12" fillId="30" borderId="0" xfId="0" applyFont="1" applyFill="1" applyBorder="1" applyAlignment="1" applyProtection="1">
      <alignment horizontal="right" vertical="center" shrinkToFit="1"/>
      <protection hidden="1"/>
    </xf>
    <xf numFmtId="0" fontId="12" fillId="30" borderId="5" xfId="0" applyFont="1" applyFill="1" applyBorder="1" applyAlignment="1" applyProtection="1">
      <alignment horizontal="right" vertical="center" shrinkToFit="1"/>
      <protection hidden="1"/>
    </xf>
    <xf numFmtId="186" fontId="53" fillId="30" borderId="4" xfId="0" applyNumberFormat="1" applyFont="1" applyFill="1" applyBorder="1" applyAlignment="1" applyProtection="1">
      <alignment horizontal="right" vertical="center" shrinkToFit="1"/>
      <protection hidden="1"/>
    </xf>
    <xf numFmtId="186" fontId="53" fillId="30" borderId="0" xfId="0" applyNumberFormat="1" applyFont="1" applyFill="1" applyBorder="1" applyAlignment="1" applyProtection="1">
      <alignment horizontal="right" vertical="center" shrinkToFit="1"/>
      <protection hidden="1"/>
    </xf>
    <xf numFmtId="186" fontId="53" fillId="30" borderId="5" xfId="0" applyNumberFormat="1" applyFont="1" applyFill="1" applyBorder="1" applyAlignment="1" applyProtection="1">
      <alignment horizontal="right" vertical="center" shrinkToFit="1"/>
      <protection hidden="1"/>
    </xf>
    <xf numFmtId="181" fontId="12" fillId="26" borderId="4" xfId="0" applyNumberFormat="1" applyFont="1" applyFill="1" applyBorder="1" applyAlignment="1" applyProtection="1">
      <alignment horizontal="right" vertical="center" shrinkToFit="1"/>
      <protection locked="0"/>
    </xf>
    <xf numFmtId="181" fontId="12" fillId="26" borderId="0" xfId="0" applyNumberFormat="1" applyFont="1" applyFill="1" applyBorder="1" applyAlignment="1" applyProtection="1">
      <alignment horizontal="right" vertical="center" shrinkToFit="1"/>
      <protection locked="0"/>
    </xf>
    <xf numFmtId="181" fontId="12" fillId="26" borderId="5" xfId="0" applyNumberFormat="1" applyFont="1" applyFill="1" applyBorder="1" applyAlignment="1" applyProtection="1">
      <alignment horizontal="right" vertical="center" shrinkToFit="1"/>
      <protection locked="0"/>
    </xf>
    <xf numFmtId="0" fontId="12" fillId="30" borderId="124" xfId="0" quotePrefix="1" applyFont="1" applyFill="1" applyBorder="1" applyAlignment="1" applyProtection="1">
      <alignment horizontal="center" vertical="center" shrinkToFit="1"/>
      <protection hidden="1"/>
    </xf>
    <xf numFmtId="0" fontId="12" fillId="30" borderId="125" xfId="0" applyFont="1" applyFill="1" applyBorder="1" applyAlignment="1" applyProtection="1">
      <alignment horizontal="center" vertical="center" shrinkToFit="1"/>
      <protection hidden="1"/>
    </xf>
    <xf numFmtId="0" fontId="12" fillId="30" borderId="126" xfId="0" applyFont="1" applyFill="1" applyBorder="1" applyAlignment="1" applyProtection="1">
      <alignment horizontal="center" vertical="center" shrinkToFit="1"/>
      <protection hidden="1"/>
    </xf>
    <xf numFmtId="181" fontId="53" fillId="30" borderId="4" xfId="0" quotePrefix="1" applyNumberFormat="1" applyFont="1" applyFill="1" applyBorder="1" applyAlignment="1" applyProtection="1">
      <alignment horizontal="right" vertical="center" shrinkToFit="1"/>
      <protection hidden="1"/>
    </xf>
    <xf numFmtId="181" fontId="53" fillId="30" borderId="0" xfId="0" applyNumberFormat="1" applyFont="1" applyFill="1" applyBorder="1" applyAlignment="1" applyProtection="1">
      <alignment horizontal="right" vertical="center" shrinkToFit="1"/>
      <protection hidden="1"/>
    </xf>
    <xf numFmtId="181" fontId="53" fillId="30" borderId="5" xfId="0" applyNumberFormat="1" applyFont="1" applyFill="1" applyBorder="1" applyAlignment="1" applyProtection="1">
      <alignment horizontal="right" vertical="center" shrinkToFit="1"/>
      <protection hidden="1"/>
    </xf>
    <xf numFmtId="186" fontId="53" fillId="30" borderId="116" xfId="0" applyNumberFormat="1" applyFont="1" applyFill="1" applyBorder="1" applyAlignment="1" applyProtection="1">
      <alignment horizontal="right" vertical="center" shrinkToFit="1"/>
      <protection hidden="1"/>
    </xf>
    <xf numFmtId="186" fontId="53" fillId="30" borderId="117" xfId="0" applyNumberFormat="1" applyFont="1" applyFill="1" applyBorder="1" applyAlignment="1" applyProtection="1">
      <alignment horizontal="right" vertical="center" shrinkToFit="1"/>
      <protection hidden="1"/>
    </xf>
    <xf numFmtId="186" fontId="53" fillId="30" borderId="118" xfId="0" applyNumberFormat="1" applyFont="1" applyFill="1" applyBorder="1" applyAlignment="1" applyProtection="1">
      <alignment horizontal="right" vertical="center" shrinkToFit="1"/>
      <protection hidden="1"/>
    </xf>
    <xf numFmtId="190" fontId="53" fillId="30" borderId="4" xfId="0" applyNumberFormat="1" applyFont="1" applyFill="1" applyBorder="1" applyAlignment="1" applyProtection="1">
      <alignment horizontal="right" vertical="center" shrinkToFit="1"/>
      <protection hidden="1"/>
    </xf>
    <xf numFmtId="190" fontId="53" fillId="30" borderId="0" xfId="0" applyNumberFormat="1" applyFont="1" applyFill="1" applyBorder="1" applyAlignment="1" applyProtection="1">
      <alignment horizontal="right" vertical="center" shrinkToFit="1"/>
      <protection hidden="1"/>
    </xf>
    <xf numFmtId="190" fontId="53" fillId="30" borderId="5" xfId="0" applyNumberFormat="1" applyFont="1" applyFill="1" applyBorder="1" applyAlignment="1" applyProtection="1">
      <alignment horizontal="right" vertical="center" shrinkToFit="1"/>
      <protection hidden="1"/>
    </xf>
    <xf numFmtId="200" fontId="53" fillId="30" borderId="4" xfId="0" applyNumberFormat="1" applyFont="1" applyFill="1" applyBorder="1" applyAlignment="1" applyProtection="1">
      <alignment horizontal="right" vertical="center" shrinkToFit="1"/>
      <protection hidden="1"/>
    </xf>
    <xf numFmtId="200" fontId="53" fillId="30" borderId="0" xfId="0" applyNumberFormat="1" applyFont="1" applyFill="1" applyBorder="1" applyAlignment="1" applyProtection="1">
      <alignment horizontal="right" vertical="center" shrinkToFit="1"/>
      <protection hidden="1"/>
    </xf>
    <xf numFmtId="200" fontId="53" fillId="30" borderId="5" xfId="0" applyNumberFormat="1" applyFont="1" applyFill="1" applyBorder="1" applyAlignment="1" applyProtection="1">
      <alignment horizontal="right" vertical="center" shrinkToFit="1"/>
      <protection hidden="1"/>
    </xf>
    <xf numFmtId="0" fontId="12" fillId="30" borderId="116" xfId="0" applyFont="1" applyFill="1" applyBorder="1" applyAlignment="1" applyProtection="1">
      <alignment horizontal="right" vertical="center" shrinkToFit="1"/>
      <protection hidden="1"/>
    </xf>
    <xf numFmtId="0" fontId="12" fillId="30" borderId="117" xfId="0" applyFont="1" applyFill="1" applyBorder="1" applyAlignment="1" applyProtection="1">
      <alignment horizontal="right" vertical="center" shrinkToFit="1"/>
      <protection hidden="1"/>
    </xf>
    <xf numFmtId="0" fontId="12" fillId="30" borderId="118" xfId="0" applyFont="1" applyFill="1" applyBorder="1" applyAlignment="1" applyProtection="1">
      <alignment horizontal="right" vertical="center" shrinkToFit="1"/>
      <protection hidden="1"/>
    </xf>
    <xf numFmtId="181" fontId="12" fillId="26" borderId="116" xfId="0" applyNumberFormat="1" applyFont="1" applyFill="1" applyBorder="1" applyAlignment="1" applyProtection="1">
      <alignment horizontal="right" vertical="center" shrinkToFit="1"/>
      <protection locked="0"/>
    </xf>
    <xf numFmtId="181" fontId="12" fillId="26" borderId="117" xfId="0" applyNumberFormat="1" applyFont="1" applyFill="1" applyBorder="1" applyAlignment="1" applyProtection="1">
      <alignment horizontal="right" vertical="center" shrinkToFit="1"/>
      <protection locked="0"/>
    </xf>
    <xf numFmtId="181" fontId="12" fillId="26" borderId="118" xfId="0" applyNumberFormat="1" applyFont="1" applyFill="1" applyBorder="1" applyAlignment="1" applyProtection="1">
      <alignment horizontal="right" vertical="center" shrinkToFit="1"/>
      <protection locked="0"/>
    </xf>
    <xf numFmtId="181" fontId="53" fillId="30" borderId="124" xfId="0" quotePrefix="1" applyNumberFormat="1" applyFont="1" applyFill="1" applyBorder="1" applyAlignment="1" applyProtection="1">
      <alignment horizontal="right" vertical="center" shrinkToFit="1"/>
      <protection hidden="1"/>
    </xf>
    <xf numFmtId="181" fontId="53" fillId="30" borderId="125" xfId="0" applyNumberFormat="1" applyFont="1" applyFill="1" applyBorder="1" applyAlignment="1" applyProtection="1">
      <alignment horizontal="right" vertical="center" shrinkToFit="1"/>
      <protection hidden="1"/>
    </xf>
    <xf numFmtId="181" fontId="53" fillId="30" borderId="126" xfId="0" applyNumberFormat="1" applyFont="1" applyFill="1" applyBorder="1" applyAlignment="1" applyProtection="1">
      <alignment horizontal="right" vertical="center" shrinkToFit="1"/>
      <protection hidden="1"/>
    </xf>
    <xf numFmtId="190" fontId="53" fillId="30" borderId="124" xfId="0" applyNumberFormat="1" applyFont="1" applyFill="1" applyBorder="1" applyAlignment="1" applyProtection="1">
      <alignment horizontal="right" vertical="center" shrinkToFit="1"/>
      <protection hidden="1"/>
    </xf>
    <xf numFmtId="190" fontId="53" fillId="30" borderId="125" xfId="0" applyNumberFormat="1" applyFont="1" applyFill="1" applyBorder="1" applyAlignment="1" applyProtection="1">
      <alignment horizontal="right" vertical="center" shrinkToFit="1"/>
      <protection hidden="1"/>
    </xf>
    <xf numFmtId="190" fontId="53" fillId="30" borderId="126" xfId="0" applyNumberFormat="1" applyFont="1" applyFill="1" applyBorder="1" applyAlignment="1" applyProtection="1">
      <alignment horizontal="right" vertical="center" shrinkToFit="1"/>
      <protection hidden="1"/>
    </xf>
    <xf numFmtId="181" fontId="53" fillId="30" borderId="116" xfId="0" applyNumberFormat="1" applyFont="1" applyFill="1" applyBorder="1" applyAlignment="1" applyProtection="1">
      <alignment horizontal="right" vertical="center" shrinkToFit="1"/>
      <protection hidden="1"/>
    </xf>
    <xf numFmtId="181" fontId="53" fillId="30" borderId="117" xfId="0" applyNumberFormat="1" applyFont="1" applyFill="1" applyBorder="1" applyAlignment="1" applyProtection="1">
      <alignment horizontal="right" vertical="center" shrinkToFit="1"/>
      <protection hidden="1"/>
    </xf>
    <xf numFmtId="181" fontId="53" fillId="30" borderId="118" xfId="0" applyNumberFormat="1" applyFont="1" applyFill="1" applyBorder="1" applyAlignment="1" applyProtection="1">
      <alignment horizontal="right" vertical="center" shrinkToFit="1"/>
      <protection hidden="1"/>
    </xf>
    <xf numFmtId="187" fontId="53" fillId="30" borderId="116" xfId="0" applyNumberFormat="1" applyFont="1" applyFill="1" applyBorder="1" applyAlignment="1" applyProtection="1">
      <alignment horizontal="right" vertical="center" shrinkToFit="1"/>
      <protection hidden="1"/>
    </xf>
    <xf numFmtId="187" fontId="53" fillId="30" borderId="117" xfId="0" applyNumberFormat="1" applyFont="1" applyFill="1" applyBorder="1" applyAlignment="1" applyProtection="1">
      <alignment horizontal="right" vertical="center" shrinkToFit="1"/>
      <protection hidden="1"/>
    </xf>
    <xf numFmtId="187" fontId="53" fillId="30" borderId="118" xfId="0" applyNumberFormat="1" applyFont="1" applyFill="1" applyBorder="1" applyAlignment="1" applyProtection="1">
      <alignment horizontal="right" vertical="center" shrinkToFit="1"/>
      <protection hidden="1"/>
    </xf>
    <xf numFmtId="187" fontId="53" fillId="3" borderId="175" xfId="0" applyNumberFormat="1" applyFont="1" applyFill="1" applyBorder="1" applyAlignment="1" applyProtection="1">
      <alignment horizontal="right" vertical="center" shrinkToFit="1"/>
      <protection hidden="1"/>
    </xf>
    <xf numFmtId="187" fontId="53" fillId="3" borderId="178" xfId="0" applyNumberFormat="1" applyFont="1" applyFill="1" applyBorder="1" applyAlignment="1" applyProtection="1">
      <alignment horizontal="right" vertical="center" shrinkToFit="1"/>
      <protection hidden="1"/>
    </xf>
    <xf numFmtId="187" fontId="53" fillId="3" borderId="176" xfId="0" applyNumberFormat="1" applyFont="1" applyFill="1" applyBorder="1" applyAlignment="1" applyProtection="1">
      <alignment horizontal="right" vertical="center" shrinkToFit="1"/>
      <protection hidden="1"/>
    </xf>
    <xf numFmtId="181" fontId="53" fillId="30" borderId="220" xfId="0" quotePrefix="1" applyNumberFormat="1" applyFont="1" applyFill="1" applyBorder="1" applyAlignment="1" applyProtection="1">
      <alignment horizontal="right" vertical="center" shrinkToFit="1"/>
      <protection hidden="1"/>
    </xf>
    <xf numFmtId="181" fontId="53" fillId="30" borderId="199" xfId="0" applyNumberFormat="1" applyFont="1" applyFill="1" applyBorder="1" applyAlignment="1" applyProtection="1">
      <alignment horizontal="right" vertical="center" shrinkToFit="1"/>
      <protection hidden="1"/>
    </xf>
    <xf numFmtId="181" fontId="53" fillId="30" borderId="221" xfId="0" applyNumberFormat="1" applyFont="1" applyFill="1" applyBorder="1" applyAlignment="1" applyProtection="1">
      <alignment horizontal="right" vertical="center" shrinkToFit="1"/>
      <protection hidden="1"/>
    </xf>
    <xf numFmtId="186" fontId="12" fillId="30" borderId="363" xfId="0" applyNumberFormat="1" applyFont="1" applyFill="1" applyBorder="1" applyAlignment="1" applyProtection="1">
      <alignment horizontal="center" vertical="center"/>
      <protection hidden="1"/>
    </xf>
    <xf numFmtId="186" fontId="12" fillId="30" borderId="362" xfId="0" applyNumberFormat="1" applyFont="1" applyFill="1" applyBorder="1" applyAlignment="1" applyProtection="1">
      <alignment horizontal="center" vertical="center"/>
      <protection hidden="1"/>
    </xf>
    <xf numFmtId="186" fontId="12" fillId="30" borderId="361" xfId="0" applyNumberFormat="1"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shrinkToFit="1"/>
      <protection hidden="1"/>
    </xf>
    <xf numFmtId="0" fontId="24" fillId="0" borderId="220" xfId="0" applyFont="1" applyFill="1" applyBorder="1" applyAlignment="1" applyProtection="1">
      <alignment horizontal="center" vertical="center" shrinkToFit="1"/>
      <protection hidden="1"/>
    </xf>
    <xf numFmtId="0" fontId="24" fillId="0" borderId="199" xfId="0" applyFont="1" applyFill="1" applyBorder="1" applyAlignment="1" applyProtection="1">
      <alignment horizontal="center" vertical="center" shrinkToFit="1"/>
      <protection hidden="1"/>
    </xf>
    <xf numFmtId="185" fontId="12" fillId="30" borderId="483" xfId="0" applyNumberFormat="1" applyFont="1" applyFill="1" applyBorder="1" applyAlignment="1" applyProtection="1">
      <alignment horizontal="center" vertical="center" shrinkToFit="1"/>
      <protection hidden="1"/>
    </xf>
    <xf numFmtId="0" fontId="396" fillId="3" borderId="0" xfId="0" applyFont="1" applyFill="1" applyBorder="1" applyAlignment="1" applyProtection="1">
      <alignment horizontal="left" vertical="center" shrinkToFit="1"/>
      <protection hidden="1"/>
    </xf>
    <xf numFmtId="0" fontId="396" fillId="3" borderId="133" xfId="0" applyFont="1" applyFill="1" applyBorder="1" applyAlignment="1" applyProtection="1">
      <alignment horizontal="left" vertical="center" shrinkToFit="1"/>
      <protection hidden="1"/>
    </xf>
    <xf numFmtId="0" fontId="397" fillId="3" borderId="481" xfId="0" applyFont="1" applyFill="1" applyBorder="1" applyAlignment="1" applyProtection="1">
      <alignment horizontal="left" vertical="top"/>
      <protection hidden="1"/>
    </xf>
    <xf numFmtId="0" fontId="397" fillId="3" borderId="0" xfId="0" applyFont="1" applyFill="1" applyBorder="1" applyAlignment="1" applyProtection="1">
      <alignment horizontal="left" vertical="top"/>
      <protection hidden="1"/>
    </xf>
    <xf numFmtId="0" fontId="31" fillId="3" borderId="476" xfId="0" applyFont="1" applyFill="1" applyBorder="1" applyAlignment="1" applyProtection="1">
      <alignment horizontal="center"/>
      <protection hidden="1"/>
    </xf>
    <xf numFmtId="0" fontId="26" fillId="3" borderId="0" xfId="0" applyFont="1" applyFill="1" applyBorder="1" applyAlignment="1" applyProtection="1">
      <alignment horizontal="center" vertical="center"/>
      <protection hidden="1"/>
    </xf>
    <xf numFmtId="0" fontId="12" fillId="11" borderId="173" xfId="0" applyFont="1" applyFill="1" applyBorder="1" applyAlignment="1" applyProtection="1">
      <alignment horizontal="center" vertical="center" wrapText="1"/>
      <protection hidden="1"/>
    </xf>
    <xf numFmtId="0" fontId="12" fillId="11" borderId="173" xfId="0" applyFont="1" applyFill="1" applyBorder="1" applyAlignment="1" applyProtection="1">
      <alignment horizontal="center" vertical="center"/>
      <protection hidden="1"/>
    </xf>
    <xf numFmtId="0" fontId="24" fillId="0" borderId="4" xfId="0"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0" fontId="24" fillId="0" borderId="5" xfId="0" applyFont="1" applyFill="1" applyBorder="1" applyAlignment="1" applyProtection="1">
      <alignment horizontal="center" vertical="center"/>
      <protection hidden="1"/>
    </xf>
    <xf numFmtId="0" fontId="24" fillId="0" borderId="142" xfId="0" applyFont="1" applyFill="1" applyBorder="1" applyAlignment="1" applyProtection="1">
      <alignment horizontal="center" vertical="center"/>
      <protection hidden="1"/>
    </xf>
    <xf numFmtId="185" fontId="12" fillId="30" borderId="22" xfId="0" quotePrefix="1" applyNumberFormat="1" applyFont="1" applyFill="1" applyBorder="1" applyAlignment="1" applyProtection="1">
      <alignment horizontal="center" vertical="center" shrinkToFit="1"/>
      <protection hidden="1"/>
    </xf>
    <xf numFmtId="185" fontId="12" fillId="30" borderId="22" xfId="0" applyNumberFormat="1" applyFont="1" applyFill="1" applyBorder="1" applyAlignment="1" applyProtection="1">
      <alignment horizontal="center" vertical="center" shrinkToFit="1"/>
      <protection hidden="1"/>
    </xf>
    <xf numFmtId="0" fontId="12" fillId="3" borderId="483" xfId="0" applyFont="1" applyFill="1" applyBorder="1" applyAlignment="1" applyProtection="1">
      <alignment horizontal="center" vertical="center" shrinkToFit="1"/>
      <protection hidden="1"/>
    </xf>
    <xf numFmtId="0" fontId="12" fillId="3" borderId="22" xfId="0" applyFont="1" applyFill="1" applyBorder="1" applyAlignment="1" applyProtection="1">
      <alignment horizontal="center" vertical="center" shrinkToFit="1"/>
      <protection hidden="1"/>
    </xf>
    <xf numFmtId="0" fontId="396" fillId="3" borderId="0" xfId="0" applyFont="1" applyFill="1" applyBorder="1" applyAlignment="1" applyProtection="1">
      <alignment horizontal="right" vertical="center"/>
      <protection hidden="1"/>
    </xf>
    <xf numFmtId="0" fontId="396" fillId="3" borderId="156" xfId="0" applyFont="1" applyFill="1" applyBorder="1" applyAlignment="1" applyProtection="1">
      <alignment horizontal="right" vertical="center"/>
      <protection hidden="1"/>
    </xf>
    <xf numFmtId="0" fontId="25" fillId="73" borderId="416" xfId="0" applyFont="1" applyFill="1" applyBorder="1" applyAlignment="1" applyProtection="1">
      <alignment horizontal="left" vertical="center" shrinkToFit="1"/>
      <protection hidden="1"/>
    </xf>
    <xf numFmtId="0" fontId="25" fillId="73" borderId="421" xfId="0" applyFont="1" applyFill="1" applyBorder="1" applyAlignment="1" applyProtection="1">
      <alignment horizontal="left" vertical="center" shrinkToFit="1"/>
      <protection hidden="1"/>
    </xf>
    <xf numFmtId="0" fontId="25" fillId="73" borderId="423" xfId="0" applyFont="1" applyFill="1" applyBorder="1" applyAlignment="1" applyProtection="1">
      <alignment horizontal="left" vertical="center" shrinkToFit="1"/>
      <protection hidden="1"/>
    </xf>
    <xf numFmtId="0" fontId="12" fillId="30" borderId="48" xfId="0" applyFont="1" applyFill="1" applyBorder="1" applyAlignment="1" applyProtection="1">
      <alignment horizontal="center" vertical="center"/>
      <protection hidden="1"/>
    </xf>
    <xf numFmtId="0" fontId="12" fillId="30" borderId="39" xfId="0" applyFont="1" applyFill="1" applyBorder="1" applyAlignment="1" applyProtection="1">
      <alignment horizontal="center" vertical="center"/>
      <protection hidden="1"/>
    </xf>
    <xf numFmtId="0" fontId="12" fillId="63" borderId="441" xfId="0" applyFont="1" applyFill="1" applyBorder="1" applyAlignment="1" applyProtection="1">
      <alignment horizontal="center" vertical="center" shrinkToFit="1"/>
      <protection locked="0"/>
    </xf>
    <xf numFmtId="0" fontId="12" fillId="63" borderId="424" xfId="0" applyFont="1" applyFill="1" applyBorder="1" applyAlignment="1" applyProtection="1">
      <alignment horizontal="center" vertical="center" shrinkToFit="1"/>
      <protection locked="0"/>
    </xf>
    <xf numFmtId="0" fontId="2" fillId="3" borderId="475" xfId="0" applyFont="1" applyFill="1" applyBorder="1" applyAlignment="1" applyProtection="1">
      <alignment horizontal="center" vertical="center"/>
      <protection hidden="1"/>
    </xf>
    <xf numFmtId="0" fontId="2" fillId="3" borderId="465" xfId="0" applyFont="1" applyFill="1" applyBorder="1" applyAlignment="1" applyProtection="1">
      <alignment horizontal="center" vertical="center"/>
      <protection hidden="1"/>
    </xf>
    <xf numFmtId="200" fontId="53" fillId="3" borderId="175" xfId="0" applyNumberFormat="1" applyFont="1" applyFill="1" applyBorder="1" applyAlignment="1" applyProtection="1">
      <alignment horizontal="right" shrinkToFit="1"/>
      <protection hidden="1"/>
    </xf>
    <xf numFmtId="200" fontId="53" fillId="3" borderId="178" xfId="0" applyNumberFormat="1" applyFont="1" applyFill="1" applyBorder="1" applyAlignment="1" applyProtection="1">
      <alignment horizontal="right" shrinkToFit="1"/>
      <protection hidden="1"/>
    </xf>
    <xf numFmtId="200" fontId="53" fillId="3" borderId="176" xfId="0" applyNumberFormat="1" applyFont="1" applyFill="1" applyBorder="1" applyAlignment="1" applyProtection="1">
      <alignment horizontal="right" shrinkToFit="1"/>
      <protection hidden="1"/>
    </xf>
    <xf numFmtId="190" fontId="53" fillId="30" borderId="119" xfId="0" applyNumberFormat="1" applyFont="1" applyFill="1" applyBorder="1" applyAlignment="1" applyProtection="1">
      <alignment horizontal="right" vertical="center" shrinkToFit="1"/>
      <protection hidden="1"/>
    </xf>
    <xf numFmtId="190" fontId="53" fillId="30" borderId="120" xfId="0" applyNumberFormat="1" applyFont="1" applyFill="1" applyBorder="1" applyAlignment="1" applyProtection="1">
      <alignment horizontal="right" vertical="center" shrinkToFit="1"/>
      <protection hidden="1"/>
    </xf>
    <xf numFmtId="190" fontId="53" fillId="30" borderId="121" xfId="0" applyNumberFormat="1" applyFont="1" applyFill="1" applyBorder="1" applyAlignment="1" applyProtection="1">
      <alignment horizontal="right" vertical="center" shrinkToFit="1"/>
      <protection hidden="1"/>
    </xf>
    <xf numFmtId="201" fontId="53" fillId="30" borderId="119" xfId="0" applyNumberFormat="1" applyFont="1" applyFill="1" applyBorder="1" applyAlignment="1" applyProtection="1">
      <alignment horizontal="right" vertical="center" shrinkToFit="1"/>
      <protection hidden="1"/>
    </xf>
    <xf numFmtId="201" fontId="53" fillId="30" borderId="120" xfId="0" applyNumberFormat="1" applyFont="1" applyFill="1" applyBorder="1" applyAlignment="1" applyProtection="1">
      <alignment horizontal="right" vertical="center" shrinkToFit="1"/>
      <protection hidden="1"/>
    </xf>
    <xf numFmtId="201" fontId="53" fillId="30" borderId="121" xfId="0" applyNumberFormat="1" applyFont="1" applyFill="1" applyBorder="1" applyAlignment="1" applyProtection="1">
      <alignment horizontal="right" vertical="center" shrinkToFit="1"/>
      <protection hidden="1"/>
    </xf>
    <xf numFmtId="201" fontId="53" fillId="30" borderId="124" xfId="0" applyNumberFormat="1" applyFont="1" applyFill="1" applyBorder="1" applyAlignment="1" applyProtection="1">
      <alignment horizontal="right" vertical="center" shrinkToFit="1"/>
      <protection hidden="1"/>
    </xf>
    <xf numFmtId="201" fontId="53" fillId="30" borderId="125" xfId="0" applyNumberFormat="1" applyFont="1" applyFill="1" applyBorder="1" applyAlignment="1" applyProtection="1">
      <alignment horizontal="right" vertical="center" shrinkToFit="1"/>
      <protection hidden="1"/>
    </xf>
    <xf numFmtId="201" fontId="53" fillId="30" borderId="126" xfId="0" applyNumberFormat="1" applyFont="1" applyFill="1" applyBorder="1" applyAlignment="1" applyProtection="1">
      <alignment horizontal="right" vertical="center" shrinkToFit="1"/>
      <protection hidden="1"/>
    </xf>
    <xf numFmtId="0" fontId="12" fillId="11" borderId="176" xfId="0" applyFont="1" applyFill="1" applyBorder="1" applyAlignment="1" applyProtection="1">
      <alignment horizontal="center" vertical="center" shrinkToFit="1"/>
      <protection hidden="1"/>
    </xf>
    <xf numFmtId="181" fontId="12" fillId="30" borderId="175" xfId="0" applyNumberFormat="1" applyFont="1" applyFill="1" applyBorder="1" applyAlignment="1" applyProtection="1">
      <alignment horizontal="center" vertical="center"/>
      <protection hidden="1"/>
    </xf>
    <xf numFmtId="181" fontId="12" fillId="30" borderId="178" xfId="0" applyNumberFormat="1" applyFont="1" applyFill="1" applyBorder="1" applyAlignment="1" applyProtection="1">
      <alignment horizontal="center" vertical="center"/>
      <protection hidden="1"/>
    </xf>
    <xf numFmtId="181" fontId="12" fillId="30" borderId="176" xfId="0" applyNumberFormat="1" applyFont="1" applyFill="1" applyBorder="1" applyAlignment="1" applyProtection="1">
      <alignment horizontal="center" vertical="center"/>
      <protection hidden="1"/>
    </xf>
    <xf numFmtId="181" fontId="12" fillId="26" borderId="175" xfId="0" applyNumberFormat="1" applyFont="1" applyFill="1" applyBorder="1" applyAlignment="1" applyProtection="1">
      <alignment horizontal="right" vertical="center"/>
      <protection locked="0"/>
    </xf>
    <xf numFmtId="181" fontId="12" fillId="26" borderId="178" xfId="0" applyNumberFormat="1" applyFont="1" applyFill="1" applyBorder="1" applyAlignment="1" applyProtection="1">
      <alignment horizontal="right" vertical="center"/>
      <protection locked="0"/>
    </xf>
    <xf numFmtId="181" fontId="12" fillId="26" borderId="176" xfId="0" applyNumberFormat="1" applyFont="1" applyFill="1" applyBorder="1" applyAlignment="1" applyProtection="1">
      <alignment horizontal="right" vertical="center"/>
      <protection locked="0"/>
    </xf>
    <xf numFmtId="186" fontId="12" fillId="3" borderId="175" xfId="0" applyNumberFormat="1" applyFont="1" applyFill="1" applyBorder="1" applyAlignment="1" applyProtection="1">
      <alignment horizontal="right" vertical="center" shrinkToFit="1"/>
      <protection hidden="1"/>
    </xf>
    <xf numFmtId="186" fontId="12" fillId="3" borderId="178" xfId="0" applyNumberFormat="1" applyFont="1" applyFill="1" applyBorder="1" applyAlignment="1" applyProtection="1">
      <alignment horizontal="right" vertical="center" shrinkToFit="1"/>
      <protection hidden="1"/>
    </xf>
    <xf numFmtId="186" fontId="12" fillId="3" borderId="176" xfId="0" applyNumberFormat="1" applyFont="1" applyFill="1" applyBorder="1" applyAlignment="1" applyProtection="1">
      <alignment horizontal="right" vertical="center" shrinkToFit="1"/>
      <protection hidden="1"/>
    </xf>
    <xf numFmtId="0" fontId="53" fillId="29" borderId="173" xfId="0" applyFont="1" applyFill="1" applyBorder="1" applyAlignment="1" applyProtection="1">
      <alignment horizontal="center" vertical="center"/>
      <protection hidden="1"/>
    </xf>
    <xf numFmtId="186" fontId="12" fillId="30" borderId="409" xfId="0" applyNumberFormat="1" applyFont="1" applyFill="1" applyBorder="1" applyAlignment="1" applyProtection="1">
      <alignment horizontal="right" vertical="center"/>
      <protection hidden="1"/>
    </xf>
    <xf numFmtId="186" fontId="12" fillId="30" borderId="408" xfId="0" applyNumberFormat="1" applyFont="1" applyFill="1" applyBorder="1" applyAlignment="1" applyProtection="1">
      <alignment horizontal="right" vertical="center"/>
      <protection hidden="1"/>
    </xf>
    <xf numFmtId="186" fontId="12" fillId="30" borderId="407" xfId="0" applyNumberFormat="1" applyFont="1" applyFill="1" applyBorder="1" applyAlignment="1" applyProtection="1">
      <alignment horizontal="right" vertical="center"/>
      <protection hidden="1"/>
    </xf>
    <xf numFmtId="0" fontId="12" fillId="11" borderId="413" xfId="0" applyFont="1" applyFill="1" applyBorder="1" applyAlignment="1" applyProtection="1">
      <alignment horizontal="center" vertical="center"/>
      <protection hidden="1"/>
    </xf>
    <xf numFmtId="0" fontId="12" fillId="11" borderId="178" xfId="0" applyFont="1" applyFill="1" applyBorder="1" applyAlignment="1" applyProtection="1">
      <alignment horizontal="center" vertical="center"/>
      <protection hidden="1"/>
    </xf>
    <xf numFmtId="0" fontId="12" fillId="11" borderId="176" xfId="0" applyFont="1" applyFill="1" applyBorder="1" applyAlignment="1" applyProtection="1">
      <alignment horizontal="center" vertical="center"/>
      <protection hidden="1"/>
    </xf>
    <xf numFmtId="186" fontId="12" fillId="30" borderId="175" xfId="0" applyNumberFormat="1" applyFont="1" applyFill="1" applyBorder="1" applyAlignment="1" applyProtection="1">
      <alignment horizontal="right" vertical="center"/>
      <protection hidden="1"/>
    </xf>
    <xf numFmtId="186" fontId="12" fillId="30" borderId="178" xfId="0" applyNumberFormat="1" applyFont="1" applyFill="1" applyBorder="1" applyAlignment="1" applyProtection="1">
      <alignment horizontal="right" vertical="center"/>
      <protection hidden="1"/>
    </xf>
    <xf numFmtId="186" fontId="12" fillId="30" borderId="356" xfId="0" applyNumberFormat="1" applyFont="1" applyFill="1" applyBorder="1" applyAlignment="1" applyProtection="1">
      <alignment horizontal="right" vertical="center"/>
      <protection hidden="1"/>
    </xf>
    <xf numFmtId="0" fontId="12" fillId="11" borderId="412" xfId="0" applyFont="1" applyFill="1" applyBorder="1" applyAlignment="1" applyProtection="1">
      <alignment horizontal="center" vertical="center"/>
      <protection hidden="1"/>
    </xf>
    <xf numFmtId="0" fontId="12" fillId="11" borderId="411" xfId="0" applyFont="1" applyFill="1" applyBorder="1" applyAlignment="1" applyProtection="1">
      <alignment horizontal="center" vertical="center"/>
      <protection hidden="1"/>
    </xf>
    <xf numFmtId="0" fontId="12" fillId="11" borderId="409" xfId="0" applyFont="1" applyFill="1" applyBorder="1" applyAlignment="1" applyProtection="1">
      <alignment horizontal="left" vertical="center"/>
      <protection hidden="1"/>
    </xf>
    <xf numFmtId="0" fontId="12" fillId="11" borderId="408" xfId="0" applyFont="1" applyFill="1" applyBorder="1" applyAlignment="1" applyProtection="1">
      <alignment horizontal="left" vertical="center"/>
      <protection hidden="1"/>
    </xf>
    <xf numFmtId="0" fontId="12" fillId="11" borderId="410" xfId="0" applyFont="1" applyFill="1" applyBorder="1" applyAlignment="1" applyProtection="1">
      <alignment horizontal="left" vertical="center"/>
      <protection hidden="1"/>
    </xf>
    <xf numFmtId="0" fontId="12" fillId="30" borderId="124" xfId="0" applyFont="1" applyFill="1" applyBorder="1" applyAlignment="1" applyProtection="1">
      <alignment horizontal="right" vertical="center" shrinkToFit="1"/>
      <protection hidden="1"/>
    </xf>
    <xf numFmtId="0" fontId="12" fillId="30" borderId="125" xfId="0" applyFont="1" applyFill="1" applyBorder="1" applyAlignment="1" applyProtection="1">
      <alignment horizontal="right" vertical="center" shrinkToFit="1"/>
      <protection hidden="1"/>
    </xf>
    <xf numFmtId="0" fontId="12" fillId="30" borderId="126" xfId="0" applyFont="1" applyFill="1" applyBorder="1" applyAlignment="1" applyProtection="1">
      <alignment horizontal="right" vertical="center" shrinkToFit="1"/>
      <protection hidden="1"/>
    </xf>
    <xf numFmtId="186" fontId="53" fillId="30" borderId="124" xfId="0" applyNumberFormat="1" applyFont="1" applyFill="1" applyBorder="1" applyAlignment="1" applyProtection="1">
      <alignment horizontal="right" vertical="center" shrinkToFit="1"/>
      <protection hidden="1"/>
    </xf>
    <xf numFmtId="186" fontId="53" fillId="30" borderId="125" xfId="0" applyNumberFormat="1" applyFont="1" applyFill="1" applyBorder="1" applyAlignment="1" applyProtection="1">
      <alignment horizontal="right" vertical="center" shrinkToFit="1"/>
      <protection hidden="1"/>
    </xf>
    <xf numFmtId="186" fontId="53" fillId="30" borderId="126" xfId="0" applyNumberFormat="1" applyFont="1" applyFill="1" applyBorder="1" applyAlignment="1" applyProtection="1">
      <alignment horizontal="right" vertical="center" shrinkToFit="1"/>
      <protection hidden="1"/>
    </xf>
    <xf numFmtId="181" fontId="12" fillId="26" borderId="124" xfId="0" applyNumberFormat="1" applyFont="1" applyFill="1" applyBorder="1" applyAlignment="1" applyProtection="1">
      <alignment horizontal="right" vertical="center" shrinkToFit="1"/>
      <protection locked="0"/>
    </xf>
    <xf numFmtId="181" fontId="12" fillId="26" borderId="125" xfId="0" applyNumberFormat="1" applyFont="1" applyFill="1" applyBorder="1" applyAlignment="1" applyProtection="1">
      <alignment horizontal="right" vertical="center" shrinkToFit="1"/>
      <protection locked="0"/>
    </xf>
    <xf numFmtId="181" fontId="12" fillId="26" borderId="126" xfId="0" applyNumberFormat="1" applyFont="1" applyFill="1" applyBorder="1" applyAlignment="1" applyProtection="1">
      <alignment horizontal="right" vertical="center" shrinkToFit="1"/>
      <protection locked="0"/>
    </xf>
    <xf numFmtId="200" fontId="53" fillId="30" borderId="124" xfId="0" applyNumberFormat="1" applyFont="1" applyFill="1" applyBorder="1" applyAlignment="1" applyProtection="1">
      <alignment horizontal="right" vertical="center" shrinkToFit="1"/>
      <protection hidden="1"/>
    </xf>
    <xf numFmtId="200" fontId="53" fillId="30" borderId="125" xfId="0" applyNumberFormat="1" applyFont="1" applyFill="1" applyBorder="1" applyAlignment="1" applyProtection="1">
      <alignment horizontal="right" vertical="center" shrinkToFit="1"/>
      <protection hidden="1"/>
    </xf>
    <xf numFmtId="200" fontId="53" fillId="30" borderId="126" xfId="0" applyNumberFormat="1" applyFont="1" applyFill="1" applyBorder="1" applyAlignment="1" applyProtection="1">
      <alignment horizontal="right" vertical="center" shrinkToFit="1"/>
      <protection hidden="1"/>
    </xf>
    <xf numFmtId="0" fontId="12" fillId="30" borderId="220" xfId="0" applyFont="1" applyFill="1" applyBorder="1" applyAlignment="1" applyProtection="1">
      <alignment horizontal="right" vertical="center" shrinkToFit="1"/>
      <protection hidden="1"/>
    </xf>
    <xf numFmtId="0" fontId="12" fillId="30" borderId="199" xfId="0" applyFont="1" applyFill="1" applyBorder="1" applyAlignment="1" applyProtection="1">
      <alignment horizontal="right" vertical="center" shrinkToFit="1"/>
      <protection hidden="1"/>
    </xf>
    <xf numFmtId="0" fontId="12" fillId="30" borderId="221" xfId="0" applyFont="1" applyFill="1" applyBorder="1" applyAlignment="1" applyProtection="1">
      <alignment horizontal="right" vertical="center" shrinkToFit="1"/>
      <protection hidden="1"/>
    </xf>
    <xf numFmtId="186" fontId="53" fillId="30" borderId="220" xfId="0" applyNumberFormat="1" applyFont="1" applyFill="1" applyBorder="1" applyAlignment="1" applyProtection="1">
      <alignment horizontal="right" vertical="center" shrinkToFit="1"/>
      <protection hidden="1"/>
    </xf>
    <xf numFmtId="186" fontId="53" fillId="30" borderId="199" xfId="0" applyNumberFormat="1" applyFont="1" applyFill="1" applyBorder="1" applyAlignment="1" applyProtection="1">
      <alignment horizontal="right" vertical="center" shrinkToFit="1"/>
      <protection hidden="1"/>
    </xf>
    <xf numFmtId="186" fontId="53" fillId="30" borderId="221" xfId="0" applyNumberFormat="1" applyFont="1" applyFill="1" applyBorder="1" applyAlignment="1" applyProtection="1">
      <alignment horizontal="right" vertical="center" shrinkToFit="1"/>
      <protection hidden="1"/>
    </xf>
    <xf numFmtId="0" fontId="12" fillId="11" borderId="175" xfId="0" applyFont="1" applyFill="1" applyBorder="1" applyAlignment="1" applyProtection="1">
      <alignment horizontal="center" vertical="center"/>
      <protection hidden="1"/>
    </xf>
    <xf numFmtId="0" fontId="12" fillId="11" borderId="175" xfId="0" applyNumberFormat="1" applyFont="1" applyFill="1" applyBorder="1" applyAlignment="1" applyProtection="1">
      <alignment horizontal="center" vertical="center" shrinkToFit="1"/>
      <protection hidden="1"/>
    </xf>
    <xf numFmtId="0" fontId="12" fillId="11" borderId="178" xfId="0" applyNumberFormat="1" applyFont="1" applyFill="1" applyBorder="1" applyAlignment="1" applyProtection="1">
      <alignment horizontal="center" vertical="center" shrinkToFit="1"/>
      <protection hidden="1"/>
    </xf>
    <xf numFmtId="0" fontId="12" fillId="11" borderId="176" xfId="0" applyNumberFormat="1" applyFont="1" applyFill="1" applyBorder="1" applyAlignment="1" applyProtection="1">
      <alignment horizontal="center" vertical="center" shrinkToFit="1"/>
      <protection hidden="1"/>
    </xf>
    <xf numFmtId="186" fontId="53" fillId="30" borderId="392" xfId="0" applyNumberFormat="1" applyFont="1" applyFill="1" applyBorder="1" applyAlignment="1" applyProtection="1">
      <alignment horizontal="right" vertical="center" shrinkToFit="1"/>
      <protection hidden="1"/>
    </xf>
    <xf numFmtId="186" fontId="53" fillId="30" borderId="158" xfId="0" applyNumberFormat="1" applyFont="1" applyFill="1" applyBorder="1" applyAlignment="1" applyProtection="1">
      <alignment horizontal="right" vertical="center" shrinkToFit="1"/>
      <protection hidden="1"/>
    </xf>
    <xf numFmtId="186" fontId="53" fillId="30" borderId="391" xfId="0" applyNumberFormat="1" applyFont="1" applyFill="1" applyBorder="1" applyAlignment="1" applyProtection="1">
      <alignment horizontal="right" vertical="center" shrinkToFit="1"/>
      <protection hidden="1"/>
    </xf>
    <xf numFmtId="186" fontId="12" fillId="11" borderId="174" xfId="0" applyNumberFormat="1" applyFont="1" applyFill="1" applyBorder="1" applyAlignment="1" applyProtection="1">
      <alignment horizontal="center" vertical="center"/>
      <protection hidden="1"/>
    </xf>
    <xf numFmtId="186" fontId="12" fillId="11" borderId="171" xfId="0" applyNumberFormat="1" applyFont="1" applyFill="1" applyBorder="1" applyAlignment="1" applyProtection="1">
      <alignment horizontal="center" vertical="center"/>
      <protection hidden="1"/>
    </xf>
    <xf numFmtId="186" fontId="12" fillId="11" borderId="415" xfId="0" applyNumberFormat="1" applyFont="1" applyFill="1" applyBorder="1" applyAlignment="1" applyProtection="1">
      <alignment horizontal="center" vertical="center"/>
      <protection hidden="1"/>
    </xf>
    <xf numFmtId="186" fontId="12" fillId="30" borderId="414" xfId="0" applyNumberFormat="1" applyFont="1" applyFill="1" applyBorder="1" applyAlignment="1" applyProtection="1">
      <alignment horizontal="right" vertical="center"/>
      <protection hidden="1"/>
    </xf>
    <xf numFmtId="186" fontId="12" fillId="30" borderId="171" xfId="0" applyNumberFormat="1" applyFont="1" applyFill="1" applyBorder="1" applyAlignment="1" applyProtection="1">
      <alignment horizontal="right" vertical="center"/>
      <protection hidden="1"/>
    </xf>
    <xf numFmtId="186" fontId="12" fillId="30" borderId="415" xfId="0" applyNumberFormat="1" applyFont="1" applyFill="1" applyBorder="1" applyAlignment="1" applyProtection="1">
      <alignment horizontal="right" vertical="center"/>
      <protection hidden="1"/>
    </xf>
    <xf numFmtId="186" fontId="12" fillId="26" borderId="414" xfId="0" applyNumberFormat="1" applyFont="1" applyFill="1" applyBorder="1" applyAlignment="1" applyProtection="1">
      <alignment horizontal="right" vertical="center"/>
      <protection locked="0"/>
    </xf>
    <xf numFmtId="186" fontId="12" fillId="26" borderId="171" xfId="0" applyNumberFormat="1" applyFont="1" applyFill="1" applyBorder="1" applyAlignment="1" applyProtection="1">
      <alignment horizontal="right" vertical="center"/>
      <protection locked="0"/>
    </xf>
    <xf numFmtId="186" fontId="12" fillId="26" borderId="172" xfId="0" applyNumberFormat="1" applyFont="1" applyFill="1" applyBorder="1" applyAlignment="1" applyProtection="1">
      <alignment horizontal="right" vertical="center"/>
      <protection locked="0"/>
    </xf>
    <xf numFmtId="181" fontId="12" fillId="26" borderId="220" xfId="0" applyNumberFormat="1" applyFont="1" applyFill="1" applyBorder="1" applyAlignment="1" applyProtection="1">
      <alignment horizontal="right" vertical="center" shrinkToFit="1"/>
      <protection locked="0"/>
    </xf>
    <xf numFmtId="181" fontId="12" fillId="26" borderId="199" xfId="0" applyNumberFormat="1" applyFont="1" applyFill="1" applyBorder="1" applyAlignment="1" applyProtection="1">
      <alignment horizontal="right" vertical="center" shrinkToFit="1"/>
      <protection locked="0"/>
    </xf>
    <xf numFmtId="181" fontId="12" fillId="26" borderId="221" xfId="0" applyNumberFormat="1" applyFont="1" applyFill="1" applyBorder="1" applyAlignment="1" applyProtection="1">
      <alignment horizontal="right" vertical="center" shrinkToFit="1"/>
      <protection locked="0"/>
    </xf>
    <xf numFmtId="200" fontId="53" fillId="30" borderId="220" xfId="0" applyNumberFormat="1" applyFont="1" applyFill="1" applyBorder="1" applyAlignment="1" applyProtection="1">
      <alignment horizontal="right" vertical="center" shrinkToFit="1"/>
      <protection hidden="1"/>
    </xf>
    <xf numFmtId="200" fontId="53" fillId="30" borderId="199" xfId="0" applyNumberFormat="1" applyFont="1" applyFill="1" applyBorder="1" applyAlignment="1" applyProtection="1">
      <alignment horizontal="right" vertical="center" shrinkToFit="1"/>
      <protection hidden="1"/>
    </xf>
    <xf numFmtId="200" fontId="53" fillId="30" borderId="221" xfId="0" applyNumberFormat="1" applyFont="1" applyFill="1" applyBorder="1" applyAlignment="1" applyProtection="1">
      <alignment horizontal="right" vertical="center" shrinkToFit="1"/>
      <protection hidden="1"/>
    </xf>
    <xf numFmtId="0" fontId="12" fillId="11" borderId="354" xfId="0" applyFont="1" applyFill="1" applyBorder="1" applyAlignment="1" applyProtection="1">
      <alignment horizontal="center" vertical="center"/>
      <protection hidden="1"/>
    </xf>
    <xf numFmtId="0" fontId="12" fillId="11" borderId="175" xfId="0" applyFont="1" applyFill="1" applyBorder="1" applyAlignment="1" applyProtection="1">
      <alignment horizontal="left" vertical="center"/>
      <protection hidden="1"/>
    </xf>
    <xf numFmtId="0" fontId="12" fillId="11" borderId="178" xfId="0" applyFont="1" applyFill="1" applyBorder="1" applyAlignment="1" applyProtection="1">
      <alignment horizontal="left" vertical="center"/>
      <protection hidden="1"/>
    </xf>
    <xf numFmtId="0" fontId="12" fillId="11" borderId="356" xfId="0" applyFont="1" applyFill="1" applyBorder="1" applyAlignment="1" applyProtection="1">
      <alignment horizontal="left" vertical="center"/>
      <protection hidden="1"/>
    </xf>
    <xf numFmtId="0" fontId="43" fillId="29" borderId="422" xfId="0" applyFont="1" applyFill="1" applyBorder="1" applyAlignment="1" applyProtection="1">
      <alignment horizontal="left" vertical="center" shrinkToFit="1"/>
      <protection hidden="1"/>
    </xf>
    <xf numFmtId="0" fontId="43" fillId="29" borderId="0" xfId="0" applyFont="1" applyFill="1" applyBorder="1" applyAlignment="1" applyProtection="1">
      <alignment horizontal="left" vertical="center" shrinkToFit="1"/>
      <protection hidden="1"/>
    </xf>
    <xf numFmtId="0" fontId="43" fillId="29" borderId="428" xfId="0" applyFont="1" applyFill="1" applyBorder="1" applyAlignment="1" applyProtection="1">
      <alignment horizontal="left" vertical="center" shrinkToFit="1"/>
      <protection hidden="1"/>
    </xf>
    <xf numFmtId="0" fontId="12" fillId="29" borderId="422" xfId="0" applyFont="1" applyFill="1" applyBorder="1" applyAlignment="1" applyProtection="1">
      <alignment horizontal="center" vertical="center" shrinkToFit="1"/>
      <protection hidden="1"/>
    </xf>
    <xf numFmtId="0" fontId="12" fillId="29" borderId="0" xfId="0" applyFont="1" applyFill="1" applyBorder="1" applyAlignment="1" applyProtection="1">
      <alignment horizontal="center" vertical="center" shrinkToFit="1"/>
      <protection hidden="1"/>
    </xf>
    <xf numFmtId="185" fontId="12" fillId="30" borderId="426" xfId="0" applyNumberFormat="1" applyFont="1" applyFill="1" applyBorder="1" applyAlignment="1" applyProtection="1">
      <alignment horizontal="center" vertical="center" shrinkToFit="1"/>
      <protection hidden="1"/>
    </xf>
    <xf numFmtId="185" fontId="12" fillId="30" borderId="425" xfId="0" applyNumberFormat="1" applyFont="1" applyFill="1" applyBorder="1" applyAlignment="1" applyProtection="1">
      <alignment horizontal="center" vertical="center" shrinkToFit="1"/>
      <protection hidden="1"/>
    </xf>
    <xf numFmtId="185" fontId="12" fillId="30" borderId="424" xfId="0" applyNumberFormat="1" applyFont="1" applyFill="1" applyBorder="1" applyAlignment="1" applyProtection="1">
      <alignment horizontal="center" vertical="center" shrinkToFit="1"/>
      <protection hidden="1"/>
    </xf>
    <xf numFmtId="0" fontId="12" fillId="30" borderId="423" xfId="0" applyFont="1" applyFill="1" applyBorder="1" applyAlignment="1" applyProtection="1">
      <alignment horizontal="right" vertical="center" shrinkToFit="1"/>
      <protection hidden="1"/>
    </xf>
    <xf numFmtId="0" fontId="12" fillId="63" borderId="416" xfId="0" applyFont="1" applyFill="1" applyBorder="1" applyAlignment="1" applyProtection="1">
      <alignment horizontal="center" vertical="center" shrinkToFit="1"/>
      <protection locked="0"/>
    </xf>
    <xf numFmtId="0" fontId="12" fillId="63" borderId="421" xfId="0" applyFont="1" applyFill="1" applyBorder="1" applyAlignment="1" applyProtection="1">
      <alignment horizontal="center" vertical="center" shrinkToFit="1"/>
      <protection locked="0"/>
    </xf>
    <xf numFmtId="0" fontId="12" fillId="63" borderId="423" xfId="0" applyFont="1" applyFill="1" applyBorder="1" applyAlignment="1" applyProtection="1">
      <alignment horizontal="center" vertical="center" shrinkToFit="1"/>
      <protection locked="0"/>
    </xf>
    <xf numFmtId="185" fontId="12" fillId="30" borderId="416" xfId="0" applyNumberFormat="1" applyFont="1" applyFill="1" applyBorder="1" applyAlignment="1" applyProtection="1">
      <alignment horizontal="right" vertical="center" shrinkToFit="1"/>
      <protection hidden="1"/>
    </xf>
    <xf numFmtId="185" fontId="12" fillId="30" borderId="421" xfId="0" applyNumberFormat="1" applyFont="1" applyFill="1" applyBorder="1" applyAlignment="1" applyProtection="1">
      <alignment horizontal="right" vertical="center" shrinkToFit="1"/>
      <protection hidden="1"/>
    </xf>
    <xf numFmtId="185" fontId="12" fillId="30" borderId="423" xfId="0" applyNumberFormat="1" applyFont="1" applyFill="1" applyBorder="1" applyAlignment="1" applyProtection="1">
      <alignment horizontal="right" vertical="center" shrinkToFit="1"/>
      <protection hidden="1"/>
    </xf>
    <xf numFmtId="0" fontId="12" fillId="63" borderId="427" xfId="0" applyFont="1" applyFill="1" applyBorder="1" applyAlignment="1" applyProtection="1">
      <alignment horizontal="right" vertical="center" shrinkToFit="1"/>
      <protection locked="0"/>
    </xf>
    <xf numFmtId="0" fontId="12" fillId="63" borderId="421" xfId="0" applyFont="1" applyFill="1" applyBorder="1" applyAlignment="1" applyProtection="1">
      <alignment horizontal="right" vertical="center" shrinkToFit="1"/>
      <protection locked="0"/>
    </xf>
    <xf numFmtId="0" fontId="12" fillId="63" borderId="423" xfId="0" applyFont="1" applyFill="1" applyBorder="1" applyAlignment="1" applyProtection="1">
      <alignment horizontal="right" vertical="center" shrinkToFit="1"/>
      <protection locked="0"/>
    </xf>
    <xf numFmtId="0" fontId="12" fillId="3" borderId="173" xfId="0" applyFont="1" applyFill="1" applyBorder="1" applyAlignment="1" applyProtection="1">
      <alignment horizontal="left" vertical="center" shrinkToFit="1"/>
      <protection hidden="1"/>
    </xf>
    <xf numFmtId="0" fontId="12" fillId="63" borderId="173" xfId="0" applyFont="1" applyFill="1" applyBorder="1" applyAlignment="1" applyProtection="1">
      <alignment horizontal="left" vertical="center" shrinkToFit="1"/>
      <protection locked="0"/>
    </xf>
    <xf numFmtId="0" fontId="12" fillId="30" borderId="426" xfId="0" applyFont="1" applyFill="1" applyBorder="1" applyAlignment="1" applyProtection="1">
      <alignment horizontal="right" vertical="center" shrinkToFit="1"/>
      <protection hidden="1"/>
    </xf>
    <xf numFmtId="0" fontId="12" fillId="30" borderId="425" xfId="0" applyFont="1" applyFill="1" applyBorder="1" applyAlignment="1" applyProtection="1">
      <alignment horizontal="right" vertical="center" shrinkToFit="1"/>
      <protection hidden="1"/>
    </xf>
    <xf numFmtId="0" fontId="12" fillId="30" borderId="424" xfId="0" applyFont="1" applyFill="1" applyBorder="1" applyAlignment="1" applyProtection="1">
      <alignment horizontal="right" vertical="center" shrinkToFit="1"/>
      <protection hidden="1"/>
    </xf>
    <xf numFmtId="0" fontId="43" fillId="29" borderId="4" xfId="0" applyFont="1" applyFill="1" applyBorder="1" applyAlignment="1" applyProtection="1">
      <alignment horizontal="left" vertical="center" shrinkToFit="1"/>
      <protection hidden="1"/>
    </xf>
    <xf numFmtId="0" fontId="43" fillId="29" borderId="5" xfId="0" applyFont="1" applyFill="1" applyBorder="1" applyAlignment="1" applyProtection="1">
      <alignment horizontal="left" vertical="center" shrinkToFit="1"/>
      <protection hidden="1"/>
    </xf>
    <xf numFmtId="185" fontId="35" fillId="29" borderId="0" xfId="0" applyNumberFormat="1" applyFont="1" applyFill="1" applyBorder="1" applyAlignment="1" applyProtection="1">
      <alignment horizontal="center" vertical="center" shrinkToFit="1"/>
      <protection hidden="1"/>
    </xf>
    <xf numFmtId="185" fontId="12" fillId="30" borderId="173" xfId="0" applyNumberFormat="1" applyFont="1" applyFill="1" applyBorder="1" applyAlignment="1" applyProtection="1">
      <alignment horizontal="right" vertical="center" shrinkToFit="1"/>
      <protection hidden="1"/>
    </xf>
    <xf numFmtId="0" fontId="12" fillId="30" borderId="173" xfId="0" applyFont="1" applyFill="1" applyBorder="1" applyAlignment="1" applyProtection="1">
      <alignment horizontal="right" vertical="center" shrinkToFit="1"/>
      <protection hidden="1"/>
    </xf>
    <xf numFmtId="0" fontId="12" fillId="63" borderId="427" xfId="0" applyFont="1" applyFill="1" applyBorder="1" applyAlignment="1" applyProtection="1">
      <alignment horizontal="center" vertical="center" shrinkToFit="1"/>
      <protection locked="0"/>
    </xf>
    <xf numFmtId="0" fontId="12" fillId="11" borderId="173" xfId="0" applyNumberFormat="1" applyFont="1" applyFill="1" applyBorder="1" applyAlignment="1" applyProtection="1">
      <alignment horizontal="center" vertical="center" shrinkToFit="1"/>
      <protection hidden="1"/>
    </xf>
    <xf numFmtId="0" fontId="12" fillId="3" borderId="175" xfId="0" applyFont="1" applyFill="1" applyBorder="1" applyAlignment="1" applyProtection="1">
      <alignment horizontal="center" vertical="center" shrinkToFit="1"/>
      <protection hidden="1"/>
    </xf>
    <xf numFmtId="0" fontId="12" fillId="3" borderId="178" xfId="0" applyFont="1" applyFill="1" applyBorder="1" applyAlignment="1" applyProtection="1">
      <alignment horizontal="center" vertical="center" shrinkToFit="1"/>
      <protection hidden="1"/>
    </xf>
    <xf numFmtId="0" fontId="12" fillId="3" borderId="176" xfId="0" applyFont="1" applyFill="1" applyBorder="1" applyAlignment="1" applyProtection="1">
      <alignment horizontal="center" vertical="center" shrinkToFit="1"/>
      <protection hidden="1"/>
    </xf>
    <xf numFmtId="0" fontId="12" fillId="11" borderId="173" xfId="0" applyFont="1" applyFill="1" applyBorder="1" applyAlignment="1" applyProtection="1">
      <alignment horizontal="center" vertical="center" shrinkToFit="1"/>
      <protection hidden="1"/>
    </xf>
    <xf numFmtId="0" fontId="12" fillId="30" borderId="175" xfId="0" applyFont="1" applyFill="1" applyBorder="1" applyAlignment="1" applyProtection="1">
      <alignment horizontal="right" vertical="center" shrinkToFit="1"/>
      <protection hidden="1"/>
    </xf>
    <xf numFmtId="0" fontId="12" fillId="30" borderId="178" xfId="0" applyFont="1" applyFill="1" applyBorder="1" applyAlignment="1" applyProtection="1">
      <alignment horizontal="right" vertical="center" shrinkToFit="1"/>
      <protection hidden="1"/>
    </xf>
    <xf numFmtId="0" fontId="12" fillId="30" borderId="176" xfId="0" applyFont="1" applyFill="1" applyBorder="1" applyAlignment="1" applyProtection="1">
      <alignment horizontal="right" vertical="center" shrinkToFit="1"/>
      <protection hidden="1"/>
    </xf>
    <xf numFmtId="0" fontId="12" fillId="63" borderId="416" xfId="0" applyFont="1" applyFill="1" applyBorder="1" applyAlignment="1" applyProtection="1">
      <alignment horizontal="right" vertical="center" shrinkToFit="1"/>
      <protection locked="0"/>
    </xf>
    <xf numFmtId="185" fontId="12" fillId="30" borderId="431" xfId="0" applyNumberFormat="1" applyFont="1" applyFill="1" applyBorder="1" applyAlignment="1" applyProtection="1">
      <alignment horizontal="right" vertical="center" shrinkToFit="1"/>
      <protection hidden="1"/>
    </xf>
    <xf numFmtId="185" fontId="12" fillId="30" borderId="430" xfId="0" applyNumberFormat="1" applyFont="1" applyFill="1" applyBorder="1" applyAlignment="1" applyProtection="1">
      <alignment horizontal="right" vertical="center" shrinkToFit="1"/>
      <protection hidden="1"/>
    </xf>
    <xf numFmtId="185" fontId="12" fillId="30" borderId="429" xfId="0" applyNumberFormat="1" applyFont="1" applyFill="1" applyBorder="1" applyAlignment="1" applyProtection="1">
      <alignment horizontal="right" vertical="center" shrinkToFit="1"/>
      <protection hidden="1"/>
    </xf>
    <xf numFmtId="0" fontId="12" fillId="30" borderId="175" xfId="0" quotePrefix="1" applyFont="1" applyFill="1" applyBorder="1" applyAlignment="1" applyProtection="1">
      <alignment horizontal="center" vertical="center" shrinkToFit="1"/>
      <protection hidden="1"/>
    </xf>
    <xf numFmtId="0" fontId="53" fillId="29" borderId="151" xfId="0" applyFont="1" applyFill="1" applyBorder="1" applyAlignment="1" applyProtection="1">
      <alignment horizontal="center"/>
      <protection hidden="1"/>
    </xf>
    <xf numFmtId="0" fontId="53" fillId="29" borderId="0" xfId="0" applyFont="1" applyFill="1" applyBorder="1" applyAlignment="1" applyProtection="1">
      <alignment horizontal="center"/>
      <protection hidden="1"/>
    </xf>
    <xf numFmtId="182" fontId="182" fillId="29" borderId="151" xfId="0" applyNumberFormat="1" applyFont="1" applyFill="1" applyBorder="1" applyAlignment="1" applyProtection="1">
      <alignment horizontal="center"/>
      <protection hidden="1"/>
    </xf>
    <xf numFmtId="182" fontId="182" fillId="29" borderId="0" xfId="0" applyNumberFormat="1" applyFont="1" applyFill="1" applyBorder="1" applyAlignment="1" applyProtection="1">
      <alignment horizontal="center"/>
      <protection hidden="1"/>
    </xf>
    <xf numFmtId="182" fontId="47" fillId="29" borderId="434" xfId="0" applyNumberFormat="1" applyFont="1" applyFill="1" applyBorder="1" applyAlignment="1" applyProtection="1">
      <alignment horizontal="center" shrinkToFit="1"/>
      <protection hidden="1"/>
    </xf>
    <xf numFmtId="182" fontId="47" fillId="29" borderId="151" xfId="0" applyNumberFormat="1" applyFont="1" applyFill="1" applyBorder="1" applyAlignment="1" applyProtection="1">
      <alignment horizontal="center" shrinkToFit="1"/>
      <protection hidden="1"/>
    </xf>
    <xf numFmtId="182" fontId="47" fillId="29" borderId="432" xfId="0" applyNumberFormat="1" applyFont="1" applyFill="1" applyBorder="1" applyAlignment="1" applyProtection="1">
      <alignment horizontal="center" shrinkToFit="1"/>
      <protection hidden="1"/>
    </xf>
    <xf numFmtId="182" fontId="47" fillId="29" borderId="0" xfId="0" applyNumberFormat="1" applyFont="1" applyFill="1" applyBorder="1" applyAlignment="1" applyProtection="1">
      <alignment horizontal="center" shrinkToFit="1"/>
      <protection hidden="1"/>
    </xf>
    <xf numFmtId="0" fontId="53" fillId="29" borderId="151" xfId="0" applyFont="1" applyFill="1" applyBorder="1" applyAlignment="1" applyProtection="1">
      <alignment horizontal="right"/>
      <protection hidden="1"/>
    </xf>
    <xf numFmtId="0" fontId="53" fillId="29" borderId="435" xfId="0" applyFont="1" applyFill="1" applyBorder="1" applyAlignment="1" applyProtection="1">
      <alignment horizontal="right"/>
      <protection hidden="1"/>
    </xf>
    <xf numFmtId="0" fontId="53" fillId="29" borderId="0" xfId="0" applyFont="1" applyFill="1" applyBorder="1" applyAlignment="1" applyProtection="1">
      <alignment horizontal="right"/>
      <protection hidden="1"/>
    </xf>
    <xf numFmtId="0" fontId="53" fillId="29" borderId="433" xfId="0" applyFont="1" applyFill="1" applyBorder="1" applyAlignment="1" applyProtection="1">
      <alignment horizontal="right"/>
      <protection hidden="1"/>
    </xf>
    <xf numFmtId="182" fontId="394" fillId="29" borderId="0" xfId="0" applyNumberFormat="1" applyFont="1" applyFill="1" applyBorder="1" applyAlignment="1" applyProtection="1">
      <alignment horizontal="center" vertical="center" shrinkToFit="1"/>
      <protection hidden="1"/>
    </xf>
    <xf numFmtId="185" fontId="12" fillId="30" borderId="173" xfId="0" quotePrefix="1" applyNumberFormat="1" applyFont="1" applyFill="1" applyBorder="1" applyAlignment="1" applyProtection="1">
      <alignment horizontal="right" vertical="center" shrinkToFit="1"/>
      <protection hidden="1"/>
    </xf>
    <xf numFmtId="0" fontId="12" fillId="3" borderId="199" xfId="0" applyFont="1" applyFill="1" applyBorder="1" applyAlignment="1" applyProtection="1">
      <alignment horizontal="center" vertical="center" shrinkToFit="1"/>
      <protection hidden="1"/>
    </xf>
    <xf numFmtId="0" fontId="12" fillId="3" borderId="221" xfId="0" applyFont="1" applyFill="1" applyBorder="1" applyAlignment="1" applyProtection="1">
      <alignment horizontal="center" vertical="center" shrinkToFit="1"/>
      <protection hidden="1"/>
    </xf>
    <xf numFmtId="182" fontId="241" fillId="29" borderId="432" xfId="0" applyNumberFormat="1" applyFont="1" applyFill="1" applyBorder="1" applyAlignment="1" applyProtection="1">
      <alignment horizontal="center" vertical="center" shrinkToFit="1"/>
      <protection hidden="1"/>
    </xf>
    <xf numFmtId="182" fontId="241" fillId="29" borderId="0" xfId="0" applyNumberFormat="1" applyFont="1" applyFill="1" applyBorder="1" applyAlignment="1" applyProtection="1">
      <alignment horizontal="center" vertical="center" shrinkToFit="1"/>
      <protection hidden="1"/>
    </xf>
    <xf numFmtId="0" fontId="61" fillId="29" borderId="469" xfId="0" applyFont="1" applyFill="1" applyBorder="1" applyAlignment="1" applyProtection="1">
      <alignment horizontal="right" wrapText="1"/>
      <protection hidden="1"/>
    </xf>
    <xf numFmtId="0" fontId="61" fillId="29" borderId="468" xfId="0" applyFont="1" applyFill="1" applyBorder="1" applyAlignment="1" applyProtection="1">
      <alignment horizontal="right" wrapText="1"/>
      <protection hidden="1"/>
    </xf>
    <xf numFmtId="0" fontId="61" fillId="29" borderId="467" xfId="0" applyFont="1" applyFill="1" applyBorder="1" applyAlignment="1" applyProtection="1">
      <alignment horizontal="right" wrapText="1"/>
      <protection hidden="1"/>
    </xf>
    <xf numFmtId="0" fontId="61" fillId="29" borderId="466" xfId="0" applyFont="1" applyFill="1" applyBorder="1" applyAlignment="1" applyProtection="1">
      <alignment horizontal="right" wrapText="1"/>
      <protection hidden="1"/>
    </xf>
    <xf numFmtId="0" fontId="365" fillId="24" borderId="152" xfId="1" applyFont="1" applyFill="1" applyBorder="1" applyAlignment="1" applyProtection="1">
      <alignment horizontal="center" vertical="center" shrinkToFit="1"/>
      <protection hidden="1"/>
    </xf>
    <xf numFmtId="0" fontId="365" fillId="24" borderId="153" xfId="1" applyFont="1" applyFill="1" applyBorder="1" applyAlignment="1" applyProtection="1">
      <alignment horizontal="center" vertical="center" shrinkToFit="1"/>
      <protection hidden="1"/>
    </xf>
    <xf numFmtId="0" fontId="365" fillId="24" borderId="154" xfId="1" applyFont="1" applyFill="1" applyBorder="1" applyAlignment="1" applyProtection="1">
      <alignment horizontal="center" vertical="center" shrinkToFit="1"/>
      <protection hidden="1"/>
    </xf>
    <xf numFmtId="0" fontId="365" fillId="24" borderId="330" xfId="1" applyFont="1" applyFill="1" applyBorder="1" applyAlignment="1" applyProtection="1">
      <alignment horizontal="center" vertical="center" shrinkToFit="1"/>
      <protection hidden="1"/>
    </xf>
    <xf numFmtId="0" fontId="365" fillId="24" borderId="331" xfId="1" applyFont="1" applyFill="1" applyBorder="1" applyAlignment="1" applyProtection="1">
      <alignment horizontal="center" vertical="center" shrinkToFit="1"/>
      <protection hidden="1"/>
    </xf>
    <xf numFmtId="0" fontId="365" fillId="24" borderId="332" xfId="1" applyFont="1" applyFill="1" applyBorder="1" applyAlignment="1" applyProtection="1">
      <alignment horizontal="center" vertical="center" shrinkToFit="1"/>
      <protection hidden="1"/>
    </xf>
    <xf numFmtId="0" fontId="30" fillId="24" borderId="152" xfId="1" quotePrefix="1" applyFont="1" applyFill="1" applyBorder="1" applyAlignment="1" applyProtection="1">
      <alignment horizontal="center" vertical="center" shrinkToFit="1"/>
      <protection hidden="1"/>
    </xf>
    <xf numFmtId="0" fontId="30" fillId="24" borderId="153" xfId="1" quotePrefix="1" applyFont="1" applyFill="1" applyBorder="1" applyAlignment="1" applyProtection="1">
      <alignment horizontal="center" vertical="center" shrinkToFit="1"/>
      <protection hidden="1"/>
    </xf>
    <xf numFmtId="0" fontId="30" fillId="24" borderId="154" xfId="1" quotePrefix="1" applyFont="1" applyFill="1" applyBorder="1" applyAlignment="1" applyProtection="1">
      <alignment horizontal="center" vertical="center" shrinkToFit="1"/>
      <protection hidden="1"/>
    </xf>
    <xf numFmtId="0" fontId="30" fillId="24" borderId="330" xfId="1" quotePrefix="1" applyFont="1" applyFill="1" applyBorder="1" applyAlignment="1" applyProtection="1">
      <alignment horizontal="center" vertical="center" shrinkToFit="1"/>
      <protection hidden="1"/>
    </xf>
    <xf numFmtId="0" fontId="30" fillId="24" borderId="331" xfId="1" quotePrefix="1" applyFont="1" applyFill="1" applyBorder="1" applyAlignment="1" applyProtection="1">
      <alignment horizontal="center" vertical="center" shrinkToFit="1"/>
      <protection hidden="1"/>
    </xf>
    <xf numFmtId="0" fontId="30" fillId="24" borderId="332" xfId="1" quotePrefix="1" applyFont="1" applyFill="1" applyBorder="1" applyAlignment="1" applyProtection="1">
      <alignment horizontal="center" vertical="center" shrinkToFit="1"/>
      <protection hidden="1"/>
    </xf>
    <xf numFmtId="0" fontId="365" fillId="24" borderId="152" xfId="1" applyFont="1" applyFill="1" applyBorder="1" applyAlignment="1" applyProtection="1">
      <alignment horizontal="center" vertical="center"/>
      <protection hidden="1"/>
    </xf>
    <xf numFmtId="0" fontId="365" fillId="24" borderId="153" xfId="1" applyFont="1" applyFill="1" applyBorder="1" applyAlignment="1" applyProtection="1">
      <alignment horizontal="center" vertical="center"/>
      <protection hidden="1"/>
    </xf>
    <xf numFmtId="0" fontId="365" fillId="24" borderId="154" xfId="1" applyFont="1" applyFill="1" applyBorder="1" applyAlignment="1" applyProtection="1">
      <alignment horizontal="center" vertical="center"/>
      <protection hidden="1"/>
    </xf>
    <xf numFmtId="0" fontId="365" fillId="24" borderId="330" xfId="1" applyFont="1" applyFill="1" applyBorder="1" applyAlignment="1" applyProtection="1">
      <alignment horizontal="center" vertical="center"/>
      <protection hidden="1"/>
    </xf>
    <xf numFmtId="0" fontId="365" fillId="24" borderId="331" xfId="1" applyFont="1" applyFill="1" applyBorder="1" applyAlignment="1" applyProtection="1">
      <alignment horizontal="center" vertical="center"/>
      <protection hidden="1"/>
    </xf>
    <xf numFmtId="0" fontId="365" fillId="24" borderId="332" xfId="1" applyFont="1" applyFill="1" applyBorder="1" applyAlignment="1" applyProtection="1">
      <alignment horizontal="center" vertical="center"/>
      <protection hidden="1"/>
    </xf>
    <xf numFmtId="0" fontId="499" fillId="24" borderId="152" xfId="1" applyFont="1" applyFill="1" applyBorder="1" applyAlignment="1">
      <alignment horizontal="center" vertical="center"/>
    </xf>
    <xf numFmtId="0" fontId="499" fillId="24" borderId="153" xfId="1" applyFont="1" applyFill="1" applyBorder="1" applyAlignment="1">
      <alignment horizontal="center" vertical="center"/>
    </xf>
    <xf numFmtId="0" fontId="499" fillId="24" borderId="154" xfId="1" applyFont="1" applyFill="1" applyBorder="1" applyAlignment="1">
      <alignment horizontal="center" vertical="center"/>
    </xf>
    <xf numFmtId="0" fontId="499" fillId="24" borderId="330" xfId="1" applyFont="1" applyFill="1" applyBorder="1" applyAlignment="1">
      <alignment horizontal="center" vertical="center"/>
    </xf>
    <xf numFmtId="0" fontId="499" fillId="24" borderId="331" xfId="1" applyFont="1" applyFill="1" applyBorder="1" applyAlignment="1">
      <alignment horizontal="center" vertical="center"/>
    </xf>
    <xf numFmtId="0" fontId="499" fillId="24" borderId="332" xfId="1" applyFont="1" applyFill="1" applyBorder="1" applyAlignment="1">
      <alignment horizontal="center" vertical="center"/>
    </xf>
    <xf numFmtId="0" fontId="12" fillId="3" borderId="4" xfId="0" applyFont="1" applyFill="1" applyBorder="1" applyAlignment="1" applyProtection="1">
      <alignment horizontal="center" vertical="center" textRotation="180" shrinkToFit="1"/>
      <protection hidden="1"/>
    </xf>
    <xf numFmtId="0" fontId="12" fillId="3" borderId="177" xfId="0" applyFont="1" applyFill="1" applyBorder="1" applyAlignment="1" applyProtection="1">
      <alignment horizontal="center" vertical="center" textRotation="180" shrinkToFit="1"/>
      <protection hidden="1"/>
    </xf>
    <xf numFmtId="185" fontId="12" fillId="26" borderId="4" xfId="0" applyNumberFormat="1" applyFont="1" applyFill="1" applyBorder="1" applyAlignment="1" applyProtection="1">
      <alignment horizontal="right" vertical="center" shrinkToFit="1"/>
      <protection locked="0"/>
    </xf>
    <xf numFmtId="185" fontId="12" fillId="26" borderId="0" xfId="0" applyNumberFormat="1" applyFont="1" applyFill="1" applyBorder="1" applyAlignment="1" applyProtection="1">
      <alignment horizontal="right" vertical="center" shrinkToFit="1"/>
      <protection locked="0"/>
    </xf>
    <xf numFmtId="185" fontId="12" fillId="26" borderId="5" xfId="0" applyNumberFormat="1" applyFont="1" applyFill="1" applyBorder="1" applyAlignment="1" applyProtection="1">
      <alignment horizontal="right" vertical="center" shrinkToFit="1"/>
      <protection locked="0"/>
    </xf>
    <xf numFmtId="185" fontId="12" fillId="26" borderId="177" xfId="0" applyNumberFormat="1" applyFont="1" applyFill="1" applyBorder="1" applyAlignment="1" applyProtection="1">
      <alignment horizontal="right" vertical="center" shrinkToFit="1"/>
      <protection locked="0"/>
    </xf>
    <xf numFmtId="185" fontId="12" fillId="26" borderId="219" xfId="0" applyNumberFormat="1" applyFont="1" applyFill="1" applyBorder="1" applyAlignment="1" applyProtection="1">
      <alignment horizontal="right" vertical="center" shrinkToFit="1"/>
      <protection locked="0"/>
    </xf>
    <xf numFmtId="185" fontId="12" fillId="26" borderId="20" xfId="0" applyNumberFormat="1" applyFont="1" applyFill="1" applyBorder="1" applyAlignment="1" applyProtection="1">
      <alignment horizontal="right" vertical="center" shrinkToFit="1"/>
      <protection locked="0"/>
    </xf>
    <xf numFmtId="0" fontId="12" fillId="11" borderId="4" xfId="0" applyFont="1" applyFill="1" applyBorder="1" applyAlignment="1" applyProtection="1">
      <alignment horizontal="center" vertical="center" shrinkToFit="1"/>
      <protection hidden="1"/>
    </xf>
    <xf numFmtId="0" fontId="12" fillId="11" borderId="5" xfId="0" applyFont="1" applyFill="1" applyBorder="1" applyAlignment="1" applyProtection="1">
      <alignment horizontal="center" vertical="center" shrinkToFit="1"/>
      <protection hidden="1"/>
    </xf>
    <xf numFmtId="0" fontId="12" fillId="11" borderId="177" xfId="0" applyFont="1" applyFill="1" applyBorder="1" applyAlignment="1" applyProtection="1">
      <alignment horizontal="center" vertical="center" shrinkToFit="1"/>
      <protection hidden="1"/>
    </xf>
    <xf numFmtId="0" fontId="12" fillId="11" borderId="20" xfId="0" applyFont="1" applyFill="1" applyBorder="1" applyAlignment="1" applyProtection="1">
      <alignment horizontal="center" vertical="center" shrinkToFit="1"/>
      <protection hidden="1"/>
    </xf>
    <xf numFmtId="185" fontId="12" fillId="30" borderId="4" xfId="0" applyNumberFormat="1" applyFont="1" applyFill="1" applyBorder="1" applyAlignment="1" applyProtection="1">
      <alignment horizontal="right" vertical="center" shrinkToFit="1"/>
      <protection hidden="1"/>
    </xf>
    <xf numFmtId="185" fontId="12" fillId="30" borderId="0" xfId="0" applyNumberFormat="1" applyFont="1" applyFill="1" applyBorder="1" applyAlignment="1" applyProtection="1">
      <alignment horizontal="right" vertical="center" shrinkToFit="1"/>
      <protection hidden="1"/>
    </xf>
    <xf numFmtId="185" fontId="12" fillId="30" borderId="5" xfId="0" applyNumberFormat="1" applyFont="1" applyFill="1" applyBorder="1" applyAlignment="1" applyProtection="1">
      <alignment horizontal="right" vertical="center" shrinkToFit="1"/>
      <protection hidden="1"/>
    </xf>
    <xf numFmtId="185" fontId="12" fillId="30" borderId="177" xfId="0" applyNumberFormat="1" applyFont="1" applyFill="1" applyBorder="1" applyAlignment="1" applyProtection="1">
      <alignment horizontal="right" vertical="center" shrinkToFit="1"/>
      <protection hidden="1"/>
    </xf>
    <xf numFmtId="185" fontId="12" fillId="30" borderId="219" xfId="0" applyNumberFormat="1" applyFont="1" applyFill="1" applyBorder="1" applyAlignment="1" applyProtection="1">
      <alignment horizontal="right" vertical="center" shrinkToFit="1"/>
      <protection hidden="1"/>
    </xf>
    <xf numFmtId="185" fontId="12" fillId="30" borderId="20" xfId="0" applyNumberFormat="1" applyFont="1" applyFill="1" applyBorder="1" applyAlignment="1" applyProtection="1">
      <alignment horizontal="right" vertical="center" shrinkToFit="1"/>
      <protection hidden="1"/>
    </xf>
    <xf numFmtId="0" fontId="2" fillId="3" borderId="492" xfId="0" applyFont="1" applyFill="1" applyBorder="1" applyAlignment="1" applyProtection="1">
      <alignment horizontal="center" vertical="center"/>
      <protection hidden="1"/>
    </xf>
    <xf numFmtId="0" fontId="2" fillId="3" borderId="151" xfId="0" applyFont="1" applyFill="1" applyBorder="1" applyAlignment="1" applyProtection="1">
      <alignment horizontal="center" vertical="center"/>
      <protection hidden="1"/>
    </xf>
    <xf numFmtId="0" fontId="2" fillId="3" borderId="442" xfId="0" applyFont="1" applyFill="1" applyBorder="1" applyAlignment="1" applyProtection="1">
      <alignment horizontal="center" vertical="center"/>
      <protection hidden="1"/>
    </xf>
    <xf numFmtId="0" fontId="2" fillId="3" borderId="0" xfId="0" applyFont="1" applyFill="1" applyBorder="1" applyAlignment="1" applyProtection="1">
      <alignment horizontal="center" vertical="center"/>
      <protection hidden="1"/>
    </xf>
    <xf numFmtId="0" fontId="31" fillId="3" borderId="151" xfId="0" applyFont="1" applyFill="1" applyBorder="1" applyAlignment="1" applyProtection="1">
      <alignment horizontal="center" vertical="center"/>
      <protection hidden="1"/>
    </xf>
    <xf numFmtId="0" fontId="31" fillId="3" borderId="0" xfId="0" applyFont="1" applyFill="1" applyBorder="1" applyAlignment="1" applyProtection="1">
      <alignment horizontal="center" vertical="center"/>
      <protection hidden="1"/>
    </xf>
    <xf numFmtId="0" fontId="61" fillId="29" borderId="460" xfId="0" applyFont="1" applyFill="1" applyBorder="1" applyAlignment="1" applyProtection="1">
      <alignment horizontal="right" vertical="top" wrapText="1"/>
      <protection hidden="1"/>
    </xf>
    <xf numFmtId="0" fontId="61" fillId="29" borderId="459" xfId="0" applyFont="1" applyFill="1" applyBorder="1" applyAlignment="1" applyProtection="1">
      <alignment horizontal="right" vertical="top" wrapText="1"/>
      <protection hidden="1"/>
    </xf>
    <xf numFmtId="0" fontId="61" fillId="29" borderId="0" xfId="0" applyFont="1" applyFill="1" applyBorder="1" applyAlignment="1" applyProtection="1">
      <alignment horizontal="right" vertical="top" wrapText="1"/>
      <protection hidden="1"/>
    </xf>
    <xf numFmtId="0" fontId="61" fillId="29" borderId="133" xfId="0" applyFont="1" applyFill="1" applyBorder="1" applyAlignment="1" applyProtection="1">
      <alignment horizontal="right" vertical="top" wrapText="1"/>
      <protection hidden="1"/>
    </xf>
    <xf numFmtId="0" fontId="2" fillId="3" borderId="458" xfId="0" applyFont="1" applyFill="1" applyBorder="1" applyAlignment="1" applyProtection="1">
      <alignment horizontal="center" vertical="center"/>
      <protection hidden="1"/>
    </xf>
    <xf numFmtId="0" fontId="2" fillId="3" borderId="355" xfId="0" applyFont="1" applyFill="1" applyBorder="1" applyAlignment="1" applyProtection="1">
      <alignment horizontal="center" vertical="center"/>
      <protection hidden="1"/>
    </xf>
    <xf numFmtId="0" fontId="2" fillId="3" borderId="446" xfId="0" applyFont="1" applyFill="1" applyBorder="1" applyAlignment="1" applyProtection="1">
      <alignment horizontal="center" vertical="center"/>
      <protection hidden="1"/>
    </xf>
    <xf numFmtId="0" fontId="12" fillId="3" borderId="175" xfId="0" quotePrefix="1" applyFont="1" applyFill="1" applyBorder="1" applyAlignment="1" applyProtection="1">
      <alignment horizontal="center" vertical="center" shrinkToFit="1"/>
      <protection hidden="1"/>
    </xf>
    <xf numFmtId="0" fontId="12" fillId="3" borderId="178" xfId="0" quotePrefix="1" applyFont="1" applyFill="1" applyBorder="1" applyAlignment="1" applyProtection="1">
      <alignment horizontal="center" vertical="center" shrinkToFit="1"/>
      <protection hidden="1"/>
    </xf>
    <xf numFmtId="0" fontId="12" fillId="3" borderId="176" xfId="0" quotePrefix="1" applyFont="1" applyFill="1" applyBorder="1" applyAlignment="1" applyProtection="1">
      <alignment horizontal="center" vertical="center" shrinkToFit="1"/>
      <protection hidden="1"/>
    </xf>
    <xf numFmtId="0" fontId="12" fillId="63" borderId="176" xfId="0" applyFont="1" applyFill="1" applyBorder="1" applyAlignment="1" applyProtection="1">
      <alignment horizontal="center" vertical="center" shrinkToFit="1"/>
      <protection locked="0"/>
    </xf>
    <xf numFmtId="0" fontId="12" fillId="11" borderId="416" xfId="0" applyFont="1" applyFill="1" applyBorder="1" applyAlignment="1" applyProtection="1">
      <alignment horizontal="center" vertical="center" shrinkToFit="1"/>
      <protection hidden="1"/>
    </xf>
    <xf numFmtId="0" fontId="12" fillId="11" borderId="421" xfId="0" applyFont="1" applyFill="1" applyBorder="1" applyAlignment="1" applyProtection="1">
      <alignment horizontal="center" vertical="center" shrinkToFit="1"/>
      <protection hidden="1"/>
    </xf>
    <xf numFmtId="0" fontId="12" fillId="11" borderId="79" xfId="0" applyFont="1" applyFill="1" applyBorder="1" applyAlignment="1" applyProtection="1">
      <alignment horizontal="center" vertical="center" shrinkToFit="1"/>
      <protection hidden="1"/>
    </xf>
    <xf numFmtId="0" fontId="12" fillId="11" borderId="307" xfId="0" applyFont="1" applyFill="1" applyBorder="1" applyAlignment="1" applyProtection="1">
      <alignment horizontal="center" vertical="center" shrinkToFit="1"/>
      <protection hidden="1"/>
    </xf>
    <xf numFmtId="0" fontId="31" fillId="3" borderId="151" xfId="0" applyFont="1" applyFill="1" applyBorder="1" applyAlignment="1" applyProtection="1">
      <alignment horizontal="center"/>
      <protection hidden="1"/>
    </xf>
    <xf numFmtId="0" fontId="31" fillId="3" borderId="0" xfId="0" applyFont="1" applyFill="1" applyBorder="1" applyAlignment="1" applyProtection="1">
      <alignment horizontal="center"/>
      <protection hidden="1"/>
    </xf>
    <xf numFmtId="0" fontId="175" fillId="3" borderId="485" xfId="0" applyFont="1" applyFill="1" applyBorder="1" applyAlignment="1" applyProtection="1">
      <alignment horizontal="center"/>
      <protection hidden="1"/>
    </xf>
    <xf numFmtId="0" fontId="175" fillId="3" borderId="484" xfId="0" applyFont="1" applyFill="1" applyBorder="1" applyAlignment="1" applyProtection="1">
      <alignment horizontal="center"/>
      <protection hidden="1"/>
    </xf>
    <xf numFmtId="0" fontId="397" fillId="3" borderId="0" xfId="0" applyFont="1" applyFill="1" applyBorder="1" applyAlignment="1" applyProtection="1">
      <alignment horizontal="left"/>
      <protection hidden="1"/>
    </xf>
    <xf numFmtId="0" fontId="336" fillId="3" borderId="0" xfId="0" applyFont="1" applyFill="1" applyBorder="1" applyAlignment="1" applyProtection="1">
      <alignment horizontal="center" vertical="top"/>
      <protection hidden="1"/>
    </xf>
    <xf numFmtId="0" fontId="336" fillId="3" borderId="133" xfId="0" applyFont="1" applyFill="1" applyBorder="1" applyAlignment="1" applyProtection="1">
      <alignment horizontal="center" vertical="top"/>
      <protection hidden="1"/>
    </xf>
    <xf numFmtId="0" fontId="12" fillId="30" borderId="493" xfId="0" applyFont="1" applyFill="1" applyBorder="1" applyAlignment="1" applyProtection="1">
      <alignment horizontal="center" vertical="center"/>
      <protection hidden="1"/>
    </xf>
    <xf numFmtId="0" fontId="12" fillId="30" borderId="22" xfId="0" applyFont="1" applyFill="1" applyBorder="1" applyAlignment="1" applyProtection="1">
      <alignment horizontal="center" vertical="center"/>
      <protection hidden="1"/>
    </xf>
    <xf numFmtId="0" fontId="12" fillId="30" borderId="489" xfId="0" applyFont="1" applyFill="1" applyBorder="1" applyAlignment="1" applyProtection="1">
      <alignment horizontal="center" vertical="center"/>
      <protection hidden="1"/>
    </xf>
    <xf numFmtId="0" fontId="12" fillId="30" borderId="488" xfId="0" applyFont="1" applyFill="1" applyBorder="1" applyAlignment="1" applyProtection="1">
      <alignment horizontal="center" vertical="center"/>
      <protection hidden="1"/>
    </xf>
    <xf numFmtId="0" fontId="12" fillId="30" borderId="78" xfId="0" applyFont="1" applyFill="1" applyBorder="1" applyAlignment="1" applyProtection="1">
      <alignment horizontal="left" vertical="center"/>
      <protection hidden="1"/>
    </xf>
    <xf numFmtId="0" fontId="12" fillId="30" borderId="79" xfId="0" applyFont="1" applyFill="1" applyBorder="1" applyAlignment="1" applyProtection="1">
      <alignment horizontal="left" vertical="center"/>
      <protection hidden="1"/>
    </xf>
    <xf numFmtId="0" fontId="12" fillId="30" borderId="487" xfId="0" applyFont="1" applyFill="1" applyBorder="1" applyAlignment="1" applyProtection="1">
      <alignment horizontal="left" vertical="center"/>
      <protection hidden="1"/>
    </xf>
    <xf numFmtId="0" fontId="12" fillId="30" borderId="418" xfId="0" applyFont="1" applyFill="1" applyBorder="1" applyAlignment="1" applyProtection="1">
      <alignment horizontal="left" vertical="center"/>
      <protection hidden="1"/>
    </xf>
    <xf numFmtId="185" fontId="25" fillId="30" borderId="199" xfId="0" applyNumberFormat="1" applyFont="1" applyFill="1" applyBorder="1" applyAlignment="1" applyProtection="1">
      <alignment horizontal="right" vertical="center" shrinkToFit="1"/>
      <protection hidden="1"/>
    </xf>
    <xf numFmtId="185" fontId="25" fillId="30" borderId="219" xfId="0" applyNumberFormat="1" applyFont="1" applyFill="1" applyBorder="1" applyAlignment="1" applyProtection="1">
      <alignment horizontal="right" vertical="center" shrinkToFit="1"/>
      <protection hidden="1"/>
    </xf>
    <xf numFmtId="182" fontId="27" fillId="30" borderId="199" xfId="0" applyNumberFormat="1" applyFont="1" applyFill="1" applyBorder="1" applyAlignment="1" applyProtection="1">
      <alignment horizontal="right" vertical="center" shrinkToFit="1"/>
      <protection hidden="1"/>
    </xf>
    <xf numFmtId="182" fontId="27" fillId="30" borderId="219" xfId="0" applyNumberFormat="1" applyFont="1" applyFill="1" applyBorder="1" applyAlignment="1" applyProtection="1">
      <alignment horizontal="right" vertical="center" shrinkToFit="1"/>
      <protection hidden="1"/>
    </xf>
    <xf numFmtId="185" fontId="25" fillId="30" borderId="199" xfId="0" applyNumberFormat="1" applyFont="1" applyFill="1" applyBorder="1" applyAlignment="1" applyProtection="1">
      <alignment horizontal="left" vertical="center" shrinkToFit="1"/>
      <protection hidden="1"/>
    </xf>
    <xf numFmtId="185" fontId="25" fillId="30" borderId="221" xfId="0" applyNumberFormat="1" applyFont="1" applyFill="1" applyBorder="1" applyAlignment="1" applyProtection="1">
      <alignment horizontal="left" vertical="center" shrinkToFit="1"/>
      <protection hidden="1"/>
    </xf>
    <xf numFmtId="185" fontId="25" fillId="30" borderId="219" xfId="0" applyNumberFormat="1" applyFont="1" applyFill="1" applyBorder="1" applyAlignment="1" applyProtection="1">
      <alignment horizontal="left" vertical="center" shrinkToFit="1"/>
      <protection hidden="1"/>
    </xf>
    <xf numFmtId="185" fontId="25" fillId="30" borderId="20" xfId="0" applyNumberFormat="1" applyFont="1" applyFill="1" applyBorder="1" applyAlignment="1" applyProtection="1">
      <alignment horizontal="left" vertical="center" shrinkToFit="1"/>
      <protection hidden="1"/>
    </xf>
    <xf numFmtId="185" fontId="25" fillId="73" borderId="416" xfId="0" applyNumberFormat="1" applyFont="1" applyFill="1" applyBorder="1" applyAlignment="1" applyProtection="1">
      <alignment horizontal="left" vertical="center" shrinkToFit="1"/>
      <protection hidden="1"/>
    </xf>
    <xf numFmtId="185" fontId="25" fillId="73" borderId="421" xfId="0" applyNumberFormat="1" applyFont="1" applyFill="1" applyBorder="1" applyAlignment="1" applyProtection="1">
      <alignment horizontal="left" vertical="center" shrinkToFit="1"/>
      <protection hidden="1"/>
    </xf>
    <xf numFmtId="185" fontId="25" fillId="73" borderId="423" xfId="0" applyNumberFormat="1" applyFont="1" applyFill="1" applyBorder="1" applyAlignment="1" applyProtection="1">
      <alignment horizontal="left" vertical="center" shrinkToFit="1"/>
      <protection hidden="1"/>
    </xf>
    <xf numFmtId="192" fontId="24" fillId="30" borderId="416" xfId="0" quotePrefix="1" applyNumberFormat="1" applyFont="1" applyFill="1" applyBorder="1" applyAlignment="1" applyProtection="1">
      <alignment horizontal="right" vertical="center"/>
      <protection hidden="1"/>
    </xf>
    <xf numFmtId="192" fontId="24" fillId="30" borderId="421" xfId="0" applyNumberFormat="1" applyFont="1" applyFill="1" applyBorder="1" applyAlignment="1" applyProtection="1">
      <alignment horizontal="right" vertical="center"/>
      <protection hidden="1"/>
    </xf>
    <xf numFmtId="192" fontId="24" fillId="30" borderId="423" xfId="0" applyNumberFormat="1" applyFont="1" applyFill="1" applyBorder="1" applyAlignment="1" applyProtection="1">
      <alignment horizontal="right" vertical="center"/>
      <protection hidden="1"/>
    </xf>
    <xf numFmtId="0" fontId="12" fillId="30" borderId="440" xfId="0" applyFont="1" applyFill="1" applyBorder="1" applyAlignment="1" applyProtection="1">
      <alignment horizontal="center" vertical="center"/>
      <protection hidden="1"/>
    </xf>
    <xf numFmtId="0" fontId="12" fillId="30" borderId="448" xfId="0" applyFont="1" applyFill="1" applyBorder="1" applyAlignment="1" applyProtection="1">
      <alignment horizontal="center" vertical="center"/>
      <protection hidden="1"/>
    </xf>
    <xf numFmtId="1" fontId="53" fillId="30" borderId="427" xfId="0" quotePrefix="1" applyNumberFormat="1" applyFont="1" applyFill="1" applyBorder="1" applyAlignment="1" applyProtection="1">
      <alignment horizontal="right" vertical="center" shrinkToFit="1"/>
      <protection hidden="1"/>
    </xf>
    <xf numFmtId="1" fontId="53" fillId="30" borderId="421" xfId="0" quotePrefix="1" applyNumberFormat="1" applyFont="1" applyFill="1" applyBorder="1" applyAlignment="1" applyProtection="1">
      <alignment horizontal="right" vertical="center" shrinkToFit="1"/>
      <protection hidden="1"/>
    </xf>
    <xf numFmtId="1" fontId="53" fillId="30" borderId="420" xfId="0" quotePrefix="1" applyNumberFormat="1" applyFont="1" applyFill="1" applyBorder="1" applyAlignment="1" applyProtection="1">
      <alignment horizontal="right" vertical="center" shrinkToFit="1"/>
      <protection hidden="1"/>
    </xf>
    <xf numFmtId="0" fontId="53" fillId="26" borderId="175" xfId="0" applyFont="1" applyFill="1" applyBorder="1" applyAlignment="1" applyProtection="1">
      <alignment horizontal="center" vertical="center" shrinkToFit="1"/>
      <protection locked="0"/>
    </xf>
    <xf numFmtId="0" fontId="53" fillId="26" borderId="178" xfId="0" applyFont="1" applyFill="1" applyBorder="1" applyAlignment="1" applyProtection="1">
      <alignment horizontal="center" vertical="center" shrinkToFit="1"/>
      <protection locked="0"/>
    </xf>
    <xf numFmtId="0" fontId="12" fillId="3" borderId="426" xfId="0" applyFont="1" applyFill="1" applyBorder="1" applyAlignment="1" applyProtection="1">
      <alignment horizontal="center" vertical="center" shrinkToFit="1"/>
      <protection hidden="1"/>
    </xf>
    <xf numFmtId="0" fontId="12" fillId="3" borderId="425" xfId="0" applyFont="1" applyFill="1" applyBorder="1" applyAlignment="1" applyProtection="1">
      <alignment horizontal="center" vertical="center" shrinkToFit="1"/>
      <protection hidden="1"/>
    </xf>
    <xf numFmtId="192" fontId="24" fillId="30" borderId="416" xfId="0" quotePrefix="1" applyNumberFormat="1" applyFont="1" applyFill="1" applyBorder="1" applyAlignment="1" applyProtection="1">
      <alignment horizontal="right" vertical="center" shrinkToFit="1"/>
      <protection hidden="1"/>
    </xf>
    <xf numFmtId="192" fontId="24" fillId="30" borderId="421" xfId="0" quotePrefix="1" applyNumberFormat="1" applyFont="1" applyFill="1" applyBorder="1" applyAlignment="1" applyProtection="1">
      <alignment horizontal="right" vertical="center" shrinkToFit="1"/>
      <protection hidden="1"/>
    </xf>
    <xf numFmtId="192" fontId="24" fillId="30" borderId="423" xfId="0" quotePrefix="1" applyNumberFormat="1" applyFont="1" applyFill="1" applyBorder="1" applyAlignment="1" applyProtection="1">
      <alignment horizontal="right" vertical="center" shrinkToFit="1"/>
      <protection hidden="1"/>
    </xf>
    <xf numFmtId="0" fontId="12" fillId="11" borderId="175" xfId="0" applyFont="1" applyFill="1" applyBorder="1" applyAlignment="1" applyProtection="1">
      <alignment horizontal="right" vertical="center"/>
      <protection hidden="1"/>
    </xf>
    <xf numFmtId="0" fontId="12" fillId="11" borderId="178" xfId="0" applyFont="1" applyFill="1" applyBorder="1" applyAlignment="1" applyProtection="1">
      <alignment horizontal="right" vertical="center"/>
      <protection hidden="1"/>
    </xf>
    <xf numFmtId="0" fontId="12" fillId="11" borderId="176" xfId="0" applyFont="1" applyFill="1" applyBorder="1" applyAlignment="1" applyProtection="1">
      <alignment horizontal="right" vertical="center"/>
      <protection hidden="1"/>
    </xf>
    <xf numFmtId="0" fontId="12" fillId="63" borderId="33" xfId="0" applyFont="1" applyFill="1" applyBorder="1" applyAlignment="1" applyProtection="1">
      <alignment horizontal="center" vertical="center"/>
      <protection locked="0"/>
    </xf>
    <xf numFmtId="0" fontId="12" fillId="63" borderId="35" xfId="0" applyFont="1" applyFill="1" applyBorder="1" applyAlignment="1" applyProtection="1">
      <alignment horizontal="center" vertical="center"/>
      <protection locked="0"/>
    </xf>
    <xf numFmtId="0" fontId="30" fillId="70" borderId="0" xfId="0" applyFont="1" applyFill="1" applyBorder="1" applyAlignment="1" applyProtection="1">
      <alignment horizontal="center" vertical="center" shrinkToFit="1"/>
      <protection hidden="1"/>
    </xf>
    <xf numFmtId="0" fontId="30" fillId="70" borderId="5" xfId="0" applyFont="1" applyFill="1" applyBorder="1" applyAlignment="1" applyProtection="1">
      <alignment horizontal="center" vertical="center" shrinkToFit="1"/>
      <protection hidden="1"/>
    </xf>
    <xf numFmtId="0" fontId="30" fillId="70" borderId="219" xfId="0" applyFont="1" applyFill="1" applyBorder="1" applyAlignment="1" applyProtection="1">
      <alignment horizontal="center" vertical="center" shrinkToFit="1"/>
      <protection hidden="1"/>
    </xf>
    <xf numFmtId="0" fontId="30" fillId="70" borderId="20" xfId="0" applyFont="1" applyFill="1" applyBorder="1" applyAlignment="1" applyProtection="1">
      <alignment horizontal="center" vertical="center" shrinkToFit="1"/>
      <protection hidden="1"/>
    </xf>
    <xf numFmtId="192" fontId="53" fillId="30" borderId="220" xfId="0" quotePrefix="1" applyNumberFormat="1" applyFont="1" applyFill="1" applyBorder="1" applyAlignment="1" applyProtection="1">
      <alignment horizontal="center" vertical="center" shrinkToFit="1"/>
      <protection hidden="1"/>
    </xf>
    <xf numFmtId="192" fontId="53" fillId="30" borderId="199" xfId="0" quotePrefix="1" applyNumberFormat="1" applyFont="1" applyFill="1" applyBorder="1" applyAlignment="1" applyProtection="1">
      <alignment horizontal="center" vertical="center" shrinkToFit="1"/>
      <protection hidden="1"/>
    </xf>
    <xf numFmtId="192" fontId="53" fillId="30" borderId="221" xfId="0" quotePrefix="1" applyNumberFormat="1" applyFont="1" applyFill="1" applyBorder="1" applyAlignment="1" applyProtection="1">
      <alignment horizontal="center" vertical="center" shrinkToFit="1"/>
      <protection hidden="1"/>
    </xf>
    <xf numFmtId="0" fontId="12" fillId="29" borderId="0" xfId="0" applyFont="1" applyFill="1" applyBorder="1" applyAlignment="1" applyProtection="1">
      <alignment horizontal="center" vertical="center"/>
      <protection hidden="1"/>
    </xf>
    <xf numFmtId="187" fontId="12" fillId="30" borderId="175" xfId="0" applyNumberFormat="1" applyFont="1" applyFill="1" applyBorder="1" applyAlignment="1" applyProtection="1">
      <alignment horizontal="right" vertical="center" shrinkToFit="1"/>
      <protection hidden="1"/>
    </xf>
    <xf numFmtId="187" fontId="12" fillId="30" borderId="178" xfId="0" applyNumberFormat="1" applyFont="1" applyFill="1" applyBorder="1" applyAlignment="1" applyProtection="1">
      <alignment horizontal="right" vertical="center" shrinkToFit="1"/>
      <protection hidden="1"/>
    </xf>
    <xf numFmtId="187" fontId="12" fillId="30" borderId="176" xfId="0" applyNumberFormat="1" applyFont="1" applyFill="1" applyBorder="1" applyAlignment="1" applyProtection="1">
      <alignment horizontal="right" vertical="center" shrinkToFit="1"/>
      <protection hidden="1"/>
    </xf>
    <xf numFmtId="0" fontId="53" fillId="29" borderId="358" xfId="0" applyFont="1" applyFill="1" applyBorder="1" applyAlignment="1" applyProtection="1">
      <alignment horizontal="center" vertical="center"/>
      <protection hidden="1"/>
    </xf>
    <xf numFmtId="0" fontId="53" fillId="29" borderId="0" xfId="0" applyFont="1" applyFill="1" applyBorder="1" applyAlignment="1" applyProtection="1">
      <alignment horizontal="center" vertical="center"/>
      <protection hidden="1"/>
    </xf>
    <xf numFmtId="190" fontId="12" fillId="30" borderId="173" xfId="0" applyNumberFormat="1" applyFont="1" applyFill="1" applyBorder="1" applyAlignment="1" applyProtection="1">
      <alignment horizontal="right" vertical="center" shrinkToFit="1"/>
      <protection hidden="1"/>
    </xf>
    <xf numFmtId="186" fontId="12" fillId="30" borderId="175" xfId="0" applyNumberFormat="1" applyFont="1" applyFill="1" applyBorder="1" applyAlignment="1" applyProtection="1">
      <alignment horizontal="right" vertical="center" shrinkToFit="1"/>
      <protection hidden="1"/>
    </xf>
    <xf numFmtId="186" fontId="12" fillId="30" borderId="178" xfId="0" applyNumberFormat="1" applyFont="1" applyFill="1" applyBorder="1" applyAlignment="1" applyProtection="1">
      <alignment horizontal="right" vertical="center" shrinkToFit="1"/>
      <protection hidden="1"/>
    </xf>
    <xf numFmtId="186" fontId="12" fillId="30" borderId="176" xfId="0" applyNumberFormat="1" applyFont="1" applyFill="1" applyBorder="1" applyAlignment="1" applyProtection="1">
      <alignment horizontal="right" vertical="center" shrinkToFit="1"/>
      <protection hidden="1"/>
    </xf>
    <xf numFmtId="0" fontId="12" fillId="11" borderId="176" xfId="0" applyFont="1" applyFill="1" applyBorder="1" applyAlignment="1" applyProtection="1">
      <alignment horizontal="left" vertical="center"/>
      <protection hidden="1"/>
    </xf>
    <xf numFmtId="0" fontId="12" fillId="11" borderId="175" xfId="0" quotePrefix="1" applyFont="1" applyFill="1" applyBorder="1" applyAlignment="1" applyProtection="1">
      <alignment horizontal="center" vertical="center" shrinkToFit="1"/>
      <protection hidden="1"/>
    </xf>
    <xf numFmtId="0" fontId="12" fillId="11" borderId="178" xfId="0" quotePrefix="1" applyFont="1" applyFill="1" applyBorder="1" applyAlignment="1" applyProtection="1">
      <alignment horizontal="center" vertical="center" shrinkToFit="1"/>
      <protection hidden="1"/>
    </xf>
    <xf numFmtId="0" fontId="12" fillId="11" borderId="176" xfId="0" quotePrefix="1" applyFont="1" applyFill="1" applyBorder="1" applyAlignment="1" applyProtection="1">
      <alignment horizontal="center" vertical="center" shrinkToFit="1"/>
      <protection hidden="1"/>
    </xf>
    <xf numFmtId="186" fontId="12" fillId="30" borderId="357" xfId="0" applyNumberFormat="1" applyFont="1" applyFill="1" applyBorder="1" applyAlignment="1" applyProtection="1">
      <alignment horizontal="right" vertical="center"/>
      <protection hidden="1"/>
    </xf>
    <xf numFmtId="0" fontId="12" fillId="30" borderId="355" xfId="0" applyFont="1" applyFill="1" applyBorder="1" applyAlignment="1" applyProtection="1">
      <alignment horizontal="right" vertical="center"/>
      <protection hidden="1"/>
    </xf>
    <xf numFmtId="0" fontId="12" fillId="30" borderId="354" xfId="0" applyFont="1" applyFill="1" applyBorder="1" applyAlignment="1" applyProtection="1">
      <alignment horizontal="right" vertical="center"/>
      <protection hidden="1"/>
    </xf>
    <xf numFmtId="186" fontId="12" fillId="11" borderId="356" xfId="0" applyNumberFormat="1" applyFont="1" applyFill="1" applyBorder="1" applyAlignment="1" applyProtection="1">
      <alignment horizontal="center" vertical="center"/>
      <protection hidden="1"/>
    </xf>
    <xf numFmtId="186" fontId="12" fillId="11" borderId="355" xfId="0" applyNumberFormat="1" applyFont="1" applyFill="1" applyBorder="1" applyAlignment="1" applyProtection="1">
      <alignment horizontal="center" vertical="center"/>
      <protection hidden="1"/>
    </xf>
    <xf numFmtId="186" fontId="12" fillId="11" borderId="354" xfId="0" applyNumberFormat="1" applyFont="1" applyFill="1" applyBorder="1" applyAlignment="1" applyProtection="1">
      <alignment horizontal="center" vertical="center"/>
      <protection hidden="1"/>
    </xf>
    <xf numFmtId="186" fontId="12" fillId="30" borderId="173" xfId="0" applyNumberFormat="1" applyFont="1" applyFill="1" applyBorder="1" applyAlignment="1" applyProtection="1">
      <alignment horizontal="right" vertical="center"/>
      <protection hidden="1"/>
    </xf>
    <xf numFmtId="186" fontId="12" fillId="26" borderId="173" xfId="0" applyNumberFormat="1" applyFont="1" applyFill="1" applyBorder="1" applyAlignment="1" applyProtection="1">
      <alignment horizontal="right" vertical="center"/>
      <protection locked="0"/>
    </xf>
    <xf numFmtId="0" fontId="12" fillId="11" borderId="173" xfId="0" quotePrefix="1" applyFont="1" applyFill="1" applyBorder="1" applyAlignment="1" applyProtection="1">
      <alignment horizontal="center" vertical="center" shrinkToFit="1"/>
      <protection hidden="1"/>
    </xf>
    <xf numFmtId="0" fontId="12" fillId="30" borderId="178" xfId="0" applyFont="1" applyFill="1" applyBorder="1" applyAlignment="1" applyProtection="1">
      <alignment horizontal="right" vertical="center"/>
      <protection hidden="1"/>
    </xf>
    <xf numFmtId="0" fontId="12" fillId="30" borderId="176" xfId="0" applyFont="1" applyFill="1" applyBorder="1" applyAlignment="1" applyProtection="1">
      <alignment horizontal="right" vertical="center"/>
      <protection hidden="1"/>
    </xf>
    <xf numFmtId="0" fontId="220" fillId="24" borderId="366" xfId="1" applyFont="1" applyFill="1" applyBorder="1" applyAlignment="1" applyProtection="1">
      <alignment horizontal="center" vertical="center"/>
      <protection hidden="1"/>
    </xf>
    <xf numFmtId="0" fontId="220" fillId="24" borderId="365" xfId="1" applyFont="1" applyFill="1" applyBorder="1" applyAlignment="1" applyProtection="1">
      <alignment horizontal="center" vertical="center"/>
      <protection hidden="1"/>
    </xf>
    <xf numFmtId="0" fontId="220" fillId="24" borderId="364" xfId="1" applyFont="1" applyFill="1" applyBorder="1" applyAlignment="1" applyProtection="1">
      <alignment horizontal="center" vertical="center"/>
      <protection hidden="1"/>
    </xf>
    <xf numFmtId="181" fontId="12" fillId="26" borderId="173" xfId="0" applyNumberFormat="1" applyFont="1" applyFill="1" applyBorder="1" applyAlignment="1" applyProtection="1">
      <alignment horizontal="center" vertical="center"/>
      <protection locked="0"/>
    </xf>
    <xf numFmtId="186" fontId="12" fillId="30" borderId="173" xfId="0" quotePrefix="1" applyNumberFormat="1" applyFont="1" applyFill="1" applyBorder="1" applyAlignment="1" applyProtection="1">
      <alignment horizontal="right" vertical="center"/>
      <protection hidden="1"/>
    </xf>
    <xf numFmtId="186" fontId="12" fillId="11" borderId="175" xfId="0" applyNumberFormat="1" applyFont="1" applyFill="1" applyBorder="1" applyAlignment="1" applyProtection="1">
      <alignment horizontal="center" vertical="center"/>
      <protection hidden="1"/>
    </xf>
    <xf numFmtId="186" fontId="12" fillId="11" borderId="178" xfId="0" applyNumberFormat="1" applyFont="1" applyFill="1" applyBorder="1" applyAlignment="1" applyProtection="1">
      <alignment horizontal="center" vertical="center"/>
      <protection hidden="1"/>
    </xf>
    <xf numFmtId="186" fontId="12" fillId="11" borderId="360" xfId="0" applyNumberFormat="1" applyFont="1" applyFill="1" applyBorder="1" applyAlignment="1" applyProtection="1">
      <alignment horizontal="center" vertical="center"/>
      <protection hidden="1"/>
    </xf>
    <xf numFmtId="0" fontId="53" fillId="29" borderId="173" xfId="0" quotePrefix="1" applyFont="1" applyFill="1" applyBorder="1" applyAlignment="1" applyProtection="1">
      <alignment horizontal="center" vertical="center"/>
      <protection hidden="1"/>
    </xf>
    <xf numFmtId="0" fontId="12" fillId="29" borderId="4" xfId="0" applyFont="1" applyFill="1" applyBorder="1" applyAlignment="1" applyProtection="1">
      <alignment horizontal="center" vertical="center"/>
      <protection hidden="1"/>
    </xf>
    <xf numFmtId="0" fontId="12" fillId="29" borderId="5" xfId="0" applyFont="1" applyFill="1" applyBorder="1" applyAlignment="1" applyProtection="1">
      <alignment horizontal="center" vertical="center"/>
      <protection hidden="1"/>
    </xf>
    <xf numFmtId="186" fontId="12" fillId="26" borderId="175" xfId="0" applyNumberFormat="1" applyFont="1" applyFill="1" applyBorder="1" applyAlignment="1" applyProtection="1">
      <alignment horizontal="right" vertical="center" shrinkToFit="1"/>
      <protection locked="0"/>
    </xf>
    <xf numFmtId="186" fontId="12" fillId="26" borderId="178" xfId="0" applyNumberFormat="1" applyFont="1" applyFill="1" applyBorder="1" applyAlignment="1" applyProtection="1">
      <alignment horizontal="right" vertical="center" shrinkToFit="1"/>
      <protection locked="0"/>
    </xf>
    <xf numFmtId="186" fontId="12" fillId="26" borderId="176" xfId="0" applyNumberFormat="1" applyFont="1" applyFill="1" applyBorder="1" applyAlignment="1" applyProtection="1">
      <alignment horizontal="right" vertical="center" shrinkToFit="1"/>
      <protection locked="0"/>
    </xf>
    <xf numFmtId="0" fontId="28" fillId="0" borderId="0" xfId="0" applyFont="1" applyFill="1" applyBorder="1" applyAlignment="1" applyProtection="1">
      <alignment horizontal="center" vertical="center"/>
      <protection hidden="1"/>
    </xf>
    <xf numFmtId="186" fontId="12" fillId="11" borderId="173" xfId="0" applyNumberFormat="1" applyFont="1" applyFill="1" applyBorder="1" applyAlignment="1" applyProtection="1">
      <alignment horizontal="center" vertical="center"/>
      <protection hidden="1"/>
    </xf>
    <xf numFmtId="0" fontId="12" fillId="30" borderId="177" xfId="0" applyFont="1" applyFill="1" applyBorder="1" applyAlignment="1" applyProtection="1">
      <alignment horizontal="right" vertical="center" shrinkToFit="1"/>
      <protection hidden="1"/>
    </xf>
    <xf numFmtId="0" fontId="12" fillId="30" borderId="219" xfId="0" applyFont="1" applyFill="1" applyBorder="1" applyAlignment="1" applyProtection="1">
      <alignment horizontal="right" vertical="center" shrinkToFit="1"/>
      <protection hidden="1"/>
    </xf>
    <xf numFmtId="0" fontId="12" fillId="30" borderId="20" xfId="0" applyFont="1" applyFill="1" applyBorder="1" applyAlignment="1" applyProtection="1">
      <alignment horizontal="right" vertical="center" shrinkToFit="1"/>
      <protection hidden="1"/>
    </xf>
    <xf numFmtId="186" fontId="12" fillId="26" borderId="21" xfId="0" applyNumberFormat="1" applyFont="1" applyFill="1" applyBorder="1" applyAlignment="1" applyProtection="1">
      <alignment horizontal="right" vertical="center" shrinkToFit="1"/>
      <protection locked="0"/>
    </xf>
    <xf numFmtId="186" fontId="12" fillId="30" borderId="119" xfId="0" applyNumberFormat="1" applyFont="1" applyFill="1" applyBorder="1" applyAlignment="1" applyProtection="1">
      <alignment horizontal="right" vertical="center" shrinkToFit="1"/>
      <protection hidden="1"/>
    </xf>
    <xf numFmtId="186" fontId="12" fillId="30" borderId="120" xfId="0" applyNumberFormat="1" applyFont="1" applyFill="1" applyBorder="1" applyAlignment="1" applyProtection="1">
      <alignment horizontal="right" vertical="center" shrinkToFit="1"/>
      <protection hidden="1"/>
    </xf>
    <xf numFmtId="186" fontId="12" fillId="30" borderId="121" xfId="0" applyNumberFormat="1" applyFont="1" applyFill="1" applyBorder="1" applyAlignment="1" applyProtection="1">
      <alignment horizontal="right" vertical="center" shrinkToFit="1"/>
      <protection hidden="1"/>
    </xf>
    <xf numFmtId="178" fontId="12" fillId="30" borderId="124" xfId="0" applyNumberFormat="1" applyFont="1" applyFill="1" applyBorder="1" applyAlignment="1" applyProtection="1">
      <alignment horizontal="right" vertical="center"/>
      <protection hidden="1"/>
    </xf>
    <xf numFmtId="178" fontId="12" fillId="30" borderId="125" xfId="0" applyNumberFormat="1" applyFont="1" applyFill="1" applyBorder="1" applyAlignment="1" applyProtection="1">
      <alignment horizontal="right" vertical="center"/>
      <protection hidden="1"/>
    </xf>
    <xf numFmtId="178" fontId="12" fillId="30" borderId="126" xfId="0" applyNumberFormat="1" applyFont="1" applyFill="1" applyBorder="1" applyAlignment="1" applyProtection="1">
      <alignment horizontal="right" vertical="center"/>
      <protection hidden="1"/>
    </xf>
    <xf numFmtId="0" fontId="12" fillId="30" borderId="124" xfId="0" applyFont="1" applyFill="1" applyBorder="1" applyAlignment="1" applyProtection="1">
      <alignment horizontal="center" vertical="center"/>
      <protection hidden="1"/>
    </xf>
    <xf numFmtId="0" fontId="12" fillId="30" borderId="125" xfId="0" applyFont="1" applyFill="1" applyBorder="1" applyAlignment="1" applyProtection="1">
      <alignment horizontal="center" vertical="center"/>
      <protection hidden="1"/>
    </xf>
    <xf numFmtId="0" fontId="12" fillId="30" borderId="126" xfId="0" applyFont="1" applyFill="1" applyBorder="1" applyAlignment="1" applyProtection="1">
      <alignment horizontal="center" vertical="center"/>
      <protection hidden="1"/>
    </xf>
    <xf numFmtId="186" fontId="12" fillId="30" borderId="124" xfId="0" applyNumberFormat="1" applyFont="1" applyFill="1" applyBorder="1" applyAlignment="1" applyProtection="1">
      <alignment horizontal="right" vertical="center" shrinkToFit="1"/>
      <protection hidden="1"/>
    </xf>
    <xf numFmtId="186" fontId="12" fillId="30" borderId="125" xfId="0" applyNumberFormat="1" applyFont="1" applyFill="1" applyBorder="1" applyAlignment="1" applyProtection="1">
      <alignment horizontal="right" vertical="center" shrinkToFit="1"/>
      <protection hidden="1"/>
    </xf>
    <xf numFmtId="186" fontId="12" fillId="30" borderId="126" xfId="0" applyNumberFormat="1" applyFont="1" applyFill="1" applyBorder="1" applyAlignment="1" applyProtection="1">
      <alignment horizontal="right" vertical="center" shrinkToFit="1"/>
      <protection hidden="1"/>
    </xf>
    <xf numFmtId="186" fontId="12" fillId="26" borderId="376" xfId="0" applyNumberFormat="1" applyFont="1" applyFill="1" applyBorder="1" applyAlignment="1" applyProtection="1">
      <alignment horizontal="right" vertical="center" shrinkToFit="1"/>
      <protection locked="0"/>
    </xf>
    <xf numFmtId="186" fontId="12" fillId="30" borderId="129" xfId="0" applyNumberFormat="1" applyFont="1" applyFill="1" applyBorder="1" applyAlignment="1" applyProtection="1">
      <alignment horizontal="right" vertical="center" shrinkToFit="1"/>
      <protection hidden="1"/>
    </xf>
    <xf numFmtId="186" fontId="12" fillId="30" borderId="130" xfId="0" applyNumberFormat="1" applyFont="1" applyFill="1" applyBorder="1" applyAlignment="1" applyProtection="1">
      <alignment horizontal="right" vertical="center" shrinkToFit="1"/>
      <protection hidden="1"/>
    </xf>
    <xf numFmtId="186" fontId="12" fillId="30" borderId="131" xfId="0" applyNumberFormat="1" applyFont="1" applyFill="1" applyBorder="1" applyAlignment="1" applyProtection="1">
      <alignment horizontal="right" vertical="center" shrinkToFit="1"/>
      <protection hidden="1"/>
    </xf>
    <xf numFmtId="186" fontId="12" fillId="26" borderId="69" xfId="0" applyNumberFormat="1" applyFont="1" applyFill="1" applyBorder="1" applyAlignment="1" applyProtection="1">
      <alignment horizontal="right" vertical="center" shrinkToFit="1"/>
      <protection locked="0"/>
    </xf>
    <xf numFmtId="190" fontId="12" fillId="30" borderId="173" xfId="0" applyNumberFormat="1" applyFont="1" applyFill="1" applyBorder="1" applyAlignment="1" applyProtection="1">
      <alignment vertical="center" shrinkToFit="1"/>
      <protection hidden="1"/>
    </xf>
    <xf numFmtId="0" fontId="12" fillId="30" borderId="175" xfId="0" quotePrefix="1" applyFont="1" applyFill="1" applyBorder="1" applyAlignment="1" applyProtection="1">
      <alignment horizontal="center" vertical="center"/>
      <protection hidden="1"/>
    </xf>
    <xf numFmtId="0" fontId="12" fillId="30" borderId="178" xfId="0" quotePrefix="1" applyFont="1" applyFill="1" applyBorder="1" applyAlignment="1" applyProtection="1">
      <alignment horizontal="center" vertical="center"/>
      <protection hidden="1"/>
    </xf>
    <xf numFmtId="176" fontId="12" fillId="30" borderId="175" xfId="0" applyNumberFormat="1" applyFont="1" applyFill="1" applyBorder="1" applyAlignment="1" applyProtection="1">
      <alignment horizontal="right" vertical="center"/>
      <protection hidden="1"/>
    </xf>
    <xf numFmtId="176" fontId="12" fillId="30" borderId="178" xfId="0" applyNumberFormat="1" applyFont="1" applyFill="1" applyBorder="1" applyAlignment="1" applyProtection="1">
      <alignment horizontal="right" vertical="center"/>
      <protection hidden="1"/>
    </xf>
    <xf numFmtId="176" fontId="12" fillId="30" borderId="176" xfId="0" applyNumberFormat="1" applyFont="1" applyFill="1" applyBorder="1" applyAlignment="1" applyProtection="1">
      <alignment horizontal="right" vertical="center"/>
      <protection hidden="1"/>
    </xf>
    <xf numFmtId="0" fontId="12" fillId="30" borderId="175" xfId="0" applyFont="1" applyFill="1" applyBorder="1" applyAlignment="1" applyProtection="1">
      <alignment horizontal="left" vertical="center" shrinkToFit="1"/>
      <protection hidden="1"/>
    </xf>
    <xf numFmtId="0" fontId="12" fillId="30" borderId="178" xfId="0" applyFont="1" applyFill="1" applyBorder="1" applyAlignment="1" applyProtection="1">
      <alignment horizontal="left" vertical="center" shrinkToFit="1"/>
      <protection hidden="1"/>
    </xf>
    <xf numFmtId="0" fontId="12" fillId="30" borderId="176" xfId="0" applyFont="1" applyFill="1" applyBorder="1" applyAlignment="1" applyProtection="1">
      <alignment horizontal="left" vertical="center" shrinkToFit="1"/>
      <protection hidden="1"/>
    </xf>
    <xf numFmtId="0" fontId="12" fillId="0" borderId="0" xfId="0" applyFont="1" applyFill="1" applyAlignment="1" applyProtection="1">
      <alignment horizontal="center" shrinkToFit="1"/>
      <protection hidden="1"/>
    </xf>
    <xf numFmtId="186" fontId="12" fillId="11" borderId="173" xfId="0" quotePrefix="1" applyNumberFormat="1" applyFont="1" applyFill="1" applyBorder="1" applyAlignment="1" applyProtection="1">
      <alignment horizontal="center" vertical="center"/>
      <protection hidden="1"/>
    </xf>
    <xf numFmtId="0" fontId="12" fillId="30" borderId="175" xfId="0" applyFont="1" applyFill="1" applyBorder="1" applyAlignment="1" applyProtection="1">
      <alignment horizontal="center" vertical="center"/>
      <protection hidden="1"/>
    </xf>
    <xf numFmtId="0" fontId="12" fillId="30" borderId="178" xfId="0" applyFont="1" applyFill="1" applyBorder="1" applyAlignment="1" applyProtection="1">
      <alignment horizontal="center" vertical="center"/>
      <protection hidden="1"/>
    </xf>
    <xf numFmtId="0" fontId="12" fillId="30" borderId="176" xfId="0" applyFont="1" applyFill="1" applyBorder="1" applyAlignment="1" applyProtection="1">
      <alignment horizontal="center" vertical="center"/>
      <protection hidden="1"/>
    </xf>
    <xf numFmtId="186" fontId="12" fillId="30" borderId="175" xfId="0" quotePrefix="1" applyNumberFormat="1" applyFont="1" applyFill="1" applyBorder="1" applyAlignment="1" applyProtection="1">
      <alignment horizontal="right" vertical="center" shrinkToFit="1"/>
      <protection hidden="1"/>
    </xf>
    <xf numFmtId="186" fontId="12" fillId="26" borderId="173" xfId="0" applyNumberFormat="1" applyFont="1" applyFill="1" applyBorder="1" applyAlignment="1" applyProtection="1">
      <alignment horizontal="right" vertical="center" shrinkToFit="1"/>
      <protection locked="0"/>
    </xf>
    <xf numFmtId="186" fontId="43" fillId="30" borderId="175" xfId="0" applyNumberFormat="1" applyFont="1" applyFill="1" applyBorder="1" applyAlignment="1" applyProtection="1">
      <alignment horizontal="center" vertical="center" shrinkToFit="1"/>
      <protection hidden="1"/>
    </xf>
    <xf numFmtId="186" fontId="43" fillId="30" borderId="178" xfId="0" applyNumberFormat="1" applyFont="1" applyFill="1" applyBorder="1" applyAlignment="1" applyProtection="1">
      <alignment horizontal="center" vertical="center" shrinkToFit="1"/>
      <protection hidden="1"/>
    </xf>
    <xf numFmtId="186" fontId="43" fillId="30" borderId="176" xfId="0" applyNumberFormat="1" applyFont="1" applyFill="1" applyBorder="1" applyAlignment="1" applyProtection="1">
      <alignment horizontal="center" vertical="center" shrinkToFit="1"/>
      <protection hidden="1"/>
    </xf>
    <xf numFmtId="186" fontId="12" fillId="26" borderId="175" xfId="0" applyNumberFormat="1" applyFont="1" applyFill="1" applyBorder="1" applyAlignment="1" applyProtection="1">
      <alignment horizontal="center" vertical="center" shrinkToFit="1"/>
      <protection locked="0"/>
    </xf>
    <xf numFmtId="186" fontId="12" fillId="26" borderId="178" xfId="0" applyNumberFormat="1" applyFont="1" applyFill="1" applyBorder="1" applyAlignment="1" applyProtection="1">
      <alignment horizontal="center" vertical="center" shrinkToFit="1"/>
      <protection locked="0"/>
    </xf>
    <xf numFmtId="186" fontId="12" fillId="26" borderId="176" xfId="0" applyNumberFormat="1" applyFont="1" applyFill="1" applyBorder="1" applyAlignment="1" applyProtection="1">
      <alignment horizontal="center" vertical="center" shrinkToFit="1"/>
      <protection locked="0"/>
    </xf>
    <xf numFmtId="178" fontId="12" fillId="30" borderId="119" xfId="0" applyNumberFormat="1" applyFont="1" applyFill="1" applyBorder="1" applyAlignment="1" applyProtection="1">
      <alignment horizontal="right" vertical="center"/>
      <protection hidden="1"/>
    </xf>
    <xf numFmtId="178" fontId="12" fillId="30" borderId="120" xfId="0" applyNumberFormat="1" applyFont="1" applyFill="1" applyBorder="1" applyAlignment="1" applyProtection="1">
      <alignment horizontal="right" vertical="center"/>
      <protection hidden="1"/>
    </xf>
    <xf numFmtId="178" fontId="12" fillId="30" borderId="121" xfId="0" applyNumberFormat="1" applyFont="1" applyFill="1" applyBorder="1" applyAlignment="1" applyProtection="1">
      <alignment horizontal="right" vertical="center"/>
      <protection hidden="1"/>
    </xf>
    <xf numFmtId="0" fontId="12" fillId="30" borderId="177" xfId="0" applyFont="1" applyFill="1" applyBorder="1" applyAlignment="1" applyProtection="1">
      <alignment horizontal="center" vertical="center"/>
      <protection hidden="1"/>
    </xf>
    <xf numFmtId="0" fontId="12" fillId="30" borderId="219" xfId="0" applyFont="1" applyFill="1" applyBorder="1" applyAlignment="1" applyProtection="1">
      <alignment horizontal="center" vertical="center"/>
      <protection hidden="1"/>
    </xf>
    <xf numFmtId="0" fontId="12" fillId="30" borderId="20" xfId="0" applyFont="1" applyFill="1" applyBorder="1" applyAlignment="1" applyProtection="1">
      <alignment horizontal="center" vertical="center"/>
      <protection hidden="1"/>
    </xf>
    <xf numFmtId="186" fontId="12" fillId="30" borderId="177" xfId="0" applyNumberFormat="1" applyFont="1" applyFill="1" applyBorder="1" applyAlignment="1" applyProtection="1">
      <alignment horizontal="right" vertical="center" shrinkToFit="1"/>
      <protection hidden="1"/>
    </xf>
    <xf numFmtId="186" fontId="12" fillId="30" borderId="219" xfId="0" applyNumberFormat="1" applyFont="1" applyFill="1" applyBorder="1" applyAlignment="1" applyProtection="1">
      <alignment horizontal="right" vertical="center" shrinkToFit="1"/>
      <protection hidden="1"/>
    </xf>
    <xf numFmtId="186" fontId="12" fillId="30" borderId="20" xfId="0" applyNumberFormat="1" applyFont="1" applyFill="1" applyBorder="1" applyAlignment="1" applyProtection="1">
      <alignment horizontal="right" vertical="center" shrinkToFit="1"/>
      <protection hidden="1"/>
    </xf>
    <xf numFmtId="186" fontId="11" fillId="0" borderId="175" xfId="0" applyNumberFormat="1" applyFont="1" applyFill="1" applyBorder="1" applyAlignment="1" applyProtection="1">
      <alignment horizontal="right" vertical="center"/>
      <protection hidden="1"/>
    </xf>
    <xf numFmtId="186" fontId="11" fillId="0" borderId="176" xfId="0" applyNumberFormat="1" applyFont="1" applyFill="1" applyBorder="1" applyAlignment="1" applyProtection="1">
      <alignment horizontal="right" vertical="center"/>
      <protection hidden="1"/>
    </xf>
    <xf numFmtId="190" fontId="12" fillId="30" borderId="21" xfId="0" applyNumberFormat="1" applyFont="1" applyFill="1" applyBorder="1" applyAlignment="1" applyProtection="1">
      <alignment vertical="center" shrinkToFit="1"/>
      <protection hidden="1"/>
    </xf>
    <xf numFmtId="190" fontId="12" fillId="30" borderId="21" xfId="0" applyNumberFormat="1" applyFont="1" applyFill="1" applyBorder="1" applyAlignment="1" applyProtection="1">
      <alignment horizontal="right" vertical="center" shrinkToFit="1"/>
      <protection hidden="1"/>
    </xf>
    <xf numFmtId="0" fontId="12" fillId="3" borderId="373" xfId="0" applyFont="1" applyFill="1" applyBorder="1" applyAlignment="1" applyProtection="1">
      <alignment horizontal="center" vertical="center" shrinkToFit="1"/>
      <protection hidden="1"/>
    </xf>
    <xf numFmtId="0" fontId="12" fillId="3" borderId="371" xfId="0" applyFont="1" applyFill="1" applyBorder="1" applyAlignment="1" applyProtection="1">
      <alignment horizontal="center" vertical="center" shrinkToFit="1"/>
      <protection hidden="1"/>
    </xf>
    <xf numFmtId="186" fontId="12" fillId="30" borderId="371" xfId="0" applyNumberFormat="1" applyFont="1" applyFill="1" applyBorder="1" applyAlignment="1" applyProtection="1">
      <alignment horizontal="right" vertical="center" shrinkToFit="1"/>
      <protection hidden="1"/>
    </xf>
    <xf numFmtId="186" fontId="12" fillId="26" borderId="371" xfId="0" applyNumberFormat="1" applyFont="1" applyFill="1" applyBorder="1" applyAlignment="1" applyProtection="1">
      <alignment horizontal="right" vertical="center" shrinkToFit="1"/>
      <protection locked="0"/>
    </xf>
    <xf numFmtId="186" fontId="12" fillId="26" borderId="370" xfId="0" applyNumberFormat="1" applyFont="1" applyFill="1" applyBorder="1" applyAlignment="1" applyProtection="1">
      <alignment horizontal="right" vertical="center" shrinkToFit="1"/>
      <protection locked="0"/>
    </xf>
    <xf numFmtId="0" fontId="12" fillId="11" borderId="369" xfId="0" applyFont="1" applyFill="1" applyBorder="1" applyAlignment="1" applyProtection="1">
      <alignment horizontal="right" vertical="center" shrinkToFit="1"/>
      <protection hidden="1"/>
    </xf>
    <xf numFmtId="0" fontId="12" fillId="11" borderId="368" xfId="0" applyFont="1" applyFill="1" applyBorder="1" applyAlignment="1" applyProtection="1">
      <alignment horizontal="right" vertical="center" shrinkToFit="1"/>
      <protection hidden="1"/>
    </xf>
    <xf numFmtId="0" fontId="12" fillId="11" borderId="367" xfId="0" applyFont="1" applyFill="1" applyBorder="1" applyAlignment="1" applyProtection="1">
      <alignment horizontal="right" vertical="center" shrinkToFit="1"/>
      <protection hidden="1"/>
    </xf>
    <xf numFmtId="186" fontId="12" fillId="11" borderId="369" xfId="0" applyNumberFormat="1" applyFont="1" applyFill="1" applyBorder="1" applyAlignment="1" applyProtection="1">
      <alignment horizontal="center" vertical="center" shrinkToFit="1"/>
      <protection hidden="1"/>
    </xf>
    <xf numFmtId="186" fontId="12" fillId="11" borderId="368" xfId="0" applyNumberFormat="1" applyFont="1" applyFill="1" applyBorder="1" applyAlignment="1" applyProtection="1">
      <alignment horizontal="center" vertical="center" shrinkToFit="1"/>
      <protection hidden="1"/>
    </xf>
    <xf numFmtId="186" fontId="12" fillId="11" borderId="367" xfId="0" applyNumberFormat="1" applyFont="1" applyFill="1" applyBorder="1" applyAlignment="1" applyProtection="1">
      <alignment horizontal="center" vertical="center" shrinkToFit="1"/>
      <protection hidden="1"/>
    </xf>
    <xf numFmtId="186" fontId="12" fillId="3" borderId="369" xfId="0" applyNumberFormat="1" applyFont="1" applyFill="1" applyBorder="1" applyAlignment="1" applyProtection="1">
      <alignment horizontal="right" vertical="center" shrinkToFit="1"/>
      <protection hidden="1"/>
    </xf>
    <xf numFmtId="186" fontId="12" fillId="3" borderId="368" xfId="0" applyNumberFormat="1" applyFont="1" applyFill="1" applyBorder="1" applyAlignment="1" applyProtection="1">
      <alignment horizontal="right" vertical="center" shrinkToFit="1"/>
      <protection hidden="1"/>
    </xf>
    <xf numFmtId="186" fontId="12" fillId="3" borderId="367" xfId="0" applyNumberFormat="1" applyFont="1" applyFill="1" applyBorder="1" applyAlignment="1" applyProtection="1">
      <alignment horizontal="right" vertical="center" shrinkToFit="1"/>
      <protection hidden="1"/>
    </xf>
    <xf numFmtId="186" fontId="34" fillId="11" borderId="369" xfId="0" applyNumberFormat="1" applyFont="1" applyFill="1" applyBorder="1" applyAlignment="1" applyProtection="1">
      <alignment horizontal="center" vertical="center" shrinkToFit="1"/>
      <protection hidden="1"/>
    </xf>
    <xf numFmtId="186" fontId="34" fillId="11" borderId="368" xfId="0" applyNumberFormat="1" applyFont="1" applyFill="1" applyBorder="1" applyAlignment="1" applyProtection="1">
      <alignment horizontal="center" vertical="center" shrinkToFit="1"/>
      <protection hidden="1"/>
    </xf>
    <xf numFmtId="186" fontId="34" fillId="11" borderId="367" xfId="0" applyNumberFormat="1" applyFont="1" applyFill="1" applyBorder="1" applyAlignment="1" applyProtection="1">
      <alignment horizontal="center" vertical="center" shrinkToFit="1"/>
      <protection hidden="1"/>
    </xf>
    <xf numFmtId="186" fontId="12" fillId="26" borderId="385" xfId="0" applyNumberFormat="1" applyFont="1" applyFill="1" applyBorder="1" applyAlignment="1" applyProtection="1">
      <alignment horizontal="right" vertical="center" shrinkToFit="1"/>
      <protection locked="0"/>
    </xf>
    <xf numFmtId="186" fontId="12" fillId="30" borderId="384" xfId="0" applyNumberFormat="1" applyFont="1" applyFill="1" applyBorder="1" applyAlignment="1" applyProtection="1">
      <alignment horizontal="right" vertical="center" shrinkToFit="1"/>
      <protection hidden="1"/>
    </xf>
    <xf numFmtId="186" fontId="12" fillId="30" borderId="383" xfId="0" applyNumberFormat="1" applyFont="1" applyFill="1" applyBorder="1" applyAlignment="1" applyProtection="1">
      <alignment horizontal="right" vertical="center" shrinkToFit="1"/>
      <protection hidden="1"/>
    </xf>
    <xf numFmtId="186" fontId="12" fillId="30" borderId="382" xfId="0" applyNumberFormat="1" applyFont="1" applyFill="1" applyBorder="1" applyAlignment="1" applyProtection="1">
      <alignment horizontal="right" vertical="center" shrinkToFit="1"/>
      <protection hidden="1"/>
    </xf>
    <xf numFmtId="190" fontId="12" fillId="30" borderId="381" xfId="0" applyNumberFormat="1" applyFont="1" applyFill="1" applyBorder="1" applyAlignment="1" applyProtection="1">
      <alignment vertical="center" shrinkToFit="1"/>
      <protection hidden="1"/>
    </xf>
    <xf numFmtId="190" fontId="12" fillId="30" borderId="381" xfId="0" applyNumberFormat="1" applyFont="1" applyFill="1" applyBorder="1" applyAlignment="1" applyProtection="1">
      <alignment horizontal="right" vertical="center" shrinkToFit="1"/>
      <protection hidden="1"/>
    </xf>
    <xf numFmtId="0" fontId="12" fillId="3" borderId="380" xfId="0" applyFont="1" applyFill="1" applyBorder="1" applyAlignment="1" applyProtection="1">
      <alignment horizontal="center" vertical="center" shrinkToFit="1"/>
      <protection hidden="1"/>
    </xf>
    <xf numFmtId="0" fontId="12" fillId="3" borderId="378" xfId="0" applyFont="1" applyFill="1" applyBorder="1" applyAlignment="1" applyProtection="1">
      <alignment horizontal="center" vertical="center" shrinkToFit="1"/>
      <protection hidden="1"/>
    </xf>
    <xf numFmtId="0" fontId="12" fillId="3" borderId="375" xfId="0" applyFont="1" applyFill="1" applyBorder="1" applyAlignment="1" applyProtection="1">
      <alignment horizontal="center" vertical="center" shrinkToFit="1"/>
      <protection hidden="1"/>
    </xf>
    <xf numFmtId="0" fontId="12" fillId="3" borderId="173" xfId="0" applyFont="1" applyFill="1" applyBorder="1" applyAlignment="1" applyProtection="1">
      <alignment horizontal="center" vertical="center" shrinkToFit="1"/>
      <protection hidden="1"/>
    </xf>
    <xf numFmtId="186" fontId="12" fillId="30" borderId="173" xfId="0" applyNumberFormat="1" applyFont="1" applyFill="1" applyBorder="1" applyAlignment="1" applyProtection="1">
      <alignment horizontal="right" vertical="center" shrinkToFit="1"/>
      <protection hidden="1"/>
    </xf>
    <xf numFmtId="186" fontId="12" fillId="26" borderId="374" xfId="0" applyNumberFormat="1" applyFont="1" applyFill="1" applyBorder="1" applyAlignment="1" applyProtection="1">
      <alignment horizontal="right" vertical="center" shrinkToFit="1"/>
      <protection locked="0"/>
    </xf>
    <xf numFmtId="190" fontId="12" fillId="30" borderId="124" xfId="0" applyNumberFormat="1" applyFont="1" applyFill="1" applyBorder="1" applyAlignment="1" applyProtection="1">
      <alignment horizontal="right" vertical="center" shrinkToFit="1"/>
      <protection hidden="1"/>
    </xf>
    <xf numFmtId="190" fontId="12" fillId="30" borderId="125" xfId="0" applyNumberFormat="1" applyFont="1" applyFill="1" applyBorder="1" applyAlignment="1" applyProtection="1">
      <alignment horizontal="right" vertical="center" shrinkToFit="1"/>
      <protection hidden="1"/>
    </xf>
    <xf numFmtId="190" fontId="12" fillId="30" borderId="126" xfId="0" applyNumberFormat="1" applyFont="1" applyFill="1" applyBorder="1" applyAlignment="1" applyProtection="1">
      <alignment horizontal="right" vertical="center" shrinkToFit="1"/>
      <protection hidden="1"/>
    </xf>
    <xf numFmtId="190" fontId="12" fillId="30" borderId="69" xfId="0" applyNumberFormat="1" applyFont="1" applyFill="1" applyBorder="1" applyAlignment="1" applyProtection="1">
      <alignment horizontal="right" vertical="center" shrinkToFit="1"/>
      <protection hidden="1"/>
    </xf>
    <xf numFmtId="190" fontId="12" fillId="30" borderId="69" xfId="0" applyNumberFormat="1" applyFont="1" applyFill="1" applyBorder="1" applyAlignment="1" applyProtection="1">
      <alignment vertical="center" shrinkToFit="1"/>
      <protection hidden="1"/>
    </xf>
    <xf numFmtId="186" fontId="12" fillId="30" borderId="378" xfId="0" applyNumberFormat="1" applyFont="1" applyFill="1" applyBorder="1" applyAlignment="1" applyProtection="1">
      <alignment horizontal="right" vertical="center" shrinkToFit="1"/>
      <protection hidden="1"/>
    </xf>
    <xf numFmtId="186" fontId="12" fillId="26" borderId="378" xfId="0" applyNumberFormat="1" applyFont="1" applyFill="1" applyBorder="1" applyAlignment="1" applyProtection="1">
      <alignment horizontal="right" vertical="center" shrinkToFit="1"/>
      <protection locked="0"/>
    </xf>
    <xf numFmtId="186" fontId="12" fillId="26" borderId="377" xfId="0" applyNumberFormat="1" applyFont="1" applyFill="1" applyBorder="1" applyAlignment="1" applyProtection="1">
      <alignment horizontal="right" vertical="center" shrinkToFit="1"/>
      <protection locked="0"/>
    </xf>
    <xf numFmtId="176" fontId="12" fillId="30" borderId="119" xfId="0" applyNumberFormat="1" applyFont="1" applyFill="1" applyBorder="1" applyAlignment="1" applyProtection="1">
      <alignment horizontal="right" vertical="center"/>
      <protection hidden="1"/>
    </xf>
    <xf numFmtId="176" fontId="12" fillId="30" borderId="120" xfId="0" applyNumberFormat="1" applyFont="1" applyFill="1" applyBorder="1" applyAlignment="1" applyProtection="1">
      <alignment horizontal="right" vertical="center"/>
      <protection hidden="1"/>
    </xf>
    <xf numFmtId="176" fontId="12" fillId="30" borderId="121" xfId="0" applyNumberFormat="1" applyFont="1" applyFill="1" applyBorder="1" applyAlignment="1" applyProtection="1">
      <alignment horizontal="right" vertical="center"/>
      <protection hidden="1"/>
    </xf>
    <xf numFmtId="186" fontId="11" fillId="0" borderId="173" xfId="0" applyNumberFormat="1" applyFont="1" applyFill="1" applyBorder="1" applyAlignment="1" applyProtection="1">
      <alignment horizontal="right" vertical="center" shrinkToFit="1"/>
      <protection hidden="1"/>
    </xf>
    <xf numFmtId="178" fontId="12" fillId="3" borderId="69" xfId="0" applyNumberFormat="1" applyFont="1" applyFill="1" applyBorder="1" applyAlignment="1" applyProtection="1">
      <alignment horizontal="right" vertical="center"/>
      <protection hidden="1"/>
    </xf>
    <xf numFmtId="186" fontId="12" fillId="3" borderId="69" xfId="0" applyNumberFormat="1" applyFont="1" applyFill="1" applyBorder="1" applyAlignment="1" applyProtection="1">
      <alignment horizontal="center" vertical="center" shrinkToFit="1"/>
      <protection hidden="1"/>
    </xf>
    <xf numFmtId="186" fontId="12" fillId="3" borderId="124" xfId="0" applyNumberFormat="1" applyFont="1" applyFill="1" applyBorder="1" applyAlignment="1" applyProtection="1">
      <alignment horizontal="right" vertical="center" shrinkToFit="1"/>
      <protection hidden="1"/>
    </xf>
    <xf numFmtId="186" fontId="12" fillId="3" borderId="125" xfId="0" applyNumberFormat="1" applyFont="1" applyFill="1" applyBorder="1" applyAlignment="1" applyProtection="1">
      <alignment horizontal="right" vertical="center" shrinkToFit="1"/>
      <protection hidden="1"/>
    </xf>
    <xf numFmtId="186" fontId="12" fillId="3" borderId="126" xfId="0" applyNumberFormat="1" applyFont="1" applyFill="1" applyBorder="1" applyAlignment="1" applyProtection="1">
      <alignment horizontal="right" vertical="center" shrinkToFit="1"/>
      <protection hidden="1"/>
    </xf>
    <xf numFmtId="0" fontId="12" fillId="30" borderId="385" xfId="0" applyFont="1" applyFill="1" applyBorder="1" applyAlignment="1" applyProtection="1">
      <alignment horizontal="left" vertical="center" shrinkToFit="1"/>
      <protection hidden="1"/>
    </xf>
    <xf numFmtId="178" fontId="12" fillId="30" borderId="384" xfId="0" applyNumberFormat="1" applyFont="1" applyFill="1" applyBorder="1" applyAlignment="1" applyProtection="1">
      <alignment horizontal="right" vertical="center"/>
      <protection hidden="1"/>
    </xf>
    <xf numFmtId="178" fontId="12" fillId="30" borderId="383" xfId="0" applyNumberFormat="1" applyFont="1" applyFill="1" applyBorder="1" applyAlignment="1" applyProtection="1">
      <alignment horizontal="right" vertical="center"/>
      <protection hidden="1"/>
    </xf>
    <xf numFmtId="178" fontId="12" fillId="30" borderId="382" xfId="0" applyNumberFormat="1" applyFont="1" applyFill="1" applyBorder="1" applyAlignment="1" applyProtection="1">
      <alignment horizontal="right" vertical="center"/>
      <protection hidden="1"/>
    </xf>
    <xf numFmtId="0" fontId="12" fillId="30" borderId="384" xfId="0" applyFont="1" applyFill="1" applyBorder="1" applyAlignment="1" applyProtection="1">
      <alignment horizontal="center" vertical="center"/>
      <protection hidden="1"/>
    </xf>
    <xf numFmtId="0" fontId="12" fillId="30" borderId="383" xfId="0" applyFont="1" applyFill="1" applyBorder="1" applyAlignment="1" applyProtection="1">
      <alignment horizontal="center" vertical="center"/>
      <protection hidden="1"/>
    </xf>
    <xf numFmtId="0" fontId="12" fillId="30" borderId="382" xfId="0" applyFont="1" applyFill="1" applyBorder="1" applyAlignment="1" applyProtection="1">
      <alignment horizontal="center" vertical="center"/>
      <protection hidden="1"/>
    </xf>
    <xf numFmtId="186" fontId="12" fillId="30" borderId="385" xfId="0" applyNumberFormat="1" applyFont="1" applyFill="1" applyBorder="1" applyAlignment="1" applyProtection="1">
      <alignment horizontal="right" vertical="center" shrinkToFit="1"/>
      <protection hidden="1"/>
    </xf>
    <xf numFmtId="186" fontId="12" fillId="30" borderId="385" xfId="0" applyNumberFormat="1" applyFont="1" applyFill="1" applyBorder="1" applyAlignment="1" applyProtection="1">
      <alignment horizontal="center" vertical="center" shrinkToFit="1"/>
      <protection hidden="1"/>
    </xf>
    <xf numFmtId="0" fontId="12" fillId="3" borderId="15" xfId="0" applyFont="1" applyFill="1" applyBorder="1" applyAlignment="1" applyProtection="1">
      <alignment horizontal="center" vertical="center" shrinkToFit="1"/>
      <protection hidden="1"/>
    </xf>
    <xf numFmtId="186" fontId="12" fillId="26" borderId="15" xfId="0" applyNumberFormat="1" applyFont="1" applyFill="1" applyBorder="1" applyAlignment="1" applyProtection="1">
      <alignment horizontal="right" vertical="center" shrinkToFit="1"/>
      <protection locked="0"/>
    </xf>
    <xf numFmtId="186" fontId="12" fillId="30" borderId="69" xfId="0" applyNumberFormat="1" applyFont="1" applyFill="1" applyBorder="1" applyAlignment="1" applyProtection="1">
      <alignment horizontal="right" vertical="center" shrinkToFit="1"/>
      <protection hidden="1"/>
    </xf>
    <xf numFmtId="186" fontId="12" fillId="30" borderId="69" xfId="0" applyNumberFormat="1" applyFont="1" applyFill="1" applyBorder="1" applyAlignment="1" applyProtection="1">
      <alignment horizontal="center" vertical="center" shrinkToFit="1"/>
      <protection hidden="1"/>
    </xf>
    <xf numFmtId="186" fontId="12" fillId="30" borderId="387" xfId="0" applyNumberFormat="1" applyFont="1" applyFill="1" applyBorder="1" applyAlignment="1" applyProtection="1">
      <alignment horizontal="right" vertical="center" shrinkToFit="1"/>
      <protection hidden="1"/>
    </xf>
    <xf numFmtId="186" fontId="12" fillId="30" borderId="387" xfId="0" applyNumberFormat="1" applyFont="1" applyFill="1" applyBorder="1" applyAlignment="1" applyProtection="1">
      <alignment horizontal="center" vertical="center" shrinkToFit="1"/>
      <protection hidden="1"/>
    </xf>
    <xf numFmtId="186" fontId="12" fillId="30" borderId="119" xfId="0" applyNumberFormat="1" applyFont="1" applyFill="1" applyBorder="1" applyAlignment="1" applyProtection="1">
      <alignment horizontal="center" vertical="center" shrinkToFit="1"/>
      <protection hidden="1"/>
    </xf>
    <xf numFmtId="186" fontId="12" fillId="30" borderId="120" xfId="0" applyNumberFormat="1" applyFont="1" applyFill="1" applyBorder="1" applyAlignment="1" applyProtection="1">
      <alignment horizontal="center" vertical="center" shrinkToFit="1"/>
      <protection hidden="1"/>
    </xf>
    <xf numFmtId="186" fontId="12" fillId="30" borderId="121" xfId="0" applyNumberFormat="1" applyFont="1" applyFill="1" applyBorder="1" applyAlignment="1" applyProtection="1">
      <alignment horizontal="center" vertical="center" shrinkToFit="1"/>
      <protection hidden="1"/>
    </xf>
    <xf numFmtId="178" fontId="12" fillId="30" borderId="124" xfId="0" applyNumberFormat="1" applyFont="1" applyFill="1" applyBorder="1" applyAlignment="1" applyProtection="1">
      <alignment horizontal="right" vertical="center" shrinkToFit="1"/>
      <protection hidden="1"/>
    </xf>
    <xf numFmtId="178" fontId="12" fillId="30" borderId="125" xfId="0" applyNumberFormat="1" applyFont="1" applyFill="1" applyBorder="1" applyAlignment="1" applyProtection="1">
      <alignment horizontal="right" vertical="center" shrinkToFit="1"/>
      <protection hidden="1"/>
    </xf>
    <xf numFmtId="186" fontId="12" fillId="30" borderId="124" xfId="0" applyNumberFormat="1" applyFont="1" applyFill="1" applyBorder="1" applyAlignment="1" applyProtection="1">
      <alignment horizontal="center" vertical="center" shrinkToFit="1"/>
      <protection hidden="1"/>
    </xf>
    <xf numFmtId="186" fontId="12" fillId="30" borderId="125" xfId="0" applyNumberFormat="1" applyFont="1" applyFill="1" applyBorder="1" applyAlignment="1" applyProtection="1">
      <alignment horizontal="center" vertical="center" shrinkToFit="1"/>
      <protection hidden="1"/>
    </xf>
    <xf numFmtId="186" fontId="12" fillId="30" borderId="126" xfId="0" applyNumberFormat="1" applyFont="1" applyFill="1" applyBorder="1" applyAlignment="1" applyProtection="1">
      <alignment horizontal="center" vertical="center" shrinkToFit="1"/>
      <protection hidden="1"/>
    </xf>
    <xf numFmtId="178" fontId="12" fillId="30" borderId="69" xfId="0" applyNumberFormat="1" applyFont="1" applyFill="1" applyBorder="1" applyAlignment="1" applyProtection="1">
      <alignment horizontal="right" vertical="center" shrinkToFit="1"/>
      <protection hidden="1"/>
    </xf>
    <xf numFmtId="0" fontId="12" fillId="3" borderId="21" xfId="0" applyFont="1" applyFill="1" applyBorder="1" applyAlignment="1" applyProtection="1">
      <alignment horizontal="center" vertical="center" shrinkToFit="1"/>
      <protection hidden="1"/>
    </xf>
    <xf numFmtId="186" fontId="34" fillId="11" borderId="199" xfId="0" applyNumberFormat="1" applyFont="1" applyFill="1" applyBorder="1" applyAlignment="1" applyProtection="1">
      <alignment horizontal="center" vertical="center" shrinkToFit="1"/>
      <protection hidden="1"/>
    </xf>
    <xf numFmtId="186" fontId="34" fillId="11" borderId="221" xfId="0" applyNumberFormat="1" applyFont="1" applyFill="1" applyBorder="1" applyAlignment="1" applyProtection="1">
      <alignment horizontal="center" vertical="center" shrinkToFit="1"/>
      <protection hidden="1"/>
    </xf>
    <xf numFmtId="178" fontId="12" fillId="0" borderId="385" xfId="0" applyNumberFormat="1" applyFont="1" applyFill="1" applyBorder="1" applyAlignment="1" applyProtection="1">
      <alignment horizontal="right" vertical="center"/>
      <protection hidden="1"/>
    </xf>
    <xf numFmtId="186" fontId="12" fillId="30" borderId="389" xfId="0" applyNumberFormat="1" applyFont="1" applyFill="1" applyBorder="1" applyAlignment="1" applyProtection="1">
      <alignment horizontal="right" vertical="center" shrinkToFit="1"/>
      <protection hidden="1"/>
    </xf>
    <xf numFmtId="0" fontId="12" fillId="30" borderId="69" xfId="0" applyFont="1" applyFill="1" applyBorder="1" applyAlignment="1" applyProtection="1">
      <alignment horizontal="right" vertical="center" shrinkToFit="1"/>
      <protection hidden="1"/>
    </xf>
    <xf numFmtId="176" fontId="12" fillId="30" borderId="124" xfId="0" applyNumberFormat="1" applyFont="1" applyFill="1" applyBorder="1" applyAlignment="1" applyProtection="1">
      <alignment horizontal="right" vertical="center"/>
      <protection hidden="1"/>
    </xf>
    <xf numFmtId="176" fontId="12" fillId="30" borderId="125" xfId="0" applyNumberFormat="1" applyFont="1" applyFill="1" applyBorder="1" applyAlignment="1" applyProtection="1">
      <alignment horizontal="right" vertical="center"/>
      <protection hidden="1"/>
    </xf>
    <xf numFmtId="0" fontId="12" fillId="30" borderId="119" xfId="0" applyFont="1" applyFill="1" applyBorder="1" applyAlignment="1" applyProtection="1">
      <alignment horizontal="right" vertical="center" shrinkToFit="1"/>
      <protection hidden="1"/>
    </xf>
    <xf numFmtId="0" fontId="12" fillId="30" borderId="120" xfId="0" applyFont="1" applyFill="1" applyBorder="1" applyAlignment="1" applyProtection="1">
      <alignment horizontal="right" vertical="center" shrinkToFit="1"/>
      <protection hidden="1"/>
    </xf>
    <xf numFmtId="0" fontId="12" fillId="30" borderId="121" xfId="0" applyFont="1" applyFill="1" applyBorder="1" applyAlignment="1" applyProtection="1">
      <alignment horizontal="right" vertical="center" shrinkToFit="1"/>
      <protection hidden="1"/>
    </xf>
    <xf numFmtId="186" fontId="12" fillId="26" borderId="387" xfId="0" applyNumberFormat="1" applyFont="1" applyFill="1" applyBorder="1" applyAlignment="1" applyProtection="1">
      <alignment horizontal="right" vertical="center" shrinkToFit="1"/>
      <protection locked="0"/>
    </xf>
    <xf numFmtId="190" fontId="12" fillId="30" borderId="387" xfId="0" applyNumberFormat="1" applyFont="1" applyFill="1" applyBorder="1" applyAlignment="1" applyProtection="1">
      <alignment vertical="center" shrinkToFit="1"/>
      <protection hidden="1"/>
    </xf>
    <xf numFmtId="190" fontId="12" fillId="30" borderId="387" xfId="0" applyNumberFormat="1" applyFont="1" applyFill="1" applyBorder="1" applyAlignment="1" applyProtection="1">
      <alignment horizontal="right" vertical="center" shrinkToFit="1"/>
      <protection hidden="1"/>
    </xf>
    <xf numFmtId="0" fontId="12" fillId="30" borderId="142" xfId="0" applyFont="1" applyFill="1" applyBorder="1" applyAlignment="1" applyProtection="1">
      <alignment horizontal="right" vertical="center" shrinkToFit="1"/>
      <protection hidden="1"/>
    </xf>
    <xf numFmtId="0" fontId="12" fillId="30" borderId="124" xfId="0" applyFont="1" applyFill="1" applyBorder="1" applyAlignment="1" applyProtection="1">
      <alignment horizontal="left" vertical="center" shrinkToFit="1"/>
      <protection hidden="1"/>
    </xf>
    <xf numFmtId="0" fontId="12" fillId="30" borderId="125" xfId="0" applyFont="1" applyFill="1" applyBorder="1" applyAlignment="1" applyProtection="1">
      <alignment horizontal="left" vertical="center" shrinkToFit="1"/>
      <protection hidden="1"/>
    </xf>
    <xf numFmtId="0" fontId="12" fillId="30" borderId="126" xfId="0" applyFont="1" applyFill="1" applyBorder="1" applyAlignment="1" applyProtection="1">
      <alignment horizontal="left" vertical="center" shrinkToFit="1"/>
      <protection hidden="1"/>
    </xf>
    <xf numFmtId="178" fontId="12" fillId="30" borderId="116" xfId="0" applyNumberFormat="1" applyFont="1" applyFill="1" applyBorder="1" applyAlignment="1" applyProtection="1">
      <alignment horizontal="right" vertical="center" shrinkToFit="1"/>
      <protection hidden="1"/>
    </xf>
    <xf numFmtId="178" fontId="12" fillId="30" borderId="117" xfId="0" applyNumberFormat="1" applyFont="1" applyFill="1" applyBorder="1" applyAlignment="1" applyProtection="1">
      <alignment horizontal="right" vertical="center" shrinkToFit="1"/>
      <protection hidden="1"/>
    </xf>
    <xf numFmtId="178" fontId="12" fillId="30" borderId="118" xfId="0" applyNumberFormat="1" applyFont="1" applyFill="1" applyBorder="1" applyAlignment="1" applyProtection="1">
      <alignment horizontal="right" vertical="center" shrinkToFit="1"/>
      <protection hidden="1"/>
    </xf>
    <xf numFmtId="186" fontId="12" fillId="30" borderId="116" xfId="0" applyNumberFormat="1" applyFont="1" applyFill="1" applyBorder="1" applyAlignment="1" applyProtection="1">
      <alignment horizontal="center" vertical="center" shrinkToFit="1"/>
      <protection hidden="1"/>
    </xf>
    <xf numFmtId="186" fontId="12" fillId="30" borderId="117" xfId="0" applyNumberFormat="1" applyFont="1" applyFill="1" applyBorder="1" applyAlignment="1" applyProtection="1">
      <alignment horizontal="center" vertical="center" shrinkToFit="1"/>
      <protection hidden="1"/>
    </xf>
    <xf numFmtId="186" fontId="12" fillId="30" borderId="118" xfId="0" applyNumberFormat="1" applyFont="1" applyFill="1" applyBorder="1" applyAlignment="1" applyProtection="1">
      <alignment horizontal="center" vertical="center" shrinkToFit="1"/>
      <protection hidden="1"/>
    </xf>
    <xf numFmtId="0" fontId="53" fillId="0" borderId="0" xfId="0" applyFont="1" applyFill="1" applyAlignment="1" applyProtection="1">
      <alignment horizontal="center" wrapText="1"/>
      <protection hidden="1"/>
    </xf>
    <xf numFmtId="0" fontId="53" fillId="30" borderId="175" xfId="0" applyFont="1" applyFill="1" applyBorder="1" applyAlignment="1" applyProtection="1">
      <alignment horizontal="right" vertical="center" shrinkToFit="1"/>
      <protection hidden="1"/>
    </xf>
    <xf numFmtId="0" fontId="53" fillId="30" borderId="178" xfId="0" applyFont="1" applyFill="1" applyBorder="1" applyAlignment="1" applyProtection="1">
      <alignment horizontal="right" vertical="center" shrinkToFit="1"/>
      <protection hidden="1"/>
    </xf>
    <xf numFmtId="182" fontId="12" fillId="30" borderId="178" xfId="0" applyNumberFormat="1" applyFont="1" applyFill="1" applyBorder="1" applyAlignment="1" applyProtection="1">
      <alignment horizontal="center" vertical="center" shrinkToFit="1"/>
      <protection hidden="1"/>
    </xf>
    <xf numFmtId="182" fontId="12" fillId="30" borderId="176" xfId="0" applyNumberFormat="1" applyFont="1" applyFill="1" applyBorder="1" applyAlignment="1" applyProtection="1">
      <alignment horizontal="center" vertical="center" shrinkToFit="1"/>
      <protection hidden="1"/>
    </xf>
    <xf numFmtId="0" fontId="12" fillId="11" borderId="220" xfId="0" applyFont="1" applyFill="1" applyBorder="1" applyAlignment="1" applyProtection="1">
      <alignment horizontal="center" vertical="center"/>
      <protection hidden="1"/>
    </xf>
    <xf numFmtId="0" fontId="12" fillId="11" borderId="199" xfId="0" applyFont="1" applyFill="1" applyBorder="1" applyAlignment="1" applyProtection="1">
      <alignment horizontal="center" vertical="center"/>
      <protection hidden="1"/>
    </xf>
    <xf numFmtId="0" fontId="12" fillId="11" borderId="221" xfId="0" applyFont="1" applyFill="1" applyBorder="1" applyAlignment="1" applyProtection="1">
      <alignment horizontal="center" vertical="center"/>
      <protection hidden="1"/>
    </xf>
    <xf numFmtId="0" fontId="12" fillId="11" borderId="15" xfId="0" applyFont="1" applyFill="1" applyBorder="1" applyAlignment="1" applyProtection="1">
      <alignment horizontal="center" vertical="center"/>
      <protection hidden="1"/>
    </xf>
    <xf numFmtId="0" fontId="12" fillId="11" borderId="15" xfId="0" applyFont="1" applyFill="1" applyBorder="1" applyAlignment="1" applyProtection="1">
      <alignment horizontal="center" vertical="center" shrinkToFit="1"/>
      <protection hidden="1"/>
    </xf>
    <xf numFmtId="186" fontId="12" fillId="30" borderId="392" xfId="0" applyNumberFormat="1" applyFont="1" applyFill="1" applyBorder="1" applyAlignment="1" applyProtection="1">
      <alignment horizontal="right" vertical="center" shrinkToFit="1"/>
      <protection hidden="1"/>
    </xf>
    <xf numFmtId="186" fontId="12" fillId="30" borderId="158" xfId="0" applyNumberFormat="1" applyFont="1" applyFill="1" applyBorder="1" applyAlignment="1" applyProtection="1">
      <alignment horizontal="right" vertical="center" shrinkToFit="1"/>
      <protection hidden="1"/>
    </xf>
    <xf numFmtId="186" fontId="12" fillId="30" borderId="391" xfId="0" applyNumberFormat="1" applyFont="1" applyFill="1" applyBorder="1" applyAlignment="1" applyProtection="1">
      <alignment horizontal="right" vertical="center" shrinkToFit="1"/>
      <protection hidden="1"/>
    </xf>
    <xf numFmtId="190" fontId="12" fillId="30" borderId="390" xfId="0" applyNumberFormat="1" applyFont="1" applyFill="1" applyBorder="1" applyAlignment="1" applyProtection="1">
      <alignment vertical="center" shrinkToFit="1"/>
      <protection hidden="1"/>
    </xf>
    <xf numFmtId="190" fontId="12" fillId="30" borderId="390" xfId="0" applyNumberFormat="1" applyFont="1" applyFill="1" applyBorder="1" applyAlignment="1" applyProtection="1">
      <alignment horizontal="right" vertical="center" shrinkToFit="1"/>
      <protection hidden="1"/>
    </xf>
    <xf numFmtId="0" fontId="2" fillId="29" borderId="4" xfId="0" applyFont="1" applyFill="1" applyBorder="1" applyAlignment="1" applyProtection="1">
      <alignment horizontal="center" vertical="center"/>
      <protection hidden="1"/>
    </xf>
    <xf numFmtId="0" fontId="12" fillId="30" borderId="392" xfId="0" applyFont="1" applyFill="1" applyBorder="1" applyAlignment="1" applyProtection="1">
      <alignment horizontal="left" vertical="center" shrinkToFit="1"/>
      <protection hidden="1"/>
    </xf>
    <xf numFmtId="0" fontId="12" fillId="30" borderId="158" xfId="0" applyFont="1" applyFill="1" applyBorder="1" applyAlignment="1" applyProtection="1">
      <alignment horizontal="left" vertical="center" shrinkToFit="1"/>
      <protection hidden="1"/>
    </xf>
    <xf numFmtId="0" fontId="12" fillId="30" borderId="391" xfId="0" applyFont="1" applyFill="1" applyBorder="1" applyAlignment="1" applyProtection="1">
      <alignment horizontal="left" vertical="center" shrinkToFit="1"/>
      <protection hidden="1"/>
    </xf>
    <xf numFmtId="178" fontId="12" fillId="30" borderId="392" xfId="0" applyNumberFormat="1" applyFont="1" applyFill="1" applyBorder="1" applyAlignment="1" applyProtection="1">
      <alignment horizontal="right" vertical="center" shrinkToFit="1"/>
      <protection hidden="1"/>
    </xf>
    <xf numFmtId="178" fontId="12" fillId="30" borderId="158" xfId="0" applyNumberFormat="1" applyFont="1" applyFill="1" applyBorder="1" applyAlignment="1" applyProtection="1">
      <alignment horizontal="right" vertical="center" shrinkToFit="1"/>
      <protection hidden="1"/>
    </xf>
    <xf numFmtId="178" fontId="12" fillId="30" borderId="391" xfId="0" applyNumberFormat="1" applyFont="1" applyFill="1" applyBorder="1" applyAlignment="1" applyProtection="1">
      <alignment horizontal="right" vertical="center" shrinkToFit="1"/>
      <protection hidden="1"/>
    </xf>
    <xf numFmtId="186" fontId="12" fillId="30" borderId="392" xfId="0" applyNumberFormat="1" applyFont="1" applyFill="1" applyBorder="1" applyAlignment="1" applyProtection="1">
      <alignment horizontal="center" vertical="center" shrinkToFit="1"/>
      <protection hidden="1"/>
    </xf>
    <xf numFmtId="186" fontId="12" fillId="30" borderId="158" xfId="0" applyNumberFormat="1" applyFont="1" applyFill="1" applyBorder="1" applyAlignment="1" applyProtection="1">
      <alignment horizontal="center" vertical="center" shrinkToFit="1"/>
      <protection hidden="1"/>
    </xf>
    <xf numFmtId="186" fontId="12" fillId="30" borderId="391" xfId="0" applyNumberFormat="1" applyFont="1" applyFill="1" applyBorder="1" applyAlignment="1" applyProtection="1">
      <alignment horizontal="center" vertical="center" shrinkToFit="1"/>
      <protection hidden="1"/>
    </xf>
    <xf numFmtId="0" fontId="12" fillId="30" borderId="175" xfId="0" applyFont="1" applyFill="1" applyBorder="1" applyAlignment="1" applyProtection="1">
      <alignment horizontal="left" vertical="center"/>
      <protection hidden="1"/>
    </xf>
    <xf numFmtId="0" fontId="12" fillId="30" borderId="178" xfId="0" applyFont="1" applyFill="1" applyBorder="1" applyAlignment="1" applyProtection="1">
      <alignment horizontal="left" vertical="center"/>
      <protection hidden="1"/>
    </xf>
    <xf numFmtId="0" fontId="12" fillId="30" borderId="176" xfId="0" applyFont="1" applyFill="1" applyBorder="1" applyAlignment="1" applyProtection="1">
      <alignment horizontal="left" vertical="center"/>
      <protection hidden="1"/>
    </xf>
    <xf numFmtId="0" fontId="12" fillId="30" borderId="175" xfId="0" applyNumberFormat="1" applyFont="1" applyFill="1" applyBorder="1" applyAlignment="1" applyProtection="1">
      <alignment horizontal="center" vertical="center" shrinkToFit="1"/>
      <protection hidden="1"/>
    </xf>
    <xf numFmtId="0" fontId="12" fillId="30" borderId="178" xfId="0" applyNumberFormat="1" applyFont="1" applyFill="1" applyBorder="1" applyAlignment="1" applyProtection="1">
      <alignment horizontal="center" vertical="center" shrinkToFit="1"/>
      <protection hidden="1"/>
    </xf>
    <xf numFmtId="0" fontId="12" fillId="30" borderId="176" xfId="0" applyNumberFormat="1" applyFont="1" applyFill="1" applyBorder="1" applyAlignment="1" applyProtection="1">
      <alignment horizontal="center" vertical="center" shrinkToFit="1"/>
      <protection hidden="1"/>
    </xf>
    <xf numFmtId="0" fontId="12" fillId="64" borderId="0" xfId="0" applyFont="1" applyFill="1" applyBorder="1" applyAlignment="1" applyProtection="1">
      <alignment horizontal="center" vertical="center"/>
      <protection hidden="1"/>
    </xf>
    <xf numFmtId="0" fontId="12" fillId="64" borderId="5" xfId="0" applyFont="1" applyFill="1" applyBorder="1" applyAlignment="1" applyProtection="1">
      <alignment horizontal="center" vertical="center"/>
      <protection hidden="1"/>
    </xf>
    <xf numFmtId="0" fontId="12" fillId="64" borderId="219" xfId="0" applyFont="1" applyFill="1" applyBorder="1" applyAlignment="1" applyProtection="1">
      <alignment horizontal="center" vertical="center"/>
      <protection hidden="1"/>
    </xf>
    <xf numFmtId="0" fontId="12" fillId="64" borderId="20" xfId="0" applyFont="1" applyFill="1" applyBorder="1" applyAlignment="1" applyProtection="1">
      <alignment horizontal="center" vertical="center"/>
      <protection hidden="1"/>
    </xf>
    <xf numFmtId="0" fontId="73" fillId="30" borderId="175" xfId="0" quotePrefix="1" applyFont="1" applyFill="1" applyBorder="1" applyAlignment="1" applyProtection="1">
      <alignment horizontal="center" vertical="center" shrinkToFit="1"/>
      <protection hidden="1"/>
    </xf>
    <xf numFmtId="0" fontId="73" fillId="30" borderId="178" xfId="0" applyFont="1" applyFill="1" applyBorder="1" applyAlignment="1" applyProtection="1">
      <alignment horizontal="center" vertical="center" shrinkToFit="1"/>
      <protection hidden="1"/>
    </xf>
    <xf numFmtId="0" fontId="73" fillId="30" borderId="176" xfId="0" applyFont="1" applyFill="1" applyBorder="1" applyAlignment="1" applyProtection="1">
      <alignment horizontal="center" vertical="center" shrinkToFit="1"/>
      <protection hidden="1"/>
    </xf>
    <xf numFmtId="0" fontId="4" fillId="24" borderId="30" xfId="1" quotePrefix="1" applyFont="1" applyFill="1" applyBorder="1" applyAlignment="1" applyProtection="1">
      <alignment horizontal="center" vertical="center"/>
      <protection hidden="1"/>
    </xf>
    <xf numFmtId="0" fontId="4" fillId="24" borderId="31" xfId="1" applyFont="1" applyFill="1" applyBorder="1" applyAlignment="1" applyProtection="1">
      <alignment horizontal="center" vertical="center"/>
      <protection hidden="1"/>
    </xf>
    <xf numFmtId="0" fontId="4" fillId="24" borderId="32" xfId="1" applyFont="1" applyFill="1" applyBorder="1" applyAlignment="1" applyProtection="1">
      <alignment horizontal="center" vertical="center"/>
      <protection hidden="1"/>
    </xf>
    <xf numFmtId="0" fontId="12" fillId="3" borderId="220" xfId="0" applyFont="1" applyFill="1" applyBorder="1" applyAlignment="1" applyProtection="1">
      <alignment horizontal="center" vertical="center" shrinkToFit="1"/>
      <protection hidden="1"/>
    </xf>
    <xf numFmtId="0" fontId="12" fillId="3" borderId="4" xfId="0" applyFont="1" applyFill="1" applyBorder="1" applyAlignment="1" applyProtection="1">
      <alignment horizontal="center" vertical="center" shrinkToFit="1"/>
      <protection hidden="1"/>
    </xf>
    <xf numFmtId="0" fontId="12" fillId="3" borderId="0" xfId="0" applyFont="1" applyFill="1" applyBorder="1" applyAlignment="1" applyProtection="1">
      <alignment horizontal="center" vertical="center" shrinkToFit="1"/>
      <protection hidden="1"/>
    </xf>
    <xf numFmtId="0" fontId="12" fillId="3" borderId="5" xfId="0" applyFont="1" applyFill="1" applyBorder="1" applyAlignment="1" applyProtection="1">
      <alignment horizontal="center" vertical="center" shrinkToFit="1"/>
      <protection hidden="1"/>
    </xf>
    <xf numFmtId="0" fontId="12" fillId="3" borderId="177" xfId="0" applyFont="1" applyFill="1" applyBorder="1" applyAlignment="1" applyProtection="1">
      <alignment horizontal="center" vertical="center" shrinkToFit="1"/>
      <protection hidden="1"/>
    </xf>
    <xf numFmtId="0" fontId="12" fillId="3" borderId="219" xfId="0" applyFont="1" applyFill="1" applyBorder="1" applyAlignment="1" applyProtection="1">
      <alignment horizontal="center" vertical="center" shrinkToFit="1"/>
      <protection hidden="1"/>
    </xf>
    <xf numFmtId="0" fontId="12" fillId="3" borderId="20" xfId="0" applyFont="1" applyFill="1" applyBorder="1" applyAlignment="1" applyProtection="1">
      <alignment horizontal="center" vertical="center" shrinkToFit="1"/>
      <protection hidden="1"/>
    </xf>
    <xf numFmtId="0" fontId="12" fillId="30" borderId="220" xfId="0" applyNumberFormat="1" applyFont="1" applyFill="1" applyBorder="1" applyAlignment="1" applyProtection="1">
      <alignment horizontal="center" vertical="center" shrinkToFit="1"/>
      <protection hidden="1"/>
    </xf>
    <xf numFmtId="0" fontId="12" fillId="30" borderId="199" xfId="0" applyNumberFormat="1" applyFont="1" applyFill="1" applyBorder="1" applyAlignment="1" applyProtection="1">
      <alignment horizontal="center" vertical="center" shrinkToFit="1"/>
      <protection hidden="1"/>
    </xf>
    <xf numFmtId="0" fontId="12" fillId="30" borderId="221" xfId="0" applyNumberFormat="1" applyFont="1" applyFill="1" applyBorder="1" applyAlignment="1" applyProtection="1">
      <alignment horizontal="center" vertical="center" shrinkToFit="1"/>
      <protection hidden="1"/>
    </xf>
    <xf numFmtId="0" fontId="12" fillId="30" borderId="4" xfId="0" applyNumberFormat="1" applyFont="1" applyFill="1" applyBorder="1" applyAlignment="1" applyProtection="1">
      <alignment horizontal="center" vertical="center" shrinkToFit="1"/>
      <protection hidden="1"/>
    </xf>
    <xf numFmtId="0" fontId="12" fillId="30" borderId="0" xfId="0" applyNumberFormat="1" applyFont="1" applyFill="1" applyBorder="1" applyAlignment="1" applyProtection="1">
      <alignment horizontal="center" vertical="center" shrinkToFit="1"/>
      <protection hidden="1"/>
    </xf>
    <xf numFmtId="0" fontId="12" fillId="30" borderId="5" xfId="0" applyNumberFormat="1" applyFont="1" applyFill="1" applyBorder="1" applyAlignment="1" applyProtection="1">
      <alignment horizontal="center" vertical="center" shrinkToFit="1"/>
      <protection hidden="1"/>
    </xf>
    <xf numFmtId="0" fontId="12" fillId="30" borderId="177" xfId="0" applyNumberFormat="1" applyFont="1" applyFill="1" applyBorder="1" applyAlignment="1" applyProtection="1">
      <alignment horizontal="center" vertical="center" shrinkToFit="1"/>
      <protection hidden="1"/>
    </xf>
    <xf numFmtId="0" fontId="12" fillId="30" borderId="219" xfId="0" applyNumberFormat="1" applyFont="1" applyFill="1" applyBorder="1" applyAlignment="1" applyProtection="1">
      <alignment horizontal="center" vertical="center" shrinkToFit="1"/>
      <protection hidden="1"/>
    </xf>
    <xf numFmtId="0" fontId="12" fillId="30" borderId="20" xfId="0" applyNumberFormat="1" applyFont="1" applyFill="1" applyBorder="1" applyAlignment="1" applyProtection="1">
      <alignment horizontal="center" vertical="center" shrinkToFit="1"/>
      <protection hidden="1"/>
    </xf>
    <xf numFmtId="176" fontId="12" fillId="30" borderId="175" xfId="0" applyNumberFormat="1" applyFont="1" applyFill="1" applyBorder="1" applyAlignment="1" applyProtection="1">
      <alignment horizontal="center" vertical="center" shrinkToFit="1"/>
      <protection hidden="1"/>
    </xf>
    <xf numFmtId="176" fontId="12" fillId="30" borderId="178" xfId="0" applyNumberFormat="1" applyFont="1" applyFill="1" applyBorder="1" applyAlignment="1" applyProtection="1">
      <alignment horizontal="center" vertical="center" shrinkToFit="1"/>
      <protection hidden="1"/>
    </xf>
    <xf numFmtId="176" fontId="12" fillId="30" borderId="176" xfId="0" applyNumberFormat="1" applyFont="1" applyFill="1" applyBorder="1" applyAlignment="1" applyProtection="1">
      <alignment horizontal="center" vertical="center" shrinkToFit="1"/>
      <protection hidden="1"/>
    </xf>
    <xf numFmtId="186" fontId="12" fillId="26" borderId="390" xfId="0" applyNumberFormat="1" applyFont="1" applyFill="1" applyBorder="1" applyAlignment="1" applyProtection="1">
      <alignment horizontal="right" vertical="center" shrinkToFit="1"/>
      <protection locked="0"/>
    </xf>
    <xf numFmtId="0" fontId="12" fillId="29" borderId="0" xfId="0" applyFont="1" applyFill="1" applyBorder="1" applyAlignment="1" applyProtection="1">
      <alignment horizontal="center"/>
      <protection hidden="1"/>
    </xf>
    <xf numFmtId="0" fontId="73" fillId="29" borderId="0" xfId="0" applyFont="1" applyFill="1" applyBorder="1" applyAlignment="1" applyProtection="1">
      <alignment horizontal="center"/>
      <protection hidden="1"/>
    </xf>
    <xf numFmtId="0" fontId="73" fillId="29" borderId="219" xfId="0" applyFont="1" applyFill="1" applyBorder="1" applyAlignment="1" applyProtection="1">
      <alignment horizontal="center"/>
      <protection hidden="1"/>
    </xf>
    <xf numFmtId="0" fontId="2" fillId="3" borderId="175" xfId="0" applyFont="1" applyFill="1" applyBorder="1" applyAlignment="1" applyProtection="1">
      <alignment horizontal="center" vertical="center" shrinkToFit="1"/>
      <protection hidden="1"/>
    </xf>
    <xf numFmtId="0" fontId="2" fillId="3" borderId="178" xfId="0" applyFont="1" applyFill="1" applyBorder="1" applyAlignment="1" applyProtection="1">
      <alignment horizontal="center" vertical="center" shrinkToFit="1"/>
      <protection hidden="1"/>
    </xf>
    <xf numFmtId="0" fontId="2" fillId="3" borderId="176" xfId="0" applyFont="1" applyFill="1" applyBorder="1" applyAlignment="1" applyProtection="1">
      <alignment horizontal="center" vertical="center" shrinkToFit="1"/>
      <protection hidden="1"/>
    </xf>
    <xf numFmtId="0" fontId="12" fillId="29" borderId="219" xfId="0" applyFont="1" applyFill="1" applyBorder="1" applyAlignment="1" applyProtection="1">
      <alignment horizontal="center"/>
      <protection hidden="1"/>
    </xf>
    <xf numFmtId="0" fontId="2" fillId="30" borderId="175" xfId="0" applyNumberFormat="1" applyFont="1" applyFill="1" applyBorder="1" applyAlignment="1" applyProtection="1">
      <alignment horizontal="center" vertical="center" shrinkToFit="1"/>
      <protection hidden="1"/>
    </xf>
    <xf numFmtId="0" fontId="2" fillId="30" borderId="178" xfId="0" applyNumberFormat="1" applyFont="1" applyFill="1" applyBorder="1" applyAlignment="1" applyProtection="1">
      <alignment horizontal="center" vertical="center" shrinkToFit="1"/>
      <protection hidden="1"/>
    </xf>
    <xf numFmtId="0" fontId="2" fillId="30" borderId="176" xfId="0" applyNumberFormat="1" applyFont="1" applyFill="1" applyBorder="1" applyAlignment="1" applyProtection="1">
      <alignment horizontal="center" vertical="center" shrinkToFit="1"/>
      <protection hidden="1"/>
    </xf>
    <xf numFmtId="0" fontId="2" fillId="30" borderId="175" xfId="0" quotePrefix="1" applyNumberFormat="1" applyFont="1" applyFill="1" applyBorder="1" applyAlignment="1" applyProtection="1">
      <alignment horizontal="center" vertical="center" shrinkToFit="1"/>
      <protection hidden="1"/>
    </xf>
    <xf numFmtId="0" fontId="2" fillId="30" borderId="178" xfId="0" quotePrefix="1" applyNumberFormat="1" applyFont="1" applyFill="1" applyBorder="1" applyAlignment="1" applyProtection="1">
      <alignment horizontal="center" vertical="center" shrinkToFit="1"/>
      <protection hidden="1"/>
    </xf>
    <xf numFmtId="0" fontId="2" fillId="30" borderId="176" xfId="0" quotePrefix="1" applyNumberFormat="1" applyFont="1" applyFill="1" applyBorder="1" applyAlignment="1" applyProtection="1">
      <alignment horizontal="center" vertical="center" shrinkToFit="1"/>
      <protection hidden="1"/>
    </xf>
    <xf numFmtId="0" fontId="12" fillId="30" borderId="173" xfId="0" applyNumberFormat="1" applyFont="1" applyFill="1" applyBorder="1" applyAlignment="1" applyProtection="1">
      <alignment horizontal="center" vertical="center" shrinkToFit="1"/>
      <protection hidden="1"/>
    </xf>
    <xf numFmtId="0" fontId="53" fillId="30" borderId="175" xfId="0" applyNumberFormat="1" applyFont="1" applyFill="1" applyBorder="1" applyAlignment="1" applyProtection="1">
      <alignment horizontal="center" vertical="center" shrinkToFit="1"/>
      <protection hidden="1"/>
    </xf>
    <xf numFmtId="0" fontId="53" fillId="30" borderId="178" xfId="0" applyNumberFormat="1" applyFont="1" applyFill="1" applyBorder="1" applyAlignment="1" applyProtection="1">
      <alignment horizontal="center" vertical="center" shrinkToFit="1"/>
      <protection hidden="1"/>
    </xf>
    <xf numFmtId="0" fontId="53" fillId="30" borderId="176" xfId="0" applyNumberFormat="1" applyFont="1" applyFill="1" applyBorder="1" applyAlignment="1" applyProtection="1">
      <alignment horizontal="center" vertical="center" shrinkToFit="1"/>
      <protection hidden="1"/>
    </xf>
    <xf numFmtId="0" fontId="12" fillId="30" borderId="220" xfId="0" applyFont="1" applyFill="1" applyBorder="1" applyAlignment="1" applyProtection="1">
      <alignment horizontal="center" vertical="center"/>
      <protection hidden="1"/>
    </xf>
    <xf numFmtId="0" fontId="12" fillId="30" borderId="199" xfId="0" applyFont="1" applyFill="1" applyBorder="1" applyAlignment="1" applyProtection="1">
      <alignment horizontal="center" vertical="center"/>
      <protection hidden="1"/>
    </xf>
    <xf numFmtId="0" fontId="12" fillId="30" borderId="221" xfId="0" applyFont="1" applyFill="1" applyBorder="1" applyAlignment="1" applyProtection="1">
      <alignment horizontal="center" vertical="center"/>
      <protection hidden="1"/>
    </xf>
    <xf numFmtId="186" fontId="12" fillId="30" borderId="400" xfId="0" applyNumberFormat="1" applyFont="1" applyFill="1" applyBorder="1" applyAlignment="1" applyProtection="1">
      <alignment horizontal="right" vertical="center" shrinkToFit="1"/>
      <protection hidden="1"/>
    </xf>
    <xf numFmtId="186" fontId="12" fillId="30" borderId="388" xfId="0" applyNumberFormat="1" applyFont="1" applyFill="1" applyBorder="1" applyAlignment="1" applyProtection="1">
      <alignment horizontal="right" vertical="center" shrinkToFit="1"/>
      <protection hidden="1"/>
    </xf>
    <xf numFmtId="186" fontId="12" fillId="30" borderId="401" xfId="0" applyNumberFormat="1" applyFont="1" applyFill="1" applyBorder="1" applyAlignment="1" applyProtection="1">
      <alignment horizontal="right" vertical="center" shrinkToFit="1"/>
      <protection hidden="1"/>
    </xf>
    <xf numFmtId="0" fontId="13" fillId="3" borderId="400" xfId="0" applyFont="1" applyFill="1" applyBorder="1" applyAlignment="1" applyProtection="1">
      <alignment horizontal="center" vertical="center" shrinkToFit="1"/>
      <protection hidden="1"/>
    </xf>
    <xf numFmtId="0" fontId="13" fillId="3" borderId="388" xfId="0" applyFont="1" applyFill="1" applyBorder="1" applyAlignment="1" applyProtection="1">
      <alignment horizontal="center" vertical="center" shrinkToFit="1"/>
      <protection hidden="1"/>
    </xf>
    <xf numFmtId="0" fontId="13" fillId="3" borderId="401" xfId="0" applyFont="1" applyFill="1" applyBorder="1" applyAlignment="1" applyProtection="1">
      <alignment horizontal="center" vertical="center" shrinkToFit="1"/>
      <protection hidden="1"/>
    </xf>
    <xf numFmtId="186" fontId="12" fillId="67" borderId="400" xfId="0" applyNumberFormat="1" applyFont="1" applyFill="1" applyBorder="1" applyAlignment="1" applyProtection="1">
      <alignment horizontal="center" vertical="center" shrinkToFit="1"/>
      <protection hidden="1"/>
    </xf>
    <xf numFmtId="186" fontId="12" fillId="67" borderId="401" xfId="0" applyNumberFormat="1" applyFont="1" applyFill="1" applyBorder="1" applyAlignment="1" applyProtection="1">
      <alignment horizontal="center" vertical="center" shrinkToFit="1"/>
      <protection hidden="1"/>
    </xf>
    <xf numFmtId="186" fontId="12" fillId="30" borderId="399" xfId="0" applyNumberFormat="1" applyFont="1" applyFill="1" applyBorder="1" applyAlignment="1" applyProtection="1">
      <alignment horizontal="right" vertical="center" shrinkToFit="1"/>
      <protection hidden="1"/>
    </xf>
    <xf numFmtId="0" fontId="13" fillId="67" borderId="175" xfId="0" applyFont="1" applyFill="1" applyBorder="1" applyAlignment="1" applyProtection="1">
      <alignment horizontal="center" vertical="center" shrinkToFit="1"/>
      <protection hidden="1"/>
    </xf>
    <xf numFmtId="0" fontId="13" fillId="67" borderId="178" xfId="0" applyFont="1" applyFill="1" applyBorder="1" applyAlignment="1" applyProtection="1">
      <alignment horizontal="center" vertical="center" shrinkToFit="1"/>
      <protection hidden="1"/>
    </xf>
    <xf numFmtId="0" fontId="13" fillId="67" borderId="176" xfId="0" applyFont="1" applyFill="1" applyBorder="1" applyAlignment="1" applyProtection="1">
      <alignment horizontal="center" vertical="center" shrinkToFit="1"/>
      <protection hidden="1"/>
    </xf>
    <xf numFmtId="0" fontId="53" fillId="26" borderId="175" xfId="0" applyNumberFormat="1" applyFont="1" applyFill="1" applyBorder="1" applyAlignment="1" applyProtection="1">
      <alignment horizontal="center" vertical="center" textRotation="1" shrinkToFit="1"/>
      <protection locked="0"/>
    </xf>
    <xf numFmtId="0" fontId="53" fillId="26" borderId="178" xfId="0" applyNumberFormat="1" applyFont="1" applyFill="1" applyBorder="1" applyAlignment="1" applyProtection="1">
      <alignment horizontal="center" vertical="center" textRotation="1" shrinkToFit="1"/>
      <protection locked="0"/>
    </xf>
    <xf numFmtId="0" fontId="53" fillId="26" borderId="176" xfId="0" applyNumberFormat="1" applyFont="1" applyFill="1" applyBorder="1" applyAlignment="1" applyProtection="1">
      <alignment horizontal="center" vertical="center" textRotation="1" shrinkToFit="1"/>
      <protection locked="0"/>
    </xf>
    <xf numFmtId="0" fontId="12" fillId="67" borderId="175" xfId="0" applyFont="1" applyFill="1" applyBorder="1" applyAlignment="1" applyProtection="1">
      <alignment horizontal="center" vertical="center"/>
      <protection hidden="1"/>
    </xf>
    <xf numFmtId="0" fontId="12" fillId="67" borderId="178" xfId="0" applyFont="1" applyFill="1" applyBorder="1" applyAlignment="1" applyProtection="1">
      <alignment horizontal="center" vertical="center"/>
      <protection hidden="1"/>
    </xf>
    <xf numFmtId="0" fontId="12" fillId="67" borderId="176" xfId="0" applyFont="1" applyFill="1" applyBorder="1" applyAlignment="1" applyProtection="1">
      <alignment horizontal="center" vertical="center"/>
      <protection hidden="1"/>
    </xf>
    <xf numFmtId="0" fontId="53" fillId="26" borderId="175" xfId="0" applyFont="1" applyFill="1" applyBorder="1" applyAlignment="1" applyProtection="1">
      <alignment horizontal="right" vertical="center" shrinkToFit="1"/>
      <protection locked="0"/>
    </xf>
    <xf numFmtId="0" fontId="53" fillId="26" borderId="178" xfId="0" applyFont="1" applyFill="1" applyBorder="1" applyAlignment="1" applyProtection="1">
      <alignment horizontal="right" vertical="center" shrinkToFit="1"/>
      <protection locked="0"/>
    </xf>
    <xf numFmtId="197" fontId="12" fillId="30" borderId="175" xfId="0" applyNumberFormat="1" applyFont="1" applyFill="1" applyBorder="1" applyAlignment="1" applyProtection="1">
      <alignment horizontal="right" vertical="center" shrinkToFit="1"/>
      <protection hidden="1"/>
    </xf>
    <xf numFmtId="197" fontId="12" fillId="30" borderId="178" xfId="0" applyNumberFormat="1" applyFont="1" applyFill="1" applyBorder="1" applyAlignment="1" applyProtection="1">
      <alignment horizontal="right" vertical="center" shrinkToFit="1"/>
      <protection hidden="1"/>
    </xf>
    <xf numFmtId="197" fontId="12" fillId="30" borderId="176" xfId="0" applyNumberFormat="1" applyFont="1" applyFill="1" applyBorder="1" applyAlignment="1" applyProtection="1">
      <alignment horizontal="right" vertical="center" shrinkToFit="1"/>
      <protection hidden="1"/>
    </xf>
    <xf numFmtId="0" fontId="2" fillId="64" borderId="4" xfId="0" applyFont="1" applyFill="1" applyBorder="1" applyAlignment="1" applyProtection="1">
      <alignment horizontal="center" vertical="center"/>
      <protection hidden="1"/>
    </xf>
    <xf numFmtId="0" fontId="2" fillId="64" borderId="0" xfId="0" applyFont="1" applyFill="1" applyBorder="1" applyAlignment="1" applyProtection="1">
      <alignment horizontal="center" vertical="center"/>
      <protection hidden="1"/>
    </xf>
    <xf numFmtId="0" fontId="2" fillId="64" borderId="5" xfId="0" applyFont="1" applyFill="1" applyBorder="1" applyAlignment="1" applyProtection="1">
      <alignment horizontal="center" vertical="center"/>
      <protection hidden="1"/>
    </xf>
    <xf numFmtId="0" fontId="12" fillId="30" borderId="173" xfId="0" applyFont="1" applyFill="1" applyBorder="1" applyAlignment="1" applyProtection="1">
      <alignment horizontal="center" vertical="center"/>
      <protection hidden="1"/>
    </xf>
    <xf numFmtId="186" fontId="12" fillId="3" borderId="175" xfId="0" applyNumberFormat="1" applyFont="1" applyFill="1" applyBorder="1" applyAlignment="1" applyProtection="1">
      <alignment horizontal="center" vertical="center" shrinkToFit="1"/>
      <protection hidden="1"/>
    </xf>
    <xf numFmtId="186" fontId="12" fillId="3" borderId="178" xfId="0" applyNumberFormat="1" applyFont="1" applyFill="1" applyBorder="1" applyAlignment="1" applyProtection="1">
      <alignment horizontal="center" vertical="center" shrinkToFit="1"/>
      <protection hidden="1"/>
    </xf>
    <xf numFmtId="0" fontId="12" fillId="67" borderId="175" xfId="0" applyFont="1" applyFill="1" applyBorder="1" applyAlignment="1" applyProtection="1">
      <alignment horizontal="center" vertical="center" shrinkToFit="1"/>
      <protection hidden="1"/>
    </xf>
    <xf numFmtId="0" fontId="12" fillId="67" borderId="178" xfId="0" applyFont="1" applyFill="1" applyBorder="1" applyAlignment="1" applyProtection="1">
      <alignment horizontal="center" vertical="center" shrinkToFit="1"/>
      <protection hidden="1"/>
    </xf>
    <xf numFmtId="189" fontId="12" fillId="30" borderId="175" xfId="0" applyNumberFormat="1" applyFont="1" applyFill="1" applyBorder="1" applyAlignment="1" applyProtection="1">
      <alignment horizontal="right" vertical="center" shrinkToFit="1"/>
      <protection hidden="1"/>
    </xf>
    <xf numFmtId="189" fontId="12" fillId="30" borderId="178" xfId="0" applyNumberFormat="1" applyFont="1" applyFill="1" applyBorder="1" applyAlignment="1" applyProtection="1">
      <alignment horizontal="right" vertical="center" shrinkToFit="1"/>
      <protection hidden="1"/>
    </xf>
    <xf numFmtId="189" fontId="12" fillId="30" borderId="176" xfId="0" applyNumberFormat="1" applyFont="1" applyFill="1" applyBorder="1" applyAlignment="1" applyProtection="1">
      <alignment horizontal="right" vertical="center" shrinkToFit="1"/>
      <protection hidden="1"/>
    </xf>
    <xf numFmtId="178" fontId="12" fillId="30" borderId="175" xfId="0" applyNumberFormat="1" applyFont="1" applyFill="1" applyBorder="1" applyAlignment="1" applyProtection="1">
      <alignment horizontal="right" vertical="center" shrinkToFit="1"/>
      <protection hidden="1"/>
    </xf>
    <xf numFmtId="178" fontId="12" fillId="30" borderId="178" xfId="0" applyNumberFormat="1" applyFont="1" applyFill="1" applyBorder="1" applyAlignment="1" applyProtection="1">
      <alignment horizontal="right" vertical="center" shrinkToFit="1"/>
      <protection hidden="1"/>
    </xf>
    <xf numFmtId="0" fontId="13" fillId="67" borderId="402" xfId="0" applyFont="1" applyFill="1" applyBorder="1" applyAlignment="1" applyProtection="1">
      <alignment horizontal="center" vertical="center" shrinkToFit="1"/>
      <protection hidden="1"/>
    </xf>
    <xf numFmtId="0" fontId="13" fillId="67" borderId="388" xfId="0" applyFont="1" applyFill="1" applyBorder="1" applyAlignment="1" applyProtection="1">
      <alignment horizontal="center" vertical="center" shrinkToFit="1"/>
      <protection hidden="1"/>
    </xf>
    <xf numFmtId="0" fontId="13" fillId="67" borderId="401" xfId="0" applyFont="1" applyFill="1" applyBorder="1" applyAlignment="1" applyProtection="1">
      <alignment horizontal="center" vertical="center" shrinkToFit="1"/>
      <protection hidden="1"/>
    </xf>
    <xf numFmtId="186" fontId="53" fillId="30" borderId="178" xfId="0" applyNumberFormat="1" applyFont="1" applyFill="1" applyBorder="1" applyAlignment="1" applyProtection="1">
      <alignment horizontal="left" vertical="top" shrinkToFit="1"/>
      <protection hidden="1"/>
    </xf>
    <xf numFmtId="183" fontId="12" fillId="30" borderId="178" xfId="0" applyNumberFormat="1" applyFont="1" applyFill="1" applyBorder="1" applyAlignment="1" applyProtection="1">
      <alignment horizontal="left" vertical="center" shrinkToFit="1"/>
      <protection hidden="1"/>
    </xf>
    <xf numFmtId="183" fontId="12" fillId="30" borderId="176" xfId="0" applyNumberFormat="1" applyFont="1" applyFill="1" applyBorder="1" applyAlignment="1" applyProtection="1">
      <alignment horizontal="left" vertical="center" shrinkToFit="1"/>
      <protection hidden="1"/>
    </xf>
    <xf numFmtId="186" fontId="12" fillId="67" borderId="175" xfId="0" applyNumberFormat="1" applyFont="1" applyFill="1" applyBorder="1" applyAlignment="1" applyProtection="1">
      <alignment horizontal="right" vertical="center" shrinkToFit="1"/>
      <protection hidden="1"/>
    </xf>
    <xf numFmtId="186" fontId="12" fillId="67" borderId="178" xfId="0" applyNumberFormat="1" applyFont="1" applyFill="1" applyBorder="1" applyAlignment="1" applyProtection="1">
      <alignment horizontal="right" vertical="center" shrinkToFit="1"/>
      <protection hidden="1"/>
    </xf>
    <xf numFmtId="189" fontId="12" fillId="26" borderId="175" xfId="0" applyNumberFormat="1" applyFont="1" applyFill="1" applyBorder="1" applyAlignment="1" applyProtection="1">
      <alignment horizontal="right" vertical="center" shrinkToFit="1"/>
      <protection locked="0"/>
    </xf>
    <xf numFmtId="189" fontId="12" fillId="26" borderId="178" xfId="0" applyNumberFormat="1" applyFont="1" applyFill="1" applyBorder="1" applyAlignment="1" applyProtection="1">
      <alignment horizontal="right" vertical="center" shrinkToFit="1"/>
      <protection locked="0"/>
    </xf>
    <xf numFmtId="189" fontId="12" fillId="26" borderId="176" xfId="0" applyNumberFormat="1" applyFont="1" applyFill="1" applyBorder="1" applyAlignment="1" applyProtection="1">
      <alignment horizontal="right" vertical="center" shrinkToFit="1"/>
      <protection locked="0"/>
    </xf>
    <xf numFmtId="198" fontId="12" fillId="30" borderId="175" xfId="0" applyNumberFormat="1" applyFont="1" applyFill="1" applyBorder="1" applyAlignment="1" applyProtection="1">
      <alignment horizontal="right" vertical="center" shrinkToFit="1"/>
      <protection hidden="1"/>
    </xf>
    <xf numFmtId="198" fontId="12" fillId="30" borderId="178" xfId="0" applyNumberFormat="1" applyFont="1" applyFill="1" applyBorder="1" applyAlignment="1" applyProtection="1">
      <alignment horizontal="right" vertical="center" shrinkToFit="1"/>
      <protection hidden="1"/>
    </xf>
    <xf numFmtId="198" fontId="12" fillId="30" borderId="176" xfId="0" applyNumberFormat="1" applyFont="1" applyFill="1" applyBorder="1" applyAlignment="1" applyProtection="1">
      <alignment horizontal="right" vertical="center" shrinkToFit="1"/>
      <protection hidden="1"/>
    </xf>
    <xf numFmtId="198" fontId="12" fillId="63" borderId="175" xfId="0" applyNumberFormat="1" applyFont="1" applyFill="1" applyBorder="1" applyAlignment="1" applyProtection="1">
      <alignment horizontal="right" vertical="center"/>
      <protection locked="0"/>
    </xf>
    <xf numFmtId="198" fontId="12" fillId="63" borderId="178" xfId="0" applyNumberFormat="1" applyFont="1" applyFill="1" applyBorder="1" applyAlignment="1" applyProtection="1">
      <alignment horizontal="right" vertical="center"/>
      <protection locked="0"/>
    </xf>
    <xf numFmtId="198" fontId="12" fillId="63" borderId="176" xfId="0" applyNumberFormat="1" applyFont="1" applyFill="1" applyBorder="1" applyAlignment="1" applyProtection="1">
      <alignment horizontal="right" vertical="center"/>
      <protection locked="0"/>
    </xf>
    <xf numFmtId="185" fontId="12" fillId="30" borderId="387" xfId="0" applyNumberFormat="1" applyFont="1" applyFill="1" applyBorder="1" applyAlignment="1" applyProtection="1">
      <alignment horizontal="right" vertical="center" shrinkToFit="1"/>
      <protection hidden="1"/>
    </xf>
    <xf numFmtId="185" fontId="12" fillId="30" borderId="119" xfId="0" applyNumberFormat="1" applyFont="1" applyFill="1" applyBorder="1" applyAlignment="1" applyProtection="1">
      <alignment horizontal="right" vertical="center" shrinkToFit="1"/>
      <protection hidden="1"/>
    </xf>
    <xf numFmtId="185" fontId="12" fillId="30" borderId="120" xfId="0" applyNumberFormat="1" applyFont="1" applyFill="1" applyBorder="1" applyAlignment="1" applyProtection="1">
      <alignment horizontal="right" vertical="center" shrinkToFit="1"/>
      <protection hidden="1"/>
    </xf>
    <xf numFmtId="185" fontId="12" fillId="30" borderId="121" xfId="0" applyNumberFormat="1" applyFont="1" applyFill="1" applyBorder="1" applyAlignment="1" applyProtection="1">
      <alignment horizontal="right" vertical="center" shrinkToFit="1"/>
      <protection hidden="1"/>
    </xf>
    <xf numFmtId="0" fontId="12" fillId="30" borderId="173" xfId="0" applyFont="1" applyFill="1" applyBorder="1" applyAlignment="1" applyProtection="1">
      <alignment horizontal="left" vertical="center" shrinkToFit="1"/>
      <protection hidden="1"/>
    </xf>
    <xf numFmtId="185" fontId="12" fillId="30" borderId="175" xfId="0" applyNumberFormat="1" applyFont="1" applyFill="1" applyBorder="1" applyAlignment="1" applyProtection="1">
      <alignment horizontal="right" vertical="center" shrinkToFit="1"/>
      <protection hidden="1"/>
    </xf>
    <xf numFmtId="185" fontId="12" fillId="30" borderId="178" xfId="0" applyNumberFormat="1" applyFont="1" applyFill="1" applyBorder="1" applyAlignment="1" applyProtection="1">
      <alignment horizontal="right" vertical="center" shrinkToFit="1"/>
      <protection hidden="1"/>
    </xf>
    <xf numFmtId="185" fontId="12" fillId="30" borderId="176" xfId="0" applyNumberFormat="1" applyFont="1" applyFill="1" applyBorder="1" applyAlignment="1" applyProtection="1">
      <alignment horizontal="right" vertical="center" shrinkToFit="1"/>
      <protection hidden="1"/>
    </xf>
    <xf numFmtId="0" fontId="12" fillId="30" borderId="392" xfId="0" applyFont="1" applyFill="1" applyBorder="1" applyAlignment="1" applyProtection="1">
      <alignment horizontal="center" vertical="center" shrinkToFit="1"/>
      <protection hidden="1"/>
    </xf>
    <xf numFmtId="0" fontId="12" fillId="30" borderId="158" xfId="0" applyFont="1" applyFill="1" applyBorder="1" applyAlignment="1" applyProtection="1">
      <alignment horizontal="center" vertical="center" shrinkToFit="1"/>
      <protection hidden="1"/>
    </xf>
    <xf numFmtId="185" fontId="12" fillId="30" borderId="390" xfId="0" applyNumberFormat="1" applyFont="1" applyFill="1" applyBorder="1" applyAlignment="1" applyProtection="1">
      <alignment horizontal="right" vertical="center" shrinkToFit="1"/>
      <protection hidden="1"/>
    </xf>
    <xf numFmtId="0" fontId="12" fillId="30" borderId="173" xfId="0" applyFont="1" applyFill="1" applyBorder="1" applyAlignment="1" applyProtection="1">
      <alignment horizontal="center" vertical="center" shrinkToFit="1"/>
      <protection hidden="1"/>
    </xf>
    <xf numFmtId="0" fontId="12" fillId="11" borderId="220" xfId="0" applyFont="1" applyFill="1" applyBorder="1" applyAlignment="1" applyProtection="1">
      <alignment horizontal="center" vertical="center" shrinkToFit="1"/>
      <protection hidden="1"/>
    </xf>
    <xf numFmtId="0" fontId="12" fillId="11" borderId="199" xfId="0" applyFont="1" applyFill="1" applyBorder="1" applyAlignment="1" applyProtection="1">
      <alignment horizontal="center" vertical="center" shrinkToFit="1"/>
      <protection hidden="1"/>
    </xf>
    <xf numFmtId="0" fontId="12" fillId="11" borderId="221" xfId="0" applyFont="1" applyFill="1" applyBorder="1" applyAlignment="1" applyProtection="1">
      <alignment horizontal="center" vertical="center" shrinkToFit="1"/>
      <protection hidden="1"/>
    </xf>
    <xf numFmtId="0" fontId="12" fillId="11" borderId="219" xfId="0" applyFont="1" applyFill="1" applyBorder="1" applyAlignment="1" applyProtection="1">
      <alignment horizontal="center" vertical="center" shrinkToFit="1"/>
      <protection hidden="1"/>
    </xf>
    <xf numFmtId="0" fontId="12" fillId="11" borderId="177" xfId="0" applyFont="1" applyFill="1" applyBorder="1" applyAlignment="1" applyProtection="1">
      <alignment horizontal="center" vertical="center"/>
      <protection hidden="1"/>
    </xf>
    <xf numFmtId="0" fontId="12" fillId="11" borderId="219" xfId="0" applyFont="1" applyFill="1" applyBorder="1" applyAlignment="1" applyProtection="1">
      <alignment horizontal="center" vertical="center"/>
      <protection hidden="1"/>
    </xf>
    <xf numFmtId="0" fontId="12" fillId="11" borderId="20" xfId="0" applyFont="1" applyFill="1" applyBorder="1" applyAlignment="1" applyProtection="1">
      <alignment horizontal="center" vertical="center"/>
      <protection hidden="1"/>
    </xf>
    <xf numFmtId="0" fontId="33" fillId="3" borderId="175" xfId="0" applyFont="1" applyFill="1" applyBorder="1" applyAlignment="1" applyProtection="1">
      <alignment horizontal="center" vertical="center" shrinkToFit="1"/>
      <protection hidden="1"/>
    </xf>
    <xf numFmtId="0" fontId="33" fillId="3" borderId="178" xfId="0" applyFont="1" applyFill="1" applyBorder="1" applyAlignment="1" applyProtection="1">
      <alignment horizontal="center" vertical="center" shrinkToFit="1"/>
      <protection hidden="1"/>
    </xf>
    <xf numFmtId="199" fontId="12" fillId="30" borderId="173" xfId="0" applyNumberFormat="1" applyFont="1" applyFill="1" applyBorder="1" applyAlignment="1" applyProtection="1">
      <alignment horizontal="right" vertical="center" shrinkToFit="1"/>
      <protection hidden="1"/>
    </xf>
    <xf numFmtId="0" fontId="12" fillId="26" borderId="173" xfId="0" applyFont="1" applyFill="1" applyBorder="1" applyAlignment="1" applyProtection="1">
      <alignment horizontal="left" vertical="center" shrinkToFit="1"/>
      <protection locked="0"/>
    </xf>
    <xf numFmtId="0" fontId="499" fillId="24" borderId="30" xfId="1" applyFont="1" applyFill="1" applyBorder="1" applyAlignment="1" applyProtection="1">
      <alignment horizontal="center" vertical="center"/>
      <protection hidden="1"/>
    </xf>
    <xf numFmtId="0" fontId="499" fillId="24" borderId="31" xfId="1" applyFont="1" applyFill="1" applyBorder="1" applyAlignment="1" applyProtection="1">
      <alignment horizontal="center" vertical="center"/>
      <protection hidden="1"/>
    </xf>
    <xf numFmtId="0" fontId="499" fillId="24" borderId="32" xfId="1" applyFont="1" applyFill="1" applyBorder="1" applyAlignment="1" applyProtection="1">
      <alignment horizontal="center" vertical="center"/>
      <protection hidden="1"/>
    </xf>
    <xf numFmtId="0" fontId="499" fillId="24" borderId="30" xfId="1" quotePrefix="1" applyFont="1" applyFill="1" applyBorder="1" applyAlignment="1" applyProtection="1">
      <alignment horizontal="center" vertical="center"/>
      <protection hidden="1"/>
    </xf>
    <xf numFmtId="0" fontId="24" fillId="0" borderId="175" xfId="0" applyFont="1" applyFill="1" applyBorder="1" applyAlignment="1" applyProtection="1">
      <alignment horizontal="center" vertical="center"/>
      <protection hidden="1"/>
    </xf>
    <xf numFmtId="0" fontId="24" fillId="0" borderId="176" xfId="0" applyFont="1" applyFill="1" applyBorder="1" applyAlignment="1" applyProtection="1">
      <alignment horizontal="center" vertical="center"/>
      <protection hidden="1"/>
    </xf>
    <xf numFmtId="185" fontId="12" fillId="30" borderId="392" xfId="0" applyNumberFormat="1" applyFont="1" applyFill="1" applyBorder="1" applyAlignment="1" applyProtection="1">
      <alignment horizontal="right" vertical="center" shrinkToFit="1"/>
      <protection hidden="1"/>
    </xf>
    <xf numFmtId="185" fontId="12" fillId="30" borderId="158" xfId="0" applyNumberFormat="1" applyFont="1" applyFill="1" applyBorder="1" applyAlignment="1" applyProtection="1">
      <alignment horizontal="right" vertical="center" shrinkToFit="1"/>
      <protection hidden="1"/>
    </xf>
    <xf numFmtId="185" fontId="12" fillId="30" borderId="391" xfId="0" applyNumberFormat="1" applyFont="1" applyFill="1" applyBorder="1" applyAlignment="1" applyProtection="1">
      <alignment horizontal="right" vertical="center" shrinkToFit="1"/>
      <protection hidden="1"/>
    </xf>
    <xf numFmtId="0" fontId="12" fillId="30" borderId="220" xfId="0" applyFont="1" applyFill="1" applyBorder="1" applyAlignment="1" applyProtection="1">
      <alignment horizontal="center" vertical="center" shrinkToFit="1"/>
      <protection hidden="1"/>
    </xf>
    <xf numFmtId="0" fontId="12" fillId="30" borderId="199" xfId="0" applyFont="1" applyFill="1" applyBorder="1" applyAlignment="1" applyProtection="1">
      <alignment horizontal="center" vertical="center" shrinkToFit="1"/>
      <protection hidden="1"/>
    </xf>
    <xf numFmtId="0" fontId="12" fillId="30" borderId="199" xfId="0" applyFont="1" applyFill="1" applyBorder="1" applyAlignment="1" applyProtection="1">
      <alignment horizontal="center" shrinkToFit="1"/>
      <protection hidden="1"/>
    </xf>
    <xf numFmtId="0" fontId="12" fillId="30" borderId="221" xfId="0" applyFont="1" applyFill="1" applyBorder="1" applyAlignment="1" applyProtection="1">
      <alignment horizontal="center" shrinkToFit="1"/>
      <protection hidden="1"/>
    </xf>
    <xf numFmtId="199" fontId="12" fillId="30" borderId="175" xfId="0" applyNumberFormat="1" applyFont="1" applyFill="1" applyBorder="1" applyAlignment="1" applyProtection="1">
      <alignment horizontal="right" vertical="center" shrinkToFit="1"/>
      <protection hidden="1"/>
    </xf>
    <xf numFmtId="199" fontId="12" fillId="30" borderId="178" xfId="0" applyNumberFormat="1" applyFont="1" applyFill="1" applyBorder="1" applyAlignment="1" applyProtection="1">
      <alignment horizontal="right" vertical="center" shrinkToFit="1"/>
      <protection hidden="1"/>
    </xf>
    <xf numFmtId="199" fontId="12" fillId="30" borderId="176" xfId="0" applyNumberFormat="1" applyFont="1" applyFill="1" applyBorder="1" applyAlignment="1" applyProtection="1">
      <alignment horizontal="right" vertical="center" shrinkToFit="1"/>
      <protection hidden="1"/>
    </xf>
    <xf numFmtId="185" fontId="12" fillId="30" borderId="175" xfId="0" quotePrefix="1" applyNumberFormat="1" applyFont="1" applyFill="1" applyBorder="1" applyAlignment="1" applyProtection="1">
      <alignment horizontal="right" vertical="center" shrinkToFit="1"/>
      <protection hidden="1"/>
    </xf>
    <xf numFmtId="0" fontId="53" fillId="0" borderId="15" xfId="0" applyFont="1" applyFill="1" applyBorder="1" applyAlignment="1" applyProtection="1">
      <alignment horizontal="center" vertical="center" shrinkToFit="1"/>
      <protection hidden="1"/>
    </xf>
    <xf numFmtId="0" fontId="53" fillId="0" borderId="21" xfId="0" applyFont="1" applyFill="1" applyBorder="1" applyAlignment="1" applyProtection="1">
      <alignment horizontal="center" vertical="center" shrinkToFit="1"/>
      <protection hidden="1"/>
    </xf>
    <xf numFmtId="0" fontId="365" fillId="24" borderId="30" xfId="1" applyFont="1" applyFill="1" applyBorder="1" applyAlignment="1" applyProtection="1">
      <alignment horizontal="center" vertical="center"/>
      <protection hidden="1"/>
    </xf>
    <xf numFmtId="0" fontId="365" fillId="24" borderId="31" xfId="1" applyFont="1" applyFill="1" applyBorder="1" applyAlignment="1" applyProtection="1">
      <alignment horizontal="center" vertical="center"/>
      <protection hidden="1"/>
    </xf>
    <xf numFmtId="0" fontId="365" fillId="24" borderId="32" xfId="1" applyFont="1" applyFill="1" applyBorder="1" applyAlignment="1" applyProtection="1">
      <alignment horizontal="center" vertical="center"/>
      <protection hidden="1"/>
    </xf>
    <xf numFmtId="0" fontId="30" fillId="24" borderId="30" xfId="1" applyFont="1" applyFill="1" applyBorder="1" applyAlignment="1" applyProtection="1">
      <alignment horizontal="center" vertical="center" shrinkToFit="1"/>
      <protection hidden="1"/>
    </xf>
    <xf numFmtId="0" fontId="30" fillId="24" borderId="31" xfId="1" applyFont="1" applyFill="1" applyBorder="1" applyAlignment="1" applyProtection="1">
      <alignment horizontal="center" vertical="center" shrinkToFit="1"/>
      <protection hidden="1"/>
    </xf>
    <xf numFmtId="0" fontId="30" fillId="24" borderId="32" xfId="1" applyFont="1" applyFill="1" applyBorder="1" applyAlignment="1" applyProtection="1">
      <alignment horizontal="center" vertical="center" shrinkToFit="1"/>
      <protection hidden="1"/>
    </xf>
    <xf numFmtId="0" fontId="365" fillId="24" borderId="30" xfId="1" applyFont="1" applyFill="1" applyBorder="1" applyAlignment="1" applyProtection="1">
      <alignment horizontal="center" vertical="center" shrinkToFit="1"/>
      <protection hidden="1"/>
    </xf>
    <xf numFmtId="0" fontId="365" fillId="24" borderId="31" xfId="1" applyFont="1" applyFill="1" applyBorder="1" applyAlignment="1" applyProtection="1">
      <alignment horizontal="center" vertical="center" shrinkToFit="1"/>
      <protection hidden="1"/>
    </xf>
    <xf numFmtId="0" fontId="365" fillId="24" borderId="32" xfId="1" applyFont="1" applyFill="1" applyBorder="1" applyAlignment="1" applyProtection="1">
      <alignment horizontal="center" vertical="center" shrinkToFit="1"/>
      <protection hidden="1"/>
    </xf>
    <xf numFmtId="0" fontId="2" fillId="70" borderId="0" xfId="0" applyFont="1" applyFill="1" applyBorder="1" applyAlignment="1" applyProtection="1">
      <alignment horizontal="center" vertical="center"/>
      <protection hidden="1"/>
    </xf>
    <xf numFmtId="0" fontId="13" fillId="30" borderId="175" xfId="0" applyFont="1" applyFill="1" applyBorder="1" applyAlignment="1" applyProtection="1">
      <alignment horizontal="center" vertical="center"/>
      <protection hidden="1"/>
    </xf>
    <xf numFmtId="0" fontId="13" fillId="30" borderId="178" xfId="0" applyFont="1" applyFill="1" applyBorder="1" applyAlignment="1" applyProtection="1">
      <alignment horizontal="center" vertical="center"/>
      <protection hidden="1"/>
    </xf>
    <xf numFmtId="0" fontId="2" fillId="29" borderId="0" xfId="0" applyFont="1" applyFill="1" applyBorder="1" applyAlignment="1" applyProtection="1">
      <alignment horizontal="center" vertical="center"/>
      <protection hidden="1"/>
    </xf>
    <xf numFmtId="0" fontId="53" fillId="0" borderId="15" xfId="0" applyFont="1" applyFill="1" applyBorder="1" applyAlignment="1" applyProtection="1">
      <alignment horizontal="center" vertical="center"/>
      <protection hidden="1"/>
    </xf>
    <xf numFmtId="0" fontId="53" fillId="0" borderId="21" xfId="0" applyFont="1" applyFill="1" applyBorder="1" applyAlignment="1" applyProtection="1">
      <alignment horizontal="center" vertical="center"/>
      <protection hidden="1"/>
    </xf>
    <xf numFmtId="0" fontId="11" fillId="0" borderId="0" xfId="0" applyFont="1" applyFill="1" applyAlignment="1" applyProtection="1">
      <alignment horizontal="center"/>
      <protection hidden="1"/>
    </xf>
    <xf numFmtId="0" fontId="11" fillId="0" borderId="219" xfId="0" applyFont="1" applyFill="1" applyBorder="1" applyAlignment="1" applyProtection="1">
      <alignment horizontal="center"/>
      <protection hidden="1"/>
    </xf>
    <xf numFmtId="0" fontId="12" fillId="30" borderId="390" xfId="0" applyFont="1" applyFill="1" applyBorder="1" applyAlignment="1" applyProtection="1">
      <alignment horizontal="left" vertical="center" shrinkToFit="1"/>
      <protection hidden="1"/>
    </xf>
    <xf numFmtId="186" fontId="11" fillId="0" borderId="134" xfId="0" applyNumberFormat="1" applyFont="1" applyFill="1" applyBorder="1" applyAlignment="1" applyProtection="1">
      <alignment horizontal="center" vertical="center" shrinkToFit="1"/>
      <protection hidden="1"/>
    </xf>
    <xf numFmtId="186" fontId="11" fillId="0" borderId="135" xfId="0" applyNumberFormat="1" applyFont="1" applyFill="1" applyBorder="1" applyAlignment="1" applyProtection="1">
      <alignment horizontal="center" vertical="center" shrinkToFit="1"/>
      <protection hidden="1"/>
    </xf>
    <xf numFmtId="0" fontId="2" fillId="0" borderId="156" xfId="0" applyFont="1" applyFill="1" applyBorder="1" applyAlignment="1" applyProtection="1">
      <alignment horizontal="center" shrinkToFit="1"/>
      <protection hidden="1"/>
    </xf>
    <xf numFmtId="0" fontId="11" fillId="0" borderId="199" xfId="0" applyFont="1" applyFill="1" applyBorder="1" applyAlignment="1" applyProtection="1">
      <alignment horizontal="center"/>
      <protection hidden="1"/>
    </xf>
    <xf numFmtId="0" fontId="12" fillId="30" borderId="177" xfId="0" applyFont="1" applyFill="1" applyBorder="1" applyAlignment="1" applyProtection="1">
      <alignment horizontal="center" vertical="center" shrinkToFit="1"/>
      <protection hidden="1"/>
    </xf>
    <xf numFmtId="0" fontId="12" fillId="30" borderId="219" xfId="0" applyFont="1" applyFill="1" applyBorder="1" applyAlignment="1" applyProtection="1">
      <alignment horizontal="center" vertical="center" shrinkToFit="1"/>
      <protection hidden="1"/>
    </xf>
    <xf numFmtId="0" fontId="12" fillId="30" borderId="219" xfId="0" applyFont="1" applyFill="1" applyBorder="1" applyAlignment="1" applyProtection="1">
      <alignment horizontal="center" vertical="top" shrinkToFit="1"/>
      <protection hidden="1"/>
    </xf>
    <xf numFmtId="0" fontId="12" fillId="30" borderId="20" xfId="0" applyFont="1" applyFill="1" applyBorder="1" applyAlignment="1" applyProtection="1">
      <alignment horizontal="center" vertical="top" shrinkToFit="1"/>
      <protection hidden="1"/>
    </xf>
    <xf numFmtId="0" fontId="12" fillId="30" borderId="119" xfId="0" applyFont="1" applyFill="1" applyBorder="1" applyAlignment="1" applyProtection="1">
      <alignment horizontal="center" vertical="center" shrinkToFit="1"/>
      <protection hidden="1"/>
    </xf>
    <xf numFmtId="0" fontId="12" fillId="30" borderId="120" xfId="0" applyFont="1" applyFill="1" applyBorder="1" applyAlignment="1" applyProtection="1">
      <alignment horizontal="center" vertical="center" shrinkToFit="1"/>
      <protection hidden="1"/>
    </xf>
    <xf numFmtId="0" fontId="12" fillId="30" borderId="120" xfId="0" applyFont="1" applyFill="1" applyBorder="1" applyAlignment="1" applyProtection="1">
      <alignment horizontal="left" vertical="center" shrinkToFit="1"/>
      <protection hidden="1"/>
    </xf>
    <xf numFmtId="0" fontId="12" fillId="30" borderId="121" xfId="0" applyFont="1" applyFill="1" applyBorder="1" applyAlignment="1" applyProtection="1">
      <alignment horizontal="left" vertical="center" shrinkToFit="1"/>
      <protection hidden="1"/>
    </xf>
    <xf numFmtId="0" fontId="12" fillId="30" borderId="387" xfId="0" applyFont="1" applyFill="1" applyBorder="1" applyAlignment="1" applyProtection="1">
      <alignment horizontal="left" vertical="center" shrinkToFit="1"/>
      <protection hidden="1"/>
    </xf>
    <xf numFmtId="0" fontId="43" fillId="63" borderId="173" xfId="0" applyFont="1" applyFill="1" applyBorder="1" applyAlignment="1" applyProtection="1">
      <alignment horizontal="center" vertical="center" shrinkToFit="1"/>
      <protection locked="0"/>
    </xf>
    <xf numFmtId="0" fontId="12" fillId="3" borderId="199" xfId="0" applyFont="1" applyFill="1" applyBorder="1" applyAlignment="1" applyProtection="1">
      <alignment horizontal="left" vertical="center" shrinkToFit="1"/>
      <protection hidden="1"/>
    </xf>
    <xf numFmtId="0" fontId="12" fillId="3" borderId="219" xfId="0" applyFont="1" applyFill="1" applyBorder="1" applyAlignment="1" applyProtection="1">
      <alignment horizontal="left" vertical="center" shrinkToFit="1"/>
      <protection hidden="1"/>
    </xf>
    <xf numFmtId="182" fontId="53" fillId="3" borderId="173" xfId="0" applyNumberFormat="1" applyFont="1" applyFill="1" applyBorder="1" applyAlignment="1" applyProtection="1">
      <alignment horizontal="center" vertical="center" shrinkToFit="1"/>
      <protection hidden="1"/>
    </xf>
    <xf numFmtId="182" fontId="53" fillId="11" borderId="173" xfId="0" applyNumberFormat="1" applyFont="1" applyFill="1" applyBorder="1" applyAlignment="1" applyProtection="1">
      <alignment horizontal="center" vertical="center" shrinkToFit="1"/>
      <protection hidden="1"/>
    </xf>
    <xf numFmtId="206" fontId="43" fillId="30" borderId="175" xfId="0" applyNumberFormat="1" applyFont="1" applyFill="1" applyBorder="1" applyAlignment="1" applyProtection="1">
      <alignment horizontal="right" vertical="center" shrinkToFit="1"/>
      <protection hidden="1"/>
    </xf>
    <xf numFmtId="206" fontId="43" fillId="30" borderId="178" xfId="0" applyNumberFormat="1" applyFont="1" applyFill="1" applyBorder="1" applyAlignment="1" applyProtection="1">
      <alignment horizontal="right" vertical="center" shrinkToFit="1"/>
      <protection hidden="1"/>
    </xf>
    <xf numFmtId="206" fontId="43" fillId="30" borderId="176" xfId="0" applyNumberFormat="1" applyFont="1" applyFill="1" applyBorder="1" applyAlignment="1" applyProtection="1">
      <alignment horizontal="right" vertical="center" shrinkToFit="1"/>
      <protection hidden="1"/>
    </xf>
    <xf numFmtId="193" fontId="53" fillId="30" borderId="175" xfId="0" applyNumberFormat="1" applyFont="1" applyFill="1" applyBorder="1" applyAlignment="1" applyProtection="1">
      <alignment horizontal="center" vertical="center" shrinkToFit="1"/>
      <protection hidden="1"/>
    </xf>
    <xf numFmtId="193" fontId="53" fillId="30" borderId="178" xfId="0" applyNumberFormat="1" applyFont="1" applyFill="1" applyBorder="1" applyAlignment="1" applyProtection="1">
      <alignment horizontal="center" vertical="center" shrinkToFit="1"/>
      <protection hidden="1"/>
    </xf>
    <xf numFmtId="193" fontId="53" fillId="30" borderId="176" xfId="0" applyNumberFormat="1" applyFont="1" applyFill="1" applyBorder="1" applyAlignment="1" applyProtection="1">
      <alignment horizontal="center" vertical="center" shrinkToFit="1"/>
      <protection hidden="1"/>
    </xf>
    <xf numFmtId="185" fontId="53" fillId="30" borderId="175" xfId="0" applyNumberFormat="1" applyFont="1" applyFill="1" applyBorder="1" applyAlignment="1" applyProtection="1">
      <alignment horizontal="right" vertical="center" shrinkToFit="1"/>
      <protection hidden="1"/>
    </xf>
    <xf numFmtId="185" fontId="53" fillId="30" borderId="178" xfId="0" applyNumberFormat="1" applyFont="1" applyFill="1" applyBorder="1" applyAlignment="1" applyProtection="1">
      <alignment horizontal="right" vertical="center" shrinkToFit="1"/>
      <protection hidden="1"/>
    </xf>
    <xf numFmtId="185" fontId="53" fillId="30" borderId="176" xfId="0" applyNumberFormat="1" applyFont="1" applyFill="1" applyBorder="1" applyAlignment="1" applyProtection="1">
      <alignment horizontal="right" vertical="center" shrinkToFit="1"/>
      <protection hidden="1"/>
    </xf>
    <xf numFmtId="182" fontId="53" fillId="30" borderId="175" xfId="0" applyNumberFormat="1" applyFont="1" applyFill="1" applyBorder="1" applyAlignment="1" applyProtection="1">
      <alignment horizontal="right" vertical="center" shrinkToFit="1"/>
      <protection hidden="1"/>
    </xf>
    <xf numFmtId="182" fontId="53" fillId="30" borderId="178" xfId="0" applyNumberFormat="1" applyFont="1" applyFill="1" applyBorder="1" applyAlignment="1" applyProtection="1">
      <alignment horizontal="right" vertical="center" shrinkToFit="1"/>
      <protection hidden="1"/>
    </xf>
    <xf numFmtId="182" fontId="53" fillId="30" borderId="176" xfId="0" applyNumberFormat="1" applyFont="1" applyFill="1" applyBorder="1" applyAlignment="1" applyProtection="1">
      <alignment horizontal="right" vertical="center" shrinkToFit="1"/>
      <protection hidden="1"/>
    </xf>
    <xf numFmtId="182" fontId="12" fillId="11" borderId="175" xfId="0" applyNumberFormat="1" applyFont="1" applyFill="1" applyBorder="1" applyAlignment="1" applyProtection="1">
      <alignment horizontal="center" vertical="center" shrinkToFit="1"/>
      <protection hidden="1"/>
    </xf>
    <xf numFmtId="182" fontId="12" fillId="11" borderId="178" xfId="0" applyNumberFormat="1" applyFont="1" applyFill="1" applyBorder="1" applyAlignment="1" applyProtection="1">
      <alignment horizontal="center" vertical="center" shrinkToFit="1"/>
      <protection hidden="1"/>
    </xf>
    <xf numFmtId="182" fontId="12" fillId="11" borderId="176" xfId="0" applyNumberFormat="1" applyFont="1" applyFill="1" applyBorder="1" applyAlignment="1" applyProtection="1">
      <alignment horizontal="center" vertical="center" shrinkToFit="1"/>
      <protection hidden="1"/>
    </xf>
    <xf numFmtId="4" fontId="43" fillId="30" borderId="175" xfId="0" applyNumberFormat="1" applyFont="1" applyFill="1" applyBorder="1" applyAlignment="1" applyProtection="1">
      <alignment horizontal="right" vertical="center" shrinkToFit="1"/>
      <protection hidden="1"/>
    </xf>
    <xf numFmtId="4" fontId="43" fillId="30" borderId="178" xfId="0" applyNumberFormat="1" applyFont="1" applyFill="1" applyBorder="1" applyAlignment="1" applyProtection="1">
      <alignment horizontal="right" vertical="center" shrinkToFit="1"/>
      <protection hidden="1"/>
    </xf>
    <xf numFmtId="4" fontId="43" fillId="30" borderId="176" xfId="0" applyNumberFormat="1" applyFont="1" applyFill="1" applyBorder="1" applyAlignment="1" applyProtection="1">
      <alignment horizontal="right" vertical="center" shrinkToFit="1"/>
      <protection hidden="1"/>
    </xf>
    <xf numFmtId="0" fontId="12" fillId="3" borderId="513" xfId="0" applyFont="1" applyFill="1" applyBorder="1" applyAlignment="1" applyProtection="1">
      <alignment horizontal="left" vertical="center" shrinkToFit="1"/>
      <protection hidden="1"/>
    </xf>
    <xf numFmtId="0" fontId="12" fillId="3" borderId="509" xfId="0" applyFont="1" applyFill="1" applyBorder="1" applyAlignment="1" applyProtection="1">
      <alignment horizontal="left" vertical="center" shrinkToFit="1"/>
      <protection hidden="1"/>
    </xf>
    <xf numFmtId="0" fontId="12" fillId="3" borderId="512" xfId="0" applyFont="1" applyFill="1" applyBorder="1" applyAlignment="1" applyProtection="1">
      <alignment horizontal="left" vertical="center" shrinkToFit="1"/>
      <protection hidden="1"/>
    </xf>
    <xf numFmtId="0" fontId="12" fillId="3" borderId="510" xfId="0" applyFont="1" applyFill="1" applyBorder="1" applyAlignment="1" applyProtection="1">
      <alignment horizontal="center" vertical="center" shrinkToFit="1"/>
      <protection hidden="1"/>
    </xf>
    <xf numFmtId="0" fontId="12" fillId="3" borderId="509" xfId="0" applyFont="1" applyFill="1" applyBorder="1" applyAlignment="1" applyProtection="1">
      <alignment horizontal="center" vertical="center" shrinkToFit="1"/>
      <protection hidden="1"/>
    </xf>
    <xf numFmtId="0" fontId="12" fillId="3" borderId="508" xfId="0" applyFont="1" applyFill="1" applyBorder="1" applyAlignment="1" applyProtection="1">
      <alignment horizontal="center" vertical="center" shrinkToFit="1"/>
      <protection hidden="1"/>
    </xf>
    <xf numFmtId="0" fontId="12" fillId="3" borderId="508" xfId="0" applyFont="1" applyFill="1" applyBorder="1" applyAlignment="1" applyProtection="1">
      <alignment horizontal="left" vertical="center" shrinkToFit="1"/>
      <protection hidden="1"/>
    </xf>
    <xf numFmtId="0" fontId="12" fillId="11" borderId="515" xfId="0" applyFont="1" applyFill="1" applyBorder="1" applyAlignment="1" applyProtection="1">
      <alignment horizontal="center" vertical="center" shrinkToFit="1"/>
      <protection hidden="1"/>
    </xf>
    <xf numFmtId="0" fontId="12" fillId="11" borderId="362" xfId="0" applyFont="1" applyFill="1" applyBorder="1" applyAlignment="1" applyProtection="1">
      <alignment horizontal="center" vertical="center" shrinkToFit="1"/>
      <protection hidden="1"/>
    </xf>
    <xf numFmtId="0" fontId="12" fillId="11" borderId="361" xfId="0" applyFont="1" applyFill="1" applyBorder="1" applyAlignment="1" applyProtection="1">
      <alignment horizontal="center" vertical="center" shrinkToFit="1"/>
      <protection hidden="1"/>
    </xf>
    <xf numFmtId="190" fontId="53" fillId="30" borderId="175" xfId="0" applyNumberFormat="1" applyFont="1" applyFill="1" applyBorder="1" applyAlignment="1" applyProtection="1">
      <alignment horizontal="right" vertical="center" shrinkToFit="1"/>
      <protection hidden="1"/>
    </xf>
    <xf numFmtId="190" fontId="53" fillId="30" borderId="178" xfId="0" applyNumberFormat="1" applyFont="1" applyFill="1" applyBorder="1" applyAlignment="1" applyProtection="1">
      <alignment horizontal="right" vertical="center" shrinkToFit="1"/>
      <protection hidden="1"/>
    </xf>
    <xf numFmtId="190" fontId="53" fillId="30" borderId="176" xfId="0" applyNumberFormat="1" applyFont="1" applyFill="1" applyBorder="1" applyAlignment="1" applyProtection="1">
      <alignment horizontal="right" vertical="center" shrinkToFit="1"/>
      <protection hidden="1"/>
    </xf>
    <xf numFmtId="186" fontId="53" fillId="0" borderId="175" xfId="0" applyNumberFormat="1" applyFont="1" applyFill="1" applyBorder="1" applyAlignment="1" applyProtection="1">
      <alignment horizontal="right" vertical="center" shrinkToFit="1"/>
      <protection hidden="1"/>
    </xf>
    <xf numFmtId="186" fontId="53" fillId="0" borderId="178" xfId="0" applyNumberFormat="1" applyFont="1" applyFill="1" applyBorder="1" applyAlignment="1" applyProtection="1">
      <alignment horizontal="right" vertical="center" shrinkToFit="1"/>
      <protection hidden="1"/>
    </xf>
    <xf numFmtId="186" fontId="53" fillId="0" borderId="176" xfId="0" applyNumberFormat="1" applyFont="1" applyFill="1" applyBorder="1" applyAlignment="1" applyProtection="1">
      <alignment horizontal="right" vertical="center" shrinkToFit="1"/>
      <protection hidden="1"/>
    </xf>
    <xf numFmtId="0" fontId="43" fillId="30" borderId="175" xfId="0" applyFont="1" applyFill="1" applyBorder="1" applyAlignment="1" applyProtection="1">
      <alignment horizontal="center" vertical="center" shrinkToFit="1"/>
      <protection hidden="1"/>
    </xf>
    <xf numFmtId="0" fontId="43" fillId="30" borderId="178" xfId="0" applyFont="1" applyFill="1" applyBorder="1" applyAlignment="1" applyProtection="1">
      <alignment horizontal="center" vertical="center" shrinkToFit="1"/>
      <protection hidden="1"/>
    </xf>
    <xf numFmtId="0" fontId="43" fillId="30" borderId="176" xfId="0" applyFont="1" applyFill="1" applyBorder="1" applyAlignment="1" applyProtection="1">
      <alignment horizontal="center" vertical="center" shrinkToFit="1"/>
      <protection hidden="1"/>
    </xf>
    <xf numFmtId="0" fontId="12" fillId="30" borderId="178" xfId="0" applyFont="1" applyFill="1" applyBorder="1" applyAlignment="1" applyProtection="1">
      <alignment horizontal="distributed" vertical="center" shrinkToFit="1"/>
      <protection hidden="1"/>
    </xf>
    <xf numFmtId="0" fontId="12" fillId="30" borderId="176" xfId="0" applyFont="1" applyFill="1" applyBorder="1" applyAlignment="1" applyProtection="1">
      <alignment horizontal="distributed" vertical="center" shrinkToFit="1"/>
      <protection hidden="1"/>
    </xf>
    <xf numFmtId="0" fontId="12" fillId="11" borderId="496" xfId="0" applyFont="1" applyFill="1" applyBorder="1" applyAlignment="1" applyProtection="1">
      <alignment horizontal="center" vertical="center" shrinkToFit="1"/>
      <protection hidden="1"/>
    </xf>
    <xf numFmtId="0" fontId="12" fillId="11" borderId="495" xfId="0" applyFont="1" applyFill="1" applyBorder="1" applyAlignment="1" applyProtection="1">
      <alignment horizontal="center" vertical="center" shrinkToFit="1"/>
      <protection hidden="1"/>
    </xf>
    <xf numFmtId="0" fontId="12" fillId="11" borderId="355" xfId="0" applyFont="1" applyFill="1" applyBorder="1" applyAlignment="1" applyProtection="1">
      <alignment horizontal="center" vertical="center" shrinkToFit="1"/>
      <protection hidden="1"/>
    </xf>
    <xf numFmtId="0" fontId="12" fillId="11" borderId="354" xfId="0" applyFont="1" applyFill="1" applyBorder="1" applyAlignment="1" applyProtection="1">
      <alignment horizontal="center" vertical="center" shrinkToFit="1"/>
      <protection hidden="1"/>
    </xf>
    <xf numFmtId="0" fontId="12" fillId="11" borderId="356" xfId="0" applyFont="1" applyFill="1" applyBorder="1" applyAlignment="1" applyProtection="1">
      <alignment horizontal="center" vertical="center" shrinkToFit="1"/>
      <protection hidden="1"/>
    </xf>
    <xf numFmtId="0" fontId="12" fillId="3" borderId="220" xfId="0" applyFont="1" applyFill="1" applyBorder="1" applyAlignment="1" applyProtection="1">
      <alignment horizontal="left" vertical="center" shrinkToFit="1"/>
      <protection hidden="1"/>
    </xf>
    <xf numFmtId="0" fontId="12" fillId="3" borderId="221" xfId="0" applyFont="1" applyFill="1" applyBorder="1" applyAlignment="1" applyProtection="1">
      <alignment horizontal="left" vertical="center" shrinkToFit="1"/>
      <protection hidden="1"/>
    </xf>
    <xf numFmtId="0" fontId="12" fillId="3" borderId="398" xfId="0" applyFont="1" applyFill="1" applyBorder="1" applyAlignment="1" applyProtection="1">
      <alignment horizontal="left" vertical="center" shrinkToFit="1"/>
      <protection hidden="1"/>
    </xf>
    <xf numFmtId="0" fontId="12" fillId="3" borderId="397" xfId="0" applyFont="1" applyFill="1" applyBorder="1" applyAlignment="1" applyProtection="1">
      <alignment horizontal="left" vertical="center" shrinkToFit="1"/>
      <protection hidden="1"/>
    </xf>
    <xf numFmtId="0" fontId="12" fillId="3" borderId="396" xfId="0" applyFont="1" applyFill="1" applyBorder="1" applyAlignment="1" applyProtection="1">
      <alignment horizontal="left" vertical="center" shrinkToFit="1"/>
      <protection hidden="1"/>
    </xf>
    <xf numFmtId="0" fontId="12" fillId="3" borderId="502" xfId="0" applyFont="1" applyFill="1" applyBorder="1" applyAlignment="1" applyProtection="1">
      <alignment horizontal="left" vertical="center" shrinkToFit="1"/>
      <protection hidden="1"/>
    </xf>
    <xf numFmtId="0" fontId="12" fillId="3" borderId="500" xfId="0" applyFont="1" applyFill="1" applyBorder="1" applyAlignment="1" applyProtection="1">
      <alignment horizontal="left" vertical="center" shrinkToFit="1"/>
      <protection hidden="1"/>
    </xf>
    <xf numFmtId="0" fontId="12" fillId="3" borderId="503" xfId="0" applyFont="1" applyFill="1" applyBorder="1" applyAlignment="1" applyProtection="1">
      <alignment horizontal="center" vertical="center" shrinkToFit="1"/>
      <protection hidden="1"/>
    </xf>
    <xf numFmtId="0" fontId="12" fillId="3" borderId="505" xfId="0" applyFont="1" applyFill="1" applyBorder="1" applyAlignment="1" applyProtection="1">
      <alignment horizontal="center" vertical="center" shrinkToFit="1"/>
      <protection hidden="1"/>
    </xf>
    <xf numFmtId="0" fontId="414" fillId="3" borderId="220" xfId="0" applyFont="1" applyFill="1" applyBorder="1" applyAlignment="1" applyProtection="1">
      <alignment horizontal="left" vertical="center" shrinkToFit="1"/>
      <protection hidden="1"/>
    </xf>
    <xf numFmtId="0" fontId="414" fillId="3" borderId="199" xfId="0" applyFont="1" applyFill="1" applyBorder="1" applyAlignment="1" applyProtection="1">
      <alignment horizontal="left" vertical="center" shrinkToFit="1"/>
      <protection hidden="1"/>
    </xf>
    <xf numFmtId="0" fontId="414" fillId="3" borderId="221" xfId="0" applyFont="1" applyFill="1" applyBorder="1" applyAlignment="1" applyProtection="1">
      <alignment horizontal="left" vertical="center" shrinkToFit="1"/>
      <protection hidden="1"/>
    </xf>
    <xf numFmtId="0" fontId="12" fillId="3" borderId="502" xfId="0" applyFont="1" applyFill="1" applyBorder="1" applyAlignment="1" applyProtection="1">
      <alignment horizontal="center" vertical="center" shrinkToFit="1"/>
      <protection hidden="1"/>
    </xf>
    <xf numFmtId="0" fontId="12" fillId="3" borderId="504" xfId="0" applyFont="1" applyFill="1" applyBorder="1" applyAlignment="1" applyProtection="1">
      <alignment horizontal="center" vertical="center" shrinkToFit="1"/>
      <protection hidden="1"/>
    </xf>
    <xf numFmtId="0" fontId="12" fillId="30" borderId="220" xfId="0" applyFont="1" applyFill="1" applyBorder="1" applyAlignment="1" applyProtection="1">
      <alignment horizontal="distributed" vertical="center" shrinkToFit="1"/>
      <protection hidden="1"/>
    </xf>
    <xf numFmtId="0" fontId="12" fillId="30" borderId="199" xfId="0" applyFont="1" applyFill="1" applyBorder="1" applyAlignment="1" applyProtection="1">
      <alignment horizontal="distributed" vertical="center" shrinkToFit="1"/>
      <protection hidden="1"/>
    </xf>
    <xf numFmtId="0" fontId="12" fillId="30" borderId="221" xfId="0" applyFont="1" applyFill="1" applyBorder="1" applyAlignment="1" applyProtection="1">
      <alignment horizontal="distributed" vertical="center" shrinkToFit="1"/>
      <protection hidden="1"/>
    </xf>
    <xf numFmtId="0" fontId="12" fillId="30" borderId="177" xfId="0" applyFont="1" applyFill="1" applyBorder="1" applyAlignment="1" applyProtection="1">
      <alignment horizontal="distributed" vertical="center" shrinkToFit="1"/>
      <protection hidden="1"/>
    </xf>
    <xf numFmtId="0" fontId="12" fillId="30" borderId="219" xfId="0" applyFont="1" applyFill="1" applyBorder="1" applyAlignment="1" applyProtection="1">
      <alignment horizontal="distributed" vertical="center" shrinkToFit="1"/>
      <protection hidden="1"/>
    </xf>
    <xf numFmtId="0" fontId="12" fillId="30" borderId="20" xfId="0" applyFont="1" applyFill="1" applyBorder="1" applyAlignment="1" applyProtection="1">
      <alignment horizontal="distributed" vertical="center" shrinkToFit="1"/>
      <protection hidden="1"/>
    </xf>
    <xf numFmtId="0" fontId="12" fillId="30" borderId="392" xfId="0" applyFont="1" applyFill="1" applyBorder="1" applyAlignment="1" applyProtection="1">
      <alignment horizontal="left" shrinkToFit="1"/>
      <protection hidden="1"/>
    </xf>
    <xf numFmtId="0" fontId="12" fillId="30" borderId="158" xfId="0" applyFont="1" applyFill="1" applyBorder="1" applyAlignment="1" applyProtection="1">
      <alignment horizontal="left" shrinkToFit="1"/>
      <protection hidden="1"/>
    </xf>
    <xf numFmtId="0" fontId="12" fillId="30" borderId="391" xfId="0" applyFont="1" applyFill="1" applyBorder="1" applyAlignment="1" applyProtection="1">
      <alignment horizontal="left" shrinkToFit="1"/>
      <protection hidden="1"/>
    </xf>
    <xf numFmtId="187" fontId="12" fillId="30" borderId="220" xfId="0" quotePrefix="1" applyNumberFormat="1" applyFont="1" applyFill="1" applyBorder="1" applyAlignment="1" applyProtection="1">
      <alignment horizontal="right" vertical="center" shrinkToFit="1"/>
      <protection hidden="1"/>
    </xf>
    <xf numFmtId="187" fontId="12" fillId="30" borderId="199" xfId="0" quotePrefix="1" applyNumberFormat="1" applyFont="1" applyFill="1" applyBorder="1" applyAlignment="1" applyProtection="1">
      <alignment horizontal="right" vertical="center" shrinkToFit="1"/>
      <protection hidden="1"/>
    </xf>
    <xf numFmtId="187" fontId="12" fillId="30" borderId="177" xfId="0" quotePrefix="1" applyNumberFormat="1" applyFont="1" applyFill="1" applyBorder="1" applyAlignment="1" applyProtection="1">
      <alignment horizontal="right" vertical="center" shrinkToFit="1"/>
      <protection hidden="1"/>
    </xf>
    <xf numFmtId="187" fontId="12" fillId="30" borderId="219" xfId="0" quotePrefix="1" applyNumberFormat="1" applyFont="1" applyFill="1" applyBorder="1" applyAlignment="1" applyProtection="1">
      <alignment horizontal="right" vertical="center" shrinkToFit="1"/>
      <protection hidden="1"/>
    </xf>
    <xf numFmtId="0" fontId="12" fillId="11" borderId="220" xfId="0" applyFont="1" applyFill="1" applyBorder="1" applyAlignment="1" applyProtection="1">
      <alignment horizontal="center" vertical="center" textRotation="180" shrinkToFit="1"/>
      <protection hidden="1"/>
    </xf>
    <xf numFmtId="0" fontId="12" fillId="11" borderId="177" xfId="0" applyFont="1" applyFill="1" applyBorder="1" applyAlignment="1" applyProtection="1">
      <alignment horizontal="center" vertical="center" textRotation="180" shrinkToFit="1"/>
      <protection hidden="1"/>
    </xf>
    <xf numFmtId="186" fontId="12" fillId="26" borderId="220" xfId="0" applyNumberFormat="1" applyFont="1" applyFill="1" applyBorder="1" applyAlignment="1" applyProtection="1">
      <alignment horizontal="right" vertical="center" shrinkToFit="1"/>
      <protection locked="0"/>
    </xf>
    <xf numFmtId="186" fontId="12" fillId="26" borderId="199" xfId="0" applyNumberFormat="1" applyFont="1" applyFill="1" applyBorder="1" applyAlignment="1" applyProtection="1">
      <alignment horizontal="right" vertical="center" shrinkToFit="1"/>
      <protection locked="0"/>
    </xf>
    <xf numFmtId="186" fontId="12" fillId="26" borderId="221" xfId="0" applyNumberFormat="1" applyFont="1" applyFill="1" applyBorder="1" applyAlignment="1" applyProtection="1">
      <alignment horizontal="right" vertical="center" shrinkToFit="1"/>
      <protection locked="0"/>
    </xf>
    <xf numFmtId="186" fontId="12" fillId="26" borderId="177" xfId="0" applyNumberFormat="1" applyFont="1" applyFill="1" applyBorder="1" applyAlignment="1" applyProtection="1">
      <alignment horizontal="right" vertical="center" shrinkToFit="1"/>
      <protection locked="0"/>
    </xf>
    <xf numFmtId="186" fontId="12" fillId="26" borderId="219" xfId="0" applyNumberFormat="1" applyFont="1" applyFill="1" applyBorder="1" applyAlignment="1" applyProtection="1">
      <alignment horizontal="right" vertical="center" shrinkToFit="1"/>
      <protection locked="0"/>
    </xf>
    <xf numFmtId="186" fontId="12" fillId="26" borderId="20" xfId="0" applyNumberFormat="1" applyFont="1" applyFill="1" applyBorder="1" applyAlignment="1" applyProtection="1">
      <alignment horizontal="right" vertical="center" shrinkToFit="1"/>
      <protection locked="0"/>
    </xf>
    <xf numFmtId="187" fontId="12" fillId="26" borderId="175" xfId="0" applyNumberFormat="1" applyFont="1" applyFill="1" applyBorder="1" applyAlignment="1" applyProtection="1">
      <alignment horizontal="right" vertical="center" shrinkToFit="1"/>
      <protection locked="0"/>
    </xf>
    <xf numFmtId="187" fontId="12" fillId="26" borderId="178" xfId="0" applyNumberFormat="1" applyFont="1" applyFill="1" applyBorder="1" applyAlignment="1" applyProtection="1">
      <alignment horizontal="right" vertical="center" shrinkToFit="1"/>
      <protection locked="0"/>
    </xf>
    <xf numFmtId="187" fontId="12" fillId="26" borderId="176" xfId="0" applyNumberFormat="1" applyFont="1" applyFill="1" applyBorder="1" applyAlignment="1" applyProtection="1">
      <alignment horizontal="right" vertical="center" shrinkToFit="1"/>
      <protection locked="0"/>
    </xf>
    <xf numFmtId="182" fontId="12" fillId="30" borderId="120" xfId="0" applyNumberFormat="1" applyFont="1" applyFill="1" applyBorder="1" applyAlignment="1" applyProtection="1">
      <alignment horizontal="left" vertical="center" shrinkToFit="1"/>
      <protection hidden="1"/>
    </xf>
    <xf numFmtId="0" fontId="12" fillId="30" borderId="121" xfId="0" applyFont="1" applyFill="1" applyBorder="1" applyAlignment="1" applyProtection="1">
      <alignment horizontal="center" vertical="center" shrinkToFit="1"/>
      <protection hidden="1"/>
    </xf>
    <xf numFmtId="187" fontId="12" fillId="30" borderId="220" xfId="0" applyNumberFormat="1" applyFont="1" applyFill="1" applyBorder="1" applyAlignment="1" applyProtection="1">
      <alignment horizontal="right" vertical="center" shrinkToFit="1"/>
      <protection hidden="1"/>
    </xf>
    <xf numFmtId="187" fontId="12" fillId="30" borderId="199" xfId="0" applyNumberFormat="1" applyFont="1" applyFill="1" applyBorder="1" applyAlignment="1" applyProtection="1">
      <alignment horizontal="right" vertical="center" shrinkToFit="1"/>
      <protection hidden="1"/>
    </xf>
    <xf numFmtId="187" fontId="12" fillId="30" borderId="221" xfId="0" applyNumberFormat="1" applyFont="1" applyFill="1" applyBorder="1" applyAlignment="1" applyProtection="1">
      <alignment horizontal="right" vertical="center" shrinkToFit="1"/>
      <protection hidden="1"/>
    </xf>
    <xf numFmtId="187" fontId="12" fillId="26" borderId="220" xfId="0" applyNumberFormat="1" applyFont="1" applyFill="1" applyBorder="1" applyAlignment="1" applyProtection="1">
      <alignment horizontal="right" vertical="center" shrinkToFit="1"/>
      <protection locked="0"/>
    </xf>
    <xf numFmtId="187" fontId="12" fillId="26" borderId="199" xfId="0" applyNumberFormat="1" applyFont="1" applyFill="1" applyBorder="1" applyAlignment="1" applyProtection="1">
      <alignment horizontal="right" vertical="center" shrinkToFit="1"/>
      <protection locked="0"/>
    </xf>
    <xf numFmtId="187" fontId="12" fillId="26" borderId="221" xfId="0" applyNumberFormat="1" applyFont="1" applyFill="1" applyBorder="1" applyAlignment="1" applyProtection="1">
      <alignment horizontal="right" vertical="center" shrinkToFit="1"/>
      <protection locked="0"/>
    </xf>
    <xf numFmtId="183" fontId="12" fillId="30" borderId="175" xfId="0" applyNumberFormat="1" applyFont="1" applyFill="1" applyBorder="1" applyAlignment="1" applyProtection="1">
      <alignment horizontal="center" vertical="center" shrinkToFit="1"/>
      <protection hidden="1"/>
    </xf>
    <xf numFmtId="183" fontId="12" fillId="30" borderId="178" xfId="0" applyNumberFormat="1" applyFont="1" applyFill="1" applyBorder="1" applyAlignment="1" applyProtection="1">
      <alignment horizontal="center" vertical="center" shrinkToFit="1"/>
      <protection hidden="1"/>
    </xf>
    <xf numFmtId="183" fontId="12" fillId="30" borderId="176" xfId="0" applyNumberFormat="1" applyFont="1" applyFill="1" applyBorder="1" applyAlignment="1" applyProtection="1">
      <alignment horizontal="center" vertical="center" shrinkToFit="1"/>
      <protection hidden="1"/>
    </xf>
    <xf numFmtId="0" fontId="12" fillId="30" borderId="175" xfId="0" applyFont="1" applyFill="1" applyBorder="1" applyAlignment="1" applyProtection="1">
      <alignment horizontal="distributed" vertical="center" shrinkToFit="1"/>
      <protection hidden="1"/>
    </xf>
    <xf numFmtId="0" fontId="12" fillId="3" borderId="416" xfId="0" applyFont="1" applyFill="1" applyBorder="1" applyAlignment="1" applyProtection="1">
      <alignment horizontal="center" vertical="center" shrinkToFit="1"/>
      <protection hidden="1"/>
    </xf>
    <xf numFmtId="0" fontId="12" fillId="3" borderId="421" xfId="0" applyFont="1" applyFill="1" applyBorder="1" applyAlignment="1" applyProtection="1">
      <alignment horizontal="center" vertical="center" shrinkToFit="1"/>
      <protection hidden="1"/>
    </xf>
    <xf numFmtId="0" fontId="12" fillId="3" borderId="423" xfId="0" applyFont="1" applyFill="1" applyBorder="1" applyAlignment="1" applyProtection="1">
      <alignment horizontal="center" vertical="center" shrinkToFit="1"/>
      <protection hidden="1"/>
    </xf>
    <xf numFmtId="0" fontId="12" fillId="3" borderId="175" xfId="0" applyFont="1" applyFill="1" applyBorder="1" applyAlignment="1" applyProtection="1">
      <alignment horizontal="distributed" vertical="center"/>
      <protection hidden="1"/>
    </xf>
    <xf numFmtId="0" fontId="12" fillId="3" borderId="178" xfId="0" applyFont="1" applyFill="1" applyBorder="1" applyAlignment="1" applyProtection="1">
      <alignment horizontal="distributed" vertical="center"/>
      <protection hidden="1"/>
    </xf>
    <xf numFmtId="0" fontId="12" fillId="3" borderId="176" xfId="0" applyFont="1" applyFill="1" applyBorder="1" applyAlignment="1" applyProtection="1">
      <alignment horizontal="distributed" vertical="center"/>
      <protection hidden="1"/>
    </xf>
    <xf numFmtId="187" fontId="12" fillId="11" borderId="175" xfId="0" applyNumberFormat="1" applyFont="1" applyFill="1" applyBorder="1" applyAlignment="1" applyProtection="1">
      <alignment horizontal="center" vertical="center" shrinkToFit="1"/>
      <protection hidden="1"/>
    </xf>
    <xf numFmtId="187" fontId="12" fillId="11" borderId="178" xfId="0" applyNumberFormat="1" applyFont="1" applyFill="1" applyBorder="1" applyAlignment="1" applyProtection="1">
      <alignment horizontal="center" vertical="center" shrinkToFit="1"/>
      <protection hidden="1"/>
    </xf>
    <xf numFmtId="187" fontId="12" fillId="11" borderId="176" xfId="0" applyNumberFormat="1" applyFont="1" applyFill="1" applyBorder="1" applyAlignment="1" applyProtection="1">
      <alignment horizontal="center" vertical="center" shrinkToFit="1"/>
      <protection hidden="1"/>
    </xf>
    <xf numFmtId="185" fontId="12" fillId="26" borderId="175" xfId="0" applyNumberFormat="1" applyFont="1" applyFill="1" applyBorder="1" applyAlignment="1" applyProtection="1">
      <alignment horizontal="right" vertical="center" shrinkToFit="1"/>
      <protection locked="0"/>
    </xf>
    <xf numFmtId="185" fontId="12" fillId="26" borderId="178" xfId="0" applyNumberFormat="1" applyFont="1" applyFill="1" applyBorder="1" applyAlignment="1" applyProtection="1">
      <alignment horizontal="right" vertical="center" shrinkToFit="1"/>
      <protection locked="0"/>
    </xf>
    <xf numFmtId="185" fontId="12" fillId="26" borderId="176" xfId="0" applyNumberFormat="1" applyFont="1" applyFill="1" applyBorder="1" applyAlignment="1" applyProtection="1">
      <alignment horizontal="right" vertical="center" shrinkToFit="1"/>
      <protection locked="0"/>
    </xf>
    <xf numFmtId="0" fontId="24" fillId="0" borderId="64" xfId="0" applyFont="1" applyFill="1" applyBorder="1" applyAlignment="1" applyProtection="1">
      <alignment horizontal="center"/>
      <protection hidden="1"/>
    </xf>
    <xf numFmtId="0" fontId="24" fillId="0" borderId="494" xfId="0" applyFont="1" applyFill="1" applyBorder="1" applyAlignment="1" applyProtection="1">
      <alignment horizontal="center"/>
      <protection hidden="1"/>
    </xf>
    <xf numFmtId="0" fontId="53" fillId="0" borderId="0" xfId="0" applyFont="1" applyFill="1" applyAlignment="1" applyProtection="1">
      <alignment horizontal="center"/>
      <protection hidden="1"/>
    </xf>
    <xf numFmtId="0" fontId="12" fillId="30" borderId="357" xfId="0" applyFont="1" applyFill="1" applyBorder="1" applyAlignment="1" applyProtection="1">
      <alignment horizontal="center" vertical="center" shrinkToFit="1"/>
      <protection hidden="1"/>
    </xf>
    <xf numFmtId="0" fontId="12" fillId="30" borderId="355" xfId="0" applyFont="1" applyFill="1" applyBorder="1" applyAlignment="1" applyProtection="1">
      <alignment horizontal="center" vertical="center" shrinkToFit="1"/>
      <protection hidden="1"/>
    </xf>
    <xf numFmtId="0" fontId="12" fillId="30" borderId="354" xfId="0" applyFont="1" applyFill="1" applyBorder="1" applyAlignment="1" applyProtection="1">
      <alignment horizontal="center" vertical="center" shrinkToFit="1"/>
      <protection hidden="1"/>
    </xf>
    <xf numFmtId="182" fontId="11" fillId="0" borderId="173" xfId="0" applyNumberFormat="1" applyFont="1" applyFill="1" applyBorder="1" applyAlignment="1" applyProtection="1">
      <alignment horizontal="center" vertical="center" shrinkToFit="1"/>
      <protection hidden="1"/>
    </xf>
    <xf numFmtId="0" fontId="12" fillId="30" borderId="356" xfId="0" applyFont="1" applyFill="1" applyBorder="1" applyAlignment="1" applyProtection="1">
      <alignment horizontal="center" vertical="center" shrinkToFit="1"/>
      <protection hidden="1"/>
    </xf>
    <xf numFmtId="0" fontId="12" fillId="30" borderId="356" xfId="0" applyFont="1" applyFill="1" applyBorder="1" applyAlignment="1" applyProtection="1">
      <alignment horizontal="distributed" vertical="center" shrinkToFit="1"/>
      <protection hidden="1"/>
    </xf>
    <xf numFmtId="0" fontId="12" fillId="30" borderId="355" xfId="0" applyFont="1" applyFill="1" applyBorder="1" applyAlignment="1" applyProtection="1">
      <alignment horizontal="distributed" vertical="center" shrinkToFit="1"/>
      <protection hidden="1"/>
    </xf>
    <xf numFmtId="0" fontId="12" fillId="30" borderId="354" xfId="0" applyFont="1" applyFill="1" applyBorder="1" applyAlignment="1" applyProtection="1">
      <alignment horizontal="distributed" vertical="center" shrinkToFit="1"/>
      <protection hidden="1"/>
    </xf>
    <xf numFmtId="0" fontId="12" fillId="30" borderId="178" xfId="0" applyFont="1" applyFill="1" applyBorder="1" applyAlignment="1" applyProtection="1">
      <alignment horizontal="distributed" vertical="center"/>
      <protection hidden="1"/>
    </xf>
    <xf numFmtId="0" fontId="12" fillId="30" borderId="176" xfId="0" applyFont="1" applyFill="1" applyBorder="1" applyAlignment="1" applyProtection="1">
      <alignment horizontal="distributed" vertical="center"/>
      <protection hidden="1"/>
    </xf>
    <xf numFmtId="182" fontId="12" fillId="30" borderId="220" xfId="0" applyNumberFormat="1" applyFont="1" applyFill="1" applyBorder="1" applyAlignment="1" applyProtection="1">
      <alignment horizontal="right" vertical="center" shrinkToFit="1"/>
      <protection hidden="1"/>
    </xf>
    <xf numFmtId="182" fontId="12" fillId="30" borderId="199" xfId="0" applyNumberFormat="1" applyFont="1" applyFill="1" applyBorder="1" applyAlignment="1" applyProtection="1">
      <alignment horizontal="right" vertical="center" shrinkToFit="1"/>
      <protection hidden="1"/>
    </xf>
    <xf numFmtId="182" fontId="12" fillId="30" borderId="221" xfId="0" applyNumberFormat="1" applyFont="1" applyFill="1" applyBorder="1" applyAlignment="1" applyProtection="1">
      <alignment horizontal="right" vertical="center" shrinkToFit="1"/>
      <protection hidden="1"/>
    </xf>
    <xf numFmtId="182" fontId="12" fillId="30" borderId="4" xfId="0" applyNumberFormat="1" applyFont="1" applyFill="1" applyBorder="1" applyAlignment="1" applyProtection="1">
      <alignment horizontal="right" vertical="center" shrinkToFit="1"/>
      <protection hidden="1"/>
    </xf>
    <xf numFmtId="182" fontId="12" fillId="30" borderId="0" xfId="0" applyNumberFormat="1" applyFont="1" applyFill="1" applyBorder="1" applyAlignment="1" applyProtection="1">
      <alignment horizontal="right" vertical="center" shrinkToFit="1"/>
      <protection hidden="1"/>
    </xf>
    <xf numFmtId="182" fontId="12" fillId="30" borderId="5" xfId="0" applyNumberFormat="1" applyFont="1" applyFill="1" applyBorder="1" applyAlignment="1" applyProtection="1">
      <alignment horizontal="right" vertical="center" shrinkToFit="1"/>
      <protection hidden="1"/>
    </xf>
    <xf numFmtId="182" fontId="12" fillId="30" borderId="177" xfId="0" applyNumberFormat="1" applyFont="1" applyFill="1" applyBorder="1" applyAlignment="1" applyProtection="1">
      <alignment horizontal="right" vertical="center" shrinkToFit="1"/>
      <protection hidden="1"/>
    </xf>
    <xf numFmtId="182" fontId="12" fillId="30" borderId="219" xfId="0" applyNumberFormat="1" applyFont="1" applyFill="1" applyBorder="1" applyAlignment="1" applyProtection="1">
      <alignment horizontal="right" vertical="center" shrinkToFit="1"/>
      <protection hidden="1"/>
    </xf>
    <xf numFmtId="182" fontId="12" fillId="30" borderId="20" xfId="0" applyNumberFormat="1" applyFont="1" applyFill="1" applyBorder="1" applyAlignment="1" applyProtection="1">
      <alignment horizontal="right" vertical="center" shrinkToFit="1"/>
      <protection hidden="1"/>
    </xf>
    <xf numFmtId="182" fontId="12" fillId="26" borderId="199" xfId="0" applyNumberFormat="1" applyFont="1" applyFill="1" applyBorder="1" applyAlignment="1" applyProtection="1">
      <alignment horizontal="center" vertical="center" shrinkToFit="1"/>
      <protection locked="0"/>
    </xf>
    <xf numFmtId="182" fontId="12" fillId="26" borderId="221" xfId="0" applyNumberFormat="1" applyFont="1" applyFill="1" applyBorder="1" applyAlignment="1" applyProtection="1">
      <alignment horizontal="center" vertical="center" shrinkToFit="1"/>
      <protection locked="0"/>
    </xf>
    <xf numFmtId="182" fontId="12" fillId="26" borderId="0" xfId="0" applyNumberFormat="1" applyFont="1" applyFill="1" applyBorder="1" applyAlignment="1" applyProtection="1">
      <alignment horizontal="center" vertical="center" shrinkToFit="1"/>
      <protection locked="0"/>
    </xf>
    <xf numFmtId="182" fontId="12" fillId="26" borderId="5" xfId="0" applyNumberFormat="1" applyFont="1" applyFill="1" applyBorder="1" applyAlignment="1" applyProtection="1">
      <alignment horizontal="center" vertical="center" shrinkToFit="1"/>
      <protection locked="0"/>
    </xf>
    <xf numFmtId="182" fontId="12" fillId="26" borderId="219" xfId="0" applyNumberFormat="1" applyFont="1" applyFill="1" applyBorder="1" applyAlignment="1" applyProtection="1">
      <alignment horizontal="center" vertical="center" shrinkToFit="1"/>
      <protection locked="0"/>
    </xf>
    <xf numFmtId="182" fontId="12" fillId="26" borderId="20" xfId="0" applyNumberFormat="1" applyFont="1" applyFill="1" applyBorder="1" applyAlignment="1" applyProtection="1">
      <alignment horizontal="center" vertical="center" shrinkToFit="1"/>
      <protection locked="0"/>
    </xf>
    <xf numFmtId="182" fontId="12" fillId="26" borderId="199" xfId="0" applyNumberFormat="1" applyFont="1" applyFill="1" applyBorder="1" applyAlignment="1" applyProtection="1">
      <alignment horizontal="right" vertical="center" shrinkToFit="1"/>
      <protection locked="0"/>
    </xf>
    <xf numFmtId="182" fontId="12" fillId="26" borderId="221" xfId="0" applyNumberFormat="1" applyFont="1" applyFill="1" applyBorder="1" applyAlignment="1" applyProtection="1">
      <alignment horizontal="right" vertical="center" shrinkToFit="1"/>
      <protection locked="0"/>
    </xf>
    <xf numFmtId="182" fontId="12" fillId="26" borderId="0" xfId="0" applyNumberFormat="1" applyFont="1" applyFill="1" applyBorder="1" applyAlignment="1" applyProtection="1">
      <alignment horizontal="right" vertical="center" shrinkToFit="1"/>
      <protection locked="0"/>
    </xf>
    <xf numFmtId="182" fontId="12" fillId="26" borderId="5" xfId="0" applyNumberFormat="1" applyFont="1" applyFill="1" applyBorder="1" applyAlignment="1" applyProtection="1">
      <alignment horizontal="right" vertical="center" shrinkToFit="1"/>
      <protection locked="0"/>
    </xf>
    <xf numFmtId="182" fontId="12" fillId="26" borderId="219" xfId="0" applyNumberFormat="1" applyFont="1" applyFill="1" applyBorder="1" applyAlignment="1" applyProtection="1">
      <alignment horizontal="right" vertical="center" shrinkToFit="1"/>
      <protection locked="0"/>
    </xf>
    <xf numFmtId="182" fontId="12" fillId="26" borderId="20" xfId="0" applyNumberFormat="1" applyFont="1" applyFill="1" applyBorder="1" applyAlignment="1" applyProtection="1">
      <alignment horizontal="right" vertical="center" shrinkToFit="1"/>
      <protection locked="0"/>
    </xf>
    <xf numFmtId="185" fontId="12" fillId="30" borderId="178" xfId="0" quotePrefix="1" applyNumberFormat="1" applyFont="1" applyFill="1" applyBorder="1" applyAlignment="1" applyProtection="1">
      <alignment horizontal="right" vertical="center" shrinkToFit="1"/>
      <protection hidden="1"/>
    </xf>
    <xf numFmtId="185" fontId="12" fillId="30" borderId="178" xfId="0" quotePrefix="1" applyNumberFormat="1" applyFont="1" applyFill="1" applyBorder="1" applyAlignment="1" applyProtection="1">
      <alignment horizontal="left" vertical="center" shrinkToFit="1"/>
      <protection hidden="1"/>
    </xf>
    <xf numFmtId="185" fontId="12" fillId="11" borderId="177" xfId="0" applyNumberFormat="1" applyFont="1" applyFill="1" applyBorder="1" applyAlignment="1" applyProtection="1">
      <alignment horizontal="center" vertical="center" shrinkToFit="1"/>
      <protection hidden="1"/>
    </xf>
    <xf numFmtId="185" fontId="12" fillId="11" borderId="219" xfId="0" applyNumberFormat="1" applyFont="1" applyFill="1" applyBorder="1" applyAlignment="1" applyProtection="1">
      <alignment horizontal="center" vertical="center" shrinkToFit="1"/>
      <protection hidden="1"/>
    </xf>
    <xf numFmtId="185" fontId="12" fillId="11" borderId="178" xfId="0" applyNumberFormat="1" applyFont="1" applyFill="1" applyBorder="1" applyAlignment="1" applyProtection="1">
      <alignment horizontal="center" vertical="center" shrinkToFit="1"/>
      <protection hidden="1"/>
    </xf>
    <xf numFmtId="185" fontId="12" fillId="11" borderId="176" xfId="0" applyNumberFormat="1" applyFont="1" applyFill="1" applyBorder="1" applyAlignment="1" applyProtection="1">
      <alignment horizontal="center" vertical="center" shrinkToFit="1"/>
      <protection hidden="1"/>
    </xf>
    <xf numFmtId="0" fontId="12" fillId="30" borderId="175" xfId="0" quotePrefix="1" applyFont="1" applyFill="1" applyBorder="1" applyAlignment="1" applyProtection="1">
      <alignment horizontal="left" vertical="center" shrinkToFit="1"/>
      <protection hidden="1"/>
    </xf>
    <xf numFmtId="0" fontId="12" fillId="30" borderId="178" xfId="0" quotePrefix="1" applyFont="1" applyFill="1" applyBorder="1" applyAlignment="1" applyProtection="1">
      <alignment horizontal="left" vertical="center" shrinkToFit="1"/>
      <protection hidden="1"/>
    </xf>
    <xf numFmtId="0" fontId="12" fillId="63" borderId="173" xfId="0" quotePrefix="1" applyFont="1" applyFill="1" applyBorder="1" applyAlignment="1" applyProtection="1">
      <alignment horizontal="left" vertical="center" shrinkToFit="1"/>
      <protection locked="0"/>
    </xf>
    <xf numFmtId="0" fontId="11" fillId="0" borderId="173" xfId="0" applyFont="1" applyFill="1" applyBorder="1" applyAlignment="1" applyProtection="1">
      <alignment horizontal="center" vertical="center"/>
      <protection hidden="1"/>
    </xf>
    <xf numFmtId="185" fontId="11" fillId="0" borderId="0" xfId="0" applyNumberFormat="1" applyFont="1" applyFill="1" applyAlignment="1" applyProtection="1">
      <alignment horizontal="right" vertical="center"/>
      <protection hidden="1"/>
    </xf>
    <xf numFmtId="185" fontId="11" fillId="0" borderId="0" xfId="0" applyNumberFormat="1" applyFont="1" applyFill="1" applyBorder="1" applyAlignment="1" applyProtection="1">
      <alignment horizontal="right" vertical="center"/>
      <protection hidden="1"/>
    </xf>
    <xf numFmtId="0" fontId="12" fillId="30" borderId="499" xfId="0" applyFont="1" applyFill="1" applyBorder="1" applyAlignment="1" applyProtection="1">
      <alignment horizontal="center" vertical="center" shrinkToFit="1"/>
      <protection hidden="1"/>
    </xf>
    <xf numFmtId="0" fontId="12" fillId="30" borderId="498" xfId="0" applyFont="1" applyFill="1" applyBorder="1" applyAlignment="1" applyProtection="1">
      <alignment horizontal="center" vertical="center" shrinkToFit="1"/>
      <protection hidden="1"/>
    </xf>
    <xf numFmtId="0" fontId="12" fillId="30" borderId="497" xfId="0" applyFont="1" applyFill="1" applyBorder="1" applyAlignment="1" applyProtection="1">
      <alignment horizontal="center" vertical="center" shrinkToFit="1"/>
      <protection hidden="1"/>
    </xf>
    <xf numFmtId="185" fontId="11" fillId="0" borderId="175" xfId="0" applyNumberFormat="1" applyFont="1" applyFill="1" applyBorder="1" applyAlignment="1" applyProtection="1">
      <alignment horizontal="right" vertical="center"/>
      <protection hidden="1"/>
    </xf>
    <xf numFmtId="185" fontId="11" fillId="0" borderId="176" xfId="0" applyNumberFormat="1" applyFont="1" applyFill="1" applyBorder="1" applyAlignment="1" applyProtection="1">
      <alignment horizontal="right" vertical="center"/>
      <protection hidden="1"/>
    </xf>
    <xf numFmtId="0" fontId="12" fillId="63" borderId="421" xfId="0" applyFont="1" applyFill="1" applyBorder="1" applyAlignment="1" applyProtection="1">
      <alignment horizontal="center" vertical="center"/>
      <protection locked="0"/>
    </xf>
    <xf numFmtId="0" fontId="12" fillId="63" borderId="423" xfId="0" applyFont="1" applyFill="1" applyBorder="1" applyAlignment="1" applyProtection="1">
      <alignment horizontal="center" vertical="center"/>
      <protection locked="0"/>
    </xf>
    <xf numFmtId="176" fontId="12" fillId="30" borderId="499" xfId="0" applyNumberFormat="1" applyFont="1" applyFill="1" applyBorder="1" applyAlignment="1" applyProtection="1">
      <alignment horizontal="center" vertical="center" shrinkToFit="1"/>
      <protection hidden="1"/>
    </xf>
    <xf numFmtId="176" fontId="12" fillId="30" borderId="498" xfId="0" applyNumberFormat="1" applyFont="1" applyFill="1" applyBorder="1" applyAlignment="1" applyProtection="1">
      <alignment horizontal="center" vertical="center" shrinkToFit="1"/>
      <protection hidden="1"/>
    </xf>
    <xf numFmtId="176" fontId="12" fillId="30" borderId="497" xfId="0" applyNumberFormat="1" applyFont="1" applyFill="1" applyBorder="1" applyAlignment="1" applyProtection="1">
      <alignment horizontal="center" vertical="center" shrinkToFit="1"/>
      <protection hidden="1"/>
    </xf>
    <xf numFmtId="176" fontId="12" fillId="30" borderId="499" xfId="0" applyNumberFormat="1" applyFont="1" applyFill="1" applyBorder="1" applyAlignment="1" applyProtection="1">
      <alignment horizontal="right" vertical="center" shrinkToFit="1"/>
      <protection hidden="1"/>
    </xf>
    <xf numFmtId="176" fontId="12" fillId="30" borderId="498" xfId="0" applyNumberFormat="1" applyFont="1" applyFill="1" applyBorder="1" applyAlignment="1" applyProtection="1">
      <alignment horizontal="right" vertical="center" shrinkToFit="1"/>
      <protection hidden="1"/>
    </xf>
    <xf numFmtId="176" fontId="12" fillId="30" borderId="497" xfId="0" applyNumberFormat="1" applyFont="1" applyFill="1" applyBorder="1" applyAlignment="1" applyProtection="1">
      <alignment horizontal="right" vertical="center" shrinkToFit="1"/>
      <protection hidden="1"/>
    </xf>
    <xf numFmtId="0" fontId="12" fillId="30" borderId="499" xfId="0" quotePrefix="1" applyFont="1" applyFill="1" applyBorder="1" applyAlignment="1" applyProtection="1">
      <alignment horizontal="right" vertical="center" shrinkToFit="1"/>
      <protection hidden="1"/>
    </xf>
    <xf numFmtId="0" fontId="12" fillId="30" borderId="498" xfId="0" applyFont="1" applyFill="1" applyBorder="1" applyAlignment="1" applyProtection="1">
      <alignment horizontal="right" vertical="center" shrinkToFit="1"/>
      <protection hidden="1"/>
    </xf>
    <xf numFmtId="0" fontId="12" fillId="30" borderId="497" xfId="0" applyFont="1" applyFill="1" applyBorder="1" applyAlignment="1" applyProtection="1">
      <alignment horizontal="right" vertical="center" shrinkToFit="1"/>
      <protection hidden="1"/>
    </xf>
    <xf numFmtId="0" fontId="12" fillId="30" borderId="499" xfId="0" applyFont="1" applyFill="1" applyBorder="1" applyAlignment="1" applyProtection="1">
      <alignment horizontal="center" vertical="center"/>
      <protection hidden="1"/>
    </xf>
    <xf numFmtId="0" fontId="12" fillId="30" borderId="498" xfId="0" applyFont="1" applyFill="1" applyBorder="1" applyAlignment="1" applyProtection="1">
      <alignment horizontal="center" vertical="center"/>
      <protection hidden="1"/>
    </xf>
    <xf numFmtId="0" fontId="12" fillId="30" borderId="497" xfId="0" applyFont="1" applyFill="1" applyBorder="1" applyAlignment="1" applyProtection="1">
      <alignment horizontal="center" vertical="center"/>
      <protection hidden="1"/>
    </xf>
    <xf numFmtId="185" fontId="12" fillId="30" borderId="134" xfId="0" applyNumberFormat="1" applyFont="1" applyFill="1" applyBorder="1" applyAlignment="1" applyProtection="1">
      <alignment horizontal="right" vertical="center" shrinkToFit="1"/>
      <protection hidden="1"/>
    </xf>
    <xf numFmtId="185" fontId="12" fillId="30" borderId="139" xfId="0" applyNumberFormat="1" applyFont="1" applyFill="1" applyBorder="1" applyAlignment="1" applyProtection="1">
      <alignment horizontal="right" vertical="center" shrinkToFit="1"/>
      <protection hidden="1"/>
    </xf>
    <xf numFmtId="185" fontId="12" fillId="30" borderId="135" xfId="0" applyNumberFormat="1" applyFont="1" applyFill="1" applyBorder="1" applyAlignment="1" applyProtection="1">
      <alignment horizontal="right" vertical="center" shrinkToFit="1"/>
      <protection hidden="1"/>
    </xf>
    <xf numFmtId="185" fontId="12" fillId="30" borderId="134" xfId="0" quotePrefix="1" applyNumberFormat="1" applyFont="1" applyFill="1" applyBorder="1" applyAlignment="1" applyProtection="1">
      <alignment horizontal="right" vertical="center" shrinkToFit="1"/>
      <protection hidden="1"/>
    </xf>
    <xf numFmtId="0" fontId="12" fillId="30" borderId="499" xfId="0" applyFont="1" applyFill="1" applyBorder="1" applyAlignment="1" applyProtection="1">
      <alignment horizontal="left" vertical="center" shrinkToFit="1"/>
      <protection hidden="1"/>
    </xf>
    <xf numFmtId="0" fontId="12" fillId="30" borderId="498" xfId="0" applyFont="1" applyFill="1" applyBorder="1" applyAlignment="1" applyProtection="1">
      <alignment horizontal="left" vertical="center" shrinkToFit="1"/>
      <protection hidden="1"/>
    </xf>
    <xf numFmtId="0" fontId="12" fillId="30" borderId="497" xfId="0" applyFont="1" applyFill="1" applyBorder="1" applyAlignment="1" applyProtection="1">
      <alignment horizontal="left" vertical="center" shrinkToFit="1"/>
      <protection hidden="1"/>
    </xf>
    <xf numFmtId="0" fontId="413" fillId="11" borderId="220" xfId="0" applyFont="1" applyFill="1" applyBorder="1" applyAlignment="1" applyProtection="1">
      <alignment horizontal="center" vertical="center"/>
      <protection hidden="1"/>
    </xf>
    <xf numFmtId="0" fontId="413" fillId="11" borderId="199" xfId="0" applyFont="1" applyFill="1" applyBorder="1" applyAlignment="1" applyProtection="1">
      <alignment horizontal="center" vertical="center"/>
      <protection hidden="1"/>
    </xf>
    <xf numFmtId="0" fontId="413" fillId="11" borderId="221" xfId="0" applyFont="1" applyFill="1" applyBorder="1" applyAlignment="1" applyProtection="1">
      <alignment horizontal="center" vertical="center"/>
      <protection hidden="1"/>
    </xf>
    <xf numFmtId="0" fontId="413" fillId="11" borderId="177" xfId="0" applyFont="1" applyFill="1" applyBorder="1" applyAlignment="1" applyProtection="1">
      <alignment horizontal="center" vertical="center"/>
      <protection hidden="1"/>
    </xf>
    <xf numFmtId="0" fontId="413" fillId="11" borderId="219" xfId="0" applyFont="1" applyFill="1" applyBorder="1" applyAlignment="1" applyProtection="1">
      <alignment horizontal="center" vertical="center"/>
      <protection hidden="1"/>
    </xf>
    <xf numFmtId="0" fontId="413" fillId="11" borderId="20" xfId="0" applyFont="1" applyFill="1" applyBorder="1" applyAlignment="1" applyProtection="1">
      <alignment horizontal="center" vertical="center"/>
      <protection hidden="1"/>
    </xf>
    <xf numFmtId="0" fontId="414" fillId="3" borderId="177" xfId="0" applyFont="1" applyFill="1" applyBorder="1" applyAlignment="1" applyProtection="1">
      <alignment horizontal="left" vertical="center" shrinkToFit="1"/>
      <protection hidden="1"/>
    </xf>
    <xf numFmtId="0" fontId="414" fillId="3" borderId="219" xfId="0" applyFont="1" applyFill="1" applyBorder="1" applyAlignment="1" applyProtection="1">
      <alignment horizontal="left" vertical="center" shrinkToFit="1"/>
      <protection hidden="1"/>
    </xf>
    <xf numFmtId="0" fontId="414" fillId="3" borderId="20" xfId="0" applyFont="1" applyFill="1" applyBorder="1" applyAlignment="1" applyProtection="1">
      <alignment horizontal="left" vertical="center" shrinkToFit="1"/>
      <protection hidden="1"/>
    </xf>
    <xf numFmtId="0" fontId="12" fillId="3" borderId="501" xfId="0" applyFont="1" applyFill="1" applyBorder="1" applyAlignment="1" applyProtection="1">
      <alignment horizontal="center" vertical="center" shrinkToFit="1"/>
      <protection hidden="1"/>
    </xf>
    <xf numFmtId="0" fontId="12" fillId="3" borderId="397" xfId="0" applyFont="1" applyFill="1" applyBorder="1" applyAlignment="1" applyProtection="1">
      <alignment horizontal="center" vertical="center" shrinkToFit="1"/>
      <protection hidden="1"/>
    </xf>
    <xf numFmtId="0" fontId="12" fillId="3" borderId="396" xfId="0" applyFont="1" applyFill="1" applyBorder="1" applyAlignment="1" applyProtection="1">
      <alignment horizontal="center" vertical="center" shrinkToFit="1"/>
      <protection hidden="1"/>
    </xf>
    <xf numFmtId="0" fontId="12" fillId="3" borderId="506" xfId="0" applyFont="1" applyFill="1" applyBorder="1" applyAlignment="1" applyProtection="1">
      <alignment horizontal="center" vertical="center" shrinkToFit="1"/>
      <protection hidden="1"/>
    </xf>
    <xf numFmtId="0" fontId="12" fillId="3" borderId="360" xfId="0" applyFont="1" applyFill="1" applyBorder="1" applyAlignment="1" applyProtection="1">
      <alignment horizontal="left" vertical="center" shrinkToFit="1"/>
      <protection hidden="1"/>
    </xf>
    <xf numFmtId="0" fontId="414" fillId="3" borderId="220" xfId="0" applyFont="1" applyFill="1" applyBorder="1" applyAlignment="1" applyProtection="1">
      <alignment horizontal="left" vertical="center" wrapText="1" shrinkToFit="1"/>
      <protection hidden="1"/>
    </xf>
    <xf numFmtId="0" fontId="414" fillId="3" borderId="177" xfId="0" applyFont="1" applyFill="1" applyBorder="1" applyAlignment="1" applyProtection="1">
      <alignment horizontal="left" vertical="center" wrapText="1" shrinkToFit="1"/>
      <protection hidden="1"/>
    </xf>
    <xf numFmtId="0" fontId="414" fillId="3" borderId="219" xfId="0" applyFont="1" applyFill="1" applyBorder="1" applyAlignment="1" applyProtection="1">
      <alignment horizontal="left" vertical="center" wrapText="1" shrinkToFit="1"/>
      <protection hidden="1"/>
    </xf>
    <xf numFmtId="0" fontId="414" fillId="3" borderId="20" xfId="0" applyFont="1" applyFill="1" applyBorder="1" applyAlignment="1" applyProtection="1">
      <alignment horizontal="left" vertical="center" wrapText="1" shrinkToFit="1"/>
      <protection hidden="1"/>
    </xf>
    <xf numFmtId="0" fontId="12" fillId="3" borderId="219" xfId="0" applyFont="1" applyFill="1" applyBorder="1" applyAlignment="1" applyProtection="1">
      <alignment horizontal="left" vertical="top" shrinkToFit="1"/>
      <protection hidden="1"/>
    </xf>
    <xf numFmtId="0" fontId="12" fillId="3" borderId="178" xfId="0" applyFont="1" applyFill="1" applyBorder="1" applyAlignment="1" applyProtection="1">
      <alignment horizontal="left" vertical="top" shrinkToFit="1"/>
      <protection hidden="1"/>
    </xf>
    <xf numFmtId="0" fontId="12" fillId="3" borderId="178" xfId="0" applyFont="1" applyFill="1" applyBorder="1" applyAlignment="1" applyProtection="1">
      <alignment horizontal="left" shrinkToFit="1"/>
      <protection hidden="1"/>
    </xf>
    <xf numFmtId="0" fontId="12" fillId="3" borderId="397" xfId="0" applyFont="1" applyFill="1" applyBorder="1" applyAlignment="1" applyProtection="1">
      <alignment horizontal="left" vertical="top" shrinkToFit="1"/>
      <protection hidden="1"/>
    </xf>
    <xf numFmtId="0" fontId="12" fillId="3" borderId="507" xfId="0" applyFont="1" applyFill="1" applyBorder="1" applyAlignment="1" applyProtection="1">
      <alignment horizontal="left" vertical="top" shrinkToFit="1"/>
      <protection hidden="1"/>
    </xf>
    <xf numFmtId="0" fontId="12" fillId="3" borderId="503" xfId="0" applyFont="1" applyFill="1" applyBorder="1" applyAlignment="1" applyProtection="1">
      <alignment horizontal="center" vertical="center" wrapText="1" shrinkToFit="1"/>
      <protection hidden="1"/>
    </xf>
    <xf numFmtId="0" fontId="12" fillId="3" borderId="199" xfId="0" applyFont="1" applyFill="1" applyBorder="1" applyAlignment="1" applyProtection="1">
      <alignment horizontal="center" vertical="center" wrapText="1" shrinkToFit="1"/>
      <protection hidden="1"/>
    </xf>
    <xf numFmtId="0" fontId="12" fillId="3" borderId="358" xfId="0" applyFont="1" applyFill="1" applyBorder="1" applyAlignment="1" applyProtection="1">
      <alignment horizontal="center" vertical="center" wrapText="1" shrinkToFit="1"/>
      <protection hidden="1"/>
    </xf>
    <xf numFmtId="0" fontId="12" fillId="3" borderId="0" xfId="0" applyFont="1" applyFill="1" applyBorder="1" applyAlignment="1" applyProtection="1">
      <alignment horizontal="center" vertical="center" wrapText="1" shrinkToFit="1"/>
      <protection hidden="1"/>
    </xf>
    <xf numFmtId="0" fontId="12" fillId="3" borderId="501" xfId="0" applyFont="1" applyFill="1" applyBorder="1" applyAlignment="1" applyProtection="1">
      <alignment horizontal="center" vertical="center" wrapText="1" shrinkToFit="1"/>
      <protection hidden="1"/>
    </xf>
    <xf numFmtId="0" fontId="12" fillId="3" borderId="397" xfId="0" applyFont="1" applyFill="1" applyBorder="1" applyAlignment="1" applyProtection="1">
      <alignment horizontal="center" vertical="center" wrapText="1" shrinkToFit="1"/>
      <protection hidden="1"/>
    </xf>
    <xf numFmtId="0" fontId="12" fillId="3" borderId="199" xfId="0" applyFont="1" applyFill="1" applyBorder="1" applyAlignment="1" applyProtection="1">
      <alignment horizontal="left" shrinkToFit="1"/>
      <protection hidden="1"/>
    </xf>
    <xf numFmtId="0" fontId="12" fillId="3" borderId="178" xfId="0" applyFont="1" applyFill="1" applyBorder="1" applyAlignment="1" applyProtection="1">
      <alignment horizontal="center" vertical="top" shrinkToFit="1"/>
      <protection hidden="1"/>
    </xf>
    <xf numFmtId="0" fontId="12" fillId="3" borderId="178" xfId="0" applyFont="1" applyFill="1" applyBorder="1" applyAlignment="1" applyProtection="1">
      <alignment horizontal="center" shrinkToFit="1"/>
      <protection hidden="1"/>
    </xf>
    <xf numFmtId="0" fontId="12" fillId="3" borderId="363" xfId="0" applyFont="1" applyFill="1" applyBorder="1" applyAlignment="1" applyProtection="1">
      <alignment horizontal="center" vertical="center" wrapText="1" shrinkToFit="1"/>
      <protection hidden="1"/>
    </xf>
    <xf numFmtId="0" fontId="12" fillId="3" borderId="362" xfId="0" applyFont="1" applyFill="1" applyBorder="1" applyAlignment="1" applyProtection="1">
      <alignment horizontal="center" vertical="center" wrapText="1" shrinkToFit="1"/>
      <protection hidden="1"/>
    </xf>
    <xf numFmtId="0" fontId="12" fillId="3" borderId="511" xfId="0" applyFont="1" applyFill="1" applyBorder="1" applyAlignment="1" applyProtection="1">
      <alignment horizontal="center" vertical="center" wrapText="1" shrinkToFit="1"/>
      <protection hidden="1"/>
    </xf>
    <xf numFmtId="0" fontId="12" fillId="3" borderId="510" xfId="0" applyFont="1" applyFill="1" applyBorder="1" applyAlignment="1" applyProtection="1">
      <alignment horizontal="center" vertical="center" wrapText="1" shrinkToFit="1"/>
      <protection hidden="1"/>
    </xf>
    <xf numFmtId="0" fontId="12" fillId="3" borderId="509" xfId="0" applyFont="1" applyFill="1" applyBorder="1" applyAlignment="1" applyProtection="1">
      <alignment horizontal="center" vertical="center" wrapText="1" shrinkToFit="1"/>
      <protection hidden="1"/>
    </xf>
    <xf numFmtId="0" fontId="12" fillId="3" borderId="508" xfId="0" applyFont="1" applyFill="1" applyBorder="1" applyAlignment="1" applyProtection="1">
      <alignment horizontal="center" vertical="center" wrapText="1" shrinkToFit="1"/>
      <protection hidden="1"/>
    </xf>
    <xf numFmtId="0" fontId="12" fillId="3" borderId="394" xfId="0" applyFont="1" applyFill="1" applyBorder="1" applyAlignment="1" applyProtection="1">
      <alignment horizontal="left" vertical="center" shrinkToFit="1"/>
      <protection hidden="1"/>
    </xf>
    <xf numFmtId="0" fontId="12" fillId="3" borderId="509" xfId="0" applyFont="1" applyFill="1" applyBorder="1" applyAlignment="1" applyProtection="1">
      <alignment horizontal="center" shrinkToFit="1"/>
      <protection hidden="1"/>
    </xf>
    <xf numFmtId="185" fontId="53" fillId="3" borderId="173" xfId="0" applyNumberFormat="1" applyFont="1" applyFill="1" applyBorder="1" applyAlignment="1" applyProtection="1">
      <alignment horizontal="right" vertical="center" shrinkToFit="1"/>
      <protection hidden="1"/>
    </xf>
    <xf numFmtId="190" fontId="53" fillId="3" borderId="173" xfId="0" applyNumberFormat="1" applyFont="1" applyFill="1" applyBorder="1" applyAlignment="1" applyProtection="1">
      <alignment horizontal="right" vertical="center" shrinkToFit="1"/>
      <protection hidden="1"/>
    </xf>
    <xf numFmtId="193" fontId="53" fillId="30" borderId="220" xfId="0" applyNumberFormat="1" applyFont="1" applyFill="1" applyBorder="1" applyAlignment="1" applyProtection="1">
      <alignment horizontal="center" vertical="center" shrinkToFit="1"/>
      <protection hidden="1"/>
    </xf>
    <xf numFmtId="193" fontId="53" fillId="30" borderId="199" xfId="0" applyNumberFormat="1" applyFont="1" applyFill="1" applyBorder="1" applyAlignment="1" applyProtection="1">
      <alignment horizontal="center" vertical="center" shrinkToFit="1"/>
      <protection hidden="1"/>
    </xf>
    <xf numFmtId="193" fontId="53" fillId="30" borderId="221" xfId="0" applyNumberFormat="1" applyFont="1" applyFill="1" applyBorder="1" applyAlignment="1" applyProtection="1">
      <alignment horizontal="center" vertical="center" shrinkToFit="1"/>
      <protection hidden="1"/>
    </xf>
    <xf numFmtId="185" fontId="53" fillId="30" borderId="220" xfId="0" applyNumberFormat="1" applyFont="1" applyFill="1" applyBorder="1" applyAlignment="1" applyProtection="1">
      <alignment horizontal="right" vertical="center" shrinkToFit="1"/>
      <protection hidden="1"/>
    </xf>
    <xf numFmtId="185" fontId="53" fillId="30" borderId="199" xfId="0" applyNumberFormat="1" applyFont="1" applyFill="1" applyBorder="1" applyAlignment="1" applyProtection="1">
      <alignment horizontal="right" vertical="center" shrinkToFit="1"/>
      <protection hidden="1"/>
    </xf>
    <xf numFmtId="185" fontId="53" fillId="30" borderId="221" xfId="0" applyNumberFormat="1" applyFont="1" applyFill="1" applyBorder="1" applyAlignment="1" applyProtection="1">
      <alignment horizontal="right" vertical="center" shrinkToFit="1"/>
      <protection hidden="1"/>
    </xf>
    <xf numFmtId="0" fontId="12" fillId="11" borderId="362" xfId="0" applyFont="1" applyFill="1" applyBorder="1" applyAlignment="1" applyProtection="1">
      <alignment horizontal="center" vertical="center"/>
      <protection hidden="1"/>
    </xf>
    <xf numFmtId="0" fontId="12" fillId="11" borderId="361" xfId="0" applyFont="1" applyFill="1" applyBorder="1" applyAlignment="1" applyProtection="1">
      <alignment horizontal="center" vertical="center"/>
      <protection hidden="1"/>
    </xf>
    <xf numFmtId="0" fontId="12" fillId="11" borderId="363" xfId="0" applyFont="1" applyFill="1" applyBorder="1" applyAlignment="1" applyProtection="1">
      <alignment horizontal="center" vertical="center" shrinkToFit="1"/>
      <protection hidden="1"/>
    </xf>
    <xf numFmtId="0" fontId="12" fillId="11" borderId="511" xfId="0" applyFont="1" applyFill="1" applyBorder="1" applyAlignment="1" applyProtection="1">
      <alignment horizontal="center" vertical="center" shrinkToFit="1"/>
      <protection hidden="1"/>
    </xf>
    <xf numFmtId="182" fontId="53" fillId="30" borderId="15" xfId="0" applyNumberFormat="1" applyFont="1" applyFill="1" applyBorder="1" applyAlignment="1" applyProtection="1">
      <alignment horizontal="right" vertical="center" shrinkToFit="1"/>
      <protection hidden="1"/>
    </xf>
    <xf numFmtId="182" fontId="53" fillId="30" borderId="220" xfId="0" applyNumberFormat="1" applyFont="1" applyFill="1" applyBorder="1" applyAlignment="1" applyProtection="1">
      <alignment horizontal="right" vertical="center" shrinkToFit="1"/>
      <protection hidden="1"/>
    </xf>
    <xf numFmtId="182" fontId="53" fillId="30" borderId="199" xfId="0" applyNumberFormat="1" applyFont="1" applyFill="1" applyBorder="1" applyAlignment="1" applyProtection="1">
      <alignment horizontal="right" vertical="center" shrinkToFit="1"/>
      <protection hidden="1"/>
    </xf>
    <xf numFmtId="182" fontId="53" fillId="30" borderId="221" xfId="0" applyNumberFormat="1" applyFont="1" applyFill="1" applyBorder="1" applyAlignment="1" applyProtection="1">
      <alignment horizontal="right" vertical="center" shrinkToFit="1"/>
      <protection hidden="1"/>
    </xf>
    <xf numFmtId="182" fontId="53" fillId="3" borderId="173" xfId="0" applyNumberFormat="1" applyFont="1" applyFill="1" applyBorder="1" applyAlignment="1" applyProtection="1">
      <alignment horizontal="right" vertical="center" shrinkToFit="1"/>
      <protection hidden="1"/>
    </xf>
    <xf numFmtId="191" fontId="53" fillId="3" borderId="173" xfId="0" applyNumberFormat="1" applyFont="1" applyFill="1" applyBorder="1" applyAlignment="1" applyProtection="1">
      <alignment horizontal="right" vertical="center" shrinkToFit="1"/>
      <protection hidden="1"/>
    </xf>
    <xf numFmtId="193" fontId="53" fillId="3" borderId="173" xfId="0" applyNumberFormat="1" applyFont="1" applyFill="1" applyBorder="1" applyAlignment="1" applyProtection="1">
      <alignment horizontal="center" vertical="center" shrinkToFit="1"/>
      <protection hidden="1"/>
    </xf>
    <xf numFmtId="176" fontId="53" fillId="30" borderId="173" xfId="0" applyNumberFormat="1" applyFont="1" applyFill="1" applyBorder="1" applyAlignment="1" applyProtection="1">
      <alignment horizontal="center" vertical="center" shrinkToFit="1"/>
      <protection hidden="1"/>
    </xf>
    <xf numFmtId="0" fontId="12" fillId="11" borderId="363" xfId="0" applyFont="1" applyFill="1" applyBorder="1" applyAlignment="1" applyProtection="1">
      <alignment horizontal="center" vertical="center"/>
      <protection hidden="1"/>
    </xf>
    <xf numFmtId="0" fontId="12" fillId="11" borderId="511" xfId="0" applyFont="1" applyFill="1" applyBorder="1" applyAlignment="1" applyProtection="1">
      <alignment horizontal="center" vertical="center"/>
      <protection hidden="1"/>
    </xf>
    <xf numFmtId="0" fontId="12" fillId="11" borderId="515" xfId="0" applyFont="1" applyFill="1" applyBorder="1" applyAlignment="1" applyProtection="1">
      <alignment horizontal="center" vertical="center"/>
      <protection hidden="1"/>
    </xf>
    <xf numFmtId="0" fontId="43" fillId="30" borderId="175" xfId="0" applyFont="1" applyFill="1" applyBorder="1" applyAlignment="1" applyProtection="1">
      <alignment horizontal="left" vertical="center" shrinkToFit="1"/>
      <protection hidden="1"/>
    </xf>
    <xf numFmtId="0" fontId="43" fillId="30" borderId="178" xfId="0" applyFont="1" applyFill="1" applyBorder="1" applyAlignment="1" applyProtection="1">
      <alignment horizontal="left" vertical="center" shrinkToFit="1"/>
      <protection hidden="1"/>
    </xf>
    <xf numFmtId="0" fontId="43" fillId="30" borderId="176" xfId="0" applyFont="1" applyFill="1" applyBorder="1" applyAlignment="1" applyProtection="1">
      <alignment horizontal="left" vertical="center" shrinkToFit="1"/>
      <protection hidden="1"/>
    </xf>
    <xf numFmtId="182" fontId="53" fillId="30" borderId="173" xfId="0" applyNumberFormat="1" applyFont="1" applyFill="1" applyBorder="1" applyAlignment="1" applyProtection="1">
      <alignment horizontal="right" vertical="center" shrinkToFit="1"/>
      <protection hidden="1"/>
    </xf>
    <xf numFmtId="182" fontId="53" fillId="30" borderId="175" xfId="0" quotePrefix="1" applyNumberFormat="1" applyFont="1" applyFill="1" applyBorder="1" applyAlignment="1" applyProtection="1">
      <alignment horizontal="right" vertical="center" shrinkToFit="1"/>
      <protection hidden="1"/>
    </xf>
    <xf numFmtId="182" fontId="43" fillId="75" borderId="175" xfId="0" applyNumberFormat="1" applyFont="1" applyFill="1" applyBorder="1" applyAlignment="1" applyProtection="1">
      <alignment horizontal="center" vertical="center" shrinkToFit="1"/>
      <protection locked="0"/>
    </xf>
    <xf numFmtId="182" fontId="43" fillId="75" borderId="178" xfId="0" applyNumberFormat="1" applyFont="1" applyFill="1" applyBorder="1" applyAlignment="1" applyProtection="1">
      <alignment horizontal="center" vertical="center" shrinkToFit="1"/>
      <protection locked="0"/>
    </xf>
    <xf numFmtId="182" fontId="43" fillId="75" borderId="176" xfId="0" applyNumberFormat="1" applyFont="1" applyFill="1" applyBorder="1" applyAlignment="1" applyProtection="1">
      <alignment horizontal="center" vertical="center" shrinkToFit="1"/>
      <protection locked="0"/>
    </xf>
    <xf numFmtId="182" fontId="2" fillId="11" borderId="175" xfId="0" applyNumberFormat="1" applyFont="1" applyFill="1" applyBorder="1" applyAlignment="1" applyProtection="1">
      <alignment horizontal="center" vertical="center" shrinkToFit="1"/>
      <protection hidden="1"/>
    </xf>
    <xf numFmtId="182" fontId="2" fillId="11" borderId="178" xfId="0" applyNumberFormat="1" applyFont="1" applyFill="1" applyBorder="1" applyAlignment="1" applyProtection="1">
      <alignment horizontal="center" vertical="center" shrinkToFit="1"/>
      <protection hidden="1"/>
    </xf>
    <xf numFmtId="182" fontId="2" fillId="11" borderId="176" xfId="0" applyNumberFormat="1" applyFont="1" applyFill="1" applyBorder="1" applyAlignment="1" applyProtection="1">
      <alignment horizontal="center" vertical="center" shrinkToFit="1"/>
      <protection hidden="1"/>
    </xf>
    <xf numFmtId="182" fontId="2" fillId="11" borderId="173" xfId="0" applyNumberFormat="1" applyFont="1" applyFill="1" applyBorder="1" applyAlignment="1" applyProtection="1">
      <alignment horizontal="center" vertical="center" shrinkToFit="1"/>
      <protection hidden="1"/>
    </xf>
    <xf numFmtId="2" fontId="43" fillId="30" borderId="175" xfId="0" applyNumberFormat="1" applyFont="1" applyFill="1" applyBorder="1" applyAlignment="1" applyProtection="1">
      <alignment horizontal="right" vertical="center" shrinkToFit="1"/>
      <protection hidden="1"/>
    </xf>
    <xf numFmtId="2" fontId="43" fillId="30" borderId="178" xfId="0" applyNumberFormat="1" applyFont="1" applyFill="1" applyBorder="1" applyAlignment="1" applyProtection="1">
      <alignment horizontal="right" vertical="center" shrinkToFit="1"/>
      <protection hidden="1"/>
    </xf>
    <xf numFmtId="2" fontId="43" fillId="30" borderId="176" xfId="0" applyNumberFormat="1" applyFont="1" applyFill="1" applyBorder="1" applyAlignment="1" applyProtection="1">
      <alignment horizontal="right" vertical="center" shrinkToFit="1"/>
      <protection hidden="1"/>
    </xf>
    <xf numFmtId="176" fontId="43" fillId="75" borderId="175" xfId="0" applyNumberFormat="1" applyFont="1" applyFill="1" applyBorder="1" applyAlignment="1" applyProtection="1">
      <alignment horizontal="center" vertical="center" shrinkToFit="1"/>
      <protection locked="0"/>
    </xf>
    <xf numFmtId="176" fontId="43" fillId="75" borderId="178" xfId="0" applyNumberFormat="1" applyFont="1" applyFill="1" applyBorder="1" applyAlignment="1" applyProtection="1">
      <alignment horizontal="center" vertical="center" shrinkToFit="1"/>
      <protection locked="0"/>
    </xf>
    <xf numFmtId="176" fontId="43" fillId="75" borderId="176" xfId="0" applyNumberFormat="1" applyFont="1" applyFill="1" applyBorder="1" applyAlignment="1" applyProtection="1">
      <alignment horizontal="center" vertical="center" shrinkToFit="1"/>
      <protection locked="0"/>
    </xf>
    <xf numFmtId="192" fontId="43" fillId="30" borderId="175" xfId="0" applyNumberFormat="1" applyFont="1" applyFill="1" applyBorder="1" applyAlignment="1" applyProtection="1">
      <alignment horizontal="right" vertical="center" shrinkToFit="1"/>
      <protection hidden="1"/>
    </xf>
    <xf numFmtId="192" fontId="43" fillId="30" borderId="178" xfId="0" applyNumberFormat="1" applyFont="1" applyFill="1" applyBorder="1" applyAlignment="1" applyProtection="1">
      <alignment horizontal="right" vertical="center" shrinkToFit="1"/>
      <protection hidden="1"/>
    </xf>
    <xf numFmtId="0" fontId="397" fillId="0" borderId="68" xfId="0" quotePrefix="1" applyFont="1" applyFill="1" applyBorder="1" applyAlignment="1" applyProtection="1">
      <alignment horizontal="right" vertical="center"/>
      <protection hidden="1"/>
    </xf>
    <xf numFmtId="0" fontId="397" fillId="0" borderId="125" xfId="0" quotePrefix="1" applyFont="1" applyFill="1" applyBorder="1" applyAlignment="1" applyProtection="1">
      <alignment horizontal="right" vertical="center"/>
      <protection hidden="1"/>
    </xf>
    <xf numFmtId="0" fontId="397" fillId="0" borderId="144" xfId="0" quotePrefix="1" applyFont="1" applyFill="1" applyBorder="1" applyAlignment="1" applyProtection="1">
      <alignment horizontal="right" vertical="center"/>
      <protection hidden="1"/>
    </xf>
    <xf numFmtId="0" fontId="2" fillId="11" borderId="175" xfId="0" applyFont="1" applyFill="1" applyBorder="1" applyAlignment="1" applyProtection="1">
      <alignment horizontal="center" vertical="center" shrinkToFit="1"/>
      <protection hidden="1"/>
    </xf>
    <xf numFmtId="0" fontId="2" fillId="11" borderId="178" xfId="0" applyFont="1" applyFill="1" applyBorder="1" applyAlignment="1" applyProtection="1">
      <alignment horizontal="center" vertical="center" shrinkToFit="1"/>
      <protection hidden="1"/>
    </xf>
    <xf numFmtId="0" fontId="2" fillId="11" borderId="176" xfId="0" applyFont="1" applyFill="1" applyBorder="1" applyAlignment="1" applyProtection="1">
      <alignment horizontal="center" vertical="center" shrinkToFit="1"/>
      <protection hidden="1"/>
    </xf>
    <xf numFmtId="182" fontId="43" fillId="30" borderId="175" xfId="0" applyNumberFormat="1" applyFont="1" applyFill="1" applyBorder="1" applyAlignment="1" applyProtection="1">
      <alignment horizontal="right" vertical="center" shrinkToFit="1"/>
      <protection hidden="1"/>
    </xf>
    <xf numFmtId="182" fontId="43" fillId="30" borderId="178" xfId="0" applyNumberFormat="1" applyFont="1" applyFill="1" applyBorder="1" applyAlignment="1" applyProtection="1">
      <alignment horizontal="right" vertical="center" shrinkToFit="1"/>
      <protection hidden="1"/>
    </xf>
    <xf numFmtId="182" fontId="43" fillId="30" borderId="176" xfId="0" applyNumberFormat="1" applyFont="1" applyFill="1" applyBorder="1" applyAlignment="1" applyProtection="1">
      <alignment horizontal="right" vertical="center" shrinkToFit="1"/>
      <protection hidden="1"/>
    </xf>
    <xf numFmtId="176" fontId="12" fillId="30" borderId="173" xfId="0" applyNumberFormat="1" applyFont="1" applyFill="1" applyBorder="1" applyAlignment="1" applyProtection="1">
      <alignment horizontal="right" vertical="center" shrinkToFit="1"/>
      <protection hidden="1"/>
    </xf>
    <xf numFmtId="0" fontId="12" fillId="30" borderId="519" xfId="0" applyFont="1" applyFill="1" applyBorder="1" applyAlignment="1" applyProtection="1">
      <alignment horizontal="center" vertical="center" shrinkToFit="1"/>
      <protection hidden="1"/>
    </xf>
    <xf numFmtId="0" fontId="11" fillId="0" borderId="0" xfId="0" applyFont="1" applyFill="1" applyBorder="1" applyAlignment="1" applyProtection="1">
      <alignment horizontal="center" wrapText="1"/>
      <protection hidden="1"/>
    </xf>
    <xf numFmtId="0" fontId="11" fillId="0" borderId="0" xfId="0" applyFont="1" applyFill="1" applyBorder="1" applyAlignment="1" applyProtection="1">
      <alignment horizontal="center"/>
      <protection hidden="1"/>
    </xf>
    <xf numFmtId="0" fontId="12" fillId="74" borderId="520" xfId="0" applyFont="1" applyFill="1" applyBorder="1" applyAlignment="1" applyProtection="1">
      <alignment horizontal="center" vertical="center"/>
      <protection hidden="1"/>
    </xf>
    <xf numFmtId="0" fontId="12" fillId="74" borderId="0" xfId="0" applyFont="1" applyFill="1" applyBorder="1" applyAlignment="1" applyProtection="1">
      <alignment horizontal="center" vertical="center"/>
      <protection hidden="1"/>
    </xf>
    <xf numFmtId="0" fontId="12" fillId="74" borderId="521" xfId="0" applyFont="1" applyFill="1" applyBorder="1" applyAlignment="1" applyProtection="1">
      <alignment horizontal="center" vertical="center"/>
      <protection hidden="1"/>
    </xf>
    <xf numFmtId="0" fontId="332" fillId="74" borderId="520" xfId="0" applyFont="1" applyFill="1" applyBorder="1" applyAlignment="1" applyProtection="1">
      <alignment horizontal="left" vertical="center"/>
      <protection hidden="1"/>
    </xf>
    <xf numFmtId="0" fontId="30" fillId="74" borderId="0" xfId="0" applyFont="1" applyFill="1" applyBorder="1" applyAlignment="1" applyProtection="1">
      <alignment horizontal="left" vertical="center"/>
      <protection hidden="1"/>
    </xf>
    <xf numFmtId="0" fontId="30" fillId="74" borderId="5" xfId="0" applyFont="1" applyFill="1" applyBorder="1" applyAlignment="1" applyProtection="1">
      <alignment horizontal="left" vertical="center"/>
      <protection hidden="1"/>
    </xf>
    <xf numFmtId="181" fontId="12" fillId="30" borderId="173" xfId="0" applyNumberFormat="1" applyFont="1" applyFill="1" applyBorder="1" applyAlignment="1" applyProtection="1">
      <alignment horizontal="right" vertical="center" shrinkToFit="1"/>
      <protection hidden="1"/>
    </xf>
    <xf numFmtId="0" fontId="12" fillId="63" borderId="176" xfId="0" applyFont="1" applyFill="1" applyBorder="1" applyAlignment="1" applyProtection="1">
      <alignment horizontal="center" vertical="center"/>
      <protection locked="0"/>
    </xf>
    <xf numFmtId="0" fontId="12" fillId="63" borderId="173" xfId="0" applyFont="1" applyFill="1" applyBorder="1" applyAlignment="1" applyProtection="1">
      <alignment horizontal="center" vertical="center"/>
      <protection locked="0"/>
    </xf>
    <xf numFmtId="0" fontId="12" fillId="63" borderId="175" xfId="0" applyFont="1" applyFill="1" applyBorder="1" applyAlignment="1" applyProtection="1">
      <alignment vertical="center"/>
      <protection locked="0"/>
    </xf>
    <xf numFmtId="0" fontId="12" fillId="63" borderId="178" xfId="0" applyFont="1" applyFill="1" applyBorder="1" applyAlignment="1" applyProtection="1">
      <alignment vertical="center"/>
      <protection locked="0"/>
    </xf>
    <xf numFmtId="0" fontId="12" fillId="63" borderId="176" xfId="0" applyFont="1" applyFill="1" applyBorder="1" applyAlignment="1" applyProtection="1">
      <alignment vertical="center"/>
      <protection locked="0"/>
    </xf>
    <xf numFmtId="0" fontId="2" fillId="74" borderId="518" xfId="0" applyFont="1" applyFill="1" applyBorder="1" applyAlignment="1" applyProtection="1">
      <alignment horizontal="center" vertical="center"/>
      <protection hidden="1"/>
    </xf>
    <xf numFmtId="0" fontId="2" fillId="74" borderId="517" xfId="0" applyFont="1" applyFill="1" applyBorder="1" applyAlignment="1" applyProtection="1">
      <alignment horizontal="center" vertical="center"/>
      <protection hidden="1"/>
    </xf>
    <xf numFmtId="0" fontId="2" fillId="74" borderId="516" xfId="0" applyFont="1" applyFill="1" applyBorder="1" applyAlignment="1" applyProtection="1">
      <alignment horizontal="center" vertical="center"/>
      <protection hidden="1"/>
    </xf>
    <xf numFmtId="185" fontId="12" fillId="63" borderId="175" xfId="0" applyNumberFormat="1" applyFont="1" applyFill="1" applyBorder="1" applyAlignment="1" applyProtection="1">
      <alignment horizontal="center" vertical="center"/>
      <protection locked="0"/>
    </xf>
    <xf numFmtId="185" fontId="12" fillId="63" borderId="178" xfId="0" applyNumberFormat="1" applyFont="1" applyFill="1" applyBorder="1" applyAlignment="1" applyProtection="1">
      <alignment horizontal="center" vertical="center"/>
      <protection locked="0"/>
    </xf>
    <xf numFmtId="185" fontId="12" fillId="63" borderId="523" xfId="0" applyNumberFormat="1" applyFont="1" applyFill="1" applyBorder="1" applyAlignment="1" applyProtection="1">
      <alignment horizontal="center" vertical="center"/>
      <protection locked="0"/>
    </xf>
    <xf numFmtId="0" fontId="12" fillId="3" borderId="522" xfId="0" applyFont="1" applyFill="1" applyBorder="1" applyAlignment="1" applyProtection="1">
      <alignment horizontal="center" vertical="center" shrinkToFit="1"/>
      <protection hidden="1"/>
    </xf>
    <xf numFmtId="0" fontId="12" fillId="30" borderId="176" xfId="0" quotePrefix="1" applyFont="1" applyFill="1" applyBorder="1" applyAlignment="1" applyProtection="1">
      <alignment horizontal="center" vertical="center"/>
      <protection hidden="1"/>
    </xf>
    <xf numFmtId="0" fontId="53" fillId="30" borderId="173" xfId="0" applyFont="1" applyFill="1" applyBorder="1" applyAlignment="1" applyProtection="1">
      <alignment horizontal="center" vertical="center" shrinkToFit="1"/>
      <protection hidden="1"/>
    </xf>
    <xf numFmtId="0" fontId="12" fillId="30" borderId="523" xfId="0" applyFont="1" applyFill="1" applyBorder="1" applyAlignment="1" applyProtection="1">
      <alignment horizontal="center" vertical="center" shrinkToFit="1"/>
      <protection hidden="1"/>
    </xf>
    <xf numFmtId="0" fontId="12" fillId="30" borderId="354" xfId="0" applyFont="1" applyFill="1" applyBorder="1" applyAlignment="1" applyProtection="1">
      <alignment horizontal="center" vertical="center"/>
      <protection hidden="1"/>
    </xf>
    <xf numFmtId="0" fontId="2" fillId="74" borderId="526" xfId="0" applyFont="1" applyFill="1" applyBorder="1" applyAlignment="1" applyProtection="1">
      <alignment horizontal="center" vertical="center"/>
      <protection hidden="1"/>
    </xf>
    <xf numFmtId="0" fontId="2" fillId="74" borderId="525" xfId="0" applyFont="1" applyFill="1" applyBorder="1" applyAlignment="1" applyProtection="1">
      <alignment horizontal="center" vertical="center"/>
      <protection hidden="1"/>
    </xf>
    <xf numFmtId="0" fontId="2" fillId="74" borderId="524" xfId="0" applyFont="1" applyFill="1" applyBorder="1" applyAlignment="1" applyProtection="1">
      <alignment horizontal="center" vertical="center"/>
      <protection hidden="1"/>
    </xf>
    <xf numFmtId="22" fontId="458" fillId="18" borderId="199" xfId="3" applyNumberFormat="1" applyFont="1" applyFill="1" applyBorder="1" applyAlignment="1" applyProtection="1">
      <alignment horizontal="center" vertical="center"/>
      <protection hidden="1"/>
    </xf>
    <xf numFmtId="0" fontId="458" fillId="18" borderId="221" xfId="3" applyFont="1" applyFill="1" applyBorder="1" applyAlignment="1" applyProtection="1">
      <alignment horizontal="center" vertical="center"/>
      <protection hidden="1"/>
    </xf>
    <xf numFmtId="0" fontId="3" fillId="18" borderId="0" xfId="3" applyFont="1" applyFill="1" applyAlignment="1" applyProtection="1">
      <alignment horizontal="center" vertical="center" textRotation="180"/>
      <protection hidden="1"/>
    </xf>
    <xf numFmtId="0" fontId="154" fillId="18" borderId="153" xfId="3" applyFill="1" applyBorder="1" applyAlignment="1" applyProtection="1">
      <alignment horizontal="center"/>
      <protection hidden="1"/>
    </xf>
    <xf numFmtId="0" fontId="154" fillId="18" borderId="0" xfId="3" applyFill="1" applyBorder="1" applyAlignment="1" applyProtection="1">
      <alignment horizontal="center"/>
      <protection hidden="1"/>
    </xf>
    <xf numFmtId="0" fontId="456" fillId="18" borderId="409" xfId="3" applyFont="1" applyFill="1" applyBorder="1" applyAlignment="1" applyProtection="1">
      <alignment horizontal="left" vertical="center"/>
      <protection locked="0"/>
    </xf>
    <xf numFmtId="0" fontId="456" fillId="18" borderId="408" xfId="3" applyFont="1" applyFill="1" applyBorder="1" applyAlignment="1" applyProtection="1">
      <alignment horizontal="left" vertical="center"/>
      <protection locked="0"/>
    </xf>
    <xf numFmtId="0" fontId="456" fillId="18" borderId="410" xfId="3" applyFont="1" applyFill="1" applyBorder="1" applyAlignment="1" applyProtection="1">
      <alignment horizontal="left" vertical="center"/>
      <protection locked="0"/>
    </xf>
    <xf numFmtId="0" fontId="455" fillId="18" borderId="409" xfId="3" applyFont="1" applyFill="1" applyBorder="1" applyAlignment="1" applyProtection="1">
      <alignment horizontal="center" vertical="center"/>
      <protection locked="0"/>
    </xf>
    <xf numFmtId="0" fontId="455" fillId="18" borderId="410" xfId="3" applyFont="1" applyFill="1" applyBorder="1" applyAlignment="1" applyProtection="1">
      <alignment horizontal="center" vertical="center"/>
      <protection locked="0"/>
    </xf>
    <xf numFmtId="0" fontId="445" fillId="30" borderId="0" xfId="3" applyFont="1" applyFill="1" applyBorder="1" applyAlignment="1" applyProtection="1">
      <alignment horizontal="center" vertical="center" shrinkToFit="1"/>
      <protection hidden="1"/>
    </xf>
    <xf numFmtId="0" fontId="10" fillId="15" borderId="175" xfId="3" applyNumberFormat="1" applyFont="1" applyFill="1" applyBorder="1" applyAlignment="1" applyProtection="1">
      <alignment horizontal="left" vertical="center"/>
      <protection hidden="1"/>
    </xf>
    <xf numFmtId="0" fontId="10" fillId="15" borderId="176" xfId="3" applyNumberFormat="1" applyFont="1" applyFill="1" applyBorder="1" applyAlignment="1" applyProtection="1">
      <alignment horizontal="left" vertical="center"/>
      <protection hidden="1"/>
    </xf>
    <xf numFmtId="0" fontId="10" fillId="86" borderId="175" xfId="3" applyFont="1" applyFill="1" applyBorder="1" applyAlignment="1" applyProtection="1">
      <alignment horizontal="center" vertical="center" shrinkToFit="1"/>
      <protection hidden="1"/>
    </xf>
    <xf numFmtId="0" fontId="10" fillId="86" borderId="176" xfId="3" applyFont="1" applyFill="1" applyBorder="1" applyAlignment="1" applyProtection="1">
      <alignment horizontal="center" vertical="center" shrinkToFit="1"/>
      <protection hidden="1"/>
    </xf>
    <xf numFmtId="0" fontId="457" fillId="18" borderId="177" xfId="3" applyFont="1" applyFill="1" applyBorder="1" applyAlignment="1" applyProtection="1">
      <alignment horizontal="left" vertical="center"/>
      <protection locked="0"/>
    </xf>
    <xf numFmtId="0" fontId="457" fillId="18" borderId="219" xfId="3" applyFont="1" applyFill="1" applyBorder="1" applyAlignment="1" applyProtection="1">
      <alignment horizontal="left" vertical="center"/>
      <protection locked="0"/>
    </xf>
    <xf numFmtId="210" fontId="470" fillId="92" borderId="220" xfId="5" applyNumberFormat="1" applyFont="1" applyFill="1" applyBorder="1" applyAlignment="1" applyProtection="1">
      <alignment horizontal="center" vertical="center" shrinkToFit="1"/>
      <protection hidden="1"/>
    </xf>
    <xf numFmtId="210" fontId="470" fillId="92" borderId="177" xfId="5" applyNumberFormat="1" applyFont="1" applyFill="1" applyBorder="1" applyAlignment="1" applyProtection="1">
      <alignment horizontal="center" vertical="center" shrinkToFit="1"/>
      <protection hidden="1"/>
    </xf>
    <xf numFmtId="0" fontId="158" fillId="0" borderId="531" xfId="5" applyFont="1" applyBorder="1" applyAlignment="1" applyProtection="1">
      <alignment horizontal="center" vertical="center"/>
      <protection hidden="1"/>
    </xf>
    <xf numFmtId="0" fontId="158" fillId="0" borderId="135" xfId="5" applyFont="1" applyBorder="1" applyAlignment="1" applyProtection="1">
      <alignment horizontal="center" vertical="center"/>
      <protection hidden="1"/>
    </xf>
    <xf numFmtId="0" fontId="469" fillId="18" borderId="175" xfId="5" applyFont="1" applyFill="1" applyBorder="1" applyAlignment="1" applyProtection="1">
      <alignment horizontal="center" vertical="center" wrapText="1"/>
      <protection hidden="1"/>
    </xf>
    <xf numFmtId="0" fontId="469" fillId="18" borderId="356" xfId="5" applyFont="1" applyFill="1" applyBorder="1" applyAlignment="1" applyProtection="1">
      <alignment horizontal="center" vertical="center" wrapText="1"/>
      <protection hidden="1"/>
    </xf>
    <xf numFmtId="0" fontId="471" fillId="0" borderId="531" xfId="5" applyFont="1" applyBorder="1" applyAlignment="1" applyProtection="1">
      <alignment horizontal="center" vertical="center"/>
      <protection hidden="1"/>
    </xf>
    <xf numFmtId="0" fontId="471" fillId="0" borderId="135" xfId="5" applyFont="1" applyBorder="1" applyAlignment="1" applyProtection="1">
      <alignment horizontal="center" vertical="center"/>
      <protection hidden="1"/>
    </xf>
    <xf numFmtId="0" fontId="471" fillId="0" borderId="139" xfId="5" applyFont="1" applyBorder="1" applyAlignment="1" applyProtection="1">
      <alignment horizontal="center" vertical="center"/>
      <protection hidden="1"/>
    </xf>
    <xf numFmtId="210" fontId="470" fillId="92" borderId="4" xfId="5" applyNumberFormat="1" applyFont="1" applyFill="1" applyBorder="1" applyAlignment="1" applyProtection="1">
      <alignment horizontal="center" vertical="center" shrinkToFit="1"/>
      <protection hidden="1"/>
    </xf>
    <xf numFmtId="0" fontId="158" fillId="0" borderId="414" xfId="5" applyFont="1" applyBorder="1" applyAlignment="1" applyProtection="1">
      <alignment horizontal="center" vertical="center"/>
      <protection hidden="1"/>
    </xf>
    <xf numFmtId="0" fontId="158" fillId="0" borderId="171" xfId="5" applyFont="1" applyBorder="1" applyAlignment="1" applyProtection="1">
      <alignment horizontal="center" vertical="center"/>
      <protection hidden="1"/>
    </xf>
    <xf numFmtId="0" fontId="471" fillId="0" borderId="414" xfId="5" applyFont="1" applyBorder="1" applyAlignment="1" applyProtection="1">
      <alignment horizontal="center" vertical="center"/>
      <protection hidden="1"/>
    </xf>
    <xf numFmtId="0" fontId="471" fillId="0" borderId="172" xfId="5" applyFont="1" applyBorder="1" applyAlignment="1" applyProtection="1">
      <alignment horizontal="center" vertical="center"/>
      <protection hidden="1"/>
    </xf>
    <xf numFmtId="49" fontId="465" fillId="90" borderId="492" xfId="5" applyNumberFormat="1" applyFont="1" applyFill="1" applyBorder="1" applyAlignment="1" applyProtection="1">
      <alignment horizontal="center" vertical="center" wrapText="1"/>
      <protection hidden="1"/>
    </xf>
    <xf numFmtId="49" fontId="466" fillId="90" borderId="151" xfId="5" applyNumberFormat="1" applyFont="1" applyFill="1" applyBorder="1" applyAlignment="1" applyProtection="1">
      <alignment horizontal="center" vertical="center" wrapText="1"/>
      <protection hidden="1"/>
    </xf>
    <xf numFmtId="49" fontId="466" fillId="90" borderId="490" xfId="5" applyNumberFormat="1" applyFont="1" applyFill="1" applyBorder="1" applyAlignment="1" applyProtection="1">
      <alignment horizontal="center" vertical="center" wrapText="1"/>
      <protection hidden="1"/>
    </xf>
    <xf numFmtId="0" fontId="464" fillId="11" borderId="492" xfId="5" applyFont="1" applyFill="1" applyBorder="1" applyAlignment="1" applyProtection="1">
      <alignment horizontal="center" vertical="center" wrapText="1"/>
      <protection hidden="1"/>
    </xf>
    <xf numFmtId="0" fontId="464" fillId="11" borderId="442" xfId="5" applyFont="1" applyFill="1" applyBorder="1" applyAlignment="1" applyProtection="1">
      <alignment horizontal="center" vertical="center" wrapText="1"/>
      <protection hidden="1"/>
    </xf>
    <xf numFmtId="0" fontId="464" fillId="11" borderId="438" xfId="5" applyFont="1" applyFill="1" applyBorder="1" applyAlignment="1" applyProtection="1">
      <alignment horizontal="center" vertical="center" wrapText="1"/>
      <protection hidden="1"/>
    </xf>
    <xf numFmtId="49" fontId="465" fillId="90" borderId="442" xfId="5" applyNumberFormat="1" applyFont="1" applyFill="1" applyBorder="1" applyAlignment="1" applyProtection="1">
      <alignment horizontal="center" vertical="center" wrapText="1"/>
      <protection hidden="1"/>
    </xf>
    <xf numFmtId="49" fontId="465" fillId="90" borderId="0" xfId="5" applyNumberFormat="1" applyFont="1" applyFill="1" applyBorder="1" applyAlignment="1" applyProtection="1">
      <alignment horizontal="center" vertical="center" wrapText="1"/>
      <protection hidden="1"/>
    </xf>
    <xf numFmtId="49" fontId="465" fillId="90" borderId="133" xfId="5" applyNumberFormat="1" applyFont="1" applyFill="1" applyBorder="1" applyAlignment="1" applyProtection="1">
      <alignment horizontal="center" vertical="center" wrapText="1"/>
      <protection hidden="1"/>
    </xf>
    <xf numFmtId="49" fontId="465" fillId="90" borderId="438" xfId="5" applyNumberFormat="1" applyFont="1" applyFill="1" applyBorder="1" applyAlignment="1" applyProtection="1">
      <alignment horizontal="center" vertical="center" wrapText="1"/>
      <protection hidden="1"/>
    </xf>
    <xf numFmtId="49" fontId="465" fillId="90" borderId="156" xfId="5" applyNumberFormat="1" applyFont="1" applyFill="1" applyBorder="1" applyAlignment="1" applyProtection="1">
      <alignment horizontal="center" vertical="center" wrapText="1"/>
      <protection hidden="1"/>
    </xf>
    <xf numFmtId="49" fontId="465" fillId="90" borderId="157" xfId="5" applyNumberFormat="1" applyFont="1" applyFill="1" applyBorder="1" applyAlignment="1" applyProtection="1">
      <alignment horizontal="center" vertical="center" wrapText="1"/>
      <protection hidden="1"/>
    </xf>
    <xf numFmtId="0" fontId="273" fillId="33" borderId="0" xfId="0" applyNumberFormat="1" applyFont="1" applyFill="1" applyBorder="1" applyAlignment="1" applyProtection="1">
      <alignment horizontal="left" vertical="center" wrapText="1" shrinkToFit="1"/>
      <protection hidden="1"/>
    </xf>
    <xf numFmtId="0" fontId="273" fillId="33" borderId="0" xfId="0" applyNumberFormat="1" applyFont="1" applyFill="1" applyBorder="1" applyAlignment="1" applyProtection="1">
      <alignment horizontal="left" vertical="center" shrinkToFit="1"/>
      <protection hidden="1"/>
    </xf>
    <xf numFmtId="0" fontId="265" fillId="58" borderId="0" xfId="0" applyNumberFormat="1" applyFont="1" applyFill="1" applyBorder="1" applyAlignment="1" applyProtection="1">
      <alignment horizontal="left" vertical="center" wrapText="1" shrinkToFit="1"/>
      <protection hidden="1"/>
    </xf>
    <xf numFmtId="0" fontId="265" fillId="58" borderId="0" xfId="0" applyNumberFormat="1" applyFont="1" applyFill="1" applyBorder="1" applyAlignment="1" applyProtection="1">
      <alignment horizontal="left" vertical="center" shrinkToFit="1"/>
      <protection hidden="1"/>
    </xf>
    <xf numFmtId="0" fontId="12" fillId="33" borderId="0" xfId="0" applyNumberFormat="1" applyFont="1" applyFill="1" applyBorder="1" applyAlignment="1" applyProtection="1">
      <alignment horizontal="left" vertical="center" wrapText="1" shrinkToFit="1"/>
      <protection hidden="1"/>
    </xf>
    <xf numFmtId="0" fontId="12" fillId="33" borderId="0" xfId="0" applyNumberFormat="1" applyFont="1" applyFill="1" applyBorder="1" applyAlignment="1" applyProtection="1">
      <alignment horizontal="left" vertical="center" shrinkToFit="1"/>
      <protection hidden="1"/>
    </xf>
    <xf numFmtId="0" fontId="66" fillId="0" borderId="0" xfId="0" applyNumberFormat="1" applyFont="1" applyAlignment="1" applyProtection="1">
      <alignment horizontal="center" vertical="center"/>
      <protection hidden="1"/>
    </xf>
    <xf numFmtId="0" fontId="273" fillId="33" borderId="0" xfId="0" applyNumberFormat="1" applyFont="1" applyFill="1" applyBorder="1" applyAlignment="1" applyProtection="1">
      <alignment horizontal="left" vertical="top" wrapText="1" shrinkToFit="1"/>
      <protection hidden="1"/>
    </xf>
    <xf numFmtId="0" fontId="273" fillId="33" borderId="0" xfId="0" applyNumberFormat="1" applyFont="1" applyFill="1" applyBorder="1" applyAlignment="1" applyProtection="1">
      <alignment horizontal="left" vertical="top" shrinkToFit="1"/>
      <protection hidden="1"/>
    </xf>
    <xf numFmtId="0" fontId="351" fillId="54" borderId="0" xfId="0" applyNumberFormat="1" applyFont="1" applyFill="1" applyBorder="1" applyAlignment="1" applyProtection="1">
      <alignment horizontal="left" vertical="center"/>
      <protection hidden="1"/>
    </xf>
    <xf numFmtId="0" fontId="350" fillId="33" borderId="0" xfId="0" applyNumberFormat="1" applyFont="1" applyFill="1" applyBorder="1" applyAlignment="1" applyProtection="1">
      <alignment horizontal="left" vertical="center" shrinkToFit="1"/>
      <protection hidden="1"/>
    </xf>
    <xf numFmtId="0" fontId="354" fillId="33" borderId="0" xfId="0" applyNumberFormat="1" applyFont="1" applyFill="1" applyBorder="1" applyAlignment="1" applyProtection="1">
      <alignment horizontal="left" vertical="center" shrinkToFit="1"/>
      <protection hidden="1"/>
    </xf>
    <xf numFmtId="0" fontId="265" fillId="33" borderId="0" xfId="0" applyNumberFormat="1" applyFont="1" applyFill="1" applyBorder="1" applyAlignment="1" applyProtection="1">
      <alignment horizontal="left" vertical="center" wrapText="1" shrinkToFit="1"/>
      <protection hidden="1"/>
    </xf>
    <xf numFmtId="0" fontId="265" fillId="33" borderId="0" xfId="0" applyNumberFormat="1" applyFont="1" applyFill="1" applyBorder="1" applyAlignment="1" applyProtection="1">
      <alignment horizontal="left" vertical="center" shrinkToFit="1"/>
      <protection hidden="1"/>
    </xf>
    <xf numFmtId="0" fontId="12" fillId="58" borderId="0" xfId="0" applyNumberFormat="1" applyFont="1" applyFill="1" applyBorder="1" applyAlignment="1" applyProtection="1">
      <alignment horizontal="left" vertical="center" wrapText="1" shrinkToFit="1"/>
      <protection hidden="1"/>
    </xf>
    <xf numFmtId="0" fontId="12" fillId="58" borderId="0" xfId="0" applyNumberFormat="1" applyFont="1" applyFill="1" applyBorder="1" applyAlignment="1" applyProtection="1">
      <alignment horizontal="left" vertical="center" shrinkToFit="1"/>
      <protection hidden="1"/>
    </xf>
    <xf numFmtId="0" fontId="70" fillId="33" borderId="0" xfId="0" applyNumberFormat="1" applyFont="1" applyFill="1" applyBorder="1" applyAlignment="1" applyProtection="1">
      <alignment horizontal="left" vertical="center" wrapText="1" shrinkToFit="1"/>
      <protection hidden="1"/>
    </xf>
    <xf numFmtId="0" fontId="70" fillId="33" borderId="0" xfId="0" applyNumberFormat="1" applyFont="1" applyFill="1" applyBorder="1" applyAlignment="1" applyProtection="1">
      <alignment horizontal="left" vertical="center" shrinkToFit="1"/>
      <protection hidden="1"/>
    </xf>
    <xf numFmtId="0" fontId="266" fillId="58" borderId="0" xfId="0" applyNumberFormat="1" applyFont="1" applyFill="1" applyBorder="1" applyAlignment="1" applyProtection="1">
      <alignment horizontal="left" vertical="center" wrapText="1" shrinkToFit="1"/>
      <protection hidden="1"/>
    </xf>
    <xf numFmtId="0" fontId="266" fillId="58" borderId="0" xfId="0" applyNumberFormat="1" applyFont="1" applyFill="1" applyBorder="1" applyAlignment="1" applyProtection="1">
      <alignment horizontal="left" vertical="center" shrinkToFit="1"/>
      <protection hidden="1"/>
    </xf>
    <xf numFmtId="0" fontId="66" fillId="0" borderId="0" xfId="0" applyNumberFormat="1" applyFont="1" applyBorder="1" applyAlignment="1" applyProtection="1">
      <alignment horizontal="center" vertical="center"/>
      <protection hidden="1"/>
    </xf>
    <xf numFmtId="0" fontId="350" fillId="33" borderId="0" xfId="0" applyNumberFormat="1" applyFont="1" applyFill="1" applyBorder="1" applyAlignment="1" applyProtection="1">
      <alignment horizontal="left" vertical="center" wrapText="1" shrinkToFit="1"/>
      <protection hidden="1"/>
    </xf>
    <xf numFmtId="0" fontId="12" fillId="59" borderId="191" xfId="0" applyNumberFormat="1" applyFont="1" applyFill="1" applyBorder="1" applyAlignment="1" applyProtection="1">
      <alignment horizontal="left" vertical="center" wrapText="1" shrinkToFit="1"/>
      <protection hidden="1"/>
    </xf>
    <xf numFmtId="0" fontId="12" fillId="59" borderId="192" xfId="0" applyNumberFormat="1" applyFont="1" applyFill="1" applyBorder="1" applyAlignment="1" applyProtection="1">
      <alignment horizontal="left" vertical="center" shrinkToFit="1"/>
      <protection hidden="1"/>
    </xf>
    <xf numFmtId="0" fontId="12" fillId="59" borderId="193" xfId="0" applyNumberFormat="1" applyFont="1" applyFill="1" applyBorder="1" applyAlignment="1" applyProtection="1">
      <alignment horizontal="left" vertical="center" shrinkToFit="1"/>
      <protection hidden="1"/>
    </xf>
    <xf numFmtId="0" fontId="66" fillId="33" borderId="0" xfId="0" applyNumberFormat="1" applyFont="1" applyFill="1" applyBorder="1" applyAlignment="1" applyProtection="1">
      <alignment horizontal="center" vertical="center"/>
      <protection hidden="1"/>
    </xf>
    <xf numFmtId="0" fontId="12" fillId="59" borderId="335" xfId="0" applyNumberFormat="1" applyFont="1" applyFill="1" applyBorder="1" applyAlignment="1" applyProtection="1">
      <alignment horizontal="left" vertical="center" wrapText="1" shrinkToFit="1"/>
      <protection hidden="1"/>
    </xf>
    <xf numFmtId="0" fontId="12" fillId="59" borderId="336" xfId="0" applyNumberFormat="1" applyFont="1" applyFill="1" applyBorder="1" applyAlignment="1" applyProtection="1">
      <alignment horizontal="left" vertical="center" shrinkToFit="1"/>
      <protection hidden="1"/>
    </xf>
    <xf numFmtId="0" fontId="12" fillId="59" borderId="337" xfId="0" applyNumberFormat="1" applyFont="1" applyFill="1" applyBorder="1" applyAlignment="1" applyProtection="1">
      <alignment horizontal="left" vertical="center" shrinkToFit="1"/>
      <protection hidden="1"/>
    </xf>
    <xf numFmtId="0" fontId="178" fillId="58" borderId="0" xfId="0" applyNumberFormat="1" applyFont="1" applyFill="1" applyBorder="1" applyAlignment="1" applyProtection="1">
      <alignment horizontal="left" vertical="center" wrapText="1" shrinkToFit="1"/>
      <protection hidden="1"/>
    </xf>
    <xf numFmtId="0" fontId="178" fillId="58" borderId="0" xfId="0" applyNumberFormat="1" applyFont="1" applyFill="1" applyBorder="1" applyAlignment="1" applyProtection="1">
      <alignment horizontal="left" vertical="center" shrinkToFit="1"/>
      <protection hidden="1"/>
    </xf>
    <xf numFmtId="0" fontId="314" fillId="58" borderId="0" xfId="0" applyNumberFormat="1" applyFont="1" applyFill="1" applyBorder="1" applyAlignment="1" applyProtection="1">
      <alignment horizontal="left" vertical="center" wrapText="1" shrinkToFit="1"/>
      <protection hidden="1"/>
    </xf>
    <xf numFmtId="0" fontId="314" fillId="58" borderId="0" xfId="0" applyNumberFormat="1" applyFont="1" applyFill="1" applyBorder="1" applyAlignment="1" applyProtection="1">
      <alignment horizontal="left" vertical="center" shrinkToFit="1"/>
      <protection hidden="1"/>
    </xf>
    <xf numFmtId="0" fontId="216" fillId="58" borderId="0" xfId="0" applyNumberFormat="1" applyFont="1" applyFill="1" applyBorder="1" applyAlignment="1" applyProtection="1">
      <alignment horizontal="left" vertical="center" wrapText="1" shrinkToFit="1"/>
      <protection hidden="1"/>
    </xf>
    <xf numFmtId="0" fontId="216" fillId="58" borderId="0" xfId="0" applyNumberFormat="1" applyFont="1" applyFill="1" applyBorder="1" applyAlignment="1" applyProtection="1">
      <alignment horizontal="left" vertical="center" shrinkToFit="1"/>
      <protection hidden="1"/>
    </xf>
    <xf numFmtId="0" fontId="12" fillId="33" borderId="0" xfId="0" applyNumberFormat="1" applyFont="1" applyFill="1" applyAlignment="1" applyProtection="1">
      <alignment horizontal="left" vertical="center" wrapText="1" shrinkToFit="1"/>
      <protection hidden="1"/>
    </xf>
    <xf numFmtId="0" fontId="12" fillId="33" borderId="0" xfId="0" applyNumberFormat="1" applyFont="1" applyFill="1" applyAlignment="1" applyProtection="1">
      <alignment horizontal="left" vertical="center" shrinkToFit="1"/>
      <protection hidden="1"/>
    </xf>
    <xf numFmtId="0" fontId="265" fillId="58" borderId="0" xfId="0" applyNumberFormat="1" applyFont="1" applyFill="1" applyBorder="1" applyAlignment="1" applyProtection="1">
      <alignment horizontal="left" vertical="top" wrapText="1" shrinkToFit="1"/>
      <protection hidden="1"/>
    </xf>
    <xf numFmtId="0" fontId="265" fillId="58" borderId="0" xfId="0" applyNumberFormat="1" applyFont="1" applyFill="1" applyBorder="1" applyAlignment="1" applyProtection="1">
      <alignment horizontal="left" vertical="top" shrinkToFit="1"/>
      <protection hidden="1"/>
    </xf>
    <xf numFmtId="0" fontId="272" fillId="58" borderId="0" xfId="0" applyNumberFormat="1" applyFont="1" applyFill="1" applyBorder="1" applyAlignment="1" applyProtection="1">
      <alignment horizontal="left" vertical="center" wrapText="1" shrinkToFit="1"/>
      <protection hidden="1"/>
    </xf>
    <xf numFmtId="0" fontId="272" fillId="58" borderId="0" xfId="0" applyNumberFormat="1" applyFont="1" applyFill="1" applyBorder="1" applyAlignment="1" applyProtection="1">
      <alignment horizontal="left" vertical="center" shrinkToFit="1"/>
      <protection hidden="1"/>
    </xf>
    <xf numFmtId="0" fontId="320" fillId="58" borderId="0" xfId="0" applyNumberFormat="1" applyFont="1" applyFill="1" applyBorder="1" applyAlignment="1" applyProtection="1">
      <alignment horizontal="left" vertical="center" wrapText="1" shrinkToFit="1"/>
      <protection hidden="1"/>
    </xf>
    <xf numFmtId="0" fontId="317" fillId="58" borderId="0" xfId="0" applyNumberFormat="1" applyFont="1" applyFill="1" applyBorder="1" applyAlignment="1" applyProtection="1">
      <alignment horizontal="left" vertical="center" wrapText="1" shrinkToFit="1"/>
      <protection hidden="1"/>
    </xf>
    <xf numFmtId="0" fontId="317" fillId="58" borderId="0" xfId="0" applyNumberFormat="1" applyFont="1" applyFill="1" applyBorder="1" applyAlignment="1" applyProtection="1">
      <alignment horizontal="left" vertical="center" shrinkToFit="1"/>
      <protection hidden="1"/>
    </xf>
    <xf numFmtId="0" fontId="213" fillId="54" borderId="0" xfId="0" applyNumberFormat="1" applyFont="1" applyFill="1" applyBorder="1" applyAlignment="1" applyProtection="1">
      <alignment horizontal="left" vertical="center"/>
      <protection hidden="1"/>
    </xf>
    <xf numFmtId="0" fontId="273" fillId="33" borderId="190" xfId="0" applyNumberFormat="1" applyFont="1" applyFill="1" applyBorder="1" applyAlignment="1" applyProtection="1">
      <alignment horizontal="left" vertical="center" wrapText="1" shrinkToFit="1"/>
      <protection hidden="1"/>
    </xf>
    <xf numFmtId="0" fontId="273" fillId="33" borderId="190" xfId="0" applyNumberFormat="1" applyFont="1" applyFill="1" applyBorder="1" applyAlignment="1" applyProtection="1">
      <alignment horizontal="left" vertical="center" shrinkToFit="1"/>
      <protection hidden="1"/>
    </xf>
    <xf numFmtId="0" fontId="200" fillId="54" borderId="0" xfId="0" applyNumberFormat="1" applyFont="1" applyFill="1" applyBorder="1" applyAlignment="1" applyProtection="1">
      <alignment horizontal="left" vertical="center"/>
      <protection hidden="1"/>
    </xf>
    <xf numFmtId="0" fontId="272" fillId="33" borderId="0" xfId="0" applyNumberFormat="1" applyFont="1" applyFill="1" applyBorder="1" applyAlignment="1" applyProtection="1">
      <alignment horizontal="left" vertical="center" wrapText="1" shrinkToFit="1"/>
      <protection hidden="1"/>
    </xf>
    <xf numFmtId="0" fontId="272" fillId="33" borderId="0" xfId="0" applyNumberFormat="1" applyFont="1" applyFill="1" applyBorder="1" applyAlignment="1" applyProtection="1">
      <alignment horizontal="left" vertical="center" shrinkToFit="1"/>
      <protection hidden="1"/>
    </xf>
    <xf numFmtId="0" fontId="12" fillId="59" borderId="0" xfId="0" applyNumberFormat="1" applyFont="1" applyFill="1" applyBorder="1" applyAlignment="1" applyProtection="1">
      <alignment horizontal="left" vertical="center" wrapText="1" shrinkToFit="1"/>
      <protection hidden="1"/>
    </xf>
    <xf numFmtId="0" fontId="12" fillId="59" borderId="0" xfId="0" applyNumberFormat="1" applyFont="1" applyFill="1" applyBorder="1" applyAlignment="1" applyProtection="1">
      <alignment horizontal="left" vertical="center" shrinkToFit="1"/>
      <protection hidden="1"/>
    </xf>
    <xf numFmtId="0" fontId="286" fillId="33" borderId="0" xfId="0" applyNumberFormat="1" applyFont="1" applyFill="1" applyBorder="1" applyAlignment="1" applyProtection="1">
      <alignment horizontal="center" vertical="center" wrapText="1" shrinkToFit="1"/>
      <protection hidden="1"/>
    </xf>
    <xf numFmtId="0" fontId="16" fillId="58" borderId="0" xfId="0" applyNumberFormat="1" applyFont="1" applyFill="1" applyBorder="1" applyAlignment="1" applyProtection="1">
      <alignment horizontal="left" vertical="center" wrapText="1" shrinkToFit="1"/>
      <protection hidden="1"/>
    </xf>
    <xf numFmtId="0" fontId="16" fillId="58" borderId="0" xfId="0" applyNumberFormat="1" applyFont="1" applyFill="1" applyBorder="1" applyAlignment="1" applyProtection="1">
      <alignment horizontal="left" vertical="center" shrinkToFit="1"/>
      <protection hidden="1"/>
    </xf>
    <xf numFmtId="0" fontId="180" fillId="33" borderId="0" xfId="0" applyNumberFormat="1" applyFont="1" applyFill="1" applyBorder="1" applyAlignment="1" applyProtection="1">
      <alignment horizontal="left" vertical="center" wrapText="1" shrinkToFit="1"/>
      <protection hidden="1"/>
    </xf>
    <xf numFmtId="0" fontId="180" fillId="33" borderId="0" xfId="0" applyNumberFormat="1" applyFont="1" applyFill="1" applyBorder="1" applyAlignment="1" applyProtection="1">
      <alignment horizontal="left" vertical="center" shrinkToFit="1"/>
      <protection hidden="1"/>
    </xf>
    <xf numFmtId="0" fontId="70" fillId="33" borderId="29" xfId="0" applyNumberFormat="1" applyFont="1" applyFill="1" applyBorder="1" applyAlignment="1" applyProtection="1">
      <alignment horizontal="left" vertical="center" wrapText="1" shrinkToFit="1"/>
      <protection hidden="1"/>
    </xf>
    <xf numFmtId="0" fontId="273" fillId="33" borderId="39" xfId="0" applyNumberFormat="1" applyFont="1" applyFill="1" applyBorder="1" applyAlignment="1" applyProtection="1">
      <alignment horizontal="left" vertical="center" wrapText="1" shrinkToFit="1"/>
      <protection hidden="1"/>
    </xf>
    <xf numFmtId="0" fontId="266" fillId="33" borderId="0" xfId="0" applyNumberFormat="1" applyFont="1" applyFill="1" applyBorder="1" applyAlignment="1" applyProtection="1">
      <alignment horizontal="left" vertical="center" wrapText="1" shrinkToFit="1"/>
      <protection hidden="1"/>
    </xf>
    <xf numFmtId="0" fontId="266" fillId="33" borderId="0" xfId="0" applyNumberFormat="1" applyFont="1" applyFill="1" applyBorder="1" applyAlignment="1" applyProtection="1">
      <alignment horizontal="left" vertical="center" shrinkToFit="1"/>
      <protection hidden="1"/>
    </xf>
    <xf numFmtId="0" fontId="272" fillId="33" borderId="190" xfId="0" applyNumberFormat="1" applyFont="1" applyFill="1" applyBorder="1" applyAlignment="1" applyProtection="1">
      <alignment horizontal="left" vertical="center" wrapText="1" shrinkToFit="1"/>
      <protection hidden="1"/>
    </xf>
    <xf numFmtId="0" fontId="272" fillId="33" borderId="190" xfId="0" applyNumberFormat="1" applyFont="1" applyFill="1" applyBorder="1" applyAlignment="1" applyProtection="1">
      <alignment horizontal="left" vertical="center" shrinkToFit="1"/>
      <protection hidden="1"/>
    </xf>
    <xf numFmtId="0" fontId="180" fillId="58" borderId="0" xfId="0" applyNumberFormat="1" applyFont="1" applyFill="1" applyBorder="1" applyAlignment="1" applyProtection="1">
      <alignment horizontal="left" vertical="center" wrapText="1" shrinkToFit="1"/>
      <protection hidden="1"/>
    </xf>
    <xf numFmtId="0" fontId="180" fillId="58" borderId="0" xfId="0" applyNumberFormat="1" applyFont="1" applyFill="1" applyBorder="1" applyAlignment="1" applyProtection="1">
      <alignment horizontal="left" vertical="center" shrinkToFit="1"/>
      <protection hidden="1"/>
    </xf>
    <xf numFmtId="0" fontId="306" fillId="33" borderId="0" xfId="0" applyNumberFormat="1" applyFont="1" applyFill="1" applyBorder="1" applyAlignment="1" applyProtection="1">
      <alignment horizontal="left" vertical="center" wrapText="1" shrinkToFit="1"/>
      <protection hidden="1"/>
    </xf>
    <xf numFmtId="0" fontId="306" fillId="33" borderId="0" xfId="0" applyNumberFormat="1" applyFont="1" applyFill="1" applyBorder="1" applyAlignment="1" applyProtection="1">
      <alignment horizontal="left" vertical="center" shrinkToFit="1"/>
      <protection hidden="1"/>
    </xf>
    <xf numFmtId="0" fontId="16" fillId="33" borderId="0" xfId="0" applyNumberFormat="1" applyFont="1" applyFill="1" applyBorder="1" applyAlignment="1" applyProtection="1">
      <alignment horizontal="left" vertical="center" wrapText="1" shrinkToFit="1"/>
      <protection hidden="1"/>
    </xf>
    <xf numFmtId="0" fontId="16" fillId="33" borderId="0" xfId="0" applyNumberFormat="1" applyFont="1" applyFill="1" applyBorder="1" applyAlignment="1" applyProtection="1">
      <alignment horizontal="left" vertical="center" shrinkToFit="1"/>
      <protection hidden="1"/>
    </xf>
    <xf numFmtId="0" fontId="276" fillId="33" borderId="0" xfId="0" applyNumberFormat="1" applyFont="1" applyFill="1" applyBorder="1" applyAlignment="1" applyProtection="1">
      <alignment horizontal="left" vertical="center" wrapText="1" shrinkToFit="1"/>
      <protection hidden="1"/>
    </xf>
    <xf numFmtId="0" fontId="276" fillId="33" borderId="0" xfId="0" applyNumberFormat="1" applyFont="1" applyFill="1" applyBorder="1" applyAlignment="1" applyProtection="1">
      <alignment horizontal="left" vertical="center" shrinkToFit="1"/>
      <protection hidden="1"/>
    </xf>
    <xf numFmtId="0" fontId="273" fillId="33" borderId="0" xfId="0" applyNumberFormat="1" applyFont="1" applyFill="1" applyBorder="1" applyAlignment="1" applyProtection="1">
      <alignment horizontal="center" vertical="center" wrapText="1" shrinkToFit="1"/>
      <protection hidden="1"/>
    </xf>
    <xf numFmtId="0" fontId="286" fillId="33" borderId="0" xfId="0" applyNumberFormat="1" applyFont="1" applyFill="1" applyBorder="1" applyAlignment="1" applyProtection="1">
      <alignment horizontal="left" vertical="center" shrinkToFit="1"/>
      <protection hidden="1"/>
    </xf>
    <xf numFmtId="0" fontId="283" fillId="33" borderId="0" xfId="0" applyNumberFormat="1" applyFont="1" applyFill="1" applyBorder="1" applyAlignment="1" applyProtection="1">
      <alignment horizontal="left" vertical="center" wrapText="1" shrinkToFit="1"/>
      <protection hidden="1"/>
    </xf>
    <xf numFmtId="0" fontId="283" fillId="33" borderId="0" xfId="0" applyNumberFormat="1" applyFont="1" applyFill="1" applyBorder="1" applyAlignment="1" applyProtection="1">
      <alignment horizontal="left" vertical="center" shrinkToFit="1"/>
      <protection hidden="1"/>
    </xf>
    <xf numFmtId="0" fontId="282" fillId="33" borderId="0" xfId="0" applyNumberFormat="1" applyFont="1" applyFill="1" applyBorder="1" applyAlignment="1" applyProtection="1">
      <alignment horizontal="left" vertical="center" wrapText="1" shrinkToFit="1"/>
      <protection hidden="1"/>
    </xf>
    <xf numFmtId="0" fontId="282" fillId="33" borderId="0" xfId="0" applyNumberFormat="1" applyFont="1" applyFill="1" applyBorder="1" applyAlignment="1" applyProtection="1">
      <alignment horizontal="left" vertical="center" shrinkToFit="1"/>
      <protection hidden="1"/>
    </xf>
    <xf numFmtId="0" fontId="280" fillId="33" borderId="0" xfId="0" applyNumberFormat="1" applyFont="1" applyFill="1" applyBorder="1" applyAlignment="1" applyProtection="1">
      <alignment horizontal="left" vertical="center" wrapText="1" shrinkToFit="1"/>
      <protection hidden="1"/>
    </xf>
    <xf numFmtId="0" fontId="280" fillId="33" borderId="0" xfId="0" applyNumberFormat="1" applyFont="1" applyFill="1" applyBorder="1" applyAlignment="1" applyProtection="1">
      <alignment horizontal="left" vertical="center" shrinkToFit="1"/>
      <protection hidden="1"/>
    </xf>
    <xf numFmtId="0" fontId="72" fillId="33" borderId="0" xfId="0" applyNumberFormat="1" applyFont="1" applyFill="1" applyBorder="1" applyAlignment="1" applyProtection="1">
      <alignment horizontal="left" vertical="center" shrinkToFit="1"/>
      <protection hidden="1"/>
    </xf>
    <xf numFmtId="0" fontId="207" fillId="54" borderId="0" xfId="0" applyNumberFormat="1" applyFont="1" applyFill="1" applyBorder="1" applyAlignment="1" applyProtection="1">
      <alignment horizontal="left" vertical="center"/>
      <protection hidden="1"/>
    </xf>
    <xf numFmtId="0" fontId="279" fillId="33" borderId="0" xfId="0" applyNumberFormat="1" applyFont="1" applyFill="1" applyBorder="1" applyAlignment="1" applyProtection="1">
      <alignment horizontal="left" vertical="center"/>
      <protection hidden="1"/>
    </xf>
    <xf numFmtId="0" fontId="281" fillId="33" borderId="0" xfId="0" applyNumberFormat="1" applyFont="1" applyFill="1" applyBorder="1" applyAlignment="1" applyProtection="1">
      <alignment horizontal="left" vertical="center" shrinkToFit="1"/>
      <protection hidden="1"/>
    </xf>
    <xf numFmtId="0" fontId="16" fillId="33" borderId="0" xfId="0" applyNumberFormat="1" applyFont="1" applyFill="1" applyBorder="1" applyAlignment="1" applyProtection="1">
      <alignment horizontal="left" vertical="center"/>
      <protection hidden="1"/>
    </xf>
    <xf numFmtId="0" fontId="70" fillId="33" borderId="0" xfId="0" applyNumberFormat="1" applyFont="1" applyFill="1" applyBorder="1" applyAlignment="1" applyProtection="1">
      <alignment horizontal="left" vertical="center"/>
      <protection hidden="1"/>
    </xf>
    <xf numFmtId="0" fontId="274" fillId="33" borderId="0" xfId="0" applyNumberFormat="1" applyFont="1" applyFill="1" applyBorder="1" applyAlignment="1" applyProtection="1">
      <alignment horizontal="left" vertical="center" shrinkToFit="1"/>
      <protection hidden="1"/>
    </xf>
    <xf numFmtId="0" fontId="30" fillId="55" borderId="184" xfId="0" applyNumberFormat="1" applyFont="1" applyFill="1" applyBorder="1" applyAlignment="1" applyProtection="1">
      <alignment horizontal="left" vertical="center" shrinkToFit="1"/>
      <protection hidden="1"/>
    </xf>
    <xf numFmtId="0" fontId="30" fillId="55" borderId="0" xfId="0" applyNumberFormat="1" applyFont="1" applyFill="1" applyBorder="1" applyAlignment="1" applyProtection="1">
      <alignment horizontal="left" vertical="center" shrinkToFit="1"/>
      <protection hidden="1"/>
    </xf>
    <xf numFmtId="0" fontId="30" fillId="55" borderId="185" xfId="0" applyNumberFormat="1" applyFont="1" applyFill="1" applyBorder="1" applyAlignment="1" applyProtection="1">
      <alignment horizontal="left" vertical="center" shrinkToFit="1"/>
      <protection hidden="1"/>
    </xf>
    <xf numFmtId="0" fontId="30" fillId="56" borderId="186" xfId="0" applyNumberFormat="1" applyFont="1" applyFill="1" applyBorder="1" applyAlignment="1" applyProtection="1">
      <alignment horizontal="center" vertical="center" shrinkToFit="1"/>
      <protection hidden="1"/>
    </xf>
    <xf numFmtId="0" fontId="30" fillId="56" borderId="135" xfId="0" applyNumberFormat="1" applyFont="1" applyFill="1" applyBorder="1" applyAlignment="1" applyProtection="1">
      <alignment horizontal="center" vertical="center" shrinkToFit="1"/>
      <protection hidden="1"/>
    </xf>
    <xf numFmtId="0" fontId="30" fillId="55" borderId="187" xfId="0" applyNumberFormat="1" applyFont="1" applyFill="1" applyBorder="1" applyAlignment="1" applyProtection="1">
      <alignment horizontal="left" vertical="center" shrinkToFit="1"/>
      <protection hidden="1"/>
    </xf>
    <xf numFmtId="0" fontId="30" fillId="55" borderId="188" xfId="0" applyNumberFormat="1" applyFont="1" applyFill="1" applyBorder="1" applyAlignment="1" applyProtection="1">
      <alignment horizontal="left" vertical="center" shrinkToFit="1"/>
      <protection hidden="1"/>
    </xf>
    <xf numFmtId="0" fontId="30" fillId="55" borderId="189" xfId="0" applyNumberFormat="1" applyFont="1" applyFill="1" applyBorder="1" applyAlignment="1" applyProtection="1">
      <alignment horizontal="left" vertical="center" shrinkToFit="1"/>
      <protection hidden="1"/>
    </xf>
    <xf numFmtId="0" fontId="30" fillId="55" borderId="182" xfId="0" applyNumberFormat="1" applyFont="1" applyFill="1" applyBorder="1" applyAlignment="1" applyProtection="1">
      <alignment horizontal="left" vertical="center" shrinkToFit="1"/>
      <protection hidden="1"/>
    </xf>
    <xf numFmtId="0" fontId="30" fillId="55" borderId="179" xfId="0" applyNumberFormat="1" applyFont="1" applyFill="1" applyBorder="1" applyAlignment="1" applyProtection="1">
      <alignment horizontal="left" vertical="center" shrinkToFit="1"/>
      <protection hidden="1"/>
    </xf>
    <xf numFmtId="0" fontId="30" fillId="55" borderId="183" xfId="0" applyNumberFormat="1" applyFont="1" applyFill="1" applyBorder="1" applyAlignment="1" applyProtection="1">
      <alignment horizontal="left" vertical="center" shrinkToFit="1"/>
      <protection hidden="1"/>
    </xf>
    <xf numFmtId="0" fontId="199" fillId="60" borderId="0" xfId="0" applyNumberFormat="1" applyFont="1" applyFill="1" applyBorder="1" applyAlignment="1" applyProtection="1">
      <alignment horizontal="left" wrapText="1"/>
      <protection hidden="1"/>
    </xf>
    <xf numFmtId="0" fontId="199" fillId="60" borderId="180" xfId="0" applyNumberFormat="1" applyFont="1" applyFill="1" applyBorder="1" applyAlignment="1" applyProtection="1">
      <alignment horizontal="left" wrapText="1"/>
      <protection hidden="1"/>
    </xf>
    <xf numFmtId="0" fontId="30" fillId="0" borderId="0" xfId="0" applyNumberFormat="1" applyFont="1" applyAlignment="1" applyProtection="1">
      <alignment horizontal="center" vertical="center"/>
      <protection hidden="1"/>
    </xf>
    <xf numFmtId="0" fontId="219" fillId="60" borderId="0" xfId="0" applyNumberFormat="1" applyFont="1" applyFill="1" applyBorder="1" applyAlignment="1" applyProtection="1">
      <alignment horizontal="center" vertical="center" shrinkToFit="1"/>
      <protection hidden="1"/>
    </xf>
    <xf numFmtId="0" fontId="72" fillId="60" borderId="0" xfId="0" applyNumberFormat="1" applyFont="1" applyFill="1" applyBorder="1" applyAlignment="1" applyProtection="1">
      <alignment horizontal="left" vertical="center" shrinkToFit="1"/>
      <protection hidden="1"/>
    </xf>
  </cellXfs>
  <cellStyles count="8">
    <cellStyle name="ハイパーリンク" xfId="1" builtinId="8"/>
    <cellStyle name="ハイパーリンク 2" xfId="7"/>
    <cellStyle name="標準" xfId="0" builtinId="0"/>
    <cellStyle name="標準 2" xfId="3"/>
    <cellStyle name="標準 3" xfId="4"/>
    <cellStyle name="標準 4" xfId="5"/>
    <cellStyle name="標準 5" xfId="6"/>
    <cellStyle name="標準_工事チェックシート" xfId="2"/>
  </cellStyles>
  <dxfs count="0"/>
  <tableStyles count="0" defaultTableStyle="TableStyleMedium2" defaultPivotStyle="PivotStyleLight16"/>
  <colors>
    <mruColors>
      <color rgb="FF0000FF"/>
      <color rgb="FF974706"/>
      <color rgb="FFAFAFFF"/>
      <color rgb="FF0066CC"/>
      <color rgb="FFE1FFFF"/>
      <color rgb="FF000066"/>
      <color rgb="FFE1E1AF"/>
      <color rgb="FFFFFFCC"/>
      <color rgb="FFCCECFF"/>
      <color rgb="FFC8C8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149087</xdr:colOff>
      <xdr:row>48</xdr:row>
      <xdr:rowOff>240195</xdr:rowOff>
    </xdr:from>
    <xdr:to>
      <xdr:col>27</xdr:col>
      <xdr:colOff>0</xdr:colOff>
      <xdr:row>48</xdr:row>
      <xdr:rowOff>240195</xdr:rowOff>
    </xdr:to>
    <xdr:sp macro="" textlink="">
      <xdr:nvSpPr>
        <xdr:cNvPr id="3" name="Line 8"/>
        <xdr:cNvSpPr>
          <a:spLocks noChangeShapeType="1"/>
        </xdr:cNvSpPr>
      </xdr:nvSpPr>
      <xdr:spPr bwMode="auto">
        <a:xfrm>
          <a:off x="248478" y="11429999"/>
          <a:ext cx="7230718" cy="0"/>
        </a:xfrm>
        <a:prstGeom prst="line">
          <a:avLst/>
        </a:prstGeom>
        <a:noFill/>
        <a:ln w="57150" cmpd="thickThin">
          <a:solidFill>
            <a:srgbClr val="000000"/>
          </a:solidFill>
          <a:round/>
          <a:headEnd/>
          <a:tailEnd/>
        </a:ln>
      </xdr:spPr>
    </xdr:sp>
    <xdr:clientData/>
  </xdr:twoCellAnchor>
  <xdr:twoCellAnchor>
    <xdr:from>
      <xdr:col>2</xdr:col>
      <xdr:colOff>2366</xdr:colOff>
      <xdr:row>97</xdr:row>
      <xdr:rowOff>239485</xdr:rowOff>
    </xdr:from>
    <xdr:to>
      <xdr:col>27</xdr:col>
      <xdr:colOff>0</xdr:colOff>
      <xdr:row>97</xdr:row>
      <xdr:rowOff>239485</xdr:rowOff>
    </xdr:to>
    <xdr:sp macro="" textlink="">
      <xdr:nvSpPr>
        <xdr:cNvPr id="5" name="Line 8"/>
        <xdr:cNvSpPr>
          <a:spLocks noChangeShapeType="1"/>
        </xdr:cNvSpPr>
      </xdr:nvSpPr>
      <xdr:spPr bwMode="auto">
        <a:xfrm>
          <a:off x="263623" y="22767471"/>
          <a:ext cx="7176763" cy="0"/>
        </a:xfrm>
        <a:prstGeom prst="line">
          <a:avLst/>
        </a:prstGeom>
        <a:noFill/>
        <a:ln w="57150" cmpd="thickThin">
          <a:solidFill>
            <a:srgbClr val="000000"/>
          </a:solidFill>
          <a:round/>
          <a:headEnd/>
          <a:tailEnd/>
        </a:ln>
      </xdr:spPr>
    </xdr:sp>
    <xdr:clientData/>
  </xdr:twoCellAnchor>
  <xdr:twoCellAnchor>
    <xdr:from>
      <xdr:col>2</xdr:col>
      <xdr:colOff>1</xdr:colOff>
      <xdr:row>147</xdr:row>
      <xdr:rowOff>0</xdr:rowOff>
    </xdr:from>
    <xdr:to>
      <xdr:col>26</xdr:col>
      <xdr:colOff>277586</xdr:colOff>
      <xdr:row>147</xdr:row>
      <xdr:rowOff>0</xdr:rowOff>
    </xdr:to>
    <xdr:sp macro="" textlink="">
      <xdr:nvSpPr>
        <xdr:cNvPr id="8" name="Line 8"/>
        <xdr:cNvSpPr>
          <a:spLocks noChangeShapeType="1"/>
        </xdr:cNvSpPr>
      </xdr:nvSpPr>
      <xdr:spPr bwMode="auto">
        <a:xfrm>
          <a:off x="261258" y="34132157"/>
          <a:ext cx="7168242" cy="0"/>
        </a:xfrm>
        <a:prstGeom prst="line">
          <a:avLst/>
        </a:prstGeom>
        <a:noFill/>
        <a:ln w="57150" cmpd="thickThin">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747346</xdr:colOff>
      <xdr:row>870</xdr:row>
      <xdr:rowOff>73269</xdr:rowOff>
    </xdr:from>
    <xdr:to>
      <xdr:col>8</xdr:col>
      <xdr:colOff>1315120</xdr:colOff>
      <xdr:row>879</xdr:row>
      <xdr:rowOff>63744</xdr:rowOff>
    </xdr:to>
    <xdr:grpSp>
      <xdr:nvGrpSpPr>
        <xdr:cNvPr id="2" name="Group 11"/>
        <xdr:cNvGrpSpPr>
          <a:grpSpLocks/>
        </xdr:cNvGrpSpPr>
      </xdr:nvGrpSpPr>
      <xdr:grpSpPr bwMode="auto">
        <a:xfrm>
          <a:off x="1463363" y="132621855"/>
          <a:ext cx="3123102" cy="2059699"/>
          <a:chOff x="414" y="708"/>
          <a:chExt cx="282" cy="215"/>
        </a:xfrm>
      </xdr:grpSpPr>
      <xdr:sp macro="" textlink="">
        <xdr:nvSpPr>
          <xdr:cNvPr id="3" name="Line 12"/>
          <xdr:cNvSpPr>
            <a:spLocks noChangeShapeType="1"/>
          </xdr:cNvSpPr>
        </xdr:nvSpPr>
        <xdr:spPr bwMode="auto">
          <a:xfrm>
            <a:off x="424" y="724"/>
            <a:ext cx="62"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 name="Line 13"/>
          <xdr:cNvSpPr>
            <a:spLocks noChangeShapeType="1"/>
          </xdr:cNvSpPr>
        </xdr:nvSpPr>
        <xdr:spPr bwMode="auto">
          <a:xfrm>
            <a:off x="424" y="709"/>
            <a:ext cx="0" cy="17"/>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14"/>
          <xdr:cNvSpPr>
            <a:spLocks noChangeShapeType="1"/>
          </xdr:cNvSpPr>
        </xdr:nvSpPr>
        <xdr:spPr bwMode="auto">
          <a:xfrm>
            <a:off x="453" y="735"/>
            <a:ext cx="0" cy="149"/>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15"/>
          <xdr:cNvSpPr>
            <a:spLocks noChangeShapeType="1"/>
          </xdr:cNvSpPr>
        </xdr:nvSpPr>
        <xdr:spPr bwMode="auto">
          <a:xfrm>
            <a:off x="486" y="709"/>
            <a:ext cx="0" cy="16"/>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16"/>
          <xdr:cNvSpPr>
            <a:spLocks noChangeShapeType="1"/>
          </xdr:cNvSpPr>
        </xdr:nvSpPr>
        <xdr:spPr bwMode="auto">
          <a:xfrm>
            <a:off x="525" y="841"/>
            <a:ext cx="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 name="Line 17"/>
          <xdr:cNvSpPr>
            <a:spLocks noChangeShapeType="1"/>
          </xdr:cNvSpPr>
        </xdr:nvSpPr>
        <xdr:spPr bwMode="auto">
          <a:xfrm>
            <a:off x="490" y="841"/>
            <a:ext cx="2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 name="Line 18"/>
          <xdr:cNvSpPr>
            <a:spLocks noChangeShapeType="1"/>
          </xdr:cNvSpPr>
        </xdr:nvSpPr>
        <xdr:spPr bwMode="auto">
          <a:xfrm>
            <a:off x="453" y="841"/>
            <a:ext cx="2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0" name="Group 19"/>
          <xdr:cNvGrpSpPr>
            <a:grpSpLocks/>
          </xdr:cNvGrpSpPr>
        </xdr:nvGrpSpPr>
        <xdr:grpSpPr bwMode="auto">
          <a:xfrm>
            <a:off x="510" y="838"/>
            <a:ext cx="15" cy="10"/>
            <a:chOff x="521" y="755"/>
            <a:chExt cx="15" cy="10"/>
          </a:xfrm>
        </xdr:grpSpPr>
        <xdr:sp macro="" textlink="">
          <xdr:nvSpPr>
            <xdr:cNvPr id="97" name="Line 20"/>
            <xdr:cNvSpPr>
              <a:spLocks noChangeShapeType="1"/>
            </xdr:cNvSpPr>
          </xdr:nvSpPr>
          <xdr:spPr bwMode="auto">
            <a:xfrm>
              <a:off x="521" y="755"/>
              <a:ext cx="4" cy="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8" name="Line 21"/>
            <xdr:cNvSpPr>
              <a:spLocks noChangeShapeType="1"/>
            </xdr:cNvSpPr>
          </xdr:nvSpPr>
          <xdr:spPr bwMode="auto">
            <a:xfrm flipH="1">
              <a:off x="521" y="755"/>
              <a:ext cx="4" cy="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9" name="Line 22"/>
            <xdr:cNvSpPr>
              <a:spLocks noChangeShapeType="1"/>
            </xdr:cNvSpPr>
          </xdr:nvSpPr>
          <xdr:spPr bwMode="auto">
            <a:xfrm flipV="1">
              <a:off x="523" y="758"/>
              <a:ext cx="13" cy="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1" name="Group 23"/>
          <xdr:cNvGrpSpPr>
            <a:grpSpLocks/>
          </xdr:cNvGrpSpPr>
        </xdr:nvGrpSpPr>
        <xdr:grpSpPr bwMode="auto">
          <a:xfrm>
            <a:off x="510" y="823"/>
            <a:ext cx="15" cy="10"/>
            <a:chOff x="521" y="755"/>
            <a:chExt cx="15" cy="10"/>
          </a:xfrm>
        </xdr:grpSpPr>
        <xdr:sp macro="" textlink="">
          <xdr:nvSpPr>
            <xdr:cNvPr id="94" name="Line 24"/>
            <xdr:cNvSpPr>
              <a:spLocks noChangeShapeType="1"/>
            </xdr:cNvSpPr>
          </xdr:nvSpPr>
          <xdr:spPr bwMode="auto">
            <a:xfrm>
              <a:off x="521" y="755"/>
              <a:ext cx="4" cy="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 name="Line 25"/>
            <xdr:cNvSpPr>
              <a:spLocks noChangeShapeType="1"/>
            </xdr:cNvSpPr>
          </xdr:nvSpPr>
          <xdr:spPr bwMode="auto">
            <a:xfrm flipH="1">
              <a:off x="521" y="755"/>
              <a:ext cx="4" cy="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6" name="Line 26"/>
            <xdr:cNvSpPr>
              <a:spLocks noChangeShapeType="1"/>
            </xdr:cNvSpPr>
          </xdr:nvSpPr>
          <xdr:spPr bwMode="auto">
            <a:xfrm flipV="1">
              <a:off x="523" y="758"/>
              <a:ext cx="13" cy="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2" name="Line 27"/>
          <xdr:cNvSpPr>
            <a:spLocks noChangeShapeType="1"/>
          </xdr:cNvSpPr>
        </xdr:nvSpPr>
        <xdr:spPr bwMode="auto">
          <a:xfrm>
            <a:off x="486" y="826"/>
            <a:ext cx="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 name="Line 28"/>
          <xdr:cNvSpPr>
            <a:spLocks noChangeShapeType="1"/>
          </xdr:cNvSpPr>
        </xdr:nvSpPr>
        <xdr:spPr bwMode="auto">
          <a:xfrm>
            <a:off x="525" y="826"/>
            <a:ext cx="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Line 29"/>
          <xdr:cNvSpPr>
            <a:spLocks noChangeShapeType="1"/>
          </xdr:cNvSpPr>
        </xdr:nvSpPr>
        <xdr:spPr bwMode="auto">
          <a:xfrm>
            <a:off x="564" y="826"/>
            <a:ext cx="0" cy="15"/>
          </a:xfrm>
          <a:prstGeom prst="line">
            <a:avLst/>
          </a:prstGeom>
          <a:noFill/>
          <a:ln w="285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 name="Line 30"/>
          <xdr:cNvSpPr>
            <a:spLocks noChangeShapeType="1"/>
          </xdr:cNvSpPr>
        </xdr:nvSpPr>
        <xdr:spPr bwMode="auto">
          <a:xfrm>
            <a:off x="525" y="779"/>
            <a:ext cx="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 name="Line 31"/>
          <xdr:cNvSpPr>
            <a:spLocks noChangeShapeType="1"/>
          </xdr:cNvSpPr>
        </xdr:nvSpPr>
        <xdr:spPr bwMode="auto">
          <a:xfrm>
            <a:off x="490" y="779"/>
            <a:ext cx="2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 name="Line 32"/>
          <xdr:cNvSpPr>
            <a:spLocks noChangeShapeType="1"/>
          </xdr:cNvSpPr>
        </xdr:nvSpPr>
        <xdr:spPr bwMode="auto">
          <a:xfrm>
            <a:off x="453" y="779"/>
            <a:ext cx="2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8" name="Group 33"/>
          <xdr:cNvGrpSpPr>
            <a:grpSpLocks/>
          </xdr:cNvGrpSpPr>
        </xdr:nvGrpSpPr>
        <xdr:grpSpPr bwMode="auto">
          <a:xfrm>
            <a:off x="510" y="776"/>
            <a:ext cx="15" cy="10"/>
            <a:chOff x="521" y="755"/>
            <a:chExt cx="15" cy="10"/>
          </a:xfrm>
        </xdr:grpSpPr>
        <xdr:sp macro="" textlink="">
          <xdr:nvSpPr>
            <xdr:cNvPr id="91" name="Line 34"/>
            <xdr:cNvSpPr>
              <a:spLocks noChangeShapeType="1"/>
            </xdr:cNvSpPr>
          </xdr:nvSpPr>
          <xdr:spPr bwMode="auto">
            <a:xfrm>
              <a:off x="521" y="755"/>
              <a:ext cx="4" cy="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2" name="Line 35"/>
            <xdr:cNvSpPr>
              <a:spLocks noChangeShapeType="1"/>
            </xdr:cNvSpPr>
          </xdr:nvSpPr>
          <xdr:spPr bwMode="auto">
            <a:xfrm flipH="1">
              <a:off x="521" y="755"/>
              <a:ext cx="4" cy="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3" name="Line 36"/>
            <xdr:cNvSpPr>
              <a:spLocks noChangeShapeType="1"/>
            </xdr:cNvSpPr>
          </xdr:nvSpPr>
          <xdr:spPr bwMode="auto">
            <a:xfrm flipV="1">
              <a:off x="523" y="758"/>
              <a:ext cx="13" cy="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 name="Group 37"/>
          <xdr:cNvGrpSpPr>
            <a:grpSpLocks/>
          </xdr:cNvGrpSpPr>
        </xdr:nvGrpSpPr>
        <xdr:grpSpPr bwMode="auto">
          <a:xfrm>
            <a:off x="510" y="761"/>
            <a:ext cx="15" cy="10"/>
            <a:chOff x="521" y="755"/>
            <a:chExt cx="15" cy="10"/>
          </a:xfrm>
        </xdr:grpSpPr>
        <xdr:sp macro="" textlink="">
          <xdr:nvSpPr>
            <xdr:cNvPr id="88" name="Line 38"/>
            <xdr:cNvSpPr>
              <a:spLocks noChangeShapeType="1"/>
            </xdr:cNvSpPr>
          </xdr:nvSpPr>
          <xdr:spPr bwMode="auto">
            <a:xfrm>
              <a:off x="521" y="755"/>
              <a:ext cx="4" cy="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9" name="Line 39"/>
            <xdr:cNvSpPr>
              <a:spLocks noChangeShapeType="1"/>
            </xdr:cNvSpPr>
          </xdr:nvSpPr>
          <xdr:spPr bwMode="auto">
            <a:xfrm flipH="1">
              <a:off x="521" y="755"/>
              <a:ext cx="4" cy="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0" name="Line 40"/>
            <xdr:cNvSpPr>
              <a:spLocks noChangeShapeType="1"/>
            </xdr:cNvSpPr>
          </xdr:nvSpPr>
          <xdr:spPr bwMode="auto">
            <a:xfrm flipV="1">
              <a:off x="523" y="758"/>
              <a:ext cx="13" cy="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20" name="Line 41"/>
          <xdr:cNvSpPr>
            <a:spLocks noChangeShapeType="1"/>
          </xdr:cNvSpPr>
        </xdr:nvSpPr>
        <xdr:spPr bwMode="auto">
          <a:xfrm>
            <a:off x="486" y="764"/>
            <a:ext cx="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 name="Line 42"/>
          <xdr:cNvSpPr>
            <a:spLocks noChangeShapeType="1"/>
          </xdr:cNvSpPr>
        </xdr:nvSpPr>
        <xdr:spPr bwMode="auto">
          <a:xfrm>
            <a:off x="525" y="764"/>
            <a:ext cx="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 name="Line 43"/>
          <xdr:cNvSpPr>
            <a:spLocks noChangeShapeType="1"/>
          </xdr:cNvSpPr>
        </xdr:nvSpPr>
        <xdr:spPr bwMode="auto">
          <a:xfrm>
            <a:off x="564" y="764"/>
            <a:ext cx="0" cy="15"/>
          </a:xfrm>
          <a:prstGeom prst="line">
            <a:avLst/>
          </a:prstGeom>
          <a:noFill/>
          <a:ln w="285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3" name="Oval 44"/>
          <xdr:cNvSpPr>
            <a:spLocks noChangeArrowheads="1"/>
          </xdr:cNvSpPr>
        </xdr:nvSpPr>
        <xdr:spPr bwMode="auto">
          <a:xfrm>
            <a:off x="550" y="820"/>
            <a:ext cx="28" cy="27"/>
          </a:xfrm>
          <a:prstGeom prst="ellips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 name="Oval 45"/>
          <xdr:cNvSpPr>
            <a:spLocks noChangeArrowheads="1"/>
          </xdr:cNvSpPr>
        </xdr:nvSpPr>
        <xdr:spPr bwMode="auto">
          <a:xfrm>
            <a:off x="550" y="758"/>
            <a:ext cx="28" cy="27"/>
          </a:xfrm>
          <a:prstGeom prst="ellips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Line 46"/>
          <xdr:cNvSpPr>
            <a:spLocks noChangeShapeType="1"/>
          </xdr:cNvSpPr>
        </xdr:nvSpPr>
        <xdr:spPr bwMode="auto">
          <a:xfrm flipV="1">
            <a:off x="572" y="814"/>
            <a:ext cx="8" cy="8"/>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sp macro="" textlink="">
        <xdr:nvSpPr>
          <xdr:cNvPr id="26" name="Line 47"/>
          <xdr:cNvSpPr>
            <a:spLocks noChangeShapeType="1"/>
          </xdr:cNvSpPr>
        </xdr:nvSpPr>
        <xdr:spPr bwMode="auto">
          <a:xfrm>
            <a:off x="611" y="814"/>
            <a:ext cx="40" cy="0"/>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sp macro="" textlink="">
        <xdr:nvSpPr>
          <xdr:cNvPr id="27" name="Line 48"/>
          <xdr:cNvSpPr>
            <a:spLocks noChangeShapeType="1"/>
          </xdr:cNvSpPr>
        </xdr:nvSpPr>
        <xdr:spPr bwMode="auto">
          <a:xfrm flipV="1">
            <a:off x="572" y="752"/>
            <a:ext cx="8" cy="8"/>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sp macro="" textlink="">
        <xdr:nvSpPr>
          <xdr:cNvPr id="28" name="Line 49"/>
          <xdr:cNvSpPr>
            <a:spLocks noChangeShapeType="1"/>
          </xdr:cNvSpPr>
        </xdr:nvSpPr>
        <xdr:spPr bwMode="auto">
          <a:xfrm>
            <a:off x="580" y="752"/>
            <a:ext cx="25" cy="0"/>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sp macro="" textlink="">
        <xdr:nvSpPr>
          <xdr:cNvPr id="29" name="Line 50"/>
          <xdr:cNvSpPr>
            <a:spLocks noChangeShapeType="1"/>
          </xdr:cNvSpPr>
        </xdr:nvSpPr>
        <xdr:spPr bwMode="auto">
          <a:xfrm>
            <a:off x="651" y="721"/>
            <a:ext cx="0" cy="163"/>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a:ln>
          <a:extLst>
            <a:ext uri="{909E8E84-426E-40DD-AFC4-6F175D3DCCD1}">
              <a14:hiddenFill xmlns:a14="http://schemas.microsoft.com/office/drawing/2010/main">
                <a:noFill/>
              </a14:hiddenFill>
            </a:ext>
          </a:extLst>
        </xdr:spPr>
      </xdr:sp>
      <xdr:sp macro="" textlink="">
        <xdr:nvSpPr>
          <xdr:cNvPr id="30" name="Line 51"/>
          <xdr:cNvSpPr>
            <a:spLocks noChangeShapeType="1"/>
          </xdr:cNvSpPr>
        </xdr:nvSpPr>
        <xdr:spPr bwMode="auto">
          <a:xfrm>
            <a:off x="650" y="902"/>
            <a:ext cx="0" cy="12"/>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a:ln>
          <a:extLst>
            <a:ext uri="{909E8E84-426E-40DD-AFC4-6F175D3DCCD1}">
              <a14:hiddenFill xmlns:a14="http://schemas.microsoft.com/office/drawing/2010/main">
                <a:noFill/>
              </a14:hiddenFill>
            </a:ext>
          </a:extLst>
        </xdr:spPr>
      </xdr:sp>
      <xdr:sp macro="" textlink="">
        <xdr:nvSpPr>
          <xdr:cNvPr id="31" name="Line 52"/>
          <xdr:cNvSpPr>
            <a:spLocks noChangeShapeType="1"/>
          </xdr:cNvSpPr>
        </xdr:nvSpPr>
        <xdr:spPr bwMode="auto">
          <a:xfrm>
            <a:off x="580" y="814"/>
            <a:ext cx="19" cy="0"/>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sp macro="" textlink="">
        <xdr:nvSpPr>
          <xdr:cNvPr id="32" name="Line 53"/>
          <xdr:cNvSpPr>
            <a:spLocks noChangeShapeType="1"/>
          </xdr:cNvSpPr>
        </xdr:nvSpPr>
        <xdr:spPr bwMode="auto">
          <a:xfrm>
            <a:off x="605" y="720"/>
            <a:ext cx="0" cy="163"/>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a:ln>
          <a:extLst>
            <a:ext uri="{909E8E84-426E-40DD-AFC4-6F175D3DCCD1}">
              <a14:hiddenFill xmlns:a14="http://schemas.microsoft.com/office/drawing/2010/main">
                <a:noFill/>
              </a14:hiddenFill>
            </a:ext>
          </a:extLst>
        </xdr:spPr>
      </xdr:sp>
      <xdr:sp macro="" textlink="">
        <xdr:nvSpPr>
          <xdr:cNvPr id="33" name="Line 54"/>
          <xdr:cNvSpPr>
            <a:spLocks noChangeShapeType="1"/>
          </xdr:cNvSpPr>
        </xdr:nvSpPr>
        <xdr:spPr bwMode="auto">
          <a:xfrm>
            <a:off x="453" y="902"/>
            <a:ext cx="0" cy="11"/>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34" name="Group 55"/>
          <xdr:cNvGrpSpPr>
            <a:grpSpLocks/>
          </xdr:cNvGrpSpPr>
        </xdr:nvGrpSpPr>
        <xdr:grpSpPr bwMode="auto">
          <a:xfrm>
            <a:off x="446" y="884"/>
            <a:ext cx="13" cy="18"/>
            <a:chOff x="624" y="910"/>
            <a:chExt cx="13" cy="18"/>
          </a:xfrm>
        </xdr:grpSpPr>
        <xdr:sp macro="" textlink="">
          <xdr:nvSpPr>
            <xdr:cNvPr id="81" name="Line 56"/>
            <xdr:cNvSpPr>
              <a:spLocks noChangeShapeType="1"/>
            </xdr:cNvSpPr>
          </xdr:nvSpPr>
          <xdr:spPr bwMode="auto">
            <a:xfrm>
              <a:off x="624" y="924"/>
              <a:ext cx="1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2" name="Line 57"/>
            <xdr:cNvSpPr>
              <a:spLocks noChangeShapeType="1"/>
            </xdr:cNvSpPr>
          </xdr:nvSpPr>
          <xdr:spPr bwMode="auto">
            <a:xfrm flipH="1">
              <a:off x="624" y="910"/>
              <a:ext cx="7"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3" name="Line 58"/>
            <xdr:cNvSpPr>
              <a:spLocks noChangeShapeType="1"/>
            </xdr:cNvSpPr>
          </xdr:nvSpPr>
          <xdr:spPr bwMode="auto">
            <a:xfrm flipH="1">
              <a:off x="631" y="926"/>
              <a:ext cx="6"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4" name="Line 59"/>
            <xdr:cNvSpPr>
              <a:spLocks noChangeShapeType="1"/>
            </xdr:cNvSpPr>
          </xdr:nvSpPr>
          <xdr:spPr bwMode="auto">
            <a:xfrm>
              <a:off x="624" y="912"/>
              <a:ext cx="1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5" name="Line 60"/>
            <xdr:cNvSpPr>
              <a:spLocks noChangeShapeType="1"/>
            </xdr:cNvSpPr>
          </xdr:nvSpPr>
          <xdr:spPr bwMode="auto">
            <a:xfrm>
              <a:off x="624" y="918"/>
              <a:ext cx="1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6" name="Line 61"/>
            <xdr:cNvSpPr>
              <a:spLocks noChangeShapeType="1"/>
            </xdr:cNvSpPr>
          </xdr:nvSpPr>
          <xdr:spPr bwMode="auto">
            <a:xfrm flipH="1">
              <a:off x="624" y="914"/>
              <a:ext cx="13"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7" name="Line 62"/>
            <xdr:cNvSpPr>
              <a:spLocks noChangeShapeType="1"/>
            </xdr:cNvSpPr>
          </xdr:nvSpPr>
          <xdr:spPr bwMode="auto">
            <a:xfrm flipH="1">
              <a:off x="624" y="920"/>
              <a:ext cx="13"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35" name="Line 63"/>
          <xdr:cNvSpPr>
            <a:spLocks noChangeShapeType="1"/>
          </xdr:cNvSpPr>
        </xdr:nvSpPr>
        <xdr:spPr bwMode="auto">
          <a:xfrm>
            <a:off x="605" y="902"/>
            <a:ext cx="0" cy="13"/>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a:ln>
          <a:extLst>
            <a:ext uri="{909E8E84-426E-40DD-AFC4-6F175D3DCCD1}">
              <a14:hiddenFill xmlns:a14="http://schemas.microsoft.com/office/drawing/2010/main">
                <a:noFill/>
              </a14:hiddenFill>
            </a:ext>
          </a:extLst>
        </xdr:spPr>
      </xdr:sp>
      <xdr:sp macro="" textlink="">
        <xdr:nvSpPr>
          <xdr:cNvPr id="36" name="Line 64"/>
          <xdr:cNvSpPr>
            <a:spLocks noChangeShapeType="1"/>
          </xdr:cNvSpPr>
        </xdr:nvSpPr>
        <xdr:spPr bwMode="auto">
          <a:xfrm>
            <a:off x="598" y="898"/>
            <a:ext cx="1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7" name="Line 65"/>
          <xdr:cNvSpPr>
            <a:spLocks noChangeShapeType="1"/>
          </xdr:cNvSpPr>
        </xdr:nvSpPr>
        <xdr:spPr bwMode="auto">
          <a:xfrm flipH="1">
            <a:off x="598" y="884"/>
            <a:ext cx="7"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8" name="Line 66"/>
          <xdr:cNvSpPr>
            <a:spLocks noChangeShapeType="1"/>
          </xdr:cNvSpPr>
        </xdr:nvSpPr>
        <xdr:spPr bwMode="auto">
          <a:xfrm flipH="1">
            <a:off x="605" y="900"/>
            <a:ext cx="6"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9" name="Line 67"/>
          <xdr:cNvSpPr>
            <a:spLocks noChangeShapeType="1"/>
          </xdr:cNvSpPr>
        </xdr:nvSpPr>
        <xdr:spPr bwMode="auto">
          <a:xfrm>
            <a:off x="598" y="886"/>
            <a:ext cx="1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0" name="Line 68"/>
          <xdr:cNvSpPr>
            <a:spLocks noChangeShapeType="1"/>
          </xdr:cNvSpPr>
        </xdr:nvSpPr>
        <xdr:spPr bwMode="auto">
          <a:xfrm>
            <a:off x="598" y="892"/>
            <a:ext cx="1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1" name="Line 69"/>
          <xdr:cNvSpPr>
            <a:spLocks noChangeShapeType="1"/>
          </xdr:cNvSpPr>
        </xdr:nvSpPr>
        <xdr:spPr bwMode="auto">
          <a:xfrm flipH="1">
            <a:off x="598" y="888"/>
            <a:ext cx="13"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2" name="Line 70"/>
          <xdr:cNvSpPr>
            <a:spLocks noChangeShapeType="1"/>
          </xdr:cNvSpPr>
        </xdr:nvSpPr>
        <xdr:spPr bwMode="auto">
          <a:xfrm flipH="1">
            <a:off x="598" y="894"/>
            <a:ext cx="13"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3" name="Line 71"/>
          <xdr:cNvSpPr>
            <a:spLocks noChangeShapeType="1"/>
          </xdr:cNvSpPr>
        </xdr:nvSpPr>
        <xdr:spPr bwMode="auto">
          <a:xfrm>
            <a:off x="446" y="913"/>
            <a:ext cx="227"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4" name="Text Box 72"/>
          <xdr:cNvSpPr txBox="1">
            <a:spLocks noChangeArrowheads="1"/>
          </xdr:cNvSpPr>
        </xdr:nvSpPr>
        <xdr:spPr bwMode="auto">
          <a:xfrm>
            <a:off x="649" y="840"/>
            <a:ext cx="39"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↓Ｉ</a:t>
            </a:r>
            <a:r>
              <a:rPr lang="ja-JP" altLang="en-US" sz="700" b="0" i="0" u="none" strike="noStrike" baseline="0">
                <a:solidFill>
                  <a:srgbClr val="000000"/>
                </a:solidFill>
                <a:latin typeface="ＭＳ Ｐゴシック"/>
                <a:ea typeface="ＭＳ Ｐゴシック"/>
              </a:rPr>
              <a:t>g2,4</a:t>
            </a:r>
          </a:p>
        </xdr:txBody>
      </xdr:sp>
      <xdr:sp macro="" textlink="">
        <xdr:nvSpPr>
          <xdr:cNvPr id="45" name="Text Box 73"/>
          <xdr:cNvSpPr txBox="1">
            <a:spLocks noChangeArrowheads="1"/>
          </xdr:cNvSpPr>
        </xdr:nvSpPr>
        <xdr:spPr bwMode="auto">
          <a:xfrm>
            <a:off x="659" y="892"/>
            <a:ext cx="34"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8.5</a:t>
            </a:r>
            <a:r>
              <a:rPr lang="ja-JP" altLang="en-US" sz="800" b="0" i="0" u="none" strike="noStrike" baseline="0">
                <a:solidFill>
                  <a:srgbClr val="000000"/>
                </a:solidFill>
                <a:latin typeface="ＭＳ ゴシック"/>
                <a:ea typeface="ＭＳ ゴシック"/>
              </a:rPr>
              <a:t>Ω</a:t>
            </a:r>
          </a:p>
        </xdr:txBody>
      </xdr:sp>
      <xdr:sp macro="" textlink="">
        <xdr:nvSpPr>
          <xdr:cNvPr id="46" name="Text Box 74"/>
          <xdr:cNvSpPr txBox="1">
            <a:spLocks noChangeArrowheads="1"/>
          </xdr:cNvSpPr>
        </xdr:nvSpPr>
        <xdr:spPr bwMode="auto">
          <a:xfrm>
            <a:off x="657" y="879"/>
            <a:ext cx="39"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Ｅ</a:t>
            </a:r>
            <a:r>
              <a:rPr lang="ja-JP" altLang="en-US" sz="700" b="0" i="0" u="none" strike="noStrike" baseline="0">
                <a:solidFill>
                  <a:srgbClr val="000000"/>
                </a:solidFill>
                <a:latin typeface="ＭＳ Ｐゴシック"/>
                <a:ea typeface="ＭＳ Ｐゴシック"/>
              </a:rPr>
              <a:t>DELB</a:t>
            </a:r>
          </a:p>
        </xdr:txBody>
      </xdr:sp>
      <xdr:sp macro="" textlink="">
        <xdr:nvSpPr>
          <xdr:cNvPr id="47" name="Text Box 75"/>
          <xdr:cNvSpPr txBox="1">
            <a:spLocks noChangeArrowheads="1"/>
          </xdr:cNvSpPr>
        </xdr:nvSpPr>
        <xdr:spPr bwMode="auto">
          <a:xfrm>
            <a:off x="455" y="738"/>
            <a:ext cx="32"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100</a:t>
            </a:r>
            <a:r>
              <a:rPr lang="ja-JP" altLang="en-US" sz="800" b="0" i="0" u="none" strike="noStrike" baseline="0">
                <a:solidFill>
                  <a:srgbClr val="000000"/>
                </a:solidFill>
                <a:latin typeface="ＭＳ ゴシック"/>
                <a:ea typeface="ＭＳ ゴシック"/>
              </a:rPr>
              <a:t>V</a:t>
            </a:r>
          </a:p>
        </xdr:txBody>
      </xdr:sp>
      <xdr:sp macro="" textlink="">
        <xdr:nvSpPr>
          <xdr:cNvPr id="48" name="Text Box 76"/>
          <xdr:cNvSpPr txBox="1">
            <a:spLocks noChangeArrowheads="1"/>
          </xdr:cNvSpPr>
        </xdr:nvSpPr>
        <xdr:spPr bwMode="auto">
          <a:xfrm>
            <a:off x="611" y="879"/>
            <a:ext cx="33"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Ｅ</a:t>
            </a:r>
            <a:r>
              <a:rPr lang="ja-JP" altLang="en-US" sz="700" b="0" i="0" u="none" strike="noStrike" baseline="0">
                <a:solidFill>
                  <a:srgbClr val="000000"/>
                </a:solidFill>
                <a:latin typeface="ＭＳ Ｐゴシック"/>
                <a:ea typeface="ＭＳ Ｐゴシック"/>
              </a:rPr>
              <a:t>A･D</a:t>
            </a:r>
          </a:p>
        </xdr:txBody>
      </xdr:sp>
      <xdr:sp macro="" textlink="">
        <xdr:nvSpPr>
          <xdr:cNvPr id="49" name="Text Box 77"/>
          <xdr:cNvSpPr txBox="1">
            <a:spLocks noChangeArrowheads="1"/>
          </xdr:cNvSpPr>
        </xdr:nvSpPr>
        <xdr:spPr bwMode="auto">
          <a:xfrm>
            <a:off x="565" y="799"/>
            <a:ext cx="31"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E</a:t>
            </a:r>
            <a:r>
              <a:rPr lang="ja-JP" altLang="en-US" sz="700" b="0" i="0" u="none" strike="noStrike" baseline="0">
                <a:solidFill>
                  <a:srgbClr val="000000"/>
                </a:solidFill>
                <a:latin typeface="ＭＳ Ｐゴシック"/>
                <a:ea typeface="ＭＳ Ｐゴシック"/>
              </a:rPr>
              <a:t>g2,4</a:t>
            </a:r>
          </a:p>
        </xdr:txBody>
      </xdr:sp>
      <xdr:sp macro="" textlink="">
        <xdr:nvSpPr>
          <xdr:cNvPr id="50" name="Text Box 78"/>
          <xdr:cNvSpPr txBox="1">
            <a:spLocks noChangeArrowheads="1"/>
          </xdr:cNvSpPr>
        </xdr:nvSpPr>
        <xdr:spPr bwMode="auto">
          <a:xfrm>
            <a:off x="565" y="736"/>
            <a:ext cx="31"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E</a:t>
            </a:r>
            <a:r>
              <a:rPr lang="ja-JP" altLang="en-US" sz="700" b="0" i="0" u="none" strike="noStrike" baseline="0">
                <a:solidFill>
                  <a:srgbClr val="000000"/>
                </a:solidFill>
                <a:latin typeface="ＭＳ Ｐゴシック"/>
                <a:ea typeface="ＭＳ Ｐゴシック"/>
              </a:rPr>
              <a:t>g1,3</a:t>
            </a:r>
          </a:p>
        </xdr:txBody>
      </xdr:sp>
      <xdr:sp macro="" textlink="">
        <xdr:nvSpPr>
          <xdr:cNvPr id="51" name="Line 79"/>
          <xdr:cNvSpPr>
            <a:spLocks noChangeShapeType="1"/>
          </xdr:cNvSpPr>
        </xdr:nvSpPr>
        <xdr:spPr bwMode="auto">
          <a:xfrm>
            <a:off x="534" y="817"/>
            <a:ext cx="4" cy="3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2" name="Line 80"/>
          <xdr:cNvSpPr>
            <a:spLocks noChangeShapeType="1"/>
          </xdr:cNvSpPr>
        </xdr:nvSpPr>
        <xdr:spPr bwMode="auto">
          <a:xfrm flipV="1">
            <a:off x="538" y="817"/>
            <a:ext cx="4" cy="3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3" name="Line 81"/>
          <xdr:cNvSpPr>
            <a:spLocks noChangeShapeType="1"/>
          </xdr:cNvSpPr>
        </xdr:nvSpPr>
        <xdr:spPr bwMode="auto">
          <a:xfrm>
            <a:off x="526" y="817"/>
            <a:ext cx="4" cy="3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4" name="Line 82"/>
          <xdr:cNvSpPr>
            <a:spLocks noChangeShapeType="1"/>
          </xdr:cNvSpPr>
        </xdr:nvSpPr>
        <xdr:spPr bwMode="auto">
          <a:xfrm flipV="1">
            <a:off x="530" y="817"/>
            <a:ext cx="4" cy="3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5" name="Line 83"/>
          <xdr:cNvSpPr>
            <a:spLocks noChangeShapeType="1"/>
          </xdr:cNvSpPr>
        </xdr:nvSpPr>
        <xdr:spPr bwMode="auto">
          <a:xfrm>
            <a:off x="524" y="846"/>
            <a:ext cx="21"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6" name="Line 84"/>
          <xdr:cNvSpPr>
            <a:spLocks noChangeShapeType="1"/>
          </xdr:cNvSpPr>
        </xdr:nvSpPr>
        <xdr:spPr bwMode="auto">
          <a:xfrm>
            <a:off x="524" y="822"/>
            <a:ext cx="21"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7" name="Line 85"/>
          <xdr:cNvSpPr>
            <a:spLocks noChangeShapeType="1"/>
          </xdr:cNvSpPr>
        </xdr:nvSpPr>
        <xdr:spPr bwMode="auto">
          <a:xfrm flipV="1">
            <a:off x="526" y="811"/>
            <a:ext cx="0" cy="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8" name="Line 86"/>
          <xdr:cNvSpPr>
            <a:spLocks noChangeShapeType="1"/>
          </xdr:cNvSpPr>
        </xdr:nvSpPr>
        <xdr:spPr bwMode="auto">
          <a:xfrm flipH="1">
            <a:off x="517" y="811"/>
            <a:ext cx="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9" name="Line 87"/>
          <xdr:cNvSpPr>
            <a:spLocks noChangeShapeType="1"/>
          </xdr:cNvSpPr>
        </xdr:nvSpPr>
        <xdr:spPr bwMode="auto">
          <a:xfrm>
            <a:off x="517" y="811"/>
            <a:ext cx="0" cy="1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0" name="Text Box 88"/>
          <xdr:cNvSpPr txBox="1">
            <a:spLocks noChangeArrowheads="1"/>
          </xdr:cNvSpPr>
        </xdr:nvSpPr>
        <xdr:spPr bwMode="auto">
          <a:xfrm>
            <a:off x="462" y="892"/>
            <a:ext cx="32"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ゴシック"/>
                <a:ea typeface="ＭＳ ゴシック"/>
              </a:rPr>
              <a:t>16Ω</a:t>
            </a:r>
          </a:p>
        </xdr:txBody>
      </xdr:sp>
      <xdr:sp macro="" textlink="">
        <xdr:nvSpPr>
          <xdr:cNvPr id="61" name="Text Box 89"/>
          <xdr:cNvSpPr txBox="1">
            <a:spLocks noChangeArrowheads="1"/>
          </xdr:cNvSpPr>
        </xdr:nvSpPr>
        <xdr:spPr bwMode="auto">
          <a:xfrm>
            <a:off x="506" y="850"/>
            <a:ext cx="34"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ELCB</a:t>
            </a:r>
          </a:p>
        </xdr:txBody>
      </xdr:sp>
      <xdr:sp macro="" textlink="">
        <xdr:nvSpPr>
          <xdr:cNvPr id="62" name="Line 90"/>
          <xdr:cNvSpPr>
            <a:spLocks noChangeShapeType="1"/>
          </xdr:cNvSpPr>
        </xdr:nvSpPr>
        <xdr:spPr bwMode="auto">
          <a:xfrm>
            <a:off x="419" y="729"/>
            <a:ext cx="7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3" name="Line 91"/>
          <xdr:cNvSpPr>
            <a:spLocks noChangeShapeType="1"/>
          </xdr:cNvSpPr>
        </xdr:nvSpPr>
        <xdr:spPr bwMode="auto">
          <a:xfrm>
            <a:off x="419" y="732"/>
            <a:ext cx="7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4" name="Line 92"/>
          <xdr:cNvSpPr>
            <a:spLocks noChangeShapeType="1"/>
          </xdr:cNvSpPr>
        </xdr:nvSpPr>
        <xdr:spPr bwMode="auto">
          <a:xfrm>
            <a:off x="424" y="737"/>
            <a:ext cx="62"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5" name="Line 93"/>
          <xdr:cNvSpPr>
            <a:spLocks noChangeShapeType="1"/>
          </xdr:cNvSpPr>
        </xdr:nvSpPr>
        <xdr:spPr bwMode="auto">
          <a:xfrm>
            <a:off x="424" y="735"/>
            <a:ext cx="0" cy="4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6" name="Line 94"/>
          <xdr:cNvSpPr>
            <a:spLocks noChangeShapeType="1"/>
          </xdr:cNvSpPr>
        </xdr:nvSpPr>
        <xdr:spPr bwMode="auto">
          <a:xfrm>
            <a:off x="486" y="735"/>
            <a:ext cx="0" cy="13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7" name="Text Box 95"/>
          <xdr:cNvSpPr txBox="1">
            <a:spLocks noChangeArrowheads="1"/>
          </xdr:cNvSpPr>
        </xdr:nvSpPr>
        <xdr:spPr bwMode="auto">
          <a:xfrm>
            <a:off x="424" y="738"/>
            <a:ext cx="32"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100</a:t>
            </a:r>
            <a:r>
              <a:rPr lang="ja-JP" altLang="en-US" sz="800" b="0" i="0" u="none" strike="noStrike" baseline="0">
                <a:solidFill>
                  <a:srgbClr val="000000"/>
                </a:solidFill>
                <a:latin typeface="ＭＳ ゴシック"/>
                <a:ea typeface="ＭＳ ゴシック"/>
              </a:rPr>
              <a:t>V</a:t>
            </a:r>
          </a:p>
        </xdr:txBody>
      </xdr:sp>
      <xdr:sp macro="" textlink="">
        <xdr:nvSpPr>
          <xdr:cNvPr id="68" name="Line 96"/>
          <xdr:cNvSpPr>
            <a:spLocks noChangeShapeType="1"/>
          </xdr:cNvSpPr>
        </xdr:nvSpPr>
        <xdr:spPr bwMode="auto">
          <a:xfrm>
            <a:off x="643" y="898"/>
            <a:ext cx="1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9" name="Line 97"/>
          <xdr:cNvSpPr>
            <a:spLocks noChangeShapeType="1"/>
          </xdr:cNvSpPr>
        </xdr:nvSpPr>
        <xdr:spPr bwMode="auto">
          <a:xfrm flipH="1">
            <a:off x="643" y="884"/>
            <a:ext cx="7"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0" name="Line 98"/>
          <xdr:cNvSpPr>
            <a:spLocks noChangeShapeType="1"/>
          </xdr:cNvSpPr>
        </xdr:nvSpPr>
        <xdr:spPr bwMode="auto">
          <a:xfrm flipH="1">
            <a:off x="650" y="900"/>
            <a:ext cx="6"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1" name="Line 99"/>
          <xdr:cNvSpPr>
            <a:spLocks noChangeShapeType="1"/>
          </xdr:cNvSpPr>
        </xdr:nvSpPr>
        <xdr:spPr bwMode="auto">
          <a:xfrm>
            <a:off x="643" y="886"/>
            <a:ext cx="1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2" name="Line 100"/>
          <xdr:cNvSpPr>
            <a:spLocks noChangeShapeType="1"/>
          </xdr:cNvSpPr>
        </xdr:nvSpPr>
        <xdr:spPr bwMode="auto">
          <a:xfrm>
            <a:off x="643" y="892"/>
            <a:ext cx="13"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3" name="Line 101"/>
          <xdr:cNvSpPr>
            <a:spLocks noChangeShapeType="1"/>
          </xdr:cNvSpPr>
        </xdr:nvSpPr>
        <xdr:spPr bwMode="auto">
          <a:xfrm flipH="1">
            <a:off x="643" y="888"/>
            <a:ext cx="13"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4" name="Line 102"/>
          <xdr:cNvSpPr>
            <a:spLocks noChangeShapeType="1"/>
          </xdr:cNvSpPr>
        </xdr:nvSpPr>
        <xdr:spPr bwMode="auto">
          <a:xfrm flipH="1">
            <a:off x="643" y="894"/>
            <a:ext cx="13"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5" name="Text Box 103"/>
          <xdr:cNvSpPr txBox="1">
            <a:spLocks noChangeArrowheads="1"/>
          </xdr:cNvSpPr>
        </xdr:nvSpPr>
        <xdr:spPr bwMode="auto">
          <a:xfrm>
            <a:off x="612" y="892"/>
            <a:ext cx="34"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1.7</a:t>
            </a:r>
            <a:r>
              <a:rPr lang="ja-JP" altLang="en-US" sz="800" b="0" i="0" u="none" strike="noStrike" baseline="0">
                <a:solidFill>
                  <a:srgbClr val="000000"/>
                </a:solidFill>
                <a:latin typeface="ＭＳ ゴシック"/>
                <a:ea typeface="ＭＳ ゴシック"/>
              </a:rPr>
              <a:t>Ω</a:t>
            </a:r>
          </a:p>
        </xdr:txBody>
      </xdr:sp>
      <xdr:sp macro="" textlink="">
        <xdr:nvSpPr>
          <xdr:cNvPr id="76" name="Text Box 104"/>
          <xdr:cNvSpPr txBox="1">
            <a:spLocks noChangeArrowheads="1"/>
          </xdr:cNvSpPr>
        </xdr:nvSpPr>
        <xdr:spPr bwMode="auto">
          <a:xfrm>
            <a:off x="414" y="905"/>
            <a:ext cx="3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Earth</a:t>
            </a:r>
          </a:p>
        </xdr:txBody>
      </xdr:sp>
      <xdr:sp macro="" textlink="">
        <xdr:nvSpPr>
          <xdr:cNvPr id="77" name="Text Box 105"/>
          <xdr:cNvSpPr txBox="1">
            <a:spLocks noChangeArrowheads="1"/>
          </xdr:cNvSpPr>
        </xdr:nvSpPr>
        <xdr:spPr bwMode="auto">
          <a:xfrm>
            <a:off x="462" y="879"/>
            <a:ext cx="23"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Ｅ</a:t>
            </a:r>
            <a:r>
              <a:rPr lang="ja-JP" altLang="en-US" sz="700" b="0" i="0" u="none" strike="noStrike" baseline="0">
                <a:solidFill>
                  <a:srgbClr val="000000"/>
                </a:solidFill>
                <a:latin typeface="ＭＳ Ｐゴシック"/>
                <a:ea typeface="ＭＳ Ｐゴシック"/>
              </a:rPr>
              <a:t>B</a:t>
            </a:r>
          </a:p>
        </xdr:txBody>
      </xdr:sp>
      <xdr:sp macro="" textlink="">
        <xdr:nvSpPr>
          <xdr:cNvPr id="78" name="Text Box 106"/>
          <xdr:cNvSpPr txBox="1">
            <a:spLocks noChangeArrowheads="1"/>
          </xdr:cNvSpPr>
        </xdr:nvSpPr>
        <xdr:spPr bwMode="auto">
          <a:xfrm>
            <a:off x="602" y="840"/>
            <a:ext cx="39" cy="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↓Ｉ</a:t>
            </a:r>
            <a:r>
              <a:rPr lang="ja-JP" altLang="en-US" sz="700" b="0" i="0" u="none" strike="noStrike" baseline="0">
                <a:solidFill>
                  <a:srgbClr val="000000"/>
                </a:solidFill>
                <a:latin typeface="ＭＳ Ｐゴシック"/>
                <a:ea typeface="ＭＳ Ｐゴシック"/>
              </a:rPr>
              <a:t>g1,3</a:t>
            </a:r>
          </a:p>
        </xdr:txBody>
      </xdr:sp>
      <xdr:sp macro="" textlink="">
        <xdr:nvSpPr>
          <xdr:cNvPr id="79" name="Text Box 107"/>
          <xdr:cNvSpPr txBox="1">
            <a:spLocks noChangeArrowheads="1"/>
          </xdr:cNvSpPr>
        </xdr:nvSpPr>
        <xdr:spPr bwMode="auto">
          <a:xfrm>
            <a:off x="442" y="708"/>
            <a:ext cx="26"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ゴシック"/>
                <a:ea typeface="ＭＳ ゴシック"/>
              </a:rPr>
              <a:t>6KV</a:t>
            </a:r>
          </a:p>
        </xdr:txBody>
      </xdr:sp>
      <xdr:sp macro="" textlink="">
        <xdr:nvSpPr>
          <xdr:cNvPr id="80" name="Text Box 108"/>
          <xdr:cNvSpPr txBox="1">
            <a:spLocks noChangeArrowheads="1"/>
          </xdr:cNvSpPr>
        </xdr:nvSpPr>
        <xdr:spPr bwMode="auto">
          <a:xfrm>
            <a:off x="506" y="788"/>
            <a:ext cx="37"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MCCB</a:t>
            </a:r>
          </a:p>
        </xdr:txBody>
      </xdr:sp>
    </xdr:grpSp>
    <xdr:clientData/>
  </xdr:twoCellAnchor>
  <xdr:twoCellAnchor>
    <xdr:from>
      <xdr:col>5</xdr:col>
      <xdr:colOff>1531327</xdr:colOff>
      <xdr:row>891</xdr:row>
      <xdr:rowOff>146539</xdr:rowOff>
    </xdr:from>
    <xdr:to>
      <xdr:col>8</xdr:col>
      <xdr:colOff>2828384</xdr:colOff>
      <xdr:row>909</xdr:row>
      <xdr:rowOff>9685</xdr:rowOff>
    </xdr:to>
    <xdr:grpSp>
      <xdr:nvGrpSpPr>
        <xdr:cNvPr id="167" name="グループ化 166"/>
        <xdr:cNvGrpSpPr/>
      </xdr:nvGrpSpPr>
      <xdr:grpSpPr>
        <a:xfrm>
          <a:off x="2247344" y="136656211"/>
          <a:ext cx="3852385" cy="2582698"/>
          <a:chOff x="3237035" y="1283677"/>
          <a:chExt cx="3848100" cy="2550343"/>
        </a:xfrm>
      </xdr:grpSpPr>
      <xdr:grpSp>
        <xdr:nvGrpSpPr>
          <xdr:cNvPr id="168" name="Group 110"/>
          <xdr:cNvGrpSpPr>
            <a:grpSpLocks/>
          </xdr:cNvGrpSpPr>
        </xdr:nvGrpSpPr>
        <xdr:grpSpPr bwMode="auto">
          <a:xfrm>
            <a:off x="3684710" y="1331302"/>
            <a:ext cx="3324225" cy="2147521"/>
            <a:chOff x="68" y="23"/>
            <a:chExt cx="540" cy="361"/>
          </a:xfrm>
        </xdr:grpSpPr>
        <xdr:sp macro="" textlink="">
          <xdr:nvSpPr>
            <xdr:cNvPr id="217" name="Line 111"/>
            <xdr:cNvSpPr>
              <a:spLocks noChangeShapeType="1"/>
            </xdr:cNvSpPr>
          </xdr:nvSpPr>
          <xdr:spPr bwMode="auto">
            <a:xfrm>
              <a:off x="268" y="23"/>
              <a:ext cx="0" cy="361"/>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8" name="Line 112"/>
            <xdr:cNvSpPr>
              <a:spLocks noChangeShapeType="1"/>
            </xdr:cNvSpPr>
          </xdr:nvSpPr>
          <xdr:spPr bwMode="auto">
            <a:xfrm>
              <a:off x="468" y="23"/>
              <a:ext cx="0" cy="361"/>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9" name="Line 113"/>
            <xdr:cNvSpPr>
              <a:spLocks noChangeShapeType="1"/>
            </xdr:cNvSpPr>
          </xdr:nvSpPr>
          <xdr:spPr bwMode="auto">
            <a:xfrm>
              <a:off x="608" y="23"/>
              <a:ext cx="0" cy="36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0" name="Line 114"/>
            <xdr:cNvSpPr>
              <a:spLocks noChangeShapeType="1"/>
            </xdr:cNvSpPr>
          </xdr:nvSpPr>
          <xdr:spPr bwMode="auto">
            <a:xfrm>
              <a:off x="528"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1" name="Line 115"/>
            <xdr:cNvSpPr>
              <a:spLocks noChangeShapeType="1"/>
            </xdr:cNvSpPr>
          </xdr:nvSpPr>
          <xdr:spPr bwMode="auto">
            <a:xfrm>
              <a:off x="563"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2" name="Line 116"/>
            <xdr:cNvSpPr>
              <a:spLocks noChangeShapeType="1"/>
            </xdr:cNvSpPr>
          </xdr:nvSpPr>
          <xdr:spPr bwMode="auto">
            <a:xfrm>
              <a:off x="588"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3" name="Line 117"/>
            <xdr:cNvSpPr>
              <a:spLocks noChangeShapeType="1"/>
            </xdr:cNvSpPr>
          </xdr:nvSpPr>
          <xdr:spPr bwMode="auto">
            <a:xfrm>
              <a:off x="408"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4" name="Line 118"/>
            <xdr:cNvSpPr>
              <a:spLocks noChangeShapeType="1"/>
            </xdr:cNvSpPr>
          </xdr:nvSpPr>
          <xdr:spPr bwMode="auto">
            <a:xfrm>
              <a:off x="437"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5" name="Line 119"/>
            <xdr:cNvSpPr>
              <a:spLocks noChangeShapeType="1"/>
            </xdr:cNvSpPr>
          </xdr:nvSpPr>
          <xdr:spPr bwMode="auto">
            <a:xfrm>
              <a:off x="68" y="23"/>
              <a:ext cx="0" cy="361"/>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6" name="Line 120"/>
            <xdr:cNvSpPr>
              <a:spLocks noChangeShapeType="1"/>
            </xdr:cNvSpPr>
          </xdr:nvSpPr>
          <xdr:spPr bwMode="auto">
            <a:xfrm>
              <a:off x="128"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7" name="Line 121"/>
            <xdr:cNvSpPr>
              <a:spLocks noChangeShapeType="1"/>
            </xdr:cNvSpPr>
          </xdr:nvSpPr>
          <xdr:spPr bwMode="auto">
            <a:xfrm>
              <a:off x="163"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8" name="Line 122"/>
            <xdr:cNvSpPr>
              <a:spLocks noChangeShapeType="1"/>
            </xdr:cNvSpPr>
          </xdr:nvSpPr>
          <xdr:spPr bwMode="auto">
            <a:xfrm>
              <a:off x="188"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9" name="Line 123"/>
            <xdr:cNvSpPr>
              <a:spLocks noChangeShapeType="1"/>
            </xdr:cNvSpPr>
          </xdr:nvSpPr>
          <xdr:spPr bwMode="auto">
            <a:xfrm>
              <a:off x="208"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30" name="Line 124"/>
            <xdr:cNvSpPr>
              <a:spLocks noChangeShapeType="1"/>
            </xdr:cNvSpPr>
          </xdr:nvSpPr>
          <xdr:spPr bwMode="auto">
            <a:xfrm>
              <a:off x="237"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31" name="Line 125"/>
            <xdr:cNvSpPr>
              <a:spLocks noChangeShapeType="1"/>
            </xdr:cNvSpPr>
          </xdr:nvSpPr>
          <xdr:spPr bwMode="auto">
            <a:xfrm>
              <a:off x="328"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32" name="Line 126"/>
            <xdr:cNvSpPr>
              <a:spLocks noChangeShapeType="1"/>
            </xdr:cNvSpPr>
          </xdr:nvSpPr>
          <xdr:spPr bwMode="auto">
            <a:xfrm>
              <a:off x="363"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33" name="Line 127"/>
            <xdr:cNvSpPr>
              <a:spLocks noChangeShapeType="1"/>
            </xdr:cNvSpPr>
          </xdr:nvSpPr>
          <xdr:spPr bwMode="auto">
            <a:xfrm>
              <a:off x="388" y="23"/>
              <a:ext cx="0" cy="361"/>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sp macro="" textlink="">
        <xdr:nvSpPr>
          <xdr:cNvPr id="169" name="Line 128"/>
          <xdr:cNvSpPr>
            <a:spLocks noChangeShapeType="1"/>
          </xdr:cNvSpPr>
        </xdr:nvSpPr>
        <xdr:spPr bwMode="auto">
          <a:xfrm>
            <a:off x="3684710" y="3043604"/>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0" name="Line 129"/>
          <xdr:cNvSpPr>
            <a:spLocks noChangeShapeType="1"/>
          </xdr:cNvSpPr>
        </xdr:nvSpPr>
        <xdr:spPr bwMode="auto">
          <a:xfrm>
            <a:off x="3684710" y="2864094"/>
            <a:ext cx="3324225"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1" name="Line 130"/>
          <xdr:cNvSpPr>
            <a:spLocks noChangeShapeType="1"/>
          </xdr:cNvSpPr>
        </xdr:nvSpPr>
        <xdr:spPr bwMode="auto">
          <a:xfrm>
            <a:off x="3684710" y="3213588"/>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2" name="Line 131"/>
          <xdr:cNvSpPr>
            <a:spLocks noChangeShapeType="1"/>
          </xdr:cNvSpPr>
        </xdr:nvSpPr>
        <xdr:spPr bwMode="auto">
          <a:xfrm>
            <a:off x="3684710" y="3337413"/>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3" name="Line 132"/>
          <xdr:cNvSpPr>
            <a:spLocks noChangeShapeType="1"/>
          </xdr:cNvSpPr>
        </xdr:nvSpPr>
        <xdr:spPr bwMode="auto">
          <a:xfrm>
            <a:off x="3684710" y="3478823"/>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4" name="Line 133"/>
          <xdr:cNvSpPr>
            <a:spLocks noChangeShapeType="1"/>
          </xdr:cNvSpPr>
        </xdr:nvSpPr>
        <xdr:spPr bwMode="auto">
          <a:xfrm>
            <a:off x="3684710" y="1331302"/>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5" name="Line 134"/>
          <xdr:cNvSpPr>
            <a:spLocks noChangeShapeType="1"/>
          </xdr:cNvSpPr>
        </xdr:nvSpPr>
        <xdr:spPr bwMode="auto">
          <a:xfrm>
            <a:off x="3684710" y="1680796"/>
            <a:ext cx="3324225"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6" name="Line 135"/>
          <xdr:cNvSpPr>
            <a:spLocks noChangeShapeType="1"/>
          </xdr:cNvSpPr>
        </xdr:nvSpPr>
        <xdr:spPr bwMode="auto">
          <a:xfrm>
            <a:off x="3684710" y="1860306"/>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7" name="Line 136"/>
          <xdr:cNvSpPr>
            <a:spLocks noChangeShapeType="1"/>
          </xdr:cNvSpPr>
        </xdr:nvSpPr>
        <xdr:spPr bwMode="auto">
          <a:xfrm>
            <a:off x="3684710" y="2041281"/>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8" name="Line 137"/>
          <xdr:cNvSpPr>
            <a:spLocks noChangeShapeType="1"/>
          </xdr:cNvSpPr>
        </xdr:nvSpPr>
        <xdr:spPr bwMode="auto">
          <a:xfrm>
            <a:off x="3684710" y="2154115"/>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9" name="Line 138"/>
          <xdr:cNvSpPr>
            <a:spLocks noChangeShapeType="1"/>
          </xdr:cNvSpPr>
        </xdr:nvSpPr>
        <xdr:spPr bwMode="auto">
          <a:xfrm>
            <a:off x="3684710" y="2295525"/>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0" name="Line 139"/>
          <xdr:cNvSpPr>
            <a:spLocks noChangeShapeType="1"/>
          </xdr:cNvSpPr>
        </xdr:nvSpPr>
        <xdr:spPr bwMode="auto">
          <a:xfrm>
            <a:off x="3684710" y="2505075"/>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1" name="Line 140"/>
          <xdr:cNvSpPr>
            <a:spLocks noChangeShapeType="1"/>
          </xdr:cNvSpPr>
        </xdr:nvSpPr>
        <xdr:spPr bwMode="auto">
          <a:xfrm>
            <a:off x="3684710" y="1472712"/>
            <a:ext cx="33242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2" name="Text Box 141"/>
          <xdr:cNvSpPr txBox="1">
            <a:spLocks noChangeArrowheads="1"/>
          </xdr:cNvSpPr>
        </xdr:nvSpPr>
        <xdr:spPr bwMode="auto">
          <a:xfrm>
            <a:off x="3427535" y="2466975"/>
            <a:ext cx="2476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en-US" altLang="ja-JP" sz="800" b="0" i="0" u="none" strike="noStrike" baseline="0">
                <a:solidFill>
                  <a:srgbClr val="000000"/>
                </a:solidFill>
                <a:latin typeface="ＭＳ Ｐゴシック"/>
                <a:ea typeface="ＭＳ Ｐゴシック"/>
              </a:rPr>
              <a:t>200</a:t>
            </a:r>
          </a:p>
        </xdr:txBody>
      </xdr:sp>
      <xdr:sp macro="" textlink="">
        <xdr:nvSpPr>
          <xdr:cNvPr id="183" name="Text Box 142"/>
          <xdr:cNvSpPr txBox="1">
            <a:spLocks noChangeArrowheads="1"/>
          </xdr:cNvSpPr>
        </xdr:nvSpPr>
        <xdr:spPr bwMode="auto">
          <a:xfrm>
            <a:off x="3427535" y="2258890"/>
            <a:ext cx="2476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en-US" altLang="ja-JP" sz="800" b="0" i="0" u="none" strike="noStrike" baseline="0">
                <a:solidFill>
                  <a:srgbClr val="000000"/>
                </a:solidFill>
                <a:latin typeface="ＭＳ Ｐゴシック"/>
                <a:ea typeface="ＭＳ Ｐゴシック"/>
              </a:rPr>
              <a:t>300</a:t>
            </a:r>
          </a:p>
        </xdr:txBody>
      </xdr:sp>
      <xdr:sp macro="" textlink="">
        <xdr:nvSpPr>
          <xdr:cNvPr id="184" name="Text Box 143"/>
          <xdr:cNvSpPr txBox="1">
            <a:spLocks noChangeArrowheads="1"/>
          </xdr:cNvSpPr>
        </xdr:nvSpPr>
        <xdr:spPr bwMode="auto">
          <a:xfrm>
            <a:off x="3427535" y="2125540"/>
            <a:ext cx="2476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en-US" altLang="ja-JP" sz="800" b="0" i="0" u="none" strike="noStrike" baseline="0">
                <a:solidFill>
                  <a:srgbClr val="000000"/>
                </a:solidFill>
                <a:latin typeface="ＭＳ Ｐゴシック"/>
                <a:ea typeface="ＭＳ Ｐゴシック"/>
              </a:rPr>
              <a:t>400</a:t>
            </a:r>
          </a:p>
        </xdr:txBody>
      </xdr:sp>
      <xdr:sp macro="" textlink="">
        <xdr:nvSpPr>
          <xdr:cNvPr id="185" name="Text Box 144"/>
          <xdr:cNvSpPr txBox="1">
            <a:spLocks noChangeArrowheads="1"/>
          </xdr:cNvSpPr>
        </xdr:nvSpPr>
        <xdr:spPr bwMode="auto">
          <a:xfrm>
            <a:off x="3427535" y="1993656"/>
            <a:ext cx="2476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en-US" altLang="ja-JP" sz="800" b="0" i="0" u="none" strike="noStrike" baseline="0">
                <a:solidFill>
                  <a:srgbClr val="000000"/>
                </a:solidFill>
                <a:latin typeface="ＭＳ Ｐゴシック"/>
                <a:ea typeface="ＭＳ Ｐゴシック"/>
              </a:rPr>
              <a:t>500</a:t>
            </a:r>
          </a:p>
        </xdr:txBody>
      </xdr:sp>
      <xdr:sp macro="" textlink="">
        <xdr:nvSpPr>
          <xdr:cNvPr id="186" name="Text Box 145"/>
          <xdr:cNvSpPr txBox="1">
            <a:spLocks noChangeArrowheads="1"/>
          </xdr:cNvSpPr>
        </xdr:nvSpPr>
        <xdr:spPr bwMode="auto">
          <a:xfrm>
            <a:off x="3427535" y="1814146"/>
            <a:ext cx="2476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en-US" altLang="ja-JP" sz="800" b="0" i="0" u="none" strike="noStrike" baseline="0">
                <a:solidFill>
                  <a:srgbClr val="000000"/>
                </a:solidFill>
                <a:latin typeface="ＭＳ Ｐゴシック"/>
                <a:ea typeface="ＭＳ Ｐゴシック"/>
              </a:rPr>
              <a:t>700</a:t>
            </a:r>
          </a:p>
        </xdr:txBody>
      </xdr:sp>
      <xdr:sp macro="" textlink="">
        <xdr:nvSpPr>
          <xdr:cNvPr id="187" name="Text Box 146"/>
          <xdr:cNvSpPr txBox="1">
            <a:spLocks noChangeArrowheads="1"/>
          </xdr:cNvSpPr>
        </xdr:nvSpPr>
        <xdr:spPr bwMode="auto">
          <a:xfrm>
            <a:off x="3389435" y="1434612"/>
            <a:ext cx="3048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18288" anchor="ctr" upright="1">
            <a:spAutoFit/>
          </a:bodyPr>
          <a:lstStyle/>
          <a:p>
            <a:pPr algn="l" rtl="0">
              <a:defRPr sz="1000"/>
            </a:pPr>
            <a:r>
              <a:rPr lang="en-US" altLang="ja-JP" sz="800" b="0" i="0" u="none" strike="noStrike" baseline="0">
                <a:solidFill>
                  <a:srgbClr val="000000"/>
                </a:solidFill>
                <a:latin typeface="ＭＳ Ｐゴシック"/>
                <a:ea typeface="ＭＳ Ｐゴシック"/>
              </a:rPr>
              <a:t>1500  </a:t>
            </a:r>
          </a:p>
        </xdr:txBody>
      </xdr:sp>
      <xdr:sp macro="" textlink="">
        <xdr:nvSpPr>
          <xdr:cNvPr id="188" name="Text Box 147"/>
          <xdr:cNvSpPr txBox="1">
            <a:spLocks noChangeArrowheads="1"/>
          </xdr:cNvSpPr>
        </xdr:nvSpPr>
        <xdr:spPr bwMode="auto">
          <a:xfrm>
            <a:off x="3427535" y="3186479"/>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50</a:t>
            </a:r>
          </a:p>
        </xdr:txBody>
      </xdr:sp>
      <xdr:sp macro="" textlink="">
        <xdr:nvSpPr>
          <xdr:cNvPr id="189" name="Text Box 148"/>
          <xdr:cNvSpPr txBox="1">
            <a:spLocks noChangeArrowheads="1"/>
          </xdr:cNvSpPr>
        </xdr:nvSpPr>
        <xdr:spPr bwMode="auto">
          <a:xfrm>
            <a:off x="3389435" y="1283677"/>
            <a:ext cx="3048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18288" anchor="ctr" upright="1">
            <a:spAutoFit/>
          </a:bodyPr>
          <a:lstStyle/>
          <a:p>
            <a:pPr algn="l" rtl="0">
              <a:defRPr sz="1000"/>
            </a:pPr>
            <a:r>
              <a:rPr lang="en-US" altLang="ja-JP" sz="800" b="0" i="0" u="none" strike="noStrike" baseline="0">
                <a:solidFill>
                  <a:srgbClr val="000000"/>
                </a:solidFill>
                <a:latin typeface="ＭＳ Ｐゴシック"/>
                <a:ea typeface="ＭＳ Ｐゴシック"/>
              </a:rPr>
              <a:t>2000  </a:t>
            </a:r>
          </a:p>
        </xdr:txBody>
      </xdr:sp>
      <xdr:sp macro="" textlink="">
        <xdr:nvSpPr>
          <xdr:cNvPr id="190" name="Text Box 149"/>
          <xdr:cNvSpPr txBox="1">
            <a:spLocks noChangeArrowheads="1"/>
          </xdr:cNvSpPr>
        </xdr:nvSpPr>
        <xdr:spPr bwMode="auto">
          <a:xfrm>
            <a:off x="3389435" y="1642696"/>
            <a:ext cx="3048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18288" anchor="ctr" upright="1">
            <a:spAutoFit/>
          </a:bodyPr>
          <a:lstStyle/>
          <a:p>
            <a:pPr algn="l" rtl="0">
              <a:defRPr sz="1000"/>
            </a:pPr>
            <a:r>
              <a:rPr lang="en-US" altLang="ja-JP" sz="800" b="0" i="0" u="none" strike="noStrike" baseline="0">
                <a:solidFill>
                  <a:srgbClr val="000000"/>
                </a:solidFill>
                <a:latin typeface="ＭＳ Ｐゴシック"/>
                <a:ea typeface="ＭＳ Ｐゴシック"/>
              </a:rPr>
              <a:t>1000  </a:t>
            </a:r>
          </a:p>
        </xdr:txBody>
      </xdr:sp>
      <xdr:sp macro="" textlink="">
        <xdr:nvSpPr>
          <xdr:cNvPr id="191" name="Text Box 150"/>
          <xdr:cNvSpPr txBox="1">
            <a:spLocks noChangeArrowheads="1"/>
          </xdr:cNvSpPr>
        </xdr:nvSpPr>
        <xdr:spPr bwMode="auto">
          <a:xfrm>
            <a:off x="3427535" y="3289788"/>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40</a:t>
            </a:r>
          </a:p>
        </xdr:txBody>
      </xdr:sp>
      <xdr:sp macro="" textlink="">
        <xdr:nvSpPr>
          <xdr:cNvPr id="192" name="Text Box 151"/>
          <xdr:cNvSpPr txBox="1">
            <a:spLocks noChangeArrowheads="1"/>
          </xdr:cNvSpPr>
        </xdr:nvSpPr>
        <xdr:spPr bwMode="auto">
          <a:xfrm>
            <a:off x="3427535" y="3413613"/>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30</a:t>
            </a:r>
          </a:p>
        </xdr:txBody>
      </xdr:sp>
      <xdr:sp macro="" textlink="">
        <xdr:nvSpPr>
          <xdr:cNvPr id="193" name="Text Box 152"/>
          <xdr:cNvSpPr txBox="1">
            <a:spLocks noChangeArrowheads="1"/>
          </xdr:cNvSpPr>
        </xdr:nvSpPr>
        <xdr:spPr bwMode="auto">
          <a:xfrm>
            <a:off x="3427535" y="3005504"/>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70</a:t>
            </a:r>
          </a:p>
        </xdr:txBody>
      </xdr:sp>
      <xdr:sp macro="" textlink="">
        <xdr:nvSpPr>
          <xdr:cNvPr id="194" name="Text Box 153"/>
          <xdr:cNvSpPr txBox="1">
            <a:spLocks noChangeArrowheads="1"/>
          </xdr:cNvSpPr>
        </xdr:nvSpPr>
        <xdr:spPr bwMode="auto">
          <a:xfrm>
            <a:off x="3427535" y="2816469"/>
            <a:ext cx="2476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0" tIns="18288" rIns="18288" bIns="18288" anchor="ctr" upright="1">
            <a:spAutoFit/>
          </a:bodyPr>
          <a:lstStyle/>
          <a:p>
            <a:pPr algn="r" rtl="0">
              <a:defRPr sz="1000"/>
            </a:pPr>
            <a:r>
              <a:rPr lang="en-US" altLang="ja-JP" sz="800" b="0" i="0" u="none" strike="noStrike" baseline="0">
                <a:solidFill>
                  <a:srgbClr val="000000"/>
                </a:solidFill>
                <a:latin typeface="ＭＳ Ｐゴシック"/>
                <a:ea typeface="ＭＳ Ｐゴシック"/>
              </a:rPr>
              <a:t>100</a:t>
            </a:r>
          </a:p>
        </xdr:txBody>
      </xdr:sp>
      <xdr:sp macro="" textlink="">
        <xdr:nvSpPr>
          <xdr:cNvPr id="195" name="Text Box 154"/>
          <xdr:cNvSpPr txBox="1">
            <a:spLocks noChangeArrowheads="1"/>
          </xdr:cNvSpPr>
        </xdr:nvSpPr>
        <xdr:spPr bwMode="auto">
          <a:xfrm>
            <a:off x="5037257" y="1920409"/>
            <a:ext cx="657231" cy="203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1000" b="1" i="0" u="none" strike="noStrike" baseline="0">
                <a:solidFill>
                  <a:srgbClr val="000000"/>
                </a:solidFill>
                <a:latin typeface="ＭＳ Ｐゴシック"/>
                <a:ea typeface="ＭＳ Ｐゴシック"/>
              </a:rPr>
              <a:t>√T</a:t>
            </a:r>
            <a:r>
              <a:rPr lang="ja-JP" altLang="en-US" sz="1000" b="1" i="0" u="none" strike="noStrike" baseline="0">
                <a:solidFill>
                  <a:srgbClr val="000000"/>
                </a:solidFill>
                <a:latin typeface="ＭＳ Ｐゴシック"/>
                <a:ea typeface="ＭＳ Ｐゴシック"/>
              </a:rPr>
              <a:t>･Ｉ＝</a:t>
            </a:r>
            <a:r>
              <a:rPr lang="en-US" altLang="ja-JP" sz="1000" b="1" i="0" u="none" strike="noStrike" baseline="0">
                <a:solidFill>
                  <a:srgbClr val="000000"/>
                </a:solidFill>
                <a:latin typeface="ＭＳ Ｐゴシック"/>
                <a:ea typeface="ＭＳ Ｐゴシック"/>
              </a:rPr>
              <a:t>165</a:t>
            </a:r>
          </a:p>
        </xdr:txBody>
      </xdr:sp>
      <xdr:sp macro="" textlink="">
        <xdr:nvSpPr>
          <xdr:cNvPr id="196" name="Text Box 155"/>
          <xdr:cNvSpPr txBox="1">
            <a:spLocks noChangeArrowheads="1"/>
          </xdr:cNvSpPr>
        </xdr:nvSpPr>
        <xdr:spPr bwMode="auto">
          <a:xfrm>
            <a:off x="5062674" y="3613703"/>
            <a:ext cx="758797" cy="2203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900" b="1" i="0" u="none" strike="noStrike" baseline="0">
                <a:solidFill>
                  <a:srgbClr val="000000"/>
                </a:solidFill>
                <a:latin typeface="ＭＳ 明朝"/>
                <a:ea typeface="ＭＳ 明朝"/>
              </a:rPr>
              <a:t>時間</a:t>
            </a:r>
            <a:r>
              <a:rPr lang="en-US" altLang="ja-JP" sz="900" b="1" i="0" u="none" strike="noStrike" baseline="0">
                <a:solidFill>
                  <a:srgbClr val="000000"/>
                </a:solidFill>
                <a:latin typeface="ＭＳ 明朝"/>
                <a:ea typeface="ＭＳ 明朝"/>
              </a:rPr>
              <a:t>[</a:t>
            </a:r>
            <a:r>
              <a:rPr lang="ja-JP" altLang="en-US" sz="900" b="1" i="0" u="none" strike="noStrike" baseline="0">
                <a:solidFill>
                  <a:srgbClr val="000000"/>
                </a:solidFill>
                <a:latin typeface="ＭＳ 明朝"/>
                <a:ea typeface="ＭＳ 明朝"/>
              </a:rPr>
              <a:t>秒</a:t>
            </a:r>
            <a:r>
              <a:rPr lang="en-US" altLang="ja-JP" sz="900" b="1" i="0" u="none" strike="noStrike" baseline="0">
                <a:solidFill>
                  <a:srgbClr val="000000"/>
                </a:solidFill>
                <a:latin typeface="ＭＳ 明朝"/>
                <a:ea typeface="ＭＳ 明朝"/>
              </a:rPr>
              <a:t>] </a:t>
            </a:r>
            <a:r>
              <a:rPr lang="en-US" altLang="ja-JP" sz="1100" b="1" i="0" u="none" strike="noStrike" baseline="0">
                <a:solidFill>
                  <a:srgbClr val="000000"/>
                </a:solidFill>
                <a:latin typeface="ＭＳ 明朝"/>
                <a:ea typeface="ＭＳ 明朝"/>
              </a:rPr>
              <a:t>→</a:t>
            </a:r>
            <a:r>
              <a:rPr lang="en-US" altLang="ja-JP" sz="900" b="1" i="0" u="none" strike="noStrike" baseline="0">
                <a:solidFill>
                  <a:srgbClr val="000000"/>
                </a:solidFill>
                <a:latin typeface="ＭＳ 明朝"/>
                <a:ea typeface="ＭＳ 明朝"/>
              </a:rPr>
              <a:t> </a:t>
            </a:r>
          </a:p>
        </xdr:txBody>
      </xdr:sp>
      <xdr:sp macro="" textlink="">
        <xdr:nvSpPr>
          <xdr:cNvPr id="197" name="Text Box 156"/>
          <xdr:cNvSpPr txBox="1">
            <a:spLocks noChangeArrowheads="1"/>
          </xdr:cNvSpPr>
        </xdr:nvSpPr>
        <xdr:spPr bwMode="auto">
          <a:xfrm>
            <a:off x="5418260" y="3488348"/>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0.3</a:t>
            </a:r>
          </a:p>
        </xdr:txBody>
      </xdr:sp>
      <xdr:sp macro="" textlink="">
        <xdr:nvSpPr>
          <xdr:cNvPr id="198" name="Text Box 157"/>
          <xdr:cNvSpPr txBox="1">
            <a:spLocks noChangeArrowheads="1"/>
          </xdr:cNvSpPr>
        </xdr:nvSpPr>
        <xdr:spPr bwMode="auto">
          <a:xfrm>
            <a:off x="5570660" y="3488348"/>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0.4</a:t>
            </a:r>
          </a:p>
        </xdr:txBody>
      </xdr:sp>
      <xdr:sp macro="" textlink="">
        <xdr:nvSpPr>
          <xdr:cNvPr id="199" name="Text Box 158"/>
          <xdr:cNvSpPr txBox="1">
            <a:spLocks noChangeArrowheads="1"/>
          </xdr:cNvSpPr>
        </xdr:nvSpPr>
        <xdr:spPr bwMode="auto">
          <a:xfrm>
            <a:off x="5713535" y="3488348"/>
            <a:ext cx="190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05</a:t>
            </a:r>
          </a:p>
        </xdr:txBody>
      </xdr:sp>
      <xdr:sp macro="" textlink="">
        <xdr:nvSpPr>
          <xdr:cNvPr id="200" name="Text Box 159"/>
          <xdr:cNvSpPr txBox="1">
            <a:spLocks noChangeArrowheads="1"/>
          </xdr:cNvSpPr>
        </xdr:nvSpPr>
        <xdr:spPr bwMode="auto">
          <a:xfrm>
            <a:off x="5875460" y="3488348"/>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0.7</a:t>
            </a:r>
          </a:p>
        </xdr:txBody>
      </xdr:sp>
      <xdr:sp macro="" textlink="">
        <xdr:nvSpPr>
          <xdr:cNvPr id="201" name="Text Box 160"/>
          <xdr:cNvSpPr txBox="1">
            <a:spLocks noChangeArrowheads="1"/>
          </xdr:cNvSpPr>
        </xdr:nvSpPr>
        <xdr:spPr bwMode="auto">
          <a:xfrm>
            <a:off x="6456485" y="3488348"/>
            <a:ext cx="1333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2</a:t>
            </a:r>
          </a:p>
        </xdr:txBody>
      </xdr:sp>
      <xdr:sp macro="" textlink="">
        <xdr:nvSpPr>
          <xdr:cNvPr id="202" name="Text Box 161"/>
          <xdr:cNvSpPr txBox="1">
            <a:spLocks noChangeArrowheads="1"/>
          </xdr:cNvSpPr>
        </xdr:nvSpPr>
        <xdr:spPr bwMode="auto">
          <a:xfrm>
            <a:off x="6675560" y="3488348"/>
            <a:ext cx="1333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3</a:t>
            </a:r>
          </a:p>
        </xdr:txBody>
      </xdr:sp>
      <xdr:sp macro="" textlink="">
        <xdr:nvSpPr>
          <xdr:cNvPr id="203" name="Text Box 162"/>
          <xdr:cNvSpPr txBox="1">
            <a:spLocks noChangeArrowheads="1"/>
          </xdr:cNvSpPr>
        </xdr:nvSpPr>
        <xdr:spPr bwMode="auto">
          <a:xfrm>
            <a:off x="6818435" y="3488348"/>
            <a:ext cx="1333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4</a:t>
            </a:r>
          </a:p>
        </xdr:txBody>
      </xdr:sp>
      <xdr:sp macro="" textlink="">
        <xdr:nvSpPr>
          <xdr:cNvPr id="204" name="Text Box 163"/>
          <xdr:cNvSpPr txBox="1">
            <a:spLocks noChangeArrowheads="1"/>
          </xdr:cNvSpPr>
        </xdr:nvSpPr>
        <xdr:spPr bwMode="auto">
          <a:xfrm>
            <a:off x="6951785" y="3488348"/>
            <a:ext cx="1333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5</a:t>
            </a:r>
          </a:p>
        </xdr:txBody>
      </xdr:sp>
      <xdr:sp macro="" textlink="">
        <xdr:nvSpPr>
          <xdr:cNvPr id="205" name="Text Box 164"/>
          <xdr:cNvSpPr txBox="1">
            <a:spLocks noChangeArrowheads="1"/>
          </xdr:cNvSpPr>
        </xdr:nvSpPr>
        <xdr:spPr bwMode="auto">
          <a:xfrm>
            <a:off x="6075485" y="3488348"/>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1.0</a:t>
            </a:r>
          </a:p>
        </xdr:txBody>
      </xdr:sp>
      <xdr:sp macro="" textlink="">
        <xdr:nvSpPr>
          <xdr:cNvPr id="206" name="Line 165"/>
          <xdr:cNvSpPr>
            <a:spLocks noChangeShapeType="1"/>
          </xdr:cNvSpPr>
        </xdr:nvSpPr>
        <xdr:spPr bwMode="auto">
          <a:xfrm>
            <a:off x="3684710" y="1415562"/>
            <a:ext cx="3314700" cy="1589942"/>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07" name="Text Box 166"/>
          <xdr:cNvSpPr txBox="1">
            <a:spLocks noChangeArrowheads="1"/>
          </xdr:cNvSpPr>
        </xdr:nvSpPr>
        <xdr:spPr bwMode="auto">
          <a:xfrm>
            <a:off x="3941885" y="3488348"/>
            <a:ext cx="2667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18288" anchor="ctr" upright="1">
            <a:spAutoFit/>
          </a:bodyPr>
          <a:lstStyle/>
          <a:p>
            <a:pPr algn="l" rtl="0">
              <a:defRPr sz="1000"/>
            </a:pPr>
            <a:r>
              <a:rPr lang="en-US" altLang="ja-JP" sz="800" b="0" i="0" u="none" strike="noStrike" baseline="0">
                <a:solidFill>
                  <a:srgbClr val="000000"/>
                </a:solidFill>
                <a:latin typeface="ＭＳ Ｐゴシック"/>
                <a:ea typeface="ＭＳ Ｐゴシック"/>
              </a:rPr>
              <a:t>0.02</a:t>
            </a:r>
          </a:p>
        </xdr:txBody>
      </xdr:sp>
      <xdr:sp macro="" textlink="">
        <xdr:nvSpPr>
          <xdr:cNvPr id="208" name="Text Box 167"/>
          <xdr:cNvSpPr txBox="1">
            <a:spLocks noChangeArrowheads="1"/>
          </xdr:cNvSpPr>
        </xdr:nvSpPr>
        <xdr:spPr bwMode="auto">
          <a:xfrm>
            <a:off x="3237035" y="1955556"/>
            <a:ext cx="228600" cy="130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vert270" wrap="none" lIns="0" tIns="18288" rIns="18288" bIns="0" anchor="b" upright="1">
            <a:spAutoFit/>
          </a:bodyPr>
          <a:lstStyle/>
          <a:p>
            <a:pPr algn="r" rtl="0">
              <a:defRPr sz="1000"/>
            </a:pPr>
            <a:r>
              <a:rPr lang="ja-JP" altLang="en-US" sz="900" b="1" i="0" u="none" strike="noStrike" baseline="0">
                <a:solidFill>
                  <a:srgbClr val="000000"/>
                </a:solidFill>
                <a:latin typeface="ＭＳ 明朝"/>
                <a:ea typeface="ＭＳ 明朝"/>
              </a:rPr>
              <a:t>電流</a:t>
            </a:r>
            <a:r>
              <a:rPr lang="en-US" altLang="ja-JP" sz="900" b="1" i="0" u="none" strike="noStrike" baseline="0">
                <a:solidFill>
                  <a:srgbClr val="000000"/>
                </a:solidFill>
                <a:latin typeface="ＭＳ 明朝"/>
                <a:ea typeface="ＭＳ 明朝"/>
              </a:rPr>
              <a:t>[mA](</a:t>
            </a:r>
            <a:r>
              <a:rPr lang="ja-JP" altLang="en-US" sz="900" b="1" i="0" u="none" strike="noStrike" baseline="0">
                <a:solidFill>
                  <a:srgbClr val="000000"/>
                </a:solidFill>
                <a:latin typeface="ＭＳ 明朝"/>
                <a:ea typeface="ＭＳ 明朝"/>
              </a:rPr>
              <a:t>実効値</a:t>
            </a:r>
            <a:r>
              <a:rPr lang="en-US" altLang="ja-JP" sz="900" b="1" i="0" u="none" strike="noStrike" baseline="0">
                <a:solidFill>
                  <a:srgbClr val="000000"/>
                </a:solidFill>
                <a:latin typeface="ＭＳ 明朝"/>
                <a:ea typeface="ＭＳ 明朝"/>
              </a:rPr>
              <a:t>) </a:t>
            </a:r>
            <a:r>
              <a:rPr lang="en-US" altLang="ja-JP" sz="1100" b="1" i="0" u="none" strike="noStrike" baseline="0">
                <a:solidFill>
                  <a:srgbClr val="000000"/>
                </a:solidFill>
                <a:latin typeface="ＭＳ 明朝"/>
                <a:ea typeface="ＭＳ 明朝"/>
              </a:rPr>
              <a:t>→</a:t>
            </a:r>
          </a:p>
        </xdr:txBody>
      </xdr:sp>
      <xdr:sp macro="" textlink="">
        <xdr:nvSpPr>
          <xdr:cNvPr id="209" name="Line 168"/>
          <xdr:cNvSpPr>
            <a:spLocks noChangeShapeType="1"/>
          </xdr:cNvSpPr>
        </xdr:nvSpPr>
        <xdr:spPr bwMode="auto">
          <a:xfrm>
            <a:off x="3684710" y="1614121"/>
            <a:ext cx="3314700" cy="1599467"/>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0" name="Text Box 169"/>
          <xdr:cNvSpPr txBox="1">
            <a:spLocks noChangeArrowheads="1"/>
          </xdr:cNvSpPr>
        </xdr:nvSpPr>
        <xdr:spPr bwMode="auto">
          <a:xfrm>
            <a:off x="5208710" y="3488348"/>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Ｐゴシック"/>
                <a:ea typeface="ＭＳ Ｐゴシック"/>
              </a:rPr>
              <a:t>0.2</a:t>
            </a:r>
          </a:p>
        </xdr:txBody>
      </xdr:sp>
      <xdr:sp macro="" textlink="">
        <xdr:nvSpPr>
          <xdr:cNvPr id="211" name="Text Box 170"/>
          <xdr:cNvSpPr txBox="1">
            <a:spLocks noChangeArrowheads="1"/>
          </xdr:cNvSpPr>
        </xdr:nvSpPr>
        <xdr:spPr bwMode="auto">
          <a:xfrm>
            <a:off x="4922957" y="2525613"/>
            <a:ext cx="657231" cy="203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en-US" altLang="ja-JP" sz="1000" b="1" i="0" u="none" strike="noStrike" baseline="0">
                <a:solidFill>
                  <a:srgbClr val="000000"/>
                </a:solidFill>
                <a:latin typeface="ＭＳ Ｐゴシック"/>
                <a:ea typeface="ＭＳ Ｐゴシック"/>
              </a:rPr>
              <a:t>√T</a:t>
            </a:r>
            <a:r>
              <a:rPr lang="ja-JP" altLang="en-US" sz="1000" b="1" i="0" u="none" strike="noStrike" baseline="0">
                <a:solidFill>
                  <a:srgbClr val="000000"/>
                </a:solidFill>
                <a:latin typeface="ＭＳ Ｐゴシック"/>
                <a:ea typeface="ＭＳ Ｐゴシック"/>
              </a:rPr>
              <a:t>･Ｉ＝</a:t>
            </a:r>
            <a:r>
              <a:rPr lang="en-US" altLang="ja-JP" sz="1000" b="1" i="0" u="none" strike="noStrike" baseline="0">
                <a:solidFill>
                  <a:srgbClr val="000000"/>
                </a:solidFill>
                <a:latin typeface="ＭＳ Ｐゴシック"/>
                <a:ea typeface="ＭＳ Ｐゴシック"/>
              </a:rPr>
              <a:t>116</a:t>
            </a:r>
          </a:p>
        </xdr:txBody>
      </xdr:sp>
      <xdr:sp macro="" textlink="">
        <xdr:nvSpPr>
          <xdr:cNvPr id="212" name="Text Box 171"/>
          <xdr:cNvSpPr txBox="1">
            <a:spLocks noChangeArrowheads="1"/>
          </xdr:cNvSpPr>
        </xdr:nvSpPr>
        <xdr:spPr bwMode="auto">
          <a:xfrm>
            <a:off x="4170485" y="3488348"/>
            <a:ext cx="2667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18288" anchor="ctr" upright="1">
            <a:spAutoFit/>
          </a:bodyPr>
          <a:lstStyle/>
          <a:p>
            <a:pPr algn="l" rtl="0">
              <a:defRPr sz="1000"/>
            </a:pPr>
            <a:r>
              <a:rPr lang="en-US" altLang="ja-JP" sz="800" b="0" i="0" u="none" strike="noStrike" baseline="0">
                <a:solidFill>
                  <a:srgbClr val="000000"/>
                </a:solidFill>
                <a:latin typeface="ＭＳ Ｐゴシック"/>
                <a:ea typeface="ＭＳ Ｐゴシック"/>
              </a:rPr>
              <a:t>0.03</a:t>
            </a:r>
          </a:p>
        </xdr:txBody>
      </xdr:sp>
      <xdr:sp macro="" textlink="">
        <xdr:nvSpPr>
          <xdr:cNvPr id="213" name="Text Box 172"/>
          <xdr:cNvSpPr txBox="1">
            <a:spLocks noChangeArrowheads="1"/>
          </xdr:cNvSpPr>
        </xdr:nvSpPr>
        <xdr:spPr bwMode="auto">
          <a:xfrm>
            <a:off x="4637210" y="3488348"/>
            <a:ext cx="2667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18288" anchor="ctr" upright="1">
            <a:spAutoFit/>
          </a:bodyPr>
          <a:lstStyle/>
          <a:p>
            <a:pPr algn="l" rtl="0">
              <a:defRPr sz="1000"/>
            </a:pPr>
            <a:r>
              <a:rPr lang="en-US" altLang="ja-JP" sz="800" b="0" i="0" u="none" strike="noStrike" baseline="0">
                <a:solidFill>
                  <a:srgbClr val="000000"/>
                </a:solidFill>
                <a:latin typeface="ＭＳ Ｐゴシック"/>
                <a:ea typeface="ＭＳ Ｐゴシック"/>
              </a:rPr>
              <a:t>0.07</a:t>
            </a:r>
          </a:p>
        </xdr:txBody>
      </xdr:sp>
      <xdr:sp macro="" textlink="">
        <xdr:nvSpPr>
          <xdr:cNvPr id="214" name="Text Box 173"/>
          <xdr:cNvSpPr txBox="1">
            <a:spLocks noChangeArrowheads="1"/>
          </xdr:cNvSpPr>
        </xdr:nvSpPr>
        <xdr:spPr bwMode="auto">
          <a:xfrm>
            <a:off x="4856285" y="3488348"/>
            <a:ext cx="2095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18288" anchor="ctr" upright="1">
            <a:spAutoFit/>
          </a:bodyPr>
          <a:lstStyle/>
          <a:p>
            <a:pPr algn="l" rtl="0">
              <a:defRPr sz="1000"/>
            </a:pPr>
            <a:r>
              <a:rPr lang="en-US" altLang="ja-JP" sz="800" b="0" i="0" u="none" strike="noStrike" baseline="0">
                <a:solidFill>
                  <a:srgbClr val="000000"/>
                </a:solidFill>
                <a:latin typeface="ＭＳ Ｐゴシック"/>
                <a:ea typeface="ＭＳ Ｐゴシック"/>
              </a:rPr>
              <a:t>0.1</a:t>
            </a:r>
          </a:p>
        </xdr:txBody>
      </xdr:sp>
      <xdr:sp macro="" textlink="">
        <xdr:nvSpPr>
          <xdr:cNvPr id="215" name="Text Box 174"/>
          <xdr:cNvSpPr txBox="1">
            <a:spLocks noChangeArrowheads="1"/>
          </xdr:cNvSpPr>
        </xdr:nvSpPr>
        <xdr:spPr bwMode="auto">
          <a:xfrm>
            <a:off x="3589460" y="3488348"/>
            <a:ext cx="2667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18288" anchor="ctr" upright="1">
            <a:spAutoFit/>
          </a:bodyPr>
          <a:lstStyle/>
          <a:p>
            <a:pPr algn="l" rtl="0">
              <a:defRPr sz="1000"/>
            </a:pPr>
            <a:r>
              <a:rPr lang="en-US" altLang="ja-JP" sz="800" b="0" i="0" u="none" strike="noStrike" baseline="0">
                <a:solidFill>
                  <a:srgbClr val="000000"/>
                </a:solidFill>
                <a:latin typeface="ＭＳ Ｐゴシック"/>
                <a:ea typeface="ＭＳ Ｐゴシック"/>
              </a:rPr>
              <a:t>0.01</a:t>
            </a:r>
          </a:p>
        </xdr:txBody>
      </xdr:sp>
      <xdr:sp macro="" textlink="">
        <xdr:nvSpPr>
          <xdr:cNvPr id="216" name="Text Box 176"/>
          <xdr:cNvSpPr txBox="1">
            <a:spLocks noChangeArrowheads="1"/>
          </xdr:cNvSpPr>
        </xdr:nvSpPr>
        <xdr:spPr bwMode="auto">
          <a:xfrm>
            <a:off x="4427660" y="3488348"/>
            <a:ext cx="2667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18288" anchor="ctr" upright="1">
            <a:spAutoFit/>
          </a:bodyPr>
          <a:lstStyle/>
          <a:p>
            <a:pPr algn="l" rtl="0">
              <a:defRPr sz="1000"/>
            </a:pPr>
            <a:r>
              <a:rPr lang="en-US" altLang="ja-JP" sz="800" b="0" i="0" u="none" strike="noStrike" baseline="0">
                <a:solidFill>
                  <a:srgbClr val="000000"/>
                </a:solidFill>
                <a:latin typeface="ＭＳ Ｐゴシック"/>
                <a:ea typeface="ＭＳ Ｐゴシック"/>
              </a:rPr>
              <a:t>0.05</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SE%20Service\Downloads\RECS-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SE%20Service\Downloads\RECS-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SE%20Service\Downloads\RECS-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CS-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SE%20Service\Downloads\RECS-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CS-3(U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SE%20Service\Downloads\RECS_1&#65381;2%20(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CS-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SE%20Service\Downloads\RECS-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低幹"/>
      <sheetName val="動配"/>
      <sheetName val="照差"/>
      <sheetName val="Top"/>
      <sheetName val="受変"/>
      <sheetName val="原価"/>
      <sheetName val="引込"/>
      <sheetName val="別表"/>
      <sheetName val="提出"/>
      <sheetName val="発電"/>
      <sheetName val="S3"/>
      <sheetName val="S5"/>
      <sheetName val="Help"/>
      <sheetName val="RECS-3"/>
      <sheetName val="TR81･82SC"/>
      <sheetName val="照"/>
      <sheetName val="3S-1(P)"/>
      <sheetName val="3S-1(L)"/>
      <sheetName val="TR81･82"/>
      <sheetName val="TR84･85"/>
      <sheetName val="TR84･85SC"/>
    </sheetNames>
    <definedNames>
      <definedName name="階高" refersTo="='照差'!$CR$234:$DC$253"/>
    </definedNames>
    <sheetDataSet>
      <sheetData sheetId="0">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t="str">
            <v>Help</v>
          </cell>
          <cell r="Z5">
            <v>0</v>
          </cell>
          <cell r="AA5">
            <v>0</v>
          </cell>
          <cell r="AB5">
            <v>0</v>
          </cell>
          <cell r="AC5">
            <v>0</v>
          </cell>
          <cell r="AD5">
            <v>0</v>
          </cell>
          <cell r="AE5" t="str">
            <v>許容電流</v>
          </cell>
          <cell r="AF5">
            <v>0</v>
          </cell>
          <cell r="AG5">
            <v>0</v>
          </cell>
          <cell r="AH5">
            <v>0</v>
          </cell>
          <cell r="AI5">
            <v>0</v>
          </cell>
          <cell r="AJ5">
            <v>0</v>
          </cell>
          <cell r="AK5">
            <v>0</v>
          </cell>
          <cell r="AL5">
            <v>0</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row>
        <row r="7">
          <cell r="E7">
            <v>0</v>
          </cell>
          <cell r="F7">
            <v>0</v>
          </cell>
          <cell r="G7" t="str">
            <v>前各項以外</v>
          </cell>
          <cell r="H7">
            <v>0</v>
          </cell>
          <cell r="I7">
            <v>0</v>
          </cell>
          <cell r="J7">
            <v>0</v>
          </cell>
          <cell r="K7">
            <v>0</v>
          </cell>
          <cell r="L7">
            <v>0</v>
          </cell>
          <cell r="M7">
            <v>0</v>
          </cell>
          <cell r="N7">
            <v>0</v>
          </cell>
          <cell r="O7">
            <v>0</v>
          </cell>
          <cell r="P7" t="str">
            <v>設備容量／面</v>
          </cell>
          <cell r="Q7">
            <v>0</v>
          </cell>
          <cell r="R7">
            <v>0</v>
          </cell>
          <cell r="S7">
            <v>0</v>
          </cell>
          <cell r="T7">
            <v>0</v>
          </cell>
          <cell r="U7">
            <v>0</v>
          </cell>
          <cell r="V7">
            <v>0</v>
          </cell>
          <cell r="W7">
            <v>0</v>
          </cell>
          <cell r="X7" t="str">
            <v>需要容量／面</v>
          </cell>
          <cell r="Y7">
            <v>0</v>
          </cell>
          <cell r="Z7">
            <v>0</v>
          </cell>
          <cell r="AA7">
            <v>0</v>
          </cell>
          <cell r="AB7">
            <v>0</v>
          </cell>
          <cell r="AC7">
            <v>0</v>
          </cell>
          <cell r="AD7">
            <v>0</v>
          </cell>
          <cell r="AE7">
            <v>0</v>
          </cell>
          <cell r="AF7" t="str">
            <v>電流 [A]</v>
          </cell>
          <cell r="AG7">
            <v>0</v>
          </cell>
          <cell r="AH7">
            <v>0</v>
          </cell>
          <cell r="AI7">
            <v>0</v>
          </cell>
          <cell r="AJ7">
            <v>0</v>
          </cell>
          <cell r="AK7" t="str">
            <v>配　線　材　料 ／面</v>
          </cell>
          <cell r="AL7">
            <v>0</v>
          </cell>
        </row>
        <row r="8">
          <cell r="E8">
            <v>0</v>
          </cell>
          <cell r="F8">
            <v>0</v>
          </cell>
          <cell r="G8">
            <v>0</v>
          </cell>
          <cell r="H8">
            <v>0</v>
          </cell>
          <cell r="I8" t="str">
            <v>面</v>
          </cell>
          <cell r="J8">
            <v>0</v>
          </cell>
          <cell r="K8" t="str">
            <v>電気方式</v>
          </cell>
          <cell r="L8">
            <v>0</v>
          </cell>
          <cell r="M8">
            <v>0</v>
          </cell>
          <cell r="N8">
            <v>0</v>
          </cell>
          <cell r="O8">
            <v>0</v>
          </cell>
          <cell r="P8" t="str">
            <v>KW</v>
          </cell>
          <cell r="Q8">
            <v>0</v>
          </cell>
          <cell r="R8">
            <v>0</v>
          </cell>
          <cell r="S8">
            <v>0</v>
          </cell>
          <cell r="T8" t="str">
            <v>KVar</v>
          </cell>
          <cell r="U8">
            <v>0</v>
          </cell>
          <cell r="V8">
            <v>0</v>
          </cell>
          <cell r="W8">
            <v>0</v>
          </cell>
          <cell r="X8" t="str">
            <v>DmKW</v>
          </cell>
          <cell r="Y8">
            <v>0</v>
          </cell>
          <cell r="Z8">
            <v>0</v>
          </cell>
          <cell r="AA8">
            <v>0</v>
          </cell>
          <cell r="AB8" t="str">
            <v>DmKVar</v>
          </cell>
          <cell r="AC8">
            <v>0</v>
          </cell>
          <cell r="AD8">
            <v>0</v>
          </cell>
          <cell r="AE8">
            <v>0</v>
          </cell>
          <cell r="AF8" t="str">
            <v>設備/需要</v>
          </cell>
          <cell r="AG8">
            <v>0</v>
          </cell>
          <cell r="AH8">
            <v>0</v>
          </cell>
          <cell r="AI8">
            <v>0</v>
          </cell>
          <cell r="AJ8">
            <v>0</v>
          </cell>
          <cell r="AK8" t="str">
            <v>名 称</v>
          </cell>
          <cell r="AL8">
            <v>0</v>
          </cell>
        </row>
        <row r="9">
          <cell r="E9">
            <v>0</v>
          </cell>
          <cell r="F9">
            <v>0</v>
          </cell>
          <cell r="G9">
            <v>0</v>
          </cell>
          <cell r="H9">
            <v>0</v>
          </cell>
          <cell r="I9">
            <v>2</v>
          </cell>
          <cell r="J9">
            <v>0</v>
          </cell>
          <cell r="K9" t="str">
            <v>1φ3W</v>
          </cell>
          <cell r="L9">
            <v>0</v>
          </cell>
          <cell r="M9">
            <v>0</v>
          </cell>
          <cell r="N9">
            <v>0</v>
          </cell>
          <cell r="O9">
            <v>0</v>
          </cell>
          <cell r="P9">
            <v>14.616000000000001</v>
          </cell>
          <cell r="Q9">
            <v>0</v>
          </cell>
          <cell r="R9">
            <v>0</v>
          </cell>
          <cell r="S9">
            <v>0</v>
          </cell>
          <cell r="T9">
            <v>2.4538100019645426</v>
          </cell>
          <cell r="U9">
            <v>0</v>
          </cell>
          <cell r="V9">
            <v>0</v>
          </cell>
          <cell r="W9">
            <v>0</v>
          </cell>
          <cell r="X9">
            <v>13.154400000000001</v>
          </cell>
          <cell r="Y9">
            <v>0</v>
          </cell>
          <cell r="Z9">
            <v>0</v>
          </cell>
          <cell r="AA9">
            <v>0</v>
          </cell>
          <cell r="AB9">
            <v>2.2084290017680885</v>
          </cell>
          <cell r="AC9">
            <v>0</v>
          </cell>
          <cell r="AD9">
            <v>0</v>
          </cell>
          <cell r="AE9">
            <v>0</v>
          </cell>
          <cell r="AF9">
            <v>70.574037533829198</v>
          </cell>
          <cell r="AG9">
            <v>0</v>
          </cell>
          <cell r="AH9">
            <v>0</v>
          </cell>
          <cell r="AI9">
            <v>0</v>
          </cell>
          <cell r="AJ9">
            <v>0</v>
          </cell>
          <cell r="AK9" t="str">
            <v>CVT</v>
          </cell>
          <cell r="AL9">
            <v>0</v>
          </cell>
        </row>
        <row r="10">
          <cell r="E10">
            <v>0</v>
          </cell>
          <cell r="F10">
            <v>0</v>
          </cell>
          <cell r="G10">
            <v>0</v>
          </cell>
          <cell r="H10">
            <v>0</v>
          </cell>
          <cell r="I10">
            <v>0</v>
          </cell>
          <cell r="J10">
            <v>0</v>
          </cell>
          <cell r="K10" t="str">
            <v>210/105V</v>
          </cell>
          <cell r="L10">
            <v>0</v>
          </cell>
          <cell r="M10">
            <v>0</v>
          </cell>
          <cell r="N10">
            <v>0</v>
          </cell>
          <cell r="O10">
            <v>0</v>
          </cell>
          <cell r="P10" t="str">
            <v>MCCB  225AF/125AT</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63.516633780446284</v>
          </cell>
          <cell r="AG10">
            <v>0</v>
          </cell>
          <cell r="AH10">
            <v>0</v>
          </cell>
          <cell r="AI10">
            <v>0</v>
          </cell>
          <cell r="AJ10">
            <v>0</v>
          </cell>
          <cell r="AK10" t="str">
            <v>基底温度</v>
          </cell>
          <cell r="AL10">
            <v>0</v>
          </cell>
        </row>
        <row r="11">
          <cell r="E11">
            <v>0</v>
          </cell>
          <cell r="F11">
            <v>0</v>
          </cell>
          <cell r="G11">
            <v>0</v>
          </cell>
          <cell r="H11">
            <v>0</v>
          </cell>
          <cell r="I11">
            <v>0</v>
          </cell>
          <cell r="J11">
            <v>0</v>
          </cell>
          <cell r="K11" t="str">
            <v/>
          </cell>
          <cell r="L11">
            <v>0</v>
          </cell>
          <cell r="M11">
            <v>0</v>
          </cell>
          <cell r="N11">
            <v>0</v>
          </cell>
          <cell r="O11">
            <v>0</v>
          </cell>
          <cell r="P11" t="str">
            <v/>
          </cell>
          <cell r="Q11">
            <v>0</v>
          </cell>
          <cell r="R11">
            <v>0</v>
          </cell>
          <cell r="S11">
            <v>0</v>
          </cell>
          <cell r="T11" t="str">
            <v/>
          </cell>
          <cell r="U11">
            <v>0</v>
          </cell>
          <cell r="V11">
            <v>0</v>
          </cell>
          <cell r="W11">
            <v>0</v>
          </cell>
          <cell r="X11" t="str">
            <v/>
          </cell>
          <cell r="Y11">
            <v>0</v>
          </cell>
          <cell r="Z11">
            <v>0</v>
          </cell>
          <cell r="AA11">
            <v>0</v>
          </cell>
          <cell r="AB11" t="str">
            <v/>
          </cell>
          <cell r="AC11">
            <v>0</v>
          </cell>
          <cell r="AD11">
            <v>0</v>
          </cell>
          <cell r="AE11">
            <v>0</v>
          </cell>
          <cell r="AF11" t="str">
            <v/>
          </cell>
          <cell r="AG11">
            <v>0</v>
          </cell>
          <cell r="AH11">
            <v>0</v>
          </cell>
          <cell r="AI11">
            <v>0</v>
          </cell>
          <cell r="AJ11">
            <v>0</v>
          </cell>
          <cell r="AK11" t="str">
            <v>CVT</v>
          </cell>
          <cell r="AL11">
            <v>0</v>
          </cell>
        </row>
        <row r="12">
          <cell r="E12">
            <v>0</v>
          </cell>
          <cell r="F12">
            <v>0</v>
          </cell>
          <cell r="G12">
            <v>0</v>
          </cell>
          <cell r="H12">
            <v>0</v>
          </cell>
          <cell r="I12">
            <v>0</v>
          </cell>
          <cell r="J12">
            <v>0</v>
          </cell>
          <cell r="K12" t="str">
            <v/>
          </cell>
          <cell r="L12">
            <v>0</v>
          </cell>
          <cell r="M12">
            <v>0</v>
          </cell>
          <cell r="N12">
            <v>0</v>
          </cell>
          <cell r="O12">
            <v>0</v>
          </cell>
          <cell r="P12" t="str">
            <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t="str">
            <v/>
          </cell>
          <cell r="AG12">
            <v>0</v>
          </cell>
          <cell r="AH12">
            <v>0</v>
          </cell>
          <cell r="AI12">
            <v>0</v>
          </cell>
          <cell r="AJ12">
            <v>0</v>
          </cell>
          <cell r="AK12" t="str">
            <v>基底温度</v>
          </cell>
          <cell r="AL12">
            <v>0</v>
          </cell>
        </row>
        <row r="13">
          <cell r="E13">
            <v>0</v>
          </cell>
          <cell r="F13">
            <v>0</v>
          </cell>
          <cell r="G13">
            <v>0</v>
          </cell>
          <cell r="H13">
            <v>0</v>
          </cell>
          <cell r="I13" t="str">
            <v/>
          </cell>
          <cell r="J13">
            <v>0</v>
          </cell>
          <cell r="K13" t="str">
            <v/>
          </cell>
          <cell r="L13">
            <v>0</v>
          </cell>
          <cell r="M13">
            <v>0</v>
          </cell>
          <cell r="N13">
            <v>0</v>
          </cell>
          <cell r="O13">
            <v>0</v>
          </cell>
          <cell r="P13" t="str">
            <v/>
          </cell>
          <cell r="Q13">
            <v>0</v>
          </cell>
          <cell r="R13">
            <v>0</v>
          </cell>
          <cell r="S13">
            <v>0</v>
          </cell>
          <cell r="T13" t="str">
            <v/>
          </cell>
          <cell r="U13">
            <v>0</v>
          </cell>
          <cell r="V13">
            <v>0</v>
          </cell>
          <cell r="W13">
            <v>0</v>
          </cell>
          <cell r="X13" t="str">
            <v/>
          </cell>
          <cell r="Y13">
            <v>0</v>
          </cell>
          <cell r="Z13">
            <v>0</v>
          </cell>
          <cell r="AA13">
            <v>0</v>
          </cell>
          <cell r="AB13" t="str">
            <v/>
          </cell>
          <cell r="AC13">
            <v>0</v>
          </cell>
          <cell r="AD13">
            <v>0</v>
          </cell>
          <cell r="AE13">
            <v>0</v>
          </cell>
          <cell r="AF13" t="str">
            <v/>
          </cell>
          <cell r="AG13">
            <v>0</v>
          </cell>
          <cell r="AH13">
            <v>0</v>
          </cell>
          <cell r="AI13">
            <v>0</v>
          </cell>
          <cell r="AJ13">
            <v>0</v>
          </cell>
          <cell r="AK13" t="str">
            <v>CVT</v>
          </cell>
          <cell r="AL13">
            <v>0</v>
          </cell>
        </row>
        <row r="14">
          <cell r="E14">
            <v>0</v>
          </cell>
          <cell r="F14">
            <v>0</v>
          </cell>
          <cell r="G14">
            <v>0</v>
          </cell>
          <cell r="H14">
            <v>0</v>
          </cell>
          <cell r="I14">
            <v>0</v>
          </cell>
          <cell r="J14">
            <v>0</v>
          </cell>
          <cell r="K14" t="str">
            <v/>
          </cell>
          <cell r="L14">
            <v>0</v>
          </cell>
          <cell r="M14">
            <v>0</v>
          </cell>
          <cell r="N14">
            <v>0</v>
          </cell>
          <cell r="O14">
            <v>0</v>
          </cell>
          <cell r="P14" t="str">
            <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t="str">
            <v/>
          </cell>
          <cell r="AG14">
            <v>0</v>
          </cell>
          <cell r="AH14">
            <v>0</v>
          </cell>
          <cell r="AI14">
            <v>0</v>
          </cell>
          <cell r="AJ14">
            <v>0</v>
          </cell>
          <cell r="AK14" t="str">
            <v>基底温度</v>
          </cell>
          <cell r="AL14">
            <v>0</v>
          </cell>
        </row>
        <row r="15">
          <cell r="E15">
            <v>0</v>
          </cell>
          <cell r="F15">
            <v>0</v>
          </cell>
          <cell r="G15">
            <v>0</v>
          </cell>
          <cell r="H15">
            <v>0</v>
          </cell>
          <cell r="I15">
            <v>0</v>
          </cell>
          <cell r="J15">
            <v>0</v>
          </cell>
          <cell r="K15" t="str">
            <v/>
          </cell>
          <cell r="L15">
            <v>0</v>
          </cell>
          <cell r="M15">
            <v>0</v>
          </cell>
          <cell r="N15">
            <v>0</v>
          </cell>
          <cell r="O15">
            <v>0</v>
          </cell>
          <cell r="P15" t="str">
            <v/>
          </cell>
          <cell r="Q15">
            <v>0</v>
          </cell>
          <cell r="R15">
            <v>0</v>
          </cell>
          <cell r="S15">
            <v>0</v>
          </cell>
          <cell r="T15" t="str">
            <v/>
          </cell>
          <cell r="U15">
            <v>0</v>
          </cell>
          <cell r="V15">
            <v>0</v>
          </cell>
          <cell r="W15">
            <v>0</v>
          </cell>
          <cell r="X15" t="str">
            <v/>
          </cell>
          <cell r="Y15">
            <v>0</v>
          </cell>
          <cell r="Z15">
            <v>0</v>
          </cell>
          <cell r="AA15">
            <v>0</v>
          </cell>
          <cell r="AB15" t="str">
            <v/>
          </cell>
          <cell r="AC15">
            <v>0</v>
          </cell>
          <cell r="AD15">
            <v>0</v>
          </cell>
          <cell r="AE15">
            <v>0</v>
          </cell>
          <cell r="AF15" t="str">
            <v/>
          </cell>
          <cell r="AG15">
            <v>0</v>
          </cell>
          <cell r="AH15">
            <v>0</v>
          </cell>
          <cell r="AI15">
            <v>0</v>
          </cell>
          <cell r="AJ15">
            <v>0</v>
          </cell>
          <cell r="AK15" t="str">
            <v>CVT</v>
          </cell>
          <cell r="AL15">
            <v>0</v>
          </cell>
        </row>
        <row r="16">
          <cell r="E16">
            <v>0</v>
          </cell>
          <cell r="F16">
            <v>0</v>
          </cell>
          <cell r="G16">
            <v>0</v>
          </cell>
          <cell r="H16">
            <v>0</v>
          </cell>
          <cell r="I16">
            <v>0</v>
          </cell>
          <cell r="J16">
            <v>0</v>
          </cell>
          <cell r="K16" t="str">
            <v/>
          </cell>
          <cell r="L16">
            <v>0</v>
          </cell>
          <cell r="M16">
            <v>0</v>
          </cell>
          <cell r="N16">
            <v>0</v>
          </cell>
          <cell r="O16">
            <v>0</v>
          </cell>
          <cell r="P16" t="str">
            <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t="str">
            <v/>
          </cell>
          <cell r="AG16">
            <v>0</v>
          </cell>
          <cell r="AH16">
            <v>0</v>
          </cell>
          <cell r="AI16">
            <v>0</v>
          </cell>
          <cell r="AJ16">
            <v>0</v>
          </cell>
          <cell r="AK16" t="str">
            <v>基底温度</v>
          </cell>
          <cell r="AL16">
            <v>0</v>
          </cell>
        </row>
        <row r="17">
          <cell r="E17">
            <v>0</v>
          </cell>
          <cell r="F17">
            <v>0</v>
          </cell>
          <cell r="G17">
            <v>0</v>
          </cell>
          <cell r="H17">
            <v>0</v>
          </cell>
          <cell r="I17">
            <v>1</v>
          </cell>
          <cell r="J17">
            <v>0</v>
          </cell>
          <cell r="K17" t="str">
            <v>3φ3W</v>
          </cell>
          <cell r="L17">
            <v>0</v>
          </cell>
          <cell r="M17">
            <v>0</v>
          </cell>
          <cell r="N17">
            <v>0</v>
          </cell>
          <cell r="O17">
            <v>0</v>
          </cell>
          <cell r="P17">
            <v>56.61733079126401</v>
          </cell>
          <cell r="Q17">
            <v>0</v>
          </cell>
          <cell r="R17">
            <v>0</v>
          </cell>
          <cell r="S17">
            <v>0</v>
          </cell>
          <cell r="T17">
            <v>48.666666520949803</v>
          </cell>
          <cell r="U17">
            <v>0</v>
          </cell>
          <cell r="V17">
            <v>0</v>
          </cell>
          <cell r="W17">
            <v>0</v>
          </cell>
          <cell r="X17">
            <v>41.041473591598155</v>
          </cell>
          <cell r="Y17">
            <v>0</v>
          </cell>
          <cell r="Z17">
            <v>0</v>
          </cell>
          <cell r="AA17">
            <v>0</v>
          </cell>
          <cell r="AB17">
            <v>42.446041201494275</v>
          </cell>
          <cell r="AC17">
            <v>0</v>
          </cell>
          <cell r="AD17">
            <v>0</v>
          </cell>
          <cell r="AE17">
            <v>0</v>
          </cell>
          <cell r="AF17">
            <v>205.25902327999867</v>
          </cell>
          <cell r="AG17">
            <v>0</v>
          </cell>
          <cell r="AH17">
            <v>0</v>
          </cell>
          <cell r="AI17">
            <v>0</v>
          </cell>
          <cell r="AJ17">
            <v>0</v>
          </cell>
          <cell r="AK17" t="str">
            <v>CVT</v>
          </cell>
          <cell r="AL17">
            <v>0</v>
          </cell>
        </row>
        <row r="18">
          <cell r="E18">
            <v>0</v>
          </cell>
          <cell r="F18">
            <v>0</v>
          </cell>
          <cell r="G18">
            <v>0</v>
          </cell>
          <cell r="H18">
            <v>0</v>
          </cell>
          <cell r="I18">
            <v>0</v>
          </cell>
          <cell r="J18">
            <v>0</v>
          </cell>
          <cell r="K18" t="str">
            <v>210V</v>
          </cell>
          <cell r="L18">
            <v>0</v>
          </cell>
          <cell r="M18">
            <v>0</v>
          </cell>
          <cell r="N18">
            <v>0</v>
          </cell>
          <cell r="O18">
            <v>0</v>
          </cell>
          <cell r="P18" t="str">
            <v>MCCB  225AF/175AT</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162.32599191491946</v>
          </cell>
          <cell r="AG18">
            <v>0</v>
          </cell>
          <cell r="AH18">
            <v>0</v>
          </cell>
          <cell r="AI18">
            <v>0</v>
          </cell>
          <cell r="AJ18">
            <v>0</v>
          </cell>
          <cell r="AK18" t="str">
            <v>基底温度</v>
          </cell>
          <cell r="AL18">
            <v>0</v>
          </cell>
        </row>
        <row r="19">
          <cell r="E19">
            <v>0</v>
          </cell>
          <cell r="F19">
            <v>0</v>
          </cell>
          <cell r="G19">
            <v>0</v>
          </cell>
          <cell r="H19">
            <v>0</v>
          </cell>
          <cell r="I19">
            <v>0</v>
          </cell>
          <cell r="J19">
            <v>0</v>
          </cell>
          <cell r="K19">
            <v>0</v>
          </cell>
          <cell r="L19">
            <v>0</v>
          </cell>
          <cell r="M19">
            <v>0</v>
          </cell>
          <cell r="N19">
            <v>0</v>
          </cell>
          <cell r="O19">
            <v>0</v>
          </cell>
          <cell r="P19" t="str">
            <v/>
          </cell>
          <cell r="Q19">
            <v>0</v>
          </cell>
          <cell r="R19">
            <v>0</v>
          </cell>
          <cell r="S19">
            <v>0</v>
          </cell>
          <cell r="T19" t="str">
            <v/>
          </cell>
          <cell r="U19">
            <v>0</v>
          </cell>
          <cell r="V19">
            <v>0</v>
          </cell>
          <cell r="W19">
            <v>0</v>
          </cell>
          <cell r="X19" t="str">
            <v/>
          </cell>
          <cell r="Y19">
            <v>0</v>
          </cell>
          <cell r="Z19">
            <v>0</v>
          </cell>
          <cell r="AA19">
            <v>0</v>
          </cell>
          <cell r="AB19" t="str">
            <v/>
          </cell>
          <cell r="AC19">
            <v>0</v>
          </cell>
          <cell r="AD19">
            <v>0</v>
          </cell>
          <cell r="AE19">
            <v>0</v>
          </cell>
          <cell r="AF19" t="str">
            <v/>
          </cell>
          <cell r="AG19">
            <v>0</v>
          </cell>
          <cell r="AH19">
            <v>0</v>
          </cell>
          <cell r="AI19">
            <v>0</v>
          </cell>
          <cell r="AJ19">
            <v>0</v>
          </cell>
          <cell r="AK19" t="str">
            <v>CVT</v>
          </cell>
          <cell r="AL19">
            <v>0</v>
          </cell>
        </row>
        <row r="20">
          <cell r="E20">
            <v>0</v>
          </cell>
          <cell r="F20">
            <v>0</v>
          </cell>
          <cell r="G20">
            <v>0</v>
          </cell>
          <cell r="H20">
            <v>0</v>
          </cell>
          <cell r="I20">
            <v>0</v>
          </cell>
          <cell r="J20">
            <v>0</v>
          </cell>
          <cell r="K20">
            <v>0</v>
          </cell>
          <cell r="L20">
            <v>0</v>
          </cell>
          <cell r="M20">
            <v>0</v>
          </cell>
          <cell r="N20">
            <v>0</v>
          </cell>
          <cell r="O20">
            <v>0</v>
          </cell>
          <cell r="P20" t="str">
            <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t="str">
            <v/>
          </cell>
          <cell r="AG20">
            <v>0</v>
          </cell>
          <cell r="AH20">
            <v>0</v>
          </cell>
          <cell r="AI20">
            <v>0</v>
          </cell>
          <cell r="AJ20">
            <v>0</v>
          </cell>
          <cell r="AK20" t="str">
            <v>基底温度</v>
          </cell>
          <cell r="AL20">
            <v>0</v>
          </cell>
        </row>
        <row r="21">
          <cell r="E21">
            <v>0</v>
          </cell>
          <cell r="F21" t="str">
            <v>ケーブル配線工事</v>
          </cell>
          <cell r="G21">
            <v>0</v>
          </cell>
          <cell r="H21">
            <v>0</v>
          </cell>
          <cell r="I21">
            <v>0</v>
          </cell>
          <cell r="J21">
            <v>0</v>
          </cell>
          <cell r="K21">
            <v>0</v>
          </cell>
          <cell r="L21">
            <v>0</v>
          </cell>
          <cell r="M21">
            <v>0</v>
          </cell>
          <cell r="N21" t="str">
            <v>▼</v>
          </cell>
          <cell r="O21" t="str">
            <v>ケーブル配線工事</v>
          </cell>
          <cell r="P21">
            <v>0</v>
          </cell>
          <cell r="Q21">
            <v>0</v>
          </cell>
          <cell r="R21">
            <v>0</v>
          </cell>
          <cell r="S21">
            <v>0</v>
          </cell>
          <cell r="T21">
            <v>0</v>
          </cell>
          <cell r="U21">
            <v>0</v>
          </cell>
          <cell r="V21" t="str">
            <v>配管</v>
          </cell>
          <cell r="W21">
            <v>0</v>
          </cell>
          <cell r="X21">
            <v>0</v>
          </cell>
          <cell r="Y21" t="str">
            <v>ケーブルラック工事(1段)</v>
          </cell>
          <cell r="Z21">
            <v>0</v>
          </cell>
          <cell r="AA21">
            <v>0</v>
          </cell>
          <cell r="AB21">
            <v>0</v>
          </cell>
          <cell r="AC21">
            <v>0</v>
          </cell>
          <cell r="AD21">
            <v>0</v>
          </cell>
          <cell r="AE21">
            <v>0</v>
          </cell>
          <cell r="AF21">
            <v>0</v>
          </cell>
          <cell r="AG21">
            <v>0</v>
          </cell>
          <cell r="AH21" t="str">
            <v>▼</v>
          </cell>
          <cell r="AI21" t="str">
            <v>ケーブルラック工事(1段)</v>
          </cell>
          <cell r="AJ21">
            <v>0</v>
          </cell>
          <cell r="AK21">
            <v>0</v>
          </cell>
          <cell r="AL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E23">
            <v>0</v>
          </cell>
          <cell r="F23">
            <v>0</v>
          </cell>
          <cell r="G23" t="str">
            <v>車庫等</v>
          </cell>
          <cell r="H23">
            <v>0</v>
          </cell>
          <cell r="I23">
            <v>0</v>
          </cell>
          <cell r="J23">
            <v>0</v>
          </cell>
          <cell r="K23">
            <v>0</v>
          </cell>
          <cell r="L23">
            <v>0</v>
          </cell>
          <cell r="M23">
            <v>0</v>
          </cell>
          <cell r="N23">
            <v>0</v>
          </cell>
          <cell r="O23">
            <v>0</v>
          </cell>
          <cell r="P23" t="str">
            <v>設備容量／面</v>
          </cell>
          <cell r="Q23">
            <v>0</v>
          </cell>
          <cell r="R23">
            <v>0</v>
          </cell>
          <cell r="S23">
            <v>0</v>
          </cell>
          <cell r="T23">
            <v>0</v>
          </cell>
          <cell r="U23">
            <v>0</v>
          </cell>
          <cell r="V23">
            <v>0</v>
          </cell>
          <cell r="W23">
            <v>0</v>
          </cell>
          <cell r="X23" t="str">
            <v>需要容量／面</v>
          </cell>
          <cell r="Y23">
            <v>0</v>
          </cell>
          <cell r="Z23">
            <v>0</v>
          </cell>
          <cell r="AA23">
            <v>0</v>
          </cell>
          <cell r="AB23">
            <v>0</v>
          </cell>
          <cell r="AC23">
            <v>0</v>
          </cell>
          <cell r="AD23">
            <v>0</v>
          </cell>
          <cell r="AE23">
            <v>0</v>
          </cell>
          <cell r="AF23" t="str">
            <v>電流 [A]</v>
          </cell>
          <cell r="AG23">
            <v>0</v>
          </cell>
          <cell r="AH23">
            <v>0</v>
          </cell>
          <cell r="AI23">
            <v>0</v>
          </cell>
          <cell r="AJ23">
            <v>0</v>
          </cell>
          <cell r="AK23" t="str">
            <v>配　線　材　料　／面</v>
          </cell>
          <cell r="AL23">
            <v>0</v>
          </cell>
        </row>
        <row r="24">
          <cell r="E24">
            <v>0</v>
          </cell>
          <cell r="F24">
            <v>0</v>
          </cell>
          <cell r="G24">
            <v>0</v>
          </cell>
          <cell r="H24">
            <v>0</v>
          </cell>
          <cell r="I24" t="str">
            <v>面</v>
          </cell>
          <cell r="J24">
            <v>0</v>
          </cell>
          <cell r="K24" t="str">
            <v>電気方式</v>
          </cell>
          <cell r="L24">
            <v>0</v>
          </cell>
          <cell r="M24">
            <v>0</v>
          </cell>
          <cell r="N24">
            <v>0</v>
          </cell>
          <cell r="O24">
            <v>0</v>
          </cell>
          <cell r="P24" t="str">
            <v>KW</v>
          </cell>
          <cell r="Q24">
            <v>0</v>
          </cell>
          <cell r="R24">
            <v>0</v>
          </cell>
          <cell r="S24">
            <v>0</v>
          </cell>
          <cell r="T24" t="str">
            <v>KVar</v>
          </cell>
          <cell r="U24">
            <v>0</v>
          </cell>
          <cell r="V24">
            <v>0</v>
          </cell>
          <cell r="W24">
            <v>0</v>
          </cell>
          <cell r="X24" t="str">
            <v>DmKW</v>
          </cell>
          <cell r="Y24">
            <v>0</v>
          </cell>
          <cell r="Z24">
            <v>0</v>
          </cell>
          <cell r="AA24">
            <v>0</v>
          </cell>
          <cell r="AB24" t="str">
            <v>DmKVar</v>
          </cell>
          <cell r="AC24">
            <v>0</v>
          </cell>
          <cell r="AD24">
            <v>0</v>
          </cell>
          <cell r="AE24">
            <v>0</v>
          </cell>
          <cell r="AF24" t="str">
            <v>設備/需要</v>
          </cell>
          <cell r="AG24">
            <v>0</v>
          </cell>
          <cell r="AH24">
            <v>0</v>
          </cell>
          <cell r="AI24">
            <v>0</v>
          </cell>
          <cell r="AJ24">
            <v>0</v>
          </cell>
          <cell r="AK24" t="str">
            <v>名 称</v>
          </cell>
          <cell r="AL24">
            <v>0</v>
          </cell>
        </row>
        <row r="25">
          <cell r="E25">
            <v>0</v>
          </cell>
          <cell r="F25">
            <v>0</v>
          </cell>
          <cell r="G25">
            <v>0</v>
          </cell>
          <cell r="H25">
            <v>0</v>
          </cell>
          <cell r="I25">
            <v>1</v>
          </cell>
          <cell r="J25">
            <v>0</v>
          </cell>
          <cell r="K25" t="str">
            <v>1φ3W</v>
          </cell>
          <cell r="L25">
            <v>0</v>
          </cell>
          <cell r="M25">
            <v>0</v>
          </cell>
          <cell r="N25">
            <v>0</v>
          </cell>
          <cell r="O25">
            <v>0</v>
          </cell>
          <cell r="P25">
            <v>8.9999999999999982</v>
          </cell>
          <cell r="Q25">
            <v>0</v>
          </cell>
          <cell r="R25">
            <v>0</v>
          </cell>
          <cell r="S25">
            <v>0</v>
          </cell>
          <cell r="T25">
            <v>1.6614239005281675</v>
          </cell>
          <cell r="U25">
            <v>0</v>
          </cell>
          <cell r="V25">
            <v>0</v>
          </cell>
          <cell r="W25">
            <v>0</v>
          </cell>
          <cell r="X25">
            <v>8.0999999999999979</v>
          </cell>
          <cell r="Y25">
            <v>0</v>
          </cell>
          <cell r="Z25">
            <v>0</v>
          </cell>
          <cell r="AA25">
            <v>0</v>
          </cell>
          <cell r="AB25">
            <v>1.4952815104753507</v>
          </cell>
          <cell r="AC25">
            <v>0</v>
          </cell>
          <cell r="AD25">
            <v>0</v>
          </cell>
          <cell r="AE25">
            <v>0</v>
          </cell>
          <cell r="AF25">
            <v>43.581271169654428</v>
          </cell>
          <cell r="AG25">
            <v>0</v>
          </cell>
          <cell r="AH25">
            <v>0</v>
          </cell>
          <cell r="AI25">
            <v>0</v>
          </cell>
          <cell r="AJ25">
            <v>0</v>
          </cell>
          <cell r="AK25" t="str">
            <v>CVT</v>
          </cell>
          <cell r="AL25">
            <v>0</v>
          </cell>
        </row>
        <row r="26">
          <cell r="E26">
            <v>0</v>
          </cell>
          <cell r="F26">
            <v>0</v>
          </cell>
          <cell r="G26">
            <v>0</v>
          </cell>
          <cell r="H26">
            <v>0</v>
          </cell>
          <cell r="I26">
            <v>0</v>
          </cell>
          <cell r="J26">
            <v>0</v>
          </cell>
          <cell r="K26" t="str">
            <v>210/105V</v>
          </cell>
          <cell r="L26">
            <v>0</v>
          </cell>
          <cell r="M26">
            <v>0</v>
          </cell>
          <cell r="N26">
            <v>0</v>
          </cell>
          <cell r="O26">
            <v>0</v>
          </cell>
          <cell r="P26" t="str">
            <v>MCCB  100AF/100AT</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39.223144052688987</v>
          </cell>
          <cell r="AG26">
            <v>0</v>
          </cell>
          <cell r="AH26">
            <v>0</v>
          </cell>
          <cell r="AI26">
            <v>0</v>
          </cell>
          <cell r="AJ26">
            <v>0</v>
          </cell>
          <cell r="AK26" t="str">
            <v>基底温度</v>
          </cell>
          <cell r="AL26">
            <v>0</v>
          </cell>
        </row>
        <row r="27">
          <cell r="E27">
            <v>0</v>
          </cell>
          <cell r="F27">
            <v>0</v>
          </cell>
          <cell r="G27">
            <v>0</v>
          </cell>
          <cell r="H27">
            <v>0</v>
          </cell>
          <cell r="I27">
            <v>0</v>
          </cell>
          <cell r="J27">
            <v>0</v>
          </cell>
          <cell r="K27" t="str">
            <v/>
          </cell>
          <cell r="L27">
            <v>0</v>
          </cell>
          <cell r="M27">
            <v>0</v>
          </cell>
          <cell r="N27">
            <v>0</v>
          </cell>
          <cell r="O27">
            <v>0</v>
          </cell>
          <cell r="P27" t="str">
            <v/>
          </cell>
          <cell r="Q27">
            <v>0</v>
          </cell>
          <cell r="R27">
            <v>0</v>
          </cell>
          <cell r="S27">
            <v>0</v>
          </cell>
          <cell r="T27" t="str">
            <v/>
          </cell>
          <cell r="U27">
            <v>0</v>
          </cell>
          <cell r="V27">
            <v>0</v>
          </cell>
          <cell r="W27">
            <v>0</v>
          </cell>
          <cell r="X27" t="str">
            <v/>
          </cell>
          <cell r="Y27">
            <v>0</v>
          </cell>
          <cell r="Z27">
            <v>0</v>
          </cell>
          <cell r="AA27">
            <v>0</v>
          </cell>
          <cell r="AB27" t="str">
            <v/>
          </cell>
          <cell r="AC27">
            <v>0</v>
          </cell>
          <cell r="AD27">
            <v>0</v>
          </cell>
          <cell r="AE27">
            <v>0</v>
          </cell>
          <cell r="AF27" t="str">
            <v/>
          </cell>
          <cell r="AG27">
            <v>0</v>
          </cell>
          <cell r="AH27">
            <v>0</v>
          </cell>
          <cell r="AI27">
            <v>0</v>
          </cell>
          <cell r="AJ27">
            <v>0</v>
          </cell>
          <cell r="AK27" t="str">
            <v>CVT</v>
          </cell>
          <cell r="AL27">
            <v>0</v>
          </cell>
        </row>
        <row r="28">
          <cell r="E28">
            <v>0</v>
          </cell>
          <cell r="F28">
            <v>0</v>
          </cell>
          <cell r="G28">
            <v>0</v>
          </cell>
          <cell r="H28">
            <v>0</v>
          </cell>
          <cell r="I28">
            <v>0</v>
          </cell>
          <cell r="J28">
            <v>0</v>
          </cell>
          <cell r="K28" t="str">
            <v/>
          </cell>
          <cell r="L28">
            <v>0</v>
          </cell>
          <cell r="M28">
            <v>0</v>
          </cell>
          <cell r="N28">
            <v>0</v>
          </cell>
          <cell r="O28">
            <v>0</v>
          </cell>
          <cell r="P28" t="str">
            <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t="str">
            <v/>
          </cell>
          <cell r="AG28">
            <v>0</v>
          </cell>
          <cell r="AH28">
            <v>0</v>
          </cell>
          <cell r="AI28">
            <v>0</v>
          </cell>
          <cell r="AJ28">
            <v>0</v>
          </cell>
          <cell r="AK28" t="str">
            <v>基底温度</v>
          </cell>
          <cell r="AL28">
            <v>0</v>
          </cell>
        </row>
        <row r="29">
          <cell r="E29">
            <v>0</v>
          </cell>
          <cell r="F29">
            <v>0</v>
          </cell>
          <cell r="G29">
            <v>0</v>
          </cell>
          <cell r="H29">
            <v>0</v>
          </cell>
          <cell r="I29" t="str">
            <v/>
          </cell>
          <cell r="J29">
            <v>0</v>
          </cell>
          <cell r="K29" t="str">
            <v/>
          </cell>
          <cell r="L29">
            <v>0</v>
          </cell>
          <cell r="M29">
            <v>0</v>
          </cell>
          <cell r="N29">
            <v>0</v>
          </cell>
          <cell r="O29">
            <v>0</v>
          </cell>
          <cell r="P29" t="str">
            <v/>
          </cell>
          <cell r="Q29">
            <v>0</v>
          </cell>
          <cell r="R29">
            <v>0</v>
          </cell>
          <cell r="S29">
            <v>0</v>
          </cell>
          <cell r="T29" t="str">
            <v/>
          </cell>
          <cell r="U29">
            <v>0</v>
          </cell>
          <cell r="V29">
            <v>0</v>
          </cell>
          <cell r="W29">
            <v>0</v>
          </cell>
          <cell r="X29" t="str">
            <v/>
          </cell>
          <cell r="Y29">
            <v>0</v>
          </cell>
          <cell r="Z29">
            <v>0</v>
          </cell>
          <cell r="AA29">
            <v>0</v>
          </cell>
          <cell r="AB29" t="str">
            <v/>
          </cell>
          <cell r="AC29">
            <v>0</v>
          </cell>
          <cell r="AD29">
            <v>0</v>
          </cell>
          <cell r="AE29">
            <v>0</v>
          </cell>
          <cell r="AF29" t="str">
            <v/>
          </cell>
          <cell r="AG29">
            <v>0</v>
          </cell>
          <cell r="AH29">
            <v>0</v>
          </cell>
          <cell r="AI29">
            <v>0</v>
          </cell>
          <cell r="AJ29">
            <v>0</v>
          </cell>
          <cell r="AK29" t="str">
            <v>CVT</v>
          </cell>
          <cell r="AL29">
            <v>0</v>
          </cell>
        </row>
        <row r="30">
          <cell r="E30">
            <v>0</v>
          </cell>
          <cell r="F30">
            <v>0</v>
          </cell>
          <cell r="G30">
            <v>0</v>
          </cell>
          <cell r="H30">
            <v>0</v>
          </cell>
          <cell r="I30">
            <v>0</v>
          </cell>
          <cell r="J30">
            <v>0</v>
          </cell>
          <cell r="K30" t="str">
            <v/>
          </cell>
          <cell r="L30">
            <v>0</v>
          </cell>
          <cell r="M30">
            <v>0</v>
          </cell>
          <cell r="N30">
            <v>0</v>
          </cell>
          <cell r="O30">
            <v>0</v>
          </cell>
          <cell r="P30" t="str">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t="str">
            <v/>
          </cell>
          <cell r="AG30">
            <v>0</v>
          </cell>
          <cell r="AH30">
            <v>0</v>
          </cell>
          <cell r="AI30">
            <v>0</v>
          </cell>
          <cell r="AJ30">
            <v>0</v>
          </cell>
          <cell r="AK30" t="str">
            <v>基底温度</v>
          </cell>
          <cell r="AL30">
            <v>0</v>
          </cell>
        </row>
        <row r="31">
          <cell r="E31">
            <v>0</v>
          </cell>
          <cell r="F31">
            <v>0</v>
          </cell>
          <cell r="G31">
            <v>0</v>
          </cell>
          <cell r="H31">
            <v>0</v>
          </cell>
          <cell r="I31">
            <v>0</v>
          </cell>
          <cell r="J31">
            <v>0</v>
          </cell>
          <cell r="K31" t="str">
            <v/>
          </cell>
          <cell r="L31">
            <v>0</v>
          </cell>
          <cell r="M31">
            <v>0</v>
          </cell>
          <cell r="N31">
            <v>0</v>
          </cell>
          <cell r="O31">
            <v>0</v>
          </cell>
          <cell r="P31" t="str">
            <v/>
          </cell>
          <cell r="Q31">
            <v>0</v>
          </cell>
          <cell r="R31">
            <v>0</v>
          </cell>
          <cell r="S31">
            <v>0</v>
          </cell>
          <cell r="T31" t="str">
            <v/>
          </cell>
          <cell r="U31">
            <v>0</v>
          </cell>
          <cell r="V31">
            <v>0</v>
          </cell>
          <cell r="W31">
            <v>0</v>
          </cell>
          <cell r="X31" t="str">
            <v/>
          </cell>
          <cell r="Y31">
            <v>0</v>
          </cell>
          <cell r="Z31">
            <v>0</v>
          </cell>
          <cell r="AA31">
            <v>0</v>
          </cell>
          <cell r="AB31" t="str">
            <v/>
          </cell>
          <cell r="AC31">
            <v>0</v>
          </cell>
          <cell r="AD31">
            <v>0</v>
          </cell>
          <cell r="AE31">
            <v>0</v>
          </cell>
          <cell r="AF31" t="str">
            <v/>
          </cell>
          <cell r="AG31">
            <v>0</v>
          </cell>
          <cell r="AH31">
            <v>0</v>
          </cell>
          <cell r="AI31">
            <v>0</v>
          </cell>
          <cell r="AJ31">
            <v>0</v>
          </cell>
          <cell r="AK31" t="str">
            <v>CVT</v>
          </cell>
          <cell r="AL31">
            <v>0</v>
          </cell>
        </row>
        <row r="32">
          <cell r="E32">
            <v>0</v>
          </cell>
          <cell r="F32">
            <v>0</v>
          </cell>
          <cell r="G32">
            <v>0</v>
          </cell>
          <cell r="H32">
            <v>0</v>
          </cell>
          <cell r="I32">
            <v>0</v>
          </cell>
          <cell r="J32">
            <v>0</v>
          </cell>
          <cell r="K32" t="str">
            <v/>
          </cell>
          <cell r="L32">
            <v>0</v>
          </cell>
          <cell r="M32">
            <v>0</v>
          </cell>
          <cell r="N32">
            <v>0</v>
          </cell>
          <cell r="O32">
            <v>0</v>
          </cell>
          <cell r="P32" t="str">
            <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t="str">
            <v/>
          </cell>
          <cell r="AG32">
            <v>0</v>
          </cell>
          <cell r="AH32">
            <v>0</v>
          </cell>
          <cell r="AI32">
            <v>0</v>
          </cell>
          <cell r="AJ32">
            <v>0</v>
          </cell>
          <cell r="AK32" t="str">
            <v>基底温度</v>
          </cell>
          <cell r="AL32">
            <v>0</v>
          </cell>
        </row>
        <row r="33">
          <cell r="E33">
            <v>0</v>
          </cell>
          <cell r="F33">
            <v>0</v>
          </cell>
          <cell r="G33">
            <v>0</v>
          </cell>
          <cell r="H33">
            <v>0</v>
          </cell>
          <cell r="I33">
            <v>1</v>
          </cell>
          <cell r="J33">
            <v>0</v>
          </cell>
          <cell r="K33" t="str">
            <v>3φ3W</v>
          </cell>
          <cell r="L33">
            <v>0</v>
          </cell>
          <cell r="M33">
            <v>0</v>
          </cell>
          <cell r="N33">
            <v>0</v>
          </cell>
          <cell r="O33">
            <v>0</v>
          </cell>
          <cell r="P33">
            <v>44.673404524004852</v>
          </cell>
          <cell r="Q33">
            <v>0</v>
          </cell>
          <cell r="R33">
            <v>0</v>
          </cell>
          <cell r="S33">
            <v>0</v>
          </cell>
          <cell r="T33">
            <v>35.879472218092879</v>
          </cell>
          <cell r="U33">
            <v>0</v>
          </cell>
          <cell r="V33">
            <v>0</v>
          </cell>
          <cell r="W33">
            <v>0</v>
          </cell>
          <cell r="X33">
            <v>37.557152916024144</v>
          </cell>
          <cell r="Y33">
            <v>0</v>
          </cell>
          <cell r="Z33">
            <v>0</v>
          </cell>
          <cell r="AA33">
            <v>0</v>
          </cell>
          <cell r="AB33">
            <v>37.852474720623391</v>
          </cell>
          <cell r="AC33">
            <v>0</v>
          </cell>
          <cell r="AD33">
            <v>0</v>
          </cell>
          <cell r="AE33">
            <v>0</v>
          </cell>
          <cell r="AF33">
            <v>157.52837747005066</v>
          </cell>
          <cell r="AG33">
            <v>0</v>
          </cell>
          <cell r="AH33">
            <v>0</v>
          </cell>
          <cell r="AI33">
            <v>0</v>
          </cell>
          <cell r="AJ33">
            <v>0</v>
          </cell>
          <cell r="AK33" t="str">
            <v>CVT</v>
          </cell>
          <cell r="AL33">
            <v>0</v>
          </cell>
        </row>
        <row r="34">
          <cell r="E34">
            <v>0</v>
          </cell>
          <cell r="F34">
            <v>0</v>
          </cell>
          <cell r="G34">
            <v>0</v>
          </cell>
          <cell r="H34">
            <v>0</v>
          </cell>
          <cell r="I34">
            <v>0</v>
          </cell>
          <cell r="J34">
            <v>0</v>
          </cell>
          <cell r="K34" t="str">
            <v>210V</v>
          </cell>
          <cell r="L34">
            <v>0</v>
          </cell>
          <cell r="M34">
            <v>0</v>
          </cell>
          <cell r="N34">
            <v>0</v>
          </cell>
          <cell r="O34">
            <v>0</v>
          </cell>
          <cell r="P34" t="str">
            <v>MCCB  225AF/150AT</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146.60041736168495</v>
          </cell>
          <cell r="AG34">
            <v>0</v>
          </cell>
          <cell r="AH34">
            <v>0</v>
          </cell>
          <cell r="AI34">
            <v>0</v>
          </cell>
          <cell r="AJ34">
            <v>0</v>
          </cell>
          <cell r="AK34" t="str">
            <v>基底温度</v>
          </cell>
          <cell r="AL34">
            <v>0</v>
          </cell>
        </row>
        <row r="35">
          <cell r="E35">
            <v>0</v>
          </cell>
          <cell r="F35">
            <v>0</v>
          </cell>
          <cell r="G35">
            <v>0</v>
          </cell>
          <cell r="H35">
            <v>0</v>
          </cell>
          <cell r="I35">
            <v>0</v>
          </cell>
          <cell r="J35">
            <v>0</v>
          </cell>
          <cell r="K35">
            <v>0</v>
          </cell>
          <cell r="L35">
            <v>0</v>
          </cell>
          <cell r="M35">
            <v>0</v>
          </cell>
          <cell r="N35">
            <v>0</v>
          </cell>
          <cell r="O35">
            <v>0</v>
          </cell>
          <cell r="P35" t="str">
            <v/>
          </cell>
          <cell r="Q35">
            <v>0</v>
          </cell>
          <cell r="R35">
            <v>0</v>
          </cell>
          <cell r="S35">
            <v>0</v>
          </cell>
          <cell r="T35" t="str">
            <v/>
          </cell>
          <cell r="U35">
            <v>0</v>
          </cell>
          <cell r="V35">
            <v>0</v>
          </cell>
          <cell r="W35">
            <v>0</v>
          </cell>
          <cell r="X35" t="str">
            <v/>
          </cell>
          <cell r="Y35">
            <v>0</v>
          </cell>
          <cell r="Z35">
            <v>0</v>
          </cell>
          <cell r="AA35">
            <v>0</v>
          </cell>
          <cell r="AB35" t="str">
            <v/>
          </cell>
          <cell r="AC35">
            <v>0</v>
          </cell>
          <cell r="AD35">
            <v>0</v>
          </cell>
          <cell r="AE35">
            <v>0</v>
          </cell>
          <cell r="AF35" t="str">
            <v/>
          </cell>
          <cell r="AG35">
            <v>0</v>
          </cell>
          <cell r="AH35">
            <v>0</v>
          </cell>
          <cell r="AI35">
            <v>0</v>
          </cell>
          <cell r="AJ35">
            <v>0</v>
          </cell>
          <cell r="AK35" t="str">
            <v>CVT</v>
          </cell>
          <cell r="AL35">
            <v>0</v>
          </cell>
        </row>
        <row r="36">
          <cell r="E36">
            <v>0</v>
          </cell>
          <cell r="F36">
            <v>0</v>
          </cell>
          <cell r="G36">
            <v>0</v>
          </cell>
          <cell r="H36">
            <v>0</v>
          </cell>
          <cell r="I36">
            <v>0</v>
          </cell>
          <cell r="J36">
            <v>0</v>
          </cell>
          <cell r="K36">
            <v>0</v>
          </cell>
          <cell r="L36">
            <v>0</v>
          </cell>
          <cell r="M36">
            <v>0</v>
          </cell>
          <cell r="N36">
            <v>0</v>
          </cell>
          <cell r="O36">
            <v>0</v>
          </cell>
          <cell r="P36" t="str">
            <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t="str">
            <v/>
          </cell>
          <cell r="AG36">
            <v>0</v>
          </cell>
          <cell r="AH36">
            <v>0</v>
          </cell>
          <cell r="AI36">
            <v>0</v>
          </cell>
          <cell r="AJ36">
            <v>0</v>
          </cell>
          <cell r="AK36" t="str">
            <v>基底温度</v>
          </cell>
          <cell r="AL36">
            <v>0</v>
          </cell>
        </row>
        <row r="37">
          <cell r="E37">
            <v>0</v>
          </cell>
          <cell r="F37" t="str">
            <v>ケーブル配線工事</v>
          </cell>
          <cell r="G37">
            <v>0</v>
          </cell>
          <cell r="H37">
            <v>0</v>
          </cell>
          <cell r="I37">
            <v>0</v>
          </cell>
          <cell r="J37">
            <v>0</v>
          </cell>
          <cell r="K37">
            <v>0</v>
          </cell>
          <cell r="L37">
            <v>0</v>
          </cell>
          <cell r="M37">
            <v>0</v>
          </cell>
          <cell r="N37" t="str">
            <v>▼</v>
          </cell>
          <cell r="O37">
            <v>0</v>
          </cell>
          <cell r="P37">
            <v>0</v>
          </cell>
          <cell r="Q37">
            <v>0</v>
          </cell>
          <cell r="R37">
            <v>0</v>
          </cell>
          <cell r="S37">
            <v>0</v>
          </cell>
          <cell r="T37">
            <v>0</v>
          </cell>
          <cell r="U37">
            <v>0</v>
          </cell>
          <cell r="V37" t="str">
            <v>配管</v>
          </cell>
          <cell r="W37">
            <v>0</v>
          </cell>
          <cell r="X37">
            <v>0</v>
          </cell>
          <cell r="Y37" t="str">
            <v>ケーブルラック工事(1段)</v>
          </cell>
          <cell r="Z37">
            <v>0</v>
          </cell>
          <cell r="AA37">
            <v>0</v>
          </cell>
          <cell r="AB37">
            <v>0</v>
          </cell>
          <cell r="AC37">
            <v>0</v>
          </cell>
          <cell r="AD37">
            <v>0</v>
          </cell>
          <cell r="AE37">
            <v>0</v>
          </cell>
          <cell r="AF37">
            <v>0</v>
          </cell>
          <cell r="AG37">
            <v>0</v>
          </cell>
          <cell r="AH37" t="str">
            <v>▼</v>
          </cell>
          <cell r="AI37">
            <v>0</v>
          </cell>
          <cell r="AJ37">
            <v>0</v>
          </cell>
          <cell r="AK37">
            <v>0</v>
          </cell>
          <cell r="AL37">
            <v>0</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row>
        <row r="39">
          <cell r="E39">
            <v>0</v>
          </cell>
          <cell r="F39">
            <v>0</v>
          </cell>
          <cell r="G39" t="str">
            <v>百貨店等</v>
          </cell>
          <cell r="H39">
            <v>0</v>
          </cell>
          <cell r="I39">
            <v>0</v>
          </cell>
          <cell r="J39">
            <v>0</v>
          </cell>
          <cell r="K39">
            <v>0</v>
          </cell>
          <cell r="L39">
            <v>0</v>
          </cell>
          <cell r="M39">
            <v>0</v>
          </cell>
          <cell r="N39">
            <v>0</v>
          </cell>
          <cell r="O39">
            <v>0</v>
          </cell>
          <cell r="P39" t="str">
            <v>設備容量／面</v>
          </cell>
          <cell r="Q39">
            <v>0</v>
          </cell>
          <cell r="R39">
            <v>0</v>
          </cell>
          <cell r="S39">
            <v>0</v>
          </cell>
          <cell r="T39">
            <v>0</v>
          </cell>
          <cell r="U39">
            <v>0</v>
          </cell>
          <cell r="V39">
            <v>0</v>
          </cell>
          <cell r="W39">
            <v>0</v>
          </cell>
          <cell r="X39" t="str">
            <v>需要容量／面</v>
          </cell>
          <cell r="Y39">
            <v>0</v>
          </cell>
          <cell r="Z39">
            <v>0</v>
          </cell>
          <cell r="AA39">
            <v>0</v>
          </cell>
          <cell r="AB39">
            <v>0</v>
          </cell>
          <cell r="AC39">
            <v>0</v>
          </cell>
          <cell r="AD39">
            <v>0</v>
          </cell>
          <cell r="AE39">
            <v>0</v>
          </cell>
          <cell r="AF39" t="str">
            <v>電流 [A]</v>
          </cell>
          <cell r="AG39">
            <v>0</v>
          </cell>
          <cell r="AH39">
            <v>0</v>
          </cell>
          <cell r="AI39">
            <v>0</v>
          </cell>
          <cell r="AJ39">
            <v>0</v>
          </cell>
          <cell r="AK39" t="str">
            <v>配　線　材　料　／面</v>
          </cell>
          <cell r="AL39">
            <v>0</v>
          </cell>
        </row>
        <row r="40">
          <cell r="E40">
            <v>0</v>
          </cell>
          <cell r="F40">
            <v>0</v>
          </cell>
          <cell r="G40">
            <v>0</v>
          </cell>
          <cell r="H40">
            <v>0</v>
          </cell>
          <cell r="I40" t="str">
            <v>面</v>
          </cell>
          <cell r="J40">
            <v>0</v>
          </cell>
          <cell r="K40" t="str">
            <v>電気方式</v>
          </cell>
          <cell r="L40">
            <v>0</v>
          </cell>
          <cell r="M40">
            <v>0</v>
          </cell>
          <cell r="N40">
            <v>0</v>
          </cell>
          <cell r="O40">
            <v>0</v>
          </cell>
          <cell r="P40" t="str">
            <v>KW</v>
          </cell>
          <cell r="Q40">
            <v>0</v>
          </cell>
          <cell r="R40">
            <v>0</v>
          </cell>
          <cell r="S40">
            <v>0</v>
          </cell>
          <cell r="T40" t="str">
            <v>KVar</v>
          </cell>
          <cell r="U40">
            <v>0</v>
          </cell>
          <cell r="V40">
            <v>0</v>
          </cell>
          <cell r="W40">
            <v>0</v>
          </cell>
          <cell r="X40" t="str">
            <v>DmKW</v>
          </cell>
          <cell r="Y40">
            <v>0</v>
          </cell>
          <cell r="Z40">
            <v>0</v>
          </cell>
          <cell r="AA40">
            <v>0</v>
          </cell>
          <cell r="AB40" t="str">
            <v>DmKVar</v>
          </cell>
          <cell r="AC40">
            <v>0</v>
          </cell>
          <cell r="AD40">
            <v>0</v>
          </cell>
          <cell r="AE40">
            <v>0</v>
          </cell>
          <cell r="AF40" t="str">
            <v>設備/需要</v>
          </cell>
          <cell r="AG40">
            <v>0</v>
          </cell>
          <cell r="AH40">
            <v>0</v>
          </cell>
          <cell r="AI40">
            <v>0</v>
          </cell>
          <cell r="AJ40">
            <v>0</v>
          </cell>
          <cell r="AK40" t="str">
            <v>名 称</v>
          </cell>
          <cell r="AL40">
            <v>0</v>
          </cell>
        </row>
        <row r="41">
          <cell r="E41">
            <v>0</v>
          </cell>
          <cell r="F41">
            <v>0</v>
          </cell>
          <cell r="G41">
            <v>0</v>
          </cell>
          <cell r="H41">
            <v>0</v>
          </cell>
          <cell r="I41">
            <v>3</v>
          </cell>
          <cell r="J41">
            <v>0</v>
          </cell>
          <cell r="K41" t="str">
            <v>1φ3W</v>
          </cell>
          <cell r="L41">
            <v>0</v>
          </cell>
          <cell r="M41">
            <v>0</v>
          </cell>
          <cell r="N41">
            <v>0</v>
          </cell>
          <cell r="O41">
            <v>0</v>
          </cell>
          <cell r="P41">
            <v>23.567999999999998</v>
          </cell>
          <cell r="Q41">
            <v>0</v>
          </cell>
          <cell r="R41">
            <v>0</v>
          </cell>
          <cell r="S41">
            <v>0</v>
          </cell>
          <cell r="T41">
            <v>5.6607765233516121</v>
          </cell>
          <cell r="U41">
            <v>0</v>
          </cell>
          <cell r="V41">
            <v>0</v>
          </cell>
          <cell r="W41">
            <v>0</v>
          </cell>
          <cell r="X41">
            <v>21.211199999999998</v>
          </cell>
          <cell r="Y41">
            <v>0</v>
          </cell>
          <cell r="Z41">
            <v>0</v>
          </cell>
          <cell r="AA41">
            <v>0</v>
          </cell>
          <cell r="AB41">
            <v>5.0946988710164511</v>
          </cell>
          <cell r="AC41">
            <v>0</v>
          </cell>
          <cell r="AD41">
            <v>0</v>
          </cell>
          <cell r="AE41">
            <v>0</v>
          </cell>
          <cell r="AF41">
            <v>115.42045929055179</v>
          </cell>
          <cell r="AG41">
            <v>0</v>
          </cell>
          <cell r="AH41">
            <v>0</v>
          </cell>
          <cell r="AI41">
            <v>0</v>
          </cell>
          <cell r="AJ41">
            <v>0</v>
          </cell>
          <cell r="AK41" t="str">
            <v>CVT</v>
          </cell>
          <cell r="AL41">
            <v>0</v>
          </cell>
        </row>
        <row r="42">
          <cell r="E42">
            <v>0</v>
          </cell>
          <cell r="F42">
            <v>0</v>
          </cell>
          <cell r="G42">
            <v>0</v>
          </cell>
          <cell r="H42">
            <v>0</v>
          </cell>
          <cell r="I42">
            <v>0</v>
          </cell>
          <cell r="J42">
            <v>0</v>
          </cell>
          <cell r="K42" t="str">
            <v>210/105V</v>
          </cell>
          <cell r="L42">
            <v>0</v>
          </cell>
          <cell r="M42">
            <v>0</v>
          </cell>
          <cell r="N42">
            <v>0</v>
          </cell>
          <cell r="O42">
            <v>0</v>
          </cell>
          <cell r="P42" t="str">
            <v>MCCB  255AF/175AT</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103.8784133614966</v>
          </cell>
          <cell r="AG42">
            <v>0</v>
          </cell>
          <cell r="AH42">
            <v>0</v>
          </cell>
          <cell r="AI42">
            <v>0</v>
          </cell>
          <cell r="AJ42">
            <v>0</v>
          </cell>
          <cell r="AK42" t="str">
            <v>基底温度</v>
          </cell>
          <cell r="AL42">
            <v>0</v>
          </cell>
        </row>
        <row r="43">
          <cell r="E43">
            <v>0</v>
          </cell>
          <cell r="F43">
            <v>0</v>
          </cell>
          <cell r="G43">
            <v>0</v>
          </cell>
          <cell r="H43">
            <v>0</v>
          </cell>
          <cell r="I43">
            <v>0</v>
          </cell>
          <cell r="J43">
            <v>0</v>
          </cell>
          <cell r="K43" t="str">
            <v/>
          </cell>
          <cell r="L43">
            <v>0</v>
          </cell>
          <cell r="M43">
            <v>0</v>
          </cell>
          <cell r="N43">
            <v>0</v>
          </cell>
          <cell r="O43">
            <v>0</v>
          </cell>
          <cell r="P43" t="str">
            <v/>
          </cell>
          <cell r="Q43">
            <v>0</v>
          </cell>
          <cell r="R43">
            <v>0</v>
          </cell>
          <cell r="S43">
            <v>0</v>
          </cell>
          <cell r="T43" t="str">
            <v/>
          </cell>
          <cell r="U43">
            <v>0</v>
          </cell>
          <cell r="V43">
            <v>0</v>
          </cell>
          <cell r="W43">
            <v>0</v>
          </cell>
          <cell r="X43" t="str">
            <v/>
          </cell>
          <cell r="Y43">
            <v>0</v>
          </cell>
          <cell r="Z43">
            <v>0</v>
          </cell>
          <cell r="AA43">
            <v>0</v>
          </cell>
          <cell r="AB43" t="str">
            <v/>
          </cell>
          <cell r="AC43">
            <v>0</v>
          </cell>
          <cell r="AD43">
            <v>0</v>
          </cell>
          <cell r="AE43">
            <v>0</v>
          </cell>
          <cell r="AF43" t="str">
            <v/>
          </cell>
          <cell r="AG43">
            <v>0</v>
          </cell>
          <cell r="AH43">
            <v>0</v>
          </cell>
          <cell r="AI43">
            <v>0</v>
          </cell>
          <cell r="AJ43">
            <v>0</v>
          </cell>
          <cell r="AK43" t="str">
            <v>CVT</v>
          </cell>
          <cell r="AL43">
            <v>0</v>
          </cell>
        </row>
        <row r="44">
          <cell r="E44">
            <v>0</v>
          </cell>
          <cell r="F44">
            <v>0</v>
          </cell>
          <cell r="G44">
            <v>0</v>
          </cell>
          <cell r="H44">
            <v>0</v>
          </cell>
          <cell r="I44">
            <v>0</v>
          </cell>
          <cell r="J44">
            <v>0</v>
          </cell>
          <cell r="K44" t="str">
            <v/>
          </cell>
          <cell r="L44">
            <v>0</v>
          </cell>
          <cell r="M44">
            <v>0</v>
          </cell>
          <cell r="N44">
            <v>0</v>
          </cell>
          <cell r="O44">
            <v>0</v>
          </cell>
          <cell r="P44" t="str">
            <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t="str">
            <v/>
          </cell>
          <cell r="AG44">
            <v>0</v>
          </cell>
          <cell r="AH44">
            <v>0</v>
          </cell>
          <cell r="AI44">
            <v>0</v>
          </cell>
          <cell r="AJ44">
            <v>0</v>
          </cell>
          <cell r="AK44" t="str">
            <v>基底温度</v>
          </cell>
          <cell r="AL44">
            <v>0</v>
          </cell>
        </row>
        <row r="45">
          <cell r="E45">
            <v>0</v>
          </cell>
          <cell r="F45">
            <v>0</v>
          </cell>
          <cell r="G45">
            <v>0</v>
          </cell>
          <cell r="H45">
            <v>0</v>
          </cell>
          <cell r="I45" t="str">
            <v/>
          </cell>
          <cell r="J45">
            <v>0</v>
          </cell>
          <cell r="K45" t="str">
            <v/>
          </cell>
          <cell r="L45">
            <v>0</v>
          </cell>
          <cell r="M45">
            <v>0</v>
          </cell>
          <cell r="N45">
            <v>0</v>
          </cell>
          <cell r="O45">
            <v>0</v>
          </cell>
          <cell r="P45" t="str">
            <v/>
          </cell>
          <cell r="Q45">
            <v>0</v>
          </cell>
          <cell r="R45">
            <v>0</v>
          </cell>
          <cell r="S45">
            <v>0</v>
          </cell>
          <cell r="T45" t="str">
            <v/>
          </cell>
          <cell r="U45">
            <v>0</v>
          </cell>
          <cell r="V45">
            <v>0</v>
          </cell>
          <cell r="W45">
            <v>0</v>
          </cell>
          <cell r="X45" t="str">
            <v/>
          </cell>
          <cell r="Y45">
            <v>0</v>
          </cell>
          <cell r="Z45">
            <v>0</v>
          </cell>
          <cell r="AA45">
            <v>0</v>
          </cell>
          <cell r="AB45" t="str">
            <v/>
          </cell>
          <cell r="AC45">
            <v>0</v>
          </cell>
          <cell r="AD45">
            <v>0</v>
          </cell>
          <cell r="AE45">
            <v>0</v>
          </cell>
          <cell r="AF45" t="str">
            <v/>
          </cell>
          <cell r="AG45">
            <v>0</v>
          </cell>
          <cell r="AH45">
            <v>0</v>
          </cell>
          <cell r="AI45">
            <v>0</v>
          </cell>
          <cell r="AJ45">
            <v>0</v>
          </cell>
          <cell r="AK45" t="str">
            <v>CVT</v>
          </cell>
          <cell r="AL45">
            <v>0</v>
          </cell>
        </row>
        <row r="46">
          <cell r="E46">
            <v>0</v>
          </cell>
          <cell r="F46">
            <v>0</v>
          </cell>
          <cell r="G46">
            <v>0</v>
          </cell>
          <cell r="H46">
            <v>0</v>
          </cell>
          <cell r="I46">
            <v>0</v>
          </cell>
          <cell r="J46">
            <v>0</v>
          </cell>
          <cell r="K46" t="str">
            <v/>
          </cell>
          <cell r="L46">
            <v>0</v>
          </cell>
          <cell r="M46">
            <v>0</v>
          </cell>
          <cell r="N46">
            <v>0</v>
          </cell>
          <cell r="O46">
            <v>0</v>
          </cell>
          <cell r="P46" t="str">
            <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t="str">
            <v/>
          </cell>
          <cell r="AG46">
            <v>0</v>
          </cell>
          <cell r="AH46">
            <v>0</v>
          </cell>
          <cell r="AI46">
            <v>0</v>
          </cell>
          <cell r="AJ46">
            <v>0</v>
          </cell>
          <cell r="AK46" t="str">
            <v>基底温度</v>
          </cell>
          <cell r="AL46">
            <v>0</v>
          </cell>
        </row>
        <row r="47">
          <cell r="E47">
            <v>0</v>
          </cell>
          <cell r="F47">
            <v>0</v>
          </cell>
          <cell r="G47">
            <v>0</v>
          </cell>
          <cell r="H47">
            <v>0</v>
          </cell>
          <cell r="I47">
            <v>0</v>
          </cell>
          <cell r="J47">
            <v>0</v>
          </cell>
          <cell r="K47" t="str">
            <v/>
          </cell>
          <cell r="L47">
            <v>0</v>
          </cell>
          <cell r="M47">
            <v>0</v>
          </cell>
          <cell r="N47">
            <v>0</v>
          </cell>
          <cell r="O47">
            <v>0</v>
          </cell>
          <cell r="P47" t="str">
            <v/>
          </cell>
          <cell r="Q47">
            <v>0</v>
          </cell>
          <cell r="R47">
            <v>0</v>
          </cell>
          <cell r="S47">
            <v>0</v>
          </cell>
          <cell r="T47" t="str">
            <v/>
          </cell>
          <cell r="U47">
            <v>0</v>
          </cell>
          <cell r="V47">
            <v>0</v>
          </cell>
          <cell r="W47">
            <v>0</v>
          </cell>
          <cell r="X47" t="str">
            <v/>
          </cell>
          <cell r="Y47">
            <v>0</v>
          </cell>
          <cell r="Z47">
            <v>0</v>
          </cell>
          <cell r="AA47">
            <v>0</v>
          </cell>
          <cell r="AB47" t="str">
            <v/>
          </cell>
          <cell r="AC47">
            <v>0</v>
          </cell>
          <cell r="AD47">
            <v>0</v>
          </cell>
          <cell r="AE47">
            <v>0</v>
          </cell>
          <cell r="AF47" t="str">
            <v/>
          </cell>
          <cell r="AG47">
            <v>0</v>
          </cell>
          <cell r="AH47">
            <v>0</v>
          </cell>
          <cell r="AI47">
            <v>0</v>
          </cell>
          <cell r="AJ47">
            <v>0</v>
          </cell>
          <cell r="AK47" t="str">
            <v>CVT</v>
          </cell>
          <cell r="AL47">
            <v>0</v>
          </cell>
        </row>
        <row r="48">
          <cell r="E48">
            <v>0</v>
          </cell>
          <cell r="F48">
            <v>0</v>
          </cell>
          <cell r="G48">
            <v>0</v>
          </cell>
          <cell r="H48">
            <v>0</v>
          </cell>
          <cell r="I48">
            <v>0</v>
          </cell>
          <cell r="J48">
            <v>0</v>
          </cell>
          <cell r="K48" t="str">
            <v/>
          </cell>
          <cell r="L48">
            <v>0</v>
          </cell>
          <cell r="M48">
            <v>0</v>
          </cell>
          <cell r="N48">
            <v>0</v>
          </cell>
          <cell r="O48">
            <v>0</v>
          </cell>
          <cell r="P48" t="str">
            <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t="str">
            <v/>
          </cell>
          <cell r="AG48">
            <v>0</v>
          </cell>
          <cell r="AH48">
            <v>0</v>
          </cell>
          <cell r="AI48">
            <v>0</v>
          </cell>
          <cell r="AJ48">
            <v>0</v>
          </cell>
          <cell r="AK48" t="str">
            <v>基底温度</v>
          </cell>
          <cell r="AL48">
            <v>0</v>
          </cell>
        </row>
        <row r="49">
          <cell r="E49">
            <v>0</v>
          </cell>
          <cell r="F49">
            <v>0</v>
          </cell>
          <cell r="G49">
            <v>0</v>
          </cell>
          <cell r="H49">
            <v>0</v>
          </cell>
          <cell r="I49">
            <v>1</v>
          </cell>
          <cell r="J49">
            <v>0</v>
          </cell>
          <cell r="K49" t="str">
            <v>3φ3W</v>
          </cell>
          <cell r="L49">
            <v>0</v>
          </cell>
          <cell r="M49">
            <v>0</v>
          </cell>
          <cell r="N49">
            <v>0</v>
          </cell>
          <cell r="O49">
            <v>0</v>
          </cell>
          <cell r="P49">
            <v>50.343414085104612</v>
          </cell>
          <cell r="Q49">
            <v>0</v>
          </cell>
          <cell r="R49">
            <v>0</v>
          </cell>
          <cell r="S49">
            <v>0</v>
          </cell>
          <cell r="T49">
            <v>40.722192998014734</v>
          </cell>
          <cell r="U49">
            <v>0</v>
          </cell>
          <cell r="V49">
            <v>0</v>
          </cell>
          <cell r="W49">
            <v>0</v>
          </cell>
          <cell r="X49">
            <v>43.056934123615491</v>
          </cell>
          <cell r="Y49">
            <v>0</v>
          </cell>
          <cell r="Z49">
            <v>0</v>
          </cell>
          <cell r="AA49">
            <v>0</v>
          </cell>
          <cell r="AB49">
            <v>43.529008088613175</v>
          </cell>
          <cell r="AC49">
            <v>0</v>
          </cell>
          <cell r="AD49">
            <v>0</v>
          </cell>
          <cell r="AE49">
            <v>0</v>
          </cell>
          <cell r="AF49">
            <v>178.02044827029644</v>
          </cell>
          <cell r="AG49">
            <v>0</v>
          </cell>
          <cell r="AH49">
            <v>0</v>
          </cell>
          <cell r="AI49">
            <v>0</v>
          </cell>
          <cell r="AJ49">
            <v>0</v>
          </cell>
          <cell r="AK49" t="str">
            <v>CVT</v>
          </cell>
          <cell r="AL49">
            <v>0</v>
          </cell>
        </row>
        <row r="50">
          <cell r="E50">
            <v>0</v>
          </cell>
          <cell r="F50">
            <v>0</v>
          </cell>
          <cell r="G50">
            <v>0</v>
          </cell>
          <cell r="H50">
            <v>0</v>
          </cell>
          <cell r="I50">
            <v>0</v>
          </cell>
          <cell r="J50">
            <v>0</v>
          </cell>
          <cell r="K50" t="str">
            <v>210V</v>
          </cell>
          <cell r="L50">
            <v>0</v>
          </cell>
          <cell r="M50">
            <v>0</v>
          </cell>
          <cell r="N50">
            <v>0</v>
          </cell>
          <cell r="O50">
            <v>0</v>
          </cell>
          <cell r="P50" t="str">
            <v>MCCB  225AF/175AT</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168.32899168878285</v>
          </cell>
          <cell r="AG50">
            <v>0</v>
          </cell>
          <cell r="AH50">
            <v>0</v>
          </cell>
          <cell r="AI50">
            <v>0</v>
          </cell>
          <cell r="AJ50">
            <v>0</v>
          </cell>
          <cell r="AK50" t="str">
            <v>基底温度</v>
          </cell>
          <cell r="AL50">
            <v>0</v>
          </cell>
        </row>
        <row r="51">
          <cell r="E51">
            <v>0</v>
          </cell>
          <cell r="F51">
            <v>0</v>
          </cell>
          <cell r="G51">
            <v>0</v>
          </cell>
          <cell r="H51">
            <v>0</v>
          </cell>
          <cell r="I51">
            <v>0</v>
          </cell>
          <cell r="J51">
            <v>0</v>
          </cell>
          <cell r="K51">
            <v>0</v>
          </cell>
          <cell r="L51">
            <v>0</v>
          </cell>
          <cell r="M51">
            <v>0</v>
          </cell>
          <cell r="N51">
            <v>0</v>
          </cell>
          <cell r="O51">
            <v>0</v>
          </cell>
          <cell r="P51" t="str">
            <v/>
          </cell>
          <cell r="Q51">
            <v>0</v>
          </cell>
          <cell r="R51">
            <v>0</v>
          </cell>
          <cell r="S51">
            <v>0</v>
          </cell>
          <cell r="T51" t="str">
            <v/>
          </cell>
          <cell r="U51">
            <v>0</v>
          </cell>
          <cell r="V51">
            <v>0</v>
          </cell>
          <cell r="W51">
            <v>0</v>
          </cell>
          <cell r="X51" t="str">
            <v/>
          </cell>
          <cell r="Y51">
            <v>0</v>
          </cell>
          <cell r="Z51">
            <v>0</v>
          </cell>
          <cell r="AA51">
            <v>0</v>
          </cell>
          <cell r="AB51" t="str">
            <v/>
          </cell>
          <cell r="AC51">
            <v>0</v>
          </cell>
          <cell r="AD51">
            <v>0</v>
          </cell>
          <cell r="AE51">
            <v>0</v>
          </cell>
          <cell r="AF51" t="str">
            <v/>
          </cell>
          <cell r="AG51">
            <v>0</v>
          </cell>
          <cell r="AH51">
            <v>0</v>
          </cell>
          <cell r="AI51">
            <v>0</v>
          </cell>
          <cell r="AJ51">
            <v>0</v>
          </cell>
          <cell r="AK51" t="str">
            <v>CVT</v>
          </cell>
          <cell r="AL51">
            <v>0</v>
          </cell>
        </row>
        <row r="52">
          <cell r="E52">
            <v>0</v>
          </cell>
          <cell r="F52">
            <v>0</v>
          </cell>
          <cell r="G52">
            <v>0</v>
          </cell>
          <cell r="H52">
            <v>0</v>
          </cell>
          <cell r="I52">
            <v>0</v>
          </cell>
          <cell r="J52">
            <v>0</v>
          </cell>
          <cell r="K52">
            <v>0</v>
          </cell>
          <cell r="L52">
            <v>0</v>
          </cell>
          <cell r="M52">
            <v>0</v>
          </cell>
          <cell r="N52">
            <v>0</v>
          </cell>
          <cell r="O52">
            <v>0</v>
          </cell>
          <cell r="P52" t="str">
            <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t="str">
            <v/>
          </cell>
          <cell r="AG52">
            <v>0</v>
          </cell>
          <cell r="AH52">
            <v>0</v>
          </cell>
          <cell r="AI52">
            <v>0</v>
          </cell>
          <cell r="AJ52">
            <v>0</v>
          </cell>
          <cell r="AK52" t="str">
            <v>基底温度</v>
          </cell>
          <cell r="AL52">
            <v>0</v>
          </cell>
        </row>
        <row r="53">
          <cell r="E53">
            <v>0</v>
          </cell>
          <cell r="F53" t="str">
            <v>ケーブル配線工事</v>
          </cell>
          <cell r="G53">
            <v>0</v>
          </cell>
          <cell r="H53">
            <v>0</v>
          </cell>
          <cell r="I53">
            <v>0</v>
          </cell>
          <cell r="J53">
            <v>0</v>
          </cell>
          <cell r="K53">
            <v>0</v>
          </cell>
          <cell r="L53">
            <v>0</v>
          </cell>
          <cell r="M53">
            <v>0</v>
          </cell>
          <cell r="N53" t="str">
            <v>▼</v>
          </cell>
          <cell r="O53">
            <v>0</v>
          </cell>
          <cell r="P53">
            <v>0</v>
          </cell>
          <cell r="Q53">
            <v>0</v>
          </cell>
          <cell r="R53">
            <v>0</v>
          </cell>
          <cell r="S53">
            <v>0</v>
          </cell>
          <cell r="T53">
            <v>0</v>
          </cell>
          <cell r="U53">
            <v>0</v>
          </cell>
          <cell r="V53" t="str">
            <v>配管</v>
          </cell>
          <cell r="W53">
            <v>0</v>
          </cell>
          <cell r="X53">
            <v>0</v>
          </cell>
          <cell r="Y53" t="str">
            <v>ケーブルラック工事(1段)</v>
          </cell>
          <cell r="Z53">
            <v>0</v>
          </cell>
          <cell r="AA53">
            <v>0</v>
          </cell>
          <cell r="AB53">
            <v>0</v>
          </cell>
          <cell r="AC53">
            <v>0</v>
          </cell>
          <cell r="AD53">
            <v>0</v>
          </cell>
          <cell r="AE53">
            <v>0</v>
          </cell>
          <cell r="AF53">
            <v>0</v>
          </cell>
          <cell r="AG53">
            <v>0</v>
          </cell>
          <cell r="AH53" t="str">
            <v>▼</v>
          </cell>
          <cell r="AI53">
            <v>0</v>
          </cell>
          <cell r="AJ53">
            <v>0</v>
          </cell>
          <cell r="AK53">
            <v>0</v>
          </cell>
          <cell r="AL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E55">
            <v>0</v>
          </cell>
          <cell r="F55">
            <v>0</v>
          </cell>
          <cell r="G55" t="str">
            <v>料理店等</v>
          </cell>
          <cell r="H55">
            <v>0</v>
          </cell>
          <cell r="I55">
            <v>0</v>
          </cell>
          <cell r="J55">
            <v>0</v>
          </cell>
          <cell r="K55">
            <v>0</v>
          </cell>
          <cell r="L55">
            <v>0</v>
          </cell>
          <cell r="M55">
            <v>0</v>
          </cell>
          <cell r="N55">
            <v>0</v>
          </cell>
          <cell r="O55">
            <v>0</v>
          </cell>
          <cell r="P55" t="str">
            <v>設備容量／面</v>
          </cell>
          <cell r="Q55">
            <v>0</v>
          </cell>
          <cell r="R55">
            <v>0</v>
          </cell>
          <cell r="S55">
            <v>0</v>
          </cell>
          <cell r="T55">
            <v>0</v>
          </cell>
          <cell r="U55">
            <v>0</v>
          </cell>
          <cell r="V55">
            <v>0</v>
          </cell>
          <cell r="W55">
            <v>0</v>
          </cell>
          <cell r="X55" t="str">
            <v>需要容量／面</v>
          </cell>
          <cell r="Y55">
            <v>0</v>
          </cell>
          <cell r="Z55">
            <v>0</v>
          </cell>
          <cell r="AA55">
            <v>0</v>
          </cell>
          <cell r="AB55">
            <v>0</v>
          </cell>
          <cell r="AC55">
            <v>0</v>
          </cell>
          <cell r="AD55">
            <v>0</v>
          </cell>
          <cell r="AE55">
            <v>0</v>
          </cell>
          <cell r="AF55" t="str">
            <v>電流 [A]</v>
          </cell>
          <cell r="AG55">
            <v>0</v>
          </cell>
          <cell r="AH55">
            <v>0</v>
          </cell>
          <cell r="AI55">
            <v>0</v>
          </cell>
          <cell r="AJ55">
            <v>0</v>
          </cell>
          <cell r="AK55" t="str">
            <v>配　線　材　料　／面</v>
          </cell>
          <cell r="AL55">
            <v>0</v>
          </cell>
        </row>
        <row r="56">
          <cell r="E56">
            <v>0</v>
          </cell>
          <cell r="F56">
            <v>0</v>
          </cell>
          <cell r="G56">
            <v>0</v>
          </cell>
          <cell r="H56">
            <v>0</v>
          </cell>
          <cell r="I56" t="str">
            <v>面</v>
          </cell>
          <cell r="J56">
            <v>0</v>
          </cell>
          <cell r="K56" t="str">
            <v>電気方式</v>
          </cell>
          <cell r="L56">
            <v>0</v>
          </cell>
          <cell r="M56">
            <v>0</v>
          </cell>
          <cell r="N56">
            <v>0</v>
          </cell>
          <cell r="O56">
            <v>0</v>
          </cell>
          <cell r="P56" t="str">
            <v>KW</v>
          </cell>
          <cell r="Q56">
            <v>0</v>
          </cell>
          <cell r="R56">
            <v>0</v>
          </cell>
          <cell r="S56">
            <v>0</v>
          </cell>
          <cell r="T56" t="str">
            <v>KVar</v>
          </cell>
          <cell r="U56">
            <v>0</v>
          </cell>
          <cell r="V56">
            <v>0</v>
          </cell>
          <cell r="W56">
            <v>0</v>
          </cell>
          <cell r="X56" t="str">
            <v>DmKW</v>
          </cell>
          <cell r="Y56">
            <v>0</v>
          </cell>
          <cell r="Z56">
            <v>0</v>
          </cell>
          <cell r="AA56">
            <v>0</v>
          </cell>
          <cell r="AB56" t="str">
            <v>DmKVar</v>
          </cell>
          <cell r="AC56">
            <v>0</v>
          </cell>
          <cell r="AD56">
            <v>0</v>
          </cell>
          <cell r="AE56">
            <v>0</v>
          </cell>
          <cell r="AF56" t="str">
            <v>設備/需要</v>
          </cell>
          <cell r="AG56">
            <v>0</v>
          </cell>
          <cell r="AH56">
            <v>0</v>
          </cell>
          <cell r="AI56">
            <v>0</v>
          </cell>
          <cell r="AJ56">
            <v>0</v>
          </cell>
          <cell r="AK56" t="str">
            <v>名 称</v>
          </cell>
          <cell r="AL56">
            <v>0</v>
          </cell>
        </row>
        <row r="57">
          <cell r="E57">
            <v>0</v>
          </cell>
          <cell r="F57">
            <v>0</v>
          </cell>
          <cell r="G57">
            <v>0</v>
          </cell>
          <cell r="H57">
            <v>0</v>
          </cell>
          <cell r="I57">
            <v>4</v>
          </cell>
          <cell r="J57">
            <v>0</v>
          </cell>
          <cell r="K57" t="str">
            <v>1φ3W</v>
          </cell>
          <cell r="L57">
            <v>0</v>
          </cell>
          <cell r="M57">
            <v>0</v>
          </cell>
          <cell r="N57">
            <v>0</v>
          </cell>
          <cell r="O57">
            <v>0</v>
          </cell>
          <cell r="P57">
            <v>25.272000000000002</v>
          </cell>
          <cell r="Q57">
            <v>0</v>
          </cell>
          <cell r="R57">
            <v>0</v>
          </cell>
          <cell r="S57">
            <v>0</v>
          </cell>
          <cell r="T57">
            <v>5.49002130356258</v>
          </cell>
          <cell r="U57">
            <v>0</v>
          </cell>
          <cell r="V57">
            <v>0</v>
          </cell>
          <cell r="W57">
            <v>0</v>
          </cell>
          <cell r="X57">
            <v>22.744800000000001</v>
          </cell>
          <cell r="Y57">
            <v>0</v>
          </cell>
          <cell r="Z57">
            <v>0</v>
          </cell>
          <cell r="AA57">
            <v>0</v>
          </cell>
          <cell r="AB57">
            <v>4.941019173206322</v>
          </cell>
          <cell r="AC57">
            <v>0</v>
          </cell>
          <cell r="AD57">
            <v>0</v>
          </cell>
          <cell r="AE57">
            <v>0</v>
          </cell>
          <cell r="AF57">
            <v>123.14973629310202</v>
          </cell>
          <cell r="AG57">
            <v>0</v>
          </cell>
          <cell r="AH57">
            <v>0</v>
          </cell>
          <cell r="AI57">
            <v>0</v>
          </cell>
          <cell r="AJ57">
            <v>0</v>
          </cell>
          <cell r="AK57" t="str">
            <v>CVT</v>
          </cell>
          <cell r="AL57">
            <v>0</v>
          </cell>
        </row>
        <row r="58">
          <cell r="E58">
            <v>0</v>
          </cell>
          <cell r="F58">
            <v>0</v>
          </cell>
          <cell r="G58">
            <v>0</v>
          </cell>
          <cell r="H58">
            <v>0</v>
          </cell>
          <cell r="I58">
            <v>0</v>
          </cell>
          <cell r="J58">
            <v>0</v>
          </cell>
          <cell r="K58" t="str">
            <v>210/105V</v>
          </cell>
          <cell r="L58">
            <v>0</v>
          </cell>
          <cell r="M58">
            <v>0</v>
          </cell>
          <cell r="N58">
            <v>0</v>
          </cell>
          <cell r="O58">
            <v>0</v>
          </cell>
          <cell r="P58" t="str">
            <v>MCCB  225AF/200AT</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110.83476266379181</v>
          </cell>
          <cell r="AG58">
            <v>0</v>
          </cell>
          <cell r="AH58">
            <v>0</v>
          </cell>
          <cell r="AI58">
            <v>0</v>
          </cell>
          <cell r="AJ58">
            <v>0</v>
          </cell>
          <cell r="AK58" t="str">
            <v>基底温度</v>
          </cell>
          <cell r="AL58">
            <v>0</v>
          </cell>
        </row>
        <row r="59">
          <cell r="E59">
            <v>0</v>
          </cell>
          <cell r="F59">
            <v>0</v>
          </cell>
          <cell r="G59">
            <v>0</v>
          </cell>
          <cell r="H59">
            <v>0</v>
          </cell>
          <cell r="I59">
            <v>0</v>
          </cell>
          <cell r="J59">
            <v>0</v>
          </cell>
          <cell r="K59" t="str">
            <v/>
          </cell>
          <cell r="L59">
            <v>0</v>
          </cell>
          <cell r="M59">
            <v>0</v>
          </cell>
          <cell r="N59">
            <v>0</v>
          </cell>
          <cell r="O59">
            <v>0</v>
          </cell>
          <cell r="P59" t="str">
            <v/>
          </cell>
          <cell r="Q59">
            <v>0</v>
          </cell>
          <cell r="R59">
            <v>0</v>
          </cell>
          <cell r="S59">
            <v>0</v>
          </cell>
          <cell r="T59" t="str">
            <v/>
          </cell>
          <cell r="U59">
            <v>0</v>
          </cell>
          <cell r="V59">
            <v>0</v>
          </cell>
          <cell r="W59">
            <v>0</v>
          </cell>
          <cell r="X59" t="str">
            <v/>
          </cell>
          <cell r="Y59">
            <v>0</v>
          </cell>
          <cell r="Z59">
            <v>0</v>
          </cell>
          <cell r="AA59">
            <v>0</v>
          </cell>
          <cell r="AB59" t="str">
            <v/>
          </cell>
          <cell r="AC59">
            <v>0</v>
          </cell>
          <cell r="AD59">
            <v>0</v>
          </cell>
          <cell r="AE59">
            <v>0</v>
          </cell>
          <cell r="AF59" t="str">
            <v/>
          </cell>
          <cell r="AG59">
            <v>0</v>
          </cell>
          <cell r="AH59">
            <v>0</v>
          </cell>
          <cell r="AI59">
            <v>0</v>
          </cell>
          <cell r="AJ59">
            <v>0</v>
          </cell>
          <cell r="AK59" t="str">
            <v>CVT</v>
          </cell>
          <cell r="AL59">
            <v>0</v>
          </cell>
        </row>
        <row r="60">
          <cell r="E60">
            <v>0</v>
          </cell>
          <cell r="F60">
            <v>0</v>
          </cell>
          <cell r="G60">
            <v>0</v>
          </cell>
          <cell r="H60">
            <v>0</v>
          </cell>
          <cell r="I60">
            <v>0</v>
          </cell>
          <cell r="J60">
            <v>0</v>
          </cell>
          <cell r="K60" t="str">
            <v/>
          </cell>
          <cell r="L60">
            <v>0</v>
          </cell>
          <cell r="M60">
            <v>0</v>
          </cell>
          <cell r="N60">
            <v>0</v>
          </cell>
          <cell r="O60">
            <v>0</v>
          </cell>
          <cell r="P60" t="str">
            <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t="str">
            <v/>
          </cell>
          <cell r="AG60">
            <v>0</v>
          </cell>
          <cell r="AH60">
            <v>0</v>
          </cell>
          <cell r="AI60">
            <v>0</v>
          </cell>
          <cell r="AJ60">
            <v>0</v>
          </cell>
          <cell r="AK60" t="str">
            <v>基底温度</v>
          </cell>
          <cell r="AL60">
            <v>0</v>
          </cell>
        </row>
        <row r="61">
          <cell r="E61">
            <v>0</v>
          </cell>
          <cell r="F61">
            <v>0</v>
          </cell>
          <cell r="G61">
            <v>0</v>
          </cell>
          <cell r="H61">
            <v>0</v>
          </cell>
          <cell r="I61">
            <v>9</v>
          </cell>
          <cell r="J61">
            <v>0</v>
          </cell>
          <cell r="K61" t="str">
            <v>1φ3W</v>
          </cell>
          <cell r="L61">
            <v>0</v>
          </cell>
          <cell r="M61">
            <v>0</v>
          </cell>
          <cell r="N61">
            <v>0</v>
          </cell>
          <cell r="O61">
            <v>0</v>
          </cell>
          <cell r="P61">
            <v>13.6912</v>
          </cell>
          <cell r="Q61">
            <v>0</v>
          </cell>
          <cell r="R61">
            <v>0</v>
          </cell>
          <cell r="S61">
            <v>0</v>
          </cell>
          <cell r="T61">
            <v>10.733339014283354</v>
          </cell>
          <cell r="U61">
            <v>0</v>
          </cell>
          <cell r="V61">
            <v>0</v>
          </cell>
          <cell r="W61">
            <v>0</v>
          </cell>
          <cell r="X61">
            <v>8.1508800000000008</v>
          </cell>
          <cell r="Y61">
            <v>0</v>
          </cell>
          <cell r="Z61">
            <v>0</v>
          </cell>
          <cell r="AA61">
            <v>0</v>
          </cell>
          <cell r="AB61">
            <v>4.0984051128550192</v>
          </cell>
          <cell r="AC61">
            <v>0</v>
          </cell>
          <cell r="AD61">
            <v>0</v>
          </cell>
          <cell r="AE61">
            <v>0</v>
          </cell>
          <cell r="AF61">
            <v>82.842571766881775</v>
          </cell>
          <cell r="AG61">
            <v>0</v>
          </cell>
          <cell r="AH61">
            <v>0</v>
          </cell>
          <cell r="AI61">
            <v>0</v>
          </cell>
          <cell r="AJ61">
            <v>0</v>
          </cell>
          <cell r="AK61" t="str">
            <v>CVT</v>
          </cell>
          <cell r="AL61">
            <v>0</v>
          </cell>
        </row>
        <row r="62">
          <cell r="E62">
            <v>0</v>
          </cell>
          <cell r="F62">
            <v>0</v>
          </cell>
          <cell r="G62">
            <v>0</v>
          </cell>
          <cell r="H62">
            <v>0</v>
          </cell>
          <cell r="I62">
            <v>0</v>
          </cell>
          <cell r="J62">
            <v>0</v>
          </cell>
          <cell r="K62" t="str">
            <v>210/105V</v>
          </cell>
          <cell r="L62">
            <v>0</v>
          </cell>
          <cell r="M62">
            <v>0</v>
          </cell>
          <cell r="N62">
            <v>0</v>
          </cell>
          <cell r="O62">
            <v>0</v>
          </cell>
          <cell r="P62" t="str">
            <v>MCCB  225AF/125AT</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43.444068152915854</v>
          </cell>
          <cell r="AG62">
            <v>0</v>
          </cell>
          <cell r="AH62">
            <v>0</v>
          </cell>
          <cell r="AI62">
            <v>0</v>
          </cell>
          <cell r="AJ62">
            <v>0</v>
          </cell>
          <cell r="AK62" t="str">
            <v>基底温度</v>
          </cell>
          <cell r="AL62">
            <v>0</v>
          </cell>
        </row>
        <row r="63">
          <cell r="E63">
            <v>0</v>
          </cell>
          <cell r="F63">
            <v>0</v>
          </cell>
          <cell r="G63">
            <v>0</v>
          </cell>
          <cell r="H63">
            <v>0</v>
          </cell>
          <cell r="I63">
            <v>0</v>
          </cell>
          <cell r="J63">
            <v>0</v>
          </cell>
          <cell r="K63" t="str">
            <v>3φ3W</v>
          </cell>
          <cell r="L63">
            <v>0</v>
          </cell>
          <cell r="M63">
            <v>0</v>
          </cell>
          <cell r="N63">
            <v>0</v>
          </cell>
          <cell r="O63">
            <v>0</v>
          </cell>
          <cell r="P63">
            <v>48.873084589359856</v>
          </cell>
          <cell r="Q63">
            <v>0</v>
          </cell>
          <cell r="R63">
            <v>0</v>
          </cell>
          <cell r="S63">
            <v>0</v>
          </cell>
          <cell r="T63">
            <v>38.219406093935945</v>
          </cell>
          <cell r="U63">
            <v>0</v>
          </cell>
          <cell r="V63">
            <v>0</v>
          </cell>
          <cell r="W63">
            <v>0</v>
          </cell>
          <cell r="X63">
            <v>43.905776130423867</v>
          </cell>
          <cell r="Y63">
            <v>0</v>
          </cell>
          <cell r="Z63">
            <v>0</v>
          </cell>
          <cell r="AA63">
            <v>0</v>
          </cell>
          <cell r="AB63">
            <v>43.994276105056322</v>
          </cell>
          <cell r="AC63">
            <v>0</v>
          </cell>
          <cell r="AD63">
            <v>0</v>
          </cell>
          <cell r="AE63">
            <v>0</v>
          </cell>
          <cell r="AF63">
            <v>170.57329413805056</v>
          </cell>
          <cell r="AG63">
            <v>0</v>
          </cell>
          <cell r="AH63">
            <v>0</v>
          </cell>
          <cell r="AI63">
            <v>0</v>
          </cell>
          <cell r="AJ63">
            <v>0</v>
          </cell>
          <cell r="AK63" t="str">
            <v>CVT</v>
          </cell>
          <cell r="AL63">
            <v>0</v>
          </cell>
        </row>
        <row r="64">
          <cell r="E64">
            <v>0</v>
          </cell>
          <cell r="F64">
            <v>0</v>
          </cell>
          <cell r="G64">
            <v>0</v>
          </cell>
          <cell r="H64">
            <v>0</v>
          </cell>
          <cell r="I64">
            <v>0</v>
          </cell>
          <cell r="J64">
            <v>0</v>
          </cell>
          <cell r="K64" t="str">
            <v>210V</v>
          </cell>
          <cell r="L64">
            <v>0</v>
          </cell>
          <cell r="M64">
            <v>0</v>
          </cell>
          <cell r="N64">
            <v>0</v>
          </cell>
          <cell r="O64">
            <v>0</v>
          </cell>
          <cell r="P64" t="str">
            <v>MCCB  225AF/200AT</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170.88125830995497</v>
          </cell>
          <cell r="AG64">
            <v>0</v>
          </cell>
          <cell r="AH64">
            <v>0</v>
          </cell>
          <cell r="AI64">
            <v>0</v>
          </cell>
          <cell r="AJ64">
            <v>0</v>
          </cell>
          <cell r="AK64" t="str">
            <v>基底温度</v>
          </cell>
          <cell r="AL64">
            <v>0</v>
          </cell>
        </row>
        <row r="65">
          <cell r="E65">
            <v>0</v>
          </cell>
          <cell r="F65">
            <v>0</v>
          </cell>
          <cell r="G65">
            <v>0</v>
          </cell>
          <cell r="H65">
            <v>0</v>
          </cell>
          <cell r="I65">
            <v>1</v>
          </cell>
          <cell r="J65">
            <v>0</v>
          </cell>
          <cell r="K65" t="str">
            <v>3φ3W</v>
          </cell>
          <cell r="L65">
            <v>0</v>
          </cell>
          <cell r="M65">
            <v>0</v>
          </cell>
          <cell r="N65">
            <v>0</v>
          </cell>
          <cell r="O65">
            <v>0</v>
          </cell>
          <cell r="P65">
            <v>60.152772589359863</v>
          </cell>
          <cell r="Q65">
            <v>0</v>
          </cell>
          <cell r="R65">
            <v>0</v>
          </cell>
          <cell r="S65">
            <v>0</v>
          </cell>
          <cell r="T65">
            <v>51.058863003095318</v>
          </cell>
          <cell r="U65">
            <v>0</v>
          </cell>
          <cell r="V65">
            <v>0</v>
          </cell>
          <cell r="W65">
            <v>0</v>
          </cell>
          <cell r="X65">
            <v>52.632026530423879</v>
          </cell>
          <cell r="Y65">
            <v>0</v>
          </cell>
          <cell r="Z65">
            <v>0</v>
          </cell>
          <cell r="AA65">
            <v>0</v>
          </cell>
          <cell r="AB65">
            <v>53.916140475471707</v>
          </cell>
          <cell r="AC65">
            <v>0</v>
          </cell>
          <cell r="AD65">
            <v>0</v>
          </cell>
          <cell r="AE65">
            <v>0</v>
          </cell>
          <cell r="AF65">
            <v>216.92141906936368</v>
          </cell>
          <cell r="AG65">
            <v>0</v>
          </cell>
          <cell r="AH65">
            <v>0</v>
          </cell>
          <cell r="AI65">
            <v>0</v>
          </cell>
          <cell r="AJ65">
            <v>0</v>
          </cell>
          <cell r="AK65" t="str">
            <v>CVT</v>
          </cell>
          <cell r="AL65">
            <v>0</v>
          </cell>
        </row>
        <row r="66">
          <cell r="E66">
            <v>0</v>
          </cell>
          <cell r="F66">
            <v>0</v>
          </cell>
          <cell r="G66">
            <v>0</v>
          </cell>
          <cell r="H66">
            <v>0</v>
          </cell>
          <cell r="I66">
            <v>0</v>
          </cell>
          <cell r="J66">
            <v>0</v>
          </cell>
          <cell r="K66" t="str">
            <v>210V</v>
          </cell>
          <cell r="L66">
            <v>0</v>
          </cell>
          <cell r="M66">
            <v>0</v>
          </cell>
          <cell r="N66">
            <v>0</v>
          </cell>
          <cell r="O66">
            <v>0</v>
          </cell>
          <cell r="P66" t="str">
            <v>MCCB  225AF/225AT</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207.14888552567186</v>
          </cell>
          <cell r="AG66">
            <v>0</v>
          </cell>
          <cell r="AH66">
            <v>0</v>
          </cell>
          <cell r="AI66">
            <v>0</v>
          </cell>
          <cell r="AJ66">
            <v>0</v>
          </cell>
          <cell r="AK66" t="str">
            <v>基底温度</v>
          </cell>
          <cell r="AL66">
            <v>0</v>
          </cell>
        </row>
        <row r="67">
          <cell r="E67">
            <v>0</v>
          </cell>
          <cell r="F67">
            <v>0</v>
          </cell>
          <cell r="G67">
            <v>0</v>
          </cell>
          <cell r="H67">
            <v>0</v>
          </cell>
          <cell r="I67">
            <v>0</v>
          </cell>
          <cell r="J67">
            <v>0</v>
          </cell>
          <cell r="K67">
            <v>0</v>
          </cell>
          <cell r="L67">
            <v>0</v>
          </cell>
          <cell r="M67">
            <v>0</v>
          </cell>
          <cell r="N67">
            <v>0</v>
          </cell>
          <cell r="O67">
            <v>0</v>
          </cell>
          <cell r="P67" t="str">
            <v/>
          </cell>
          <cell r="Q67">
            <v>0</v>
          </cell>
          <cell r="R67">
            <v>0</v>
          </cell>
          <cell r="S67">
            <v>0</v>
          </cell>
          <cell r="T67" t="str">
            <v/>
          </cell>
          <cell r="U67">
            <v>0</v>
          </cell>
          <cell r="V67">
            <v>0</v>
          </cell>
          <cell r="W67">
            <v>0</v>
          </cell>
          <cell r="X67" t="str">
            <v/>
          </cell>
          <cell r="Y67">
            <v>0</v>
          </cell>
          <cell r="Z67">
            <v>0</v>
          </cell>
          <cell r="AA67">
            <v>0</v>
          </cell>
          <cell r="AB67" t="str">
            <v/>
          </cell>
          <cell r="AC67">
            <v>0</v>
          </cell>
          <cell r="AD67">
            <v>0</v>
          </cell>
          <cell r="AE67">
            <v>0</v>
          </cell>
          <cell r="AF67" t="str">
            <v/>
          </cell>
          <cell r="AG67">
            <v>0</v>
          </cell>
          <cell r="AH67">
            <v>0</v>
          </cell>
          <cell r="AI67">
            <v>0</v>
          </cell>
          <cell r="AJ67">
            <v>0</v>
          </cell>
          <cell r="AK67" t="str">
            <v>CVT</v>
          </cell>
          <cell r="AL67">
            <v>0</v>
          </cell>
        </row>
        <row r="68">
          <cell r="E68">
            <v>0</v>
          </cell>
          <cell r="F68">
            <v>0</v>
          </cell>
          <cell r="G68">
            <v>0</v>
          </cell>
          <cell r="H68">
            <v>0</v>
          </cell>
          <cell r="I68">
            <v>0</v>
          </cell>
          <cell r="J68">
            <v>0</v>
          </cell>
          <cell r="K68">
            <v>0</v>
          </cell>
          <cell r="L68">
            <v>0</v>
          </cell>
          <cell r="M68">
            <v>0</v>
          </cell>
          <cell r="N68">
            <v>0</v>
          </cell>
          <cell r="O68">
            <v>0</v>
          </cell>
          <cell r="P68" t="str">
            <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t="str">
            <v/>
          </cell>
          <cell r="AG68">
            <v>0</v>
          </cell>
          <cell r="AH68">
            <v>0</v>
          </cell>
          <cell r="AI68">
            <v>0</v>
          </cell>
          <cell r="AJ68">
            <v>0</v>
          </cell>
          <cell r="AK68" t="str">
            <v>基底温度</v>
          </cell>
          <cell r="AL68">
            <v>0</v>
          </cell>
        </row>
        <row r="69">
          <cell r="E69">
            <v>0</v>
          </cell>
          <cell r="F69" t="str">
            <v>ケーブル配線工事</v>
          </cell>
          <cell r="G69">
            <v>0</v>
          </cell>
          <cell r="H69">
            <v>0</v>
          </cell>
          <cell r="I69">
            <v>0</v>
          </cell>
          <cell r="J69">
            <v>0</v>
          </cell>
          <cell r="K69">
            <v>0</v>
          </cell>
          <cell r="L69">
            <v>0</v>
          </cell>
          <cell r="M69">
            <v>0</v>
          </cell>
          <cell r="N69" t="str">
            <v>▼</v>
          </cell>
          <cell r="O69">
            <v>0</v>
          </cell>
          <cell r="P69">
            <v>0</v>
          </cell>
          <cell r="Q69">
            <v>0</v>
          </cell>
          <cell r="R69">
            <v>0</v>
          </cell>
          <cell r="S69">
            <v>0</v>
          </cell>
          <cell r="T69">
            <v>0</v>
          </cell>
          <cell r="U69">
            <v>0</v>
          </cell>
          <cell r="V69" t="str">
            <v>配管</v>
          </cell>
          <cell r="W69">
            <v>0</v>
          </cell>
          <cell r="X69">
            <v>0</v>
          </cell>
          <cell r="Y69" t="str">
            <v>ケーブルラック工事(1段)</v>
          </cell>
          <cell r="Z69">
            <v>0</v>
          </cell>
          <cell r="AA69">
            <v>0</v>
          </cell>
          <cell r="AB69">
            <v>0</v>
          </cell>
          <cell r="AC69">
            <v>0</v>
          </cell>
          <cell r="AD69">
            <v>0</v>
          </cell>
          <cell r="AE69">
            <v>0</v>
          </cell>
          <cell r="AF69">
            <v>0</v>
          </cell>
          <cell r="AG69">
            <v>0</v>
          </cell>
          <cell r="AH69" t="str">
            <v>▼</v>
          </cell>
          <cell r="AI69">
            <v>0</v>
          </cell>
          <cell r="AJ69">
            <v>0</v>
          </cell>
          <cell r="AK69">
            <v>0</v>
          </cell>
          <cell r="AL69">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E71">
            <v>0</v>
          </cell>
          <cell r="F71">
            <v>0</v>
          </cell>
          <cell r="G71" t="str">
            <v>百貨店等</v>
          </cell>
          <cell r="H71">
            <v>0</v>
          </cell>
          <cell r="I71">
            <v>0</v>
          </cell>
          <cell r="J71">
            <v>0</v>
          </cell>
          <cell r="K71">
            <v>0</v>
          </cell>
          <cell r="L71">
            <v>0</v>
          </cell>
          <cell r="M71">
            <v>0</v>
          </cell>
          <cell r="N71">
            <v>0</v>
          </cell>
          <cell r="O71">
            <v>0</v>
          </cell>
          <cell r="P71" t="str">
            <v>設備容量／面</v>
          </cell>
          <cell r="Q71">
            <v>0</v>
          </cell>
          <cell r="R71">
            <v>0</v>
          </cell>
          <cell r="S71">
            <v>0</v>
          </cell>
          <cell r="T71">
            <v>0</v>
          </cell>
          <cell r="U71">
            <v>0</v>
          </cell>
          <cell r="V71">
            <v>0</v>
          </cell>
          <cell r="W71">
            <v>0</v>
          </cell>
          <cell r="X71" t="str">
            <v>需要容量／面</v>
          </cell>
          <cell r="Y71">
            <v>0</v>
          </cell>
          <cell r="Z71">
            <v>0</v>
          </cell>
          <cell r="AA71">
            <v>0</v>
          </cell>
          <cell r="AB71">
            <v>0</v>
          </cell>
          <cell r="AC71">
            <v>0</v>
          </cell>
          <cell r="AD71">
            <v>0</v>
          </cell>
          <cell r="AE71">
            <v>0</v>
          </cell>
          <cell r="AF71" t="str">
            <v>電流 [A]</v>
          </cell>
          <cell r="AG71">
            <v>0</v>
          </cell>
          <cell r="AH71">
            <v>0</v>
          </cell>
          <cell r="AI71">
            <v>0</v>
          </cell>
          <cell r="AJ71">
            <v>0</v>
          </cell>
          <cell r="AK71" t="str">
            <v>配　線　材　料　／面</v>
          </cell>
          <cell r="AL71">
            <v>0</v>
          </cell>
        </row>
        <row r="72">
          <cell r="E72">
            <v>0</v>
          </cell>
          <cell r="F72">
            <v>0</v>
          </cell>
          <cell r="G72">
            <v>0</v>
          </cell>
          <cell r="H72">
            <v>0</v>
          </cell>
          <cell r="I72" t="str">
            <v>面</v>
          </cell>
          <cell r="J72">
            <v>0</v>
          </cell>
          <cell r="K72" t="str">
            <v>電気方式</v>
          </cell>
          <cell r="L72">
            <v>0</v>
          </cell>
          <cell r="M72">
            <v>0</v>
          </cell>
          <cell r="N72">
            <v>0</v>
          </cell>
          <cell r="O72">
            <v>0</v>
          </cell>
          <cell r="P72" t="str">
            <v>KW</v>
          </cell>
          <cell r="Q72">
            <v>0</v>
          </cell>
          <cell r="R72">
            <v>0</v>
          </cell>
          <cell r="S72">
            <v>0</v>
          </cell>
          <cell r="T72" t="str">
            <v>KVar</v>
          </cell>
          <cell r="U72">
            <v>0</v>
          </cell>
          <cell r="V72">
            <v>0</v>
          </cell>
          <cell r="W72">
            <v>0</v>
          </cell>
          <cell r="X72" t="str">
            <v>DmKW</v>
          </cell>
          <cell r="Y72">
            <v>0</v>
          </cell>
          <cell r="Z72">
            <v>0</v>
          </cell>
          <cell r="AA72">
            <v>0</v>
          </cell>
          <cell r="AB72" t="str">
            <v>DmKVar</v>
          </cell>
          <cell r="AC72">
            <v>0</v>
          </cell>
          <cell r="AD72">
            <v>0</v>
          </cell>
          <cell r="AE72">
            <v>0</v>
          </cell>
          <cell r="AF72" t="str">
            <v>設備/需要</v>
          </cell>
          <cell r="AG72">
            <v>0</v>
          </cell>
          <cell r="AH72">
            <v>0</v>
          </cell>
          <cell r="AI72">
            <v>0</v>
          </cell>
          <cell r="AJ72">
            <v>0</v>
          </cell>
          <cell r="AK72" t="str">
            <v>名 称</v>
          </cell>
          <cell r="AL72">
            <v>0</v>
          </cell>
        </row>
        <row r="73">
          <cell r="E73">
            <v>0</v>
          </cell>
          <cell r="F73">
            <v>0</v>
          </cell>
          <cell r="G73">
            <v>0</v>
          </cell>
          <cell r="H73">
            <v>0</v>
          </cell>
          <cell r="I73">
            <v>3</v>
          </cell>
          <cell r="J73">
            <v>0</v>
          </cell>
          <cell r="K73" t="str">
            <v>1φ3W</v>
          </cell>
          <cell r="L73">
            <v>0</v>
          </cell>
          <cell r="M73">
            <v>0</v>
          </cell>
          <cell r="N73">
            <v>0</v>
          </cell>
          <cell r="O73">
            <v>0</v>
          </cell>
          <cell r="P73">
            <v>23.567999999999998</v>
          </cell>
          <cell r="Q73">
            <v>0</v>
          </cell>
          <cell r="R73">
            <v>0</v>
          </cell>
          <cell r="S73">
            <v>0</v>
          </cell>
          <cell r="T73">
            <v>5.6607765233516121</v>
          </cell>
          <cell r="U73">
            <v>0</v>
          </cell>
          <cell r="V73">
            <v>0</v>
          </cell>
          <cell r="W73">
            <v>0</v>
          </cell>
          <cell r="X73">
            <v>21.211199999999998</v>
          </cell>
          <cell r="Y73">
            <v>0</v>
          </cell>
          <cell r="Z73">
            <v>0</v>
          </cell>
          <cell r="AA73">
            <v>0</v>
          </cell>
          <cell r="AB73">
            <v>5.0946988710164511</v>
          </cell>
          <cell r="AC73">
            <v>0</v>
          </cell>
          <cell r="AD73">
            <v>0</v>
          </cell>
          <cell r="AE73">
            <v>0</v>
          </cell>
          <cell r="AF73">
            <v>115.42045929055179</v>
          </cell>
          <cell r="AG73">
            <v>0</v>
          </cell>
          <cell r="AH73">
            <v>0</v>
          </cell>
          <cell r="AI73">
            <v>0</v>
          </cell>
          <cell r="AJ73">
            <v>0</v>
          </cell>
          <cell r="AK73" t="str">
            <v>CVT</v>
          </cell>
          <cell r="AL73">
            <v>0</v>
          </cell>
        </row>
        <row r="74">
          <cell r="E74">
            <v>0</v>
          </cell>
          <cell r="F74">
            <v>0</v>
          </cell>
          <cell r="G74">
            <v>0</v>
          </cell>
          <cell r="H74">
            <v>0</v>
          </cell>
          <cell r="I74">
            <v>0</v>
          </cell>
          <cell r="J74">
            <v>0</v>
          </cell>
          <cell r="K74" t="str">
            <v>210/105V</v>
          </cell>
          <cell r="L74">
            <v>0</v>
          </cell>
          <cell r="M74">
            <v>0</v>
          </cell>
          <cell r="N74">
            <v>0</v>
          </cell>
          <cell r="O74">
            <v>0</v>
          </cell>
          <cell r="P74" t="str">
            <v>MCCB  225AF/175AT</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103.8784133614966</v>
          </cell>
          <cell r="AG74">
            <v>0</v>
          </cell>
          <cell r="AH74">
            <v>0</v>
          </cell>
          <cell r="AI74">
            <v>0</v>
          </cell>
          <cell r="AJ74">
            <v>0</v>
          </cell>
          <cell r="AK74" t="str">
            <v>基底温度</v>
          </cell>
          <cell r="AL74">
            <v>0</v>
          </cell>
        </row>
        <row r="75">
          <cell r="E75">
            <v>0</v>
          </cell>
          <cell r="F75">
            <v>0</v>
          </cell>
          <cell r="G75">
            <v>0</v>
          </cell>
          <cell r="H75">
            <v>0</v>
          </cell>
          <cell r="I75">
            <v>0</v>
          </cell>
          <cell r="J75">
            <v>0</v>
          </cell>
          <cell r="K75" t="str">
            <v/>
          </cell>
          <cell r="L75">
            <v>0</v>
          </cell>
          <cell r="M75">
            <v>0</v>
          </cell>
          <cell r="N75">
            <v>0</v>
          </cell>
          <cell r="O75">
            <v>0</v>
          </cell>
          <cell r="P75" t="str">
            <v/>
          </cell>
          <cell r="Q75">
            <v>0</v>
          </cell>
          <cell r="R75">
            <v>0</v>
          </cell>
          <cell r="S75">
            <v>0</v>
          </cell>
          <cell r="T75" t="str">
            <v/>
          </cell>
          <cell r="U75">
            <v>0</v>
          </cell>
          <cell r="V75">
            <v>0</v>
          </cell>
          <cell r="W75">
            <v>0</v>
          </cell>
          <cell r="X75" t="str">
            <v/>
          </cell>
          <cell r="Y75">
            <v>0</v>
          </cell>
          <cell r="Z75">
            <v>0</v>
          </cell>
          <cell r="AA75">
            <v>0</v>
          </cell>
          <cell r="AB75" t="str">
            <v/>
          </cell>
          <cell r="AC75">
            <v>0</v>
          </cell>
          <cell r="AD75">
            <v>0</v>
          </cell>
          <cell r="AE75">
            <v>0</v>
          </cell>
          <cell r="AF75" t="str">
            <v/>
          </cell>
          <cell r="AG75">
            <v>0</v>
          </cell>
          <cell r="AH75">
            <v>0</v>
          </cell>
          <cell r="AI75">
            <v>0</v>
          </cell>
          <cell r="AJ75">
            <v>0</v>
          </cell>
          <cell r="AK75" t="str">
            <v>CVT</v>
          </cell>
          <cell r="AL75">
            <v>0</v>
          </cell>
        </row>
        <row r="76">
          <cell r="E76">
            <v>0</v>
          </cell>
          <cell r="F76">
            <v>0</v>
          </cell>
          <cell r="G76">
            <v>0</v>
          </cell>
          <cell r="H76">
            <v>0</v>
          </cell>
          <cell r="I76">
            <v>0</v>
          </cell>
          <cell r="J76">
            <v>0</v>
          </cell>
          <cell r="K76" t="str">
            <v/>
          </cell>
          <cell r="L76">
            <v>0</v>
          </cell>
          <cell r="M76">
            <v>0</v>
          </cell>
          <cell r="N76">
            <v>0</v>
          </cell>
          <cell r="O76">
            <v>0</v>
          </cell>
          <cell r="P76" t="str">
            <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t="str">
            <v/>
          </cell>
          <cell r="AG76">
            <v>0</v>
          </cell>
          <cell r="AH76">
            <v>0</v>
          </cell>
          <cell r="AI76">
            <v>0</v>
          </cell>
          <cell r="AJ76">
            <v>0</v>
          </cell>
          <cell r="AK76" t="str">
            <v>基底温度</v>
          </cell>
          <cell r="AL76">
            <v>0</v>
          </cell>
        </row>
        <row r="77">
          <cell r="E77">
            <v>0</v>
          </cell>
          <cell r="F77">
            <v>0</v>
          </cell>
          <cell r="G77">
            <v>0</v>
          </cell>
          <cell r="H77">
            <v>0</v>
          </cell>
          <cell r="I77" t="str">
            <v/>
          </cell>
          <cell r="J77">
            <v>0</v>
          </cell>
          <cell r="K77" t="str">
            <v/>
          </cell>
          <cell r="L77">
            <v>0</v>
          </cell>
          <cell r="M77">
            <v>0</v>
          </cell>
          <cell r="N77">
            <v>0</v>
          </cell>
          <cell r="O77">
            <v>0</v>
          </cell>
          <cell r="P77" t="str">
            <v/>
          </cell>
          <cell r="Q77">
            <v>0</v>
          </cell>
          <cell r="R77">
            <v>0</v>
          </cell>
          <cell r="S77">
            <v>0</v>
          </cell>
          <cell r="T77" t="str">
            <v/>
          </cell>
          <cell r="U77">
            <v>0</v>
          </cell>
          <cell r="V77">
            <v>0</v>
          </cell>
          <cell r="W77">
            <v>0</v>
          </cell>
          <cell r="X77" t="str">
            <v/>
          </cell>
          <cell r="Y77">
            <v>0</v>
          </cell>
          <cell r="Z77">
            <v>0</v>
          </cell>
          <cell r="AA77">
            <v>0</v>
          </cell>
          <cell r="AB77" t="str">
            <v/>
          </cell>
          <cell r="AC77">
            <v>0</v>
          </cell>
          <cell r="AD77">
            <v>0</v>
          </cell>
          <cell r="AE77">
            <v>0</v>
          </cell>
          <cell r="AF77" t="str">
            <v/>
          </cell>
          <cell r="AG77">
            <v>0</v>
          </cell>
          <cell r="AH77">
            <v>0</v>
          </cell>
          <cell r="AI77">
            <v>0</v>
          </cell>
          <cell r="AJ77">
            <v>0</v>
          </cell>
          <cell r="AK77" t="str">
            <v>CVT</v>
          </cell>
          <cell r="AL77">
            <v>0</v>
          </cell>
        </row>
        <row r="78">
          <cell r="E78">
            <v>0</v>
          </cell>
          <cell r="F78">
            <v>0</v>
          </cell>
          <cell r="G78">
            <v>0</v>
          </cell>
          <cell r="H78">
            <v>0</v>
          </cell>
          <cell r="I78">
            <v>0</v>
          </cell>
          <cell r="J78">
            <v>0</v>
          </cell>
          <cell r="K78" t="str">
            <v/>
          </cell>
          <cell r="L78">
            <v>0</v>
          </cell>
          <cell r="M78">
            <v>0</v>
          </cell>
          <cell r="N78">
            <v>0</v>
          </cell>
          <cell r="O78">
            <v>0</v>
          </cell>
          <cell r="P78" t="str">
            <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t="str">
            <v/>
          </cell>
          <cell r="AG78">
            <v>0</v>
          </cell>
          <cell r="AH78">
            <v>0</v>
          </cell>
          <cell r="AI78">
            <v>0</v>
          </cell>
          <cell r="AJ78">
            <v>0</v>
          </cell>
          <cell r="AK78" t="str">
            <v>基底温度</v>
          </cell>
          <cell r="AL78">
            <v>0</v>
          </cell>
        </row>
        <row r="79">
          <cell r="E79">
            <v>0</v>
          </cell>
          <cell r="F79">
            <v>0</v>
          </cell>
          <cell r="G79">
            <v>0</v>
          </cell>
          <cell r="H79">
            <v>0</v>
          </cell>
          <cell r="I79">
            <v>0</v>
          </cell>
          <cell r="J79">
            <v>0</v>
          </cell>
          <cell r="K79" t="str">
            <v/>
          </cell>
          <cell r="L79">
            <v>0</v>
          </cell>
          <cell r="M79">
            <v>0</v>
          </cell>
          <cell r="N79">
            <v>0</v>
          </cell>
          <cell r="O79">
            <v>0</v>
          </cell>
          <cell r="P79" t="str">
            <v/>
          </cell>
          <cell r="Q79">
            <v>0</v>
          </cell>
          <cell r="R79">
            <v>0</v>
          </cell>
          <cell r="S79">
            <v>0</v>
          </cell>
          <cell r="T79" t="str">
            <v/>
          </cell>
          <cell r="U79">
            <v>0</v>
          </cell>
          <cell r="V79">
            <v>0</v>
          </cell>
          <cell r="W79">
            <v>0</v>
          </cell>
          <cell r="X79" t="str">
            <v/>
          </cell>
          <cell r="Y79">
            <v>0</v>
          </cell>
          <cell r="Z79">
            <v>0</v>
          </cell>
          <cell r="AA79">
            <v>0</v>
          </cell>
          <cell r="AB79" t="str">
            <v/>
          </cell>
          <cell r="AC79">
            <v>0</v>
          </cell>
          <cell r="AD79">
            <v>0</v>
          </cell>
          <cell r="AE79">
            <v>0</v>
          </cell>
          <cell r="AF79" t="str">
            <v/>
          </cell>
          <cell r="AG79">
            <v>0</v>
          </cell>
          <cell r="AH79">
            <v>0</v>
          </cell>
          <cell r="AI79">
            <v>0</v>
          </cell>
          <cell r="AJ79">
            <v>0</v>
          </cell>
          <cell r="AK79" t="str">
            <v>CVT</v>
          </cell>
          <cell r="AL79">
            <v>0</v>
          </cell>
        </row>
        <row r="80">
          <cell r="E80">
            <v>0</v>
          </cell>
          <cell r="F80">
            <v>0</v>
          </cell>
          <cell r="G80">
            <v>0</v>
          </cell>
          <cell r="H80">
            <v>0</v>
          </cell>
          <cell r="I80">
            <v>0</v>
          </cell>
          <cell r="J80">
            <v>0</v>
          </cell>
          <cell r="K80" t="str">
            <v/>
          </cell>
          <cell r="L80">
            <v>0</v>
          </cell>
          <cell r="M80">
            <v>0</v>
          </cell>
          <cell r="N80">
            <v>0</v>
          </cell>
          <cell r="O80">
            <v>0</v>
          </cell>
          <cell r="P80" t="str">
            <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t="str">
            <v/>
          </cell>
          <cell r="AG80">
            <v>0</v>
          </cell>
          <cell r="AH80">
            <v>0</v>
          </cell>
          <cell r="AI80">
            <v>0</v>
          </cell>
          <cell r="AJ80">
            <v>0</v>
          </cell>
          <cell r="AK80" t="str">
            <v>基底温度</v>
          </cell>
          <cell r="AL80">
            <v>0</v>
          </cell>
        </row>
        <row r="81">
          <cell r="E81">
            <v>0</v>
          </cell>
          <cell r="F81">
            <v>0</v>
          </cell>
          <cell r="G81">
            <v>0</v>
          </cell>
          <cell r="H81">
            <v>0</v>
          </cell>
          <cell r="I81">
            <v>1</v>
          </cell>
          <cell r="J81">
            <v>0</v>
          </cell>
          <cell r="K81" t="str">
            <v>3φ3W</v>
          </cell>
          <cell r="L81">
            <v>0</v>
          </cell>
          <cell r="M81">
            <v>0</v>
          </cell>
          <cell r="N81">
            <v>0</v>
          </cell>
          <cell r="O81">
            <v>0</v>
          </cell>
          <cell r="P81">
            <v>50.343414085104612</v>
          </cell>
          <cell r="Q81">
            <v>0</v>
          </cell>
          <cell r="R81">
            <v>0</v>
          </cell>
          <cell r="S81">
            <v>0</v>
          </cell>
          <cell r="T81">
            <v>40.722192998014734</v>
          </cell>
          <cell r="U81">
            <v>0</v>
          </cell>
          <cell r="V81">
            <v>0</v>
          </cell>
          <cell r="W81">
            <v>0</v>
          </cell>
          <cell r="X81">
            <v>43.056934123615491</v>
          </cell>
          <cell r="Y81">
            <v>0</v>
          </cell>
          <cell r="Z81">
            <v>0</v>
          </cell>
          <cell r="AA81">
            <v>0</v>
          </cell>
          <cell r="AB81">
            <v>43.529008088613175</v>
          </cell>
          <cell r="AC81">
            <v>0</v>
          </cell>
          <cell r="AD81">
            <v>0</v>
          </cell>
          <cell r="AE81">
            <v>0</v>
          </cell>
          <cell r="AF81">
            <v>178.02044827029644</v>
          </cell>
          <cell r="AG81">
            <v>0</v>
          </cell>
          <cell r="AH81">
            <v>0</v>
          </cell>
          <cell r="AI81">
            <v>0</v>
          </cell>
          <cell r="AJ81">
            <v>0</v>
          </cell>
          <cell r="AK81" t="str">
            <v>CVT</v>
          </cell>
          <cell r="AL81">
            <v>0</v>
          </cell>
        </row>
        <row r="82">
          <cell r="E82">
            <v>0</v>
          </cell>
          <cell r="F82">
            <v>0</v>
          </cell>
          <cell r="G82">
            <v>0</v>
          </cell>
          <cell r="H82">
            <v>0</v>
          </cell>
          <cell r="I82">
            <v>0</v>
          </cell>
          <cell r="J82">
            <v>0</v>
          </cell>
          <cell r="K82" t="str">
            <v>210V</v>
          </cell>
          <cell r="L82">
            <v>0</v>
          </cell>
          <cell r="M82">
            <v>0</v>
          </cell>
          <cell r="N82">
            <v>0</v>
          </cell>
          <cell r="O82">
            <v>0</v>
          </cell>
          <cell r="P82" t="str">
            <v>MCCB  225AF/175AT</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168.32899168878285</v>
          </cell>
          <cell r="AG82">
            <v>0</v>
          </cell>
          <cell r="AH82">
            <v>0</v>
          </cell>
          <cell r="AI82">
            <v>0</v>
          </cell>
          <cell r="AJ82">
            <v>0</v>
          </cell>
          <cell r="AK82" t="str">
            <v>基底温度</v>
          </cell>
          <cell r="AL82">
            <v>0</v>
          </cell>
        </row>
        <row r="83">
          <cell r="E83">
            <v>0</v>
          </cell>
          <cell r="F83">
            <v>0</v>
          </cell>
          <cell r="G83">
            <v>0</v>
          </cell>
          <cell r="H83">
            <v>0</v>
          </cell>
          <cell r="I83">
            <v>0</v>
          </cell>
          <cell r="J83">
            <v>0</v>
          </cell>
          <cell r="K83">
            <v>0</v>
          </cell>
          <cell r="L83">
            <v>0</v>
          </cell>
          <cell r="M83">
            <v>0</v>
          </cell>
          <cell r="N83">
            <v>0</v>
          </cell>
          <cell r="O83">
            <v>0</v>
          </cell>
          <cell r="P83" t="str">
            <v/>
          </cell>
          <cell r="Q83">
            <v>0</v>
          </cell>
          <cell r="R83">
            <v>0</v>
          </cell>
          <cell r="S83">
            <v>0</v>
          </cell>
          <cell r="T83" t="str">
            <v/>
          </cell>
          <cell r="U83">
            <v>0</v>
          </cell>
          <cell r="V83">
            <v>0</v>
          </cell>
          <cell r="W83">
            <v>0</v>
          </cell>
          <cell r="X83" t="str">
            <v/>
          </cell>
          <cell r="Y83">
            <v>0</v>
          </cell>
          <cell r="Z83">
            <v>0</v>
          </cell>
          <cell r="AA83">
            <v>0</v>
          </cell>
          <cell r="AB83" t="str">
            <v/>
          </cell>
          <cell r="AC83">
            <v>0</v>
          </cell>
          <cell r="AD83">
            <v>0</v>
          </cell>
          <cell r="AE83">
            <v>0</v>
          </cell>
          <cell r="AF83" t="str">
            <v/>
          </cell>
          <cell r="AG83">
            <v>0</v>
          </cell>
          <cell r="AH83">
            <v>0</v>
          </cell>
          <cell r="AI83">
            <v>0</v>
          </cell>
          <cell r="AJ83">
            <v>0</v>
          </cell>
          <cell r="AK83" t="str">
            <v>CVT</v>
          </cell>
          <cell r="AL83">
            <v>0</v>
          </cell>
        </row>
        <row r="84">
          <cell r="E84">
            <v>0</v>
          </cell>
          <cell r="F84">
            <v>0</v>
          </cell>
          <cell r="G84">
            <v>0</v>
          </cell>
          <cell r="H84">
            <v>0</v>
          </cell>
          <cell r="I84">
            <v>0</v>
          </cell>
          <cell r="J84">
            <v>0</v>
          </cell>
          <cell r="K84">
            <v>0</v>
          </cell>
          <cell r="L84">
            <v>0</v>
          </cell>
          <cell r="M84">
            <v>0</v>
          </cell>
          <cell r="N84">
            <v>0</v>
          </cell>
          <cell r="O84">
            <v>0</v>
          </cell>
          <cell r="P84" t="str">
            <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t="str">
            <v/>
          </cell>
          <cell r="AG84">
            <v>0</v>
          </cell>
          <cell r="AH84">
            <v>0</v>
          </cell>
          <cell r="AI84">
            <v>0</v>
          </cell>
          <cell r="AJ84">
            <v>0</v>
          </cell>
          <cell r="AK84" t="str">
            <v>基底温度</v>
          </cell>
          <cell r="AL84">
            <v>0</v>
          </cell>
        </row>
        <row r="85">
          <cell r="E85">
            <v>0</v>
          </cell>
          <cell r="F85" t="str">
            <v>ケーブル配線工事</v>
          </cell>
          <cell r="G85">
            <v>0</v>
          </cell>
          <cell r="H85">
            <v>0</v>
          </cell>
          <cell r="I85">
            <v>0</v>
          </cell>
          <cell r="J85">
            <v>0</v>
          </cell>
          <cell r="K85">
            <v>0</v>
          </cell>
          <cell r="L85">
            <v>0</v>
          </cell>
          <cell r="M85">
            <v>0</v>
          </cell>
          <cell r="N85" t="str">
            <v>▼</v>
          </cell>
          <cell r="O85">
            <v>0</v>
          </cell>
          <cell r="P85">
            <v>0</v>
          </cell>
          <cell r="Q85">
            <v>0</v>
          </cell>
          <cell r="R85">
            <v>0</v>
          </cell>
          <cell r="S85">
            <v>0</v>
          </cell>
          <cell r="T85">
            <v>0</v>
          </cell>
          <cell r="U85">
            <v>0</v>
          </cell>
          <cell r="V85" t="str">
            <v>配管</v>
          </cell>
          <cell r="W85">
            <v>0</v>
          </cell>
          <cell r="X85">
            <v>0</v>
          </cell>
          <cell r="Y85" t="str">
            <v>ケーブルラック工事(1段)</v>
          </cell>
          <cell r="Z85">
            <v>0</v>
          </cell>
          <cell r="AA85">
            <v>0</v>
          </cell>
          <cell r="AB85">
            <v>0</v>
          </cell>
          <cell r="AC85">
            <v>0</v>
          </cell>
          <cell r="AD85">
            <v>0</v>
          </cell>
          <cell r="AE85">
            <v>0</v>
          </cell>
          <cell r="AF85">
            <v>0</v>
          </cell>
          <cell r="AG85">
            <v>0</v>
          </cell>
          <cell r="AH85" t="str">
            <v>▼</v>
          </cell>
          <cell r="AI85">
            <v>0</v>
          </cell>
          <cell r="AJ85">
            <v>0</v>
          </cell>
          <cell r="AK85">
            <v>0</v>
          </cell>
          <cell r="AL85">
            <v>0</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t="str">
            <v/>
          </cell>
          <cell r="W86">
            <v>0</v>
          </cell>
          <cell r="X86">
            <v>0</v>
          </cell>
          <cell r="Y86">
            <v>0</v>
          </cell>
          <cell r="Z86">
            <v>0</v>
          </cell>
          <cell r="AA86" t="str">
            <v/>
          </cell>
          <cell r="AB86">
            <v>0</v>
          </cell>
          <cell r="AC86">
            <v>0</v>
          </cell>
          <cell r="AD86">
            <v>0</v>
          </cell>
          <cell r="AE86">
            <v>0</v>
          </cell>
          <cell r="AF86" t="str">
            <v/>
          </cell>
          <cell r="AG86">
            <v>0</v>
          </cell>
          <cell r="AH86">
            <v>0</v>
          </cell>
          <cell r="AI86">
            <v>0</v>
          </cell>
          <cell r="AJ86">
            <v>0</v>
          </cell>
          <cell r="AK86">
            <v>0</v>
          </cell>
          <cell r="AL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t="str">
            <v/>
          </cell>
          <cell r="W87">
            <v>0</v>
          </cell>
          <cell r="X87">
            <v>0</v>
          </cell>
          <cell r="Y87">
            <v>0</v>
          </cell>
          <cell r="Z87">
            <v>0</v>
          </cell>
          <cell r="AA87" t="str">
            <v/>
          </cell>
          <cell r="AB87">
            <v>0</v>
          </cell>
          <cell r="AC87">
            <v>0</v>
          </cell>
          <cell r="AD87">
            <v>0</v>
          </cell>
          <cell r="AE87">
            <v>0</v>
          </cell>
          <cell r="AF87" t="str">
            <v/>
          </cell>
          <cell r="AG87">
            <v>0</v>
          </cell>
          <cell r="AH87">
            <v>0</v>
          </cell>
          <cell r="AI87">
            <v>0</v>
          </cell>
          <cell r="AJ87">
            <v>0</v>
          </cell>
          <cell r="AK87">
            <v>0</v>
          </cell>
          <cell r="AL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E92">
            <v>0</v>
          </cell>
          <cell r="F92">
            <v>0</v>
          </cell>
          <cell r="G92" t="str">
            <v>百貨店等</v>
          </cell>
          <cell r="H92">
            <v>0</v>
          </cell>
          <cell r="I92">
            <v>0</v>
          </cell>
          <cell r="J92">
            <v>0</v>
          </cell>
          <cell r="K92">
            <v>0</v>
          </cell>
          <cell r="L92">
            <v>0</v>
          </cell>
          <cell r="M92">
            <v>0</v>
          </cell>
          <cell r="N92">
            <v>0</v>
          </cell>
          <cell r="O92">
            <v>0</v>
          </cell>
          <cell r="P92" t="str">
            <v>設備容量／面</v>
          </cell>
          <cell r="Q92">
            <v>0</v>
          </cell>
          <cell r="R92">
            <v>0</v>
          </cell>
          <cell r="S92">
            <v>0</v>
          </cell>
          <cell r="T92">
            <v>0</v>
          </cell>
          <cell r="U92">
            <v>0</v>
          </cell>
          <cell r="V92">
            <v>0</v>
          </cell>
          <cell r="W92">
            <v>0</v>
          </cell>
          <cell r="X92" t="str">
            <v>需要容量／面</v>
          </cell>
          <cell r="Y92">
            <v>0</v>
          </cell>
          <cell r="Z92">
            <v>0</v>
          </cell>
          <cell r="AA92">
            <v>0</v>
          </cell>
          <cell r="AB92">
            <v>0</v>
          </cell>
          <cell r="AC92">
            <v>0</v>
          </cell>
          <cell r="AD92">
            <v>0</v>
          </cell>
          <cell r="AE92">
            <v>0</v>
          </cell>
          <cell r="AF92" t="str">
            <v>電流 [A]</v>
          </cell>
          <cell r="AG92">
            <v>0</v>
          </cell>
          <cell r="AH92">
            <v>0</v>
          </cell>
          <cell r="AI92">
            <v>0</v>
          </cell>
          <cell r="AJ92">
            <v>0</v>
          </cell>
          <cell r="AK92" t="str">
            <v>配　線　材　料　／面</v>
          </cell>
          <cell r="AL92">
            <v>0</v>
          </cell>
        </row>
        <row r="93">
          <cell r="E93">
            <v>0</v>
          </cell>
          <cell r="F93">
            <v>0</v>
          </cell>
          <cell r="G93">
            <v>0</v>
          </cell>
          <cell r="H93">
            <v>0</v>
          </cell>
          <cell r="I93" t="str">
            <v>面</v>
          </cell>
          <cell r="J93">
            <v>0</v>
          </cell>
          <cell r="K93" t="str">
            <v>電気方式</v>
          </cell>
          <cell r="L93">
            <v>0</v>
          </cell>
          <cell r="M93">
            <v>0</v>
          </cell>
          <cell r="N93">
            <v>0</v>
          </cell>
          <cell r="O93">
            <v>0</v>
          </cell>
          <cell r="P93" t="str">
            <v>KW</v>
          </cell>
          <cell r="Q93">
            <v>0</v>
          </cell>
          <cell r="R93">
            <v>0</v>
          </cell>
          <cell r="S93">
            <v>0</v>
          </cell>
          <cell r="T93" t="str">
            <v>KVar</v>
          </cell>
          <cell r="U93">
            <v>0</v>
          </cell>
          <cell r="V93">
            <v>0</v>
          </cell>
          <cell r="W93">
            <v>0</v>
          </cell>
          <cell r="X93" t="str">
            <v>DmKW</v>
          </cell>
          <cell r="Y93">
            <v>0</v>
          </cell>
          <cell r="Z93">
            <v>0</v>
          </cell>
          <cell r="AA93">
            <v>0</v>
          </cell>
          <cell r="AB93" t="str">
            <v>DmKVar</v>
          </cell>
          <cell r="AC93">
            <v>0</v>
          </cell>
          <cell r="AD93">
            <v>0</v>
          </cell>
          <cell r="AE93">
            <v>0</v>
          </cell>
          <cell r="AF93" t="str">
            <v>設備/需要</v>
          </cell>
          <cell r="AG93">
            <v>0</v>
          </cell>
          <cell r="AH93">
            <v>0</v>
          </cell>
          <cell r="AI93">
            <v>0</v>
          </cell>
          <cell r="AJ93">
            <v>0</v>
          </cell>
          <cell r="AK93" t="str">
            <v>名 称</v>
          </cell>
          <cell r="AL93">
            <v>0</v>
          </cell>
        </row>
        <row r="94">
          <cell r="E94">
            <v>0</v>
          </cell>
          <cell r="F94">
            <v>0</v>
          </cell>
          <cell r="G94">
            <v>0</v>
          </cell>
          <cell r="H94">
            <v>0</v>
          </cell>
          <cell r="I94">
            <v>1</v>
          </cell>
          <cell r="J94">
            <v>0</v>
          </cell>
          <cell r="K94" t="str">
            <v>1φ3W</v>
          </cell>
          <cell r="L94">
            <v>0</v>
          </cell>
          <cell r="M94">
            <v>0</v>
          </cell>
          <cell r="N94">
            <v>0</v>
          </cell>
          <cell r="O94">
            <v>0</v>
          </cell>
          <cell r="P94">
            <v>21.672000000000001</v>
          </cell>
          <cell r="Q94">
            <v>0</v>
          </cell>
          <cell r="R94">
            <v>0</v>
          </cell>
          <cell r="S94">
            <v>0</v>
          </cell>
          <cell r="T94">
            <v>5.2075574008904777</v>
          </cell>
          <cell r="U94">
            <v>0</v>
          </cell>
          <cell r="V94">
            <v>0</v>
          </cell>
          <cell r="W94">
            <v>0</v>
          </cell>
          <cell r="X94">
            <v>19.504799999999999</v>
          </cell>
          <cell r="Y94">
            <v>0</v>
          </cell>
          <cell r="Z94">
            <v>0</v>
          </cell>
          <cell r="AA94">
            <v>0</v>
          </cell>
          <cell r="AB94">
            <v>4.6868016608014305</v>
          </cell>
          <cell r="AC94">
            <v>0</v>
          </cell>
          <cell r="AD94">
            <v>0</v>
          </cell>
          <cell r="AE94">
            <v>0</v>
          </cell>
          <cell r="AF94">
            <v>106.13753090564902</v>
          </cell>
          <cell r="AG94">
            <v>0</v>
          </cell>
          <cell r="AH94">
            <v>0</v>
          </cell>
          <cell r="AI94">
            <v>0</v>
          </cell>
          <cell r="AJ94">
            <v>0</v>
          </cell>
          <cell r="AK94" t="str">
            <v>CVT</v>
          </cell>
          <cell r="AL94">
            <v>0</v>
          </cell>
        </row>
        <row r="95">
          <cell r="E95">
            <v>0</v>
          </cell>
          <cell r="F95">
            <v>0</v>
          </cell>
          <cell r="G95">
            <v>0</v>
          </cell>
          <cell r="H95">
            <v>0</v>
          </cell>
          <cell r="I95">
            <v>0</v>
          </cell>
          <cell r="J95">
            <v>0</v>
          </cell>
          <cell r="K95" t="str">
            <v>210/105V</v>
          </cell>
          <cell r="L95">
            <v>0</v>
          </cell>
          <cell r="M95">
            <v>0</v>
          </cell>
          <cell r="N95">
            <v>0</v>
          </cell>
          <cell r="O95">
            <v>0</v>
          </cell>
          <cell r="P95" t="str">
            <v>MCCB  225AF/175AT</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95.523777815084117</v>
          </cell>
          <cell r="AG95">
            <v>0</v>
          </cell>
          <cell r="AH95">
            <v>0</v>
          </cell>
          <cell r="AI95">
            <v>0</v>
          </cell>
          <cell r="AJ95">
            <v>0</v>
          </cell>
          <cell r="AK95" t="str">
            <v>基底温度</v>
          </cell>
          <cell r="AL95">
            <v>0</v>
          </cell>
        </row>
        <row r="96">
          <cell r="E96">
            <v>0</v>
          </cell>
          <cell r="F96">
            <v>0</v>
          </cell>
          <cell r="G96">
            <v>0</v>
          </cell>
          <cell r="H96">
            <v>0</v>
          </cell>
          <cell r="I96">
            <v>0</v>
          </cell>
          <cell r="J96">
            <v>0</v>
          </cell>
          <cell r="K96" t="str">
            <v/>
          </cell>
          <cell r="L96">
            <v>0</v>
          </cell>
          <cell r="M96">
            <v>0</v>
          </cell>
          <cell r="N96">
            <v>0</v>
          </cell>
          <cell r="O96">
            <v>0</v>
          </cell>
          <cell r="P96" t="str">
            <v/>
          </cell>
          <cell r="Q96">
            <v>0</v>
          </cell>
          <cell r="R96">
            <v>0</v>
          </cell>
          <cell r="S96">
            <v>0</v>
          </cell>
          <cell r="T96" t="str">
            <v/>
          </cell>
          <cell r="U96">
            <v>0</v>
          </cell>
          <cell r="V96">
            <v>0</v>
          </cell>
          <cell r="W96">
            <v>0</v>
          </cell>
          <cell r="X96" t="str">
            <v/>
          </cell>
          <cell r="Y96">
            <v>0</v>
          </cell>
          <cell r="Z96">
            <v>0</v>
          </cell>
          <cell r="AA96">
            <v>0</v>
          </cell>
          <cell r="AB96" t="str">
            <v/>
          </cell>
          <cell r="AC96">
            <v>0</v>
          </cell>
          <cell r="AD96">
            <v>0</v>
          </cell>
          <cell r="AE96">
            <v>0</v>
          </cell>
          <cell r="AF96" t="str">
            <v/>
          </cell>
          <cell r="AG96">
            <v>0</v>
          </cell>
          <cell r="AH96">
            <v>0</v>
          </cell>
          <cell r="AI96">
            <v>0</v>
          </cell>
          <cell r="AJ96">
            <v>0</v>
          </cell>
          <cell r="AK96" t="str">
            <v>CVT</v>
          </cell>
          <cell r="AL96">
            <v>0</v>
          </cell>
        </row>
        <row r="97">
          <cell r="E97">
            <v>0</v>
          </cell>
          <cell r="F97">
            <v>0</v>
          </cell>
          <cell r="G97">
            <v>0</v>
          </cell>
          <cell r="H97">
            <v>0</v>
          </cell>
          <cell r="I97">
            <v>0</v>
          </cell>
          <cell r="J97">
            <v>0</v>
          </cell>
          <cell r="K97" t="str">
            <v/>
          </cell>
          <cell r="L97">
            <v>0</v>
          </cell>
          <cell r="M97">
            <v>0</v>
          </cell>
          <cell r="N97">
            <v>0</v>
          </cell>
          <cell r="O97">
            <v>0</v>
          </cell>
          <cell r="P97" t="str">
            <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t="str">
            <v/>
          </cell>
          <cell r="AG97">
            <v>0</v>
          </cell>
          <cell r="AH97">
            <v>0</v>
          </cell>
          <cell r="AI97">
            <v>0</v>
          </cell>
          <cell r="AJ97">
            <v>0</v>
          </cell>
          <cell r="AK97" t="str">
            <v>基底温度</v>
          </cell>
          <cell r="AL97">
            <v>0</v>
          </cell>
        </row>
        <row r="98">
          <cell r="E98">
            <v>0</v>
          </cell>
          <cell r="F98">
            <v>0</v>
          </cell>
          <cell r="G98">
            <v>0</v>
          </cell>
          <cell r="H98">
            <v>0</v>
          </cell>
          <cell r="I98" t="str">
            <v/>
          </cell>
          <cell r="J98">
            <v>0</v>
          </cell>
          <cell r="K98" t="str">
            <v/>
          </cell>
          <cell r="L98">
            <v>0</v>
          </cell>
          <cell r="M98">
            <v>0</v>
          </cell>
          <cell r="N98">
            <v>0</v>
          </cell>
          <cell r="O98">
            <v>0</v>
          </cell>
          <cell r="P98" t="str">
            <v/>
          </cell>
          <cell r="Q98">
            <v>0</v>
          </cell>
          <cell r="R98">
            <v>0</v>
          </cell>
          <cell r="S98">
            <v>0</v>
          </cell>
          <cell r="T98" t="str">
            <v/>
          </cell>
          <cell r="U98">
            <v>0</v>
          </cell>
          <cell r="V98">
            <v>0</v>
          </cell>
          <cell r="W98">
            <v>0</v>
          </cell>
          <cell r="X98" t="str">
            <v/>
          </cell>
          <cell r="Y98">
            <v>0</v>
          </cell>
          <cell r="Z98">
            <v>0</v>
          </cell>
          <cell r="AA98">
            <v>0</v>
          </cell>
          <cell r="AB98" t="str">
            <v/>
          </cell>
          <cell r="AC98">
            <v>0</v>
          </cell>
          <cell r="AD98">
            <v>0</v>
          </cell>
          <cell r="AE98">
            <v>0</v>
          </cell>
          <cell r="AF98" t="str">
            <v/>
          </cell>
          <cell r="AG98">
            <v>0</v>
          </cell>
          <cell r="AH98">
            <v>0</v>
          </cell>
          <cell r="AI98">
            <v>0</v>
          </cell>
          <cell r="AJ98">
            <v>0</v>
          </cell>
          <cell r="AK98" t="str">
            <v>CVT</v>
          </cell>
          <cell r="AL98">
            <v>0</v>
          </cell>
        </row>
        <row r="99">
          <cell r="E99">
            <v>0</v>
          </cell>
          <cell r="F99">
            <v>0</v>
          </cell>
          <cell r="G99">
            <v>0</v>
          </cell>
          <cell r="H99">
            <v>0</v>
          </cell>
          <cell r="I99">
            <v>0</v>
          </cell>
          <cell r="J99">
            <v>0</v>
          </cell>
          <cell r="K99" t="str">
            <v/>
          </cell>
          <cell r="L99">
            <v>0</v>
          </cell>
          <cell r="M99">
            <v>0</v>
          </cell>
          <cell r="N99">
            <v>0</v>
          </cell>
          <cell r="O99">
            <v>0</v>
          </cell>
          <cell r="P99" t="str">
            <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t="str">
            <v/>
          </cell>
          <cell r="AG99">
            <v>0</v>
          </cell>
          <cell r="AH99">
            <v>0</v>
          </cell>
          <cell r="AI99">
            <v>0</v>
          </cell>
          <cell r="AJ99">
            <v>0</v>
          </cell>
          <cell r="AK99" t="str">
            <v>基底温度</v>
          </cell>
          <cell r="AL99">
            <v>0</v>
          </cell>
        </row>
        <row r="100">
          <cell r="E100">
            <v>0</v>
          </cell>
          <cell r="F100">
            <v>0</v>
          </cell>
          <cell r="G100">
            <v>0</v>
          </cell>
          <cell r="H100">
            <v>0</v>
          </cell>
          <cell r="I100">
            <v>0</v>
          </cell>
          <cell r="J100">
            <v>0</v>
          </cell>
          <cell r="K100" t="str">
            <v/>
          </cell>
          <cell r="L100">
            <v>0</v>
          </cell>
          <cell r="M100">
            <v>0</v>
          </cell>
          <cell r="N100">
            <v>0</v>
          </cell>
          <cell r="O100">
            <v>0</v>
          </cell>
          <cell r="P100" t="str">
            <v/>
          </cell>
          <cell r="Q100">
            <v>0</v>
          </cell>
          <cell r="R100">
            <v>0</v>
          </cell>
          <cell r="S100">
            <v>0</v>
          </cell>
          <cell r="T100" t="str">
            <v/>
          </cell>
          <cell r="U100">
            <v>0</v>
          </cell>
          <cell r="V100">
            <v>0</v>
          </cell>
          <cell r="W100">
            <v>0</v>
          </cell>
          <cell r="X100" t="str">
            <v/>
          </cell>
          <cell r="Y100">
            <v>0</v>
          </cell>
          <cell r="Z100">
            <v>0</v>
          </cell>
          <cell r="AA100">
            <v>0</v>
          </cell>
          <cell r="AB100" t="str">
            <v/>
          </cell>
          <cell r="AC100">
            <v>0</v>
          </cell>
          <cell r="AD100">
            <v>0</v>
          </cell>
          <cell r="AE100">
            <v>0</v>
          </cell>
          <cell r="AF100" t="str">
            <v/>
          </cell>
          <cell r="AG100">
            <v>0</v>
          </cell>
          <cell r="AH100">
            <v>0</v>
          </cell>
          <cell r="AI100">
            <v>0</v>
          </cell>
          <cell r="AJ100">
            <v>0</v>
          </cell>
          <cell r="AK100" t="str">
            <v>CVT</v>
          </cell>
          <cell r="AL100">
            <v>0</v>
          </cell>
        </row>
        <row r="101">
          <cell r="E101">
            <v>0</v>
          </cell>
          <cell r="F101">
            <v>0</v>
          </cell>
          <cell r="G101">
            <v>0</v>
          </cell>
          <cell r="H101">
            <v>0</v>
          </cell>
          <cell r="I101">
            <v>0</v>
          </cell>
          <cell r="J101">
            <v>0</v>
          </cell>
          <cell r="K101" t="str">
            <v/>
          </cell>
          <cell r="L101">
            <v>0</v>
          </cell>
          <cell r="M101">
            <v>0</v>
          </cell>
          <cell r="N101">
            <v>0</v>
          </cell>
          <cell r="O101">
            <v>0</v>
          </cell>
          <cell r="P101" t="str">
            <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t="str">
            <v/>
          </cell>
          <cell r="AG101">
            <v>0</v>
          </cell>
          <cell r="AH101">
            <v>0</v>
          </cell>
          <cell r="AI101">
            <v>0</v>
          </cell>
          <cell r="AJ101">
            <v>0</v>
          </cell>
          <cell r="AK101" t="str">
            <v>基底温度</v>
          </cell>
          <cell r="AL101">
            <v>0</v>
          </cell>
        </row>
        <row r="102">
          <cell r="E102">
            <v>0</v>
          </cell>
          <cell r="F102">
            <v>0</v>
          </cell>
          <cell r="G102">
            <v>0</v>
          </cell>
          <cell r="H102">
            <v>0</v>
          </cell>
          <cell r="I102">
            <v>1</v>
          </cell>
          <cell r="J102">
            <v>0</v>
          </cell>
          <cell r="K102" t="str">
            <v>3φ3W</v>
          </cell>
          <cell r="L102">
            <v>0</v>
          </cell>
          <cell r="M102">
            <v>0</v>
          </cell>
          <cell r="N102">
            <v>0</v>
          </cell>
          <cell r="O102">
            <v>0</v>
          </cell>
          <cell r="P102">
            <v>61.117518895220684</v>
          </cell>
          <cell r="Q102">
            <v>0</v>
          </cell>
          <cell r="R102">
            <v>0</v>
          </cell>
          <cell r="S102">
            <v>0</v>
          </cell>
          <cell r="T102">
            <v>49.544447221730366</v>
          </cell>
          <cell r="U102">
            <v>0</v>
          </cell>
          <cell r="V102">
            <v>0</v>
          </cell>
          <cell r="W102">
            <v>0</v>
          </cell>
          <cell r="X102">
            <v>52.03261856436589</v>
          </cell>
          <cell r="Y102">
            <v>0</v>
          </cell>
          <cell r="Z102">
            <v>0</v>
          </cell>
          <cell r="AA102">
            <v>0</v>
          </cell>
          <cell r="AB102">
            <v>52.603726821913973</v>
          </cell>
          <cell r="AC102">
            <v>0</v>
          </cell>
          <cell r="AD102">
            <v>0</v>
          </cell>
          <cell r="AE102">
            <v>0</v>
          </cell>
          <cell r="AF102">
            <v>131.66359836171856</v>
          </cell>
          <cell r="AG102">
            <v>0</v>
          </cell>
          <cell r="AH102">
            <v>0</v>
          </cell>
          <cell r="AI102">
            <v>0</v>
          </cell>
          <cell r="AJ102">
            <v>0</v>
          </cell>
          <cell r="AK102" t="str">
            <v>CVT</v>
          </cell>
          <cell r="AL102">
            <v>0</v>
          </cell>
        </row>
        <row r="103">
          <cell r="E103">
            <v>0</v>
          </cell>
          <cell r="F103">
            <v>0</v>
          </cell>
          <cell r="G103">
            <v>0</v>
          </cell>
          <cell r="H103">
            <v>0</v>
          </cell>
          <cell r="I103">
            <v>0</v>
          </cell>
          <cell r="J103">
            <v>0</v>
          </cell>
          <cell r="K103">
            <v>345.6</v>
          </cell>
          <cell r="L103">
            <v>0</v>
          </cell>
          <cell r="M103">
            <v>0</v>
          </cell>
          <cell r="N103">
            <v>0</v>
          </cell>
          <cell r="O103">
            <v>0</v>
          </cell>
          <cell r="P103" t="str">
            <v>MCCB  225AF/225AT</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123.82100116004773</v>
          </cell>
          <cell r="AG103">
            <v>0</v>
          </cell>
          <cell r="AH103">
            <v>0</v>
          </cell>
          <cell r="AI103">
            <v>0</v>
          </cell>
          <cell r="AJ103">
            <v>0</v>
          </cell>
          <cell r="AK103" t="str">
            <v>基底温度</v>
          </cell>
          <cell r="AL103">
            <v>0</v>
          </cell>
        </row>
        <row r="104">
          <cell r="E104">
            <v>0</v>
          </cell>
          <cell r="F104">
            <v>0</v>
          </cell>
          <cell r="G104">
            <v>0</v>
          </cell>
          <cell r="H104">
            <v>0</v>
          </cell>
          <cell r="I104">
            <v>0</v>
          </cell>
          <cell r="J104">
            <v>0</v>
          </cell>
          <cell r="K104">
            <v>0</v>
          </cell>
          <cell r="L104">
            <v>0</v>
          </cell>
          <cell r="M104">
            <v>0</v>
          </cell>
          <cell r="N104">
            <v>0</v>
          </cell>
          <cell r="O104">
            <v>0</v>
          </cell>
          <cell r="P104" t="str">
            <v/>
          </cell>
          <cell r="Q104">
            <v>0</v>
          </cell>
          <cell r="R104">
            <v>0</v>
          </cell>
          <cell r="S104">
            <v>0</v>
          </cell>
          <cell r="T104" t="str">
            <v/>
          </cell>
          <cell r="U104">
            <v>0</v>
          </cell>
          <cell r="V104">
            <v>0</v>
          </cell>
          <cell r="W104">
            <v>0</v>
          </cell>
          <cell r="X104" t="str">
            <v/>
          </cell>
          <cell r="Y104">
            <v>0</v>
          </cell>
          <cell r="Z104">
            <v>0</v>
          </cell>
          <cell r="AA104">
            <v>0</v>
          </cell>
          <cell r="AB104" t="str">
            <v/>
          </cell>
          <cell r="AC104">
            <v>0</v>
          </cell>
          <cell r="AD104">
            <v>0</v>
          </cell>
          <cell r="AE104">
            <v>0</v>
          </cell>
          <cell r="AF104" t="str">
            <v/>
          </cell>
          <cell r="AG104">
            <v>0</v>
          </cell>
          <cell r="AH104">
            <v>0</v>
          </cell>
          <cell r="AI104">
            <v>0</v>
          </cell>
          <cell r="AJ104">
            <v>0</v>
          </cell>
          <cell r="AK104" t="str">
            <v>CVT</v>
          </cell>
          <cell r="AL104">
            <v>0</v>
          </cell>
        </row>
        <row r="105">
          <cell r="E105">
            <v>0</v>
          </cell>
          <cell r="F105">
            <v>0</v>
          </cell>
          <cell r="G105">
            <v>0</v>
          </cell>
          <cell r="H105">
            <v>0</v>
          </cell>
          <cell r="I105">
            <v>0</v>
          </cell>
          <cell r="J105">
            <v>0</v>
          </cell>
          <cell r="K105">
            <v>0</v>
          </cell>
          <cell r="L105">
            <v>0</v>
          </cell>
          <cell r="M105">
            <v>0</v>
          </cell>
          <cell r="N105">
            <v>0</v>
          </cell>
          <cell r="O105">
            <v>0</v>
          </cell>
          <cell r="P105" t="str">
            <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t="str">
            <v/>
          </cell>
          <cell r="AG105">
            <v>0</v>
          </cell>
          <cell r="AH105">
            <v>0</v>
          </cell>
          <cell r="AI105">
            <v>0</v>
          </cell>
          <cell r="AJ105">
            <v>0</v>
          </cell>
          <cell r="AK105" t="str">
            <v>基底温度</v>
          </cell>
          <cell r="AL105">
            <v>0</v>
          </cell>
        </row>
        <row r="106">
          <cell r="E106">
            <v>0</v>
          </cell>
          <cell r="F106" t="str">
            <v>ケーブル配線工事</v>
          </cell>
          <cell r="G106">
            <v>0</v>
          </cell>
          <cell r="H106">
            <v>0</v>
          </cell>
          <cell r="I106">
            <v>0</v>
          </cell>
          <cell r="J106">
            <v>0</v>
          </cell>
          <cell r="K106">
            <v>0</v>
          </cell>
          <cell r="L106">
            <v>0</v>
          </cell>
          <cell r="M106">
            <v>0</v>
          </cell>
          <cell r="N106" t="str">
            <v>▼</v>
          </cell>
          <cell r="O106">
            <v>0</v>
          </cell>
          <cell r="P106">
            <v>0</v>
          </cell>
          <cell r="Q106">
            <v>0</v>
          </cell>
          <cell r="R106">
            <v>0</v>
          </cell>
          <cell r="S106">
            <v>0</v>
          </cell>
          <cell r="T106">
            <v>0</v>
          </cell>
          <cell r="U106">
            <v>0</v>
          </cell>
          <cell r="V106" t="str">
            <v>配管</v>
          </cell>
          <cell r="W106">
            <v>0</v>
          </cell>
          <cell r="X106">
            <v>0</v>
          </cell>
          <cell r="Y106" t="str">
            <v>ケーブルラック工事(1段)</v>
          </cell>
          <cell r="Z106">
            <v>0</v>
          </cell>
          <cell r="AA106">
            <v>0</v>
          </cell>
          <cell r="AB106">
            <v>0</v>
          </cell>
          <cell r="AC106">
            <v>0</v>
          </cell>
          <cell r="AD106">
            <v>0</v>
          </cell>
          <cell r="AE106">
            <v>0</v>
          </cell>
          <cell r="AF106">
            <v>0</v>
          </cell>
          <cell r="AG106">
            <v>0</v>
          </cell>
          <cell r="AH106" t="str">
            <v>▼</v>
          </cell>
          <cell r="AI106">
            <v>0</v>
          </cell>
          <cell r="AJ106">
            <v>0</v>
          </cell>
          <cell r="AK106">
            <v>0</v>
          </cell>
          <cell r="AL106">
            <v>0</v>
          </cell>
        </row>
        <row r="107">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row>
        <row r="108">
          <cell r="E108">
            <v>0</v>
          </cell>
          <cell r="F108">
            <v>0</v>
          </cell>
          <cell r="G108" t="str">
            <v>百貨店等</v>
          </cell>
          <cell r="H108">
            <v>0</v>
          </cell>
          <cell r="I108">
            <v>0</v>
          </cell>
          <cell r="J108">
            <v>0</v>
          </cell>
          <cell r="K108">
            <v>0</v>
          </cell>
          <cell r="L108">
            <v>0</v>
          </cell>
          <cell r="M108">
            <v>0</v>
          </cell>
          <cell r="N108">
            <v>0</v>
          </cell>
          <cell r="O108">
            <v>0</v>
          </cell>
          <cell r="P108" t="str">
            <v>設備容量／面</v>
          </cell>
          <cell r="Q108">
            <v>0</v>
          </cell>
          <cell r="R108">
            <v>0</v>
          </cell>
          <cell r="S108">
            <v>0</v>
          </cell>
          <cell r="T108">
            <v>0</v>
          </cell>
          <cell r="U108">
            <v>0</v>
          </cell>
          <cell r="V108">
            <v>0</v>
          </cell>
          <cell r="W108">
            <v>0</v>
          </cell>
          <cell r="X108" t="str">
            <v>需要容量／面</v>
          </cell>
          <cell r="Y108">
            <v>0</v>
          </cell>
          <cell r="Z108">
            <v>0</v>
          </cell>
          <cell r="AA108">
            <v>0</v>
          </cell>
          <cell r="AB108">
            <v>0</v>
          </cell>
          <cell r="AC108">
            <v>0</v>
          </cell>
          <cell r="AD108">
            <v>0</v>
          </cell>
          <cell r="AE108">
            <v>0</v>
          </cell>
          <cell r="AF108" t="str">
            <v>電流 [A]</v>
          </cell>
          <cell r="AG108">
            <v>0</v>
          </cell>
          <cell r="AH108">
            <v>0</v>
          </cell>
          <cell r="AI108">
            <v>0</v>
          </cell>
          <cell r="AJ108">
            <v>0</v>
          </cell>
          <cell r="AK108" t="str">
            <v>配　線　材　料　／面</v>
          </cell>
          <cell r="AL108">
            <v>0</v>
          </cell>
        </row>
        <row r="109">
          <cell r="E109">
            <v>0</v>
          </cell>
          <cell r="F109">
            <v>0</v>
          </cell>
          <cell r="G109">
            <v>0</v>
          </cell>
          <cell r="H109">
            <v>0</v>
          </cell>
          <cell r="I109" t="str">
            <v>面</v>
          </cell>
          <cell r="J109">
            <v>0</v>
          </cell>
          <cell r="K109" t="str">
            <v>電気方式</v>
          </cell>
          <cell r="L109">
            <v>0</v>
          </cell>
          <cell r="M109">
            <v>0</v>
          </cell>
          <cell r="N109">
            <v>0</v>
          </cell>
          <cell r="O109">
            <v>0</v>
          </cell>
          <cell r="P109" t="str">
            <v>KW</v>
          </cell>
          <cell r="Q109">
            <v>0</v>
          </cell>
          <cell r="R109">
            <v>0</v>
          </cell>
          <cell r="S109">
            <v>0</v>
          </cell>
          <cell r="T109" t="str">
            <v>KVar</v>
          </cell>
          <cell r="U109">
            <v>0</v>
          </cell>
          <cell r="V109">
            <v>0</v>
          </cell>
          <cell r="W109">
            <v>0</v>
          </cell>
          <cell r="X109" t="str">
            <v>DmKW</v>
          </cell>
          <cell r="Y109">
            <v>0</v>
          </cell>
          <cell r="Z109">
            <v>0</v>
          </cell>
          <cell r="AA109">
            <v>0</v>
          </cell>
          <cell r="AB109" t="str">
            <v>DmKVar</v>
          </cell>
          <cell r="AC109">
            <v>0</v>
          </cell>
          <cell r="AD109">
            <v>0</v>
          </cell>
          <cell r="AE109">
            <v>0</v>
          </cell>
          <cell r="AF109" t="str">
            <v>設備/需要</v>
          </cell>
          <cell r="AG109">
            <v>0</v>
          </cell>
          <cell r="AH109">
            <v>0</v>
          </cell>
          <cell r="AI109">
            <v>0</v>
          </cell>
          <cell r="AJ109">
            <v>0</v>
          </cell>
          <cell r="AK109" t="str">
            <v>名 称</v>
          </cell>
          <cell r="AL109">
            <v>0</v>
          </cell>
          <cell r="CJ109">
            <v>0</v>
          </cell>
          <cell r="CK109">
            <v>0</v>
          </cell>
          <cell r="CL109">
            <v>0</v>
          </cell>
          <cell r="CM109">
            <v>0</v>
          </cell>
          <cell r="CN109">
            <v>0</v>
          </cell>
        </row>
        <row r="110">
          <cell r="E110">
            <v>0</v>
          </cell>
          <cell r="F110">
            <v>0</v>
          </cell>
          <cell r="G110">
            <v>0</v>
          </cell>
          <cell r="H110">
            <v>0</v>
          </cell>
          <cell r="I110">
            <v>1</v>
          </cell>
          <cell r="J110">
            <v>0</v>
          </cell>
          <cell r="K110" t="str">
            <v>1φ3W</v>
          </cell>
          <cell r="L110">
            <v>0</v>
          </cell>
          <cell r="M110">
            <v>0</v>
          </cell>
          <cell r="N110">
            <v>0</v>
          </cell>
          <cell r="O110">
            <v>0</v>
          </cell>
          <cell r="P110">
            <v>21.672000000000001</v>
          </cell>
          <cell r="Q110">
            <v>0</v>
          </cell>
          <cell r="R110">
            <v>0</v>
          </cell>
          <cell r="S110">
            <v>0</v>
          </cell>
          <cell r="T110">
            <v>5.2075574008904777</v>
          </cell>
          <cell r="U110">
            <v>0</v>
          </cell>
          <cell r="V110">
            <v>0</v>
          </cell>
          <cell r="W110">
            <v>0</v>
          </cell>
          <cell r="X110">
            <v>19.504799999999999</v>
          </cell>
          <cell r="Y110">
            <v>0</v>
          </cell>
          <cell r="Z110">
            <v>0</v>
          </cell>
          <cell r="AA110">
            <v>0</v>
          </cell>
          <cell r="AB110">
            <v>4.6868016608014305</v>
          </cell>
          <cell r="AC110">
            <v>0</v>
          </cell>
          <cell r="AD110">
            <v>0</v>
          </cell>
          <cell r="AE110">
            <v>0</v>
          </cell>
          <cell r="AF110">
            <v>106.13753090564902</v>
          </cell>
          <cell r="AG110">
            <v>0</v>
          </cell>
          <cell r="AH110">
            <v>0</v>
          </cell>
          <cell r="AI110">
            <v>0</v>
          </cell>
          <cell r="AJ110">
            <v>0</v>
          </cell>
          <cell r="AK110" t="str">
            <v>CVT</v>
          </cell>
          <cell r="AL110">
            <v>0</v>
          </cell>
          <cell r="CJ110">
            <v>0</v>
          </cell>
          <cell r="CK110">
            <v>0</v>
          </cell>
          <cell r="CL110">
            <v>0</v>
          </cell>
          <cell r="CM110">
            <v>0</v>
          </cell>
          <cell r="CN110">
            <v>0</v>
          </cell>
        </row>
        <row r="111">
          <cell r="E111">
            <v>0</v>
          </cell>
          <cell r="F111">
            <v>0</v>
          </cell>
          <cell r="G111">
            <v>0</v>
          </cell>
          <cell r="H111">
            <v>0</v>
          </cell>
          <cell r="I111">
            <v>0</v>
          </cell>
          <cell r="J111">
            <v>0</v>
          </cell>
          <cell r="K111" t="str">
            <v>210/105V</v>
          </cell>
          <cell r="L111">
            <v>0</v>
          </cell>
          <cell r="M111">
            <v>0</v>
          </cell>
          <cell r="N111">
            <v>0</v>
          </cell>
          <cell r="O111">
            <v>0</v>
          </cell>
          <cell r="P111" t="str">
            <v>MCCB  225AF/175AT</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95.523777815084117</v>
          </cell>
          <cell r="AG111">
            <v>0</v>
          </cell>
          <cell r="AH111">
            <v>0</v>
          </cell>
          <cell r="AI111">
            <v>0</v>
          </cell>
          <cell r="AJ111">
            <v>0</v>
          </cell>
          <cell r="AK111" t="str">
            <v>基底温度</v>
          </cell>
          <cell r="AL111">
            <v>0</v>
          </cell>
          <cell r="CJ111">
            <v>0</v>
          </cell>
          <cell r="CK111">
            <v>0</v>
          </cell>
          <cell r="CL111">
            <v>0</v>
          </cell>
          <cell r="CM111">
            <v>0</v>
          </cell>
          <cell r="CN111">
            <v>0</v>
          </cell>
        </row>
        <row r="112">
          <cell r="E112">
            <v>0</v>
          </cell>
          <cell r="F112">
            <v>0</v>
          </cell>
          <cell r="G112">
            <v>0</v>
          </cell>
          <cell r="H112">
            <v>0</v>
          </cell>
          <cell r="I112">
            <v>0</v>
          </cell>
          <cell r="J112">
            <v>0</v>
          </cell>
          <cell r="K112" t="str">
            <v/>
          </cell>
          <cell r="L112">
            <v>0</v>
          </cell>
          <cell r="M112">
            <v>0</v>
          </cell>
          <cell r="N112">
            <v>0</v>
          </cell>
          <cell r="O112">
            <v>0</v>
          </cell>
          <cell r="P112" t="str">
            <v/>
          </cell>
          <cell r="Q112">
            <v>0</v>
          </cell>
          <cell r="R112">
            <v>0</v>
          </cell>
          <cell r="S112">
            <v>0</v>
          </cell>
          <cell r="T112" t="str">
            <v/>
          </cell>
          <cell r="U112">
            <v>0</v>
          </cell>
          <cell r="V112">
            <v>0</v>
          </cell>
          <cell r="W112">
            <v>0</v>
          </cell>
          <cell r="X112" t="str">
            <v/>
          </cell>
          <cell r="Y112">
            <v>0</v>
          </cell>
          <cell r="Z112">
            <v>0</v>
          </cell>
          <cell r="AA112">
            <v>0</v>
          </cell>
          <cell r="AB112" t="str">
            <v/>
          </cell>
          <cell r="AC112">
            <v>0</v>
          </cell>
          <cell r="AD112">
            <v>0</v>
          </cell>
          <cell r="AE112">
            <v>0</v>
          </cell>
          <cell r="AF112" t="str">
            <v/>
          </cell>
          <cell r="AG112">
            <v>0</v>
          </cell>
          <cell r="AH112">
            <v>0</v>
          </cell>
          <cell r="AI112">
            <v>0</v>
          </cell>
          <cell r="AJ112">
            <v>0</v>
          </cell>
          <cell r="AK112" t="str">
            <v>CVT</v>
          </cell>
          <cell r="AL112">
            <v>0</v>
          </cell>
          <cell r="CJ112">
            <v>0</v>
          </cell>
          <cell r="CK112">
            <v>0</v>
          </cell>
          <cell r="CL112">
            <v>0</v>
          </cell>
          <cell r="CM112">
            <v>0</v>
          </cell>
          <cell r="CN112">
            <v>0</v>
          </cell>
        </row>
        <row r="113">
          <cell r="E113">
            <v>0</v>
          </cell>
          <cell r="F113">
            <v>0</v>
          </cell>
          <cell r="G113">
            <v>0</v>
          </cell>
          <cell r="H113">
            <v>0</v>
          </cell>
          <cell r="I113">
            <v>0</v>
          </cell>
          <cell r="J113">
            <v>0</v>
          </cell>
          <cell r="K113" t="str">
            <v/>
          </cell>
          <cell r="L113">
            <v>0</v>
          </cell>
          <cell r="M113">
            <v>0</v>
          </cell>
          <cell r="N113">
            <v>0</v>
          </cell>
          <cell r="O113">
            <v>0</v>
          </cell>
          <cell r="P113" t="str">
            <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t="str">
            <v/>
          </cell>
          <cell r="AG113">
            <v>0</v>
          </cell>
          <cell r="AH113">
            <v>0</v>
          </cell>
          <cell r="AI113">
            <v>0</v>
          </cell>
          <cell r="AJ113">
            <v>0</v>
          </cell>
          <cell r="AK113" t="str">
            <v>基底温度</v>
          </cell>
          <cell r="AL113">
            <v>0</v>
          </cell>
          <cell r="CJ113">
            <v>0</v>
          </cell>
          <cell r="CK113">
            <v>0</v>
          </cell>
          <cell r="CL113">
            <v>0</v>
          </cell>
          <cell r="CM113">
            <v>0</v>
          </cell>
          <cell r="CN113">
            <v>0</v>
          </cell>
        </row>
        <row r="114">
          <cell r="E114">
            <v>0</v>
          </cell>
          <cell r="F114">
            <v>0</v>
          </cell>
          <cell r="G114">
            <v>0</v>
          </cell>
          <cell r="H114">
            <v>0</v>
          </cell>
          <cell r="I114" t="str">
            <v/>
          </cell>
          <cell r="J114">
            <v>0</v>
          </cell>
          <cell r="K114" t="str">
            <v/>
          </cell>
          <cell r="L114">
            <v>0</v>
          </cell>
          <cell r="M114">
            <v>0</v>
          </cell>
          <cell r="N114">
            <v>0</v>
          </cell>
          <cell r="O114">
            <v>0</v>
          </cell>
          <cell r="P114" t="str">
            <v/>
          </cell>
          <cell r="Q114">
            <v>0</v>
          </cell>
          <cell r="R114">
            <v>0</v>
          </cell>
          <cell r="S114">
            <v>0</v>
          </cell>
          <cell r="T114" t="str">
            <v/>
          </cell>
          <cell r="U114">
            <v>0</v>
          </cell>
          <cell r="V114">
            <v>0</v>
          </cell>
          <cell r="W114">
            <v>0</v>
          </cell>
          <cell r="X114" t="str">
            <v/>
          </cell>
          <cell r="Y114">
            <v>0</v>
          </cell>
          <cell r="Z114">
            <v>0</v>
          </cell>
          <cell r="AA114">
            <v>0</v>
          </cell>
          <cell r="AB114" t="str">
            <v/>
          </cell>
          <cell r="AC114">
            <v>0</v>
          </cell>
          <cell r="AD114">
            <v>0</v>
          </cell>
          <cell r="AE114">
            <v>0</v>
          </cell>
          <cell r="AF114" t="str">
            <v/>
          </cell>
          <cell r="AG114">
            <v>0</v>
          </cell>
          <cell r="AH114">
            <v>0</v>
          </cell>
          <cell r="AI114">
            <v>0</v>
          </cell>
          <cell r="AJ114">
            <v>0</v>
          </cell>
          <cell r="AK114" t="str">
            <v>CVT</v>
          </cell>
          <cell r="AL114">
            <v>0</v>
          </cell>
          <cell r="CJ114">
            <v>0</v>
          </cell>
          <cell r="CK114">
            <v>0</v>
          </cell>
          <cell r="CL114">
            <v>0</v>
          </cell>
          <cell r="CM114">
            <v>0</v>
          </cell>
          <cell r="CN114">
            <v>0</v>
          </cell>
        </row>
        <row r="115">
          <cell r="E115">
            <v>0</v>
          </cell>
          <cell r="F115">
            <v>0</v>
          </cell>
          <cell r="G115">
            <v>0</v>
          </cell>
          <cell r="H115">
            <v>0</v>
          </cell>
          <cell r="I115">
            <v>0</v>
          </cell>
          <cell r="J115">
            <v>0</v>
          </cell>
          <cell r="K115" t="str">
            <v/>
          </cell>
          <cell r="L115">
            <v>0</v>
          </cell>
          <cell r="M115">
            <v>0</v>
          </cell>
          <cell r="N115">
            <v>0</v>
          </cell>
          <cell r="O115">
            <v>0</v>
          </cell>
          <cell r="P115" t="str">
            <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t="str">
            <v/>
          </cell>
          <cell r="AG115">
            <v>0</v>
          </cell>
          <cell r="AH115">
            <v>0</v>
          </cell>
          <cell r="AI115">
            <v>0</v>
          </cell>
          <cell r="AJ115">
            <v>0</v>
          </cell>
          <cell r="AK115" t="str">
            <v>基底温度</v>
          </cell>
          <cell r="AL115">
            <v>0</v>
          </cell>
          <cell r="CJ115">
            <v>0</v>
          </cell>
          <cell r="CK115">
            <v>0</v>
          </cell>
          <cell r="CL115">
            <v>0</v>
          </cell>
          <cell r="CM115">
            <v>0</v>
          </cell>
          <cell r="CN115">
            <v>0</v>
          </cell>
        </row>
        <row r="116">
          <cell r="E116">
            <v>0</v>
          </cell>
          <cell r="F116">
            <v>0</v>
          </cell>
          <cell r="G116">
            <v>0</v>
          </cell>
          <cell r="H116">
            <v>0</v>
          </cell>
          <cell r="I116">
            <v>0</v>
          </cell>
          <cell r="J116">
            <v>0</v>
          </cell>
          <cell r="K116" t="str">
            <v/>
          </cell>
          <cell r="L116">
            <v>0</v>
          </cell>
          <cell r="M116">
            <v>0</v>
          </cell>
          <cell r="N116">
            <v>0</v>
          </cell>
          <cell r="O116">
            <v>0</v>
          </cell>
          <cell r="P116" t="str">
            <v/>
          </cell>
          <cell r="Q116">
            <v>0</v>
          </cell>
          <cell r="R116">
            <v>0</v>
          </cell>
          <cell r="S116">
            <v>0</v>
          </cell>
          <cell r="T116" t="str">
            <v/>
          </cell>
          <cell r="U116">
            <v>0</v>
          </cell>
          <cell r="V116">
            <v>0</v>
          </cell>
          <cell r="W116">
            <v>0</v>
          </cell>
          <cell r="X116" t="str">
            <v/>
          </cell>
          <cell r="Y116">
            <v>0</v>
          </cell>
          <cell r="Z116">
            <v>0</v>
          </cell>
          <cell r="AA116">
            <v>0</v>
          </cell>
          <cell r="AB116" t="str">
            <v/>
          </cell>
          <cell r="AC116">
            <v>0</v>
          </cell>
          <cell r="AD116">
            <v>0</v>
          </cell>
          <cell r="AE116">
            <v>0</v>
          </cell>
          <cell r="AF116" t="str">
            <v/>
          </cell>
          <cell r="AG116">
            <v>0</v>
          </cell>
          <cell r="AH116">
            <v>0</v>
          </cell>
          <cell r="AI116">
            <v>0</v>
          </cell>
          <cell r="AJ116">
            <v>0</v>
          </cell>
          <cell r="AK116" t="str">
            <v>CVT</v>
          </cell>
          <cell r="AL116">
            <v>0</v>
          </cell>
          <cell r="CJ116">
            <v>0</v>
          </cell>
          <cell r="CK116">
            <v>0</v>
          </cell>
          <cell r="CL116">
            <v>0</v>
          </cell>
          <cell r="CM116">
            <v>0</v>
          </cell>
          <cell r="CN116">
            <v>0</v>
          </cell>
        </row>
        <row r="117">
          <cell r="E117">
            <v>0</v>
          </cell>
          <cell r="F117">
            <v>0</v>
          </cell>
          <cell r="G117">
            <v>0</v>
          </cell>
          <cell r="H117">
            <v>0</v>
          </cell>
          <cell r="I117">
            <v>0</v>
          </cell>
          <cell r="J117">
            <v>0</v>
          </cell>
          <cell r="K117" t="str">
            <v/>
          </cell>
          <cell r="L117">
            <v>0</v>
          </cell>
          <cell r="M117">
            <v>0</v>
          </cell>
          <cell r="N117">
            <v>0</v>
          </cell>
          <cell r="O117">
            <v>0</v>
          </cell>
          <cell r="P117" t="str">
            <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t="str">
            <v/>
          </cell>
          <cell r="AG117">
            <v>0</v>
          </cell>
          <cell r="AH117">
            <v>0</v>
          </cell>
          <cell r="AI117">
            <v>0</v>
          </cell>
          <cell r="AJ117">
            <v>0</v>
          </cell>
          <cell r="AK117" t="str">
            <v>基底温度</v>
          </cell>
          <cell r="AL117">
            <v>0</v>
          </cell>
          <cell r="CJ117">
            <v>0</v>
          </cell>
          <cell r="CK117">
            <v>0</v>
          </cell>
          <cell r="CL117">
            <v>0</v>
          </cell>
          <cell r="CM117">
            <v>0</v>
          </cell>
          <cell r="CN117">
            <v>0</v>
          </cell>
        </row>
        <row r="118">
          <cell r="E118">
            <v>0</v>
          </cell>
          <cell r="F118">
            <v>0</v>
          </cell>
          <cell r="G118">
            <v>0</v>
          </cell>
          <cell r="H118">
            <v>0</v>
          </cell>
          <cell r="I118">
            <v>1</v>
          </cell>
          <cell r="J118">
            <v>0</v>
          </cell>
          <cell r="K118" t="str">
            <v>3φ3W</v>
          </cell>
          <cell r="L118">
            <v>0</v>
          </cell>
          <cell r="M118">
            <v>0</v>
          </cell>
          <cell r="N118">
            <v>0</v>
          </cell>
          <cell r="O118">
            <v>0</v>
          </cell>
          <cell r="P118">
            <v>61.117518895220684</v>
          </cell>
          <cell r="Q118">
            <v>0</v>
          </cell>
          <cell r="R118">
            <v>0</v>
          </cell>
          <cell r="S118">
            <v>0</v>
          </cell>
          <cell r="T118">
            <v>49.544447221730366</v>
          </cell>
          <cell r="U118">
            <v>0</v>
          </cell>
          <cell r="V118">
            <v>0</v>
          </cell>
          <cell r="W118">
            <v>0</v>
          </cell>
          <cell r="X118">
            <v>52.03261856436589</v>
          </cell>
          <cell r="Y118">
            <v>0</v>
          </cell>
          <cell r="Z118">
            <v>0</v>
          </cell>
          <cell r="AA118">
            <v>0</v>
          </cell>
          <cell r="AB118">
            <v>52.603726821913973</v>
          </cell>
          <cell r="AC118">
            <v>0</v>
          </cell>
          <cell r="AD118">
            <v>0</v>
          </cell>
          <cell r="AE118">
            <v>0</v>
          </cell>
          <cell r="AF118">
            <v>216.30448302282332</v>
          </cell>
          <cell r="AG118">
            <v>0</v>
          </cell>
          <cell r="AH118">
            <v>0</v>
          </cell>
          <cell r="AI118">
            <v>0</v>
          </cell>
          <cell r="AJ118">
            <v>0</v>
          </cell>
          <cell r="AK118" t="str">
            <v>CVT</v>
          </cell>
          <cell r="AL118">
            <v>0</v>
          </cell>
          <cell r="CJ118" t="str">
            <v/>
          </cell>
          <cell r="CK118" t="str">
            <v/>
          </cell>
          <cell r="CL118">
            <v>0</v>
          </cell>
          <cell r="CM118">
            <v>0</v>
          </cell>
          <cell r="CN118">
            <v>0</v>
          </cell>
        </row>
        <row r="119">
          <cell r="E119">
            <v>0</v>
          </cell>
          <cell r="F119">
            <v>0</v>
          </cell>
          <cell r="G119">
            <v>0</v>
          </cell>
          <cell r="H119">
            <v>0</v>
          </cell>
          <cell r="I119">
            <v>0</v>
          </cell>
          <cell r="J119">
            <v>0</v>
          </cell>
          <cell r="K119" t="str">
            <v>210V</v>
          </cell>
          <cell r="L119">
            <v>0</v>
          </cell>
          <cell r="M119">
            <v>0</v>
          </cell>
          <cell r="N119">
            <v>0</v>
          </cell>
          <cell r="O119">
            <v>0</v>
          </cell>
          <cell r="P119" t="str">
            <v>MCCB  225AF/225AT</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203.42021619150697</v>
          </cell>
          <cell r="AG119">
            <v>0</v>
          </cell>
          <cell r="AH119">
            <v>0</v>
          </cell>
          <cell r="AI119">
            <v>0</v>
          </cell>
          <cell r="AJ119">
            <v>0</v>
          </cell>
          <cell r="AK119" t="str">
            <v>基底温度</v>
          </cell>
          <cell r="AL119">
            <v>0</v>
          </cell>
          <cell r="CJ119">
            <v>0</v>
          </cell>
          <cell r="CK119">
            <v>0</v>
          </cell>
          <cell r="CL119">
            <v>0</v>
          </cell>
          <cell r="CM119">
            <v>0</v>
          </cell>
          <cell r="CN119">
            <v>0</v>
          </cell>
        </row>
        <row r="120">
          <cell r="E120">
            <v>0</v>
          </cell>
          <cell r="F120">
            <v>0</v>
          </cell>
          <cell r="G120">
            <v>0</v>
          </cell>
          <cell r="H120">
            <v>0</v>
          </cell>
          <cell r="I120">
            <v>0</v>
          </cell>
          <cell r="J120">
            <v>0</v>
          </cell>
          <cell r="K120">
            <v>0</v>
          </cell>
          <cell r="L120">
            <v>0</v>
          </cell>
          <cell r="M120">
            <v>0</v>
          </cell>
          <cell r="N120">
            <v>0</v>
          </cell>
          <cell r="O120">
            <v>0</v>
          </cell>
          <cell r="P120" t="str">
            <v/>
          </cell>
          <cell r="Q120">
            <v>0</v>
          </cell>
          <cell r="R120">
            <v>0</v>
          </cell>
          <cell r="S120">
            <v>0</v>
          </cell>
          <cell r="T120" t="str">
            <v/>
          </cell>
          <cell r="U120">
            <v>0</v>
          </cell>
          <cell r="V120">
            <v>0</v>
          </cell>
          <cell r="W120">
            <v>0</v>
          </cell>
          <cell r="X120" t="str">
            <v/>
          </cell>
          <cell r="Y120">
            <v>0</v>
          </cell>
          <cell r="Z120">
            <v>0</v>
          </cell>
          <cell r="AA120">
            <v>0</v>
          </cell>
          <cell r="AB120" t="str">
            <v/>
          </cell>
          <cell r="AC120">
            <v>0</v>
          </cell>
          <cell r="AD120">
            <v>0</v>
          </cell>
          <cell r="AE120">
            <v>0</v>
          </cell>
          <cell r="AF120" t="str">
            <v/>
          </cell>
          <cell r="AG120">
            <v>0</v>
          </cell>
          <cell r="AH120">
            <v>0</v>
          </cell>
          <cell r="AI120">
            <v>0</v>
          </cell>
          <cell r="AJ120">
            <v>0</v>
          </cell>
          <cell r="AK120" t="str">
            <v>CVT</v>
          </cell>
          <cell r="AL120">
            <v>0</v>
          </cell>
          <cell r="CJ120">
            <v>0</v>
          </cell>
          <cell r="CK120">
            <v>0</v>
          </cell>
          <cell r="CL120">
            <v>0</v>
          </cell>
          <cell r="CM120">
            <v>0</v>
          </cell>
          <cell r="CN120">
            <v>0</v>
          </cell>
        </row>
        <row r="121">
          <cell r="E121">
            <v>0</v>
          </cell>
          <cell r="F121">
            <v>0</v>
          </cell>
          <cell r="G121">
            <v>0</v>
          </cell>
          <cell r="H121">
            <v>0</v>
          </cell>
          <cell r="I121">
            <v>0</v>
          </cell>
          <cell r="J121">
            <v>0</v>
          </cell>
          <cell r="K121">
            <v>0</v>
          </cell>
          <cell r="L121">
            <v>0</v>
          </cell>
          <cell r="M121">
            <v>0</v>
          </cell>
          <cell r="N121">
            <v>0</v>
          </cell>
          <cell r="O121">
            <v>0</v>
          </cell>
          <cell r="P121" t="str">
            <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t="str">
            <v/>
          </cell>
          <cell r="AG121">
            <v>0</v>
          </cell>
          <cell r="AH121">
            <v>0</v>
          </cell>
          <cell r="AI121">
            <v>0</v>
          </cell>
          <cell r="AJ121">
            <v>0</v>
          </cell>
          <cell r="AK121" t="str">
            <v>基底温度</v>
          </cell>
          <cell r="AL121">
            <v>0</v>
          </cell>
          <cell r="CJ121">
            <v>0</v>
          </cell>
          <cell r="CK121">
            <v>0</v>
          </cell>
          <cell r="CL121">
            <v>0</v>
          </cell>
          <cell r="CM121">
            <v>0</v>
          </cell>
          <cell r="CN121">
            <v>0</v>
          </cell>
        </row>
        <row r="122">
          <cell r="E122">
            <v>0</v>
          </cell>
          <cell r="F122" t="str">
            <v>ケーブル配線工事</v>
          </cell>
          <cell r="G122">
            <v>0</v>
          </cell>
          <cell r="H122">
            <v>0</v>
          </cell>
          <cell r="I122">
            <v>0</v>
          </cell>
          <cell r="J122">
            <v>0</v>
          </cell>
          <cell r="K122">
            <v>0</v>
          </cell>
          <cell r="L122">
            <v>0</v>
          </cell>
          <cell r="M122">
            <v>0</v>
          </cell>
          <cell r="N122" t="str">
            <v>▼</v>
          </cell>
          <cell r="O122">
            <v>0</v>
          </cell>
          <cell r="P122">
            <v>0</v>
          </cell>
          <cell r="Q122">
            <v>0</v>
          </cell>
          <cell r="R122">
            <v>0</v>
          </cell>
          <cell r="S122">
            <v>0</v>
          </cell>
          <cell r="T122">
            <v>0</v>
          </cell>
          <cell r="U122">
            <v>0</v>
          </cell>
          <cell r="V122" t="str">
            <v>配管</v>
          </cell>
          <cell r="W122">
            <v>0</v>
          </cell>
          <cell r="X122">
            <v>0</v>
          </cell>
          <cell r="Y122" t="str">
            <v>ケーブルラック工事(1段)</v>
          </cell>
          <cell r="Z122">
            <v>0</v>
          </cell>
          <cell r="AA122">
            <v>0</v>
          </cell>
          <cell r="AB122">
            <v>0</v>
          </cell>
          <cell r="AC122">
            <v>0</v>
          </cell>
          <cell r="AD122">
            <v>0</v>
          </cell>
          <cell r="AE122">
            <v>0</v>
          </cell>
          <cell r="AF122">
            <v>0</v>
          </cell>
          <cell r="AG122">
            <v>0</v>
          </cell>
          <cell r="AH122" t="str">
            <v>▼</v>
          </cell>
          <cell r="AI122">
            <v>0</v>
          </cell>
          <cell r="AJ122">
            <v>0</v>
          </cell>
          <cell r="AK122">
            <v>0</v>
          </cell>
          <cell r="AL122">
            <v>0</v>
          </cell>
          <cell r="CJ122">
            <v>0</v>
          </cell>
          <cell r="CK122">
            <v>0</v>
          </cell>
          <cell r="CL122">
            <v>0</v>
          </cell>
          <cell r="CM122">
            <v>0</v>
          </cell>
          <cell r="CN122">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CJ123">
            <v>0</v>
          </cell>
          <cell r="CK123">
            <v>0</v>
          </cell>
          <cell r="CL123">
            <v>0</v>
          </cell>
          <cell r="CM123">
            <v>0</v>
          </cell>
          <cell r="CN123">
            <v>0</v>
          </cell>
        </row>
        <row r="124">
          <cell r="E124">
            <v>0</v>
          </cell>
          <cell r="F124">
            <v>0</v>
          </cell>
          <cell r="G124" t="str">
            <v>百貨店等</v>
          </cell>
          <cell r="H124">
            <v>0</v>
          </cell>
          <cell r="I124">
            <v>0</v>
          </cell>
          <cell r="J124">
            <v>0</v>
          </cell>
          <cell r="K124">
            <v>0</v>
          </cell>
          <cell r="L124">
            <v>0</v>
          </cell>
          <cell r="M124">
            <v>0</v>
          </cell>
          <cell r="N124">
            <v>0</v>
          </cell>
          <cell r="O124">
            <v>0</v>
          </cell>
          <cell r="P124" t="str">
            <v>設備容量／面</v>
          </cell>
          <cell r="Q124">
            <v>0</v>
          </cell>
          <cell r="R124">
            <v>0</v>
          </cell>
          <cell r="S124">
            <v>0</v>
          </cell>
          <cell r="T124">
            <v>0</v>
          </cell>
          <cell r="U124">
            <v>0</v>
          </cell>
          <cell r="V124">
            <v>0</v>
          </cell>
          <cell r="W124">
            <v>0</v>
          </cell>
          <cell r="X124" t="str">
            <v>需要容量／面</v>
          </cell>
          <cell r="Y124">
            <v>0</v>
          </cell>
          <cell r="Z124">
            <v>0</v>
          </cell>
          <cell r="AA124">
            <v>0</v>
          </cell>
          <cell r="AB124">
            <v>0</v>
          </cell>
          <cell r="AC124">
            <v>0</v>
          </cell>
          <cell r="AD124">
            <v>0</v>
          </cell>
          <cell r="AE124">
            <v>0</v>
          </cell>
          <cell r="AF124" t="str">
            <v>電流 [A]</v>
          </cell>
          <cell r="AG124">
            <v>0</v>
          </cell>
          <cell r="AH124">
            <v>0</v>
          </cell>
          <cell r="AI124">
            <v>0</v>
          </cell>
          <cell r="AJ124">
            <v>0</v>
          </cell>
          <cell r="AK124" t="str">
            <v>配　線　材　料　／面</v>
          </cell>
          <cell r="AL124">
            <v>0</v>
          </cell>
          <cell r="CJ124">
            <v>0</v>
          </cell>
          <cell r="CK124">
            <v>0</v>
          </cell>
          <cell r="CL124">
            <v>0</v>
          </cell>
          <cell r="CM124">
            <v>0</v>
          </cell>
          <cell r="CN124">
            <v>0</v>
          </cell>
        </row>
        <row r="125">
          <cell r="E125">
            <v>0</v>
          </cell>
          <cell r="F125">
            <v>0</v>
          </cell>
          <cell r="G125">
            <v>0</v>
          </cell>
          <cell r="H125">
            <v>0</v>
          </cell>
          <cell r="I125" t="str">
            <v>面</v>
          </cell>
          <cell r="J125">
            <v>0</v>
          </cell>
          <cell r="K125" t="str">
            <v>電気方式</v>
          </cell>
          <cell r="L125">
            <v>0</v>
          </cell>
          <cell r="M125">
            <v>0</v>
          </cell>
          <cell r="N125">
            <v>0</v>
          </cell>
          <cell r="O125">
            <v>0</v>
          </cell>
          <cell r="P125" t="str">
            <v>KW</v>
          </cell>
          <cell r="Q125">
            <v>0</v>
          </cell>
          <cell r="R125">
            <v>0</v>
          </cell>
          <cell r="S125">
            <v>0</v>
          </cell>
          <cell r="T125" t="str">
            <v>KVar</v>
          </cell>
          <cell r="U125">
            <v>0</v>
          </cell>
          <cell r="V125">
            <v>0</v>
          </cell>
          <cell r="W125">
            <v>0</v>
          </cell>
          <cell r="X125" t="str">
            <v>DmKW</v>
          </cell>
          <cell r="Y125">
            <v>0</v>
          </cell>
          <cell r="Z125">
            <v>0</v>
          </cell>
          <cell r="AA125">
            <v>0</v>
          </cell>
          <cell r="AB125" t="str">
            <v>DmKVar</v>
          </cell>
          <cell r="AC125">
            <v>0</v>
          </cell>
          <cell r="AD125">
            <v>0</v>
          </cell>
          <cell r="AE125">
            <v>0</v>
          </cell>
          <cell r="AF125" t="str">
            <v>設備/需要</v>
          </cell>
          <cell r="AG125">
            <v>0</v>
          </cell>
          <cell r="AH125">
            <v>0</v>
          </cell>
          <cell r="AI125">
            <v>0</v>
          </cell>
          <cell r="AJ125">
            <v>0</v>
          </cell>
          <cell r="AK125" t="str">
            <v>名 称</v>
          </cell>
          <cell r="AL125">
            <v>0</v>
          </cell>
          <cell r="CJ125">
            <v>0</v>
          </cell>
          <cell r="CK125">
            <v>0</v>
          </cell>
          <cell r="CL125">
            <v>0</v>
          </cell>
          <cell r="CM125">
            <v>0</v>
          </cell>
          <cell r="CN125">
            <v>0</v>
          </cell>
        </row>
        <row r="126">
          <cell r="E126">
            <v>0</v>
          </cell>
          <cell r="F126">
            <v>0</v>
          </cell>
          <cell r="G126">
            <v>0</v>
          </cell>
          <cell r="H126">
            <v>0</v>
          </cell>
          <cell r="I126">
            <v>1</v>
          </cell>
          <cell r="J126">
            <v>0</v>
          </cell>
          <cell r="K126" t="str">
            <v>1φ3W</v>
          </cell>
          <cell r="L126">
            <v>0</v>
          </cell>
          <cell r="M126">
            <v>0</v>
          </cell>
          <cell r="N126">
            <v>0</v>
          </cell>
          <cell r="O126">
            <v>0</v>
          </cell>
          <cell r="P126">
            <v>21.672000000000001</v>
          </cell>
          <cell r="Q126">
            <v>0</v>
          </cell>
          <cell r="R126">
            <v>0</v>
          </cell>
          <cell r="S126">
            <v>0</v>
          </cell>
          <cell r="T126">
            <v>5.2075574008904777</v>
          </cell>
          <cell r="U126">
            <v>0</v>
          </cell>
          <cell r="V126">
            <v>0</v>
          </cell>
          <cell r="W126">
            <v>0</v>
          </cell>
          <cell r="X126">
            <v>19.504799999999999</v>
          </cell>
          <cell r="Y126">
            <v>0</v>
          </cell>
          <cell r="Z126">
            <v>0</v>
          </cell>
          <cell r="AA126">
            <v>0</v>
          </cell>
          <cell r="AB126">
            <v>4.6868016608014305</v>
          </cell>
          <cell r="AC126">
            <v>0</v>
          </cell>
          <cell r="AD126">
            <v>0</v>
          </cell>
          <cell r="AE126">
            <v>0</v>
          </cell>
          <cell r="AF126">
            <v>106.13753090564902</v>
          </cell>
          <cell r="AG126">
            <v>0</v>
          </cell>
          <cell r="AH126">
            <v>0</v>
          </cell>
          <cell r="AI126">
            <v>0</v>
          </cell>
          <cell r="AJ126">
            <v>0</v>
          </cell>
          <cell r="AK126" t="str">
            <v>CVT</v>
          </cell>
          <cell r="AL126">
            <v>0</v>
          </cell>
          <cell r="CJ126">
            <v>0</v>
          </cell>
          <cell r="CK126">
            <v>0</v>
          </cell>
          <cell r="CL126">
            <v>0</v>
          </cell>
          <cell r="CM126">
            <v>0</v>
          </cell>
          <cell r="CN126">
            <v>0</v>
          </cell>
        </row>
        <row r="127">
          <cell r="E127">
            <v>0</v>
          </cell>
          <cell r="F127">
            <v>0</v>
          </cell>
          <cell r="G127">
            <v>0</v>
          </cell>
          <cell r="H127">
            <v>0</v>
          </cell>
          <cell r="I127">
            <v>0</v>
          </cell>
          <cell r="J127">
            <v>0</v>
          </cell>
          <cell r="K127" t="str">
            <v>210/105V</v>
          </cell>
          <cell r="L127">
            <v>0</v>
          </cell>
          <cell r="M127">
            <v>0</v>
          </cell>
          <cell r="N127">
            <v>0</v>
          </cell>
          <cell r="O127">
            <v>0</v>
          </cell>
          <cell r="P127" t="str">
            <v>MCCB  225AF/175AT</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95.523777815084117</v>
          </cell>
          <cell r="AG127">
            <v>0</v>
          </cell>
          <cell r="AH127">
            <v>0</v>
          </cell>
          <cell r="AI127">
            <v>0</v>
          </cell>
          <cell r="AJ127">
            <v>0</v>
          </cell>
          <cell r="AK127" t="str">
            <v>基底温度</v>
          </cell>
          <cell r="AL127">
            <v>0</v>
          </cell>
          <cell r="CJ127">
            <v>0</v>
          </cell>
          <cell r="CK127">
            <v>0</v>
          </cell>
          <cell r="CL127">
            <v>0</v>
          </cell>
          <cell r="CM127">
            <v>0</v>
          </cell>
          <cell r="CN127">
            <v>0</v>
          </cell>
        </row>
        <row r="128">
          <cell r="E128">
            <v>0</v>
          </cell>
          <cell r="F128">
            <v>0</v>
          </cell>
          <cell r="G128">
            <v>0</v>
          </cell>
          <cell r="H128">
            <v>0</v>
          </cell>
          <cell r="I128">
            <v>0</v>
          </cell>
          <cell r="J128">
            <v>0</v>
          </cell>
          <cell r="K128" t="str">
            <v/>
          </cell>
          <cell r="L128">
            <v>0</v>
          </cell>
          <cell r="M128">
            <v>0</v>
          </cell>
          <cell r="N128">
            <v>0</v>
          </cell>
          <cell r="O128">
            <v>0</v>
          </cell>
          <cell r="P128" t="str">
            <v/>
          </cell>
          <cell r="Q128">
            <v>0</v>
          </cell>
          <cell r="R128">
            <v>0</v>
          </cell>
          <cell r="S128">
            <v>0</v>
          </cell>
          <cell r="T128" t="str">
            <v/>
          </cell>
          <cell r="U128">
            <v>0</v>
          </cell>
          <cell r="V128">
            <v>0</v>
          </cell>
          <cell r="W128">
            <v>0</v>
          </cell>
          <cell r="X128" t="str">
            <v/>
          </cell>
          <cell r="Y128">
            <v>0</v>
          </cell>
          <cell r="Z128">
            <v>0</v>
          </cell>
          <cell r="AA128">
            <v>0</v>
          </cell>
          <cell r="AB128" t="str">
            <v/>
          </cell>
          <cell r="AC128">
            <v>0</v>
          </cell>
          <cell r="AD128">
            <v>0</v>
          </cell>
          <cell r="AE128">
            <v>0</v>
          </cell>
          <cell r="AF128" t="str">
            <v/>
          </cell>
          <cell r="AG128">
            <v>0</v>
          </cell>
          <cell r="AH128">
            <v>0</v>
          </cell>
          <cell r="AI128">
            <v>0</v>
          </cell>
          <cell r="AJ128">
            <v>0</v>
          </cell>
          <cell r="AK128" t="str">
            <v>CVT</v>
          </cell>
          <cell r="AL128">
            <v>0</v>
          </cell>
          <cell r="CJ128">
            <v>0</v>
          </cell>
          <cell r="CK128">
            <v>0</v>
          </cell>
          <cell r="CL128">
            <v>0</v>
          </cell>
          <cell r="CM128">
            <v>0</v>
          </cell>
          <cell r="CN128">
            <v>0</v>
          </cell>
        </row>
        <row r="129">
          <cell r="E129">
            <v>0</v>
          </cell>
          <cell r="F129">
            <v>0</v>
          </cell>
          <cell r="G129">
            <v>0</v>
          </cell>
          <cell r="H129">
            <v>0</v>
          </cell>
          <cell r="I129">
            <v>0</v>
          </cell>
          <cell r="J129">
            <v>0</v>
          </cell>
          <cell r="K129" t="str">
            <v/>
          </cell>
          <cell r="L129">
            <v>0</v>
          </cell>
          <cell r="M129">
            <v>0</v>
          </cell>
          <cell r="N129">
            <v>0</v>
          </cell>
          <cell r="O129">
            <v>0</v>
          </cell>
          <cell r="P129" t="str">
            <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t="str">
            <v/>
          </cell>
          <cell r="AG129">
            <v>0</v>
          </cell>
          <cell r="AH129">
            <v>0</v>
          </cell>
          <cell r="AI129">
            <v>0</v>
          </cell>
          <cell r="AJ129">
            <v>0</v>
          </cell>
          <cell r="AK129" t="str">
            <v>基底温度</v>
          </cell>
          <cell r="AL129">
            <v>0</v>
          </cell>
        </row>
        <row r="130">
          <cell r="E130">
            <v>0</v>
          </cell>
          <cell r="F130">
            <v>0</v>
          </cell>
          <cell r="G130">
            <v>0</v>
          </cell>
          <cell r="H130">
            <v>0</v>
          </cell>
          <cell r="I130" t="str">
            <v/>
          </cell>
          <cell r="J130">
            <v>0</v>
          </cell>
          <cell r="K130" t="str">
            <v/>
          </cell>
          <cell r="L130">
            <v>0</v>
          </cell>
          <cell r="M130">
            <v>0</v>
          </cell>
          <cell r="N130">
            <v>0</v>
          </cell>
          <cell r="O130">
            <v>0</v>
          </cell>
          <cell r="P130" t="str">
            <v/>
          </cell>
          <cell r="Q130">
            <v>0</v>
          </cell>
          <cell r="R130">
            <v>0</v>
          </cell>
          <cell r="S130">
            <v>0</v>
          </cell>
          <cell r="T130" t="str">
            <v/>
          </cell>
          <cell r="U130">
            <v>0</v>
          </cell>
          <cell r="V130">
            <v>0</v>
          </cell>
          <cell r="W130">
            <v>0</v>
          </cell>
          <cell r="X130" t="str">
            <v/>
          </cell>
          <cell r="Y130">
            <v>0</v>
          </cell>
          <cell r="Z130">
            <v>0</v>
          </cell>
          <cell r="AA130">
            <v>0</v>
          </cell>
          <cell r="AB130" t="str">
            <v/>
          </cell>
          <cell r="AC130">
            <v>0</v>
          </cell>
          <cell r="AD130">
            <v>0</v>
          </cell>
          <cell r="AE130">
            <v>0</v>
          </cell>
          <cell r="AF130" t="str">
            <v/>
          </cell>
          <cell r="AG130">
            <v>0</v>
          </cell>
          <cell r="AH130">
            <v>0</v>
          </cell>
          <cell r="AI130">
            <v>0</v>
          </cell>
          <cell r="AJ130">
            <v>0</v>
          </cell>
          <cell r="AK130" t="str">
            <v>CVT</v>
          </cell>
          <cell r="AL130">
            <v>0</v>
          </cell>
        </row>
        <row r="131">
          <cell r="E131">
            <v>0</v>
          </cell>
          <cell r="F131">
            <v>0</v>
          </cell>
          <cell r="G131">
            <v>0</v>
          </cell>
          <cell r="H131">
            <v>0</v>
          </cell>
          <cell r="I131">
            <v>0</v>
          </cell>
          <cell r="J131">
            <v>0</v>
          </cell>
          <cell r="K131" t="str">
            <v/>
          </cell>
          <cell r="L131">
            <v>0</v>
          </cell>
          <cell r="M131">
            <v>0</v>
          </cell>
          <cell r="N131">
            <v>0</v>
          </cell>
          <cell r="O131">
            <v>0</v>
          </cell>
          <cell r="P131" t="str">
            <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t="str">
            <v/>
          </cell>
          <cell r="AG131">
            <v>0</v>
          </cell>
          <cell r="AH131">
            <v>0</v>
          </cell>
          <cell r="AI131">
            <v>0</v>
          </cell>
          <cell r="AJ131">
            <v>0</v>
          </cell>
          <cell r="AK131" t="str">
            <v>基底温度</v>
          </cell>
          <cell r="AL131">
            <v>0</v>
          </cell>
        </row>
        <row r="132">
          <cell r="E132">
            <v>0</v>
          </cell>
          <cell r="F132">
            <v>0</v>
          </cell>
          <cell r="G132">
            <v>0</v>
          </cell>
          <cell r="H132">
            <v>0</v>
          </cell>
          <cell r="I132">
            <v>0</v>
          </cell>
          <cell r="J132">
            <v>0</v>
          </cell>
          <cell r="K132" t="str">
            <v/>
          </cell>
          <cell r="L132">
            <v>0</v>
          </cell>
          <cell r="M132">
            <v>0</v>
          </cell>
          <cell r="N132">
            <v>0</v>
          </cell>
          <cell r="O132">
            <v>0</v>
          </cell>
          <cell r="P132" t="str">
            <v/>
          </cell>
          <cell r="Q132">
            <v>0</v>
          </cell>
          <cell r="R132">
            <v>0</v>
          </cell>
          <cell r="S132">
            <v>0</v>
          </cell>
          <cell r="T132" t="str">
            <v/>
          </cell>
          <cell r="U132">
            <v>0</v>
          </cell>
          <cell r="V132">
            <v>0</v>
          </cell>
          <cell r="W132">
            <v>0</v>
          </cell>
          <cell r="X132" t="str">
            <v/>
          </cell>
          <cell r="Y132">
            <v>0</v>
          </cell>
          <cell r="Z132">
            <v>0</v>
          </cell>
          <cell r="AA132">
            <v>0</v>
          </cell>
          <cell r="AB132" t="str">
            <v/>
          </cell>
          <cell r="AC132">
            <v>0</v>
          </cell>
          <cell r="AD132">
            <v>0</v>
          </cell>
          <cell r="AE132">
            <v>0</v>
          </cell>
          <cell r="AF132" t="str">
            <v/>
          </cell>
          <cell r="AG132">
            <v>0</v>
          </cell>
          <cell r="AH132">
            <v>0</v>
          </cell>
          <cell r="AI132">
            <v>0</v>
          </cell>
          <cell r="AJ132">
            <v>0</v>
          </cell>
          <cell r="AK132" t="str">
            <v>CVT</v>
          </cell>
          <cell r="AL132">
            <v>0</v>
          </cell>
        </row>
        <row r="133">
          <cell r="E133">
            <v>0</v>
          </cell>
          <cell r="F133">
            <v>0</v>
          </cell>
          <cell r="G133">
            <v>0</v>
          </cell>
          <cell r="H133">
            <v>0</v>
          </cell>
          <cell r="I133">
            <v>0</v>
          </cell>
          <cell r="J133">
            <v>0</v>
          </cell>
          <cell r="K133" t="str">
            <v/>
          </cell>
          <cell r="L133">
            <v>0</v>
          </cell>
          <cell r="M133">
            <v>0</v>
          </cell>
          <cell r="N133">
            <v>0</v>
          </cell>
          <cell r="O133">
            <v>0</v>
          </cell>
          <cell r="P133" t="str">
            <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t="str">
            <v/>
          </cell>
          <cell r="AG133">
            <v>0</v>
          </cell>
          <cell r="AH133">
            <v>0</v>
          </cell>
          <cell r="AI133">
            <v>0</v>
          </cell>
          <cell r="AJ133">
            <v>0</v>
          </cell>
          <cell r="AK133" t="str">
            <v>基底温度</v>
          </cell>
          <cell r="AL133">
            <v>0</v>
          </cell>
        </row>
        <row r="134">
          <cell r="E134">
            <v>0</v>
          </cell>
          <cell r="F134">
            <v>0</v>
          </cell>
          <cell r="G134">
            <v>0</v>
          </cell>
          <cell r="H134">
            <v>0</v>
          </cell>
          <cell r="I134">
            <v>1</v>
          </cell>
          <cell r="J134">
            <v>0</v>
          </cell>
          <cell r="K134" t="str">
            <v>3φ3W</v>
          </cell>
          <cell r="L134">
            <v>0</v>
          </cell>
          <cell r="M134">
            <v>0</v>
          </cell>
          <cell r="N134">
            <v>0</v>
          </cell>
          <cell r="O134">
            <v>0</v>
          </cell>
          <cell r="P134">
            <v>61.117518895220684</v>
          </cell>
          <cell r="Q134">
            <v>0</v>
          </cell>
          <cell r="R134">
            <v>0</v>
          </cell>
          <cell r="S134">
            <v>0</v>
          </cell>
          <cell r="T134">
            <v>49.544447221730366</v>
          </cell>
          <cell r="U134">
            <v>0</v>
          </cell>
          <cell r="V134">
            <v>0</v>
          </cell>
          <cell r="W134">
            <v>0</v>
          </cell>
          <cell r="X134">
            <v>52.03261856436589</v>
          </cell>
          <cell r="Y134">
            <v>0</v>
          </cell>
          <cell r="Z134">
            <v>0</v>
          </cell>
          <cell r="AA134">
            <v>0</v>
          </cell>
          <cell r="AB134">
            <v>52.603726821913973</v>
          </cell>
          <cell r="AC134">
            <v>0</v>
          </cell>
          <cell r="AD134">
            <v>0</v>
          </cell>
          <cell r="AE134">
            <v>0</v>
          </cell>
          <cell r="AF134">
            <v>216.30448302282332</v>
          </cell>
          <cell r="AG134">
            <v>0</v>
          </cell>
          <cell r="AH134">
            <v>0</v>
          </cell>
          <cell r="AI134">
            <v>0</v>
          </cell>
          <cell r="AJ134">
            <v>0</v>
          </cell>
          <cell r="AK134" t="str">
            <v>CVT</v>
          </cell>
          <cell r="AL134">
            <v>0</v>
          </cell>
        </row>
        <row r="135">
          <cell r="E135">
            <v>0</v>
          </cell>
          <cell r="F135">
            <v>0</v>
          </cell>
          <cell r="G135">
            <v>0</v>
          </cell>
          <cell r="H135">
            <v>0</v>
          </cell>
          <cell r="I135">
            <v>0</v>
          </cell>
          <cell r="J135">
            <v>0</v>
          </cell>
          <cell r="K135" t="str">
            <v>210V</v>
          </cell>
          <cell r="L135">
            <v>0</v>
          </cell>
          <cell r="M135">
            <v>0</v>
          </cell>
          <cell r="N135">
            <v>0</v>
          </cell>
          <cell r="O135">
            <v>0</v>
          </cell>
          <cell r="P135" t="str">
            <v>MCCB  225AF/225AT</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203.42021619150697</v>
          </cell>
          <cell r="AG135">
            <v>0</v>
          </cell>
          <cell r="AH135">
            <v>0</v>
          </cell>
          <cell r="AI135">
            <v>0</v>
          </cell>
          <cell r="AJ135">
            <v>0</v>
          </cell>
          <cell r="AK135" t="str">
            <v>基底温度</v>
          </cell>
          <cell r="AL135">
            <v>0</v>
          </cell>
        </row>
        <row r="136">
          <cell r="E136">
            <v>0</v>
          </cell>
          <cell r="F136">
            <v>0</v>
          </cell>
          <cell r="G136">
            <v>0</v>
          </cell>
          <cell r="H136">
            <v>0</v>
          </cell>
          <cell r="I136">
            <v>0</v>
          </cell>
          <cell r="J136">
            <v>0</v>
          </cell>
          <cell r="K136">
            <v>0</v>
          </cell>
          <cell r="L136">
            <v>0</v>
          </cell>
          <cell r="M136">
            <v>0</v>
          </cell>
          <cell r="N136">
            <v>0</v>
          </cell>
          <cell r="O136">
            <v>0</v>
          </cell>
          <cell r="P136" t="str">
            <v/>
          </cell>
          <cell r="Q136">
            <v>0</v>
          </cell>
          <cell r="R136">
            <v>0</v>
          </cell>
          <cell r="S136">
            <v>0</v>
          </cell>
          <cell r="T136" t="str">
            <v/>
          </cell>
          <cell r="U136">
            <v>0</v>
          </cell>
          <cell r="V136">
            <v>0</v>
          </cell>
          <cell r="W136">
            <v>0</v>
          </cell>
          <cell r="X136" t="str">
            <v/>
          </cell>
          <cell r="Y136">
            <v>0</v>
          </cell>
          <cell r="Z136">
            <v>0</v>
          </cell>
          <cell r="AA136">
            <v>0</v>
          </cell>
          <cell r="AB136" t="str">
            <v/>
          </cell>
          <cell r="AC136">
            <v>0</v>
          </cell>
          <cell r="AD136">
            <v>0</v>
          </cell>
          <cell r="AE136">
            <v>0</v>
          </cell>
          <cell r="AF136" t="str">
            <v/>
          </cell>
          <cell r="AG136">
            <v>0</v>
          </cell>
          <cell r="AH136">
            <v>0</v>
          </cell>
          <cell r="AI136">
            <v>0</v>
          </cell>
          <cell r="AJ136">
            <v>0</v>
          </cell>
          <cell r="AK136" t="str">
            <v>CVT</v>
          </cell>
          <cell r="AL136">
            <v>0</v>
          </cell>
        </row>
        <row r="137">
          <cell r="E137">
            <v>0</v>
          </cell>
          <cell r="F137">
            <v>0</v>
          </cell>
          <cell r="G137">
            <v>0</v>
          </cell>
          <cell r="H137">
            <v>0</v>
          </cell>
          <cell r="I137">
            <v>0</v>
          </cell>
          <cell r="J137">
            <v>0</v>
          </cell>
          <cell r="K137">
            <v>0</v>
          </cell>
          <cell r="L137">
            <v>0</v>
          </cell>
          <cell r="M137">
            <v>0</v>
          </cell>
          <cell r="N137">
            <v>0</v>
          </cell>
          <cell r="O137">
            <v>0</v>
          </cell>
          <cell r="P137" t="str">
            <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t="str">
            <v/>
          </cell>
          <cell r="AG137">
            <v>0</v>
          </cell>
          <cell r="AH137">
            <v>0</v>
          </cell>
          <cell r="AI137">
            <v>0</v>
          </cell>
          <cell r="AJ137">
            <v>0</v>
          </cell>
          <cell r="AK137" t="str">
            <v>基底温度</v>
          </cell>
          <cell r="AL137">
            <v>0</v>
          </cell>
        </row>
        <row r="138">
          <cell r="E138">
            <v>0</v>
          </cell>
          <cell r="F138" t="str">
            <v>ケーブル配線工事</v>
          </cell>
          <cell r="G138">
            <v>0</v>
          </cell>
          <cell r="H138">
            <v>0</v>
          </cell>
          <cell r="I138">
            <v>0</v>
          </cell>
          <cell r="J138">
            <v>0</v>
          </cell>
          <cell r="K138">
            <v>0</v>
          </cell>
          <cell r="L138">
            <v>0</v>
          </cell>
          <cell r="M138">
            <v>0</v>
          </cell>
          <cell r="N138" t="str">
            <v>▼</v>
          </cell>
          <cell r="O138">
            <v>0</v>
          </cell>
          <cell r="P138">
            <v>0</v>
          </cell>
          <cell r="Q138">
            <v>0</v>
          </cell>
          <cell r="R138">
            <v>0</v>
          </cell>
          <cell r="S138">
            <v>0</v>
          </cell>
          <cell r="T138">
            <v>0</v>
          </cell>
          <cell r="U138">
            <v>0</v>
          </cell>
          <cell r="V138" t="str">
            <v>配管</v>
          </cell>
          <cell r="W138">
            <v>0</v>
          </cell>
          <cell r="X138">
            <v>0</v>
          </cell>
          <cell r="Y138" t="str">
            <v>ケーブルラック工事(1段)</v>
          </cell>
          <cell r="Z138">
            <v>0</v>
          </cell>
          <cell r="AA138">
            <v>0</v>
          </cell>
          <cell r="AB138">
            <v>0</v>
          </cell>
          <cell r="AC138">
            <v>0</v>
          </cell>
          <cell r="AD138">
            <v>0</v>
          </cell>
          <cell r="AE138">
            <v>0</v>
          </cell>
          <cell r="AF138">
            <v>0</v>
          </cell>
          <cell r="AG138">
            <v>0</v>
          </cell>
          <cell r="AH138" t="str">
            <v>▼</v>
          </cell>
          <cell r="AI138">
            <v>0</v>
          </cell>
          <cell r="AJ138">
            <v>0</v>
          </cell>
          <cell r="AK138">
            <v>0</v>
          </cell>
          <cell r="AL138">
            <v>0</v>
          </cell>
        </row>
        <row r="139">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E140">
            <v>0</v>
          </cell>
          <cell r="F140">
            <v>0</v>
          </cell>
          <cell r="G140" t="str">
            <v>百貨店等</v>
          </cell>
          <cell r="H140">
            <v>0</v>
          </cell>
          <cell r="I140">
            <v>0</v>
          </cell>
          <cell r="J140">
            <v>0</v>
          </cell>
          <cell r="K140">
            <v>0</v>
          </cell>
          <cell r="L140">
            <v>0</v>
          </cell>
          <cell r="M140">
            <v>0</v>
          </cell>
          <cell r="N140">
            <v>0</v>
          </cell>
          <cell r="O140">
            <v>0</v>
          </cell>
          <cell r="P140" t="str">
            <v>設備容量／面</v>
          </cell>
          <cell r="Q140">
            <v>0</v>
          </cell>
          <cell r="R140">
            <v>0</v>
          </cell>
          <cell r="S140">
            <v>0</v>
          </cell>
          <cell r="T140">
            <v>0</v>
          </cell>
          <cell r="U140">
            <v>0</v>
          </cell>
          <cell r="V140">
            <v>0</v>
          </cell>
          <cell r="W140">
            <v>0</v>
          </cell>
          <cell r="X140" t="str">
            <v>需要容量／面</v>
          </cell>
          <cell r="Y140">
            <v>0</v>
          </cell>
          <cell r="Z140">
            <v>0</v>
          </cell>
          <cell r="AA140">
            <v>0</v>
          </cell>
          <cell r="AB140">
            <v>0</v>
          </cell>
          <cell r="AC140">
            <v>0</v>
          </cell>
          <cell r="AD140">
            <v>0</v>
          </cell>
          <cell r="AE140">
            <v>0</v>
          </cell>
          <cell r="AF140" t="str">
            <v>電流 [A]</v>
          </cell>
          <cell r="AG140">
            <v>0</v>
          </cell>
          <cell r="AH140">
            <v>0</v>
          </cell>
          <cell r="AI140">
            <v>0</v>
          </cell>
          <cell r="AJ140">
            <v>0</v>
          </cell>
          <cell r="AK140" t="str">
            <v>配　線　材　料　／面</v>
          </cell>
          <cell r="AL140">
            <v>0</v>
          </cell>
        </row>
        <row r="141">
          <cell r="E141">
            <v>0</v>
          </cell>
          <cell r="F141">
            <v>0</v>
          </cell>
          <cell r="G141">
            <v>0</v>
          </cell>
          <cell r="H141">
            <v>0</v>
          </cell>
          <cell r="I141" t="str">
            <v>面</v>
          </cell>
          <cell r="J141">
            <v>0</v>
          </cell>
          <cell r="K141" t="str">
            <v>電気方式</v>
          </cell>
          <cell r="L141">
            <v>0</v>
          </cell>
          <cell r="M141">
            <v>0</v>
          </cell>
          <cell r="N141">
            <v>0</v>
          </cell>
          <cell r="O141">
            <v>0</v>
          </cell>
          <cell r="P141" t="str">
            <v>KW</v>
          </cell>
          <cell r="Q141">
            <v>0</v>
          </cell>
          <cell r="R141">
            <v>0</v>
          </cell>
          <cell r="S141">
            <v>0</v>
          </cell>
          <cell r="T141" t="str">
            <v>KVar</v>
          </cell>
          <cell r="U141">
            <v>0</v>
          </cell>
          <cell r="V141">
            <v>0</v>
          </cell>
          <cell r="W141">
            <v>0</v>
          </cell>
          <cell r="X141" t="str">
            <v>DmKW</v>
          </cell>
          <cell r="Y141">
            <v>0</v>
          </cell>
          <cell r="Z141">
            <v>0</v>
          </cell>
          <cell r="AA141">
            <v>0</v>
          </cell>
          <cell r="AB141" t="str">
            <v>DmKVar</v>
          </cell>
          <cell r="AC141">
            <v>0</v>
          </cell>
          <cell r="AD141">
            <v>0</v>
          </cell>
          <cell r="AE141">
            <v>0</v>
          </cell>
          <cell r="AF141" t="str">
            <v>設備/需要</v>
          </cell>
          <cell r="AG141">
            <v>0</v>
          </cell>
          <cell r="AH141">
            <v>0</v>
          </cell>
          <cell r="AI141">
            <v>0</v>
          </cell>
          <cell r="AJ141">
            <v>0</v>
          </cell>
          <cell r="AK141" t="str">
            <v>名 称</v>
          </cell>
          <cell r="AL141">
            <v>0</v>
          </cell>
        </row>
        <row r="142">
          <cell r="E142">
            <v>0</v>
          </cell>
          <cell r="F142">
            <v>0</v>
          </cell>
          <cell r="G142">
            <v>0</v>
          </cell>
          <cell r="H142">
            <v>0</v>
          </cell>
          <cell r="I142">
            <v>1</v>
          </cell>
          <cell r="J142">
            <v>0</v>
          </cell>
          <cell r="K142" t="str">
            <v>1φ3W</v>
          </cell>
          <cell r="L142">
            <v>0</v>
          </cell>
          <cell r="M142">
            <v>0</v>
          </cell>
          <cell r="N142">
            <v>0</v>
          </cell>
          <cell r="O142">
            <v>0</v>
          </cell>
          <cell r="P142">
            <v>21.672000000000001</v>
          </cell>
          <cell r="Q142">
            <v>0</v>
          </cell>
          <cell r="R142">
            <v>0</v>
          </cell>
          <cell r="S142">
            <v>0</v>
          </cell>
          <cell r="T142">
            <v>5.2075574008904777</v>
          </cell>
          <cell r="U142">
            <v>0</v>
          </cell>
          <cell r="V142">
            <v>0</v>
          </cell>
          <cell r="W142">
            <v>0</v>
          </cell>
          <cell r="X142">
            <v>19.504799999999999</v>
          </cell>
          <cell r="Y142">
            <v>0</v>
          </cell>
          <cell r="Z142">
            <v>0</v>
          </cell>
          <cell r="AA142">
            <v>0</v>
          </cell>
          <cell r="AB142">
            <v>4.6868016608014305</v>
          </cell>
          <cell r="AC142">
            <v>0</v>
          </cell>
          <cell r="AD142">
            <v>0</v>
          </cell>
          <cell r="AE142">
            <v>0</v>
          </cell>
          <cell r="AF142">
            <v>106.13753090564902</v>
          </cell>
          <cell r="AG142">
            <v>0</v>
          </cell>
          <cell r="AH142">
            <v>0</v>
          </cell>
          <cell r="AI142">
            <v>0</v>
          </cell>
          <cell r="AJ142">
            <v>0</v>
          </cell>
          <cell r="AK142" t="str">
            <v>CVT</v>
          </cell>
          <cell r="AL142">
            <v>0</v>
          </cell>
        </row>
        <row r="143">
          <cell r="E143">
            <v>0</v>
          </cell>
          <cell r="F143">
            <v>0</v>
          </cell>
          <cell r="G143">
            <v>0</v>
          </cell>
          <cell r="H143">
            <v>0</v>
          </cell>
          <cell r="I143">
            <v>0</v>
          </cell>
          <cell r="J143">
            <v>0</v>
          </cell>
          <cell r="K143" t="str">
            <v>210/105V</v>
          </cell>
          <cell r="L143">
            <v>0</v>
          </cell>
          <cell r="M143">
            <v>0</v>
          </cell>
          <cell r="N143">
            <v>0</v>
          </cell>
          <cell r="O143">
            <v>0</v>
          </cell>
          <cell r="P143" t="str">
            <v>MCCB  225AF/175AT</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95.523777815084117</v>
          </cell>
          <cell r="AG143">
            <v>0</v>
          </cell>
          <cell r="AH143">
            <v>0</v>
          </cell>
          <cell r="AI143">
            <v>0</v>
          </cell>
          <cell r="AJ143">
            <v>0</v>
          </cell>
          <cell r="AK143" t="str">
            <v>基底温度</v>
          </cell>
          <cell r="AL143">
            <v>0</v>
          </cell>
        </row>
        <row r="144">
          <cell r="E144">
            <v>0</v>
          </cell>
          <cell r="F144">
            <v>0</v>
          </cell>
          <cell r="G144">
            <v>0</v>
          </cell>
          <cell r="H144">
            <v>0</v>
          </cell>
          <cell r="I144">
            <v>0</v>
          </cell>
          <cell r="J144">
            <v>0</v>
          </cell>
          <cell r="K144" t="str">
            <v/>
          </cell>
          <cell r="L144">
            <v>0</v>
          </cell>
          <cell r="M144">
            <v>0</v>
          </cell>
          <cell r="N144">
            <v>0</v>
          </cell>
          <cell r="O144">
            <v>0</v>
          </cell>
          <cell r="P144" t="str">
            <v/>
          </cell>
          <cell r="Q144">
            <v>0</v>
          </cell>
          <cell r="R144">
            <v>0</v>
          </cell>
          <cell r="S144">
            <v>0</v>
          </cell>
          <cell r="T144" t="str">
            <v/>
          </cell>
          <cell r="U144">
            <v>0</v>
          </cell>
          <cell r="V144">
            <v>0</v>
          </cell>
          <cell r="W144">
            <v>0</v>
          </cell>
          <cell r="X144" t="str">
            <v/>
          </cell>
          <cell r="Y144">
            <v>0</v>
          </cell>
          <cell r="Z144">
            <v>0</v>
          </cell>
          <cell r="AA144">
            <v>0</v>
          </cell>
          <cell r="AB144" t="str">
            <v/>
          </cell>
          <cell r="AC144">
            <v>0</v>
          </cell>
          <cell r="AD144">
            <v>0</v>
          </cell>
          <cell r="AE144">
            <v>0</v>
          </cell>
          <cell r="AF144" t="str">
            <v/>
          </cell>
          <cell r="AG144">
            <v>0</v>
          </cell>
          <cell r="AH144">
            <v>0</v>
          </cell>
          <cell r="AI144">
            <v>0</v>
          </cell>
          <cell r="AJ144">
            <v>0</v>
          </cell>
          <cell r="AK144" t="str">
            <v>CVT</v>
          </cell>
          <cell r="AL144">
            <v>0</v>
          </cell>
        </row>
        <row r="145">
          <cell r="E145">
            <v>0</v>
          </cell>
          <cell r="F145">
            <v>0</v>
          </cell>
          <cell r="G145">
            <v>0</v>
          </cell>
          <cell r="H145">
            <v>0</v>
          </cell>
          <cell r="I145">
            <v>0</v>
          </cell>
          <cell r="J145">
            <v>0</v>
          </cell>
          <cell r="K145" t="str">
            <v/>
          </cell>
          <cell r="L145">
            <v>0</v>
          </cell>
          <cell r="M145">
            <v>0</v>
          </cell>
          <cell r="N145">
            <v>0</v>
          </cell>
          <cell r="O145">
            <v>0</v>
          </cell>
          <cell r="P145" t="str">
            <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t="str">
            <v/>
          </cell>
          <cell r="AG145">
            <v>0</v>
          </cell>
          <cell r="AH145">
            <v>0</v>
          </cell>
          <cell r="AI145">
            <v>0</v>
          </cell>
          <cell r="AJ145">
            <v>0</v>
          </cell>
          <cell r="AK145" t="str">
            <v>基底温度</v>
          </cell>
          <cell r="AL145">
            <v>0</v>
          </cell>
        </row>
        <row r="146">
          <cell r="E146">
            <v>0</v>
          </cell>
          <cell r="F146">
            <v>0</v>
          </cell>
          <cell r="G146">
            <v>0</v>
          </cell>
          <cell r="H146">
            <v>0</v>
          </cell>
          <cell r="I146" t="str">
            <v/>
          </cell>
          <cell r="J146">
            <v>0</v>
          </cell>
          <cell r="K146" t="str">
            <v/>
          </cell>
          <cell r="L146">
            <v>0</v>
          </cell>
          <cell r="M146">
            <v>0</v>
          </cell>
          <cell r="N146">
            <v>0</v>
          </cell>
          <cell r="O146">
            <v>0</v>
          </cell>
          <cell r="P146" t="str">
            <v/>
          </cell>
          <cell r="Q146">
            <v>0</v>
          </cell>
          <cell r="R146">
            <v>0</v>
          </cell>
          <cell r="S146">
            <v>0</v>
          </cell>
          <cell r="T146" t="str">
            <v/>
          </cell>
          <cell r="U146">
            <v>0</v>
          </cell>
          <cell r="V146">
            <v>0</v>
          </cell>
          <cell r="W146">
            <v>0</v>
          </cell>
          <cell r="X146" t="str">
            <v/>
          </cell>
          <cell r="Y146">
            <v>0</v>
          </cell>
          <cell r="Z146">
            <v>0</v>
          </cell>
          <cell r="AA146">
            <v>0</v>
          </cell>
          <cell r="AB146" t="str">
            <v/>
          </cell>
          <cell r="AC146">
            <v>0</v>
          </cell>
          <cell r="AD146">
            <v>0</v>
          </cell>
          <cell r="AE146">
            <v>0</v>
          </cell>
          <cell r="AF146" t="str">
            <v/>
          </cell>
          <cell r="AG146">
            <v>0</v>
          </cell>
          <cell r="AH146">
            <v>0</v>
          </cell>
          <cell r="AI146">
            <v>0</v>
          </cell>
          <cell r="AJ146">
            <v>0</v>
          </cell>
          <cell r="AK146" t="str">
            <v>CVT</v>
          </cell>
          <cell r="AL146">
            <v>0</v>
          </cell>
        </row>
        <row r="147">
          <cell r="E147">
            <v>0</v>
          </cell>
          <cell r="F147">
            <v>0</v>
          </cell>
          <cell r="G147">
            <v>0</v>
          </cell>
          <cell r="H147">
            <v>0</v>
          </cell>
          <cell r="I147">
            <v>0</v>
          </cell>
          <cell r="J147">
            <v>0</v>
          </cell>
          <cell r="K147" t="str">
            <v/>
          </cell>
          <cell r="L147">
            <v>0</v>
          </cell>
          <cell r="M147">
            <v>0</v>
          </cell>
          <cell r="N147">
            <v>0</v>
          </cell>
          <cell r="O147">
            <v>0</v>
          </cell>
          <cell r="P147" t="str">
            <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t="str">
            <v/>
          </cell>
          <cell r="AG147">
            <v>0</v>
          </cell>
          <cell r="AH147">
            <v>0</v>
          </cell>
          <cell r="AI147">
            <v>0</v>
          </cell>
          <cell r="AJ147">
            <v>0</v>
          </cell>
          <cell r="AK147" t="str">
            <v>基底温度</v>
          </cell>
          <cell r="AL147">
            <v>0</v>
          </cell>
        </row>
        <row r="148">
          <cell r="E148">
            <v>0</v>
          </cell>
          <cell r="F148">
            <v>0</v>
          </cell>
          <cell r="G148">
            <v>0</v>
          </cell>
          <cell r="H148">
            <v>0</v>
          </cell>
          <cell r="I148">
            <v>0</v>
          </cell>
          <cell r="J148">
            <v>0</v>
          </cell>
          <cell r="K148" t="str">
            <v/>
          </cell>
          <cell r="L148">
            <v>0</v>
          </cell>
          <cell r="M148">
            <v>0</v>
          </cell>
          <cell r="N148">
            <v>0</v>
          </cell>
          <cell r="O148">
            <v>0</v>
          </cell>
          <cell r="P148" t="str">
            <v/>
          </cell>
          <cell r="Q148">
            <v>0</v>
          </cell>
          <cell r="R148">
            <v>0</v>
          </cell>
          <cell r="S148">
            <v>0</v>
          </cell>
          <cell r="T148" t="str">
            <v/>
          </cell>
          <cell r="U148">
            <v>0</v>
          </cell>
          <cell r="V148">
            <v>0</v>
          </cell>
          <cell r="W148">
            <v>0</v>
          </cell>
          <cell r="X148" t="str">
            <v/>
          </cell>
          <cell r="Y148">
            <v>0</v>
          </cell>
          <cell r="Z148">
            <v>0</v>
          </cell>
          <cell r="AA148">
            <v>0</v>
          </cell>
          <cell r="AB148" t="str">
            <v/>
          </cell>
          <cell r="AC148">
            <v>0</v>
          </cell>
          <cell r="AD148">
            <v>0</v>
          </cell>
          <cell r="AE148">
            <v>0</v>
          </cell>
          <cell r="AF148" t="str">
            <v/>
          </cell>
          <cell r="AG148">
            <v>0</v>
          </cell>
          <cell r="AH148">
            <v>0</v>
          </cell>
          <cell r="AI148">
            <v>0</v>
          </cell>
          <cell r="AJ148">
            <v>0</v>
          </cell>
          <cell r="AK148" t="str">
            <v>CVT</v>
          </cell>
          <cell r="AL148">
            <v>0</v>
          </cell>
        </row>
        <row r="149">
          <cell r="E149">
            <v>0</v>
          </cell>
          <cell r="F149">
            <v>0</v>
          </cell>
          <cell r="G149">
            <v>0</v>
          </cell>
          <cell r="H149">
            <v>0</v>
          </cell>
          <cell r="I149">
            <v>0</v>
          </cell>
          <cell r="J149">
            <v>0</v>
          </cell>
          <cell r="K149" t="str">
            <v/>
          </cell>
          <cell r="L149">
            <v>0</v>
          </cell>
          <cell r="M149">
            <v>0</v>
          </cell>
          <cell r="N149">
            <v>0</v>
          </cell>
          <cell r="O149">
            <v>0</v>
          </cell>
          <cell r="P149" t="str">
            <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t="str">
            <v/>
          </cell>
          <cell r="AG149">
            <v>0</v>
          </cell>
          <cell r="AH149">
            <v>0</v>
          </cell>
          <cell r="AI149">
            <v>0</v>
          </cell>
          <cell r="AJ149">
            <v>0</v>
          </cell>
          <cell r="AK149" t="str">
            <v>基底温度</v>
          </cell>
          <cell r="AL149">
            <v>0</v>
          </cell>
        </row>
        <row r="150">
          <cell r="E150">
            <v>0</v>
          </cell>
          <cell r="F150">
            <v>0</v>
          </cell>
          <cell r="G150">
            <v>0</v>
          </cell>
          <cell r="H150">
            <v>0</v>
          </cell>
          <cell r="I150">
            <v>1</v>
          </cell>
          <cell r="J150">
            <v>0</v>
          </cell>
          <cell r="K150" t="str">
            <v>3φ3W</v>
          </cell>
          <cell r="L150">
            <v>0</v>
          </cell>
          <cell r="M150">
            <v>0</v>
          </cell>
          <cell r="N150">
            <v>0</v>
          </cell>
          <cell r="O150">
            <v>0</v>
          </cell>
          <cell r="P150">
            <v>61.117518895220684</v>
          </cell>
          <cell r="Q150">
            <v>0</v>
          </cell>
          <cell r="R150">
            <v>0</v>
          </cell>
          <cell r="S150">
            <v>0</v>
          </cell>
          <cell r="T150">
            <v>49.544447221730366</v>
          </cell>
          <cell r="U150">
            <v>0</v>
          </cell>
          <cell r="V150">
            <v>0</v>
          </cell>
          <cell r="W150">
            <v>0</v>
          </cell>
          <cell r="X150">
            <v>52.03261856436589</v>
          </cell>
          <cell r="Y150">
            <v>0</v>
          </cell>
          <cell r="Z150">
            <v>0</v>
          </cell>
          <cell r="AA150">
            <v>0</v>
          </cell>
          <cell r="AB150">
            <v>52.603726821913973</v>
          </cell>
          <cell r="AC150">
            <v>0</v>
          </cell>
          <cell r="AD150">
            <v>0</v>
          </cell>
          <cell r="AE150">
            <v>0</v>
          </cell>
          <cell r="AF150">
            <v>216.30448302282332</v>
          </cell>
          <cell r="AG150">
            <v>0</v>
          </cell>
          <cell r="AH150">
            <v>0</v>
          </cell>
          <cell r="AI150">
            <v>0</v>
          </cell>
          <cell r="AJ150">
            <v>0</v>
          </cell>
          <cell r="AK150" t="str">
            <v>CVT</v>
          </cell>
          <cell r="AL150">
            <v>0</v>
          </cell>
        </row>
        <row r="151">
          <cell r="E151">
            <v>0</v>
          </cell>
          <cell r="F151">
            <v>0</v>
          </cell>
          <cell r="G151">
            <v>0</v>
          </cell>
          <cell r="H151">
            <v>0</v>
          </cell>
          <cell r="I151">
            <v>0</v>
          </cell>
          <cell r="J151">
            <v>0</v>
          </cell>
          <cell r="K151" t="str">
            <v>210V</v>
          </cell>
          <cell r="L151">
            <v>0</v>
          </cell>
          <cell r="M151">
            <v>0</v>
          </cell>
          <cell r="N151">
            <v>0</v>
          </cell>
          <cell r="O151">
            <v>0</v>
          </cell>
          <cell r="P151" t="str">
            <v>MCCB  225AF/225AT</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203.42021619150697</v>
          </cell>
          <cell r="AG151">
            <v>0</v>
          </cell>
          <cell r="AH151">
            <v>0</v>
          </cell>
          <cell r="AI151">
            <v>0</v>
          </cell>
          <cell r="AJ151">
            <v>0</v>
          </cell>
          <cell r="AK151" t="str">
            <v>基底温度</v>
          </cell>
          <cell r="AL151">
            <v>0</v>
          </cell>
        </row>
        <row r="152">
          <cell r="E152">
            <v>0</v>
          </cell>
          <cell r="F152">
            <v>0</v>
          </cell>
          <cell r="G152">
            <v>0</v>
          </cell>
          <cell r="H152">
            <v>0</v>
          </cell>
          <cell r="I152">
            <v>0</v>
          </cell>
          <cell r="J152">
            <v>0</v>
          </cell>
          <cell r="K152">
            <v>0</v>
          </cell>
          <cell r="L152">
            <v>0</v>
          </cell>
          <cell r="M152">
            <v>0</v>
          </cell>
          <cell r="N152">
            <v>0</v>
          </cell>
          <cell r="O152">
            <v>0</v>
          </cell>
          <cell r="P152" t="str">
            <v/>
          </cell>
          <cell r="Q152">
            <v>0</v>
          </cell>
          <cell r="R152">
            <v>0</v>
          </cell>
          <cell r="S152">
            <v>0</v>
          </cell>
          <cell r="T152" t="str">
            <v/>
          </cell>
          <cell r="U152">
            <v>0</v>
          </cell>
          <cell r="V152">
            <v>0</v>
          </cell>
          <cell r="W152">
            <v>0</v>
          </cell>
          <cell r="X152" t="str">
            <v/>
          </cell>
          <cell r="Y152">
            <v>0</v>
          </cell>
          <cell r="Z152">
            <v>0</v>
          </cell>
          <cell r="AA152">
            <v>0</v>
          </cell>
          <cell r="AB152" t="str">
            <v/>
          </cell>
          <cell r="AC152">
            <v>0</v>
          </cell>
          <cell r="AD152">
            <v>0</v>
          </cell>
          <cell r="AE152">
            <v>0</v>
          </cell>
          <cell r="AF152" t="str">
            <v/>
          </cell>
          <cell r="AG152">
            <v>0</v>
          </cell>
          <cell r="AH152">
            <v>0</v>
          </cell>
          <cell r="AI152">
            <v>0</v>
          </cell>
          <cell r="AJ152">
            <v>0</v>
          </cell>
          <cell r="AK152" t="str">
            <v>CVT</v>
          </cell>
          <cell r="AL152">
            <v>0</v>
          </cell>
        </row>
        <row r="153">
          <cell r="E153">
            <v>0</v>
          </cell>
          <cell r="F153">
            <v>0</v>
          </cell>
          <cell r="G153">
            <v>0</v>
          </cell>
          <cell r="H153">
            <v>0</v>
          </cell>
          <cell r="I153">
            <v>0</v>
          </cell>
          <cell r="J153">
            <v>0</v>
          </cell>
          <cell r="K153">
            <v>0</v>
          </cell>
          <cell r="L153">
            <v>0</v>
          </cell>
          <cell r="M153">
            <v>0</v>
          </cell>
          <cell r="N153">
            <v>0</v>
          </cell>
          <cell r="O153">
            <v>0</v>
          </cell>
          <cell r="P153" t="str">
            <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t="str">
            <v/>
          </cell>
          <cell r="AG153">
            <v>0</v>
          </cell>
          <cell r="AH153">
            <v>0</v>
          </cell>
          <cell r="AI153">
            <v>0</v>
          </cell>
          <cell r="AJ153">
            <v>0</v>
          </cell>
          <cell r="AK153" t="str">
            <v>基底温度</v>
          </cell>
          <cell r="AL153">
            <v>0</v>
          </cell>
        </row>
        <row r="154">
          <cell r="E154">
            <v>0</v>
          </cell>
          <cell r="F154" t="str">
            <v>ケーブル配線工事</v>
          </cell>
          <cell r="G154">
            <v>0</v>
          </cell>
          <cell r="H154">
            <v>0</v>
          </cell>
          <cell r="I154">
            <v>0</v>
          </cell>
          <cell r="J154">
            <v>0</v>
          </cell>
          <cell r="K154">
            <v>0</v>
          </cell>
          <cell r="L154">
            <v>0</v>
          </cell>
          <cell r="M154">
            <v>0</v>
          </cell>
          <cell r="N154" t="str">
            <v>▼</v>
          </cell>
          <cell r="O154">
            <v>0</v>
          </cell>
          <cell r="P154">
            <v>0</v>
          </cell>
          <cell r="Q154">
            <v>0</v>
          </cell>
          <cell r="R154">
            <v>0</v>
          </cell>
          <cell r="S154">
            <v>0</v>
          </cell>
          <cell r="T154">
            <v>0</v>
          </cell>
          <cell r="U154">
            <v>0</v>
          </cell>
          <cell r="V154" t="str">
            <v>配管</v>
          </cell>
          <cell r="W154">
            <v>0</v>
          </cell>
          <cell r="X154">
            <v>0</v>
          </cell>
          <cell r="Y154" t="str">
            <v>ケーブルラック工事(1段)</v>
          </cell>
          <cell r="Z154">
            <v>0</v>
          </cell>
          <cell r="AA154">
            <v>0</v>
          </cell>
          <cell r="AB154">
            <v>0</v>
          </cell>
          <cell r="AC154">
            <v>0</v>
          </cell>
          <cell r="AD154">
            <v>0</v>
          </cell>
          <cell r="AE154">
            <v>0</v>
          </cell>
          <cell r="AF154">
            <v>0</v>
          </cell>
          <cell r="AG154">
            <v>0</v>
          </cell>
          <cell r="AH154" t="str">
            <v>▼</v>
          </cell>
          <cell r="AI154">
            <v>0</v>
          </cell>
          <cell r="AJ154">
            <v>0</v>
          </cell>
          <cell r="AK154">
            <v>0</v>
          </cell>
          <cell r="AL154">
            <v>0</v>
          </cell>
        </row>
        <row r="155">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row>
        <row r="156">
          <cell r="E156">
            <v>0</v>
          </cell>
          <cell r="F156">
            <v>0</v>
          </cell>
          <cell r="G156" t="str">
            <v>百貨店等</v>
          </cell>
          <cell r="H156">
            <v>0</v>
          </cell>
          <cell r="I156">
            <v>0</v>
          </cell>
          <cell r="J156">
            <v>0</v>
          </cell>
          <cell r="K156">
            <v>0</v>
          </cell>
          <cell r="L156">
            <v>0</v>
          </cell>
          <cell r="M156">
            <v>0</v>
          </cell>
          <cell r="N156">
            <v>0</v>
          </cell>
          <cell r="O156">
            <v>0</v>
          </cell>
          <cell r="P156" t="str">
            <v>設備容量／面</v>
          </cell>
          <cell r="Q156">
            <v>0</v>
          </cell>
          <cell r="R156">
            <v>0</v>
          </cell>
          <cell r="S156">
            <v>0</v>
          </cell>
          <cell r="T156">
            <v>0</v>
          </cell>
          <cell r="U156">
            <v>0</v>
          </cell>
          <cell r="V156">
            <v>0</v>
          </cell>
          <cell r="W156">
            <v>0</v>
          </cell>
          <cell r="X156" t="str">
            <v>需要容量／面</v>
          </cell>
          <cell r="Y156">
            <v>0</v>
          </cell>
          <cell r="Z156">
            <v>0</v>
          </cell>
          <cell r="AA156">
            <v>0</v>
          </cell>
          <cell r="AB156">
            <v>0</v>
          </cell>
          <cell r="AC156">
            <v>0</v>
          </cell>
          <cell r="AD156">
            <v>0</v>
          </cell>
          <cell r="AE156">
            <v>0</v>
          </cell>
          <cell r="AF156" t="str">
            <v>電流 [A]</v>
          </cell>
          <cell r="AG156">
            <v>0</v>
          </cell>
          <cell r="AH156">
            <v>0</v>
          </cell>
          <cell r="AI156">
            <v>0</v>
          </cell>
          <cell r="AJ156">
            <v>0</v>
          </cell>
          <cell r="AK156" t="str">
            <v>配　線　材　料　／面</v>
          </cell>
          <cell r="AL156">
            <v>0</v>
          </cell>
        </row>
        <row r="157">
          <cell r="E157">
            <v>0</v>
          </cell>
          <cell r="F157">
            <v>0</v>
          </cell>
          <cell r="G157">
            <v>0</v>
          </cell>
          <cell r="H157">
            <v>0</v>
          </cell>
          <cell r="I157" t="str">
            <v>面</v>
          </cell>
          <cell r="J157">
            <v>0</v>
          </cell>
          <cell r="K157" t="str">
            <v>電気方式</v>
          </cell>
          <cell r="L157">
            <v>0</v>
          </cell>
          <cell r="M157">
            <v>0</v>
          </cell>
          <cell r="N157">
            <v>0</v>
          </cell>
          <cell r="O157">
            <v>0</v>
          </cell>
          <cell r="P157" t="str">
            <v>KW</v>
          </cell>
          <cell r="Q157">
            <v>0</v>
          </cell>
          <cell r="R157">
            <v>0</v>
          </cell>
          <cell r="S157">
            <v>0</v>
          </cell>
          <cell r="T157" t="str">
            <v>KVar</v>
          </cell>
          <cell r="U157">
            <v>0</v>
          </cell>
          <cell r="V157">
            <v>0</v>
          </cell>
          <cell r="W157">
            <v>0</v>
          </cell>
          <cell r="X157" t="str">
            <v>DmKW</v>
          </cell>
          <cell r="Y157">
            <v>0</v>
          </cell>
          <cell r="Z157">
            <v>0</v>
          </cell>
          <cell r="AA157">
            <v>0</v>
          </cell>
          <cell r="AB157" t="str">
            <v>DmKVar</v>
          </cell>
          <cell r="AC157">
            <v>0</v>
          </cell>
          <cell r="AD157">
            <v>0</v>
          </cell>
          <cell r="AE157">
            <v>0</v>
          </cell>
          <cell r="AF157" t="str">
            <v>設備/需要</v>
          </cell>
          <cell r="AG157">
            <v>0</v>
          </cell>
          <cell r="AH157">
            <v>0</v>
          </cell>
          <cell r="AI157">
            <v>0</v>
          </cell>
          <cell r="AJ157">
            <v>0</v>
          </cell>
          <cell r="AK157" t="str">
            <v>名 称</v>
          </cell>
          <cell r="AL157">
            <v>0</v>
          </cell>
        </row>
        <row r="158">
          <cell r="E158">
            <v>0</v>
          </cell>
          <cell r="F158">
            <v>0</v>
          </cell>
          <cell r="G158">
            <v>0</v>
          </cell>
          <cell r="H158">
            <v>0</v>
          </cell>
          <cell r="I158">
            <v>1</v>
          </cell>
          <cell r="J158">
            <v>0</v>
          </cell>
          <cell r="K158" t="str">
            <v>3φ4W</v>
          </cell>
          <cell r="L158">
            <v>0</v>
          </cell>
          <cell r="M158">
            <v>0</v>
          </cell>
          <cell r="N158">
            <v>0</v>
          </cell>
          <cell r="O158">
            <v>0</v>
          </cell>
          <cell r="P158">
            <v>21.672000000000001</v>
          </cell>
          <cell r="Q158">
            <v>0</v>
          </cell>
          <cell r="R158">
            <v>0</v>
          </cell>
          <cell r="S158">
            <v>0</v>
          </cell>
          <cell r="T158">
            <v>4.6868016608014305</v>
          </cell>
          <cell r="U158">
            <v>0</v>
          </cell>
          <cell r="V158">
            <v>0</v>
          </cell>
          <cell r="W158">
            <v>0</v>
          </cell>
          <cell r="X158">
            <v>19.504799999999999</v>
          </cell>
          <cell r="Y158">
            <v>0</v>
          </cell>
          <cell r="Z158">
            <v>0</v>
          </cell>
          <cell r="AA158">
            <v>0</v>
          </cell>
          <cell r="AB158">
            <v>4.6868016608014305</v>
          </cell>
          <cell r="AC158">
            <v>0</v>
          </cell>
          <cell r="AD158">
            <v>0</v>
          </cell>
          <cell r="AE158">
            <v>0</v>
          </cell>
          <cell r="AF158">
            <v>29.094510128911633</v>
          </cell>
          <cell r="AG158">
            <v>0</v>
          </cell>
          <cell r="AH158">
            <v>0</v>
          </cell>
          <cell r="AI158">
            <v>0</v>
          </cell>
          <cell r="AJ158">
            <v>0</v>
          </cell>
          <cell r="AK158" t="str">
            <v>CVT</v>
          </cell>
          <cell r="AL158">
            <v>0</v>
          </cell>
        </row>
        <row r="159">
          <cell r="E159">
            <v>0</v>
          </cell>
          <cell r="F159">
            <v>0</v>
          </cell>
          <cell r="G159">
            <v>0</v>
          </cell>
          <cell r="H159">
            <v>0</v>
          </cell>
          <cell r="I159">
            <v>0</v>
          </cell>
          <cell r="J159">
            <v>0</v>
          </cell>
          <cell r="K159" t="str">
            <v>440/254V</v>
          </cell>
          <cell r="L159">
            <v>0</v>
          </cell>
          <cell r="M159">
            <v>0</v>
          </cell>
          <cell r="N159">
            <v>0</v>
          </cell>
          <cell r="O159">
            <v>0</v>
          </cell>
          <cell r="P159" t="str">
            <v>MCCB  50AF/30AT</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26.321914898784662</v>
          </cell>
          <cell r="AG159">
            <v>0</v>
          </cell>
          <cell r="AH159">
            <v>0</v>
          </cell>
          <cell r="AI159">
            <v>0</v>
          </cell>
          <cell r="AJ159">
            <v>0</v>
          </cell>
          <cell r="AK159" t="str">
            <v>基底温度</v>
          </cell>
          <cell r="AL159">
            <v>0</v>
          </cell>
        </row>
        <row r="160">
          <cell r="E160">
            <v>0</v>
          </cell>
          <cell r="F160">
            <v>0</v>
          </cell>
          <cell r="G160">
            <v>0</v>
          </cell>
          <cell r="H160">
            <v>0</v>
          </cell>
          <cell r="I160">
            <v>0</v>
          </cell>
          <cell r="J160">
            <v>0</v>
          </cell>
          <cell r="K160" t="str">
            <v>1φ3W</v>
          </cell>
          <cell r="L160">
            <v>0</v>
          </cell>
          <cell r="M160">
            <v>0</v>
          </cell>
          <cell r="N160">
            <v>0</v>
          </cell>
          <cell r="O160">
            <v>0</v>
          </cell>
          <cell r="P160">
            <v>19.68</v>
          </cell>
          <cell r="Q160">
            <v>0</v>
          </cell>
          <cell r="R160">
            <v>0</v>
          </cell>
          <cell r="S160">
            <v>0</v>
          </cell>
          <cell r="T160">
            <v>26.240000000000002</v>
          </cell>
          <cell r="U160">
            <v>0</v>
          </cell>
          <cell r="V160">
            <v>0</v>
          </cell>
          <cell r="W160">
            <v>0</v>
          </cell>
          <cell r="X160">
            <v>5.9039999999999999</v>
          </cell>
          <cell r="Y160">
            <v>0</v>
          </cell>
          <cell r="Z160">
            <v>0</v>
          </cell>
          <cell r="AA160">
            <v>0</v>
          </cell>
          <cell r="AB160">
            <v>7.8719999999999999</v>
          </cell>
          <cell r="AC160">
            <v>0</v>
          </cell>
          <cell r="AD160">
            <v>0</v>
          </cell>
          <cell r="AE160">
            <v>0</v>
          </cell>
          <cell r="AF160">
            <v>156.19047619047623</v>
          </cell>
          <cell r="AG160">
            <v>0</v>
          </cell>
          <cell r="AH160">
            <v>0</v>
          </cell>
          <cell r="AI160">
            <v>0</v>
          </cell>
          <cell r="AJ160">
            <v>0</v>
          </cell>
          <cell r="AK160" t="str">
            <v>CVT</v>
          </cell>
          <cell r="AL160">
            <v>0</v>
          </cell>
        </row>
        <row r="161">
          <cell r="E161">
            <v>0</v>
          </cell>
          <cell r="F161">
            <v>0</v>
          </cell>
          <cell r="G161">
            <v>0</v>
          </cell>
          <cell r="H161">
            <v>0</v>
          </cell>
          <cell r="I161">
            <v>0</v>
          </cell>
          <cell r="J161">
            <v>0</v>
          </cell>
          <cell r="K161" t="str">
            <v>210/105V</v>
          </cell>
          <cell r="L161">
            <v>0</v>
          </cell>
          <cell r="M161">
            <v>0</v>
          </cell>
          <cell r="N161">
            <v>0</v>
          </cell>
          <cell r="O161">
            <v>0</v>
          </cell>
          <cell r="P161" t="str">
            <v>MCCB  50AF/30AT</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46.857142857142854</v>
          </cell>
          <cell r="AG161">
            <v>0</v>
          </cell>
          <cell r="AH161">
            <v>0</v>
          </cell>
          <cell r="AI161">
            <v>0</v>
          </cell>
          <cell r="AJ161">
            <v>0</v>
          </cell>
          <cell r="AK161" t="str">
            <v>基底温度</v>
          </cell>
          <cell r="AL161">
            <v>0</v>
          </cell>
        </row>
        <row r="162">
          <cell r="E162">
            <v>0</v>
          </cell>
          <cell r="F162">
            <v>0</v>
          </cell>
          <cell r="G162">
            <v>0</v>
          </cell>
          <cell r="H162">
            <v>0</v>
          </cell>
          <cell r="I162" t="str">
            <v/>
          </cell>
          <cell r="J162">
            <v>0</v>
          </cell>
          <cell r="K162" t="str">
            <v/>
          </cell>
          <cell r="L162">
            <v>0</v>
          </cell>
          <cell r="M162">
            <v>0</v>
          </cell>
          <cell r="N162">
            <v>0</v>
          </cell>
          <cell r="O162">
            <v>0</v>
          </cell>
          <cell r="P162" t="str">
            <v/>
          </cell>
          <cell r="Q162">
            <v>0</v>
          </cell>
          <cell r="R162">
            <v>0</v>
          </cell>
          <cell r="S162">
            <v>0</v>
          </cell>
          <cell r="T162" t="str">
            <v/>
          </cell>
          <cell r="U162">
            <v>0</v>
          </cell>
          <cell r="V162">
            <v>0</v>
          </cell>
          <cell r="W162">
            <v>0</v>
          </cell>
          <cell r="X162" t="str">
            <v/>
          </cell>
          <cell r="Y162">
            <v>0</v>
          </cell>
          <cell r="Z162">
            <v>0</v>
          </cell>
          <cell r="AA162">
            <v>0</v>
          </cell>
          <cell r="AB162" t="str">
            <v/>
          </cell>
          <cell r="AC162">
            <v>0</v>
          </cell>
          <cell r="AD162">
            <v>0</v>
          </cell>
          <cell r="AE162">
            <v>0</v>
          </cell>
          <cell r="AF162" t="str">
            <v/>
          </cell>
          <cell r="AG162">
            <v>0</v>
          </cell>
          <cell r="AH162">
            <v>0</v>
          </cell>
          <cell r="AI162">
            <v>0</v>
          </cell>
          <cell r="AJ162">
            <v>0</v>
          </cell>
          <cell r="AK162" t="str">
            <v>CVT</v>
          </cell>
          <cell r="AL162">
            <v>0</v>
          </cell>
        </row>
        <row r="163">
          <cell r="E163">
            <v>0</v>
          </cell>
          <cell r="F163">
            <v>0</v>
          </cell>
          <cell r="G163">
            <v>0</v>
          </cell>
          <cell r="H163">
            <v>0</v>
          </cell>
          <cell r="I163">
            <v>0</v>
          </cell>
          <cell r="J163">
            <v>0</v>
          </cell>
          <cell r="K163" t="str">
            <v/>
          </cell>
          <cell r="L163">
            <v>0</v>
          </cell>
          <cell r="M163">
            <v>0</v>
          </cell>
          <cell r="N163">
            <v>0</v>
          </cell>
          <cell r="O163">
            <v>0</v>
          </cell>
          <cell r="P163" t="str">
            <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t="str">
            <v/>
          </cell>
          <cell r="AG163">
            <v>0</v>
          </cell>
          <cell r="AH163">
            <v>0</v>
          </cell>
          <cell r="AI163">
            <v>0</v>
          </cell>
          <cell r="AJ163">
            <v>0</v>
          </cell>
          <cell r="AK163" t="str">
            <v>基底温度</v>
          </cell>
          <cell r="AL163">
            <v>0</v>
          </cell>
        </row>
        <row r="164">
          <cell r="E164">
            <v>0</v>
          </cell>
          <cell r="F164">
            <v>0</v>
          </cell>
          <cell r="G164">
            <v>0</v>
          </cell>
          <cell r="H164">
            <v>0</v>
          </cell>
          <cell r="I164">
            <v>0</v>
          </cell>
          <cell r="J164">
            <v>0</v>
          </cell>
          <cell r="K164" t="str">
            <v/>
          </cell>
          <cell r="L164">
            <v>0</v>
          </cell>
          <cell r="M164">
            <v>0</v>
          </cell>
          <cell r="N164">
            <v>0</v>
          </cell>
          <cell r="O164">
            <v>0</v>
          </cell>
          <cell r="P164" t="str">
            <v/>
          </cell>
          <cell r="Q164">
            <v>0</v>
          </cell>
          <cell r="R164">
            <v>0</v>
          </cell>
          <cell r="S164">
            <v>0</v>
          </cell>
          <cell r="T164" t="str">
            <v/>
          </cell>
          <cell r="U164">
            <v>0</v>
          </cell>
          <cell r="V164">
            <v>0</v>
          </cell>
          <cell r="W164">
            <v>0</v>
          </cell>
          <cell r="X164" t="str">
            <v/>
          </cell>
          <cell r="Y164">
            <v>0</v>
          </cell>
          <cell r="Z164">
            <v>0</v>
          </cell>
          <cell r="AA164">
            <v>0</v>
          </cell>
          <cell r="AB164" t="str">
            <v/>
          </cell>
          <cell r="AC164">
            <v>0</v>
          </cell>
          <cell r="AD164">
            <v>0</v>
          </cell>
          <cell r="AE164">
            <v>0</v>
          </cell>
          <cell r="AF164" t="str">
            <v/>
          </cell>
          <cell r="AG164">
            <v>0</v>
          </cell>
          <cell r="AH164">
            <v>0</v>
          </cell>
          <cell r="AI164">
            <v>0</v>
          </cell>
          <cell r="AJ164">
            <v>0</v>
          </cell>
          <cell r="AK164" t="str">
            <v>CVT</v>
          </cell>
          <cell r="AL164">
            <v>0</v>
          </cell>
        </row>
        <row r="165">
          <cell r="E165">
            <v>0</v>
          </cell>
          <cell r="F165">
            <v>0</v>
          </cell>
          <cell r="G165">
            <v>0</v>
          </cell>
          <cell r="H165">
            <v>0</v>
          </cell>
          <cell r="I165">
            <v>0</v>
          </cell>
          <cell r="J165">
            <v>0</v>
          </cell>
          <cell r="K165" t="str">
            <v/>
          </cell>
          <cell r="L165">
            <v>0</v>
          </cell>
          <cell r="M165">
            <v>0</v>
          </cell>
          <cell r="N165">
            <v>0</v>
          </cell>
          <cell r="O165">
            <v>0</v>
          </cell>
          <cell r="P165" t="str">
            <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t="str">
            <v/>
          </cell>
          <cell r="AG165">
            <v>0</v>
          </cell>
          <cell r="AH165">
            <v>0</v>
          </cell>
          <cell r="AI165">
            <v>0</v>
          </cell>
          <cell r="AJ165">
            <v>0</v>
          </cell>
          <cell r="AK165" t="str">
            <v>基底温度</v>
          </cell>
          <cell r="AL165">
            <v>0</v>
          </cell>
        </row>
        <row r="166">
          <cell r="E166">
            <v>0</v>
          </cell>
          <cell r="F166">
            <v>0</v>
          </cell>
          <cell r="G166">
            <v>0</v>
          </cell>
          <cell r="H166">
            <v>0</v>
          </cell>
          <cell r="I166">
            <v>1</v>
          </cell>
          <cell r="J166">
            <v>0</v>
          </cell>
          <cell r="K166" t="str">
            <v>3φ3W</v>
          </cell>
          <cell r="L166">
            <v>0</v>
          </cell>
          <cell r="M166">
            <v>0</v>
          </cell>
          <cell r="N166">
            <v>0</v>
          </cell>
          <cell r="O166">
            <v>0</v>
          </cell>
          <cell r="P166">
            <v>61.117518895220684</v>
          </cell>
          <cell r="Q166">
            <v>0</v>
          </cell>
          <cell r="R166">
            <v>0</v>
          </cell>
          <cell r="S166">
            <v>0</v>
          </cell>
          <cell r="T166">
            <v>49.544447221730366</v>
          </cell>
          <cell r="U166">
            <v>0</v>
          </cell>
          <cell r="V166">
            <v>0</v>
          </cell>
          <cell r="W166">
            <v>0</v>
          </cell>
          <cell r="X166">
            <v>52.03261856436589</v>
          </cell>
          <cell r="Y166">
            <v>0</v>
          </cell>
          <cell r="Z166">
            <v>0</v>
          </cell>
          <cell r="AA166">
            <v>0</v>
          </cell>
          <cell r="AB166">
            <v>52.603726821913973</v>
          </cell>
          <cell r="AC166">
            <v>0</v>
          </cell>
          <cell r="AD166">
            <v>0</v>
          </cell>
          <cell r="AE166">
            <v>0</v>
          </cell>
          <cell r="AF166">
            <v>216.30448302282332</v>
          </cell>
          <cell r="AG166">
            <v>0</v>
          </cell>
          <cell r="AH166">
            <v>0</v>
          </cell>
          <cell r="AI166">
            <v>0</v>
          </cell>
          <cell r="AJ166">
            <v>0</v>
          </cell>
          <cell r="AK166" t="str">
            <v>CVT</v>
          </cell>
          <cell r="AL166">
            <v>0</v>
          </cell>
        </row>
        <row r="167">
          <cell r="E167">
            <v>0</v>
          </cell>
          <cell r="F167">
            <v>0</v>
          </cell>
          <cell r="G167">
            <v>0</v>
          </cell>
          <cell r="H167">
            <v>0</v>
          </cell>
          <cell r="I167">
            <v>0</v>
          </cell>
          <cell r="J167">
            <v>0</v>
          </cell>
          <cell r="K167" t="str">
            <v>210V</v>
          </cell>
          <cell r="L167">
            <v>0</v>
          </cell>
          <cell r="M167">
            <v>0</v>
          </cell>
          <cell r="N167">
            <v>0</v>
          </cell>
          <cell r="O167">
            <v>0</v>
          </cell>
          <cell r="P167" t="str">
            <v>MCCB  225AF/225AT</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203.42021619150697</v>
          </cell>
          <cell r="AG167">
            <v>0</v>
          </cell>
          <cell r="AH167">
            <v>0</v>
          </cell>
          <cell r="AI167">
            <v>0</v>
          </cell>
          <cell r="AJ167">
            <v>0</v>
          </cell>
          <cell r="AK167" t="str">
            <v>基底温度</v>
          </cell>
          <cell r="AL167">
            <v>0</v>
          </cell>
        </row>
        <row r="168">
          <cell r="E168">
            <v>0</v>
          </cell>
          <cell r="F168">
            <v>0</v>
          </cell>
          <cell r="G168">
            <v>0</v>
          </cell>
          <cell r="H168">
            <v>0</v>
          </cell>
          <cell r="I168">
            <v>0</v>
          </cell>
          <cell r="J168">
            <v>0</v>
          </cell>
          <cell r="K168">
            <v>0</v>
          </cell>
          <cell r="L168">
            <v>0</v>
          </cell>
          <cell r="M168">
            <v>0</v>
          </cell>
          <cell r="N168">
            <v>0</v>
          </cell>
          <cell r="O168">
            <v>0</v>
          </cell>
          <cell r="P168" t="str">
            <v/>
          </cell>
          <cell r="Q168">
            <v>0</v>
          </cell>
          <cell r="R168">
            <v>0</v>
          </cell>
          <cell r="S168">
            <v>0</v>
          </cell>
          <cell r="T168" t="str">
            <v/>
          </cell>
          <cell r="U168">
            <v>0</v>
          </cell>
          <cell r="V168">
            <v>0</v>
          </cell>
          <cell r="W168">
            <v>0</v>
          </cell>
          <cell r="X168" t="str">
            <v/>
          </cell>
          <cell r="Y168">
            <v>0</v>
          </cell>
          <cell r="Z168">
            <v>0</v>
          </cell>
          <cell r="AA168">
            <v>0</v>
          </cell>
          <cell r="AB168" t="str">
            <v/>
          </cell>
          <cell r="AC168">
            <v>0</v>
          </cell>
          <cell r="AD168">
            <v>0</v>
          </cell>
          <cell r="AE168">
            <v>0</v>
          </cell>
          <cell r="AF168" t="str">
            <v/>
          </cell>
          <cell r="AG168">
            <v>0</v>
          </cell>
          <cell r="AH168">
            <v>0</v>
          </cell>
          <cell r="AI168">
            <v>0</v>
          </cell>
          <cell r="AJ168">
            <v>0</v>
          </cell>
          <cell r="AK168" t="str">
            <v>CVT</v>
          </cell>
          <cell r="AL168">
            <v>0</v>
          </cell>
        </row>
        <row r="169">
          <cell r="E169">
            <v>0</v>
          </cell>
          <cell r="F169">
            <v>0</v>
          </cell>
          <cell r="G169">
            <v>0</v>
          </cell>
          <cell r="H169">
            <v>0</v>
          </cell>
          <cell r="I169">
            <v>0</v>
          </cell>
          <cell r="J169">
            <v>0</v>
          </cell>
          <cell r="K169">
            <v>0</v>
          </cell>
          <cell r="L169">
            <v>0</v>
          </cell>
          <cell r="M169">
            <v>0</v>
          </cell>
          <cell r="N169">
            <v>0</v>
          </cell>
          <cell r="O169">
            <v>0</v>
          </cell>
          <cell r="P169" t="str">
            <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t="str">
            <v/>
          </cell>
          <cell r="AG169">
            <v>0</v>
          </cell>
          <cell r="AH169">
            <v>0</v>
          </cell>
          <cell r="AI169">
            <v>0</v>
          </cell>
          <cell r="AJ169">
            <v>0</v>
          </cell>
          <cell r="AK169" t="str">
            <v>基底温度</v>
          </cell>
          <cell r="AL169">
            <v>0</v>
          </cell>
        </row>
        <row r="170">
          <cell r="E170">
            <v>0</v>
          </cell>
          <cell r="F170" t="str">
            <v>ケーブル配線工事</v>
          </cell>
          <cell r="G170">
            <v>0</v>
          </cell>
          <cell r="H170">
            <v>0</v>
          </cell>
          <cell r="I170">
            <v>0</v>
          </cell>
          <cell r="J170">
            <v>0</v>
          </cell>
          <cell r="K170">
            <v>0</v>
          </cell>
          <cell r="L170">
            <v>0</v>
          </cell>
          <cell r="M170">
            <v>0</v>
          </cell>
          <cell r="N170" t="str">
            <v>▼</v>
          </cell>
          <cell r="O170">
            <v>0</v>
          </cell>
          <cell r="P170">
            <v>0</v>
          </cell>
          <cell r="Q170">
            <v>0</v>
          </cell>
          <cell r="R170">
            <v>0</v>
          </cell>
          <cell r="S170">
            <v>0</v>
          </cell>
          <cell r="T170">
            <v>0</v>
          </cell>
          <cell r="U170">
            <v>0</v>
          </cell>
          <cell r="V170" t="str">
            <v>配管</v>
          </cell>
          <cell r="W170">
            <v>0</v>
          </cell>
          <cell r="X170">
            <v>0</v>
          </cell>
          <cell r="Y170" t="str">
            <v>ケーブルラック工事(1段)</v>
          </cell>
          <cell r="Z170">
            <v>0</v>
          </cell>
          <cell r="AA170">
            <v>0</v>
          </cell>
          <cell r="AB170">
            <v>0</v>
          </cell>
          <cell r="AC170">
            <v>0</v>
          </cell>
          <cell r="AD170">
            <v>0</v>
          </cell>
          <cell r="AE170">
            <v>0</v>
          </cell>
          <cell r="AF170">
            <v>0</v>
          </cell>
          <cell r="AG170">
            <v>0</v>
          </cell>
          <cell r="AH170" t="str">
            <v>▼</v>
          </cell>
          <cell r="AI170">
            <v>0</v>
          </cell>
          <cell r="AJ170">
            <v>0</v>
          </cell>
          <cell r="AK170">
            <v>0</v>
          </cell>
          <cell r="AL170">
            <v>0</v>
          </cell>
        </row>
        <row r="171">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E177">
            <v>0</v>
          </cell>
          <cell r="F177">
            <v>0</v>
          </cell>
          <cell r="G177" t="str">
            <v>百貨店等</v>
          </cell>
          <cell r="H177">
            <v>0</v>
          </cell>
          <cell r="I177">
            <v>0</v>
          </cell>
          <cell r="J177">
            <v>0</v>
          </cell>
          <cell r="K177">
            <v>0</v>
          </cell>
          <cell r="L177">
            <v>0</v>
          </cell>
          <cell r="M177">
            <v>0</v>
          </cell>
          <cell r="N177">
            <v>0</v>
          </cell>
          <cell r="O177">
            <v>0</v>
          </cell>
          <cell r="P177" t="str">
            <v>設備容量／面</v>
          </cell>
          <cell r="Q177">
            <v>0</v>
          </cell>
          <cell r="R177">
            <v>0</v>
          </cell>
          <cell r="S177">
            <v>0</v>
          </cell>
          <cell r="T177">
            <v>0</v>
          </cell>
          <cell r="U177">
            <v>0</v>
          </cell>
          <cell r="V177">
            <v>0</v>
          </cell>
          <cell r="W177">
            <v>0</v>
          </cell>
          <cell r="X177" t="str">
            <v>需要容量／面</v>
          </cell>
          <cell r="Y177">
            <v>0</v>
          </cell>
          <cell r="Z177">
            <v>0</v>
          </cell>
          <cell r="AA177">
            <v>0</v>
          </cell>
          <cell r="AB177">
            <v>0</v>
          </cell>
          <cell r="AC177">
            <v>0</v>
          </cell>
          <cell r="AD177">
            <v>0</v>
          </cell>
          <cell r="AE177">
            <v>0</v>
          </cell>
          <cell r="AF177" t="str">
            <v>電流 [A]</v>
          </cell>
          <cell r="AG177">
            <v>0</v>
          </cell>
          <cell r="AH177">
            <v>0</v>
          </cell>
          <cell r="AI177">
            <v>0</v>
          </cell>
          <cell r="AJ177">
            <v>0</v>
          </cell>
          <cell r="AK177" t="str">
            <v>配　線　材　料　／面</v>
          </cell>
          <cell r="AL177">
            <v>0</v>
          </cell>
        </row>
        <row r="178">
          <cell r="E178">
            <v>0</v>
          </cell>
          <cell r="F178">
            <v>0</v>
          </cell>
          <cell r="G178">
            <v>0</v>
          </cell>
          <cell r="H178">
            <v>0</v>
          </cell>
          <cell r="I178" t="str">
            <v>面</v>
          </cell>
          <cell r="J178">
            <v>0</v>
          </cell>
          <cell r="K178" t="str">
            <v>電気方式</v>
          </cell>
          <cell r="L178">
            <v>0</v>
          </cell>
          <cell r="M178">
            <v>0</v>
          </cell>
          <cell r="N178">
            <v>0</v>
          </cell>
          <cell r="O178">
            <v>0</v>
          </cell>
          <cell r="P178" t="str">
            <v>KW</v>
          </cell>
          <cell r="Q178">
            <v>0</v>
          </cell>
          <cell r="R178">
            <v>0</v>
          </cell>
          <cell r="S178">
            <v>0</v>
          </cell>
          <cell r="T178" t="str">
            <v>KVar</v>
          </cell>
          <cell r="U178">
            <v>0</v>
          </cell>
          <cell r="V178">
            <v>0</v>
          </cell>
          <cell r="W178">
            <v>0</v>
          </cell>
          <cell r="X178" t="str">
            <v>DmKW</v>
          </cell>
          <cell r="Y178">
            <v>0</v>
          </cell>
          <cell r="Z178">
            <v>0</v>
          </cell>
          <cell r="AA178">
            <v>0</v>
          </cell>
          <cell r="AB178" t="str">
            <v>DmKVar</v>
          </cell>
          <cell r="AC178">
            <v>0</v>
          </cell>
          <cell r="AD178">
            <v>0</v>
          </cell>
          <cell r="AE178">
            <v>0</v>
          </cell>
          <cell r="AF178" t="str">
            <v>設備/需要</v>
          </cell>
          <cell r="AG178">
            <v>0</v>
          </cell>
          <cell r="AH178">
            <v>0</v>
          </cell>
          <cell r="AI178">
            <v>0</v>
          </cell>
          <cell r="AJ178">
            <v>0</v>
          </cell>
          <cell r="AK178" t="str">
            <v>名 称</v>
          </cell>
          <cell r="AL178">
            <v>0</v>
          </cell>
        </row>
        <row r="179">
          <cell r="E179">
            <v>0</v>
          </cell>
          <cell r="F179">
            <v>0</v>
          </cell>
          <cell r="G179">
            <v>0</v>
          </cell>
          <cell r="H179">
            <v>0</v>
          </cell>
          <cell r="I179">
            <v>1</v>
          </cell>
          <cell r="J179">
            <v>0</v>
          </cell>
          <cell r="K179" t="str">
            <v>3φ4W</v>
          </cell>
          <cell r="L179">
            <v>0</v>
          </cell>
          <cell r="M179">
            <v>0</v>
          </cell>
          <cell r="N179">
            <v>0</v>
          </cell>
          <cell r="O179">
            <v>0</v>
          </cell>
          <cell r="P179">
            <v>21.672000000000001</v>
          </cell>
          <cell r="Q179">
            <v>0</v>
          </cell>
          <cell r="R179">
            <v>0</v>
          </cell>
          <cell r="S179">
            <v>0</v>
          </cell>
          <cell r="T179">
            <v>4.6868016608014305</v>
          </cell>
          <cell r="U179">
            <v>0</v>
          </cell>
          <cell r="V179">
            <v>0</v>
          </cell>
          <cell r="W179">
            <v>0</v>
          </cell>
          <cell r="X179">
            <v>19.504799999999999</v>
          </cell>
          <cell r="Y179">
            <v>0</v>
          </cell>
          <cell r="Z179">
            <v>0</v>
          </cell>
          <cell r="AA179">
            <v>0</v>
          </cell>
          <cell r="AB179">
            <v>4.6868016608014305</v>
          </cell>
          <cell r="AC179">
            <v>0</v>
          </cell>
          <cell r="AD179">
            <v>0</v>
          </cell>
          <cell r="AE179">
            <v>0</v>
          </cell>
          <cell r="AF179">
            <v>29.094510128911633</v>
          </cell>
          <cell r="AG179">
            <v>0</v>
          </cell>
          <cell r="AH179">
            <v>0</v>
          </cell>
          <cell r="AI179">
            <v>0</v>
          </cell>
          <cell r="AJ179">
            <v>0</v>
          </cell>
          <cell r="AK179" t="str">
            <v>CVT</v>
          </cell>
          <cell r="AL179">
            <v>0</v>
          </cell>
        </row>
        <row r="180">
          <cell r="E180">
            <v>0</v>
          </cell>
          <cell r="F180">
            <v>0</v>
          </cell>
          <cell r="G180">
            <v>0</v>
          </cell>
          <cell r="H180">
            <v>0</v>
          </cell>
          <cell r="I180">
            <v>0</v>
          </cell>
          <cell r="J180">
            <v>0</v>
          </cell>
          <cell r="K180" t="str">
            <v>440/254V</v>
          </cell>
          <cell r="L180">
            <v>0</v>
          </cell>
          <cell r="M180">
            <v>0</v>
          </cell>
          <cell r="N180">
            <v>0</v>
          </cell>
          <cell r="O180">
            <v>0</v>
          </cell>
          <cell r="P180" t="str">
            <v>MCCB  50AF/30AT</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26.321914898784662</v>
          </cell>
          <cell r="AG180">
            <v>0</v>
          </cell>
          <cell r="AH180">
            <v>0</v>
          </cell>
          <cell r="AI180">
            <v>0</v>
          </cell>
          <cell r="AJ180">
            <v>0</v>
          </cell>
          <cell r="AK180" t="str">
            <v>基底温度</v>
          </cell>
          <cell r="AL180">
            <v>0</v>
          </cell>
        </row>
        <row r="181">
          <cell r="E181">
            <v>0</v>
          </cell>
          <cell r="F181">
            <v>0</v>
          </cell>
          <cell r="G181">
            <v>0</v>
          </cell>
          <cell r="H181">
            <v>0</v>
          </cell>
          <cell r="I181">
            <v>0</v>
          </cell>
          <cell r="J181">
            <v>0</v>
          </cell>
          <cell r="K181" t="str">
            <v>1φ3W</v>
          </cell>
          <cell r="L181">
            <v>0</v>
          </cell>
          <cell r="M181">
            <v>0</v>
          </cell>
          <cell r="N181">
            <v>0</v>
          </cell>
          <cell r="O181">
            <v>0</v>
          </cell>
          <cell r="P181">
            <v>19.68</v>
          </cell>
          <cell r="Q181">
            <v>0</v>
          </cell>
          <cell r="R181">
            <v>0</v>
          </cell>
          <cell r="S181">
            <v>0</v>
          </cell>
          <cell r="T181">
            <v>26.240000000000002</v>
          </cell>
          <cell r="U181">
            <v>0</v>
          </cell>
          <cell r="V181">
            <v>0</v>
          </cell>
          <cell r="W181">
            <v>0</v>
          </cell>
          <cell r="X181">
            <v>5.9039999999999999</v>
          </cell>
          <cell r="Y181">
            <v>0</v>
          </cell>
          <cell r="Z181">
            <v>0</v>
          </cell>
          <cell r="AA181">
            <v>0</v>
          </cell>
          <cell r="AB181">
            <v>7.8719999999999999</v>
          </cell>
          <cell r="AC181">
            <v>0</v>
          </cell>
          <cell r="AD181">
            <v>0</v>
          </cell>
          <cell r="AE181">
            <v>0</v>
          </cell>
          <cell r="AF181">
            <v>156.19047619047623</v>
          </cell>
          <cell r="AG181">
            <v>0</v>
          </cell>
          <cell r="AH181">
            <v>0</v>
          </cell>
          <cell r="AI181">
            <v>0</v>
          </cell>
          <cell r="AJ181">
            <v>0</v>
          </cell>
          <cell r="AK181" t="str">
            <v>CVT</v>
          </cell>
          <cell r="AL181">
            <v>0</v>
          </cell>
        </row>
        <row r="182">
          <cell r="E182">
            <v>0</v>
          </cell>
          <cell r="F182">
            <v>0</v>
          </cell>
          <cell r="G182">
            <v>0</v>
          </cell>
          <cell r="H182">
            <v>0</v>
          </cell>
          <cell r="I182">
            <v>0</v>
          </cell>
          <cell r="J182">
            <v>0</v>
          </cell>
          <cell r="K182" t="str">
            <v>210/105V</v>
          </cell>
          <cell r="L182">
            <v>0</v>
          </cell>
          <cell r="M182">
            <v>0</v>
          </cell>
          <cell r="N182">
            <v>0</v>
          </cell>
          <cell r="O182">
            <v>0</v>
          </cell>
          <cell r="P182" t="str">
            <v>MCCB  50AF/30AT</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46.857142857142854</v>
          </cell>
          <cell r="AG182">
            <v>0</v>
          </cell>
          <cell r="AH182">
            <v>0</v>
          </cell>
          <cell r="AI182">
            <v>0</v>
          </cell>
          <cell r="AJ182">
            <v>0</v>
          </cell>
          <cell r="AK182" t="str">
            <v>基底温度</v>
          </cell>
          <cell r="AL182">
            <v>0</v>
          </cell>
        </row>
        <row r="183">
          <cell r="E183">
            <v>0</v>
          </cell>
          <cell r="F183">
            <v>0</v>
          </cell>
          <cell r="G183">
            <v>0</v>
          </cell>
          <cell r="H183">
            <v>0</v>
          </cell>
          <cell r="I183" t="str">
            <v/>
          </cell>
          <cell r="J183">
            <v>0</v>
          </cell>
          <cell r="K183" t="str">
            <v/>
          </cell>
          <cell r="L183">
            <v>0</v>
          </cell>
          <cell r="M183">
            <v>0</v>
          </cell>
          <cell r="N183">
            <v>0</v>
          </cell>
          <cell r="O183">
            <v>0</v>
          </cell>
          <cell r="P183" t="str">
            <v/>
          </cell>
          <cell r="Q183">
            <v>0</v>
          </cell>
          <cell r="R183">
            <v>0</v>
          </cell>
          <cell r="S183">
            <v>0</v>
          </cell>
          <cell r="T183" t="str">
            <v/>
          </cell>
          <cell r="U183">
            <v>0</v>
          </cell>
          <cell r="V183">
            <v>0</v>
          </cell>
          <cell r="W183">
            <v>0</v>
          </cell>
          <cell r="X183" t="str">
            <v/>
          </cell>
          <cell r="Y183">
            <v>0</v>
          </cell>
          <cell r="Z183">
            <v>0</v>
          </cell>
          <cell r="AA183">
            <v>0</v>
          </cell>
          <cell r="AB183" t="str">
            <v/>
          </cell>
          <cell r="AC183">
            <v>0</v>
          </cell>
          <cell r="AD183">
            <v>0</v>
          </cell>
          <cell r="AE183">
            <v>0</v>
          </cell>
          <cell r="AF183" t="str">
            <v/>
          </cell>
          <cell r="AG183">
            <v>0</v>
          </cell>
          <cell r="AH183">
            <v>0</v>
          </cell>
          <cell r="AI183">
            <v>0</v>
          </cell>
          <cell r="AJ183">
            <v>0</v>
          </cell>
          <cell r="AK183" t="str">
            <v>CVT</v>
          </cell>
          <cell r="AL183">
            <v>0</v>
          </cell>
        </row>
        <row r="184">
          <cell r="E184">
            <v>0</v>
          </cell>
          <cell r="F184">
            <v>0</v>
          </cell>
          <cell r="G184">
            <v>0</v>
          </cell>
          <cell r="H184">
            <v>0</v>
          </cell>
          <cell r="I184">
            <v>0</v>
          </cell>
          <cell r="J184">
            <v>0</v>
          </cell>
          <cell r="K184" t="str">
            <v/>
          </cell>
          <cell r="L184">
            <v>0</v>
          </cell>
          <cell r="M184">
            <v>0</v>
          </cell>
          <cell r="N184">
            <v>0</v>
          </cell>
          <cell r="O184">
            <v>0</v>
          </cell>
          <cell r="P184" t="str">
            <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t="str">
            <v/>
          </cell>
          <cell r="AG184">
            <v>0</v>
          </cell>
          <cell r="AH184">
            <v>0</v>
          </cell>
          <cell r="AI184">
            <v>0</v>
          </cell>
          <cell r="AJ184">
            <v>0</v>
          </cell>
          <cell r="AK184" t="str">
            <v>基底温度</v>
          </cell>
          <cell r="AL184">
            <v>0</v>
          </cell>
        </row>
        <row r="185">
          <cell r="E185">
            <v>0</v>
          </cell>
          <cell r="F185">
            <v>0</v>
          </cell>
          <cell r="G185">
            <v>0</v>
          </cell>
          <cell r="H185">
            <v>0</v>
          </cell>
          <cell r="I185">
            <v>0</v>
          </cell>
          <cell r="J185">
            <v>0</v>
          </cell>
          <cell r="K185" t="str">
            <v/>
          </cell>
          <cell r="L185">
            <v>0</v>
          </cell>
          <cell r="M185">
            <v>0</v>
          </cell>
          <cell r="N185">
            <v>0</v>
          </cell>
          <cell r="O185">
            <v>0</v>
          </cell>
          <cell r="P185" t="str">
            <v/>
          </cell>
          <cell r="Q185">
            <v>0</v>
          </cell>
          <cell r="R185">
            <v>0</v>
          </cell>
          <cell r="S185">
            <v>0</v>
          </cell>
          <cell r="T185" t="str">
            <v/>
          </cell>
          <cell r="U185">
            <v>0</v>
          </cell>
          <cell r="V185">
            <v>0</v>
          </cell>
          <cell r="W185">
            <v>0</v>
          </cell>
          <cell r="X185" t="str">
            <v/>
          </cell>
          <cell r="Y185">
            <v>0</v>
          </cell>
          <cell r="Z185">
            <v>0</v>
          </cell>
          <cell r="AA185">
            <v>0</v>
          </cell>
          <cell r="AB185" t="str">
            <v/>
          </cell>
          <cell r="AC185">
            <v>0</v>
          </cell>
          <cell r="AD185">
            <v>0</v>
          </cell>
          <cell r="AE185">
            <v>0</v>
          </cell>
          <cell r="AF185" t="str">
            <v/>
          </cell>
          <cell r="AG185">
            <v>0</v>
          </cell>
          <cell r="AH185">
            <v>0</v>
          </cell>
          <cell r="AI185">
            <v>0</v>
          </cell>
          <cell r="AJ185">
            <v>0</v>
          </cell>
          <cell r="AK185" t="str">
            <v>CVT</v>
          </cell>
          <cell r="AL185">
            <v>0</v>
          </cell>
        </row>
        <row r="186">
          <cell r="E186">
            <v>0</v>
          </cell>
          <cell r="F186">
            <v>0</v>
          </cell>
          <cell r="G186">
            <v>0</v>
          </cell>
          <cell r="H186">
            <v>0</v>
          </cell>
          <cell r="I186">
            <v>0</v>
          </cell>
          <cell r="J186">
            <v>0</v>
          </cell>
          <cell r="K186" t="str">
            <v/>
          </cell>
          <cell r="L186">
            <v>0</v>
          </cell>
          <cell r="M186">
            <v>0</v>
          </cell>
          <cell r="N186">
            <v>0</v>
          </cell>
          <cell r="O186">
            <v>0</v>
          </cell>
          <cell r="P186" t="str">
            <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t="str">
            <v/>
          </cell>
          <cell r="AG186">
            <v>0</v>
          </cell>
          <cell r="AH186">
            <v>0</v>
          </cell>
          <cell r="AI186">
            <v>0</v>
          </cell>
          <cell r="AJ186">
            <v>0</v>
          </cell>
          <cell r="AK186" t="str">
            <v>基底温度</v>
          </cell>
          <cell r="AL186">
            <v>0</v>
          </cell>
        </row>
        <row r="187">
          <cell r="E187">
            <v>0</v>
          </cell>
          <cell r="F187">
            <v>0</v>
          </cell>
          <cell r="G187">
            <v>0</v>
          </cell>
          <cell r="H187">
            <v>0</v>
          </cell>
          <cell r="I187">
            <v>1</v>
          </cell>
          <cell r="J187">
            <v>0</v>
          </cell>
          <cell r="K187" t="str">
            <v>3φ3W</v>
          </cell>
          <cell r="L187">
            <v>0</v>
          </cell>
          <cell r="M187">
            <v>0</v>
          </cell>
          <cell r="N187">
            <v>0</v>
          </cell>
          <cell r="O187">
            <v>0</v>
          </cell>
          <cell r="P187">
            <v>61.117518895220684</v>
          </cell>
          <cell r="Q187">
            <v>0</v>
          </cell>
          <cell r="R187">
            <v>0</v>
          </cell>
          <cell r="S187">
            <v>0</v>
          </cell>
          <cell r="T187">
            <v>49.544447221730366</v>
          </cell>
          <cell r="U187">
            <v>0</v>
          </cell>
          <cell r="V187">
            <v>0</v>
          </cell>
          <cell r="W187">
            <v>0</v>
          </cell>
          <cell r="X187">
            <v>52.03261856436589</v>
          </cell>
          <cell r="Y187">
            <v>0</v>
          </cell>
          <cell r="Z187">
            <v>0</v>
          </cell>
          <cell r="AA187">
            <v>0</v>
          </cell>
          <cell r="AB187">
            <v>52.603726821913973</v>
          </cell>
          <cell r="AC187">
            <v>0</v>
          </cell>
          <cell r="AD187">
            <v>0</v>
          </cell>
          <cell r="AE187">
            <v>0</v>
          </cell>
          <cell r="AF187">
            <v>216.30448302282332</v>
          </cell>
          <cell r="AG187">
            <v>0</v>
          </cell>
          <cell r="AH187">
            <v>0</v>
          </cell>
          <cell r="AI187">
            <v>0</v>
          </cell>
          <cell r="AJ187">
            <v>0</v>
          </cell>
          <cell r="AK187" t="str">
            <v>CVT</v>
          </cell>
          <cell r="AL187">
            <v>0</v>
          </cell>
        </row>
        <row r="188">
          <cell r="E188">
            <v>0</v>
          </cell>
          <cell r="F188">
            <v>0</v>
          </cell>
          <cell r="G188">
            <v>0</v>
          </cell>
          <cell r="H188">
            <v>0</v>
          </cell>
          <cell r="I188">
            <v>0</v>
          </cell>
          <cell r="J188">
            <v>0</v>
          </cell>
          <cell r="K188" t="str">
            <v>210V</v>
          </cell>
          <cell r="L188">
            <v>0</v>
          </cell>
          <cell r="M188">
            <v>0</v>
          </cell>
          <cell r="N188">
            <v>0</v>
          </cell>
          <cell r="O188">
            <v>0</v>
          </cell>
          <cell r="P188" t="str">
            <v>MCCB  225AF/225AT</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203.42021619150697</v>
          </cell>
          <cell r="AG188">
            <v>0</v>
          </cell>
          <cell r="AH188">
            <v>0</v>
          </cell>
          <cell r="AI188">
            <v>0</v>
          </cell>
          <cell r="AJ188">
            <v>0</v>
          </cell>
          <cell r="AK188" t="str">
            <v>基底温度</v>
          </cell>
          <cell r="AL188">
            <v>0</v>
          </cell>
        </row>
        <row r="189">
          <cell r="E189">
            <v>0</v>
          </cell>
          <cell r="F189">
            <v>0</v>
          </cell>
          <cell r="G189">
            <v>0</v>
          </cell>
          <cell r="H189">
            <v>0</v>
          </cell>
          <cell r="I189">
            <v>0</v>
          </cell>
          <cell r="J189">
            <v>0</v>
          </cell>
          <cell r="K189">
            <v>0</v>
          </cell>
          <cell r="L189">
            <v>0</v>
          </cell>
          <cell r="M189">
            <v>0</v>
          </cell>
          <cell r="N189">
            <v>0</v>
          </cell>
          <cell r="O189">
            <v>0</v>
          </cell>
          <cell r="P189" t="str">
            <v/>
          </cell>
          <cell r="Q189">
            <v>0</v>
          </cell>
          <cell r="R189">
            <v>0</v>
          </cell>
          <cell r="S189">
            <v>0</v>
          </cell>
          <cell r="T189" t="str">
            <v/>
          </cell>
          <cell r="U189">
            <v>0</v>
          </cell>
          <cell r="V189">
            <v>0</v>
          </cell>
          <cell r="W189">
            <v>0</v>
          </cell>
          <cell r="X189" t="str">
            <v/>
          </cell>
          <cell r="Y189">
            <v>0</v>
          </cell>
          <cell r="Z189">
            <v>0</v>
          </cell>
          <cell r="AA189">
            <v>0</v>
          </cell>
          <cell r="AB189" t="str">
            <v/>
          </cell>
          <cell r="AC189">
            <v>0</v>
          </cell>
          <cell r="AD189">
            <v>0</v>
          </cell>
          <cell r="AE189">
            <v>0</v>
          </cell>
          <cell r="AF189" t="str">
            <v/>
          </cell>
          <cell r="AG189">
            <v>0</v>
          </cell>
          <cell r="AH189">
            <v>0</v>
          </cell>
          <cell r="AI189">
            <v>0</v>
          </cell>
          <cell r="AJ189">
            <v>0</v>
          </cell>
          <cell r="AK189" t="str">
            <v>CVT</v>
          </cell>
          <cell r="AL189">
            <v>0</v>
          </cell>
        </row>
        <row r="190">
          <cell r="E190">
            <v>0</v>
          </cell>
          <cell r="F190">
            <v>0</v>
          </cell>
          <cell r="G190">
            <v>0</v>
          </cell>
          <cell r="H190">
            <v>0</v>
          </cell>
          <cell r="I190">
            <v>0</v>
          </cell>
          <cell r="J190">
            <v>0</v>
          </cell>
          <cell r="K190">
            <v>0</v>
          </cell>
          <cell r="L190">
            <v>0</v>
          </cell>
          <cell r="M190">
            <v>0</v>
          </cell>
          <cell r="N190">
            <v>0</v>
          </cell>
          <cell r="O190">
            <v>0</v>
          </cell>
          <cell r="P190" t="str">
            <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t="str">
            <v/>
          </cell>
          <cell r="AG190">
            <v>0</v>
          </cell>
          <cell r="AH190">
            <v>0</v>
          </cell>
          <cell r="AI190">
            <v>0</v>
          </cell>
          <cell r="AJ190">
            <v>0</v>
          </cell>
          <cell r="AK190" t="str">
            <v>基底温度</v>
          </cell>
          <cell r="AL190">
            <v>0</v>
          </cell>
        </row>
        <row r="191">
          <cell r="E191">
            <v>0</v>
          </cell>
          <cell r="F191" t="str">
            <v>ケーブル配線工事</v>
          </cell>
          <cell r="G191">
            <v>0</v>
          </cell>
          <cell r="H191">
            <v>0</v>
          </cell>
          <cell r="I191">
            <v>0</v>
          </cell>
          <cell r="J191">
            <v>0</v>
          </cell>
          <cell r="K191">
            <v>0</v>
          </cell>
          <cell r="L191">
            <v>0</v>
          </cell>
          <cell r="M191">
            <v>0</v>
          </cell>
          <cell r="N191" t="str">
            <v>▼</v>
          </cell>
          <cell r="O191">
            <v>0</v>
          </cell>
          <cell r="P191">
            <v>0</v>
          </cell>
          <cell r="Q191">
            <v>0</v>
          </cell>
          <cell r="R191">
            <v>0</v>
          </cell>
          <cell r="S191">
            <v>0</v>
          </cell>
          <cell r="T191">
            <v>0</v>
          </cell>
          <cell r="U191">
            <v>0</v>
          </cell>
          <cell r="V191" t="str">
            <v>配管</v>
          </cell>
          <cell r="W191">
            <v>0</v>
          </cell>
          <cell r="X191">
            <v>0</v>
          </cell>
          <cell r="Y191" t="str">
            <v>ケーブルラック工事(1段)</v>
          </cell>
          <cell r="Z191">
            <v>0</v>
          </cell>
          <cell r="AA191">
            <v>0</v>
          </cell>
          <cell r="AB191">
            <v>0</v>
          </cell>
          <cell r="AC191">
            <v>0</v>
          </cell>
          <cell r="AD191">
            <v>0</v>
          </cell>
          <cell r="AE191">
            <v>0</v>
          </cell>
          <cell r="AF191">
            <v>0</v>
          </cell>
          <cell r="AG191">
            <v>0</v>
          </cell>
          <cell r="AH191" t="str">
            <v>▼</v>
          </cell>
          <cell r="AI191">
            <v>0</v>
          </cell>
          <cell r="AJ191">
            <v>0</v>
          </cell>
          <cell r="AK191">
            <v>0</v>
          </cell>
          <cell r="AL191">
            <v>0</v>
          </cell>
        </row>
        <row r="192">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E193">
            <v>0</v>
          </cell>
          <cell r="F193">
            <v>0</v>
          </cell>
          <cell r="G193" t="str">
            <v>百貨店等</v>
          </cell>
          <cell r="H193">
            <v>0</v>
          </cell>
          <cell r="I193">
            <v>0</v>
          </cell>
          <cell r="J193">
            <v>0</v>
          </cell>
          <cell r="K193">
            <v>0</v>
          </cell>
          <cell r="L193">
            <v>0</v>
          </cell>
          <cell r="M193">
            <v>0</v>
          </cell>
          <cell r="N193">
            <v>0</v>
          </cell>
          <cell r="O193">
            <v>0</v>
          </cell>
          <cell r="P193" t="str">
            <v>設備容量／面</v>
          </cell>
          <cell r="Q193">
            <v>0</v>
          </cell>
          <cell r="R193">
            <v>0</v>
          </cell>
          <cell r="S193">
            <v>0</v>
          </cell>
          <cell r="T193">
            <v>0</v>
          </cell>
          <cell r="U193">
            <v>0</v>
          </cell>
          <cell r="V193">
            <v>0</v>
          </cell>
          <cell r="W193">
            <v>0</v>
          </cell>
          <cell r="X193" t="str">
            <v>需要容量／面</v>
          </cell>
          <cell r="Y193">
            <v>0</v>
          </cell>
          <cell r="Z193">
            <v>0</v>
          </cell>
          <cell r="AA193">
            <v>0</v>
          </cell>
          <cell r="AB193">
            <v>0</v>
          </cell>
          <cell r="AC193">
            <v>0</v>
          </cell>
          <cell r="AD193">
            <v>0</v>
          </cell>
          <cell r="AE193">
            <v>0</v>
          </cell>
          <cell r="AF193" t="str">
            <v>電流 [A]</v>
          </cell>
          <cell r="AG193">
            <v>0</v>
          </cell>
          <cell r="AH193">
            <v>0</v>
          </cell>
          <cell r="AI193">
            <v>0</v>
          </cell>
          <cell r="AJ193">
            <v>0</v>
          </cell>
          <cell r="AK193" t="str">
            <v>配　線　材　料　／面</v>
          </cell>
          <cell r="AL193">
            <v>0</v>
          </cell>
        </row>
        <row r="194">
          <cell r="E194">
            <v>0</v>
          </cell>
          <cell r="F194">
            <v>0</v>
          </cell>
          <cell r="G194">
            <v>0</v>
          </cell>
          <cell r="H194">
            <v>0</v>
          </cell>
          <cell r="I194" t="str">
            <v>面</v>
          </cell>
          <cell r="J194">
            <v>0</v>
          </cell>
          <cell r="K194" t="str">
            <v>電気方式</v>
          </cell>
          <cell r="L194">
            <v>0</v>
          </cell>
          <cell r="M194">
            <v>0</v>
          </cell>
          <cell r="N194">
            <v>0</v>
          </cell>
          <cell r="O194">
            <v>0</v>
          </cell>
          <cell r="P194" t="str">
            <v>KW</v>
          </cell>
          <cell r="Q194">
            <v>0</v>
          </cell>
          <cell r="R194">
            <v>0</v>
          </cell>
          <cell r="S194">
            <v>0</v>
          </cell>
          <cell r="T194" t="str">
            <v>KVar</v>
          </cell>
          <cell r="U194">
            <v>0</v>
          </cell>
          <cell r="V194">
            <v>0</v>
          </cell>
          <cell r="W194">
            <v>0</v>
          </cell>
          <cell r="X194" t="str">
            <v>DmKW</v>
          </cell>
          <cell r="Y194">
            <v>0</v>
          </cell>
          <cell r="Z194">
            <v>0</v>
          </cell>
          <cell r="AA194">
            <v>0</v>
          </cell>
          <cell r="AB194" t="str">
            <v>DmKVar</v>
          </cell>
          <cell r="AC194">
            <v>0</v>
          </cell>
          <cell r="AD194">
            <v>0</v>
          </cell>
          <cell r="AE194">
            <v>0</v>
          </cell>
          <cell r="AF194" t="str">
            <v>設備/需要</v>
          </cell>
          <cell r="AG194">
            <v>0</v>
          </cell>
          <cell r="AH194">
            <v>0</v>
          </cell>
          <cell r="AI194">
            <v>0</v>
          </cell>
          <cell r="AJ194">
            <v>0</v>
          </cell>
          <cell r="AK194" t="str">
            <v>名 称</v>
          </cell>
          <cell r="AL194">
            <v>0</v>
          </cell>
        </row>
        <row r="195">
          <cell r="E195">
            <v>0</v>
          </cell>
          <cell r="F195">
            <v>0</v>
          </cell>
          <cell r="G195">
            <v>0</v>
          </cell>
          <cell r="H195">
            <v>0</v>
          </cell>
          <cell r="I195">
            <v>1</v>
          </cell>
          <cell r="J195">
            <v>0</v>
          </cell>
          <cell r="K195" t="str">
            <v>3φ4W</v>
          </cell>
          <cell r="L195">
            <v>0</v>
          </cell>
          <cell r="M195">
            <v>0</v>
          </cell>
          <cell r="N195">
            <v>0</v>
          </cell>
          <cell r="O195">
            <v>0</v>
          </cell>
          <cell r="P195">
            <v>21.672000000000001</v>
          </cell>
          <cell r="Q195">
            <v>0</v>
          </cell>
          <cell r="R195">
            <v>0</v>
          </cell>
          <cell r="S195">
            <v>0</v>
          </cell>
          <cell r="T195">
            <v>4.6868016608014305</v>
          </cell>
          <cell r="U195">
            <v>0</v>
          </cell>
          <cell r="V195">
            <v>0</v>
          </cell>
          <cell r="W195">
            <v>0</v>
          </cell>
          <cell r="X195">
            <v>19.504799999999999</v>
          </cell>
          <cell r="Y195">
            <v>0</v>
          </cell>
          <cell r="Z195">
            <v>0</v>
          </cell>
          <cell r="AA195">
            <v>0</v>
          </cell>
          <cell r="AB195">
            <v>4.6868016608014305</v>
          </cell>
          <cell r="AC195">
            <v>0</v>
          </cell>
          <cell r="AD195">
            <v>0</v>
          </cell>
          <cell r="AE195">
            <v>0</v>
          </cell>
          <cell r="AF195">
            <v>29.094510128911633</v>
          </cell>
          <cell r="AG195">
            <v>0</v>
          </cell>
          <cell r="AH195">
            <v>0</v>
          </cell>
          <cell r="AI195">
            <v>0</v>
          </cell>
          <cell r="AJ195">
            <v>0</v>
          </cell>
          <cell r="AK195" t="str">
            <v>CVT</v>
          </cell>
          <cell r="AL195">
            <v>0</v>
          </cell>
        </row>
        <row r="196">
          <cell r="E196">
            <v>0</v>
          </cell>
          <cell r="F196">
            <v>0</v>
          </cell>
          <cell r="G196">
            <v>0</v>
          </cell>
          <cell r="H196">
            <v>0</v>
          </cell>
          <cell r="I196">
            <v>0</v>
          </cell>
          <cell r="J196">
            <v>0</v>
          </cell>
          <cell r="K196" t="str">
            <v>440/254V</v>
          </cell>
          <cell r="L196">
            <v>0</v>
          </cell>
          <cell r="M196">
            <v>0</v>
          </cell>
          <cell r="N196">
            <v>0</v>
          </cell>
          <cell r="O196">
            <v>0</v>
          </cell>
          <cell r="P196" t="str">
            <v>MCCB  50AF/30AT</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26.321914898784662</v>
          </cell>
          <cell r="AG196">
            <v>0</v>
          </cell>
          <cell r="AH196">
            <v>0</v>
          </cell>
          <cell r="AI196">
            <v>0</v>
          </cell>
          <cell r="AJ196">
            <v>0</v>
          </cell>
          <cell r="AK196" t="str">
            <v>基底温度</v>
          </cell>
          <cell r="AL196">
            <v>0</v>
          </cell>
        </row>
        <row r="197">
          <cell r="E197">
            <v>0</v>
          </cell>
          <cell r="F197">
            <v>0</v>
          </cell>
          <cell r="G197">
            <v>0</v>
          </cell>
          <cell r="H197">
            <v>0</v>
          </cell>
          <cell r="I197">
            <v>0</v>
          </cell>
          <cell r="J197">
            <v>0</v>
          </cell>
          <cell r="K197" t="str">
            <v>1φ3W</v>
          </cell>
          <cell r="L197">
            <v>0</v>
          </cell>
          <cell r="M197">
            <v>0</v>
          </cell>
          <cell r="N197">
            <v>0</v>
          </cell>
          <cell r="O197">
            <v>0</v>
          </cell>
          <cell r="P197">
            <v>19.68</v>
          </cell>
          <cell r="Q197">
            <v>0</v>
          </cell>
          <cell r="R197">
            <v>0</v>
          </cell>
          <cell r="S197">
            <v>0</v>
          </cell>
          <cell r="T197">
            <v>26.240000000000002</v>
          </cell>
          <cell r="U197">
            <v>0</v>
          </cell>
          <cell r="V197">
            <v>0</v>
          </cell>
          <cell r="W197">
            <v>0</v>
          </cell>
          <cell r="X197">
            <v>5.9039999999999999</v>
          </cell>
          <cell r="Y197">
            <v>0</v>
          </cell>
          <cell r="Z197">
            <v>0</v>
          </cell>
          <cell r="AA197">
            <v>0</v>
          </cell>
          <cell r="AB197">
            <v>7.8719999999999999</v>
          </cell>
          <cell r="AC197">
            <v>0</v>
          </cell>
          <cell r="AD197">
            <v>0</v>
          </cell>
          <cell r="AE197">
            <v>0</v>
          </cell>
          <cell r="AF197">
            <v>156.19047619047623</v>
          </cell>
          <cell r="AG197">
            <v>0</v>
          </cell>
          <cell r="AH197">
            <v>0</v>
          </cell>
          <cell r="AI197">
            <v>0</v>
          </cell>
          <cell r="AJ197">
            <v>0</v>
          </cell>
          <cell r="AK197" t="str">
            <v>CVT</v>
          </cell>
          <cell r="AL197">
            <v>0</v>
          </cell>
        </row>
        <row r="198">
          <cell r="E198">
            <v>0</v>
          </cell>
          <cell r="F198">
            <v>0</v>
          </cell>
          <cell r="G198">
            <v>0</v>
          </cell>
          <cell r="H198">
            <v>0</v>
          </cell>
          <cell r="I198">
            <v>0</v>
          </cell>
          <cell r="J198">
            <v>0</v>
          </cell>
          <cell r="K198" t="str">
            <v>210/105V</v>
          </cell>
          <cell r="L198">
            <v>0</v>
          </cell>
          <cell r="M198">
            <v>0</v>
          </cell>
          <cell r="N198">
            <v>0</v>
          </cell>
          <cell r="O198">
            <v>0</v>
          </cell>
          <cell r="P198" t="str">
            <v>MCCB  50AF/30AT</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46.857142857142854</v>
          </cell>
          <cell r="AG198">
            <v>0</v>
          </cell>
          <cell r="AH198">
            <v>0</v>
          </cell>
          <cell r="AI198">
            <v>0</v>
          </cell>
          <cell r="AJ198">
            <v>0</v>
          </cell>
          <cell r="AK198" t="str">
            <v>基底温度</v>
          </cell>
          <cell r="AL198">
            <v>0</v>
          </cell>
        </row>
        <row r="199">
          <cell r="E199">
            <v>0</v>
          </cell>
          <cell r="F199">
            <v>0</v>
          </cell>
          <cell r="G199">
            <v>0</v>
          </cell>
          <cell r="H199">
            <v>0</v>
          </cell>
          <cell r="I199" t="str">
            <v/>
          </cell>
          <cell r="J199">
            <v>0</v>
          </cell>
          <cell r="K199" t="str">
            <v/>
          </cell>
          <cell r="L199">
            <v>0</v>
          </cell>
          <cell r="M199">
            <v>0</v>
          </cell>
          <cell r="N199">
            <v>0</v>
          </cell>
          <cell r="O199">
            <v>0</v>
          </cell>
          <cell r="P199" t="str">
            <v/>
          </cell>
          <cell r="Q199">
            <v>0</v>
          </cell>
          <cell r="R199">
            <v>0</v>
          </cell>
          <cell r="S199">
            <v>0</v>
          </cell>
          <cell r="T199" t="str">
            <v/>
          </cell>
          <cell r="U199">
            <v>0</v>
          </cell>
          <cell r="V199">
            <v>0</v>
          </cell>
          <cell r="W199">
            <v>0</v>
          </cell>
          <cell r="X199" t="str">
            <v/>
          </cell>
          <cell r="Y199">
            <v>0</v>
          </cell>
          <cell r="Z199">
            <v>0</v>
          </cell>
          <cell r="AA199">
            <v>0</v>
          </cell>
          <cell r="AB199" t="str">
            <v/>
          </cell>
          <cell r="AC199">
            <v>0</v>
          </cell>
          <cell r="AD199">
            <v>0</v>
          </cell>
          <cell r="AE199">
            <v>0</v>
          </cell>
          <cell r="AF199" t="str">
            <v/>
          </cell>
          <cell r="AG199">
            <v>0</v>
          </cell>
          <cell r="AH199">
            <v>0</v>
          </cell>
          <cell r="AI199">
            <v>0</v>
          </cell>
          <cell r="AJ199">
            <v>0</v>
          </cell>
          <cell r="AK199" t="str">
            <v>CVT</v>
          </cell>
          <cell r="AL199">
            <v>0</v>
          </cell>
        </row>
        <row r="200">
          <cell r="E200">
            <v>0</v>
          </cell>
          <cell r="F200">
            <v>0</v>
          </cell>
          <cell r="G200">
            <v>0</v>
          </cell>
          <cell r="H200">
            <v>0</v>
          </cell>
          <cell r="I200">
            <v>0</v>
          </cell>
          <cell r="J200">
            <v>0</v>
          </cell>
          <cell r="K200" t="str">
            <v/>
          </cell>
          <cell r="L200">
            <v>0</v>
          </cell>
          <cell r="M200">
            <v>0</v>
          </cell>
          <cell r="N200">
            <v>0</v>
          </cell>
          <cell r="O200">
            <v>0</v>
          </cell>
          <cell r="P200" t="str">
            <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t="str">
            <v/>
          </cell>
          <cell r="AG200">
            <v>0</v>
          </cell>
          <cell r="AH200">
            <v>0</v>
          </cell>
          <cell r="AI200">
            <v>0</v>
          </cell>
          <cell r="AJ200">
            <v>0</v>
          </cell>
          <cell r="AK200" t="str">
            <v>基底温度</v>
          </cell>
          <cell r="AL200">
            <v>0</v>
          </cell>
        </row>
        <row r="201">
          <cell r="E201">
            <v>0</v>
          </cell>
          <cell r="F201">
            <v>0</v>
          </cell>
          <cell r="G201">
            <v>0</v>
          </cell>
          <cell r="H201">
            <v>0</v>
          </cell>
          <cell r="I201">
            <v>0</v>
          </cell>
          <cell r="J201">
            <v>0</v>
          </cell>
          <cell r="K201" t="str">
            <v/>
          </cell>
          <cell r="L201">
            <v>0</v>
          </cell>
          <cell r="M201">
            <v>0</v>
          </cell>
          <cell r="N201">
            <v>0</v>
          </cell>
          <cell r="O201">
            <v>0</v>
          </cell>
          <cell r="P201" t="str">
            <v/>
          </cell>
          <cell r="Q201">
            <v>0</v>
          </cell>
          <cell r="R201">
            <v>0</v>
          </cell>
          <cell r="S201">
            <v>0</v>
          </cell>
          <cell r="T201" t="str">
            <v/>
          </cell>
          <cell r="U201">
            <v>0</v>
          </cell>
          <cell r="V201">
            <v>0</v>
          </cell>
          <cell r="W201">
            <v>0</v>
          </cell>
          <cell r="X201" t="str">
            <v/>
          </cell>
          <cell r="Y201">
            <v>0</v>
          </cell>
          <cell r="Z201">
            <v>0</v>
          </cell>
          <cell r="AA201">
            <v>0</v>
          </cell>
          <cell r="AB201" t="str">
            <v/>
          </cell>
          <cell r="AC201">
            <v>0</v>
          </cell>
          <cell r="AD201">
            <v>0</v>
          </cell>
          <cell r="AE201">
            <v>0</v>
          </cell>
          <cell r="AF201" t="str">
            <v/>
          </cell>
          <cell r="AG201">
            <v>0</v>
          </cell>
          <cell r="AH201">
            <v>0</v>
          </cell>
          <cell r="AI201">
            <v>0</v>
          </cell>
          <cell r="AJ201">
            <v>0</v>
          </cell>
          <cell r="AK201" t="str">
            <v>CVT</v>
          </cell>
          <cell r="AL201">
            <v>0</v>
          </cell>
        </row>
        <row r="202">
          <cell r="E202">
            <v>0</v>
          </cell>
          <cell r="F202">
            <v>0</v>
          </cell>
          <cell r="G202">
            <v>0</v>
          </cell>
          <cell r="H202">
            <v>0</v>
          </cell>
          <cell r="I202">
            <v>0</v>
          </cell>
          <cell r="J202">
            <v>0</v>
          </cell>
          <cell r="K202" t="str">
            <v/>
          </cell>
          <cell r="L202">
            <v>0</v>
          </cell>
          <cell r="M202">
            <v>0</v>
          </cell>
          <cell r="N202">
            <v>0</v>
          </cell>
          <cell r="O202">
            <v>0</v>
          </cell>
          <cell r="P202" t="str">
            <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t="str">
            <v/>
          </cell>
          <cell r="AG202">
            <v>0</v>
          </cell>
          <cell r="AH202">
            <v>0</v>
          </cell>
          <cell r="AI202">
            <v>0</v>
          </cell>
          <cell r="AJ202">
            <v>0</v>
          </cell>
          <cell r="AK202" t="str">
            <v>基底温度</v>
          </cell>
          <cell r="AL202">
            <v>0</v>
          </cell>
        </row>
        <row r="203">
          <cell r="E203">
            <v>0</v>
          </cell>
          <cell r="F203">
            <v>0</v>
          </cell>
          <cell r="G203">
            <v>0</v>
          </cell>
          <cell r="H203">
            <v>0</v>
          </cell>
          <cell r="I203">
            <v>1</v>
          </cell>
          <cell r="J203">
            <v>0</v>
          </cell>
          <cell r="K203" t="str">
            <v>3φ3W</v>
          </cell>
          <cell r="L203">
            <v>0</v>
          </cell>
          <cell r="M203">
            <v>0</v>
          </cell>
          <cell r="N203">
            <v>0</v>
          </cell>
          <cell r="O203">
            <v>0</v>
          </cell>
          <cell r="P203">
            <v>61.117518895220684</v>
          </cell>
          <cell r="Q203">
            <v>0</v>
          </cell>
          <cell r="R203">
            <v>0</v>
          </cell>
          <cell r="S203">
            <v>0</v>
          </cell>
          <cell r="T203">
            <v>49.544447221730366</v>
          </cell>
          <cell r="U203">
            <v>0</v>
          </cell>
          <cell r="V203">
            <v>0</v>
          </cell>
          <cell r="W203">
            <v>0</v>
          </cell>
          <cell r="X203">
            <v>52.03261856436589</v>
          </cell>
          <cell r="Y203">
            <v>0</v>
          </cell>
          <cell r="Z203">
            <v>0</v>
          </cell>
          <cell r="AA203">
            <v>0</v>
          </cell>
          <cell r="AB203">
            <v>52.603726821913973</v>
          </cell>
          <cell r="AC203">
            <v>0</v>
          </cell>
          <cell r="AD203">
            <v>0</v>
          </cell>
          <cell r="AE203">
            <v>0</v>
          </cell>
          <cell r="AF203">
            <v>216.30448302282332</v>
          </cell>
          <cell r="AG203">
            <v>0</v>
          </cell>
          <cell r="AH203">
            <v>0</v>
          </cell>
          <cell r="AI203">
            <v>0</v>
          </cell>
          <cell r="AJ203">
            <v>0</v>
          </cell>
          <cell r="AK203" t="str">
            <v>CVT</v>
          </cell>
          <cell r="AL203">
            <v>0</v>
          </cell>
        </row>
        <row r="204">
          <cell r="E204">
            <v>0</v>
          </cell>
          <cell r="F204">
            <v>0</v>
          </cell>
          <cell r="G204">
            <v>0</v>
          </cell>
          <cell r="H204">
            <v>0</v>
          </cell>
          <cell r="I204">
            <v>0</v>
          </cell>
          <cell r="J204">
            <v>0</v>
          </cell>
          <cell r="K204" t="str">
            <v>210V</v>
          </cell>
          <cell r="L204">
            <v>0</v>
          </cell>
          <cell r="M204">
            <v>0</v>
          </cell>
          <cell r="N204">
            <v>0</v>
          </cell>
          <cell r="O204">
            <v>0</v>
          </cell>
          <cell r="P204" t="str">
            <v>MCCB  225AF/225AT</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203.42021619150697</v>
          </cell>
          <cell r="AG204">
            <v>0</v>
          </cell>
          <cell r="AH204">
            <v>0</v>
          </cell>
          <cell r="AI204">
            <v>0</v>
          </cell>
          <cell r="AJ204">
            <v>0</v>
          </cell>
          <cell r="AK204" t="str">
            <v>基底温度</v>
          </cell>
          <cell r="AL204">
            <v>0</v>
          </cell>
        </row>
        <row r="205">
          <cell r="E205">
            <v>0</v>
          </cell>
          <cell r="F205">
            <v>0</v>
          </cell>
          <cell r="G205">
            <v>0</v>
          </cell>
          <cell r="H205">
            <v>0</v>
          </cell>
          <cell r="I205">
            <v>0</v>
          </cell>
          <cell r="J205">
            <v>0</v>
          </cell>
          <cell r="K205">
            <v>0</v>
          </cell>
          <cell r="L205">
            <v>0</v>
          </cell>
          <cell r="M205">
            <v>0</v>
          </cell>
          <cell r="N205">
            <v>0</v>
          </cell>
          <cell r="O205">
            <v>0</v>
          </cell>
          <cell r="P205" t="str">
            <v/>
          </cell>
          <cell r="Q205">
            <v>0</v>
          </cell>
          <cell r="R205">
            <v>0</v>
          </cell>
          <cell r="S205">
            <v>0</v>
          </cell>
          <cell r="T205" t="str">
            <v/>
          </cell>
          <cell r="U205">
            <v>0</v>
          </cell>
          <cell r="V205">
            <v>0</v>
          </cell>
          <cell r="W205">
            <v>0</v>
          </cell>
          <cell r="X205" t="str">
            <v/>
          </cell>
          <cell r="Y205">
            <v>0</v>
          </cell>
          <cell r="Z205">
            <v>0</v>
          </cell>
          <cell r="AA205">
            <v>0</v>
          </cell>
          <cell r="AB205" t="str">
            <v/>
          </cell>
          <cell r="AC205">
            <v>0</v>
          </cell>
          <cell r="AD205">
            <v>0</v>
          </cell>
          <cell r="AE205">
            <v>0</v>
          </cell>
          <cell r="AF205" t="str">
            <v/>
          </cell>
          <cell r="AG205">
            <v>0</v>
          </cell>
          <cell r="AH205">
            <v>0</v>
          </cell>
          <cell r="AI205">
            <v>0</v>
          </cell>
          <cell r="AJ205">
            <v>0</v>
          </cell>
          <cell r="AK205" t="str">
            <v>CVT</v>
          </cell>
          <cell r="AL205">
            <v>0</v>
          </cell>
        </row>
        <row r="206">
          <cell r="E206">
            <v>0</v>
          </cell>
          <cell r="F206">
            <v>0</v>
          </cell>
          <cell r="G206">
            <v>0</v>
          </cell>
          <cell r="H206">
            <v>0</v>
          </cell>
          <cell r="I206">
            <v>0</v>
          </cell>
          <cell r="J206">
            <v>0</v>
          </cell>
          <cell r="K206">
            <v>0</v>
          </cell>
          <cell r="L206">
            <v>0</v>
          </cell>
          <cell r="M206">
            <v>0</v>
          </cell>
          <cell r="N206">
            <v>0</v>
          </cell>
          <cell r="O206">
            <v>0</v>
          </cell>
          <cell r="P206" t="str">
            <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t="str">
            <v/>
          </cell>
          <cell r="AG206">
            <v>0</v>
          </cell>
          <cell r="AH206">
            <v>0</v>
          </cell>
          <cell r="AI206">
            <v>0</v>
          </cell>
          <cell r="AJ206">
            <v>0</v>
          </cell>
          <cell r="AK206" t="str">
            <v>基底温度</v>
          </cell>
          <cell r="AL206">
            <v>0</v>
          </cell>
        </row>
        <row r="207">
          <cell r="E207">
            <v>0</v>
          </cell>
          <cell r="F207" t="str">
            <v>ケーブル配線工事</v>
          </cell>
          <cell r="G207">
            <v>0</v>
          </cell>
          <cell r="H207">
            <v>0</v>
          </cell>
          <cell r="I207">
            <v>0</v>
          </cell>
          <cell r="J207">
            <v>0</v>
          </cell>
          <cell r="K207">
            <v>0</v>
          </cell>
          <cell r="L207">
            <v>0</v>
          </cell>
          <cell r="M207">
            <v>0</v>
          </cell>
          <cell r="N207" t="str">
            <v>▼</v>
          </cell>
          <cell r="O207">
            <v>0</v>
          </cell>
          <cell r="P207">
            <v>0</v>
          </cell>
          <cell r="Q207">
            <v>0</v>
          </cell>
          <cell r="R207">
            <v>0</v>
          </cell>
          <cell r="S207">
            <v>0</v>
          </cell>
          <cell r="T207">
            <v>0</v>
          </cell>
          <cell r="U207">
            <v>0</v>
          </cell>
          <cell r="V207" t="str">
            <v>配管</v>
          </cell>
          <cell r="W207">
            <v>0</v>
          </cell>
          <cell r="X207">
            <v>0</v>
          </cell>
          <cell r="Y207" t="str">
            <v>ケーブルラック工事(1段)</v>
          </cell>
          <cell r="Z207">
            <v>0</v>
          </cell>
          <cell r="AA207">
            <v>0</v>
          </cell>
          <cell r="AB207">
            <v>0</v>
          </cell>
          <cell r="AC207">
            <v>0</v>
          </cell>
          <cell r="AD207">
            <v>0</v>
          </cell>
          <cell r="AE207">
            <v>0</v>
          </cell>
          <cell r="AF207">
            <v>0</v>
          </cell>
          <cell r="AG207">
            <v>0</v>
          </cell>
          <cell r="AH207" t="str">
            <v>▼</v>
          </cell>
          <cell r="AI207">
            <v>0</v>
          </cell>
          <cell r="AJ207">
            <v>0</v>
          </cell>
          <cell r="AK207">
            <v>0</v>
          </cell>
          <cell r="AL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E209">
            <v>0</v>
          </cell>
          <cell r="F209">
            <v>0</v>
          </cell>
          <cell r="G209" t="str">
            <v>百貨店等</v>
          </cell>
          <cell r="H209">
            <v>0</v>
          </cell>
          <cell r="I209">
            <v>0</v>
          </cell>
          <cell r="J209">
            <v>0</v>
          </cell>
          <cell r="K209">
            <v>0</v>
          </cell>
          <cell r="L209">
            <v>0</v>
          </cell>
          <cell r="M209">
            <v>0</v>
          </cell>
          <cell r="N209">
            <v>0</v>
          </cell>
          <cell r="O209">
            <v>0</v>
          </cell>
          <cell r="P209" t="str">
            <v>設備容量／面</v>
          </cell>
          <cell r="Q209">
            <v>0</v>
          </cell>
          <cell r="R209">
            <v>0</v>
          </cell>
          <cell r="S209">
            <v>0</v>
          </cell>
          <cell r="T209">
            <v>0</v>
          </cell>
          <cell r="U209">
            <v>0</v>
          </cell>
          <cell r="V209">
            <v>0</v>
          </cell>
          <cell r="W209">
            <v>0</v>
          </cell>
          <cell r="X209" t="str">
            <v>需要容量／面</v>
          </cell>
          <cell r="Y209">
            <v>0</v>
          </cell>
          <cell r="Z209">
            <v>0</v>
          </cell>
          <cell r="AA209">
            <v>0</v>
          </cell>
          <cell r="AB209">
            <v>0</v>
          </cell>
          <cell r="AC209">
            <v>0</v>
          </cell>
          <cell r="AD209">
            <v>0</v>
          </cell>
          <cell r="AE209">
            <v>0</v>
          </cell>
          <cell r="AF209" t="str">
            <v>電流 [A]</v>
          </cell>
          <cell r="AG209">
            <v>0</v>
          </cell>
          <cell r="AH209">
            <v>0</v>
          </cell>
          <cell r="AI209">
            <v>0</v>
          </cell>
          <cell r="AJ209">
            <v>0</v>
          </cell>
          <cell r="AK209" t="str">
            <v>配　線　材　料　／面</v>
          </cell>
          <cell r="AL209">
            <v>0</v>
          </cell>
        </row>
        <row r="210">
          <cell r="E210">
            <v>0</v>
          </cell>
          <cell r="F210">
            <v>0</v>
          </cell>
          <cell r="G210">
            <v>0</v>
          </cell>
          <cell r="H210">
            <v>0</v>
          </cell>
          <cell r="I210" t="str">
            <v>面</v>
          </cell>
          <cell r="J210">
            <v>0</v>
          </cell>
          <cell r="K210" t="str">
            <v>電気方式</v>
          </cell>
          <cell r="L210">
            <v>0</v>
          </cell>
          <cell r="M210">
            <v>0</v>
          </cell>
          <cell r="N210">
            <v>0</v>
          </cell>
          <cell r="O210">
            <v>0</v>
          </cell>
          <cell r="P210" t="str">
            <v>KW</v>
          </cell>
          <cell r="Q210">
            <v>0</v>
          </cell>
          <cell r="R210">
            <v>0</v>
          </cell>
          <cell r="S210">
            <v>0</v>
          </cell>
          <cell r="T210" t="str">
            <v>KVar</v>
          </cell>
          <cell r="U210">
            <v>0</v>
          </cell>
          <cell r="V210">
            <v>0</v>
          </cell>
          <cell r="W210">
            <v>0</v>
          </cell>
          <cell r="X210" t="str">
            <v>DmKW</v>
          </cell>
          <cell r="Y210">
            <v>0</v>
          </cell>
          <cell r="Z210">
            <v>0</v>
          </cell>
          <cell r="AA210">
            <v>0</v>
          </cell>
          <cell r="AB210" t="str">
            <v>DmKVar</v>
          </cell>
          <cell r="AC210">
            <v>0</v>
          </cell>
          <cell r="AD210">
            <v>0</v>
          </cell>
          <cell r="AE210">
            <v>0</v>
          </cell>
          <cell r="AF210" t="str">
            <v>設備/需要</v>
          </cell>
          <cell r="AG210">
            <v>0</v>
          </cell>
          <cell r="AH210">
            <v>0</v>
          </cell>
          <cell r="AI210">
            <v>0</v>
          </cell>
          <cell r="AJ210">
            <v>0</v>
          </cell>
          <cell r="AK210" t="str">
            <v>名 称</v>
          </cell>
          <cell r="AL210">
            <v>0</v>
          </cell>
        </row>
        <row r="211">
          <cell r="E211">
            <v>0</v>
          </cell>
          <cell r="F211">
            <v>0</v>
          </cell>
          <cell r="G211">
            <v>0</v>
          </cell>
          <cell r="H211">
            <v>0</v>
          </cell>
          <cell r="I211">
            <v>1</v>
          </cell>
          <cell r="J211">
            <v>0</v>
          </cell>
          <cell r="K211" t="str">
            <v>3φ4W</v>
          </cell>
          <cell r="L211">
            <v>0</v>
          </cell>
          <cell r="M211">
            <v>0</v>
          </cell>
          <cell r="N211">
            <v>0</v>
          </cell>
          <cell r="O211">
            <v>0</v>
          </cell>
          <cell r="P211">
            <v>21.672000000000001</v>
          </cell>
          <cell r="Q211">
            <v>0</v>
          </cell>
          <cell r="R211">
            <v>0</v>
          </cell>
          <cell r="S211">
            <v>0</v>
          </cell>
          <cell r="T211">
            <v>4.6868016608014305</v>
          </cell>
          <cell r="U211">
            <v>0</v>
          </cell>
          <cell r="V211">
            <v>0</v>
          </cell>
          <cell r="W211">
            <v>0</v>
          </cell>
          <cell r="X211">
            <v>19.504799999999999</v>
          </cell>
          <cell r="Y211">
            <v>0</v>
          </cell>
          <cell r="Z211">
            <v>0</v>
          </cell>
          <cell r="AA211">
            <v>0</v>
          </cell>
          <cell r="AB211">
            <v>4.6868016608014305</v>
          </cell>
          <cell r="AC211">
            <v>0</v>
          </cell>
          <cell r="AD211">
            <v>0</v>
          </cell>
          <cell r="AE211">
            <v>0</v>
          </cell>
          <cell r="AF211">
            <v>29.094510128911633</v>
          </cell>
          <cell r="AG211">
            <v>0</v>
          </cell>
          <cell r="AH211">
            <v>0</v>
          </cell>
          <cell r="AI211">
            <v>0</v>
          </cell>
          <cell r="AJ211">
            <v>0</v>
          </cell>
          <cell r="AK211" t="str">
            <v>CVT</v>
          </cell>
          <cell r="AL211">
            <v>0</v>
          </cell>
        </row>
        <row r="212">
          <cell r="E212">
            <v>0</v>
          </cell>
          <cell r="F212">
            <v>0</v>
          </cell>
          <cell r="G212">
            <v>0</v>
          </cell>
          <cell r="H212">
            <v>0</v>
          </cell>
          <cell r="I212">
            <v>0</v>
          </cell>
          <cell r="J212">
            <v>0</v>
          </cell>
          <cell r="K212" t="str">
            <v>440/254V</v>
          </cell>
          <cell r="L212">
            <v>0</v>
          </cell>
          <cell r="M212">
            <v>0</v>
          </cell>
          <cell r="N212">
            <v>0</v>
          </cell>
          <cell r="O212">
            <v>0</v>
          </cell>
          <cell r="P212" t="str">
            <v>MCCB  50AF/30AT</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26.321914898784662</v>
          </cell>
          <cell r="AG212">
            <v>0</v>
          </cell>
          <cell r="AH212">
            <v>0</v>
          </cell>
          <cell r="AI212">
            <v>0</v>
          </cell>
          <cell r="AJ212">
            <v>0</v>
          </cell>
          <cell r="AK212" t="str">
            <v>基底温度</v>
          </cell>
          <cell r="AL212">
            <v>0</v>
          </cell>
        </row>
        <row r="213">
          <cell r="E213">
            <v>0</v>
          </cell>
          <cell r="F213">
            <v>0</v>
          </cell>
          <cell r="G213">
            <v>0</v>
          </cell>
          <cell r="H213">
            <v>0</v>
          </cell>
          <cell r="I213">
            <v>0</v>
          </cell>
          <cell r="J213">
            <v>0</v>
          </cell>
          <cell r="K213" t="str">
            <v>1φ3W</v>
          </cell>
          <cell r="L213">
            <v>0</v>
          </cell>
          <cell r="M213">
            <v>0</v>
          </cell>
          <cell r="N213">
            <v>0</v>
          </cell>
          <cell r="O213">
            <v>0</v>
          </cell>
          <cell r="P213">
            <v>19.68</v>
          </cell>
          <cell r="Q213">
            <v>0</v>
          </cell>
          <cell r="R213">
            <v>0</v>
          </cell>
          <cell r="S213">
            <v>0</v>
          </cell>
          <cell r="T213">
            <v>26.240000000000002</v>
          </cell>
          <cell r="U213">
            <v>0</v>
          </cell>
          <cell r="V213">
            <v>0</v>
          </cell>
          <cell r="W213">
            <v>0</v>
          </cell>
          <cell r="X213">
            <v>5.9039999999999999</v>
          </cell>
          <cell r="Y213">
            <v>0</v>
          </cell>
          <cell r="Z213">
            <v>0</v>
          </cell>
          <cell r="AA213">
            <v>0</v>
          </cell>
          <cell r="AB213">
            <v>7.8719999999999999</v>
          </cell>
          <cell r="AC213">
            <v>0</v>
          </cell>
          <cell r="AD213">
            <v>0</v>
          </cell>
          <cell r="AE213">
            <v>0</v>
          </cell>
          <cell r="AF213">
            <v>156.19047619047623</v>
          </cell>
          <cell r="AG213">
            <v>0</v>
          </cell>
          <cell r="AH213">
            <v>0</v>
          </cell>
          <cell r="AI213">
            <v>0</v>
          </cell>
          <cell r="AJ213">
            <v>0</v>
          </cell>
          <cell r="AK213" t="str">
            <v>CVT</v>
          </cell>
          <cell r="AL213">
            <v>0</v>
          </cell>
        </row>
        <row r="214">
          <cell r="E214">
            <v>0</v>
          </cell>
          <cell r="F214">
            <v>0</v>
          </cell>
          <cell r="G214">
            <v>0</v>
          </cell>
          <cell r="H214">
            <v>0</v>
          </cell>
          <cell r="I214">
            <v>0</v>
          </cell>
          <cell r="J214">
            <v>0</v>
          </cell>
          <cell r="K214" t="str">
            <v>210/105V</v>
          </cell>
          <cell r="L214">
            <v>0</v>
          </cell>
          <cell r="M214">
            <v>0</v>
          </cell>
          <cell r="N214">
            <v>0</v>
          </cell>
          <cell r="O214">
            <v>0</v>
          </cell>
          <cell r="P214" t="str">
            <v>MCCB  50AF/30AT</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46.857142857142854</v>
          </cell>
          <cell r="AG214">
            <v>0</v>
          </cell>
          <cell r="AH214">
            <v>0</v>
          </cell>
          <cell r="AI214">
            <v>0</v>
          </cell>
          <cell r="AJ214">
            <v>0</v>
          </cell>
          <cell r="AK214" t="str">
            <v>基底温度</v>
          </cell>
          <cell r="AL214">
            <v>0</v>
          </cell>
        </row>
        <row r="215">
          <cell r="E215">
            <v>0</v>
          </cell>
          <cell r="F215">
            <v>0</v>
          </cell>
          <cell r="G215">
            <v>0</v>
          </cell>
          <cell r="H215">
            <v>0</v>
          </cell>
          <cell r="I215" t="str">
            <v/>
          </cell>
          <cell r="J215">
            <v>0</v>
          </cell>
          <cell r="K215" t="str">
            <v/>
          </cell>
          <cell r="L215">
            <v>0</v>
          </cell>
          <cell r="M215">
            <v>0</v>
          </cell>
          <cell r="N215">
            <v>0</v>
          </cell>
          <cell r="O215">
            <v>0</v>
          </cell>
          <cell r="P215" t="str">
            <v/>
          </cell>
          <cell r="Q215">
            <v>0</v>
          </cell>
          <cell r="R215">
            <v>0</v>
          </cell>
          <cell r="S215">
            <v>0</v>
          </cell>
          <cell r="T215" t="str">
            <v/>
          </cell>
          <cell r="U215">
            <v>0</v>
          </cell>
          <cell r="V215">
            <v>0</v>
          </cell>
          <cell r="W215">
            <v>0</v>
          </cell>
          <cell r="X215" t="str">
            <v/>
          </cell>
          <cell r="Y215">
            <v>0</v>
          </cell>
          <cell r="Z215">
            <v>0</v>
          </cell>
          <cell r="AA215">
            <v>0</v>
          </cell>
          <cell r="AB215" t="str">
            <v/>
          </cell>
          <cell r="AC215">
            <v>0</v>
          </cell>
          <cell r="AD215">
            <v>0</v>
          </cell>
          <cell r="AE215">
            <v>0</v>
          </cell>
          <cell r="AF215" t="str">
            <v/>
          </cell>
          <cell r="AG215">
            <v>0</v>
          </cell>
          <cell r="AH215">
            <v>0</v>
          </cell>
          <cell r="AI215">
            <v>0</v>
          </cell>
          <cell r="AJ215">
            <v>0</v>
          </cell>
          <cell r="AK215" t="str">
            <v>CVT</v>
          </cell>
          <cell r="AL215">
            <v>0</v>
          </cell>
        </row>
        <row r="216">
          <cell r="E216">
            <v>0</v>
          </cell>
          <cell r="F216">
            <v>0</v>
          </cell>
          <cell r="G216">
            <v>0</v>
          </cell>
          <cell r="H216">
            <v>0</v>
          </cell>
          <cell r="I216">
            <v>0</v>
          </cell>
          <cell r="J216">
            <v>0</v>
          </cell>
          <cell r="K216" t="str">
            <v/>
          </cell>
          <cell r="L216">
            <v>0</v>
          </cell>
          <cell r="M216">
            <v>0</v>
          </cell>
          <cell r="N216">
            <v>0</v>
          </cell>
          <cell r="O216">
            <v>0</v>
          </cell>
          <cell r="P216" t="str">
            <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t="str">
            <v/>
          </cell>
          <cell r="AG216">
            <v>0</v>
          </cell>
          <cell r="AH216">
            <v>0</v>
          </cell>
          <cell r="AI216">
            <v>0</v>
          </cell>
          <cell r="AJ216">
            <v>0</v>
          </cell>
          <cell r="AK216" t="str">
            <v>基底温度</v>
          </cell>
          <cell r="AL216">
            <v>0</v>
          </cell>
        </row>
        <row r="217">
          <cell r="E217">
            <v>0</v>
          </cell>
          <cell r="F217">
            <v>0</v>
          </cell>
          <cell r="G217">
            <v>0</v>
          </cell>
          <cell r="H217">
            <v>0</v>
          </cell>
          <cell r="I217">
            <v>0</v>
          </cell>
          <cell r="J217">
            <v>0</v>
          </cell>
          <cell r="K217" t="str">
            <v/>
          </cell>
          <cell r="L217">
            <v>0</v>
          </cell>
          <cell r="M217">
            <v>0</v>
          </cell>
          <cell r="N217">
            <v>0</v>
          </cell>
          <cell r="O217">
            <v>0</v>
          </cell>
          <cell r="P217" t="str">
            <v/>
          </cell>
          <cell r="Q217">
            <v>0</v>
          </cell>
          <cell r="R217">
            <v>0</v>
          </cell>
          <cell r="S217">
            <v>0</v>
          </cell>
          <cell r="T217" t="str">
            <v/>
          </cell>
          <cell r="U217">
            <v>0</v>
          </cell>
          <cell r="V217">
            <v>0</v>
          </cell>
          <cell r="W217">
            <v>0</v>
          </cell>
          <cell r="X217" t="str">
            <v/>
          </cell>
          <cell r="Y217">
            <v>0</v>
          </cell>
          <cell r="Z217">
            <v>0</v>
          </cell>
          <cell r="AA217">
            <v>0</v>
          </cell>
          <cell r="AB217" t="str">
            <v/>
          </cell>
          <cell r="AC217">
            <v>0</v>
          </cell>
          <cell r="AD217">
            <v>0</v>
          </cell>
          <cell r="AE217">
            <v>0</v>
          </cell>
          <cell r="AF217" t="str">
            <v/>
          </cell>
          <cell r="AG217">
            <v>0</v>
          </cell>
          <cell r="AH217">
            <v>0</v>
          </cell>
          <cell r="AI217">
            <v>0</v>
          </cell>
          <cell r="AJ217">
            <v>0</v>
          </cell>
          <cell r="AK217" t="str">
            <v>CVT</v>
          </cell>
          <cell r="AL217">
            <v>0</v>
          </cell>
        </row>
        <row r="218">
          <cell r="E218">
            <v>0</v>
          </cell>
          <cell r="F218">
            <v>0</v>
          </cell>
          <cell r="G218">
            <v>0</v>
          </cell>
          <cell r="H218">
            <v>0</v>
          </cell>
          <cell r="I218">
            <v>0</v>
          </cell>
          <cell r="J218">
            <v>0</v>
          </cell>
          <cell r="K218" t="str">
            <v/>
          </cell>
          <cell r="L218">
            <v>0</v>
          </cell>
          <cell r="M218">
            <v>0</v>
          </cell>
          <cell r="N218">
            <v>0</v>
          </cell>
          <cell r="O218">
            <v>0</v>
          </cell>
          <cell r="P218" t="str">
            <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t="str">
            <v/>
          </cell>
          <cell r="AG218">
            <v>0</v>
          </cell>
          <cell r="AH218">
            <v>0</v>
          </cell>
          <cell r="AI218">
            <v>0</v>
          </cell>
          <cell r="AJ218">
            <v>0</v>
          </cell>
          <cell r="AK218" t="str">
            <v>基底温度</v>
          </cell>
          <cell r="AL218">
            <v>0</v>
          </cell>
        </row>
        <row r="219">
          <cell r="E219">
            <v>0</v>
          </cell>
          <cell r="F219">
            <v>0</v>
          </cell>
          <cell r="G219">
            <v>0</v>
          </cell>
          <cell r="H219">
            <v>0</v>
          </cell>
          <cell r="I219">
            <v>1</v>
          </cell>
          <cell r="J219">
            <v>0</v>
          </cell>
          <cell r="K219" t="str">
            <v>3φ3W</v>
          </cell>
          <cell r="L219">
            <v>0</v>
          </cell>
          <cell r="M219">
            <v>0</v>
          </cell>
          <cell r="N219">
            <v>0</v>
          </cell>
          <cell r="O219">
            <v>0</v>
          </cell>
          <cell r="P219">
            <v>61.117518895220684</v>
          </cell>
          <cell r="Q219">
            <v>0</v>
          </cell>
          <cell r="R219">
            <v>0</v>
          </cell>
          <cell r="S219">
            <v>0</v>
          </cell>
          <cell r="T219">
            <v>49.544447221730366</v>
          </cell>
          <cell r="U219">
            <v>0</v>
          </cell>
          <cell r="V219">
            <v>0</v>
          </cell>
          <cell r="W219">
            <v>0</v>
          </cell>
          <cell r="X219">
            <v>52.03261856436589</v>
          </cell>
          <cell r="Y219">
            <v>0</v>
          </cell>
          <cell r="Z219">
            <v>0</v>
          </cell>
          <cell r="AA219">
            <v>0</v>
          </cell>
          <cell r="AB219">
            <v>52.603726821913973</v>
          </cell>
          <cell r="AC219">
            <v>0</v>
          </cell>
          <cell r="AD219">
            <v>0</v>
          </cell>
          <cell r="AE219">
            <v>0</v>
          </cell>
          <cell r="AF219">
            <v>216.30448302282332</v>
          </cell>
          <cell r="AG219">
            <v>0</v>
          </cell>
          <cell r="AH219">
            <v>0</v>
          </cell>
          <cell r="AI219">
            <v>0</v>
          </cell>
          <cell r="AJ219">
            <v>0</v>
          </cell>
          <cell r="AK219" t="str">
            <v>CVT</v>
          </cell>
          <cell r="AL219">
            <v>0</v>
          </cell>
        </row>
        <row r="220">
          <cell r="E220">
            <v>0</v>
          </cell>
          <cell r="F220">
            <v>0</v>
          </cell>
          <cell r="G220">
            <v>0</v>
          </cell>
          <cell r="H220">
            <v>0</v>
          </cell>
          <cell r="I220">
            <v>0</v>
          </cell>
          <cell r="J220">
            <v>0</v>
          </cell>
          <cell r="K220" t="str">
            <v>210V</v>
          </cell>
          <cell r="L220">
            <v>0</v>
          </cell>
          <cell r="M220">
            <v>0</v>
          </cell>
          <cell r="N220">
            <v>0</v>
          </cell>
          <cell r="O220">
            <v>0</v>
          </cell>
          <cell r="P220" t="str">
            <v>MCCB  225AF/225AT</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203.42021619150697</v>
          </cell>
          <cell r="AG220">
            <v>0</v>
          </cell>
          <cell r="AH220">
            <v>0</v>
          </cell>
          <cell r="AI220">
            <v>0</v>
          </cell>
          <cell r="AJ220">
            <v>0</v>
          </cell>
          <cell r="AK220" t="str">
            <v>基底温度</v>
          </cell>
          <cell r="AL220">
            <v>0</v>
          </cell>
        </row>
        <row r="221">
          <cell r="E221">
            <v>0</v>
          </cell>
          <cell r="F221">
            <v>0</v>
          </cell>
          <cell r="G221">
            <v>0</v>
          </cell>
          <cell r="H221">
            <v>0</v>
          </cell>
          <cell r="I221">
            <v>0</v>
          </cell>
          <cell r="J221">
            <v>0</v>
          </cell>
          <cell r="K221">
            <v>0</v>
          </cell>
          <cell r="L221">
            <v>0</v>
          </cell>
          <cell r="M221">
            <v>0</v>
          </cell>
          <cell r="N221">
            <v>0</v>
          </cell>
          <cell r="O221">
            <v>0</v>
          </cell>
          <cell r="P221" t="str">
            <v/>
          </cell>
          <cell r="Q221">
            <v>0</v>
          </cell>
          <cell r="R221">
            <v>0</v>
          </cell>
          <cell r="S221">
            <v>0</v>
          </cell>
          <cell r="T221" t="str">
            <v/>
          </cell>
          <cell r="U221">
            <v>0</v>
          </cell>
          <cell r="V221">
            <v>0</v>
          </cell>
          <cell r="W221">
            <v>0</v>
          </cell>
          <cell r="X221" t="str">
            <v/>
          </cell>
          <cell r="Y221">
            <v>0</v>
          </cell>
          <cell r="Z221">
            <v>0</v>
          </cell>
          <cell r="AA221">
            <v>0</v>
          </cell>
          <cell r="AB221" t="str">
            <v/>
          </cell>
          <cell r="AC221">
            <v>0</v>
          </cell>
          <cell r="AD221">
            <v>0</v>
          </cell>
          <cell r="AE221">
            <v>0</v>
          </cell>
          <cell r="AF221" t="str">
            <v/>
          </cell>
          <cell r="AG221">
            <v>0</v>
          </cell>
          <cell r="AH221">
            <v>0</v>
          </cell>
          <cell r="AI221">
            <v>0</v>
          </cell>
          <cell r="AJ221">
            <v>0</v>
          </cell>
          <cell r="AK221" t="str">
            <v>CVT</v>
          </cell>
          <cell r="AL221">
            <v>0</v>
          </cell>
        </row>
        <row r="222">
          <cell r="E222">
            <v>0</v>
          </cell>
          <cell r="F222">
            <v>0</v>
          </cell>
          <cell r="G222">
            <v>0</v>
          </cell>
          <cell r="H222">
            <v>0</v>
          </cell>
          <cell r="I222">
            <v>0</v>
          </cell>
          <cell r="J222">
            <v>0</v>
          </cell>
          <cell r="K222">
            <v>0</v>
          </cell>
          <cell r="L222">
            <v>0</v>
          </cell>
          <cell r="M222">
            <v>0</v>
          </cell>
          <cell r="N222">
            <v>0</v>
          </cell>
          <cell r="O222">
            <v>0</v>
          </cell>
          <cell r="P222" t="str">
            <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t="str">
            <v/>
          </cell>
          <cell r="AG222">
            <v>0</v>
          </cell>
          <cell r="AH222">
            <v>0</v>
          </cell>
          <cell r="AI222">
            <v>0</v>
          </cell>
          <cell r="AJ222">
            <v>0</v>
          </cell>
          <cell r="AK222" t="str">
            <v>基底温度</v>
          </cell>
          <cell r="AL222">
            <v>0</v>
          </cell>
        </row>
        <row r="223">
          <cell r="E223">
            <v>0</v>
          </cell>
          <cell r="F223" t="str">
            <v>ケーブル配線工事</v>
          </cell>
          <cell r="G223">
            <v>0</v>
          </cell>
          <cell r="H223">
            <v>0</v>
          </cell>
          <cell r="I223">
            <v>0</v>
          </cell>
          <cell r="J223">
            <v>0</v>
          </cell>
          <cell r="K223">
            <v>0</v>
          </cell>
          <cell r="L223">
            <v>0</v>
          </cell>
          <cell r="M223">
            <v>0</v>
          </cell>
          <cell r="N223" t="str">
            <v>▼</v>
          </cell>
          <cell r="O223">
            <v>0</v>
          </cell>
          <cell r="P223">
            <v>0</v>
          </cell>
          <cell r="Q223">
            <v>0</v>
          </cell>
          <cell r="R223">
            <v>0</v>
          </cell>
          <cell r="S223">
            <v>0</v>
          </cell>
          <cell r="T223">
            <v>0</v>
          </cell>
          <cell r="U223">
            <v>0</v>
          </cell>
          <cell r="V223" t="str">
            <v>配管</v>
          </cell>
          <cell r="W223">
            <v>0</v>
          </cell>
          <cell r="X223">
            <v>0</v>
          </cell>
          <cell r="Y223" t="str">
            <v>ケーブルラック工事(1段)</v>
          </cell>
          <cell r="Z223">
            <v>0</v>
          </cell>
          <cell r="AA223">
            <v>0</v>
          </cell>
          <cell r="AB223">
            <v>0</v>
          </cell>
          <cell r="AC223">
            <v>0</v>
          </cell>
          <cell r="AD223">
            <v>0</v>
          </cell>
          <cell r="AE223">
            <v>0</v>
          </cell>
          <cell r="AF223">
            <v>0</v>
          </cell>
          <cell r="AG223">
            <v>0</v>
          </cell>
          <cell r="AH223" t="str">
            <v>▼</v>
          </cell>
          <cell r="AI223">
            <v>0</v>
          </cell>
          <cell r="AJ223">
            <v>0</v>
          </cell>
          <cell r="AK223">
            <v>0</v>
          </cell>
          <cell r="AL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row>
        <row r="225">
          <cell r="E225">
            <v>0</v>
          </cell>
          <cell r="F225">
            <v>0</v>
          </cell>
          <cell r="G225" t="str">
            <v>料理店等</v>
          </cell>
          <cell r="H225">
            <v>0</v>
          </cell>
          <cell r="I225">
            <v>0</v>
          </cell>
          <cell r="J225">
            <v>0</v>
          </cell>
          <cell r="K225">
            <v>0</v>
          </cell>
          <cell r="L225">
            <v>0</v>
          </cell>
          <cell r="M225">
            <v>0</v>
          </cell>
          <cell r="N225">
            <v>0</v>
          </cell>
          <cell r="O225">
            <v>0</v>
          </cell>
          <cell r="P225" t="str">
            <v>設備容量／面</v>
          </cell>
          <cell r="Q225">
            <v>0</v>
          </cell>
          <cell r="R225">
            <v>0</v>
          </cell>
          <cell r="S225">
            <v>0</v>
          </cell>
          <cell r="T225">
            <v>0</v>
          </cell>
          <cell r="U225">
            <v>0</v>
          </cell>
          <cell r="V225">
            <v>0</v>
          </cell>
          <cell r="W225">
            <v>0</v>
          </cell>
          <cell r="X225" t="str">
            <v>需要容量／面</v>
          </cell>
          <cell r="Y225">
            <v>0</v>
          </cell>
          <cell r="Z225">
            <v>0</v>
          </cell>
          <cell r="AA225">
            <v>0</v>
          </cell>
          <cell r="AB225">
            <v>0</v>
          </cell>
          <cell r="AC225">
            <v>0</v>
          </cell>
          <cell r="AD225">
            <v>0</v>
          </cell>
          <cell r="AE225">
            <v>0</v>
          </cell>
          <cell r="AF225" t="str">
            <v>電流 [A]</v>
          </cell>
          <cell r="AG225">
            <v>0</v>
          </cell>
          <cell r="AH225">
            <v>0</v>
          </cell>
          <cell r="AI225">
            <v>0</v>
          </cell>
          <cell r="AJ225">
            <v>0</v>
          </cell>
          <cell r="AK225" t="str">
            <v>配　線　材　料　／面</v>
          </cell>
          <cell r="AL225">
            <v>0</v>
          </cell>
        </row>
        <row r="226">
          <cell r="E226">
            <v>0</v>
          </cell>
          <cell r="F226">
            <v>0</v>
          </cell>
          <cell r="G226">
            <v>0</v>
          </cell>
          <cell r="H226">
            <v>0</v>
          </cell>
          <cell r="I226" t="str">
            <v>面</v>
          </cell>
          <cell r="J226">
            <v>0</v>
          </cell>
          <cell r="K226" t="str">
            <v>電気方式</v>
          </cell>
          <cell r="L226">
            <v>0</v>
          </cell>
          <cell r="M226">
            <v>0</v>
          </cell>
          <cell r="N226">
            <v>0</v>
          </cell>
          <cell r="O226">
            <v>0</v>
          </cell>
          <cell r="P226" t="str">
            <v>KW</v>
          </cell>
          <cell r="Q226">
            <v>0</v>
          </cell>
          <cell r="R226">
            <v>0</v>
          </cell>
          <cell r="S226">
            <v>0</v>
          </cell>
          <cell r="T226" t="str">
            <v>KVar</v>
          </cell>
          <cell r="U226">
            <v>0</v>
          </cell>
          <cell r="V226">
            <v>0</v>
          </cell>
          <cell r="W226">
            <v>0</v>
          </cell>
          <cell r="X226" t="str">
            <v>DmKW</v>
          </cell>
          <cell r="Y226">
            <v>0</v>
          </cell>
          <cell r="Z226">
            <v>0</v>
          </cell>
          <cell r="AA226">
            <v>0</v>
          </cell>
          <cell r="AB226" t="str">
            <v>DmKVar</v>
          </cell>
          <cell r="AC226">
            <v>0</v>
          </cell>
          <cell r="AD226">
            <v>0</v>
          </cell>
          <cell r="AE226">
            <v>0</v>
          </cell>
          <cell r="AF226" t="str">
            <v>設備/需要</v>
          </cell>
          <cell r="AG226">
            <v>0</v>
          </cell>
          <cell r="AH226">
            <v>0</v>
          </cell>
          <cell r="AI226">
            <v>0</v>
          </cell>
          <cell r="AJ226">
            <v>0</v>
          </cell>
          <cell r="AK226" t="str">
            <v>名 称</v>
          </cell>
          <cell r="AL226">
            <v>0</v>
          </cell>
        </row>
        <row r="227">
          <cell r="E227">
            <v>0</v>
          </cell>
          <cell r="F227">
            <v>0</v>
          </cell>
          <cell r="G227">
            <v>0</v>
          </cell>
          <cell r="H227">
            <v>0</v>
          </cell>
          <cell r="I227">
            <v>2</v>
          </cell>
          <cell r="J227">
            <v>0</v>
          </cell>
          <cell r="K227" t="str">
            <v>1φ3W</v>
          </cell>
          <cell r="L227">
            <v>0</v>
          </cell>
          <cell r="M227">
            <v>0</v>
          </cell>
          <cell r="N227">
            <v>0</v>
          </cell>
          <cell r="O227">
            <v>0</v>
          </cell>
          <cell r="P227">
            <v>15.347999999999999</v>
          </cell>
          <cell r="Q227">
            <v>0</v>
          </cell>
          <cell r="R227">
            <v>0</v>
          </cell>
          <cell r="S227">
            <v>0</v>
          </cell>
          <cell r="T227">
            <v>3.3334001318430517</v>
          </cell>
          <cell r="U227">
            <v>0</v>
          </cell>
          <cell r="V227">
            <v>0</v>
          </cell>
          <cell r="W227">
            <v>0</v>
          </cell>
          <cell r="X227">
            <v>13.8132</v>
          </cell>
          <cell r="Y227">
            <v>0</v>
          </cell>
          <cell r="Z227">
            <v>0</v>
          </cell>
          <cell r="AA227">
            <v>0</v>
          </cell>
          <cell r="AB227">
            <v>3.0000601186587468</v>
          </cell>
          <cell r="AC227">
            <v>0</v>
          </cell>
          <cell r="AD227">
            <v>0</v>
          </cell>
          <cell r="AE227">
            <v>0</v>
          </cell>
          <cell r="AF227">
            <v>74.789600638695035</v>
          </cell>
          <cell r="AG227">
            <v>0</v>
          </cell>
          <cell r="AH227">
            <v>0</v>
          </cell>
          <cell r="AI227">
            <v>0</v>
          </cell>
          <cell r="AJ227">
            <v>0</v>
          </cell>
          <cell r="AK227" t="str">
            <v>CVT</v>
          </cell>
          <cell r="AL227">
            <v>0</v>
          </cell>
        </row>
        <row r="228">
          <cell r="E228">
            <v>0</v>
          </cell>
          <cell r="F228">
            <v>0</v>
          </cell>
          <cell r="G228">
            <v>0</v>
          </cell>
          <cell r="H228">
            <v>0</v>
          </cell>
          <cell r="I228">
            <v>0</v>
          </cell>
          <cell r="J228">
            <v>0</v>
          </cell>
          <cell r="K228" t="str">
            <v>210/105V</v>
          </cell>
          <cell r="L228">
            <v>0</v>
          </cell>
          <cell r="M228">
            <v>0</v>
          </cell>
          <cell r="N228">
            <v>0</v>
          </cell>
          <cell r="O228">
            <v>0</v>
          </cell>
          <cell r="P228" t="str">
            <v>MCCB  225AF/125AT</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67.310640574825527</v>
          </cell>
          <cell r="AG228">
            <v>0</v>
          </cell>
          <cell r="AH228">
            <v>0</v>
          </cell>
          <cell r="AI228">
            <v>0</v>
          </cell>
          <cell r="AJ228">
            <v>0</v>
          </cell>
          <cell r="AK228" t="str">
            <v>基底温度</v>
          </cell>
          <cell r="AL228">
            <v>0</v>
          </cell>
        </row>
        <row r="229">
          <cell r="E229">
            <v>0</v>
          </cell>
          <cell r="F229">
            <v>0</v>
          </cell>
          <cell r="G229">
            <v>0</v>
          </cell>
          <cell r="H229">
            <v>0</v>
          </cell>
          <cell r="I229">
            <v>0</v>
          </cell>
          <cell r="J229">
            <v>0</v>
          </cell>
          <cell r="K229" t="str">
            <v/>
          </cell>
          <cell r="L229">
            <v>0</v>
          </cell>
          <cell r="M229">
            <v>0</v>
          </cell>
          <cell r="N229">
            <v>0</v>
          </cell>
          <cell r="O229">
            <v>0</v>
          </cell>
          <cell r="P229" t="str">
            <v/>
          </cell>
          <cell r="Q229">
            <v>0</v>
          </cell>
          <cell r="R229">
            <v>0</v>
          </cell>
          <cell r="S229">
            <v>0</v>
          </cell>
          <cell r="T229" t="str">
            <v/>
          </cell>
          <cell r="U229">
            <v>0</v>
          </cell>
          <cell r="V229">
            <v>0</v>
          </cell>
          <cell r="W229">
            <v>0</v>
          </cell>
          <cell r="X229" t="str">
            <v/>
          </cell>
          <cell r="Y229">
            <v>0</v>
          </cell>
          <cell r="Z229">
            <v>0</v>
          </cell>
          <cell r="AA229">
            <v>0</v>
          </cell>
          <cell r="AB229" t="str">
            <v/>
          </cell>
          <cell r="AC229">
            <v>0</v>
          </cell>
          <cell r="AD229">
            <v>0</v>
          </cell>
          <cell r="AE229">
            <v>0</v>
          </cell>
          <cell r="AF229" t="str">
            <v/>
          </cell>
          <cell r="AG229">
            <v>0</v>
          </cell>
          <cell r="AH229">
            <v>0</v>
          </cell>
          <cell r="AI229">
            <v>0</v>
          </cell>
          <cell r="AJ229">
            <v>0</v>
          </cell>
          <cell r="AK229" t="str">
            <v>CVT</v>
          </cell>
          <cell r="AL229">
            <v>0</v>
          </cell>
        </row>
        <row r="230">
          <cell r="E230">
            <v>0</v>
          </cell>
          <cell r="F230">
            <v>0</v>
          </cell>
          <cell r="G230">
            <v>0</v>
          </cell>
          <cell r="H230">
            <v>0</v>
          </cell>
          <cell r="I230">
            <v>0</v>
          </cell>
          <cell r="J230">
            <v>0</v>
          </cell>
          <cell r="K230" t="str">
            <v/>
          </cell>
          <cell r="L230">
            <v>0</v>
          </cell>
          <cell r="M230">
            <v>0</v>
          </cell>
          <cell r="N230">
            <v>0</v>
          </cell>
          <cell r="O230">
            <v>0</v>
          </cell>
          <cell r="P230" t="str">
            <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t="str">
            <v/>
          </cell>
          <cell r="AG230">
            <v>0</v>
          </cell>
          <cell r="AH230">
            <v>0</v>
          </cell>
          <cell r="AI230">
            <v>0</v>
          </cell>
          <cell r="AJ230">
            <v>0</v>
          </cell>
          <cell r="AK230" t="str">
            <v>基底温度</v>
          </cell>
          <cell r="AL230">
            <v>0</v>
          </cell>
        </row>
        <row r="231">
          <cell r="E231">
            <v>0</v>
          </cell>
          <cell r="F231">
            <v>0</v>
          </cell>
          <cell r="G231">
            <v>0</v>
          </cell>
          <cell r="H231">
            <v>0</v>
          </cell>
          <cell r="I231">
            <v>3</v>
          </cell>
          <cell r="J231">
            <v>0</v>
          </cell>
          <cell r="K231" t="str">
            <v>1φ3W</v>
          </cell>
          <cell r="L231">
            <v>0</v>
          </cell>
          <cell r="M231">
            <v>0</v>
          </cell>
          <cell r="N231">
            <v>0</v>
          </cell>
          <cell r="O231">
            <v>0</v>
          </cell>
          <cell r="P231">
            <v>12.739200000000002</v>
          </cell>
          <cell r="Q231">
            <v>0</v>
          </cell>
          <cell r="R231">
            <v>0</v>
          </cell>
          <cell r="S231">
            <v>0</v>
          </cell>
          <cell r="T231">
            <v>10.133360052737222</v>
          </cell>
          <cell r="U231">
            <v>0</v>
          </cell>
          <cell r="V231">
            <v>0</v>
          </cell>
          <cell r="W231">
            <v>0</v>
          </cell>
          <cell r="X231">
            <v>7.5052800000000017</v>
          </cell>
          <cell r="Y231">
            <v>0</v>
          </cell>
          <cell r="Z231">
            <v>0</v>
          </cell>
          <cell r="AA231">
            <v>0</v>
          </cell>
          <cell r="AB231">
            <v>3.840024047463499</v>
          </cell>
          <cell r="AC231">
            <v>0</v>
          </cell>
          <cell r="AD231">
            <v>0</v>
          </cell>
          <cell r="AE231">
            <v>0</v>
          </cell>
          <cell r="AF231">
            <v>77.51412753955195</v>
          </cell>
          <cell r="AG231">
            <v>0</v>
          </cell>
          <cell r="AH231">
            <v>0</v>
          </cell>
          <cell r="AI231">
            <v>0</v>
          </cell>
          <cell r="AJ231">
            <v>0</v>
          </cell>
          <cell r="AK231" t="str">
            <v>CVT</v>
          </cell>
          <cell r="AL231">
            <v>0</v>
          </cell>
        </row>
        <row r="232">
          <cell r="E232">
            <v>0</v>
          </cell>
          <cell r="F232">
            <v>0</v>
          </cell>
          <cell r="G232">
            <v>0</v>
          </cell>
          <cell r="H232">
            <v>0</v>
          </cell>
          <cell r="I232">
            <v>0</v>
          </cell>
          <cell r="J232">
            <v>0</v>
          </cell>
          <cell r="K232" t="str">
            <v>210/105V</v>
          </cell>
          <cell r="L232">
            <v>0</v>
          </cell>
          <cell r="M232">
            <v>0</v>
          </cell>
          <cell r="N232">
            <v>0</v>
          </cell>
          <cell r="O232">
            <v>0</v>
          </cell>
          <cell r="P232" t="str">
            <v>MCCB  225AF/125AT</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40.145713213514128</v>
          </cell>
          <cell r="AG232">
            <v>0</v>
          </cell>
          <cell r="AH232">
            <v>0</v>
          </cell>
          <cell r="AI232">
            <v>0</v>
          </cell>
          <cell r="AJ232">
            <v>0</v>
          </cell>
          <cell r="AK232" t="str">
            <v>基底温度</v>
          </cell>
          <cell r="AL232">
            <v>0</v>
          </cell>
        </row>
        <row r="233">
          <cell r="E233">
            <v>0</v>
          </cell>
          <cell r="F233">
            <v>0</v>
          </cell>
          <cell r="G233">
            <v>0</v>
          </cell>
          <cell r="H233">
            <v>0</v>
          </cell>
          <cell r="I233">
            <v>0</v>
          </cell>
          <cell r="J233">
            <v>0</v>
          </cell>
          <cell r="K233" t="str">
            <v>3φ3W</v>
          </cell>
          <cell r="L233">
            <v>0</v>
          </cell>
          <cell r="M233">
            <v>0</v>
          </cell>
          <cell r="N233">
            <v>0</v>
          </cell>
          <cell r="O233">
            <v>0</v>
          </cell>
          <cell r="P233">
            <v>44.28788792998629</v>
          </cell>
          <cell r="Q233">
            <v>0</v>
          </cell>
          <cell r="R233">
            <v>0</v>
          </cell>
          <cell r="S233">
            <v>0</v>
          </cell>
          <cell r="T233">
            <v>34.642795700809735</v>
          </cell>
          <cell r="U233">
            <v>0</v>
          </cell>
          <cell r="V233">
            <v>0</v>
          </cell>
          <cell r="W233">
            <v>0</v>
          </cell>
          <cell r="X233">
            <v>39.784099136987663</v>
          </cell>
          <cell r="Y233">
            <v>0</v>
          </cell>
          <cell r="Z233">
            <v>0</v>
          </cell>
          <cell r="AA233">
            <v>0</v>
          </cell>
          <cell r="AB233">
            <v>39.867067863205584</v>
          </cell>
          <cell r="AC233">
            <v>0</v>
          </cell>
          <cell r="AD233">
            <v>0</v>
          </cell>
          <cell r="AE233">
            <v>0</v>
          </cell>
          <cell r="AF233">
            <v>154.58574372746097</v>
          </cell>
          <cell r="AG233">
            <v>0</v>
          </cell>
          <cell r="AH233">
            <v>0</v>
          </cell>
          <cell r="AI233">
            <v>0</v>
          </cell>
          <cell r="AJ233">
            <v>0</v>
          </cell>
          <cell r="AK233" t="str">
            <v>CVT</v>
          </cell>
          <cell r="AL233">
            <v>0</v>
          </cell>
        </row>
        <row r="234">
          <cell r="E234">
            <v>0</v>
          </cell>
          <cell r="F234">
            <v>0</v>
          </cell>
          <cell r="G234">
            <v>0</v>
          </cell>
          <cell r="H234">
            <v>0</v>
          </cell>
          <cell r="I234">
            <v>0</v>
          </cell>
          <cell r="J234">
            <v>0</v>
          </cell>
          <cell r="K234" t="str">
            <v>210V</v>
          </cell>
          <cell r="L234">
            <v>0</v>
          </cell>
          <cell r="M234">
            <v>0</v>
          </cell>
          <cell r="N234">
            <v>0</v>
          </cell>
          <cell r="O234">
            <v>0</v>
          </cell>
          <cell r="P234" t="str">
            <v>MCCB  225AF/175AT</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154.84509715521858</v>
          </cell>
          <cell r="AG234">
            <v>0</v>
          </cell>
          <cell r="AH234">
            <v>0</v>
          </cell>
          <cell r="AI234">
            <v>0</v>
          </cell>
          <cell r="AJ234">
            <v>0</v>
          </cell>
          <cell r="AK234" t="str">
            <v>基底温度</v>
          </cell>
          <cell r="AL234">
            <v>0</v>
          </cell>
        </row>
        <row r="235">
          <cell r="E235">
            <v>0</v>
          </cell>
          <cell r="F235">
            <v>0</v>
          </cell>
          <cell r="G235">
            <v>0</v>
          </cell>
          <cell r="H235">
            <v>0</v>
          </cell>
          <cell r="I235">
            <v>1</v>
          </cell>
          <cell r="J235">
            <v>0</v>
          </cell>
          <cell r="K235" t="str">
            <v>3φ3W</v>
          </cell>
          <cell r="L235">
            <v>0</v>
          </cell>
          <cell r="M235">
            <v>0</v>
          </cell>
          <cell r="N235">
            <v>0</v>
          </cell>
          <cell r="O235">
            <v>0</v>
          </cell>
          <cell r="P235">
            <v>36.70073061999085</v>
          </cell>
          <cell r="Q235">
            <v>0</v>
          </cell>
          <cell r="R235">
            <v>0</v>
          </cell>
          <cell r="S235">
            <v>0</v>
          </cell>
          <cell r="T235">
            <v>31.262902086960466</v>
          </cell>
          <cell r="U235">
            <v>0</v>
          </cell>
          <cell r="V235">
            <v>0</v>
          </cell>
          <cell r="W235">
            <v>0</v>
          </cell>
          <cell r="X235">
            <v>31.868110357991768</v>
          </cell>
          <cell r="Y235">
            <v>0</v>
          </cell>
          <cell r="Z235">
            <v>0</v>
          </cell>
          <cell r="AA235">
            <v>0</v>
          </cell>
          <cell r="AB235">
            <v>32.651525629684379</v>
          </cell>
          <cell r="AC235">
            <v>0</v>
          </cell>
          <cell r="AD235">
            <v>0</v>
          </cell>
          <cell r="AE235">
            <v>0</v>
          </cell>
          <cell r="AF235">
            <v>132.54622191661647</v>
          </cell>
          <cell r="AG235">
            <v>0</v>
          </cell>
          <cell r="AH235">
            <v>0</v>
          </cell>
          <cell r="AI235">
            <v>0</v>
          </cell>
          <cell r="AJ235">
            <v>0</v>
          </cell>
          <cell r="AK235" t="str">
            <v>CVT</v>
          </cell>
          <cell r="AL235">
            <v>0</v>
          </cell>
        </row>
        <row r="236">
          <cell r="E236">
            <v>0</v>
          </cell>
          <cell r="F236">
            <v>0</v>
          </cell>
          <cell r="G236">
            <v>0</v>
          </cell>
          <cell r="H236">
            <v>0</v>
          </cell>
          <cell r="I236">
            <v>0</v>
          </cell>
          <cell r="J236">
            <v>0</v>
          </cell>
          <cell r="K236" t="str">
            <v>210V</v>
          </cell>
          <cell r="L236">
            <v>0</v>
          </cell>
          <cell r="M236">
            <v>0</v>
          </cell>
          <cell r="N236">
            <v>0</v>
          </cell>
          <cell r="O236">
            <v>0</v>
          </cell>
          <cell r="P236" t="str">
            <v>MCCB  225AF/150AT</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125.43796543551215</v>
          </cell>
          <cell r="AG236">
            <v>0</v>
          </cell>
          <cell r="AH236">
            <v>0</v>
          </cell>
          <cell r="AI236">
            <v>0</v>
          </cell>
          <cell r="AJ236">
            <v>0</v>
          </cell>
          <cell r="AK236" t="str">
            <v>基底温度</v>
          </cell>
          <cell r="AL236">
            <v>0</v>
          </cell>
        </row>
        <row r="237">
          <cell r="E237">
            <v>0</v>
          </cell>
          <cell r="F237">
            <v>0</v>
          </cell>
          <cell r="G237">
            <v>0</v>
          </cell>
          <cell r="H237">
            <v>0</v>
          </cell>
          <cell r="I237">
            <v>0</v>
          </cell>
          <cell r="J237">
            <v>0</v>
          </cell>
          <cell r="K237">
            <v>0</v>
          </cell>
          <cell r="L237">
            <v>0</v>
          </cell>
          <cell r="M237">
            <v>0</v>
          </cell>
          <cell r="N237">
            <v>0</v>
          </cell>
          <cell r="O237">
            <v>0</v>
          </cell>
          <cell r="P237" t="str">
            <v/>
          </cell>
          <cell r="Q237">
            <v>0</v>
          </cell>
          <cell r="R237">
            <v>0</v>
          </cell>
          <cell r="S237">
            <v>0</v>
          </cell>
          <cell r="T237" t="str">
            <v/>
          </cell>
          <cell r="U237">
            <v>0</v>
          </cell>
          <cell r="V237">
            <v>0</v>
          </cell>
          <cell r="W237">
            <v>0</v>
          </cell>
          <cell r="X237" t="str">
            <v/>
          </cell>
          <cell r="Y237">
            <v>0</v>
          </cell>
          <cell r="Z237">
            <v>0</v>
          </cell>
          <cell r="AA237">
            <v>0</v>
          </cell>
          <cell r="AB237" t="str">
            <v/>
          </cell>
          <cell r="AC237">
            <v>0</v>
          </cell>
          <cell r="AD237">
            <v>0</v>
          </cell>
          <cell r="AE237">
            <v>0</v>
          </cell>
          <cell r="AF237" t="str">
            <v/>
          </cell>
          <cell r="AG237">
            <v>0</v>
          </cell>
          <cell r="AH237">
            <v>0</v>
          </cell>
          <cell r="AI237">
            <v>0</v>
          </cell>
          <cell r="AJ237">
            <v>0</v>
          </cell>
          <cell r="AK237" t="str">
            <v>CVT</v>
          </cell>
          <cell r="AL237">
            <v>0</v>
          </cell>
        </row>
        <row r="238">
          <cell r="E238">
            <v>0</v>
          </cell>
          <cell r="F238">
            <v>0</v>
          </cell>
          <cell r="G238">
            <v>0</v>
          </cell>
          <cell r="H238">
            <v>0</v>
          </cell>
          <cell r="I238">
            <v>0</v>
          </cell>
          <cell r="J238">
            <v>0</v>
          </cell>
          <cell r="K238">
            <v>0</v>
          </cell>
          <cell r="L238">
            <v>0</v>
          </cell>
          <cell r="M238">
            <v>0</v>
          </cell>
          <cell r="N238">
            <v>0</v>
          </cell>
          <cell r="O238">
            <v>0</v>
          </cell>
          <cell r="P238" t="str">
            <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t="str">
            <v/>
          </cell>
          <cell r="AG238">
            <v>0</v>
          </cell>
          <cell r="AH238">
            <v>0</v>
          </cell>
          <cell r="AI238">
            <v>0</v>
          </cell>
          <cell r="AJ238">
            <v>0</v>
          </cell>
          <cell r="AK238" t="str">
            <v>基底温度</v>
          </cell>
          <cell r="AL238">
            <v>0</v>
          </cell>
        </row>
        <row r="239">
          <cell r="E239">
            <v>0</v>
          </cell>
          <cell r="F239" t="str">
            <v>ケーブル配線工事</v>
          </cell>
          <cell r="G239">
            <v>0</v>
          </cell>
          <cell r="H239">
            <v>0</v>
          </cell>
          <cell r="I239">
            <v>0</v>
          </cell>
          <cell r="J239">
            <v>0</v>
          </cell>
          <cell r="K239">
            <v>0</v>
          </cell>
          <cell r="L239">
            <v>0</v>
          </cell>
          <cell r="M239">
            <v>0</v>
          </cell>
          <cell r="N239" t="str">
            <v>▼</v>
          </cell>
          <cell r="O239">
            <v>0</v>
          </cell>
          <cell r="P239">
            <v>0</v>
          </cell>
          <cell r="Q239">
            <v>0</v>
          </cell>
          <cell r="R239">
            <v>0</v>
          </cell>
          <cell r="S239">
            <v>0</v>
          </cell>
          <cell r="T239">
            <v>0</v>
          </cell>
          <cell r="U239">
            <v>0</v>
          </cell>
          <cell r="V239" t="str">
            <v>配管</v>
          </cell>
          <cell r="W239">
            <v>0</v>
          </cell>
          <cell r="X239">
            <v>0</v>
          </cell>
          <cell r="Y239" t="str">
            <v>ケーブルラック工事(1段)</v>
          </cell>
          <cell r="Z239">
            <v>0</v>
          </cell>
          <cell r="AA239">
            <v>0</v>
          </cell>
          <cell r="AB239">
            <v>0</v>
          </cell>
          <cell r="AC239">
            <v>0</v>
          </cell>
          <cell r="AD239">
            <v>0</v>
          </cell>
          <cell r="AE239">
            <v>0</v>
          </cell>
          <cell r="AF239">
            <v>0</v>
          </cell>
          <cell r="AG239">
            <v>0</v>
          </cell>
          <cell r="AH239" t="str">
            <v>▼</v>
          </cell>
          <cell r="AI239">
            <v>0</v>
          </cell>
          <cell r="AJ239">
            <v>0</v>
          </cell>
          <cell r="AK239">
            <v>0</v>
          </cell>
          <cell r="AL239">
            <v>0</v>
          </cell>
        </row>
        <row r="240">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row>
        <row r="241">
          <cell r="E241">
            <v>0</v>
          </cell>
          <cell r="F241">
            <v>0</v>
          </cell>
          <cell r="G241" t="str">
            <v>前各項以外</v>
          </cell>
          <cell r="H241">
            <v>0</v>
          </cell>
          <cell r="I241">
            <v>0</v>
          </cell>
          <cell r="J241">
            <v>0</v>
          </cell>
          <cell r="K241">
            <v>0</v>
          </cell>
          <cell r="L241">
            <v>0</v>
          </cell>
          <cell r="M241">
            <v>0</v>
          </cell>
          <cell r="N241">
            <v>0</v>
          </cell>
          <cell r="O241">
            <v>0</v>
          </cell>
          <cell r="P241" t="str">
            <v>設備容量／面</v>
          </cell>
          <cell r="Q241">
            <v>0</v>
          </cell>
          <cell r="R241">
            <v>0</v>
          </cell>
          <cell r="S241">
            <v>0</v>
          </cell>
          <cell r="T241">
            <v>0</v>
          </cell>
          <cell r="U241">
            <v>0</v>
          </cell>
          <cell r="V241">
            <v>0</v>
          </cell>
          <cell r="W241">
            <v>0</v>
          </cell>
          <cell r="X241" t="str">
            <v>需要容量／面</v>
          </cell>
          <cell r="Y241">
            <v>0</v>
          </cell>
          <cell r="Z241">
            <v>0</v>
          </cell>
          <cell r="AA241">
            <v>0</v>
          </cell>
          <cell r="AB241">
            <v>0</v>
          </cell>
          <cell r="AC241">
            <v>0</v>
          </cell>
          <cell r="AD241">
            <v>0</v>
          </cell>
          <cell r="AE241">
            <v>0</v>
          </cell>
          <cell r="AF241" t="str">
            <v>電流 [A]</v>
          </cell>
          <cell r="AG241">
            <v>0</v>
          </cell>
          <cell r="AH241">
            <v>0</v>
          </cell>
          <cell r="AI241">
            <v>0</v>
          </cell>
          <cell r="AJ241">
            <v>0</v>
          </cell>
          <cell r="AK241" t="str">
            <v>配　線　材　料　／面</v>
          </cell>
          <cell r="AL241">
            <v>0</v>
          </cell>
        </row>
        <row r="242">
          <cell r="E242">
            <v>0</v>
          </cell>
          <cell r="F242">
            <v>0</v>
          </cell>
          <cell r="G242">
            <v>0</v>
          </cell>
          <cell r="H242">
            <v>0</v>
          </cell>
          <cell r="I242" t="str">
            <v>面</v>
          </cell>
          <cell r="J242">
            <v>0</v>
          </cell>
          <cell r="K242" t="str">
            <v>電気方式</v>
          </cell>
          <cell r="L242">
            <v>0</v>
          </cell>
          <cell r="M242">
            <v>0</v>
          </cell>
          <cell r="N242">
            <v>0</v>
          </cell>
          <cell r="O242">
            <v>0</v>
          </cell>
          <cell r="P242" t="str">
            <v>KW</v>
          </cell>
          <cell r="Q242">
            <v>0</v>
          </cell>
          <cell r="R242">
            <v>0</v>
          </cell>
          <cell r="S242">
            <v>0</v>
          </cell>
          <cell r="T242" t="str">
            <v>KVar</v>
          </cell>
          <cell r="U242">
            <v>0</v>
          </cell>
          <cell r="V242">
            <v>0</v>
          </cell>
          <cell r="W242">
            <v>0</v>
          </cell>
          <cell r="X242" t="str">
            <v>DmKW</v>
          </cell>
          <cell r="Y242">
            <v>0</v>
          </cell>
          <cell r="Z242">
            <v>0</v>
          </cell>
          <cell r="AA242">
            <v>0</v>
          </cell>
          <cell r="AB242" t="str">
            <v>DmKVar</v>
          </cell>
          <cell r="AC242">
            <v>0</v>
          </cell>
          <cell r="AD242">
            <v>0</v>
          </cell>
          <cell r="AE242">
            <v>0</v>
          </cell>
          <cell r="AF242" t="str">
            <v>設備/需要</v>
          </cell>
          <cell r="AG242">
            <v>0</v>
          </cell>
          <cell r="AH242">
            <v>0</v>
          </cell>
          <cell r="AI242">
            <v>0</v>
          </cell>
          <cell r="AJ242">
            <v>0</v>
          </cell>
          <cell r="AK242" t="str">
            <v>名 称</v>
          </cell>
          <cell r="AL242">
            <v>0</v>
          </cell>
        </row>
        <row r="243">
          <cell r="E243">
            <v>0</v>
          </cell>
          <cell r="F243">
            <v>0</v>
          </cell>
          <cell r="G243">
            <v>0</v>
          </cell>
          <cell r="H243">
            <v>0</v>
          </cell>
          <cell r="I243">
            <v>1</v>
          </cell>
          <cell r="J243">
            <v>0</v>
          </cell>
          <cell r="K243" t="str">
            <v>1φ3W</v>
          </cell>
          <cell r="L243">
            <v>0</v>
          </cell>
          <cell r="M243">
            <v>0</v>
          </cell>
          <cell r="N243">
            <v>0</v>
          </cell>
          <cell r="O243">
            <v>0</v>
          </cell>
          <cell r="P243">
            <v>1.3679999999999999</v>
          </cell>
          <cell r="Q243">
            <v>0</v>
          </cell>
          <cell r="R243">
            <v>0</v>
          </cell>
          <cell r="S243">
            <v>0</v>
          </cell>
          <cell r="T243">
            <v>0.28126467261231886</v>
          </cell>
          <cell r="U243">
            <v>0</v>
          </cell>
          <cell r="V243">
            <v>0</v>
          </cell>
          <cell r="W243">
            <v>0</v>
          </cell>
          <cell r="X243">
            <v>1.2311999999999999</v>
          </cell>
          <cell r="Y243">
            <v>0</v>
          </cell>
          <cell r="Z243">
            <v>0</v>
          </cell>
          <cell r="AA243">
            <v>0</v>
          </cell>
          <cell r="AB243">
            <v>0.253138205351087</v>
          </cell>
          <cell r="AC243">
            <v>0</v>
          </cell>
          <cell r="AD243">
            <v>0</v>
          </cell>
          <cell r="AE243">
            <v>0</v>
          </cell>
          <cell r="AF243">
            <v>6.6505482290850146</v>
          </cell>
          <cell r="AG243">
            <v>0</v>
          </cell>
          <cell r="AH243">
            <v>0</v>
          </cell>
          <cell r="AI243">
            <v>0</v>
          </cell>
          <cell r="AJ243">
            <v>0</v>
          </cell>
          <cell r="AK243" t="str">
            <v>CVT</v>
          </cell>
          <cell r="AL243">
            <v>0</v>
          </cell>
        </row>
        <row r="244">
          <cell r="E244">
            <v>0</v>
          </cell>
          <cell r="F244">
            <v>0</v>
          </cell>
          <cell r="G244">
            <v>0</v>
          </cell>
          <cell r="H244">
            <v>0</v>
          </cell>
          <cell r="I244">
            <v>0</v>
          </cell>
          <cell r="J244">
            <v>0</v>
          </cell>
          <cell r="K244" t="str">
            <v>210/105V</v>
          </cell>
          <cell r="L244">
            <v>0</v>
          </cell>
          <cell r="M244">
            <v>0</v>
          </cell>
          <cell r="N244">
            <v>0</v>
          </cell>
          <cell r="O244">
            <v>0</v>
          </cell>
          <cell r="P244" t="str">
            <v>MCCB  50AF/30AT</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5.9854934061765128</v>
          </cell>
          <cell r="AG244">
            <v>0</v>
          </cell>
          <cell r="AH244">
            <v>0</v>
          </cell>
          <cell r="AI244">
            <v>0</v>
          </cell>
          <cell r="AJ244">
            <v>0</v>
          </cell>
          <cell r="AK244" t="str">
            <v>基底温度</v>
          </cell>
          <cell r="AL244">
            <v>0</v>
          </cell>
        </row>
        <row r="245">
          <cell r="E245">
            <v>0</v>
          </cell>
          <cell r="F245">
            <v>0</v>
          </cell>
          <cell r="G245">
            <v>0</v>
          </cell>
          <cell r="H245">
            <v>0</v>
          </cell>
          <cell r="I245">
            <v>0</v>
          </cell>
          <cell r="J245">
            <v>0</v>
          </cell>
          <cell r="K245" t="str">
            <v/>
          </cell>
          <cell r="L245">
            <v>0</v>
          </cell>
          <cell r="M245">
            <v>0</v>
          </cell>
          <cell r="N245">
            <v>0</v>
          </cell>
          <cell r="O245">
            <v>0</v>
          </cell>
          <cell r="P245" t="str">
            <v/>
          </cell>
          <cell r="Q245">
            <v>0</v>
          </cell>
          <cell r="R245">
            <v>0</v>
          </cell>
          <cell r="S245">
            <v>0</v>
          </cell>
          <cell r="T245" t="str">
            <v/>
          </cell>
          <cell r="U245">
            <v>0</v>
          </cell>
          <cell r="V245">
            <v>0</v>
          </cell>
          <cell r="W245">
            <v>0</v>
          </cell>
          <cell r="X245" t="str">
            <v/>
          </cell>
          <cell r="Y245">
            <v>0</v>
          </cell>
          <cell r="Z245">
            <v>0</v>
          </cell>
          <cell r="AA245">
            <v>0</v>
          </cell>
          <cell r="AB245" t="str">
            <v/>
          </cell>
          <cell r="AC245">
            <v>0</v>
          </cell>
          <cell r="AD245">
            <v>0</v>
          </cell>
          <cell r="AE245">
            <v>0</v>
          </cell>
          <cell r="AF245" t="str">
            <v/>
          </cell>
          <cell r="AG245">
            <v>0</v>
          </cell>
          <cell r="AH245">
            <v>0</v>
          </cell>
          <cell r="AI245">
            <v>0</v>
          </cell>
          <cell r="AJ245">
            <v>0</v>
          </cell>
          <cell r="AK245" t="str">
            <v>CVT</v>
          </cell>
          <cell r="AL245">
            <v>0</v>
          </cell>
        </row>
        <row r="246">
          <cell r="E246">
            <v>0</v>
          </cell>
          <cell r="F246">
            <v>0</v>
          </cell>
          <cell r="G246">
            <v>0</v>
          </cell>
          <cell r="H246">
            <v>0</v>
          </cell>
          <cell r="I246">
            <v>0</v>
          </cell>
          <cell r="J246">
            <v>0</v>
          </cell>
          <cell r="K246" t="str">
            <v/>
          </cell>
          <cell r="L246">
            <v>0</v>
          </cell>
          <cell r="M246">
            <v>0</v>
          </cell>
          <cell r="N246">
            <v>0</v>
          </cell>
          <cell r="O246">
            <v>0</v>
          </cell>
          <cell r="P246" t="str">
            <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t="str">
            <v/>
          </cell>
          <cell r="AG246">
            <v>0</v>
          </cell>
          <cell r="AH246">
            <v>0</v>
          </cell>
          <cell r="AI246">
            <v>0</v>
          </cell>
          <cell r="AJ246">
            <v>0</v>
          </cell>
          <cell r="AK246" t="str">
            <v>基底温度</v>
          </cell>
          <cell r="AL246">
            <v>0</v>
          </cell>
        </row>
        <row r="247">
          <cell r="E247">
            <v>0</v>
          </cell>
          <cell r="F247">
            <v>0</v>
          </cell>
          <cell r="G247">
            <v>0</v>
          </cell>
          <cell r="H247">
            <v>0</v>
          </cell>
          <cell r="I247" t="str">
            <v/>
          </cell>
          <cell r="J247">
            <v>0</v>
          </cell>
          <cell r="K247" t="str">
            <v/>
          </cell>
          <cell r="L247">
            <v>0</v>
          </cell>
          <cell r="M247">
            <v>0</v>
          </cell>
          <cell r="N247">
            <v>0</v>
          </cell>
          <cell r="O247">
            <v>0</v>
          </cell>
          <cell r="P247" t="str">
            <v/>
          </cell>
          <cell r="Q247">
            <v>0</v>
          </cell>
          <cell r="R247">
            <v>0</v>
          </cell>
          <cell r="S247">
            <v>0</v>
          </cell>
          <cell r="T247" t="str">
            <v/>
          </cell>
          <cell r="U247">
            <v>0</v>
          </cell>
          <cell r="V247">
            <v>0</v>
          </cell>
          <cell r="W247">
            <v>0</v>
          </cell>
          <cell r="X247" t="str">
            <v/>
          </cell>
          <cell r="Y247">
            <v>0</v>
          </cell>
          <cell r="Z247">
            <v>0</v>
          </cell>
          <cell r="AA247">
            <v>0</v>
          </cell>
          <cell r="AB247" t="str">
            <v/>
          </cell>
          <cell r="AC247">
            <v>0</v>
          </cell>
          <cell r="AD247">
            <v>0</v>
          </cell>
          <cell r="AE247">
            <v>0</v>
          </cell>
          <cell r="AF247" t="str">
            <v/>
          </cell>
          <cell r="AG247">
            <v>0</v>
          </cell>
          <cell r="AH247">
            <v>0</v>
          </cell>
          <cell r="AI247">
            <v>0</v>
          </cell>
          <cell r="AJ247">
            <v>0</v>
          </cell>
          <cell r="AK247" t="str">
            <v>CVT</v>
          </cell>
          <cell r="AL247">
            <v>0</v>
          </cell>
        </row>
        <row r="248">
          <cell r="E248">
            <v>0</v>
          </cell>
          <cell r="F248">
            <v>0</v>
          </cell>
          <cell r="G248">
            <v>0</v>
          </cell>
          <cell r="H248">
            <v>0</v>
          </cell>
          <cell r="I248">
            <v>0</v>
          </cell>
          <cell r="J248">
            <v>0</v>
          </cell>
          <cell r="K248" t="str">
            <v/>
          </cell>
          <cell r="L248">
            <v>0</v>
          </cell>
          <cell r="M248">
            <v>0</v>
          </cell>
          <cell r="N248">
            <v>0</v>
          </cell>
          <cell r="O248">
            <v>0</v>
          </cell>
          <cell r="P248" t="str">
            <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t="str">
            <v/>
          </cell>
          <cell r="AG248">
            <v>0</v>
          </cell>
          <cell r="AH248">
            <v>0</v>
          </cell>
          <cell r="AI248">
            <v>0</v>
          </cell>
          <cell r="AJ248">
            <v>0</v>
          </cell>
          <cell r="AK248" t="str">
            <v>基底温度</v>
          </cell>
          <cell r="AL248">
            <v>0</v>
          </cell>
        </row>
        <row r="249">
          <cell r="E249">
            <v>0</v>
          </cell>
          <cell r="F249">
            <v>0</v>
          </cell>
          <cell r="G249">
            <v>0</v>
          </cell>
          <cell r="H249">
            <v>0</v>
          </cell>
          <cell r="I249">
            <v>0</v>
          </cell>
          <cell r="J249">
            <v>0</v>
          </cell>
          <cell r="K249" t="str">
            <v/>
          </cell>
          <cell r="L249">
            <v>0</v>
          </cell>
          <cell r="M249">
            <v>0</v>
          </cell>
          <cell r="N249">
            <v>0</v>
          </cell>
          <cell r="O249">
            <v>0</v>
          </cell>
          <cell r="P249" t="str">
            <v/>
          </cell>
          <cell r="Q249">
            <v>0</v>
          </cell>
          <cell r="R249">
            <v>0</v>
          </cell>
          <cell r="S249">
            <v>0</v>
          </cell>
          <cell r="T249" t="str">
            <v/>
          </cell>
          <cell r="U249">
            <v>0</v>
          </cell>
          <cell r="V249">
            <v>0</v>
          </cell>
          <cell r="W249">
            <v>0</v>
          </cell>
          <cell r="X249" t="str">
            <v/>
          </cell>
          <cell r="Y249">
            <v>0</v>
          </cell>
          <cell r="Z249">
            <v>0</v>
          </cell>
          <cell r="AA249">
            <v>0</v>
          </cell>
          <cell r="AB249" t="str">
            <v/>
          </cell>
          <cell r="AC249">
            <v>0</v>
          </cell>
          <cell r="AD249">
            <v>0</v>
          </cell>
          <cell r="AE249">
            <v>0</v>
          </cell>
          <cell r="AF249" t="str">
            <v/>
          </cell>
          <cell r="AG249">
            <v>0</v>
          </cell>
          <cell r="AH249">
            <v>0</v>
          </cell>
          <cell r="AI249">
            <v>0</v>
          </cell>
          <cell r="AJ249">
            <v>0</v>
          </cell>
          <cell r="AK249" t="str">
            <v>CVT</v>
          </cell>
          <cell r="AL249">
            <v>0</v>
          </cell>
        </row>
        <row r="250">
          <cell r="E250">
            <v>0</v>
          </cell>
          <cell r="F250">
            <v>0</v>
          </cell>
          <cell r="G250">
            <v>0</v>
          </cell>
          <cell r="H250">
            <v>0</v>
          </cell>
          <cell r="I250">
            <v>0</v>
          </cell>
          <cell r="J250">
            <v>0</v>
          </cell>
          <cell r="K250" t="str">
            <v/>
          </cell>
          <cell r="L250">
            <v>0</v>
          </cell>
          <cell r="M250">
            <v>0</v>
          </cell>
          <cell r="N250">
            <v>0</v>
          </cell>
          <cell r="O250">
            <v>0</v>
          </cell>
          <cell r="P250" t="str">
            <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t="str">
            <v/>
          </cell>
          <cell r="AG250">
            <v>0</v>
          </cell>
          <cell r="AH250">
            <v>0</v>
          </cell>
          <cell r="AI250">
            <v>0</v>
          </cell>
          <cell r="AJ250">
            <v>0</v>
          </cell>
          <cell r="AK250" t="str">
            <v>基底温度</v>
          </cell>
          <cell r="AL250">
            <v>0</v>
          </cell>
        </row>
        <row r="251">
          <cell r="E251">
            <v>0</v>
          </cell>
          <cell r="F251">
            <v>0</v>
          </cell>
          <cell r="G251">
            <v>0</v>
          </cell>
          <cell r="H251">
            <v>0</v>
          </cell>
          <cell r="I251">
            <v>1</v>
          </cell>
          <cell r="J251">
            <v>0</v>
          </cell>
          <cell r="K251" t="str">
            <v>3φ3W</v>
          </cell>
          <cell r="L251">
            <v>0</v>
          </cell>
          <cell r="M251">
            <v>0</v>
          </cell>
          <cell r="N251">
            <v>0</v>
          </cell>
          <cell r="O251">
            <v>0</v>
          </cell>
          <cell r="P251">
            <v>35.803649328693126</v>
          </cell>
          <cell r="Q251">
            <v>0</v>
          </cell>
          <cell r="R251">
            <v>0</v>
          </cell>
          <cell r="S251">
            <v>0</v>
          </cell>
          <cell r="T251">
            <v>28.586970848404139</v>
          </cell>
          <cell r="U251">
            <v>0</v>
          </cell>
          <cell r="V251">
            <v>0</v>
          </cell>
          <cell r="W251">
            <v>0</v>
          </cell>
          <cell r="X251">
            <v>31.78232439582381</v>
          </cell>
          <cell r="Y251">
            <v>0</v>
          </cell>
          <cell r="Z251">
            <v>0</v>
          </cell>
          <cell r="AA251">
            <v>0</v>
          </cell>
          <cell r="AB251">
            <v>31.990808211064213</v>
          </cell>
          <cell r="AC251">
            <v>0</v>
          </cell>
          <cell r="AD251">
            <v>0</v>
          </cell>
          <cell r="AE251">
            <v>0</v>
          </cell>
          <cell r="AF251">
            <v>125.96164359794298</v>
          </cell>
          <cell r="AG251">
            <v>0</v>
          </cell>
          <cell r="AH251">
            <v>0</v>
          </cell>
          <cell r="AI251">
            <v>0</v>
          </cell>
          <cell r="AJ251">
            <v>0</v>
          </cell>
          <cell r="AK251" t="str">
            <v>CVT</v>
          </cell>
          <cell r="AL251">
            <v>0</v>
          </cell>
        </row>
        <row r="252">
          <cell r="E252">
            <v>0</v>
          </cell>
          <cell r="F252">
            <v>0</v>
          </cell>
          <cell r="G252">
            <v>0</v>
          </cell>
          <cell r="H252">
            <v>0</v>
          </cell>
          <cell r="I252">
            <v>0</v>
          </cell>
          <cell r="J252">
            <v>0</v>
          </cell>
          <cell r="K252" t="str">
            <v>210V</v>
          </cell>
          <cell r="L252">
            <v>0</v>
          </cell>
          <cell r="M252">
            <v>0</v>
          </cell>
          <cell r="N252">
            <v>0</v>
          </cell>
          <cell r="O252">
            <v>0</v>
          </cell>
          <cell r="P252" t="str">
            <v>MCCB  225AF/125AT</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123.9781499413337</v>
          </cell>
          <cell r="AG252">
            <v>0</v>
          </cell>
          <cell r="AH252">
            <v>0</v>
          </cell>
          <cell r="AI252">
            <v>0</v>
          </cell>
          <cell r="AJ252">
            <v>0</v>
          </cell>
          <cell r="AK252" t="str">
            <v>基底温度</v>
          </cell>
          <cell r="AL252">
            <v>0</v>
          </cell>
        </row>
        <row r="253">
          <cell r="E253">
            <v>0</v>
          </cell>
          <cell r="F253">
            <v>0</v>
          </cell>
          <cell r="G253">
            <v>0</v>
          </cell>
          <cell r="H253">
            <v>0</v>
          </cell>
          <cell r="I253">
            <v>0</v>
          </cell>
          <cell r="J253">
            <v>0</v>
          </cell>
          <cell r="K253">
            <v>0</v>
          </cell>
          <cell r="L253">
            <v>0</v>
          </cell>
          <cell r="M253">
            <v>0</v>
          </cell>
          <cell r="N253">
            <v>0</v>
          </cell>
          <cell r="O253">
            <v>0</v>
          </cell>
          <cell r="P253" t="str">
            <v/>
          </cell>
          <cell r="Q253">
            <v>0</v>
          </cell>
          <cell r="R253">
            <v>0</v>
          </cell>
          <cell r="S253">
            <v>0</v>
          </cell>
          <cell r="T253" t="str">
            <v/>
          </cell>
          <cell r="U253">
            <v>0</v>
          </cell>
          <cell r="V253">
            <v>0</v>
          </cell>
          <cell r="W253">
            <v>0</v>
          </cell>
          <cell r="X253" t="str">
            <v/>
          </cell>
          <cell r="Y253">
            <v>0</v>
          </cell>
          <cell r="Z253">
            <v>0</v>
          </cell>
          <cell r="AA253">
            <v>0</v>
          </cell>
          <cell r="AB253" t="str">
            <v/>
          </cell>
          <cell r="AC253">
            <v>0</v>
          </cell>
          <cell r="AD253">
            <v>0</v>
          </cell>
          <cell r="AE253">
            <v>0</v>
          </cell>
          <cell r="AF253" t="str">
            <v/>
          </cell>
          <cell r="AG253">
            <v>0</v>
          </cell>
          <cell r="AH253">
            <v>0</v>
          </cell>
          <cell r="AI253">
            <v>0</v>
          </cell>
          <cell r="AJ253">
            <v>0</v>
          </cell>
          <cell r="AK253" t="str">
            <v>CVT</v>
          </cell>
          <cell r="AL253">
            <v>0</v>
          </cell>
        </row>
        <row r="254">
          <cell r="E254">
            <v>0</v>
          </cell>
          <cell r="F254">
            <v>0</v>
          </cell>
          <cell r="G254">
            <v>0</v>
          </cell>
          <cell r="H254">
            <v>0</v>
          </cell>
          <cell r="I254">
            <v>0</v>
          </cell>
          <cell r="J254">
            <v>0</v>
          </cell>
          <cell r="K254">
            <v>0</v>
          </cell>
          <cell r="L254">
            <v>0</v>
          </cell>
          <cell r="M254">
            <v>0</v>
          </cell>
          <cell r="N254">
            <v>0</v>
          </cell>
          <cell r="O254">
            <v>0</v>
          </cell>
          <cell r="P254" t="str">
            <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t="str">
            <v/>
          </cell>
          <cell r="AG254">
            <v>0</v>
          </cell>
          <cell r="AH254">
            <v>0</v>
          </cell>
          <cell r="AI254">
            <v>0</v>
          </cell>
          <cell r="AJ254">
            <v>0</v>
          </cell>
          <cell r="AK254" t="str">
            <v>基底温度</v>
          </cell>
          <cell r="AL254">
            <v>0</v>
          </cell>
        </row>
        <row r="255">
          <cell r="E255">
            <v>0</v>
          </cell>
          <cell r="F255" t="str">
            <v>ケーブル配線工事</v>
          </cell>
          <cell r="G255">
            <v>0</v>
          </cell>
          <cell r="H255">
            <v>0</v>
          </cell>
          <cell r="I255">
            <v>0</v>
          </cell>
          <cell r="J255">
            <v>0</v>
          </cell>
          <cell r="K255">
            <v>0</v>
          </cell>
          <cell r="L255">
            <v>0</v>
          </cell>
          <cell r="M255">
            <v>0</v>
          </cell>
          <cell r="N255" t="str">
            <v>▼</v>
          </cell>
          <cell r="O255">
            <v>0</v>
          </cell>
          <cell r="P255">
            <v>0</v>
          </cell>
          <cell r="Q255">
            <v>0</v>
          </cell>
          <cell r="R255">
            <v>0</v>
          </cell>
          <cell r="S255">
            <v>0</v>
          </cell>
          <cell r="T255">
            <v>0</v>
          </cell>
          <cell r="U255">
            <v>0</v>
          </cell>
          <cell r="V255" t="str">
            <v>配管</v>
          </cell>
          <cell r="W255">
            <v>0</v>
          </cell>
          <cell r="X255">
            <v>0</v>
          </cell>
          <cell r="Y255" t="str">
            <v>ケーブルラック工事(1段)</v>
          </cell>
          <cell r="Z255">
            <v>0</v>
          </cell>
          <cell r="AA255">
            <v>0</v>
          </cell>
          <cell r="AB255">
            <v>0</v>
          </cell>
          <cell r="AC255">
            <v>0</v>
          </cell>
          <cell r="AD255">
            <v>0</v>
          </cell>
          <cell r="AE255">
            <v>0</v>
          </cell>
          <cell r="AF255">
            <v>0</v>
          </cell>
          <cell r="AG255">
            <v>0</v>
          </cell>
          <cell r="AH255" t="str">
            <v>▼</v>
          </cell>
          <cell r="AI255">
            <v>0</v>
          </cell>
          <cell r="AJ255">
            <v>0</v>
          </cell>
          <cell r="AK255">
            <v>0</v>
          </cell>
          <cell r="AL255">
            <v>0</v>
          </cell>
        </row>
        <row r="256">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row>
        <row r="257">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row>
        <row r="263">
          <cell r="E263">
            <v>0</v>
          </cell>
          <cell r="F263">
            <v>0</v>
          </cell>
          <cell r="G263" t="str">
            <v>前各項以外</v>
          </cell>
          <cell r="H263">
            <v>0</v>
          </cell>
          <cell r="I263">
            <v>0</v>
          </cell>
          <cell r="J263">
            <v>0</v>
          </cell>
          <cell r="K263">
            <v>0</v>
          </cell>
          <cell r="L263">
            <v>0</v>
          </cell>
          <cell r="M263">
            <v>0</v>
          </cell>
          <cell r="N263">
            <v>0</v>
          </cell>
          <cell r="O263">
            <v>0</v>
          </cell>
          <cell r="P263" t="str">
            <v>設備容量／面</v>
          </cell>
          <cell r="Q263">
            <v>0</v>
          </cell>
          <cell r="R263">
            <v>0</v>
          </cell>
          <cell r="S263">
            <v>0</v>
          </cell>
          <cell r="T263">
            <v>0</v>
          </cell>
          <cell r="U263">
            <v>0</v>
          </cell>
          <cell r="V263">
            <v>0</v>
          </cell>
          <cell r="W263">
            <v>0</v>
          </cell>
          <cell r="X263" t="str">
            <v>需要容量／面</v>
          </cell>
          <cell r="Y263">
            <v>0</v>
          </cell>
          <cell r="Z263">
            <v>0</v>
          </cell>
          <cell r="AA263">
            <v>0</v>
          </cell>
          <cell r="AB263">
            <v>0</v>
          </cell>
          <cell r="AC263">
            <v>0</v>
          </cell>
          <cell r="AD263">
            <v>0</v>
          </cell>
          <cell r="AE263">
            <v>0</v>
          </cell>
          <cell r="AF263" t="str">
            <v>電流 [A]</v>
          </cell>
          <cell r="AG263">
            <v>0</v>
          </cell>
          <cell r="AH263">
            <v>0</v>
          </cell>
          <cell r="AI263">
            <v>0</v>
          </cell>
          <cell r="AJ263">
            <v>0</v>
          </cell>
          <cell r="AK263" t="str">
            <v>配　線　材　料　／面</v>
          </cell>
          <cell r="AL263">
            <v>0</v>
          </cell>
        </row>
        <row r="264">
          <cell r="E264">
            <v>0</v>
          </cell>
          <cell r="F264">
            <v>0</v>
          </cell>
          <cell r="G264">
            <v>0</v>
          </cell>
          <cell r="H264">
            <v>0</v>
          </cell>
          <cell r="I264" t="str">
            <v>面</v>
          </cell>
          <cell r="J264">
            <v>0</v>
          </cell>
          <cell r="K264" t="str">
            <v>電気方式</v>
          </cell>
          <cell r="L264">
            <v>0</v>
          </cell>
          <cell r="M264">
            <v>0</v>
          </cell>
          <cell r="N264">
            <v>0</v>
          </cell>
          <cell r="O264">
            <v>0</v>
          </cell>
          <cell r="P264" t="str">
            <v>KW</v>
          </cell>
          <cell r="Q264">
            <v>0</v>
          </cell>
          <cell r="R264">
            <v>0</v>
          </cell>
          <cell r="S264">
            <v>0</v>
          </cell>
          <cell r="T264" t="str">
            <v>KVar</v>
          </cell>
          <cell r="U264">
            <v>0</v>
          </cell>
          <cell r="V264">
            <v>0</v>
          </cell>
          <cell r="W264">
            <v>0</v>
          </cell>
          <cell r="X264" t="str">
            <v>DmKW</v>
          </cell>
          <cell r="Y264">
            <v>0</v>
          </cell>
          <cell r="Z264">
            <v>0</v>
          </cell>
          <cell r="AA264">
            <v>0</v>
          </cell>
          <cell r="AB264" t="str">
            <v>DmKVar</v>
          </cell>
          <cell r="AC264">
            <v>0</v>
          </cell>
          <cell r="AD264">
            <v>0</v>
          </cell>
          <cell r="AE264">
            <v>0</v>
          </cell>
          <cell r="AF264" t="str">
            <v>設備/需要</v>
          </cell>
          <cell r="AG264">
            <v>0</v>
          </cell>
          <cell r="AH264">
            <v>0</v>
          </cell>
          <cell r="AI264">
            <v>0</v>
          </cell>
          <cell r="AJ264">
            <v>0</v>
          </cell>
          <cell r="AK264" t="str">
            <v>名 称</v>
          </cell>
          <cell r="AL264">
            <v>0</v>
          </cell>
        </row>
        <row r="265">
          <cell r="E265">
            <v>0</v>
          </cell>
          <cell r="F265">
            <v>0</v>
          </cell>
          <cell r="G265">
            <v>0</v>
          </cell>
          <cell r="H265">
            <v>0</v>
          </cell>
          <cell r="I265">
            <v>1</v>
          </cell>
          <cell r="J265">
            <v>0</v>
          </cell>
          <cell r="K265" t="str">
            <v>1φ3W</v>
          </cell>
          <cell r="L265">
            <v>0</v>
          </cell>
          <cell r="M265">
            <v>0</v>
          </cell>
          <cell r="N265">
            <v>0</v>
          </cell>
          <cell r="O265">
            <v>0</v>
          </cell>
          <cell r="P265">
            <v>1.3679999999999999</v>
          </cell>
          <cell r="Q265">
            <v>0</v>
          </cell>
          <cell r="R265">
            <v>0</v>
          </cell>
          <cell r="S265">
            <v>0</v>
          </cell>
          <cell r="T265">
            <v>0.28126467261231886</v>
          </cell>
          <cell r="U265">
            <v>0</v>
          </cell>
          <cell r="V265">
            <v>0</v>
          </cell>
          <cell r="W265">
            <v>0</v>
          </cell>
          <cell r="X265">
            <v>1.2311999999999999</v>
          </cell>
          <cell r="Y265">
            <v>0</v>
          </cell>
          <cell r="Z265">
            <v>0</v>
          </cell>
          <cell r="AA265">
            <v>0</v>
          </cell>
          <cell r="AB265">
            <v>0.253138205351087</v>
          </cell>
          <cell r="AC265">
            <v>0</v>
          </cell>
          <cell r="AD265">
            <v>0</v>
          </cell>
          <cell r="AE265">
            <v>0</v>
          </cell>
          <cell r="AF265">
            <v>6.6505482290850146</v>
          </cell>
          <cell r="AG265">
            <v>0</v>
          </cell>
          <cell r="AH265">
            <v>0</v>
          </cell>
          <cell r="AI265">
            <v>0</v>
          </cell>
          <cell r="AJ265">
            <v>0</v>
          </cell>
          <cell r="AK265" t="str">
            <v>CVT</v>
          </cell>
          <cell r="AL265">
            <v>0</v>
          </cell>
        </row>
        <row r="266">
          <cell r="E266">
            <v>0</v>
          </cell>
          <cell r="F266">
            <v>0</v>
          </cell>
          <cell r="G266">
            <v>0</v>
          </cell>
          <cell r="H266">
            <v>0</v>
          </cell>
          <cell r="I266">
            <v>0</v>
          </cell>
          <cell r="J266">
            <v>0</v>
          </cell>
          <cell r="K266" t="str">
            <v>210/105V</v>
          </cell>
          <cell r="L266">
            <v>0</v>
          </cell>
          <cell r="M266">
            <v>0</v>
          </cell>
          <cell r="N266">
            <v>0</v>
          </cell>
          <cell r="O266">
            <v>0</v>
          </cell>
          <cell r="P266" t="str">
            <v>MCCB  50AF/30AT</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5.9854934061765128</v>
          </cell>
          <cell r="AG266">
            <v>0</v>
          </cell>
          <cell r="AH266">
            <v>0</v>
          </cell>
          <cell r="AI266">
            <v>0</v>
          </cell>
          <cell r="AJ266">
            <v>0</v>
          </cell>
          <cell r="AK266" t="str">
            <v>基底温度</v>
          </cell>
          <cell r="AL266">
            <v>0</v>
          </cell>
        </row>
        <row r="267">
          <cell r="E267">
            <v>0</v>
          </cell>
          <cell r="F267">
            <v>0</v>
          </cell>
          <cell r="G267">
            <v>0</v>
          </cell>
          <cell r="H267">
            <v>0</v>
          </cell>
          <cell r="I267">
            <v>0</v>
          </cell>
          <cell r="J267">
            <v>0</v>
          </cell>
          <cell r="K267" t="str">
            <v/>
          </cell>
          <cell r="L267">
            <v>0</v>
          </cell>
          <cell r="M267">
            <v>0</v>
          </cell>
          <cell r="N267">
            <v>0</v>
          </cell>
          <cell r="O267">
            <v>0</v>
          </cell>
          <cell r="P267" t="str">
            <v/>
          </cell>
          <cell r="Q267">
            <v>0</v>
          </cell>
          <cell r="R267">
            <v>0</v>
          </cell>
          <cell r="S267">
            <v>0</v>
          </cell>
          <cell r="T267" t="str">
            <v/>
          </cell>
          <cell r="U267">
            <v>0</v>
          </cell>
          <cell r="V267">
            <v>0</v>
          </cell>
          <cell r="W267">
            <v>0</v>
          </cell>
          <cell r="X267" t="str">
            <v/>
          </cell>
          <cell r="Y267">
            <v>0</v>
          </cell>
          <cell r="Z267">
            <v>0</v>
          </cell>
          <cell r="AA267">
            <v>0</v>
          </cell>
          <cell r="AB267" t="str">
            <v/>
          </cell>
          <cell r="AC267">
            <v>0</v>
          </cell>
          <cell r="AD267">
            <v>0</v>
          </cell>
          <cell r="AE267">
            <v>0</v>
          </cell>
          <cell r="AF267" t="str">
            <v/>
          </cell>
          <cell r="AG267">
            <v>0</v>
          </cell>
          <cell r="AH267">
            <v>0</v>
          </cell>
          <cell r="AI267">
            <v>0</v>
          </cell>
          <cell r="AJ267">
            <v>0</v>
          </cell>
          <cell r="AK267" t="str">
            <v>CVT</v>
          </cell>
          <cell r="AL267">
            <v>0</v>
          </cell>
        </row>
        <row r="268">
          <cell r="E268">
            <v>0</v>
          </cell>
          <cell r="F268">
            <v>0</v>
          </cell>
          <cell r="G268">
            <v>0</v>
          </cell>
          <cell r="H268">
            <v>0</v>
          </cell>
          <cell r="I268">
            <v>0</v>
          </cell>
          <cell r="J268">
            <v>0</v>
          </cell>
          <cell r="K268" t="str">
            <v/>
          </cell>
          <cell r="L268">
            <v>0</v>
          </cell>
          <cell r="M268">
            <v>0</v>
          </cell>
          <cell r="N268">
            <v>0</v>
          </cell>
          <cell r="O268">
            <v>0</v>
          </cell>
          <cell r="P268" t="str">
            <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t="str">
            <v/>
          </cell>
          <cell r="AG268">
            <v>0</v>
          </cell>
          <cell r="AH268">
            <v>0</v>
          </cell>
          <cell r="AI268">
            <v>0</v>
          </cell>
          <cell r="AJ268">
            <v>0</v>
          </cell>
          <cell r="AK268" t="str">
            <v>基底温度</v>
          </cell>
          <cell r="AL268">
            <v>0</v>
          </cell>
        </row>
        <row r="269">
          <cell r="E269">
            <v>0</v>
          </cell>
          <cell r="F269">
            <v>0</v>
          </cell>
          <cell r="G269">
            <v>0</v>
          </cell>
          <cell r="H269">
            <v>0</v>
          </cell>
          <cell r="I269" t="str">
            <v/>
          </cell>
          <cell r="J269">
            <v>0</v>
          </cell>
          <cell r="K269" t="str">
            <v/>
          </cell>
          <cell r="L269">
            <v>0</v>
          </cell>
          <cell r="M269">
            <v>0</v>
          </cell>
          <cell r="N269">
            <v>0</v>
          </cell>
          <cell r="O269">
            <v>0</v>
          </cell>
          <cell r="P269" t="str">
            <v/>
          </cell>
          <cell r="Q269">
            <v>0</v>
          </cell>
          <cell r="R269">
            <v>0</v>
          </cell>
          <cell r="S269">
            <v>0</v>
          </cell>
          <cell r="T269" t="str">
            <v/>
          </cell>
          <cell r="U269">
            <v>0</v>
          </cell>
          <cell r="V269">
            <v>0</v>
          </cell>
          <cell r="W269">
            <v>0</v>
          </cell>
          <cell r="X269" t="str">
            <v/>
          </cell>
          <cell r="Y269">
            <v>0</v>
          </cell>
          <cell r="Z269">
            <v>0</v>
          </cell>
          <cell r="AA269">
            <v>0</v>
          </cell>
          <cell r="AB269" t="str">
            <v/>
          </cell>
          <cell r="AC269">
            <v>0</v>
          </cell>
          <cell r="AD269">
            <v>0</v>
          </cell>
          <cell r="AE269">
            <v>0</v>
          </cell>
          <cell r="AF269" t="str">
            <v/>
          </cell>
          <cell r="AG269">
            <v>0</v>
          </cell>
          <cell r="AH269">
            <v>0</v>
          </cell>
          <cell r="AI269">
            <v>0</v>
          </cell>
          <cell r="AJ269">
            <v>0</v>
          </cell>
          <cell r="AK269" t="str">
            <v>CVT</v>
          </cell>
          <cell r="AL269">
            <v>0</v>
          </cell>
        </row>
        <row r="270">
          <cell r="E270">
            <v>0</v>
          </cell>
          <cell r="F270">
            <v>0</v>
          </cell>
          <cell r="G270">
            <v>0</v>
          </cell>
          <cell r="H270">
            <v>0</v>
          </cell>
          <cell r="I270">
            <v>0</v>
          </cell>
          <cell r="J270">
            <v>0</v>
          </cell>
          <cell r="K270" t="str">
            <v/>
          </cell>
          <cell r="L270">
            <v>0</v>
          </cell>
          <cell r="M270">
            <v>0</v>
          </cell>
          <cell r="N270">
            <v>0</v>
          </cell>
          <cell r="O270">
            <v>0</v>
          </cell>
          <cell r="P270" t="str">
            <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t="str">
            <v/>
          </cell>
          <cell r="AG270">
            <v>0</v>
          </cell>
          <cell r="AH270">
            <v>0</v>
          </cell>
          <cell r="AI270">
            <v>0</v>
          </cell>
          <cell r="AJ270">
            <v>0</v>
          </cell>
          <cell r="AK270" t="str">
            <v>基底温度</v>
          </cell>
          <cell r="AL270">
            <v>0</v>
          </cell>
        </row>
        <row r="271">
          <cell r="E271">
            <v>0</v>
          </cell>
          <cell r="F271">
            <v>0</v>
          </cell>
          <cell r="G271">
            <v>0</v>
          </cell>
          <cell r="H271">
            <v>0</v>
          </cell>
          <cell r="I271">
            <v>0</v>
          </cell>
          <cell r="J271">
            <v>0</v>
          </cell>
          <cell r="K271" t="str">
            <v/>
          </cell>
          <cell r="L271">
            <v>0</v>
          </cell>
          <cell r="M271">
            <v>0</v>
          </cell>
          <cell r="N271">
            <v>0</v>
          </cell>
          <cell r="O271">
            <v>0</v>
          </cell>
          <cell r="P271" t="str">
            <v/>
          </cell>
          <cell r="Q271">
            <v>0</v>
          </cell>
          <cell r="R271">
            <v>0</v>
          </cell>
          <cell r="S271">
            <v>0</v>
          </cell>
          <cell r="T271" t="str">
            <v/>
          </cell>
          <cell r="U271">
            <v>0</v>
          </cell>
          <cell r="V271">
            <v>0</v>
          </cell>
          <cell r="W271">
            <v>0</v>
          </cell>
          <cell r="X271" t="str">
            <v/>
          </cell>
          <cell r="Y271">
            <v>0</v>
          </cell>
          <cell r="Z271">
            <v>0</v>
          </cell>
          <cell r="AA271">
            <v>0</v>
          </cell>
          <cell r="AB271" t="str">
            <v/>
          </cell>
          <cell r="AC271">
            <v>0</v>
          </cell>
          <cell r="AD271">
            <v>0</v>
          </cell>
          <cell r="AE271">
            <v>0</v>
          </cell>
          <cell r="AF271" t="str">
            <v/>
          </cell>
          <cell r="AG271">
            <v>0</v>
          </cell>
          <cell r="AH271">
            <v>0</v>
          </cell>
          <cell r="AI271">
            <v>0</v>
          </cell>
          <cell r="AJ271">
            <v>0</v>
          </cell>
          <cell r="AK271" t="str">
            <v>CVT</v>
          </cell>
          <cell r="AL271">
            <v>0</v>
          </cell>
        </row>
        <row r="272">
          <cell r="E272">
            <v>0</v>
          </cell>
          <cell r="F272">
            <v>0</v>
          </cell>
          <cell r="G272">
            <v>0</v>
          </cell>
          <cell r="H272">
            <v>0</v>
          </cell>
          <cell r="I272">
            <v>0</v>
          </cell>
          <cell r="J272">
            <v>0</v>
          </cell>
          <cell r="K272" t="str">
            <v/>
          </cell>
          <cell r="L272">
            <v>0</v>
          </cell>
          <cell r="M272">
            <v>0</v>
          </cell>
          <cell r="N272">
            <v>0</v>
          </cell>
          <cell r="O272">
            <v>0</v>
          </cell>
          <cell r="P272" t="str">
            <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t="str">
            <v/>
          </cell>
          <cell r="AG272">
            <v>0</v>
          </cell>
          <cell r="AH272">
            <v>0</v>
          </cell>
          <cell r="AI272">
            <v>0</v>
          </cell>
          <cell r="AJ272">
            <v>0</v>
          </cell>
          <cell r="AK272" t="str">
            <v>基底温度</v>
          </cell>
          <cell r="AL272">
            <v>0</v>
          </cell>
        </row>
        <row r="273">
          <cell r="E273">
            <v>0</v>
          </cell>
          <cell r="F273">
            <v>0</v>
          </cell>
          <cell r="G273">
            <v>0</v>
          </cell>
          <cell r="H273">
            <v>0</v>
          </cell>
          <cell r="I273">
            <v>1</v>
          </cell>
          <cell r="J273">
            <v>0</v>
          </cell>
          <cell r="K273" t="str">
            <v>3φ3W</v>
          </cell>
          <cell r="L273">
            <v>0</v>
          </cell>
          <cell r="M273">
            <v>0</v>
          </cell>
          <cell r="N273">
            <v>0</v>
          </cell>
          <cell r="O273">
            <v>0</v>
          </cell>
          <cell r="P273">
            <v>35.803649328693126</v>
          </cell>
          <cell r="Q273">
            <v>0</v>
          </cell>
          <cell r="R273">
            <v>0</v>
          </cell>
          <cell r="S273">
            <v>0</v>
          </cell>
          <cell r="T273">
            <v>28.586970848404139</v>
          </cell>
          <cell r="U273">
            <v>0</v>
          </cell>
          <cell r="V273">
            <v>0</v>
          </cell>
          <cell r="W273">
            <v>0</v>
          </cell>
          <cell r="X273">
            <v>31.78232439582381</v>
          </cell>
          <cell r="Y273">
            <v>0</v>
          </cell>
          <cell r="Z273">
            <v>0</v>
          </cell>
          <cell r="AA273">
            <v>0</v>
          </cell>
          <cell r="AB273">
            <v>31.990808211064213</v>
          </cell>
          <cell r="AC273">
            <v>0</v>
          </cell>
          <cell r="AD273">
            <v>0</v>
          </cell>
          <cell r="AE273">
            <v>0</v>
          </cell>
          <cell r="AF273">
            <v>125.96164359794298</v>
          </cell>
          <cell r="AG273">
            <v>0</v>
          </cell>
          <cell r="AH273">
            <v>0</v>
          </cell>
          <cell r="AI273">
            <v>0</v>
          </cell>
          <cell r="AJ273">
            <v>0</v>
          </cell>
          <cell r="AK273" t="str">
            <v>CVT</v>
          </cell>
          <cell r="AL273">
            <v>0</v>
          </cell>
        </row>
        <row r="274">
          <cell r="E274">
            <v>0</v>
          </cell>
          <cell r="F274">
            <v>0</v>
          </cell>
          <cell r="G274">
            <v>0</v>
          </cell>
          <cell r="H274">
            <v>0</v>
          </cell>
          <cell r="I274">
            <v>0</v>
          </cell>
          <cell r="J274">
            <v>0</v>
          </cell>
          <cell r="K274" t="str">
            <v>210V</v>
          </cell>
          <cell r="L274">
            <v>0</v>
          </cell>
          <cell r="M274">
            <v>0</v>
          </cell>
          <cell r="N274">
            <v>0</v>
          </cell>
          <cell r="O274">
            <v>0</v>
          </cell>
          <cell r="P274" t="str">
            <v>MCCB  225AF/125AT</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123.9781499413337</v>
          </cell>
          <cell r="AG274">
            <v>0</v>
          </cell>
          <cell r="AH274">
            <v>0</v>
          </cell>
          <cell r="AI274">
            <v>0</v>
          </cell>
          <cell r="AJ274">
            <v>0</v>
          </cell>
          <cell r="AK274" t="str">
            <v>基底温度</v>
          </cell>
          <cell r="AL274">
            <v>0</v>
          </cell>
        </row>
        <row r="275">
          <cell r="E275">
            <v>0</v>
          </cell>
          <cell r="F275">
            <v>0</v>
          </cell>
          <cell r="G275">
            <v>0</v>
          </cell>
          <cell r="H275">
            <v>0</v>
          </cell>
          <cell r="I275">
            <v>0</v>
          </cell>
          <cell r="J275">
            <v>0</v>
          </cell>
          <cell r="K275">
            <v>0</v>
          </cell>
          <cell r="L275">
            <v>0</v>
          </cell>
          <cell r="M275">
            <v>0</v>
          </cell>
          <cell r="N275">
            <v>0</v>
          </cell>
          <cell r="O275">
            <v>0</v>
          </cell>
          <cell r="P275" t="str">
            <v/>
          </cell>
          <cell r="Q275">
            <v>0</v>
          </cell>
          <cell r="R275">
            <v>0</v>
          </cell>
          <cell r="S275">
            <v>0</v>
          </cell>
          <cell r="T275" t="str">
            <v/>
          </cell>
          <cell r="U275">
            <v>0</v>
          </cell>
          <cell r="V275">
            <v>0</v>
          </cell>
          <cell r="W275">
            <v>0</v>
          </cell>
          <cell r="X275" t="str">
            <v/>
          </cell>
          <cell r="Y275">
            <v>0</v>
          </cell>
          <cell r="Z275">
            <v>0</v>
          </cell>
          <cell r="AA275">
            <v>0</v>
          </cell>
          <cell r="AB275" t="str">
            <v/>
          </cell>
          <cell r="AC275">
            <v>0</v>
          </cell>
          <cell r="AD275">
            <v>0</v>
          </cell>
          <cell r="AE275">
            <v>0</v>
          </cell>
          <cell r="AF275" t="str">
            <v/>
          </cell>
          <cell r="AG275">
            <v>0</v>
          </cell>
          <cell r="AH275">
            <v>0</v>
          </cell>
          <cell r="AI275">
            <v>0</v>
          </cell>
          <cell r="AJ275">
            <v>0</v>
          </cell>
          <cell r="AK275" t="str">
            <v>CVT</v>
          </cell>
          <cell r="AL275">
            <v>0</v>
          </cell>
        </row>
        <row r="276">
          <cell r="E276">
            <v>0</v>
          </cell>
          <cell r="F276">
            <v>0</v>
          </cell>
          <cell r="G276">
            <v>0</v>
          </cell>
          <cell r="H276">
            <v>0</v>
          </cell>
          <cell r="I276">
            <v>0</v>
          </cell>
          <cell r="J276">
            <v>0</v>
          </cell>
          <cell r="K276">
            <v>0</v>
          </cell>
          <cell r="L276">
            <v>0</v>
          </cell>
          <cell r="M276">
            <v>0</v>
          </cell>
          <cell r="N276">
            <v>0</v>
          </cell>
          <cell r="O276">
            <v>0</v>
          </cell>
          <cell r="P276" t="str">
            <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t="str">
            <v/>
          </cell>
          <cell r="AG276">
            <v>0</v>
          </cell>
          <cell r="AH276">
            <v>0</v>
          </cell>
          <cell r="AI276">
            <v>0</v>
          </cell>
          <cell r="AJ276">
            <v>0</v>
          </cell>
          <cell r="AK276" t="str">
            <v>基底温度</v>
          </cell>
          <cell r="AL276">
            <v>0</v>
          </cell>
        </row>
        <row r="277">
          <cell r="E277">
            <v>0</v>
          </cell>
          <cell r="F277" t="str">
            <v>ケーブル配線工事</v>
          </cell>
          <cell r="G277">
            <v>0</v>
          </cell>
          <cell r="H277">
            <v>0</v>
          </cell>
          <cell r="I277">
            <v>0</v>
          </cell>
          <cell r="J277">
            <v>0</v>
          </cell>
          <cell r="K277">
            <v>0</v>
          </cell>
          <cell r="L277">
            <v>0</v>
          </cell>
          <cell r="M277">
            <v>0</v>
          </cell>
          <cell r="N277" t="str">
            <v>▼</v>
          </cell>
          <cell r="O277">
            <v>0</v>
          </cell>
          <cell r="P277">
            <v>0</v>
          </cell>
          <cell r="Q277">
            <v>0</v>
          </cell>
          <cell r="R277">
            <v>0</v>
          </cell>
          <cell r="S277">
            <v>0</v>
          </cell>
          <cell r="T277">
            <v>0</v>
          </cell>
          <cell r="U277">
            <v>0</v>
          </cell>
          <cell r="V277" t="str">
            <v>配管</v>
          </cell>
          <cell r="W277">
            <v>0</v>
          </cell>
          <cell r="X277">
            <v>0</v>
          </cell>
          <cell r="Y277" t="str">
            <v>ケーブルラック工事(1段)</v>
          </cell>
          <cell r="Z277">
            <v>0</v>
          </cell>
          <cell r="AA277">
            <v>0</v>
          </cell>
          <cell r="AB277">
            <v>0</v>
          </cell>
          <cell r="AC277">
            <v>0</v>
          </cell>
          <cell r="AD277">
            <v>0</v>
          </cell>
          <cell r="AE277">
            <v>0</v>
          </cell>
          <cell r="AF277">
            <v>0</v>
          </cell>
          <cell r="AG277">
            <v>0</v>
          </cell>
          <cell r="AH277" t="str">
            <v>▼</v>
          </cell>
          <cell r="AI277">
            <v>0</v>
          </cell>
          <cell r="AJ277">
            <v>0</v>
          </cell>
          <cell r="AK277">
            <v>0</v>
          </cell>
          <cell r="AL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row>
        <row r="279">
          <cell r="E279">
            <v>0</v>
          </cell>
          <cell r="F279">
            <v>0</v>
          </cell>
          <cell r="G279" t="str">
            <v/>
          </cell>
          <cell r="H279">
            <v>0</v>
          </cell>
          <cell r="I279">
            <v>0</v>
          </cell>
          <cell r="J279">
            <v>0</v>
          </cell>
          <cell r="K279">
            <v>0</v>
          </cell>
          <cell r="L279">
            <v>0</v>
          </cell>
          <cell r="M279">
            <v>0</v>
          </cell>
          <cell r="N279">
            <v>0</v>
          </cell>
          <cell r="O279">
            <v>0</v>
          </cell>
          <cell r="P279" t="str">
            <v>設備容量／面</v>
          </cell>
          <cell r="Q279">
            <v>0</v>
          </cell>
          <cell r="R279">
            <v>0</v>
          </cell>
          <cell r="S279">
            <v>0</v>
          </cell>
          <cell r="T279">
            <v>0</v>
          </cell>
          <cell r="U279">
            <v>0</v>
          </cell>
          <cell r="V279">
            <v>0</v>
          </cell>
          <cell r="W279">
            <v>0</v>
          </cell>
          <cell r="X279" t="str">
            <v>需要容量／面</v>
          </cell>
          <cell r="Y279">
            <v>0</v>
          </cell>
          <cell r="Z279">
            <v>0</v>
          </cell>
          <cell r="AA279">
            <v>0</v>
          </cell>
          <cell r="AB279">
            <v>0</v>
          </cell>
          <cell r="AC279">
            <v>0</v>
          </cell>
          <cell r="AD279">
            <v>0</v>
          </cell>
          <cell r="AE279">
            <v>0</v>
          </cell>
          <cell r="AF279" t="str">
            <v>電流 [A]</v>
          </cell>
          <cell r="AG279">
            <v>0</v>
          </cell>
          <cell r="AH279">
            <v>0</v>
          </cell>
          <cell r="AI279">
            <v>0</v>
          </cell>
          <cell r="AJ279">
            <v>0</v>
          </cell>
          <cell r="AK279" t="str">
            <v>配　線　材　料　／面</v>
          </cell>
          <cell r="AL279">
            <v>0</v>
          </cell>
        </row>
        <row r="280">
          <cell r="E280">
            <v>0</v>
          </cell>
          <cell r="F280">
            <v>0</v>
          </cell>
          <cell r="G280">
            <v>0</v>
          </cell>
          <cell r="H280">
            <v>0</v>
          </cell>
          <cell r="I280" t="str">
            <v>面</v>
          </cell>
          <cell r="J280">
            <v>0</v>
          </cell>
          <cell r="K280" t="str">
            <v>電気方式</v>
          </cell>
          <cell r="L280">
            <v>0</v>
          </cell>
          <cell r="M280">
            <v>0</v>
          </cell>
          <cell r="N280">
            <v>0</v>
          </cell>
          <cell r="O280">
            <v>0</v>
          </cell>
          <cell r="P280" t="str">
            <v>KW</v>
          </cell>
          <cell r="Q280">
            <v>0</v>
          </cell>
          <cell r="R280">
            <v>0</v>
          </cell>
          <cell r="S280">
            <v>0</v>
          </cell>
          <cell r="T280" t="str">
            <v>KVar</v>
          </cell>
          <cell r="U280">
            <v>0</v>
          </cell>
          <cell r="V280">
            <v>0</v>
          </cell>
          <cell r="W280">
            <v>0</v>
          </cell>
          <cell r="X280" t="str">
            <v>DmKW</v>
          </cell>
          <cell r="Y280">
            <v>0</v>
          </cell>
          <cell r="Z280">
            <v>0</v>
          </cell>
          <cell r="AA280">
            <v>0</v>
          </cell>
          <cell r="AB280" t="str">
            <v>DmKVar</v>
          </cell>
          <cell r="AC280">
            <v>0</v>
          </cell>
          <cell r="AD280">
            <v>0</v>
          </cell>
          <cell r="AE280">
            <v>0</v>
          </cell>
          <cell r="AF280" t="str">
            <v>設備/需要</v>
          </cell>
          <cell r="AG280">
            <v>0</v>
          </cell>
          <cell r="AH280">
            <v>0</v>
          </cell>
          <cell r="AI280">
            <v>0</v>
          </cell>
          <cell r="AJ280">
            <v>0</v>
          </cell>
          <cell r="AK280" t="str">
            <v>名 称</v>
          </cell>
          <cell r="AL280">
            <v>0</v>
          </cell>
        </row>
        <row r="281">
          <cell r="E281">
            <v>0</v>
          </cell>
          <cell r="F281">
            <v>0</v>
          </cell>
          <cell r="G281">
            <v>0</v>
          </cell>
          <cell r="H281">
            <v>0</v>
          </cell>
          <cell r="I281" t="str">
            <v/>
          </cell>
          <cell r="J281">
            <v>0</v>
          </cell>
          <cell r="K281" t="str">
            <v/>
          </cell>
          <cell r="L281">
            <v>0</v>
          </cell>
          <cell r="M281">
            <v>0</v>
          </cell>
          <cell r="N281">
            <v>0</v>
          </cell>
          <cell r="O281">
            <v>0</v>
          </cell>
          <cell r="P281" t="str">
            <v/>
          </cell>
          <cell r="Q281">
            <v>0</v>
          </cell>
          <cell r="R281">
            <v>0</v>
          </cell>
          <cell r="S281">
            <v>0</v>
          </cell>
          <cell r="T281" t="str">
            <v/>
          </cell>
          <cell r="U281">
            <v>0</v>
          </cell>
          <cell r="V281">
            <v>0</v>
          </cell>
          <cell r="W281">
            <v>0</v>
          </cell>
          <cell r="X281" t="str">
            <v/>
          </cell>
          <cell r="Y281">
            <v>0</v>
          </cell>
          <cell r="Z281">
            <v>0</v>
          </cell>
          <cell r="AA281">
            <v>0</v>
          </cell>
          <cell r="AB281" t="str">
            <v/>
          </cell>
          <cell r="AC281">
            <v>0</v>
          </cell>
          <cell r="AD281">
            <v>0</v>
          </cell>
          <cell r="AE281">
            <v>0</v>
          </cell>
          <cell r="AF281" t="str">
            <v/>
          </cell>
          <cell r="AG281">
            <v>0</v>
          </cell>
          <cell r="AH281">
            <v>0</v>
          </cell>
          <cell r="AI281">
            <v>0</v>
          </cell>
          <cell r="AJ281">
            <v>0</v>
          </cell>
          <cell r="AK281" t="str">
            <v>CVT</v>
          </cell>
          <cell r="AL281">
            <v>0</v>
          </cell>
        </row>
        <row r="282">
          <cell r="E282">
            <v>0</v>
          </cell>
          <cell r="F282">
            <v>0</v>
          </cell>
          <cell r="G282">
            <v>0</v>
          </cell>
          <cell r="H282">
            <v>0</v>
          </cell>
          <cell r="I282">
            <v>0</v>
          </cell>
          <cell r="J282">
            <v>0</v>
          </cell>
          <cell r="K282" t="str">
            <v/>
          </cell>
          <cell r="L282">
            <v>0</v>
          </cell>
          <cell r="M282">
            <v>0</v>
          </cell>
          <cell r="N282">
            <v>0</v>
          </cell>
          <cell r="O282">
            <v>0</v>
          </cell>
          <cell r="P282" t="str">
            <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t="str">
            <v/>
          </cell>
          <cell r="AG282">
            <v>0</v>
          </cell>
          <cell r="AH282">
            <v>0</v>
          </cell>
          <cell r="AI282">
            <v>0</v>
          </cell>
          <cell r="AJ282">
            <v>0</v>
          </cell>
          <cell r="AK282" t="str">
            <v>基底温度</v>
          </cell>
          <cell r="AL282">
            <v>0</v>
          </cell>
        </row>
        <row r="283">
          <cell r="E283">
            <v>0</v>
          </cell>
          <cell r="F283">
            <v>0</v>
          </cell>
          <cell r="G283">
            <v>0</v>
          </cell>
          <cell r="H283">
            <v>0</v>
          </cell>
          <cell r="I283">
            <v>0</v>
          </cell>
          <cell r="J283">
            <v>0</v>
          </cell>
          <cell r="K283" t="str">
            <v/>
          </cell>
          <cell r="L283">
            <v>0</v>
          </cell>
          <cell r="M283">
            <v>0</v>
          </cell>
          <cell r="N283">
            <v>0</v>
          </cell>
          <cell r="O283">
            <v>0</v>
          </cell>
          <cell r="P283" t="str">
            <v/>
          </cell>
          <cell r="Q283">
            <v>0</v>
          </cell>
          <cell r="R283">
            <v>0</v>
          </cell>
          <cell r="S283">
            <v>0</v>
          </cell>
          <cell r="T283" t="str">
            <v/>
          </cell>
          <cell r="U283">
            <v>0</v>
          </cell>
          <cell r="V283">
            <v>0</v>
          </cell>
          <cell r="W283">
            <v>0</v>
          </cell>
          <cell r="X283" t="str">
            <v/>
          </cell>
          <cell r="Y283">
            <v>0</v>
          </cell>
          <cell r="Z283">
            <v>0</v>
          </cell>
          <cell r="AA283">
            <v>0</v>
          </cell>
          <cell r="AB283" t="str">
            <v/>
          </cell>
          <cell r="AC283">
            <v>0</v>
          </cell>
          <cell r="AD283">
            <v>0</v>
          </cell>
          <cell r="AE283">
            <v>0</v>
          </cell>
          <cell r="AF283" t="str">
            <v/>
          </cell>
          <cell r="AG283">
            <v>0</v>
          </cell>
          <cell r="AH283">
            <v>0</v>
          </cell>
          <cell r="AI283">
            <v>0</v>
          </cell>
          <cell r="AJ283">
            <v>0</v>
          </cell>
          <cell r="AK283" t="str">
            <v>CVT</v>
          </cell>
          <cell r="AL283">
            <v>0</v>
          </cell>
        </row>
        <row r="284">
          <cell r="E284">
            <v>0</v>
          </cell>
          <cell r="F284">
            <v>0</v>
          </cell>
          <cell r="G284">
            <v>0</v>
          </cell>
          <cell r="H284">
            <v>0</v>
          </cell>
          <cell r="I284">
            <v>0</v>
          </cell>
          <cell r="J284">
            <v>0</v>
          </cell>
          <cell r="K284" t="str">
            <v/>
          </cell>
          <cell r="L284">
            <v>0</v>
          </cell>
          <cell r="M284">
            <v>0</v>
          </cell>
          <cell r="N284">
            <v>0</v>
          </cell>
          <cell r="O284">
            <v>0</v>
          </cell>
          <cell r="P284" t="str">
            <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t="str">
            <v/>
          </cell>
          <cell r="AG284">
            <v>0</v>
          </cell>
          <cell r="AH284">
            <v>0</v>
          </cell>
          <cell r="AI284">
            <v>0</v>
          </cell>
          <cell r="AJ284">
            <v>0</v>
          </cell>
          <cell r="AK284" t="str">
            <v>基底温度</v>
          </cell>
          <cell r="AL284">
            <v>0</v>
          </cell>
        </row>
        <row r="285">
          <cell r="E285">
            <v>0</v>
          </cell>
          <cell r="F285">
            <v>0</v>
          </cell>
          <cell r="G285">
            <v>0</v>
          </cell>
          <cell r="H285">
            <v>0</v>
          </cell>
          <cell r="I285" t="str">
            <v/>
          </cell>
          <cell r="J285">
            <v>0</v>
          </cell>
          <cell r="K285" t="str">
            <v/>
          </cell>
          <cell r="L285">
            <v>0</v>
          </cell>
          <cell r="M285">
            <v>0</v>
          </cell>
          <cell r="N285">
            <v>0</v>
          </cell>
          <cell r="O285">
            <v>0</v>
          </cell>
          <cell r="P285" t="str">
            <v/>
          </cell>
          <cell r="Q285">
            <v>0</v>
          </cell>
          <cell r="R285">
            <v>0</v>
          </cell>
          <cell r="S285">
            <v>0</v>
          </cell>
          <cell r="T285" t="str">
            <v/>
          </cell>
          <cell r="U285">
            <v>0</v>
          </cell>
          <cell r="V285">
            <v>0</v>
          </cell>
          <cell r="W285">
            <v>0</v>
          </cell>
          <cell r="X285" t="str">
            <v/>
          </cell>
          <cell r="Y285">
            <v>0</v>
          </cell>
          <cell r="Z285">
            <v>0</v>
          </cell>
          <cell r="AA285">
            <v>0</v>
          </cell>
          <cell r="AB285" t="str">
            <v/>
          </cell>
          <cell r="AC285">
            <v>0</v>
          </cell>
          <cell r="AD285">
            <v>0</v>
          </cell>
          <cell r="AE285">
            <v>0</v>
          </cell>
          <cell r="AF285" t="str">
            <v/>
          </cell>
          <cell r="AG285">
            <v>0</v>
          </cell>
          <cell r="AH285">
            <v>0</v>
          </cell>
          <cell r="AI285">
            <v>0</v>
          </cell>
          <cell r="AJ285">
            <v>0</v>
          </cell>
          <cell r="AK285" t="str">
            <v>CVT</v>
          </cell>
          <cell r="AL285">
            <v>0</v>
          </cell>
        </row>
        <row r="286">
          <cell r="E286">
            <v>0</v>
          </cell>
          <cell r="F286">
            <v>0</v>
          </cell>
          <cell r="G286">
            <v>0</v>
          </cell>
          <cell r="H286">
            <v>0</v>
          </cell>
          <cell r="I286">
            <v>0</v>
          </cell>
          <cell r="J286">
            <v>0</v>
          </cell>
          <cell r="K286" t="str">
            <v/>
          </cell>
          <cell r="L286">
            <v>0</v>
          </cell>
          <cell r="M286">
            <v>0</v>
          </cell>
          <cell r="N286">
            <v>0</v>
          </cell>
          <cell r="O286">
            <v>0</v>
          </cell>
          <cell r="P286" t="str">
            <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t="str">
            <v/>
          </cell>
          <cell r="AG286">
            <v>0</v>
          </cell>
          <cell r="AH286">
            <v>0</v>
          </cell>
          <cell r="AI286">
            <v>0</v>
          </cell>
          <cell r="AJ286">
            <v>0</v>
          </cell>
          <cell r="AK286" t="str">
            <v>基底温度</v>
          </cell>
          <cell r="AL286">
            <v>0</v>
          </cell>
        </row>
        <row r="287">
          <cell r="E287">
            <v>0</v>
          </cell>
          <cell r="F287">
            <v>0</v>
          </cell>
          <cell r="G287">
            <v>0</v>
          </cell>
          <cell r="H287">
            <v>0</v>
          </cell>
          <cell r="I287">
            <v>0</v>
          </cell>
          <cell r="J287">
            <v>0</v>
          </cell>
          <cell r="K287" t="str">
            <v/>
          </cell>
          <cell r="L287">
            <v>0</v>
          </cell>
          <cell r="M287">
            <v>0</v>
          </cell>
          <cell r="N287">
            <v>0</v>
          </cell>
          <cell r="O287">
            <v>0</v>
          </cell>
          <cell r="P287" t="str">
            <v/>
          </cell>
          <cell r="Q287">
            <v>0</v>
          </cell>
          <cell r="R287">
            <v>0</v>
          </cell>
          <cell r="S287">
            <v>0</v>
          </cell>
          <cell r="T287" t="str">
            <v/>
          </cell>
          <cell r="U287">
            <v>0</v>
          </cell>
          <cell r="V287">
            <v>0</v>
          </cell>
          <cell r="W287">
            <v>0</v>
          </cell>
          <cell r="X287" t="str">
            <v/>
          </cell>
          <cell r="Y287">
            <v>0</v>
          </cell>
          <cell r="Z287">
            <v>0</v>
          </cell>
          <cell r="AA287">
            <v>0</v>
          </cell>
          <cell r="AB287" t="str">
            <v/>
          </cell>
          <cell r="AC287">
            <v>0</v>
          </cell>
          <cell r="AD287">
            <v>0</v>
          </cell>
          <cell r="AE287">
            <v>0</v>
          </cell>
          <cell r="AF287" t="str">
            <v/>
          </cell>
          <cell r="AG287">
            <v>0</v>
          </cell>
          <cell r="AH287">
            <v>0</v>
          </cell>
          <cell r="AI287">
            <v>0</v>
          </cell>
          <cell r="AJ287">
            <v>0</v>
          </cell>
          <cell r="AK287" t="str">
            <v>CVT</v>
          </cell>
          <cell r="AL287">
            <v>0</v>
          </cell>
        </row>
        <row r="288">
          <cell r="E288">
            <v>0</v>
          </cell>
          <cell r="F288">
            <v>0</v>
          </cell>
          <cell r="G288">
            <v>0</v>
          </cell>
          <cell r="H288">
            <v>0</v>
          </cell>
          <cell r="I288">
            <v>0</v>
          </cell>
          <cell r="J288">
            <v>0</v>
          </cell>
          <cell r="K288" t="str">
            <v/>
          </cell>
          <cell r="L288">
            <v>0</v>
          </cell>
          <cell r="M288">
            <v>0</v>
          </cell>
          <cell r="N288">
            <v>0</v>
          </cell>
          <cell r="O288">
            <v>0</v>
          </cell>
          <cell r="P288" t="str">
            <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t="str">
            <v/>
          </cell>
          <cell r="AG288">
            <v>0</v>
          </cell>
          <cell r="AH288">
            <v>0</v>
          </cell>
          <cell r="AI288">
            <v>0</v>
          </cell>
          <cell r="AJ288">
            <v>0</v>
          </cell>
          <cell r="AK288" t="str">
            <v>基底温度</v>
          </cell>
          <cell r="AL288">
            <v>0</v>
          </cell>
        </row>
        <row r="289">
          <cell r="E289">
            <v>0</v>
          </cell>
          <cell r="F289">
            <v>0</v>
          </cell>
          <cell r="G289">
            <v>0</v>
          </cell>
          <cell r="H289">
            <v>0</v>
          </cell>
          <cell r="I289" t="str">
            <v/>
          </cell>
          <cell r="J289">
            <v>0</v>
          </cell>
          <cell r="K289" t="str">
            <v/>
          </cell>
          <cell r="L289">
            <v>0</v>
          </cell>
          <cell r="M289">
            <v>0</v>
          </cell>
          <cell r="N289">
            <v>0</v>
          </cell>
          <cell r="O289">
            <v>0</v>
          </cell>
          <cell r="P289" t="str">
            <v/>
          </cell>
          <cell r="Q289">
            <v>0</v>
          </cell>
          <cell r="R289">
            <v>0</v>
          </cell>
          <cell r="S289">
            <v>0</v>
          </cell>
          <cell r="T289" t="str">
            <v/>
          </cell>
          <cell r="U289">
            <v>0</v>
          </cell>
          <cell r="V289">
            <v>0</v>
          </cell>
          <cell r="W289">
            <v>0</v>
          </cell>
          <cell r="X289" t="str">
            <v/>
          </cell>
          <cell r="Y289">
            <v>0</v>
          </cell>
          <cell r="Z289">
            <v>0</v>
          </cell>
          <cell r="AA289">
            <v>0</v>
          </cell>
          <cell r="AB289" t="str">
            <v/>
          </cell>
          <cell r="AC289">
            <v>0</v>
          </cell>
          <cell r="AD289">
            <v>0</v>
          </cell>
          <cell r="AE289">
            <v>0</v>
          </cell>
          <cell r="AF289" t="str">
            <v/>
          </cell>
          <cell r="AG289">
            <v>0</v>
          </cell>
          <cell r="AH289">
            <v>0</v>
          </cell>
          <cell r="AI289">
            <v>0</v>
          </cell>
          <cell r="AJ289">
            <v>0</v>
          </cell>
          <cell r="AK289" t="str">
            <v>CVT</v>
          </cell>
          <cell r="AL289">
            <v>0</v>
          </cell>
        </row>
        <row r="290">
          <cell r="E290">
            <v>0</v>
          </cell>
          <cell r="F290">
            <v>0</v>
          </cell>
          <cell r="G290">
            <v>0</v>
          </cell>
          <cell r="H290">
            <v>0</v>
          </cell>
          <cell r="I290">
            <v>0</v>
          </cell>
          <cell r="J290">
            <v>0</v>
          </cell>
          <cell r="K290" t="str">
            <v/>
          </cell>
          <cell r="L290">
            <v>0</v>
          </cell>
          <cell r="M290">
            <v>0</v>
          </cell>
          <cell r="N290">
            <v>0</v>
          </cell>
          <cell r="O290">
            <v>0</v>
          </cell>
          <cell r="P290" t="str">
            <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t="str">
            <v/>
          </cell>
          <cell r="AG290">
            <v>0</v>
          </cell>
          <cell r="AH290">
            <v>0</v>
          </cell>
          <cell r="AI290">
            <v>0</v>
          </cell>
          <cell r="AJ290">
            <v>0</v>
          </cell>
          <cell r="AK290" t="str">
            <v>基底温度</v>
          </cell>
          <cell r="AL290">
            <v>0</v>
          </cell>
        </row>
        <row r="291">
          <cell r="E291">
            <v>0</v>
          </cell>
          <cell r="F291">
            <v>0</v>
          </cell>
          <cell r="G291">
            <v>0</v>
          </cell>
          <cell r="H291">
            <v>0</v>
          </cell>
          <cell r="I291">
            <v>0</v>
          </cell>
          <cell r="J291">
            <v>0</v>
          </cell>
          <cell r="K291">
            <v>0</v>
          </cell>
          <cell r="L291">
            <v>0</v>
          </cell>
          <cell r="M291">
            <v>0</v>
          </cell>
          <cell r="N291">
            <v>0</v>
          </cell>
          <cell r="O291">
            <v>0</v>
          </cell>
          <cell r="P291" t="str">
            <v/>
          </cell>
          <cell r="Q291">
            <v>0</v>
          </cell>
          <cell r="R291">
            <v>0</v>
          </cell>
          <cell r="S291">
            <v>0</v>
          </cell>
          <cell r="T291" t="str">
            <v/>
          </cell>
          <cell r="U291">
            <v>0</v>
          </cell>
          <cell r="V291">
            <v>0</v>
          </cell>
          <cell r="W291">
            <v>0</v>
          </cell>
          <cell r="X291" t="str">
            <v/>
          </cell>
          <cell r="Y291">
            <v>0</v>
          </cell>
          <cell r="Z291">
            <v>0</v>
          </cell>
          <cell r="AA291">
            <v>0</v>
          </cell>
          <cell r="AB291" t="str">
            <v/>
          </cell>
          <cell r="AC291">
            <v>0</v>
          </cell>
          <cell r="AD291">
            <v>0</v>
          </cell>
          <cell r="AE291">
            <v>0</v>
          </cell>
          <cell r="AF291" t="str">
            <v/>
          </cell>
          <cell r="AG291">
            <v>0</v>
          </cell>
          <cell r="AH291">
            <v>0</v>
          </cell>
          <cell r="AI291">
            <v>0</v>
          </cell>
          <cell r="AJ291">
            <v>0</v>
          </cell>
          <cell r="AK291" t="str">
            <v>CVT</v>
          </cell>
          <cell r="AL291">
            <v>0</v>
          </cell>
        </row>
        <row r="292">
          <cell r="E292">
            <v>0</v>
          </cell>
          <cell r="F292">
            <v>0</v>
          </cell>
          <cell r="G292">
            <v>0</v>
          </cell>
          <cell r="H292">
            <v>0</v>
          </cell>
          <cell r="I292">
            <v>0</v>
          </cell>
          <cell r="J292">
            <v>0</v>
          </cell>
          <cell r="K292">
            <v>0</v>
          </cell>
          <cell r="L292">
            <v>0</v>
          </cell>
          <cell r="M292">
            <v>0</v>
          </cell>
          <cell r="N292">
            <v>0</v>
          </cell>
          <cell r="O292">
            <v>0</v>
          </cell>
          <cell r="P292" t="str">
            <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t="str">
            <v/>
          </cell>
          <cell r="AG292">
            <v>0</v>
          </cell>
          <cell r="AH292">
            <v>0</v>
          </cell>
          <cell r="AI292">
            <v>0</v>
          </cell>
          <cell r="AJ292">
            <v>0</v>
          </cell>
          <cell r="AK292" t="str">
            <v>基底温度</v>
          </cell>
          <cell r="AL292">
            <v>0</v>
          </cell>
        </row>
        <row r="293">
          <cell r="E293">
            <v>0</v>
          </cell>
          <cell r="F293" t="str">
            <v>ケーブル配線工事</v>
          </cell>
          <cell r="G293">
            <v>0</v>
          </cell>
          <cell r="H293">
            <v>0</v>
          </cell>
          <cell r="I293">
            <v>0</v>
          </cell>
          <cell r="J293">
            <v>0</v>
          </cell>
          <cell r="K293">
            <v>0</v>
          </cell>
          <cell r="L293">
            <v>0</v>
          </cell>
          <cell r="M293">
            <v>0</v>
          </cell>
          <cell r="N293" t="str">
            <v>▼</v>
          </cell>
          <cell r="O293">
            <v>0</v>
          </cell>
          <cell r="P293">
            <v>0</v>
          </cell>
          <cell r="Q293">
            <v>0</v>
          </cell>
          <cell r="R293">
            <v>0</v>
          </cell>
          <cell r="S293">
            <v>0</v>
          </cell>
          <cell r="T293">
            <v>0</v>
          </cell>
          <cell r="U293">
            <v>0</v>
          </cell>
          <cell r="V293" t="str">
            <v>配管</v>
          </cell>
          <cell r="W293">
            <v>0</v>
          </cell>
          <cell r="X293">
            <v>0</v>
          </cell>
          <cell r="Y293" t="str">
            <v>ケーブルラック工事(1段)</v>
          </cell>
          <cell r="Z293">
            <v>0</v>
          </cell>
          <cell r="AA293">
            <v>0</v>
          </cell>
          <cell r="AB293">
            <v>0</v>
          </cell>
          <cell r="AC293">
            <v>0</v>
          </cell>
          <cell r="AD293">
            <v>0</v>
          </cell>
          <cell r="AE293">
            <v>0</v>
          </cell>
          <cell r="AF293">
            <v>0</v>
          </cell>
          <cell r="AG293">
            <v>0</v>
          </cell>
          <cell r="AH293" t="str">
            <v>▼</v>
          </cell>
          <cell r="AI293">
            <v>0</v>
          </cell>
          <cell r="AJ293">
            <v>0</v>
          </cell>
          <cell r="AK293">
            <v>0</v>
          </cell>
          <cell r="AL293">
            <v>0</v>
          </cell>
        </row>
        <row r="294">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row>
        <row r="295">
          <cell r="E295">
            <v>0</v>
          </cell>
          <cell r="F295">
            <v>0</v>
          </cell>
          <cell r="G295" t="str">
            <v/>
          </cell>
          <cell r="H295">
            <v>0</v>
          </cell>
          <cell r="I295">
            <v>0</v>
          </cell>
          <cell r="J295">
            <v>0</v>
          </cell>
          <cell r="K295">
            <v>0</v>
          </cell>
          <cell r="L295">
            <v>0</v>
          </cell>
          <cell r="M295">
            <v>0</v>
          </cell>
          <cell r="N295">
            <v>0</v>
          </cell>
          <cell r="O295">
            <v>0</v>
          </cell>
          <cell r="P295" t="str">
            <v>設備容量／面</v>
          </cell>
          <cell r="Q295">
            <v>0</v>
          </cell>
          <cell r="R295">
            <v>0</v>
          </cell>
          <cell r="S295">
            <v>0</v>
          </cell>
          <cell r="T295">
            <v>0</v>
          </cell>
          <cell r="U295">
            <v>0</v>
          </cell>
          <cell r="V295">
            <v>0</v>
          </cell>
          <cell r="W295">
            <v>0</v>
          </cell>
          <cell r="X295" t="str">
            <v>需要容量／面</v>
          </cell>
          <cell r="Y295">
            <v>0</v>
          </cell>
          <cell r="Z295">
            <v>0</v>
          </cell>
          <cell r="AA295">
            <v>0</v>
          </cell>
          <cell r="AB295">
            <v>0</v>
          </cell>
          <cell r="AC295">
            <v>0</v>
          </cell>
          <cell r="AD295">
            <v>0</v>
          </cell>
          <cell r="AE295">
            <v>0</v>
          </cell>
          <cell r="AF295" t="str">
            <v>電流 [A]</v>
          </cell>
          <cell r="AG295">
            <v>0</v>
          </cell>
          <cell r="AH295">
            <v>0</v>
          </cell>
          <cell r="AI295">
            <v>0</v>
          </cell>
          <cell r="AJ295">
            <v>0</v>
          </cell>
          <cell r="AK295" t="str">
            <v>配　線　材　料　／面</v>
          </cell>
          <cell r="AL295">
            <v>0</v>
          </cell>
        </row>
        <row r="296">
          <cell r="E296">
            <v>0</v>
          </cell>
          <cell r="F296">
            <v>0</v>
          </cell>
          <cell r="G296">
            <v>0</v>
          </cell>
          <cell r="H296">
            <v>0</v>
          </cell>
          <cell r="I296" t="str">
            <v>面</v>
          </cell>
          <cell r="J296">
            <v>0</v>
          </cell>
          <cell r="K296" t="str">
            <v>電気方式</v>
          </cell>
          <cell r="L296">
            <v>0</v>
          </cell>
          <cell r="M296">
            <v>0</v>
          </cell>
          <cell r="N296">
            <v>0</v>
          </cell>
          <cell r="O296">
            <v>0</v>
          </cell>
          <cell r="P296" t="str">
            <v>KW</v>
          </cell>
          <cell r="Q296">
            <v>0</v>
          </cell>
          <cell r="R296">
            <v>0</v>
          </cell>
          <cell r="S296">
            <v>0</v>
          </cell>
          <cell r="T296" t="str">
            <v>KVar</v>
          </cell>
          <cell r="U296">
            <v>0</v>
          </cell>
          <cell r="V296">
            <v>0</v>
          </cell>
          <cell r="W296">
            <v>0</v>
          </cell>
          <cell r="X296" t="str">
            <v>DmKW</v>
          </cell>
          <cell r="Y296">
            <v>0</v>
          </cell>
          <cell r="Z296">
            <v>0</v>
          </cell>
          <cell r="AA296">
            <v>0</v>
          </cell>
          <cell r="AB296" t="str">
            <v>DmKVar</v>
          </cell>
          <cell r="AC296">
            <v>0</v>
          </cell>
          <cell r="AD296">
            <v>0</v>
          </cell>
          <cell r="AE296">
            <v>0</v>
          </cell>
          <cell r="AF296" t="str">
            <v>設備/需要</v>
          </cell>
          <cell r="AG296">
            <v>0</v>
          </cell>
          <cell r="AH296">
            <v>0</v>
          </cell>
          <cell r="AI296">
            <v>0</v>
          </cell>
          <cell r="AJ296">
            <v>0</v>
          </cell>
          <cell r="AK296" t="str">
            <v>名 称</v>
          </cell>
          <cell r="AL296">
            <v>0</v>
          </cell>
        </row>
        <row r="297">
          <cell r="E297">
            <v>0</v>
          </cell>
          <cell r="F297">
            <v>0</v>
          </cell>
          <cell r="G297">
            <v>0</v>
          </cell>
          <cell r="H297">
            <v>0</v>
          </cell>
          <cell r="I297" t="str">
            <v/>
          </cell>
          <cell r="J297">
            <v>0</v>
          </cell>
          <cell r="K297" t="str">
            <v/>
          </cell>
          <cell r="L297">
            <v>0</v>
          </cell>
          <cell r="M297">
            <v>0</v>
          </cell>
          <cell r="N297">
            <v>0</v>
          </cell>
          <cell r="O297">
            <v>0</v>
          </cell>
          <cell r="P297" t="str">
            <v/>
          </cell>
          <cell r="Q297">
            <v>0</v>
          </cell>
          <cell r="R297">
            <v>0</v>
          </cell>
          <cell r="S297">
            <v>0</v>
          </cell>
          <cell r="T297" t="str">
            <v/>
          </cell>
          <cell r="U297">
            <v>0</v>
          </cell>
          <cell r="V297">
            <v>0</v>
          </cell>
          <cell r="W297">
            <v>0</v>
          </cell>
          <cell r="X297" t="str">
            <v/>
          </cell>
          <cell r="Y297">
            <v>0</v>
          </cell>
          <cell r="Z297">
            <v>0</v>
          </cell>
          <cell r="AA297">
            <v>0</v>
          </cell>
          <cell r="AB297" t="str">
            <v/>
          </cell>
          <cell r="AC297">
            <v>0</v>
          </cell>
          <cell r="AD297">
            <v>0</v>
          </cell>
          <cell r="AE297">
            <v>0</v>
          </cell>
          <cell r="AF297" t="str">
            <v/>
          </cell>
          <cell r="AG297">
            <v>0</v>
          </cell>
          <cell r="AH297">
            <v>0</v>
          </cell>
          <cell r="AI297">
            <v>0</v>
          </cell>
          <cell r="AJ297">
            <v>0</v>
          </cell>
          <cell r="AK297" t="str">
            <v>CVT</v>
          </cell>
          <cell r="AL297">
            <v>0</v>
          </cell>
        </row>
        <row r="298">
          <cell r="E298">
            <v>0</v>
          </cell>
          <cell r="F298">
            <v>0</v>
          </cell>
          <cell r="G298">
            <v>0</v>
          </cell>
          <cell r="H298">
            <v>0</v>
          </cell>
          <cell r="I298">
            <v>0</v>
          </cell>
          <cell r="J298">
            <v>0</v>
          </cell>
          <cell r="K298" t="str">
            <v/>
          </cell>
          <cell r="L298">
            <v>0</v>
          </cell>
          <cell r="M298">
            <v>0</v>
          </cell>
          <cell r="N298">
            <v>0</v>
          </cell>
          <cell r="O298">
            <v>0</v>
          </cell>
          <cell r="P298" t="str">
            <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t="str">
            <v/>
          </cell>
          <cell r="AG298">
            <v>0</v>
          </cell>
          <cell r="AH298">
            <v>0</v>
          </cell>
          <cell r="AI298">
            <v>0</v>
          </cell>
          <cell r="AJ298">
            <v>0</v>
          </cell>
          <cell r="AK298" t="str">
            <v>基底温度</v>
          </cell>
          <cell r="AL298">
            <v>0</v>
          </cell>
        </row>
        <row r="299">
          <cell r="E299">
            <v>0</v>
          </cell>
          <cell r="F299">
            <v>0</v>
          </cell>
          <cell r="G299">
            <v>0</v>
          </cell>
          <cell r="H299">
            <v>0</v>
          </cell>
          <cell r="I299">
            <v>0</v>
          </cell>
          <cell r="J299">
            <v>0</v>
          </cell>
          <cell r="K299" t="str">
            <v/>
          </cell>
          <cell r="L299">
            <v>0</v>
          </cell>
          <cell r="M299">
            <v>0</v>
          </cell>
          <cell r="N299">
            <v>0</v>
          </cell>
          <cell r="O299">
            <v>0</v>
          </cell>
          <cell r="P299" t="str">
            <v/>
          </cell>
          <cell r="Q299">
            <v>0</v>
          </cell>
          <cell r="R299">
            <v>0</v>
          </cell>
          <cell r="S299">
            <v>0</v>
          </cell>
          <cell r="T299" t="str">
            <v/>
          </cell>
          <cell r="U299">
            <v>0</v>
          </cell>
          <cell r="V299">
            <v>0</v>
          </cell>
          <cell r="W299">
            <v>0</v>
          </cell>
          <cell r="X299" t="str">
            <v/>
          </cell>
          <cell r="Y299">
            <v>0</v>
          </cell>
          <cell r="Z299">
            <v>0</v>
          </cell>
          <cell r="AA299">
            <v>0</v>
          </cell>
          <cell r="AB299" t="str">
            <v/>
          </cell>
          <cell r="AC299">
            <v>0</v>
          </cell>
          <cell r="AD299">
            <v>0</v>
          </cell>
          <cell r="AE299">
            <v>0</v>
          </cell>
          <cell r="AF299" t="str">
            <v/>
          </cell>
          <cell r="AG299">
            <v>0</v>
          </cell>
          <cell r="AH299">
            <v>0</v>
          </cell>
          <cell r="AI299">
            <v>0</v>
          </cell>
          <cell r="AJ299">
            <v>0</v>
          </cell>
          <cell r="AK299" t="str">
            <v>CVT</v>
          </cell>
          <cell r="AL299">
            <v>0</v>
          </cell>
        </row>
        <row r="300">
          <cell r="E300">
            <v>0</v>
          </cell>
          <cell r="F300">
            <v>0</v>
          </cell>
          <cell r="G300">
            <v>0</v>
          </cell>
          <cell r="H300">
            <v>0</v>
          </cell>
          <cell r="I300">
            <v>0</v>
          </cell>
          <cell r="J300">
            <v>0</v>
          </cell>
          <cell r="K300" t="str">
            <v/>
          </cell>
          <cell r="L300">
            <v>0</v>
          </cell>
          <cell r="M300">
            <v>0</v>
          </cell>
          <cell r="N300">
            <v>0</v>
          </cell>
          <cell r="O300">
            <v>0</v>
          </cell>
          <cell r="P300" t="str">
            <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t="str">
            <v/>
          </cell>
          <cell r="AG300">
            <v>0</v>
          </cell>
          <cell r="AH300">
            <v>0</v>
          </cell>
          <cell r="AI300">
            <v>0</v>
          </cell>
          <cell r="AJ300">
            <v>0</v>
          </cell>
          <cell r="AK300" t="str">
            <v>基底温度</v>
          </cell>
          <cell r="AL300">
            <v>0</v>
          </cell>
        </row>
        <row r="301">
          <cell r="E301">
            <v>0</v>
          </cell>
          <cell r="F301">
            <v>0</v>
          </cell>
          <cell r="G301">
            <v>0</v>
          </cell>
          <cell r="H301">
            <v>0</v>
          </cell>
          <cell r="I301" t="str">
            <v/>
          </cell>
          <cell r="J301">
            <v>0</v>
          </cell>
          <cell r="K301" t="str">
            <v/>
          </cell>
          <cell r="L301">
            <v>0</v>
          </cell>
          <cell r="M301">
            <v>0</v>
          </cell>
          <cell r="N301">
            <v>0</v>
          </cell>
          <cell r="O301">
            <v>0</v>
          </cell>
          <cell r="P301" t="str">
            <v/>
          </cell>
          <cell r="Q301">
            <v>0</v>
          </cell>
          <cell r="R301">
            <v>0</v>
          </cell>
          <cell r="S301">
            <v>0</v>
          </cell>
          <cell r="T301" t="str">
            <v/>
          </cell>
          <cell r="U301">
            <v>0</v>
          </cell>
          <cell r="V301">
            <v>0</v>
          </cell>
          <cell r="W301">
            <v>0</v>
          </cell>
          <cell r="X301" t="str">
            <v/>
          </cell>
          <cell r="Y301">
            <v>0</v>
          </cell>
          <cell r="Z301">
            <v>0</v>
          </cell>
          <cell r="AA301">
            <v>0</v>
          </cell>
          <cell r="AB301" t="str">
            <v/>
          </cell>
          <cell r="AC301">
            <v>0</v>
          </cell>
          <cell r="AD301">
            <v>0</v>
          </cell>
          <cell r="AE301">
            <v>0</v>
          </cell>
          <cell r="AF301" t="str">
            <v/>
          </cell>
          <cell r="AG301">
            <v>0</v>
          </cell>
          <cell r="AH301">
            <v>0</v>
          </cell>
          <cell r="AI301">
            <v>0</v>
          </cell>
          <cell r="AJ301">
            <v>0</v>
          </cell>
          <cell r="AK301" t="str">
            <v>CVT</v>
          </cell>
          <cell r="AL301">
            <v>0</v>
          </cell>
        </row>
        <row r="302">
          <cell r="E302">
            <v>0</v>
          </cell>
          <cell r="F302">
            <v>0</v>
          </cell>
          <cell r="G302">
            <v>0</v>
          </cell>
          <cell r="H302">
            <v>0</v>
          </cell>
          <cell r="I302">
            <v>0</v>
          </cell>
          <cell r="J302">
            <v>0</v>
          </cell>
          <cell r="K302" t="str">
            <v/>
          </cell>
          <cell r="L302">
            <v>0</v>
          </cell>
          <cell r="M302">
            <v>0</v>
          </cell>
          <cell r="N302">
            <v>0</v>
          </cell>
          <cell r="O302">
            <v>0</v>
          </cell>
          <cell r="P302" t="str">
            <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t="str">
            <v/>
          </cell>
          <cell r="AG302">
            <v>0</v>
          </cell>
          <cell r="AH302">
            <v>0</v>
          </cell>
          <cell r="AI302">
            <v>0</v>
          </cell>
          <cell r="AJ302">
            <v>0</v>
          </cell>
          <cell r="AK302" t="str">
            <v>基底温度</v>
          </cell>
          <cell r="AL302">
            <v>0</v>
          </cell>
        </row>
        <row r="303">
          <cell r="E303">
            <v>0</v>
          </cell>
          <cell r="F303">
            <v>0</v>
          </cell>
          <cell r="G303">
            <v>0</v>
          </cell>
          <cell r="H303">
            <v>0</v>
          </cell>
          <cell r="I303">
            <v>0</v>
          </cell>
          <cell r="J303">
            <v>0</v>
          </cell>
          <cell r="K303" t="str">
            <v/>
          </cell>
          <cell r="L303">
            <v>0</v>
          </cell>
          <cell r="M303">
            <v>0</v>
          </cell>
          <cell r="N303">
            <v>0</v>
          </cell>
          <cell r="O303">
            <v>0</v>
          </cell>
          <cell r="P303" t="str">
            <v/>
          </cell>
          <cell r="Q303">
            <v>0</v>
          </cell>
          <cell r="R303">
            <v>0</v>
          </cell>
          <cell r="S303">
            <v>0</v>
          </cell>
          <cell r="T303" t="str">
            <v/>
          </cell>
          <cell r="U303">
            <v>0</v>
          </cell>
          <cell r="V303">
            <v>0</v>
          </cell>
          <cell r="W303">
            <v>0</v>
          </cell>
          <cell r="X303" t="str">
            <v/>
          </cell>
          <cell r="Y303">
            <v>0</v>
          </cell>
          <cell r="Z303">
            <v>0</v>
          </cell>
          <cell r="AA303">
            <v>0</v>
          </cell>
          <cell r="AB303" t="str">
            <v/>
          </cell>
          <cell r="AC303">
            <v>0</v>
          </cell>
          <cell r="AD303">
            <v>0</v>
          </cell>
          <cell r="AE303">
            <v>0</v>
          </cell>
          <cell r="AF303" t="str">
            <v/>
          </cell>
          <cell r="AG303">
            <v>0</v>
          </cell>
          <cell r="AH303">
            <v>0</v>
          </cell>
          <cell r="AI303">
            <v>0</v>
          </cell>
          <cell r="AJ303">
            <v>0</v>
          </cell>
          <cell r="AK303" t="str">
            <v>CVT</v>
          </cell>
          <cell r="AL303">
            <v>0</v>
          </cell>
        </row>
        <row r="304">
          <cell r="E304">
            <v>0</v>
          </cell>
          <cell r="F304">
            <v>0</v>
          </cell>
          <cell r="G304">
            <v>0</v>
          </cell>
          <cell r="H304">
            <v>0</v>
          </cell>
          <cell r="I304">
            <v>0</v>
          </cell>
          <cell r="J304">
            <v>0</v>
          </cell>
          <cell r="K304" t="str">
            <v/>
          </cell>
          <cell r="L304">
            <v>0</v>
          </cell>
          <cell r="M304">
            <v>0</v>
          </cell>
          <cell r="N304">
            <v>0</v>
          </cell>
          <cell r="O304">
            <v>0</v>
          </cell>
          <cell r="P304" t="str">
            <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t="str">
            <v/>
          </cell>
          <cell r="AG304">
            <v>0</v>
          </cell>
          <cell r="AH304">
            <v>0</v>
          </cell>
          <cell r="AI304">
            <v>0</v>
          </cell>
          <cell r="AJ304">
            <v>0</v>
          </cell>
          <cell r="AK304" t="str">
            <v>基底温度</v>
          </cell>
          <cell r="AL304">
            <v>0</v>
          </cell>
        </row>
        <row r="305">
          <cell r="E305">
            <v>0</v>
          </cell>
          <cell r="F305">
            <v>0</v>
          </cell>
          <cell r="G305">
            <v>0</v>
          </cell>
          <cell r="H305">
            <v>0</v>
          </cell>
          <cell r="I305" t="str">
            <v/>
          </cell>
          <cell r="J305">
            <v>0</v>
          </cell>
          <cell r="K305" t="str">
            <v/>
          </cell>
          <cell r="L305">
            <v>0</v>
          </cell>
          <cell r="M305">
            <v>0</v>
          </cell>
          <cell r="N305">
            <v>0</v>
          </cell>
          <cell r="O305">
            <v>0</v>
          </cell>
          <cell r="P305" t="str">
            <v/>
          </cell>
          <cell r="Q305">
            <v>0</v>
          </cell>
          <cell r="R305">
            <v>0</v>
          </cell>
          <cell r="S305">
            <v>0</v>
          </cell>
          <cell r="T305" t="str">
            <v/>
          </cell>
          <cell r="U305">
            <v>0</v>
          </cell>
          <cell r="V305">
            <v>0</v>
          </cell>
          <cell r="W305">
            <v>0</v>
          </cell>
          <cell r="X305" t="str">
            <v/>
          </cell>
          <cell r="Y305">
            <v>0</v>
          </cell>
          <cell r="Z305">
            <v>0</v>
          </cell>
          <cell r="AA305">
            <v>0</v>
          </cell>
          <cell r="AB305" t="str">
            <v/>
          </cell>
          <cell r="AC305">
            <v>0</v>
          </cell>
          <cell r="AD305">
            <v>0</v>
          </cell>
          <cell r="AE305">
            <v>0</v>
          </cell>
          <cell r="AF305" t="str">
            <v/>
          </cell>
          <cell r="AG305">
            <v>0</v>
          </cell>
          <cell r="AH305">
            <v>0</v>
          </cell>
          <cell r="AI305">
            <v>0</v>
          </cell>
          <cell r="AJ305">
            <v>0</v>
          </cell>
          <cell r="AK305" t="str">
            <v>CVT</v>
          </cell>
          <cell r="AL305">
            <v>0</v>
          </cell>
        </row>
        <row r="306">
          <cell r="E306">
            <v>0</v>
          </cell>
          <cell r="F306">
            <v>0</v>
          </cell>
          <cell r="G306">
            <v>0</v>
          </cell>
          <cell r="H306">
            <v>0</v>
          </cell>
          <cell r="I306">
            <v>0</v>
          </cell>
          <cell r="J306">
            <v>0</v>
          </cell>
          <cell r="K306" t="str">
            <v/>
          </cell>
          <cell r="L306">
            <v>0</v>
          </cell>
          <cell r="M306">
            <v>0</v>
          </cell>
          <cell r="N306">
            <v>0</v>
          </cell>
          <cell r="O306">
            <v>0</v>
          </cell>
          <cell r="P306" t="str">
            <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t="str">
            <v/>
          </cell>
          <cell r="AG306">
            <v>0</v>
          </cell>
          <cell r="AH306">
            <v>0</v>
          </cell>
          <cell r="AI306">
            <v>0</v>
          </cell>
          <cell r="AJ306">
            <v>0</v>
          </cell>
          <cell r="AK306" t="str">
            <v>基底温度</v>
          </cell>
          <cell r="AL306">
            <v>0</v>
          </cell>
        </row>
        <row r="307">
          <cell r="E307">
            <v>0</v>
          </cell>
          <cell r="F307">
            <v>0</v>
          </cell>
          <cell r="G307">
            <v>0</v>
          </cell>
          <cell r="H307">
            <v>0</v>
          </cell>
          <cell r="I307">
            <v>0</v>
          </cell>
          <cell r="J307">
            <v>0</v>
          </cell>
          <cell r="K307">
            <v>0</v>
          </cell>
          <cell r="L307">
            <v>0</v>
          </cell>
          <cell r="M307">
            <v>0</v>
          </cell>
          <cell r="N307">
            <v>0</v>
          </cell>
          <cell r="O307">
            <v>0</v>
          </cell>
          <cell r="P307" t="str">
            <v/>
          </cell>
          <cell r="Q307">
            <v>0</v>
          </cell>
          <cell r="R307">
            <v>0</v>
          </cell>
          <cell r="S307">
            <v>0</v>
          </cell>
          <cell r="T307" t="str">
            <v/>
          </cell>
          <cell r="U307">
            <v>0</v>
          </cell>
          <cell r="V307">
            <v>0</v>
          </cell>
          <cell r="W307">
            <v>0</v>
          </cell>
          <cell r="X307" t="str">
            <v/>
          </cell>
          <cell r="Y307">
            <v>0</v>
          </cell>
          <cell r="Z307">
            <v>0</v>
          </cell>
          <cell r="AA307">
            <v>0</v>
          </cell>
          <cell r="AB307" t="str">
            <v/>
          </cell>
          <cell r="AC307">
            <v>0</v>
          </cell>
          <cell r="AD307">
            <v>0</v>
          </cell>
          <cell r="AE307">
            <v>0</v>
          </cell>
          <cell r="AF307" t="str">
            <v/>
          </cell>
          <cell r="AG307">
            <v>0</v>
          </cell>
          <cell r="AH307">
            <v>0</v>
          </cell>
          <cell r="AI307">
            <v>0</v>
          </cell>
          <cell r="AJ307">
            <v>0</v>
          </cell>
          <cell r="AK307" t="str">
            <v>CVT</v>
          </cell>
          <cell r="AL307">
            <v>0</v>
          </cell>
        </row>
        <row r="308">
          <cell r="E308">
            <v>0</v>
          </cell>
          <cell r="F308">
            <v>0</v>
          </cell>
          <cell r="G308">
            <v>0</v>
          </cell>
          <cell r="H308">
            <v>0</v>
          </cell>
          <cell r="I308">
            <v>0</v>
          </cell>
          <cell r="J308">
            <v>0</v>
          </cell>
          <cell r="K308">
            <v>0</v>
          </cell>
          <cell r="L308">
            <v>0</v>
          </cell>
          <cell r="M308">
            <v>0</v>
          </cell>
          <cell r="N308">
            <v>0</v>
          </cell>
          <cell r="O308">
            <v>0</v>
          </cell>
          <cell r="P308" t="str">
            <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t="str">
            <v/>
          </cell>
          <cell r="AG308">
            <v>0</v>
          </cell>
          <cell r="AH308">
            <v>0</v>
          </cell>
          <cell r="AI308">
            <v>0</v>
          </cell>
          <cell r="AJ308">
            <v>0</v>
          </cell>
          <cell r="AK308" t="str">
            <v>基底温度</v>
          </cell>
          <cell r="AL308">
            <v>0</v>
          </cell>
        </row>
        <row r="309">
          <cell r="E309">
            <v>0</v>
          </cell>
          <cell r="F309" t="str">
            <v>ケーブル配線工事</v>
          </cell>
          <cell r="G309">
            <v>0</v>
          </cell>
          <cell r="H309">
            <v>0</v>
          </cell>
          <cell r="I309">
            <v>0</v>
          </cell>
          <cell r="J309">
            <v>0</v>
          </cell>
          <cell r="K309">
            <v>0</v>
          </cell>
          <cell r="L309">
            <v>0</v>
          </cell>
          <cell r="M309">
            <v>0</v>
          </cell>
          <cell r="N309" t="str">
            <v>▼</v>
          </cell>
          <cell r="O309">
            <v>0</v>
          </cell>
          <cell r="P309">
            <v>0</v>
          </cell>
          <cell r="Q309">
            <v>0</v>
          </cell>
          <cell r="R309">
            <v>0</v>
          </cell>
          <cell r="S309">
            <v>0</v>
          </cell>
          <cell r="T309">
            <v>0</v>
          </cell>
          <cell r="U309">
            <v>0</v>
          </cell>
          <cell r="V309" t="str">
            <v>配管</v>
          </cell>
          <cell r="W309">
            <v>0</v>
          </cell>
          <cell r="X309">
            <v>0</v>
          </cell>
          <cell r="Y309" t="str">
            <v>ケーブルラック工事(1段)</v>
          </cell>
          <cell r="Z309">
            <v>0</v>
          </cell>
          <cell r="AA309">
            <v>0</v>
          </cell>
          <cell r="AB309">
            <v>0</v>
          </cell>
          <cell r="AC309">
            <v>0</v>
          </cell>
          <cell r="AD309">
            <v>0</v>
          </cell>
          <cell r="AE309">
            <v>0</v>
          </cell>
          <cell r="AF309">
            <v>0</v>
          </cell>
          <cell r="AG309">
            <v>0</v>
          </cell>
          <cell r="AH309" t="str">
            <v>▼</v>
          </cell>
          <cell r="AI309">
            <v>0</v>
          </cell>
          <cell r="AJ309">
            <v>0</v>
          </cell>
          <cell r="AK309">
            <v>0</v>
          </cell>
          <cell r="AL309">
            <v>0</v>
          </cell>
        </row>
        <row r="310">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row>
        <row r="311">
          <cell r="E311">
            <v>0</v>
          </cell>
          <cell r="F311">
            <v>0</v>
          </cell>
          <cell r="G311" t="str">
            <v/>
          </cell>
          <cell r="H311">
            <v>0</v>
          </cell>
          <cell r="I311">
            <v>0</v>
          </cell>
          <cell r="J311">
            <v>0</v>
          </cell>
          <cell r="K311">
            <v>0</v>
          </cell>
          <cell r="L311">
            <v>0</v>
          </cell>
          <cell r="M311">
            <v>0</v>
          </cell>
          <cell r="N311">
            <v>0</v>
          </cell>
          <cell r="O311">
            <v>0</v>
          </cell>
          <cell r="P311" t="str">
            <v>設備容量／面</v>
          </cell>
          <cell r="Q311">
            <v>0</v>
          </cell>
          <cell r="R311">
            <v>0</v>
          </cell>
          <cell r="S311">
            <v>0</v>
          </cell>
          <cell r="T311">
            <v>0</v>
          </cell>
          <cell r="U311">
            <v>0</v>
          </cell>
          <cell r="V311">
            <v>0</v>
          </cell>
          <cell r="W311">
            <v>0</v>
          </cell>
          <cell r="X311" t="str">
            <v>需要容量／面</v>
          </cell>
          <cell r="Y311">
            <v>0</v>
          </cell>
          <cell r="Z311">
            <v>0</v>
          </cell>
          <cell r="AA311">
            <v>0</v>
          </cell>
          <cell r="AB311">
            <v>0</v>
          </cell>
          <cell r="AC311">
            <v>0</v>
          </cell>
          <cell r="AD311">
            <v>0</v>
          </cell>
          <cell r="AE311">
            <v>0</v>
          </cell>
          <cell r="AF311" t="str">
            <v>電流 [A]</v>
          </cell>
          <cell r="AG311">
            <v>0</v>
          </cell>
          <cell r="AH311">
            <v>0</v>
          </cell>
          <cell r="AI311">
            <v>0</v>
          </cell>
          <cell r="AJ311">
            <v>0</v>
          </cell>
          <cell r="AK311" t="str">
            <v>配　線　材　料　／面</v>
          </cell>
          <cell r="AL311">
            <v>0</v>
          </cell>
        </row>
        <row r="312">
          <cell r="E312">
            <v>0</v>
          </cell>
          <cell r="F312">
            <v>0</v>
          </cell>
          <cell r="G312">
            <v>0</v>
          </cell>
          <cell r="H312">
            <v>0</v>
          </cell>
          <cell r="I312" t="str">
            <v>面</v>
          </cell>
          <cell r="J312">
            <v>0</v>
          </cell>
          <cell r="K312" t="str">
            <v>電気方式</v>
          </cell>
          <cell r="L312">
            <v>0</v>
          </cell>
          <cell r="M312">
            <v>0</v>
          </cell>
          <cell r="N312">
            <v>0</v>
          </cell>
          <cell r="O312">
            <v>0</v>
          </cell>
          <cell r="P312" t="str">
            <v>KW</v>
          </cell>
          <cell r="Q312">
            <v>0</v>
          </cell>
          <cell r="R312">
            <v>0</v>
          </cell>
          <cell r="S312">
            <v>0</v>
          </cell>
          <cell r="T312" t="str">
            <v>KVar</v>
          </cell>
          <cell r="U312">
            <v>0</v>
          </cell>
          <cell r="V312">
            <v>0</v>
          </cell>
          <cell r="W312">
            <v>0</v>
          </cell>
          <cell r="X312" t="str">
            <v>DmKW</v>
          </cell>
          <cell r="Y312">
            <v>0</v>
          </cell>
          <cell r="Z312">
            <v>0</v>
          </cell>
          <cell r="AA312">
            <v>0</v>
          </cell>
          <cell r="AB312" t="str">
            <v>DmKVar</v>
          </cell>
          <cell r="AC312">
            <v>0</v>
          </cell>
          <cell r="AD312">
            <v>0</v>
          </cell>
          <cell r="AE312">
            <v>0</v>
          </cell>
          <cell r="AF312" t="str">
            <v>設備/需要</v>
          </cell>
          <cell r="AG312">
            <v>0</v>
          </cell>
          <cell r="AH312">
            <v>0</v>
          </cell>
          <cell r="AI312">
            <v>0</v>
          </cell>
          <cell r="AJ312">
            <v>0</v>
          </cell>
          <cell r="AK312" t="str">
            <v>名 称</v>
          </cell>
          <cell r="AL312">
            <v>0</v>
          </cell>
        </row>
        <row r="313">
          <cell r="E313">
            <v>0</v>
          </cell>
          <cell r="F313">
            <v>0</v>
          </cell>
          <cell r="G313">
            <v>0</v>
          </cell>
          <cell r="H313">
            <v>0</v>
          </cell>
          <cell r="I313" t="str">
            <v/>
          </cell>
          <cell r="J313">
            <v>0</v>
          </cell>
          <cell r="K313" t="str">
            <v/>
          </cell>
          <cell r="L313">
            <v>0</v>
          </cell>
          <cell r="M313">
            <v>0</v>
          </cell>
          <cell r="N313">
            <v>0</v>
          </cell>
          <cell r="O313">
            <v>0</v>
          </cell>
          <cell r="P313" t="str">
            <v/>
          </cell>
          <cell r="Q313">
            <v>0</v>
          </cell>
          <cell r="R313">
            <v>0</v>
          </cell>
          <cell r="S313">
            <v>0</v>
          </cell>
          <cell r="T313" t="str">
            <v/>
          </cell>
          <cell r="U313">
            <v>0</v>
          </cell>
          <cell r="V313">
            <v>0</v>
          </cell>
          <cell r="W313">
            <v>0</v>
          </cell>
          <cell r="X313" t="str">
            <v/>
          </cell>
          <cell r="Y313">
            <v>0</v>
          </cell>
          <cell r="Z313">
            <v>0</v>
          </cell>
          <cell r="AA313">
            <v>0</v>
          </cell>
          <cell r="AB313" t="str">
            <v/>
          </cell>
          <cell r="AC313">
            <v>0</v>
          </cell>
          <cell r="AD313">
            <v>0</v>
          </cell>
          <cell r="AE313">
            <v>0</v>
          </cell>
          <cell r="AF313" t="str">
            <v/>
          </cell>
          <cell r="AG313">
            <v>0</v>
          </cell>
          <cell r="AH313">
            <v>0</v>
          </cell>
          <cell r="AI313">
            <v>0</v>
          </cell>
          <cell r="AJ313">
            <v>0</v>
          </cell>
          <cell r="AK313" t="str">
            <v>CVT</v>
          </cell>
          <cell r="AL313">
            <v>0</v>
          </cell>
        </row>
        <row r="314">
          <cell r="E314">
            <v>0</v>
          </cell>
          <cell r="F314">
            <v>0</v>
          </cell>
          <cell r="G314">
            <v>0</v>
          </cell>
          <cell r="H314">
            <v>0</v>
          </cell>
          <cell r="I314">
            <v>0</v>
          </cell>
          <cell r="J314">
            <v>0</v>
          </cell>
          <cell r="K314" t="str">
            <v/>
          </cell>
          <cell r="L314">
            <v>0</v>
          </cell>
          <cell r="M314">
            <v>0</v>
          </cell>
          <cell r="N314">
            <v>0</v>
          </cell>
          <cell r="O314">
            <v>0</v>
          </cell>
          <cell r="P314" t="str">
            <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t="str">
            <v/>
          </cell>
          <cell r="AG314">
            <v>0</v>
          </cell>
          <cell r="AH314">
            <v>0</v>
          </cell>
          <cell r="AI314">
            <v>0</v>
          </cell>
          <cell r="AJ314">
            <v>0</v>
          </cell>
          <cell r="AK314" t="str">
            <v>基底温度</v>
          </cell>
          <cell r="AL314">
            <v>0</v>
          </cell>
        </row>
        <row r="315">
          <cell r="E315">
            <v>0</v>
          </cell>
          <cell r="F315">
            <v>0</v>
          </cell>
          <cell r="G315">
            <v>0</v>
          </cell>
          <cell r="H315">
            <v>0</v>
          </cell>
          <cell r="I315">
            <v>0</v>
          </cell>
          <cell r="J315">
            <v>0</v>
          </cell>
          <cell r="K315" t="str">
            <v/>
          </cell>
          <cell r="L315">
            <v>0</v>
          </cell>
          <cell r="M315">
            <v>0</v>
          </cell>
          <cell r="N315">
            <v>0</v>
          </cell>
          <cell r="O315">
            <v>0</v>
          </cell>
          <cell r="P315" t="str">
            <v/>
          </cell>
          <cell r="Q315">
            <v>0</v>
          </cell>
          <cell r="R315">
            <v>0</v>
          </cell>
          <cell r="S315">
            <v>0</v>
          </cell>
          <cell r="T315" t="str">
            <v/>
          </cell>
          <cell r="U315">
            <v>0</v>
          </cell>
          <cell r="V315">
            <v>0</v>
          </cell>
          <cell r="W315">
            <v>0</v>
          </cell>
          <cell r="X315" t="str">
            <v/>
          </cell>
          <cell r="Y315">
            <v>0</v>
          </cell>
          <cell r="Z315">
            <v>0</v>
          </cell>
          <cell r="AA315">
            <v>0</v>
          </cell>
          <cell r="AB315" t="str">
            <v/>
          </cell>
          <cell r="AC315">
            <v>0</v>
          </cell>
          <cell r="AD315">
            <v>0</v>
          </cell>
          <cell r="AE315">
            <v>0</v>
          </cell>
          <cell r="AF315" t="str">
            <v/>
          </cell>
          <cell r="AG315">
            <v>0</v>
          </cell>
          <cell r="AH315">
            <v>0</v>
          </cell>
          <cell r="AI315">
            <v>0</v>
          </cell>
          <cell r="AJ315">
            <v>0</v>
          </cell>
          <cell r="AK315" t="str">
            <v>CVT</v>
          </cell>
          <cell r="AL315">
            <v>0</v>
          </cell>
        </row>
        <row r="316">
          <cell r="E316">
            <v>0</v>
          </cell>
          <cell r="F316">
            <v>0</v>
          </cell>
          <cell r="G316">
            <v>0</v>
          </cell>
          <cell r="H316">
            <v>0</v>
          </cell>
          <cell r="I316">
            <v>0</v>
          </cell>
          <cell r="J316">
            <v>0</v>
          </cell>
          <cell r="K316" t="str">
            <v/>
          </cell>
          <cell r="L316">
            <v>0</v>
          </cell>
          <cell r="M316">
            <v>0</v>
          </cell>
          <cell r="N316">
            <v>0</v>
          </cell>
          <cell r="O316">
            <v>0</v>
          </cell>
          <cell r="P316" t="str">
            <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t="str">
            <v/>
          </cell>
          <cell r="AG316">
            <v>0</v>
          </cell>
          <cell r="AH316">
            <v>0</v>
          </cell>
          <cell r="AI316">
            <v>0</v>
          </cell>
          <cell r="AJ316">
            <v>0</v>
          </cell>
          <cell r="AK316" t="str">
            <v>基底温度</v>
          </cell>
          <cell r="AL316">
            <v>0</v>
          </cell>
        </row>
        <row r="317">
          <cell r="E317">
            <v>0</v>
          </cell>
          <cell r="F317">
            <v>0</v>
          </cell>
          <cell r="G317">
            <v>0</v>
          </cell>
          <cell r="H317">
            <v>0</v>
          </cell>
          <cell r="I317" t="str">
            <v/>
          </cell>
          <cell r="J317">
            <v>0</v>
          </cell>
          <cell r="K317" t="str">
            <v/>
          </cell>
          <cell r="L317">
            <v>0</v>
          </cell>
          <cell r="M317">
            <v>0</v>
          </cell>
          <cell r="N317">
            <v>0</v>
          </cell>
          <cell r="O317">
            <v>0</v>
          </cell>
          <cell r="P317" t="str">
            <v/>
          </cell>
          <cell r="Q317">
            <v>0</v>
          </cell>
          <cell r="R317">
            <v>0</v>
          </cell>
          <cell r="S317">
            <v>0</v>
          </cell>
          <cell r="T317" t="str">
            <v/>
          </cell>
          <cell r="U317">
            <v>0</v>
          </cell>
          <cell r="V317">
            <v>0</v>
          </cell>
          <cell r="W317">
            <v>0</v>
          </cell>
          <cell r="X317" t="str">
            <v/>
          </cell>
          <cell r="Y317">
            <v>0</v>
          </cell>
          <cell r="Z317">
            <v>0</v>
          </cell>
          <cell r="AA317">
            <v>0</v>
          </cell>
          <cell r="AB317" t="str">
            <v/>
          </cell>
          <cell r="AC317">
            <v>0</v>
          </cell>
          <cell r="AD317">
            <v>0</v>
          </cell>
          <cell r="AE317">
            <v>0</v>
          </cell>
          <cell r="AF317" t="str">
            <v/>
          </cell>
          <cell r="AG317">
            <v>0</v>
          </cell>
          <cell r="AH317">
            <v>0</v>
          </cell>
          <cell r="AI317">
            <v>0</v>
          </cell>
          <cell r="AJ317">
            <v>0</v>
          </cell>
          <cell r="AK317" t="str">
            <v>CVT</v>
          </cell>
          <cell r="AL317">
            <v>0</v>
          </cell>
        </row>
        <row r="318">
          <cell r="E318">
            <v>0</v>
          </cell>
          <cell r="F318">
            <v>0</v>
          </cell>
          <cell r="G318">
            <v>0</v>
          </cell>
          <cell r="H318">
            <v>0</v>
          </cell>
          <cell r="I318">
            <v>0</v>
          </cell>
          <cell r="J318">
            <v>0</v>
          </cell>
          <cell r="K318" t="str">
            <v/>
          </cell>
          <cell r="L318">
            <v>0</v>
          </cell>
          <cell r="M318">
            <v>0</v>
          </cell>
          <cell r="N318">
            <v>0</v>
          </cell>
          <cell r="O318">
            <v>0</v>
          </cell>
          <cell r="P318" t="str">
            <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t="str">
            <v/>
          </cell>
          <cell r="AG318">
            <v>0</v>
          </cell>
          <cell r="AH318">
            <v>0</v>
          </cell>
          <cell r="AI318">
            <v>0</v>
          </cell>
          <cell r="AJ318">
            <v>0</v>
          </cell>
          <cell r="AK318" t="str">
            <v>基底温度</v>
          </cell>
          <cell r="AL318">
            <v>0</v>
          </cell>
        </row>
        <row r="319">
          <cell r="E319">
            <v>0</v>
          </cell>
          <cell r="F319">
            <v>0</v>
          </cell>
          <cell r="G319">
            <v>0</v>
          </cell>
          <cell r="H319">
            <v>0</v>
          </cell>
          <cell r="I319">
            <v>0</v>
          </cell>
          <cell r="J319">
            <v>0</v>
          </cell>
          <cell r="K319" t="str">
            <v/>
          </cell>
          <cell r="L319">
            <v>0</v>
          </cell>
          <cell r="M319">
            <v>0</v>
          </cell>
          <cell r="N319">
            <v>0</v>
          </cell>
          <cell r="O319">
            <v>0</v>
          </cell>
          <cell r="P319" t="str">
            <v/>
          </cell>
          <cell r="Q319">
            <v>0</v>
          </cell>
          <cell r="R319">
            <v>0</v>
          </cell>
          <cell r="S319">
            <v>0</v>
          </cell>
          <cell r="T319" t="str">
            <v/>
          </cell>
          <cell r="U319">
            <v>0</v>
          </cell>
          <cell r="V319">
            <v>0</v>
          </cell>
          <cell r="W319">
            <v>0</v>
          </cell>
          <cell r="X319" t="str">
            <v/>
          </cell>
          <cell r="Y319">
            <v>0</v>
          </cell>
          <cell r="Z319">
            <v>0</v>
          </cell>
          <cell r="AA319">
            <v>0</v>
          </cell>
          <cell r="AB319" t="str">
            <v/>
          </cell>
          <cell r="AC319">
            <v>0</v>
          </cell>
          <cell r="AD319">
            <v>0</v>
          </cell>
          <cell r="AE319">
            <v>0</v>
          </cell>
          <cell r="AF319" t="str">
            <v/>
          </cell>
          <cell r="AG319">
            <v>0</v>
          </cell>
          <cell r="AH319">
            <v>0</v>
          </cell>
          <cell r="AI319">
            <v>0</v>
          </cell>
          <cell r="AJ319">
            <v>0</v>
          </cell>
          <cell r="AK319" t="str">
            <v>CVT</v>
          </cell>
          <cell r="AL319">
            <v>0</v>
          </cell>
        </row>
        <row r="320">
          <cell r="E320">
            <v>0</v>
          </cell>
          <cell r="F320">
            <v>0</v>
          </cell>
          <cell r="G320">
            <v>0</v>
          </cell>
          <cell r="H320">
            <v>0</v>
          </cell>
          <cell r="I320">
            <v>0</v>
          </cell>
          <cell r="J320">
            <v>0</v>
          </cell>
          <cell r="K320" t="str">
            <v/>
          </cell>
          <cell r="L320">
            <v>0</v>
          </cell>
          <cell r="M320">
            <v>0</v>
          </cell>
          <cell r="N320">
            <v>0</v>
          </cell>
          <cell r="O320">
            <v>0</v>
          </cell>
          <cell r="P320" t="str">
            <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t="str">
            <v/>
          </cell>
          <cell r="AG320">
            <v>0</v>
          </cell>
          <cell r="AH320">
            <v>0</v>
          </cell>
          <cell r="AI320">
            <v>0</v>
          </cell>
          <cell r="AJ320">
            <v>0</v>
          </cell>
          <cell r="AK320" t="str">
            <v>基底温度</v>
          </cell>
          <cell r="AL320">
            <v>0</v>
          </cell>
        </row>
        <row r="321">
          <cell r="E321">
            <v>0</v>
          </cell>
          <cell r="F321">
            <v>0</v>
          </cell>
          <cell r="G321">
            <v>0</v>
          </cell>
          <cell r="H321">
            <v>0</v>
          </cell>
          <cell r="I321" t="str">
            <v/>
          </cell>
          <cell r="J321">
            <v>0</v>
          </cell>
          <cell r="K321" t="str">
            <v/>
          </cell>
          <cell r="L321">
            <v>0</v>
          </cell>
          <cell r="M321">
            <v>0</v>
          </cell>
          <cell r="N321">
            <v>0</v>
          </cell>
          <cell r="O321">
            <v>0</v>
          </cell>
          <cell r="P321" t="str">
            <v/>
          </cell>
          <cell r="Q321">
            <v>0</v>
          </cell>
          <cell r="R321">
            <v>0</v>
          </cell>
          <cell r="S321">
            <v>0</v>
          </cell>
          <cell r="T321" t="str">
            <v/>
          </cell>
          <cell r="U321">
            <v>0</v>
          </cell>
          <cell r="V321">
            <v>0</v>
          </cell>
          <cell r="W321">
            <v>0</v>
          </cell>
          <cell r="X321" t="str">
            <v/>
          </cell>
          <cell r="Y321">
            <v>0</v>
          </cell>
          <cell r="Z321">
            <v>0</v>
          </cell>
          <cell r="AA321">
            <v>0</v>
          </cell>
          <cell r="AB321" t="str">
            <v/>
          </cell>
          <cell r="AC321">
            <v>0</v>
          </cell>
          <cell r="AD321">
            <v>0</v>
          </cell>
          <cell r="AE321">
            <v>0</v>
          </cell>
          <cell r="AF321" t="str">
            <v/>
          </cell>
          <cell r="AG321">
            <v>0</v>
          </cell>
          <cell r="AH321">
            <v>0</v>
          </cell>
          <cell r="AI321">
            <v>0</v>
          </cell>
          <cell r="AJ321">
            <v>0</v>
          </cell>
          <cell r="AK321" t="str">
            <v>CVT</v>
          </cell>
          <cell r="AL321">
            <v>0</v>
          </cell>
        </row>
        <row r="322">
          <cell r="E322">
            <v>0</v>
          </cell>
          <cell r="F322">
            <v>0</v>
          </cell>
          <cell r="G322">
            <v>0</v>
          </cell>
          <cell r="H322">
            <v>0</v>
          </cell>
          <cell r="I322">
            <v>0</v>
          </cell>
          <cell r="J322">
            <v>0</v>
          </cell>
          <cell r="K322" t="str">
            <v/>
          </cell>
          <cell r="L322">
            <v>0</v>
          </cell>
          <cell r="M322">
            <v>0</v>
          </cell>
          <cell r="N322">
            <v>0</v>
          </cell>
          <cell r="O322">
            <v>0</v>
          </cell>
          <cell r="P322" t="str">
            <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t="str">
            <v/>
          </cell>
          <cell r="AG322">
            <v>0</v>
          </cell>
          <cell r="AH322">
            <v>0</v>
          </cell>
          <cell r="AI322">
            <v>0</v>
          </cell>
          <cell r="AJ322">
            <v>0</v>
          </cell>
          <cell r="AK322" t="str">
            <v>基底温度</v>
          </cell>
          <cell r="AL322">
            <v>0</v>
          </cell>
        </row>
        <row r="323">
          <cell r="E323">
            <v>0</v>
          </cell>
          <cell r="F323">
            <v>0</v>
          </cell>
          <cell r="G323">
            <v>0</v>
          </cell>
          <cell r="H323">
            <v>0</v>
          </cell>
          <cell r="I323">
            <v>0</v>
          </cell>
          <cell r="J323">
            <v>0</v>
          </cell>
          <cell r="K323">
            <v>0</v>
          </cell>
          <cell r="L323">
            <v>0</v>
          </cell>
          <cell r="M323">
            <v>0</v>
          </cell>
          <cell r="N323">
            <v>0</v>
          </cell>
          <cell r="O323">
            <v>0</v>
          </cell>
          <cell r="P323" t="str">
            <v/>
          </cell>
          <cell r="Q323">
            <v>0</v>
          </cell>
          <cell r="R323">
            <v>0</v>
          </cell>
          <cell r="S323">
            <v>0</v>
          </cell>
          <cell r="T323" t="str">
            <v/>
          </cell>
          <cell r="U323">
            <v>0</v>
          </cell>
          <cell r="V323">
            <v>0</v>
          </cell>
          <cell r="W323">
            <v>0</v>
          </cell>
          <cell r="X323" t="str">
            <v/>
          </cell>
          <cell r="Y323">
            <v>0</v>
          </cell>
          <cell r="Z323">
            <v>0</v>
          </cell>
          <cell r="AA323">
            <v>0</v>
          </cell>
          <cell r="AB323" t="str">
            <v/>
          </cell>
          <cell r="AC323">
            <v>0</v>
          </cell>
          <cell r="AD323">
            <v>0</v>
          </cell>
          <cell r="AE323">
            <v>0</v>
          </cell>
          <cell r="AF323" t="str">
            <v/>
          </cell>
          <cell r="AG323">
            <v>0</v>
          </cell>
          <cell r="AH323">
            <v>0</v>
          </cell>
          <cell r="AI323">
            <v>0</v>
          </cell>
          <cell r="AJ323">
            <v>0</v>
          </cell>
          <cell r="AK323" t="str">
            <v>CVT</v>
          </cell>
          <cell r="AL323">
            <v>0</v>
          </cell>
        </row>
        <row r="324">
          <cell r="E324">
            <v>0</v>
          </cell>
          <cell r="F324">
            <v>0</v>
          </cell>
          <cell r="G324">
            <v>0</v>
          </cell>
          <cell r="H324">
            <v>0</v>
          </cell>
          <cell r="I324">
            <v>0</v>
          </cell>
          <cell r="J324">
            <v>0</v>
          </cell>
          <cell r="K324">
            <v>0</v>
          </cell>
          <cell r="L324">
            <v>0</v>
          </cell>
          <cell r="M324">
            <v>0</v>
          </cell>
          <cell r="N324">
            <v>0</v>
          </cell>
          <cell r="O324">
            <v>0</v>
          </cell>
          <cell r="P324" t="str">
            <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t="str">
            <v/>
          </cell>
          <cell r="AG324">
            <v>0</v>
          </cell>
          <cell r="AH324">
            <v>0</v>
          </cell>
          <cell r="AI324">
            <v>0</v>
          </cell>
          <cell r="AJ324">
            <v>0</v>
          </cell>
          <cell r="AK324" t="str">
            <v>基底温度</v>
          </cell>
          <cell r="AL324">
            <v>0</v>
          </cell>
        </row>
        <row r="325">
          <cell r="E325">
            <v>0</v>
          </cell>
          <cell r="F325" t="str">
            <v>ケーブル配線工事</v>
          </cell>
          <cell r="G325">
            <v>0</v>
          </cell>
          <cell r="H325">
            <v>0</v>
          </cell>
          <cell r="I325">
            <v>0</v>
          </cell>
          <cell r="J325">
            <v>0</v>
          </cell>
          <cell r="K325">
            <v>0</v>
          </cell>
          <cell r="L325">
            <v>0</v>
          </cell>
          <cell r="M325">
            <v>0</v>
          </cell>
          <cell r="N325" t="str">
            <v>▼</v>
          </cell>
          <cell r="O325">
            <v>0</v>
          </cell>
          <cell r="P325">
            <v>0</v>
          </cell>
          <cell r="Q325">
            <v>0</v>
          </cell>
          <cell r="R325">
            <v>0</v>
          </cell>
          <cell r="S325">
            <v>0</v>
          </cell>
          <cell r="T325">
            <v>0</v>
          </cell>
          <cell r="U325">
            <v>0</v>
          </cell>
          <cell r="V325" t="str">
            <v>配管</v>
          </cell>
          <cell r="W325">
            <v>0</v>
          </cell>
          <cell r="X325">
            <v>0</v>
          </cell>
          <cell r="Y325" t="str">
            <v>ケーブルラック工事(1段)</v>
          </cell>
          <cell r="Z325">
            <v>0</v>
          </cell>
          <cell r="AA325">
            <v>0</v>
          </cell>
          <cell r="AB325">
            <v>0</v>
          </cell>
          <cell r="AC325">
            <v>0</v>
          </cell>
          <cell r="AD325">
            <v>0</v>
          </cell>
          <cell r="AE325">
            <v>0</v>
          </cell>
          <cell r="AF325">
            <v>0</v>
          </cell>
          <cell r="AG325">
            <v>0</v>
          </cell>
          <cell r="AH325" t="str">
            <v>▼</v>
          </cell>
          <cell r="AI325">
            <v>0</v>
          </cell>
          <cell r="AJ325">
            <v>0</v>
          </cell>
          <cell r="AK325">
            <v>0</v>
          </cell>
          <cell r="AL325">
            <v>0</v>
          </cell>
        </row>
        <row r="326">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row>
        <row r="327">
          <cell r="E327">
            <v>0</v>
          </cell>
          <cell r="F327">
            <v>0</v>
          </cell>
          <cell r="G327" t="str">
            <v/>
          </cell>
          <cell r="H327">
            <v>0</v>
          </cell>
          <cell r="I327">
            <v>0</v>
          </cell>
          <cell r="J327">
            <v>0</v>
          </cell>
          <cell r="K327">
            <v>0</v>
          </cell>
          <cell r="L327">
            <v>0</v>
          </cell>
          <cell r="M327">
            <v>0</v>
          </cell>
          <cell r="N327">
            <v>0</v>
          </cell>
          <cell r="O327">
            <v>0</v>
          </cell>
          <cell r="P327" t="str">
            <v>設備容量／面</v>
          </cell>
          <cell r="Q327">
            <v>0</v>
          </cell>
          <cell r="R327">
            <v>0</v>
          </cell>
          <cell r="S327">
            <v>0</v>
          </cell>
          <cell r="T327">
            <v>0</v>
          </cell>
          <cell r="U327">
            <v>0</v>
          </cell>
          <cell r="V327">
            <v>0</v>
          </cell>
          <cell r="W327">
            <v>0</v>
          </cell>
          <cell r="X327" t="str">
            <v>需要容量／面</v>
          </cell>
          <cell r="Y327">
            <v>0</v>
          </cell>
          <cell r="Z327">
            <v>0</v>
          </cell>
          <cell r="AA327">
            <v>0</v>
          </cell>
          <cell r="AB327">
            <v>0</v>
          </cell>
          <cell r="AC327">
            <v>0</v>
          </cell>
          <cell r="AD327">
            <v>0</v>
          </cell>
          <cell r="AE327">
            <v>0</v>
          </cell>
          <cell r="AF327" t="str">
            <v>電流 [A]</v>
          </cell>
          <cell r="AG327">
            <v>0</v>
          </cell>
          <cell r="AH327">
            <v>0</v>
          </cell>
          <cell r="AI327">
            <v>0</v>
          </cell>
          <cell r="AJ327">
            <v>0</v>
          </cell>
          <cell r="AK327" t="str">
            <v>配　線　材　料　／面</v>
          </cell>
          <cell r="AL327">
            <v>0</v>
          </cell>
        </row>
        <row r="328">
          <cell r="E328">
            <v>0</v>
          </cell>
          <cell r="F328">
            <v>0</v>
          </cell>
          <cell r="G328">
            <v>0</v>
          </cell>
          <cell r="H328">
            <v>0</v>
          </cell>
          <cell r="I328" t="str">
            <v>面</v>
          </cell>
          <cell r="J328">
            <v>0</v>
          </cell>
          <cell r="K328" t="str">
            <v>電気方式</v>
          </cell>
          <cell r="L328">
            <v>0</v>
          </cell>
          <cell r="M328">
            <v>0</v>
          </cell>
          <cell r="N328">
            <v>0</v>
          </cell>
          <cell r="O328">
            <v>0</v>
          </cell>
          <cell r="P328" t="str">
            <v>KW</v>
          </cell>
          <cell r="Q328">
            <v>0</v>
          </cell>
          <cell r="R328">
            <v>0</v>
          </cell>
          <cell r="S328">
            <v>0</v>
          </cell>
          <cell r="T328" t="str">
            <v>KVar</v>
          </cell>
          <cell r="U328">
            <v>0</v>
          </cell>
          <cell r="V328">
            <v>0</v>
          </cell>
          <cell r="W328">
            <v>0</v>
          </cell>
          <cell r="X328" t="str">
            <v>DmKW</v>
          </cell>
          <cell r="Y328">
            <v>0</v>
          </cell>
          <cell r="Z328">
            <v>0</v>
          </cell>
          <cell r="AA328">
            <v>0</v>
          </cell>
          <cell r="AB328" t="str">
            <v>DmKVar</v>
          </cell>
          <cell r="AC328">
            <v>0</v>
          </cell>
          <cell r="AD328">
            <v>0</v>
          </cell>
          <cell r="AE328">
            <v>0</v>
          </cell>
          <cell r="AF328" t="str">
            <v>設備/需要</v>
          </cell>
          <cell r="AG328">
            <v>0</v>
          </cell>
          <cell r="AH328">
            <v>0</v>
          </cell>
          <cell r="AI328">
            <v>0</v>
          </cell>
          <cell r="AJ328">
            <v>0</v>
          </cell>
          <cell r="AK328" t="str">
            <v>名 称</v>
          </cell>
          <cell r="AL328">
            <v>0</v>
          </cell>
        </row>
        <row r="329">
          <cell r="E329">
            <v>0</v>
          </cell>
          <cell r="F329">
            <v>0</v>
          </cell>
          <cell r="G329">
            <v>0</v>
          </cell>
          <cell r="H329">
            <v>0</v>
          </cell>
          <cell r="I329" t="str">
            <v/>
          </cell>
          <cell r="J329">
            <v>0</v>
          </cell>
          <cell r="K329" t="str">
            <v/>
          </cell>
          <cell r="L329">
            <v>0</v>
          </cell>
          <cell r="M329">
            <v>0</v>
          </cell>
          <cell r="N329">
            <v>0</v>
          </cell>
          <cell r="O329">
            <v>0</v>
          </cell>
          <cell r="P329" t="str">
            <v/>
          </cell>
          <cell r="Q329">
            <v>0</v>
          </cell>
          <cell r="R329">
            <v>0</v>
          </cell>
          <cell r="S329">
            <v>0</v>
          </cell>
          <cell r="T329" t="str">
            <v/>
          </cell>
          <cell r="U329">
            <v>0</v>
          </cell>
          <cell r="V329">
            <v>0</v>
          </cell>
          <cell r="W329">
            <v>0</v>
          </cell>
          <cell r="X329" t="str">
            <v/>
          </cell>
          <cell r="Y329">
            <v>0</v>
          </cell>
          <cell r="Z329">
            <v>0</v>
          </cell>
          <cell r="AA329">
            <v>0</v>
          </cell>
          <cell r="AB329" t="str">
            <v/>
          </cell>
          <cell r="AC329">
            <v>0</v>
          </cell>
          <cell r="AD329">
            <v>0</v>
          </cell>
          <cell r="AE329">
            <v>0</v>
          </cell>
          <cell r="AF329" t="str">
            <v/>
          </cell>
          <cell r="AG329">
            <v>0</v>
          </cell>
          <cell r="AH329">
            <v>0</v>
          </cell>
          <cell r="AI329">
            <v>0</v>
          </cell>
          <cell r="AJ329">
            <v>0</v>
          </cell>
          <cell r="AK329" t="str">
            <v>CVT</v>
          </cell>
          <cell r="AL329">
            <v>0</v>
          </cell>
        </row>
        <row r="330">
          <cell r="E330">
            <v>0</v>
          </cell>
          <cell r="F330">
            <v>0</v>
          </cell>
          <cell r="G330">
            <v>0</v>
          </cell>
          <cell r="H330">
            <v>0</v>
          </cell>
          <cell r="I330">
            <v>0</v>
          </cell>
          <cell r="J330">
            <v>0</v>
          </cell>
          <cell r="K330" t="str">
            <v/>
          </cell>
          <cell r="L330">
            <v>0</v>
          </cell>
          <cell r="M330">
            <v>0</v>
          </cell>
          <cell r="N330">
            <v>0</v>
          </cell>
          <cell r="O330">
            <v>0</v>
          </cell>
          <cell r="P330" t="str">
            <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t="str">
            <v/>
          </cell>
          <cell r="AG330">
            <v>0</v>
          </cell>
          <cell r="AH330">
            <v>0</v>
          </cell>
          <cell r="AI330">
            <v>0</v>
          </cell>
          <cell r="AJ330">
            <v>0</v>
          </cell>
          <cell r="AK330" t="str">
            <v>基底温度</v>
          </cell>
          <cell r="AL330">
            <v>0</v>
          </cell>
        </row>
        <row r="331">
          <cell r="E331">
            <v>0</v>
          </cell>
          <cell r="F331">
            <v>0</v>
          </cell>
          <cell r="G331">
            <v>0</v>
          </cell>
          <cell r="H331">
            <v>0</v>
          </cell>
          <cell r="I331">
            <v>0</v>
          </cell>
          <cell r="J331">
            <v>0</v>
          </cell>
          <cell r="K331" t="str">
            <v/>
          </cell>
          <cell r="L331">
            <v>0</v>
          </cell>
          <cell r="M331">
            <v>0</v>
          </cell>
          <cell r="N331">
            <v>0</v>
          </cell>
          <cell r="O331">
            <v>0</v>
          </cell>
          <cell r="P331" t="str">
            <v/>
          </cell>
          <cell r="Q331">
            <v>0</v>
          </cell>
          <cell r="R331">
            <v>0</v>
          </cell>
          <cell r="S331">
            <v>0</v>
          </cell>
          <cell r="T331" t="str">
            <v/>
          </cell>
          <cell r="U331">
            <v>0</v>
          </cell>
          <cell r="V331">
            <v>0</v>
          </cell>
          <cell r="W331">
            <v>0</v>
          </cell>
          <cell r="X331" t="str">
            <v/>
          </cell>
          <cell r="Y331">
            <v>0</v>
          </cell>
          <cell r="Z331">
            <v>0</v>
          </cell>
          <cell r="AA331">
            <v>0</v>
          </cell>
          <cell r="AB331" t="str">
            <v/>
          </cell>
          <cell r="AC331">
            <v>0</v>
          </cell>
          <cell r="AD331">
            <v>0</v>
          </cell>
          <cell r="AE331">
            <v>0</v>
          </cell>
          <cell r="AF331" t="str">
            <v/>
          </cell>
          <cell r="AG331">
            <v>0</v>
          </cell>
          <cell r="AH331">
            <v>0</v>
          </cell>
          <cell r="AI331">
            <v>0</v>
          </cell>
          <cell r="AJ331">
            <v>0</v>
          </cell>
          <cell r="AK331" t="str">
            <v>CVT</v>
          </cell>
          <cell r="AL331">
            <v>0</v>
          </cell>
        </row>
        <row r="332">
          <cell r="E332">
            <v>0</v>
          </cell>
          <cell r="F332">
            <v>0</v>
          </cell>
          <cell r="G332">
            <v>0</v>
          </cell>
          <cell r="H332">
            <v>0</v>
          </cell>
          <cell r="I332">
            <v>0</v>
          </cell>
          <cell r="J332">
            <v>0</v>
          </cell>
          <cell r="K332" t="str">
            <v/>
          </cell>
          <cell r="L332">
            <v>0</v>
          </cell>
          <cell r="M332">
            <v>0</v>
          </cell>
          <cell r="N332">
            <v>0</v>
          </cell>
          <cell r="O332">
            <v>0</v>
          </cell>
          <cell r="P332" t="str">
            <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t="str">
            <v/>
          </cell>
          <cell r="AG332">
            <v>0</v>
          </cell>
          <cell r="AH332">
            <v>0</v>
          </cell>
          <cell r="AI332">
            <v>0</v>
          </cell>
          <cell r="AJ332">
            <v>0</v>
          </cell>
          <cell r="AK332" t="str">
            <v>基底温度</v>
          </cell>
          <cell r="AL332">
            <v>0</v>
          </cell>
        </row>
        <row r="333">
          <cell r="E333">
            <v>0</v>
          </cell>
          <cell r="F333">
            <v>0</v>
          </cell>
          <cell r="G333">
            <v>0</v>
          </cell>
          <cell r="H333">
            <v>0</v>
          </cell>
          <cell r="I333" t="str">
            <v/>
          </cell>
          <cell r="J333">
            <v>0</v>
          </cell>
          <cell r="K333" t="str">
            <v/>
          </cell>
          <cell r="L333">
            <v>0</v>
          </cell>
          <cell r="M333">
            <v>0</v>
          </cell>
          <cell r="N333">
            <v>0</v>
          </cell>
          <cell r="O333">
            <v>0</v>
          </cell>
          <cell r="P333" t="str">
            <v/>
          </cell>
          <cell r="Q333">
            <v>0</v>
          </cell>
          <cell r="R333">
            <v>0</v>
          </cell>
          <cell r="S333">
            <v>0</v>
          </cell>
          <cell r="T333" t="str">
            <v/>
          </cell>
          <cell r="U333">
            <v>0</v>
          </cell>
          <cell r="V333">
            <v>0</v>
          </cell>
          <cell r="W333">
            <v>0</v>
          </cell>
          <cell r="X333" t="str">
            <v/>
          </cell>
          <cell r="Y333">
            <v>0</v>
          </cell>
          <cell r="Z333">
            <v>0</v>
          </cell>
          <cell r="AA333">
            <v>0</v>
          </cell>
          <cell r="AB333" t="str">
            <v/>
          </cell>
          <cell r="AC333">
            <v>0</v>
          </cell>
          <cell r="AD333">
            <v>0</v>
          </cell>
          <cell r="AE333">
            <v>0</v>
          </cell>
          <cell r="AF333" t="str">
            <v/>
          </cell>
          <cell r="AG333">
            <v>0</v>
          </cell>
          <cell r="AH333">
            <v>0</v>
          </cell>
          <cell r="AI333">
            <v>0</v>
          </cell>
          <cell r="AJ333">
            <v>0</v>
          </cell>
          <cell r="AK333" t="str">
            <v>CVT</v>
          </cell>
          <cell r="AL333">
            <v>0</v>
          </cell>
        </row>
        <row r="334">
          <cell r="E334">
            <v>0</v>
          </cell>
          <cell r="F334">
            <v>0</v>
          </cell>
          <cell r="G334">
            <v>0</v>
          </cell>
          <cell r="H334">
            <v>0</v>
          </cell>
          <cell r="I334">
            <v>0</v>
          </cell>
          <cell r="J334">
            <v>0</v>
          </cell>
          <cell r="K334" t="str">
            <v/>
          </cell>
          <cell r="L334">
            <v>0</v>
          </cell>
          <cell r="M334">
            <v>0</v>
          </cell>
          <cell r="N334">
            <v>0</v>
          </cell>
          <cell r="O334">
            <v>0</v>
          </cell>
          <cell r="P334" t="str">
            <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t="str">
            <v/>
          </cell>
          <cell r="AG334">
            <v>0</v>
          </cell>
          <cell r="AH334">
            <v>0</v>
          </cell>
          <cell r="AI334">
            <v>0</v>
          </cell>
          <cell r="AJ334">
            <v>0</v>
          </cell>
          <cell r="AK334" t="str">
            <v>基底温度</v>
          </cell>
          <cell r="AL334">
            <v>0</v>
          </cell>
        </row>
        <row r="335">
          <cell r="E335">
            <v>0</v>
          </cell>
          <cell r="F335">
            <v>0</v>
          </cell>
          <cell r="G335">
            <v>0</v>
          </cell>
          <cell r="H335">
            <v>0</v>
          </cell>
          <cell r="I335">
            <v>0</v>
          </cell>
          <cell r="J335">
            <v>0</v>
          </cell>
          <cell r="K335" t="str">
            <v/>
          </cell>
          <cell r="L335">
            <v>0</v>
          </cell>
          <cell r="M335">
            <v>0</v>
          </cell>
          <cell r="N335">
            <v>0</v>
          </cell>
          <cell r="O335">
            <v>0</v>
          </cell>
          <cell r="P335" t="str">
            <v/>
          </cell>
          <cell r="Q335">
            <v>0</v>
          </cell>
          <cell r="R335">
            <v>0</v>
          </cell>
          <cell r="S335">
            <v>0</v>
          </cell>
          <cell r="T335" t="str">
            <v/>
          </cell>
          <cell r="U335">
            <v>0</v>
          </cell>
          <cell r="V335">
            <v>0</v>
          </cell>
          <cell r="W335">
            <v>0</v>
          </cell>
          <cell r="X335" t="str">
            <v/>
          </cell>
          <cell r="Y335">
            <v>0</v>
          </cell>
          <cell r="Z335">
            <v>0</v>
          </cell>
          <cell r="AA335">
            <v>0</v>
          </cell>
          <cell r="AB335" t="str">
            <v/>
          </cell>
          <cell r="AC335">
            <v>0</v>
          </cell>
          <cell r="AD335">
            <v>0</v>
          </cell>
          <cell r="AE335">
            <v>0</v>
          </cell>
          <cell r="AF335" t="str">
            <v/>
          </cell>
          <cell r="AG335">
            <v>0</v>
          </cell>
          <cell r="AH335">
            <v>0</v>
          </cell>
          <cell r="AI335">
            <v>0</v>
          </cell>
          <cell r="AJ335">
            <v>0</v>
          </cell>
          <cell r="AK335" t="str">
            <v>CVT</v>
          </cell>
          <cell r="AL335">
            <v>0</v>
          </cell>
        </row>
        <row r="336">
          <cell r="E336">
            <v>0</v>
          </cell>
          <cell r="F336">
            <v>0</v>
          </cell>
          <cell r="G336">
            <v>0</v>
          </cell>
          <cell r="H336">
            <v>0</v>
          </cell>
          <cell r="I336">
            <v>0</v>
          </cell>
          <cell r="J336">
            <v>0</v>
          </cell>
          <cell r="K336" t="str">
            <v/>
          </cell>
          <cell r="L336">
            <v>0</v>
          </cell>
          <cell r="M336">
            <v>0</v>
          </cell>
          <cell r="N336">
            <v>0</v>
          </cell>
          <cell r="O336">
            <v>0</v>
          </cell>
          <cell r="P336" t="str">
            <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t="str">
            <v/>
          </cell>
          <cell r="AG336">
            <v>0</v>
          </cell>
          <cell r="AH336">
            <v>0</v>
          </cell>
          <cell r="AI336">
            <v>0</v>
          </cell>
          <cell r="AJ336">
            <v>0</v>
          </cell>
          <cell r="AK336" t="str">
            <v>基底温度</v>
          </cell>
          <cell r="AL336">
            <v>0</v>
          </cell>
        </row>
        <row r="337">
          <cell r="E337">
            <v>0</v>
          </cell>
          <cell r="F337">
            <v>0</v>
          </cell>
          <cell r="G337">
            <v>0</v>
          </cell>
          <cell r="H337">
            <v>0</v>
          </cell>
          <cell r="I337" t="str">
            <v/>
          </cell>
          <cell r="J337">
            <v>0</v>
          </cell>
          <cell r="K337" t="str">
            <v/>
          </cell>
          <cell r="L337">
            <v>0</v>
          </cell>
          <cell r="M337">
            <v>0</v>
          </cell>
          <cell r="N337">
            <v>0</v>
          </cell>
          <cell r="O337">
            <v>0</v>
          </cell>
          <cell r="P337" t="str">
            <v/>
          </cell>
          <cell r="Q337">
            <v>0</v>
          </cell>
          <cell r="R337">
            <v>0</v>
          </cell>
          <cell r="S337">
            <v>0</v>
          </cell>
          <cell r="T337" t="str">
            <v/>
          </cell>
          <cell r="U337">
            <v>0</v>
          </cell>
          <cell r="V337">
            <v>0</v>
          </cell>
          <cell r="W337">
            <v>0</v>
          </cell>
          <cell r="X337" t="str">
            <v/>
          </cell>
          <cell r="Y337">
            <v>0</v>
          </cell>
          <cell r="Z337">
            <v>0</v>
          </cell>
          <cell r="AA337">
            <v>0</v>
          </cell>
          <cell r="AB337" t="str">
            <v/>
          </cell>
          <cell r="AC337">
            <v>0</v>
          </cell>
          <cell r="AD337">
            <v>0</v>
          </cell>
          <cell r="AE337">
            <v>0</v>
          </cell>
          <cell r="AF337" t="str">
            <v/>
          </cell>
          <cell r="AG337">
            <v>0</v>
          </cell>
          <cell r="AH337">
            <v>0</v>
          </cell>
          <cell r="AI337">
            <v>0</v>
          </cell>
          <cell r="AJ337">
            <v>0</v>
          </cell>
          <cell r="AK337" t="str">
            <v>CVT</v>
          </cell>
          <cell r="AL337">
            <v>0</v>
          </cell>
        </row>
        <row r="338">
          <cell r="E338">
            <v>0</v>
          </cell>
          <cell r="F338">
            <v>0</v>
          </cell>
          <cell r="G338">
            <v>0</v>
          </cell>
          <cell r="H338">
            <v>0</v>
          </cell>
          <cell r="I338">
            <v>0</v>
          </cell>
          <cell r="J338">
            <v>0</v>
          </cell>
          <cell r="K338" t="str">
            <v/>
          </cell>
          <cell r="L338">
            <v>0</v>
          </cell>
          <cell r="M338">
            <v>0</v>
          </cell>
          <cell r="N338">
            <v>0</v>
          </cell>
          <cell r="O338">
            <v>0</v>
          </cell>
          <cell r="P338" t="str">
            <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t="str">
            <v/>
          </cell>
          <cell r="AG338">
            <v>0</v>
          </cell>
          <cell r="AH338">
            <v>0</v>
          </cell>
          <cell r="AI338">
            <v>0</v>
          </cell>
          <cell r="AJ338">
            <v>0</v>
          </cell>
          <cell r="AK338" t="str">
            <v>基底温度</v>
          </cell>
          <cell r="AL338">
            <v>0</v>
          </cell>
        </row>
        <row r="339">
          <cell r="E339">
            <v>0</v>
          </cell>
          <cell r="F339">
            <v>0</v>
          </cell>
          <cell r="G339">
            <v>0</v>
          </cell>
          <cell r="H339">
            <v>0</v>
          </cell>
          <cell r="I339">
            <v>0</v>
          </cell>
          <cell r="J339">
            <v>0</v>
          </cell>
          <cell r="K339">
            <v>0</v>
          </cell>
          <cell r="L339">
            <v>0</v>
          </cell>
          <cell r="M339">
            <v>0</v>
          </cell>
          <cell r="N339">
            <v>0</v>
          </cell>
          <cell r="O339">
            <v>0</v>
          </cell>
          <cell r="P339" t="str">
            <v/>
          </cell>
          <cell r="Q339">
            <v>0</v>
          </cell>
          <cell r="R339">
            <v>0</v>
          </cell>
          <cell r="S339">
            <v>0</v>
          </cell>
          <cell r="T339" t="str">
            <v/>
          </cell>
          <cell r="U339">
            <v>0</v>
          </cell>
          <cell r="V339">
            <v>0</v>
          </cell>
          <cell r="W339">
            <v>0</v>
          </cell>
          <cell r="X339" t="str">
            <v/>
          </cell>
          <cell r="Y339">
            <v>0</v>
          </cell>
          <cell r="Z339">
            <v>0</v>
          </cell>
          <cell r="AA339">
            <v>0</v>
          </cell>
          <cell r="AB339" t="str">
            <v/>
          </cell>
          <cell r="AC339">
            <v>0</v>
          </cell>
          <cell r="AD339">
            <v>0</v>
          </cell>
          <cell r="AE339">
            <v>0</v>
          </cell>
          <cell r="AF339" t="str">
            <v/>
          </cell>
          <cell r="AG339">
            <v>0</v>
          </cell>
          <cell r="AH339">
            <v>0</v>
          </cell>
          <cell r="AI339">
            <v>0</v>
          </cell>
          <cell r="AJ339">
            <v>0</v>
          </cell>
          <cell r="AK339" t="str">
            <v>CVT</v>
          </cell>
          <cell r="AL339">
            <v>0</v>
          </cell>
        </row>
        <row r="340">
          <cell r="E340">
            <v>0</v>
          </cell>
          <cell r="F340">
            <v>0</v>
          </cell>
          <cell r="G340">
            <v>0</v>
          </cell>
          <cell r="H340">
            <v>0</v>
          </cell>
          <cell r="I340">
            <v>0</v>
          </cell>
          <cell r="J340">
            <v>0</v>
          </cell>
          <cell r="K340">
            <v>0</v>
          </cell>
          <cell r="L340">
            <v>0</v>
          </cell>
          <cell r="M340">
            <v>0</v>
          </cell>
          <cell r="N340">
            <v>0</v>
          </cell>
          <cell r="O340">
            <v>0</v>
          </cell>
          <cell r="P340" t="str">
            <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t="str">
            <v/>
          </cell>
          <cell r="AG340">
            <v>0</v>
          </cell>
          <cell r="AH340">
            <v>0</v>
          </cell>
          <cell r="AI340">
            <v>0</v>
          </cell>
          <cell r="AJ340">
            <v>0</v>
          </cell>
          <cell r="AK340" t="str">
            <v>基底温度</v>
          </cell>
          <cell r="AL340">
            <v>0</v>
          </cell>
        </row>
        <row r="341">
          <cell r="E341">
            <v>0</v>
          </cell>
          <cell r="F341" t="str">
            <v>ケーブル配線工事</v>
          </cell>
          <cell r="G341">
            <v>0</v>
          </cell>
          <cell r="H341">
            <v>0</v>
          </cell>
          <cell r="I341">
            <v>0</v>
          </cell>
          <cell r="J341">
            <v>0</v>
          </cell>
          <cell r="K341">
            <v>0</v>
          </cell>
          <cell r="L341">
            <v>0</v>
          </cell>
          <cell r="M341">
            <v>0</v>
          </cell>
          <cell r="N341" t="str">
            <v>▼</v>
          </cell>
          <cell r="O341">
            <v>0</v>
          </cell>
          <cell r="P341">
            <v>0</v>
          </cell>
          <cell r="Q341">
            <v>0</v>
          </cell>
          <cell r="R341">
            <v>0</v>
          </cell>
          <cell r="S341">
            <v>0</v>
          </cell>
          <cell r="T341">
            <v>0</v>
          </cell>
          <cell r="U341">
            <v>0</v>
          </cell>
          <cell r="V341" t="str">
            <v>配管</v>
          </cell>
          <cell r="W341">
            <v>0</v>
          </cell>
          <cell r="X341">
            <v>0</v>
          </cell>
          <cell r="Y341" t="str">
            <v>ケーブルラック工事(1段)</v>
          </cell>
          <cell r="Z341">
            <v>0</v>
          </cell>
          <cell r="AA341">
            <v>0</v>
          </cell>
          <cell r="AB341">
            <v>0</v>
          </cell>
          <cell r="AC341">
            <v>0</v>
          </cell>
          <cell r="AD341">
            <v>0</v>
          </cell>
          <cell r="AE341">
            <v>0</v>
          </cell>
          <cell r="AF341">
            <v>0</v>
          </cell>
          <cell r="AG341">
            <v>0</v>
          </cell>
          <cell r="AH341" t="str">
            <v>▼</v>
          </cell>
          <cell r="AI341">
            <v>0</v>
          </cell>
          <cell r="AJ341">
            <v>0</v>
          </cell>
          <cell r="AK341">
            <v>0</v>
          </cell>
          <cell r="AL341">
            <v>0</v>
          </cell>
        </row>
        <row r="342">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row>
        <row r="343">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row>
        <row r="344">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row>
        <row r="345">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row>
        <row r="346">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row>
        <row r="347">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row>
        <row r="348">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row>
        <row r="349">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row>
        <row r="350">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row>
        <row r="351">
          <cell r="E351">
            <v>0</v>
          </cell>
          <cell r="F351">
            <v>0</v>
          </cell>
          <cell r="G351">
            <v>0</v>
          </cell>
          <cell r="H351">
            <v>0</v>
          </cell>
          <cell r="I351">
            <v>0</v>
          </cell>
          <cell r="J351">
            <v>0</v>
          </cell>
          <cell r="K351">
            <v>0</v>
          </cell>
          <cell r="L351">
            <v>0</v>
          </cell>
          <cell r="M351">
            <v>0</v>
          </cell>
          <cell r="N351">
            <v>0</v>
          </cell>
          <cell r="O351">
            <v>0</v>
          </cell>
          <cell r="P351" t="str">
            <v>一般幹線</v>
          </cell>
          <cell r="Q351">
            <v>0</v>
          </cell>
          <cell r="R351">
            <v>0</v>
          </cell>
          <cell r="S351">
            <v>0</v>
          </cell>
          <cell r="T351">
            <v>0</v>
          </cell>
          <cell r="U351">
            <v>0</v>
          </cell>
          <cell r="V351" t="str">
            <v>各階低圧盤</v>
          </cell>
          <cell r="W351">
            <v>0</v>
          </cell>
          <cell r="X351">
            <v>0</v>
          </cell>
          <cell r="Y351">
            <v>0</v>
          </cell>
          <cell r="Z351">
            <v>0</v>
          </cell>
          <cell r="AA351">
            <v>0</v>
          </cell>
          <cell r="AB351">
            <v>0</v>
          </cell>
          <cell r="AC351" t="str">
            <v>個別低圧盤</v>
          </cell>
          <cell r="AD351">
            <v>0</v>
          </cell>
          <cell r="AE351">
            <v>0</v>
          </cell>
          <cell r="AF351">
            <v>0</v>
          </cell>
          <cell r="AG351">
            <v>0</v>
          </cell>
          <cell r="AH351">
            <v>0</v>
          </cell>
          <cell r="AI351">
            <v>0</v>
          </cell>
          <cell r="AJ351" t="str">
            <v>配管配線集計</v>
          </cell>
          <cell r="AK351">
            <v>0</v>
          </cell>
          <cell r="AL351">
            <v>0</v>
          </cell>
        </row>
        <row r="352">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row>
        <row r="353">
          <cell r="E353">
            <v>0</v>
          </cell>
          <cell r="F353">
            <v>0</v>
          </cell>
          <cell r="G353">
            <v>0</v>
          </cell>
          <cell r="H353">
            <v>0</v>
          </cell>
          <cell r="I353" t="str">
            <v>面</v>
          </cell>
          <cell r="J353">
            <v>0</v>
          </cell>
          <cell r="K353" t="str">
            <v>電気方式</v>
          </cell>
          <cell r="L353">
            <v>0</v>
          </cell>
          <cell r="M353">
            <v>0</v>
          </cell>
          <cell r="N353">
            <v>0</v>
          </cell>
          <cell r="O353">
            <v>0</v>
          </cell>
          <cell r="P353" t="str">
            <v>設備容量／面</v>
          </cell>
          <cell r="Q353">
            <v>0</v>
          </cell>
          <cell r="R353">
            <v>0</v>
          </cell>
          <cell r="S353">
            <v>0</v>
          </cell>
          <cell r="T353">
            <v>0</v>
          </cell>
          <cell r="U353">
            <v>0</v>
          </cell>
          <cell r="V353">
            <v>0</v>
          </cell>
          <cell r="W353">
            <v>0</v>
          </cell>
          <cell r="X353" t="str">
            <v>需要容量／面</v>
          </cell>
          <cell r="Y353">
            <v>0</v>
          </cell>
          <cell r="Z353">
            <v>0</v>
          </cell>
          <cell r="AA353">
            <v>0</v>
          </cell>
          <cell r="AB353">
            <v>0</v>
          </cell>
          <cell r="AC353">
            <v>0</v>
          </cell>
          <cell r="AD353">
            <v>0</v>
          </cell>
          <cell r="AE353">
            <v>0</v>
          </cell>
          <cell r="AF353" t="str">
            <v>電流 [A]</v>
          </cell>
          <cell r="AG353">
            <v>0</v>
          </cell>
          <cell r="AH353">
            <v>0</v>
          </cell>
          <cell r="AI353">
            <v>0</v>
          </cell>
          <cell r="AJ353">
            <v>0</v>
          </cell>
          <cell r="AK353" t="str">
            <v>配　線　材　料　／面</v>
          </cell>
          <cell r="AL353">
            <v>0</v>
          </cell>
        </row>
        <row r="354">
          <cell r="E354">
            <v>0</v>
          </cell>
          <cell r="F354">
            <v>0</v>
          </cell>
          <cell r="G354">
            <v>0</v>
          </cell>
          <cell r="H354">
            <v>0</v>
          </cell>
          <cell r="I354" t="str">
            <v>数</v>
          </cell>
          <cell r="J354">
            <v>0</v>
          </cell>
          <cell r="K354">
            <v>0</v>
          </cell>
          <cell r="L354">
            <v>0</v>
          </cell>
          <cell r="M354">
            <v>0</v>
          </cell>
          <cell r="N354">
            <v>0</v>
          </cell>
          <cell r="O354">
            <v>0</v>
          </cell>
          <cell r="P354" t="str">
            <v>KW</v>
          </cell>
          <cell r="Q354">
            <v>0</v>
          </cell>
          <cell r="R354">
            <v>0</v>
          </cell>
          <cell r="S354">
            <v>0</v>
          </cell>
          <cell r="T354" t="str">
            <v>KVar</v>
          </cell>
          <cell r="U354">
            <v>0</v>
          </cell>
          <cell r="V354">
            <v>0</v>
          </cell>
          <cell r="W354">
            <v>0</v>
          </cell>
          <cell r="X354" t="str">
            <v>DmKW</v>
          </cell>
          <cell r="Y354">
            <v>0</v>
          </cell>
          <cell r="Z354">
            <v>0</v>
          </cell>
          <cell r="AA354">
            <v>0</v>
          </cell>
          <cell r="AB354" t="str">
            <v>DmKVar</v>
          </cell>
          <cell r="AC354">
            <v>0</v>
          </cell>
          <cell r="AD354">
            <v>0</v>
          </cell>
          <cell r="AE354">
            <v>0</v>
          </cell>
          <cell r="AF354" t="str">
            <v>設備/需要</v>
          </cell>
          <cell r="AG354">
            <v>0</v>
          </cell>
          <cell r="AH354">
            <v>0</v>
          </cell>
          <cell r="AI354">
            <v>0</v>
          </cell>
          <cell r="AJ354">
            <v>0</v>
          </cell>
          <cell r="AK354" t="str">
            <v>名 称</v>
          </cell>
          <cell r="AL354">
            <v>0</v>
          </cell>
        </row>
        <row r="355">
          <cell r="E355">
            <v>0</v>
          </cell>
          <cell r="F355">
            <v>0</v>
          </cell>
          <cell r="G355">
            <v>0</v>
          </cell>
          <cell r="H355">
            <v>0</v>
          </cell>
          <cell r="I355" t="str">
            <v/>
          </cell>
          <cell r="J355">
            <v>0</v>
          </cell>
          <cell r="K355" t="str">
            <v/>
          </cell>
          <cell r="L355">
            <v>0</v>
          </cell>
          <cell r="M355">
            <v>0</v>
          </cell>
          <cell r="N355">
            <v>0</v>
          </cell>
          <cell r="O355">
            <v>0</v>
          </cell>
          <cell r="P355" t="str">
            <v/>
          </cell>
          <cell r="Q355">
            <v>0</v>
          </cell>
          <cell r="R355">
            <v>0</v>
          </cell>
          <cell r="S355">
            <v>0</v>
          </cell>
          <cell r="T355" t="str">
            <v/>
          </cell>
          <cell r="U355">
            <v>0</v>
          </cell>
          <cell r="V355">
            <v>0</v>
          </cell>
          <cell r="W355">
            <v>0</v>
          </cell>
          <cell r="X355" t="str">
            <v/>
          </cell>
          <cell r="Y355">
            <v>0</v>
          </cell>
          <cell r="Z355">
            <v>0</v>
          </cell>
          <cell r="AA355">
            <v>0</v>
          </cell>
          <cell r="AB355" t="str">
            <v/>
          </cell>
          <cell r="AC355">
            <v>0</v>
          </cell>
          <cell r="AD355">
            <v>0</v>
          </cell>
          <cell r="AE355">
            <v>0</v>
          </cell>
          <cell r="AF355" t="str">
            <v/>
          </cell>
          <cell r="AG355">
            <v>0</v>
          </cell>
          <cell r="AH355">
            <v>0</v>
          </cell>
          <cell r="AI355">
            <v>0</v>
          </cell>
          <cell r="AJ355">
            <v>0</v>
          </cell>
          <cell r="AK355" t="str">
            <v>CVT</v>
          </cell>
          <cell r="AL355">
            <v>0</v>
          </cell>
        </row>
        <row r="356">
          <cell r="E356">
            <v>0</v>
          </cell>
          <cell r="F356">
            <v>0</v>
          </cell>
          <cell r="G356">
            <v>0</v>
          </cell>
          <cell r="H356">
            <v>0</v>
          </cell>
          <cell r="I356">
            <v>0</v>
          </cell>
          <cell r="J356">
            <v>0</v>
          </cell>
          <cell r="K356" t="str">
            <v/>
          </cell>
          <cell r="L356">
            <v>0</v>
          </cell>
          <cell r="M356">
            <v>0</v>
          </cell>
          <cell r="N356">
            <v>0</v>
          </cell>
          <cell r="O356">
            <v>0</v>
          </cell>
          <cell r="P356" t="str">
            <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t="str">
            <v/>
          </cell>
          <cell r="AG356">
            <v>0</v>
          </cell>
          <cell r="AH356">
            <v>0</v>
          </cell>
          <cell r="AI356">
            <v>0</v>
          </cell>
          <cell r="AJ356">
            <v>0</v>
          </cell>
          <cell r="AK356" t="str">
            <v>基底温度</v>
          </cell>
          <cell r="AL356">
            <v>0</v>
          </cell>
        </row>
        <row r="357">
          <cell r="E357">
            <v>0</v>
          </cell>
          <cell r="F357">
            <v>0</v>
          </cell>
          <cell r="G357">
            <v>0</v>
          </cell>
          <cell r="H357">
            <v>0</v>
          </cell>
          <cell r="I357">
            <v>0</v>
          </cell>
          <cell r="J357">
            <v>0</v>
          </cell>
          <cell r="K357" t="str">
            <v/>
          </cell>
          <cell r="L357">
            <v>0</v>
          </cell>
          <cell r="M357">
            <v>0</v>
          </cell>
          <cell r="N357">
            <v>0</v>
          </cell>
          <cell r="O357">
            <v>0</v>
          </cell>
          <cell r="P357" t="str">
            <v/>
          </cell>
          <cell r="Q357">
            <v>0</v>
          </cell>
          <cell r="R357">
            <v>0</v>
          </cell>
          <cell r="S357">
            <v>0</v>
          </cell>
          <cell r="T357" t="str">
            <v/>
          </cell>
          <cell r="U357">
            <v>0</v>
          </cell>
          <cell r="V357">
            <v>0</v>
          </cell>
          <cell r="W357">
            <v>0</v>
          </cell>
          <cell r="X357" t="str">
            <v/>
          </cell>
          <cell r="Y357">
            <v>0</v>
          </cell>
          <cell r="Z357">
            <v>0</v>
          </cell>
          <cell r="AA357">
            <v>0</v>
          </cell>
          <cell r="AB357" t="str">
            <v/>
          </cell>
          <cell r="AC357">
            <v>0</v>
          </cell>
          <cell r="AD357">
            <v>0</v>
          </cell>
          <cell r="AE357">
            <v>0</v>
          </cell>
          <cell r="AF357" t="str">
            <v/>
          </cell>
          <cell r="AG357">
            <v>0</v>
          </cell>
          <cell r="AH357">
            <v>0</v>
          </cell>
          <cell r="AI357">
            <v>0</v>
          </cell>
          <cell r="AJ357">
            <v>0</v>
          </cell>
          <cell r="AK357" t="str">
            <v>CVT</v>
          </cell>
          <cell r="AL357">
            <v>0</v>
          </cell>
        </row>
        <row r="358">
          <cell r="E358">
            <v>0</v>
          </cell>
          <cell r="F358">
            <v>0</v>
          </cell>
          <cell r="G358">
            <v>0</v>
          </cell>
          <cell r="H358">
            <v>0</v>
          </cell>
          <cell r="I358">
            <v>0</v>
          </cell>
          <cell r="J358">
            <v>0</v>
          </cell>
          <cell r="K358" t="str">
            <v/>
          </cell>
          <cell r="L358">
            <v>0</v>
          </cell>
          <cell r="M358">
            <v>0</v>
          </cell>
          <cell r="N358">
            <v>0</v>
          </cell>
          <cell r="O358">
            <v>0</v>
          </cell>
          <cell r="P358" t="str">
            <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t="str">
            <v/>
          </cell>
          <cell r="AG358">
            <v>0</v>
          </cell>
          <cell r="AH358">
            <v>0</v>
          </cell>
          <cell r="AI358">
            <v>0</v>
          </cell>
          <cell r="AJ358">
            <v>0</v>
          </cell>
          <cell r="AK358" t="str">
            <v>基底温度</v>
          </cell>
          <cell r="AL358">
            <v>0</v>
          </cell>
        </row>
        <row r="359">
          <cell r="E359">
            <v>0</v>
          </cell>
          <cell r="F359">
            <v>0</v>
          </cell>
          <cell r="G359">
            <v>0</v>
          </cell>
          <cell r="H359">
            <v>0</v>
          </cell>
          <cell r="I359">
            <v>0</v>
          </cell>
          <cell r="J359">
            <v>0</v>
          </cell>
          <cell r="K359" t="str">
            <v/>
          </cell>
          <cell r="L359">
            <v>0</v>
          </cell>
          <cell r="M359">
            <v>0</v>
          </cell>
          <cell r="N359">
            <v>0</v>
          </cell>
          <cell r="O359">
            <v>0</v>
          </cell>
          <cell r="P359" t="str">
            <v/>
          </cell>
          <cell r="Q359">
            <v>0</v>
          </cell>
          <cell r="R359">
            <v>0</v>
          </cell>
          <cell r="S359">
            <v>0</v>
          </cell>
          <cell r="T359" t="str">
            <v/>
          </cell>
          <cell r="U359">
            <v>0</v>
          </cell>
          <cell r="V359">
            <v>0</v>
          </cell>
          <cell r="W359">
            <v>0</v>
          </cell>
          <cell r="X359" t="str">
            <v/>
          </cell>
          <cell r="Y359">
            <v>0</v>
          </cell>
          <cell r="Z359">
            <v>0</v>
          </cell>
          <cell r="AA359">
            <v>0</v>
          </cell>
          <cell r="AB359" t="str">
            <v/>
          </cell>
          <cell r="AC359">
            <v>0</v>
          </cell>
          <cell r="AD359">
            <v>0</v>
          </cell>
          <cell r="AE359">
            <v>0</v>
          </cell>
          <cell r="AF359" t="str">
            <v/>
          </cell>
          <cell r="AG359">
            <v>0</v>
          </cell>
          <cell r="AH359">
            <v>0</v>
          </cell>
          <cell r="AI359">
            <v>0</v>
          </cell>
          <cell r="AJ359">
            <v>0</v>
          </cell>
          <cell r="AK359" t="str">
            <v>CVT</v>
          </cell>
          <cell r="AL359">
            <v>0</v>
          </cell>
        </row>
        <row r="360">
          <cell r="E360">
            <v>0</v>
          </cell>
          <cell r="F360">
            <v>0</v>
          </cell>
          <cell r="G360">
            <v>0</v>
          </cell>
          <cell r="H360">
            <v>0</v>
          </cell>
          <cell r="I360">
            <v>0</v>
          </cell>
          <cell r="J360">
            <v>0</v>
          </cell>
          <cell r="K360" t="str">
            <v/>
          </cell>
          <cell r="L360">
            <v>0</v>
          </cell>
          <cell r="M360">
            <v>0</v>
          </cell>
          <cell r="N360">
            <v>0</v>
          </cell>
          <cell r="O360">
            <v>0</v>
          </cell>
          <cell r="P360" t="str">
            <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t="str">
            <v/>
          </cell>
          <cell r="AG360">
            <v>0</v>
          </cell>
          <cell r="AH360">
            <v>0</v>
          </cell>
          <cell r="AI360">
            <v>0</v>
          </cell>
          <cell r="AJ360">
            <v>0</v>
          </cell>
          <cell r="AK360" t="str">
            <v>基底温度</v>
          </cell>
          <cell r="AL360">
            <v>0</v>
          </cell>
        </row>
        <row r="361">
          <cell r="E361">
            <v>0</v>
          </cell>
          <cell r="F361" t="str">
            <v>ケーブル配線工事</v>
          </cell>
          <cell r="G361">
            <v>0</v>
          </cell>
          <cell r="H361">
            <v>0</v>
          </cell>
          <cell r="I361">
            <v>0</v>
          </cell>
          <cell r="J361">
            <v>0</v>
          </cell>
          <cell r="K361">
            <v>0</v>
          </cell>
          <cell r="L361">
            <v>0</v>
          </cell>
          <cell r="M361">
            <v>0</v>
          </cell>
          <cell r="N361" t="str">
            <v>▼</v>
          </cell>
          <cell r="O361">
            <v>0</v>
          </cell>
          <cell r="P361">
            <v>0</v>
          </cell>
          <cell r="Q361">
            <v>0</v>
          </cell>
          <cell r="R361">
            <v>0</v>
          </cell>
          <cell r="S361">
            <v>0</v>
          </cell>
          <cell r="T361">
            <v>0</v>
          </cell>
          <cell r="U361">
            <v>0</v>
          </cell>
          <cell r="V361" t="str">
            <v>配管</v>
          </cell>
          <cell r="W361">
            <v>0</v>
          </cell>
          <cell r="X361">
            <v>0</v>
          </cell>
          <cell r="Y361" t="str">
            <v>ケーブルラック工事(1段)</v>
          </cell>
          <cell r="Z361">
            <v>0</v>
          </cell>
          <cell r="AA361">
            <v>0</v>
          </cell>
          <cell r="AB361">
            <v>0</v>
          </cell>
          <cell r="AC361">
            <v>0</v>
          </cell>
          <cell r="AD361">
            <v>0</v>
          </cell>
          <cell r="AE361">
            <v>0</v>
          </cell>
          <cell r="AF361">
            <v>0</v>
          </cell>
          <cell r="AG361">
            <v>0</v>
          </cell>
          <cell r="AH361" t="str">
            <v>▼</v>
          </cell>
          <cell r="AI361">
            <v>0</v>
          </cell>
          <cell r="AJ361">
            <v>0</v>
          </cell>
          <cell r="AK361">
            <v>0</v>
          </cell>
          <cell r="AL361">
            <v>0</v>
          </cell>
        </row>
        <row r="362">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row>
        <row r="363">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row>
        <row r="364">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row>
        <row r="365">
          <cell r="E365">
            <v>0</v>
          </cell>
          <cell r="F365">
            <v>0</v>
          </cell>
          <cell r="G365">
            <v>0</v>
          </cell>
          <cell r="H365">
            <v>0</v>
          </cell>
          <cell r="I365" t="str">
            <v>面</v>
          </cell>
          <cell r="J365">
            <v>0</v>
          </cell>
          <cell r="K365" t="str">
            <v>電気方式</v>
          </cell>
          <cell r="L365">
            <v>0</v>
          </cell>
          <cell r="M365">
            <v>0</v>
          </cell>
          <cell r="N365">
            <v>0</v>
          </cell>
          <cell r="O365">
            <v>0</v>
          </cell>
          <cell r="P365" t="str">
            <v>設備容量／面</v>
          </cell>
          <cell r="Q365">
            <v>0</v>
          </cell>
          <cell r="R365">
            <v>0</v>
          </cell>
          <cell r="S365">
            <v>0</v>
          </cell>
          <cell r="T365">
            <v>0</v>
          </cell>
          <cell r="U365">
            <v>0</v>
          </cell>
          <cell r="V365">
            <v>0</v>
          </cell>
          <cell r="W365">
            <v>0</v>
          </cell>
          <cell r="X365" t="str">
            <v>需要容量／面</v>
          </cell>
          <cell r="Y365">
            <v>0</v>
          </cell>
          <cell r="Z365">
            <v>0</v>
          </cell>
          <cell r="AA365">
            <v>0</v>
          </cell>
          <cell r="AB365">
            <v>0</v>
          </cell>
          <cell r="AC365">
            <v>0</v>
          </cell>
          <cell r="AD365">
            <v>0</v>
          </cell>
          <cell r="AE365">
            <v>0</v>
          </cell>
          <cell r="AF365" t="str">
            <v>電流 [A]</v>
          </cell>
          <cell r="AG365">
            <v>0</v>
          </cell>
          <cell r="AH365">
            <v>0</v>
          </cell>
          <cell r="AI365">
            <v>0</v>
          </cell>
          <cell r="AJ365">
            <v>0</v>
          </cell>
          <cell r="AK365" t="str">
            <v>配　線　材　料　／面</v>
          </cell>
          <cell r="AL365">
            <v>0</v>
          </cell>
        </row>
        <row r="366">
          <cell r="E366">
            <v>0</v>
          </cell>
          <cell r="F366">
            <v>0</v>
          </cell>
          <cell r="G366">
            <v>0</v>
          </cell>
          <cell r="H366">
            <v>0</v>
          </cell>
          <cell r="I366" t="str">
            <v>数</v>
          </cell>
          <cell r="J366">
            <v>0</v>
          </cell>
          <cell r="K366">
            <v>0</v>
          </cell>
          <cell r="L366">
            <v>0</v>
          </cell>
          <cell r="M366">
            <v>0</v>
          </cell>
          <cell r="N366">
            <v>0</v>
          </cell>
          <cell r="O366">
            <v>0</v>
          </cell>
          <cell r="P366" t="str">
            <v>KW</v>
          </cell>
          <cell r="Q366">
            <v>0</v>
          </cell>
          <cell r="R366">
            <v>0</v>
          </cell>
          <cell r="S366">
            <v>0</v>
          </cell>
          <cell r="T366" t="str">
            <v>KVar</v>
          </cell>
          <cell r="U366">
            <v>0</v>
          </cell>
          <cell r="V366">
            <v>0</v>
          </cell>
          <cell r="W366">
            <v>0</v>
          </cell>
          <cell r="X366" t="str">
            <v>DmKW</v>
          </cell>
          <cell r="Y366">
            <v>0</v>
          </cell>
          <cell r="Z366">
            <v>0</v>
          </cell>
          <cell r="AA366">
            <v>0</v>
          </cell>
          <cell r="AB366" t="str">
            <v>DmKVar</v>
          </cell>
          <cell r="AC366">
            <v>0</v>
          </cell>
          <cell r="AD366">
            <v>0</v>
          </cell>
          <cell r="AE366">
            <v>0</v>
          </cell>
          <cell r="AF366" t="str">
            <v>設備/需要</v>
          </cell>
          <cell r="AG366">
            <v>0</v>
          </cell>
          <cell r="AH366">
            <v>0</v>
          </cell>
          <cell r="AI366">
            <v>0</v>
          </cell>
          <cell r="AJ366">
            <v>0</v>
          </cell>
          <cell r="AK366" t="str">
            <v>名 称</v>
          </cell>
          <cell r="AL366">
            <v>0</v>
          </cell>
        </row>
        <row r="367">
          <cell r="E367">
            <v>0</v>
          </cell>
          <cell r="F367">
            <v>0</v>
          </cell>
          <cell r="G367">
            <v>0</v>
          </cell>
          <cell r="H367">
            <v>0</v>
          </cell>
          <cell r="I367">
            <v>1</v>
          </cell>
          <cell r="J367">
            <v>0</v>
          </cell>
          <cell r="K367" t="str">
            <v/>
          </cell>
          <cell r="L367">
            <v>0</v>
          </cell>
          <cell r="M367">
            <v>0</v>
          </cell>
          <cell r="N367">
            <v>0</v>
          </cell>
          <cell r="O367">
            <v>0</v>
          </cell>
          <cell r="P367" t="str">
            <v/>
          </cell>
          <cell r="Q367">
            <v>0</v>
          </cell>
          <cell r="R367">
            <v>0</v>
          </cell>
          <cell r="S367">
            <v>0</v>
          </cell>
          <cell r="T367" t="str">
            <v/>
          </cell>
          <cell r="U367">
            <v>0</v>
          </cell>
          <cell r="V367">
            <v>0</v>
          </cell>
          <cell r="W367">
            <v>0</v>
          </cell>
          <cell r="X367" t="str">
            <v/>
          </cell>
          <cell r="Y367">
            <v>0</v>
          </cell>
          <cell r="Z367">
            <v>0</v>
          </cell>
          <cell r="AA367">
            <v>0</v>
          </cell>
          <cell r="AB367" t="str">
            <v/>
          </cell>
          <cell r="AC367">
            <v>0</v>
          </cell>
          <cell r="AD367">
            <v>0</v>
          </cell>
          <cell r="AE367">
            <v>0</v>
          </cell>
          <cell r="AF367" t="str">
            <v/>
          </cell>
          <cell r="AG367">
            <v>0</v>
          </cell>
          <cell r="AH367">
            <v>0</v>
          </cell>
          <cell r="AI367">
            <v>0</v>
          </cell>
          <cell r="AJ367">
            <v>0</v>
          </cell>
          <cell r="AK367" t="str">
            <v>CVT</v>
          </cell>
          <cell r="AL367">
            <v>0</v>
          </cell>
        </row>
        <row r="368">
          <cell r="E368">
            <v>0</v>
          </cell>
          <cell r="F368">
            <v>0</v>
          </cell>
          <cell r="G368">
            <v>0</v>
          </cell>
          <cell r="H368">
            <v>0</v>
          </cell>
          <cell r="I368">
            <v>0</v>
          </cell>
          <cell r="J368">
            <v>0</v>
          </cell>
          <cell r="K368" t="str">
            <v/>
          </cell>
          <cell r="L368">
            <v>0</v>
          </cell>
          <cell r="M368">
            <v>0</v>
          </cell>
          <cell r="N368">
            <v>0</v>
          </cell>
          <cell r="O368">
            <v>0</v>
          </cell>
          <cell r="P368" t="str">
            <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t="str">
            <v/>
          </cell>
          <cell r="AG368">
            <v>0</v>
          </cell>
          <cell r="AH368">
            <v>0</v>
          </cell>
          <cell r="AI368">
            <v>0</v>
          </cell>
          <cell r="AJ368">
            <v>0</v>
          </cell>
          <cell r="AK368" t="str">
            <v>基底温度</v>
          </cell>
          <cell r="AL368">
            <v>0</v>
          </cell>
        </row>
        <row r="369">
          <cell r="E369">
            <v>0</v>
          </cell>
          <cell r="F369">
            <v>0</v>
          </cell>
          <cell r="G369">
            <v>0</v>
          </cell>
          <cell r="H369">
            <v>0</v>
          </cell>
          <cell r="I369">
            <v>0</v>
          </cell>
          <cell r="J369">
            <v>0</v>
          </cell>
          <cell r="K369" t="str">
            <v/>
          </cell>
          <cell r="L369">
            <v>0</v>
          </cell>
          <cell r="M369">
            <v>0</v>
          </cell>
          <cell r="N369">
            <v>0</v>
          </cell>
          <cell r="O369">
            <v>0</v>
          </cell>
          <cell r="P369" t="str">
            <v/>
          </cell>
          <cell r="Q369">
            <v>0</v>
          </cell>
          <cell r="R369">
            <v>0</v>
          </cell>
          <cell r="S369">
            <v>0</v>
          </cell>
          <cell r="T369" t="str">
            <v/>
          </cell>
          <cell r="U369">
            <v>0</v>
          </cell>
          <cell r="V369">
            <v>0</v>
          </cell>
          <cell r="W369">
            <v>0</v>
          </cell>
          <cell r="X369" t="str">
            <v/>
          </cell>
          <cell r="Y369">
            <v>0</v>
          </cell>
          <cell r="Z369">
            <v>0</v>
          </cell>
          <cell r="AA369">
            <v>0</v>
          </cell>
          <cell r="AB369" t="str">
            <v/>
          </cell>
          <cell r="AC369">
            <v>0</v>
          </cell>
          <cell r="AD369">
            <v>0</v>
          </cell>
          <cell r="AE369">
            <v>0</v>
          </cell>
          <cell r="AF369" t="str">
            <v/>
          </cell>
          <cell r="AG369">
            <v>0</v>
          </cell>
          <cell r="AH369">
            <v>0</v>
          </cell>
          <cell r="AI369">
            <v>0</v>
          </cell>
          <cell r="AJ369">
            <v>0</v>
          </cell>
          <cell r="AK369" t="str">
            <v>CVT</v>
          </cell>
          <cell r="AL369">
            <v>0</v>
          </cell>
        </row>
        <row r="370">
          <cell r="E370">
            <v>0</v>
          </cell>
          <cell r="F370">
            <v>0</v>
          </cell>
          <cell r="G370">
            <v>0</v>
          </cell>
          <cell r="H370">
            <v>0</v>
          </cell>
          <cell r="I370">
            <v>0</v>
          </cell>
          <cell r="J370">
            <v>0</v>
          </cell>
          <cell r="K370" t="str">
            <v/>
          </cell>
          <cell r="L370">
            <v>0</v>
          </cell>
          <cell r="M370">
            <v>0</v>
          </cell>
          <cell r="N370">
            <v>0</v>
          </cell>
          <cell r="O370">
            <v>0</v>
          </cell>
          <cell r="P370" t="str">
            <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t="str">
            <v/>
          </cell>
          <cell r="AG370">
            <v>0</v>
          </cell>
          <cell r="AH370">
            <v>0</v>
          </cell>
          <cell r="AI370">
            <v>0</v>
          </cell>
          <cell r="AJ370">
            <v>0</v>
          </cell>
          <cell r="AK370" t="str">
            <v>基底温度</v>
          </cell>
          <cell r="AL370">
            <v>0</v>
          </cell>
        </row>
        <row r="371">
          <cell r="E371">
            <v>0</v>
          </cell>
          <cell r="F371">
            <v>0</v>
          </cell>
          <cell r="G371">
            <v>0</v>
          </cell>
          <cell r="H371">
            <v>0</v>
          </cell>
          <cell r="I371">
            <v>0</v>
          </cell>
          <cell r="J371">
            <v>0</v>
          </cell>
          <cell r="K371" t="str">
            <v>3φ3W</v>
          </cell>
          <cell r="L371">
            <v>0</v>
          </cell>
          <cell r="M371">
            <v>0</v>
          </cell>
          <cell r="N371">
            <v>0</v>
          </cell>
          <cell r="O371">
            <v>0</v>
          </cell>
          <cell r="P371">
            <v>69.366972500000045</v>
          </cell>
          <cell r="Q371">
            <v>0</v>
          </cell>
          <cell r="R371">
            <v>0</v>
          </cell>
          <cell r="S371">
            <v>0</v>
          </cell>
          <cell r="T371">
            <v>53.744006908288974</v>
          </cell>
          <cell r="U371">
            <v>0</v>
          </cell>
          <cell r="V371">
            <v>0</v>
          </cell>
          <cell r="W371">
            <v>0</v>
          </cell>
          <cell r="X371">
            <v>20.810091750000016</v>
          </cell>
          <cell r="Y371">
            <v>0</v>
          </cell>
          <cell r="Z371">
            <v>0</v>
          </cell>
          <cell r="AA371">
            <v>0</v>
          </cell>
          <cell r="AB371">
            <v>16.123202072486691</v>
          </cell>
          <cell r="AC371">
            <v>0</v>
          </cell>
          <cell r="AD371">
            <v>0</v>
          </cell>
          <cell r="AE371">
            <v>0</v>
          </cell>
          <cell r="AF371">
            <v>115.14300570911503</v>
          </cell>
          <cell r="AG371">
            <v>0</v>
          </cell>
          <cell r="AH371">
            <v>0</v>
          </cell>
          <cell r="AI371">
            <v>0</v>
          </cell>
          <cell r="AJ371">
            <v>0</v>
          </cell>
          <cell r="AK371" t="str">
            <v>CVT</v>
          </cell>
          <cell r="AL371">
            <v>0</v>
          </cell>
        </row>
        <row r="372">
          <cell r="E372">
            <v>0</v>
          </cell>
          <cell r="F372">
            <v>0</v>
          </cell>
          <cell r="G372">
            <v>0</v>
          </cell>
          <cell r="H372">
            <v>0</v>
          </cell>
          <cell r="I372">
            <v>0</v>
          </cell>
          <cell r="J372">
            <v>0</v>
          </cell>
          <cell r="K372" t="str">
            <v>440V</v>
          </cell>
          <cell r="L372">
            <v>0</v>
          </cell>
          <cell r="M372">
            <v>0</v>
          </cell>
          <cell r="N372">
            <v>0</v>
          </cell>
          <cell r="O372">
            <v>0</v>
          </cell>
          <cell r="P372" t="str">
            <v>MCCB  225AF/125</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34.542901712734512</v>
          </cell>
          <cell r="AG372">
            <v>0</v>
          </cell>
          <cell r="AH372">
            <v>0</v>
          </cell>
          <cell r="AI372">
            <v>0</v>
          </cell>
          <cell r="AJ372">
            <v>0</v>
          </cell>
          <cell r="AK372" t="str">
            <v>基底温度</v>
          </cell>
          <cell r="AL372">
            <v>0</v>
          </cell>
        </row>
        <row r="373">
          <cell r="E373">
            <v>0</v>
          </cell>
          <cell r="F373" t="str">
            <v>ケーブル配線工事</v>
          </cell>
          <cell r="G373">
            <v>0</v>
          </cell>
          <cell r="H373">
            <v>0</v>
          </cell>
          <cell r="I373">
            <v>0</v>
          </cell>
          <cell r="J373">
            <v>0</v>
          </cell>
          <cell r="K373">
            <v>0</v>
          </cell>
          <cell r="L373">
            <v>0</v>
          </cell>
          <cell r="M373">
            <v>0</v>
          </cell>
          <cell r="N373" t="str">
            <v>▼</v>
          </cell>
          <cell r="O373">
            <v>0</v>
          </cell>
          <cell r="P373">
            <v>0</v>
          </cell>
          <cell r="Q373">
            <v>0</v>
          </cell>
          <cell r="R373">
            <v>0</v>
          </cell>
          <cell r="S373">
            <v>0</v>
          </cell>
          <cell r="T373">
            <v>0</v>
          </cell>
          <cell r="U373">
            <v>0</v>
          </cell>
          <cell r="V373" t="str">
            <v>配管</v>
          </cell>
          <cell r="W373">
            <v>0</v>
          </cell>
          <cell r="X373">
            <v>0</v>
          </cell>
          <cell r="Y373" t="str">
            <v>ケーブルラック工事(1段)</v>
          </cell>
          <cell r="Z373">
            <v>0</v>
          </cell>
          <cell r="AA373">
            <v>0</v>
          </cell>
          <cell r="AB373">
            <v>0</v>
          </cell>
          <cell r="AC373">
            <v>0</v>
          </cell>
          <cell r="AD373">
            <v>0</v>
          </cell>
          <cell r="AE373">
            <v>0</v>
          </cell>
          <cell r="AF373">
            <v>0</v>
          </cell>
          <cell r="AG373">
            <v>0</v>
          </cell>
          <cell r="AH373" t="str">
            <v>▼</v>
          </cell>
          <cell r="AI373">
            <v>0</v>
          </cell>
          <cell r="AJ373">
            <v>0</v>
          </cell>
          <cell r="AK373">
            <v>0</v>
          </cell>
          <cell r="AL373">
            <v>0</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row>
        <row r="375">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row>
        <row r="376">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row>
        <row r="377">
          <cell r="E377">
            <v>0</v>
          </cell>
          <cell r="F377">
            <v>0</v>
          </cell>
          <cell r="G377">
            <v>0</v>
          </cell>
          <cell r="H377">
            <v>0</v>
          </cell>
          <cell r="I377" t="str">
            <v>面</v>
          </cell>
          <cell r="J377">
            <v>0</v>
          </cell>
          <cell r="K377" t="str">
            <v>電気方式</v>
          </cell>
          <cell r="L377">
            <v>0</v>
          </cell>
          <cell r="M377">
            <v>0</v>
          </cell>
          <cell r="N377">
            <v>0</v>
          </cell>
          <cell r="O377">
            <v>0</v>
          </cell>
          <cell r="P377" t="str">
            <v>設備容量／面</v>
          </cell>
          <cell r="Q377">
            <v>0</v>
          </cell>
          <cell r="R377">
            <v>0</v>
          </cell>
          <cell r="S377">
            <v>0</v>
          </cell>
          <cell r="T377">
            <v>0</v>
          </cell>
          <cell r="U377">
            <v>0</v>
          </cell>
          <cell r="V377">
            <v>0</v>
          </cell>
          <cell r="W377">
            <v>0</v>
          </cell>
          <cell r="X377" t="str">
            <v>需要容量／面</v>
          </cell>
          <cell r="Y377">
            <v>0</v>
          </cell>
          <cell r="Z377">
            <v>0</v>
          </cell>
          <cell r="AA377">
            <v>0</v>
          </cell>
          <cell r="AB377">
            <v>0</v>
          </cell>
          <cell r="AC377">
            <v>0</v>
          </cell>
          <cell r="AD377">
            <v>0</v>
          </cell>
          <cell r="AE377">
            <v>0</v>
          </cell>
          <cell r="AF377" t="str">
            <v>電流 [A]</v>
          </cell>
          <cell r="AG377">
            <v>0</v>
          </cell>
          <cell r="AH377">
            <v>0</v>
          </cell>
          <cell r="AI377">
            <v>0</v>
          </cell>
          <cell r="AJ377">
            <v>0</v>
          </cell>
          <cell r="AK377" t="str">
            <v>配　線　材　料　／面</v>
          </cell>
          <cell r="AL377">
            <v>0</v>
          </cell>
        </row>
        <row r="378">
          <cell r="E378">
            <v>0</v>
          </cell>
          <cell r="F378">
            <v>0</v>
          </cell>
          <cell r="G378">
            <v>0</v>
          </cell>
          <cell r="H378">
            <v>0</v>
          </cell>
          <cell r="I378" t="str">
            <v>数</v>
          </cell>
          <cell r="J378">
            <v>0</v>
          </cell>
          <cell r="K378">
            <v>0</v>
          </cell>
          <cell r="L378">
            <v>0</v>
          </cell>
          <cell r="M378">
            <v>0</v>
          </cell>
          <cell r="N378">
            <v>0</v>
          </cell>
          <cell r="O378">
            <v>0</v>
          </cell>
          <cell r="P378" t="str">
            <v>KW</v>
          </cell>
          <cell r="Q378">
            <v>0</v>
          </cell>
          <cell r="R378">
            <v>0</v>
          </cell>
          <cell r="S378">
            <v>0</v>
          </cell>
          <cell r="T378" t="str">
            <v>KVar</v>
          </cell>
          <cell r="U378">
            <v>0</v>
          </cell>
          <cell r="V378">
            <v>0</v>
          </cell>
          <cell r="W378">
            <v>0</v>
          </cell>
          <cell r="X378" t="str">
            <v>DmKW</v>
          </cell>
          <cell r="Y378">
            <v>0</v>
          </cell>
          <cell r="Z378">
            <v>0</v>
          </cell>
          <cell r="AA378">
            <v>0</v>
          </cell>
          <cell r="AB378" t="str">
            <v>DmKVar</v>
          </cell>
          <cell r="AC378">
            <v>0</v>
          </cell>
          <cell r="AD378">
            <v>0</v>
          </cell>
          <cell r="AE378">
            <v>0</v>
          </cell>
          <cell r="AF378" t="str">
            <v>設備/需要</v>
          </cell>
          <cell r="AG378">
            <v>0</v>
          </cell>
          <cell r="AH378">
            <v>0</v>
          </cell>
          <cell r="AI378">
            <v>0</v>
          </cell>
          <cell r="AJ378">
            <v>0</v>
          </cell>
          <cell r="AK378" t="str">
            <v>名 称</v>
          </cell>
          <cell r="AL378">
            <v>0</v>
          </cell>
        </row>
        <row r="379">
          <cell r="E379">
            <v>0</v>
          </cell>
          <cell r="F379">
            <v>0</v>
          </cell>
          <cell r="G379">
            <v>0</v>
          </cell>
          <cell r="H379">
            <v>0</v>
          </cell>
          <cell r="I379">
            <v>1</v>
          </cell>
          <cell r="J379">
            <v>0</v>
          </cell>
          <cell r="K379" t="str">
            <v>1φ3W</v>
          </cell>
          <cell r="L379">
            <v>0</v>
          </cell>
          <cell r="M379">
            <v>0</v>
          </cell>
          <cell r="N379">
            <v>0</v>
          </cell>
          <cell r="O379">
            <v>0</v>
          </cell>
          <cell r="P379">
            <v>6.1999999999999993</v>
          </cell>
          <cell r="Q379">
            <v>0</v>
          </cell>
          <cell r="R379">
            <v>0</v>
          </cell>
          <cell r="S379">
            <v>0</v>
          </cell>
          <cell r="T379">
            <v>9.3929618301109379</v>
          </cell>
          <cell r="U379">
            <v>0</v>
          </cell>
          <cell r="V379">
            <v>0</v>
          </cell>
          <cell r="W379">
            <v>0</v>
          </cell>
          <cell r="X379">
            <v>1.46</v>
          </cell>
          <cell r="Y379">
            <v>0</v>
          </cell>
          <cell r="Z379">
            <v>0</v>
          </cell>
          <cell r="AA379">
            <v>0</v>
          </cell>
          <cell r="AB379">
            <v>2.1627917363115725</v>
          </cell>
          <cell r="AC379">
            <v>0</v>
          </cell>
          <cell r="AD379">
            <v>0</v>
          </cell>
          <cell r="AE379">
            <v>0</v>
          </cell>
          <cell r="AF379">
            <v>53.593695254373131</v>
          </cell>
          <cell r="AG379">
            <v>0</v>
          </cell>
          <cell r="AH379">
            <v>0</v>
          </cell>
          <cell r="AI379">
            <v>0</v>
          </cell>
          <cell r="AJ379">
            <v>0</v>
          </cell>
          <cell r="AK379" t="str">
            <v>CVT</v>
          </cell>
          <cell r="AL379">
            <v>0</v>
          </cell>
        </row>
        <row r="380">
          <cell r="E380">
            <v>0</v>
          </cell>
          <cell r="F380">
            <v>0</v>
          </cell>
          <cell r="G380">
            <v>0</v>
          </cell>
          <cell r="H380">
            <v>0</v>
          </cell>
          <cell r="I380">
            <v>0</v>
          </cell>
          <cell r="J380">
            <v>0</v>
          </cell>
          <cell r="K380" t="str">
            <v>210V</v>
          </cell>
          <cell r="L380">
            <v>0</v>
          </cell>
          <cell r="M380">
            <v>0</v>
          </cell>
          <cell r="N380">
            <v>0</v>
          </cell>
          <cell r="O380">
            <v>0</v>
          </cell>
          <cell r="P380" t="str">
            <v>MCCB  100AF/75</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12.425987776207519</v>
          </cell>
          <cell r="AG380">
            <v>0</v>
          </cell>
          <cell r="AH380">
            <v>0</v>
          </cell>
          <cell r="AI380">
            <v>0</v>
          </cell>
          <cell r="AJ380">
            <v>0</v>
          </cell>
          <cell r="AK380" t="str">
            <v>基底温度</v>
          </cell>
          <cell r="AL380">
            <v>0</v>
          </cell>
        </row>
        <row r="381">
          <cell r="E381">
            <v>0</v>
          </cell>
          <cell r="F381">
            <v>0</v>
          </cell>
          <cell r="G381">
            <v>0</v>
          </cell>
          <cell r="H381">
            <v>0</v>
          </cell>
          <cell r="I381">
            <v>0</v>
          </cell>
          <cell r="J381">
            <v>0</v>
          </cell>
          <cell r="K381" t="str">
            <v>3φ3W</v>
          </cell>
          <cell r="L381">
            <v>0</v>
          </cell>
          <cell r="M381">
            <v>0</v>
          </cell>
          <cell r="N381">
            <v>0</v>
          </cell>
          <cell r="O381">
            <v>0</v>
          </cell>
          <cell r="P381">
            <v>158.75</v>
          </cell>
          <cell r="Q381">
            <v>0</v>
          </cell>
          <cell r="R381">
            <v>0</v>
          </cell>
          <cell r="S381">
            <v>0</v>
          </cell>
          <cell r="T381">
            <v>20.381532183620013</v>
          </cell>
          <cell r="U381">
            <v>0</v>
          </cell>
          <cell r="V381">
            <v>0</v>
          </cell>
          <cell r="W381">
            <v>0</v>
          </cell>
          <cell r="X381">
            <v>38.075000000000003</v>
          </cell>
          <cell r="Y381">
            <v>0</v>
          </cell>
          <cell r="Z381">
            <v>0</v>
          </cell>
          <cell r="AA381">
            <v>0</v>
          </cell>
          <cell r="AB381">
            <v>4.6345787709122588</v>
          </cell>
          <cell r="AC381">
            <v>0</v>
          </cell>
          <cell r="AD381">
            <v>0</v>
          </cell>
          <cell r="AE381">
            <v>0</v>
          </cell>
          <cell r="AF381">
            <v>440.03168780755891</v>
          </cell>
          <cell r="AG381">
            <v>0</v>
          </cell>
          <cell r="AH381">
            <v>0</v>
          </cell>
          <cell r="AI381">
            <v>0</v>
          </cell>
          <cell r="AJ381">
            <v>0</v>
          </cell>
          <cell r="AK381" t="str">
            <v>CVT</v>
          </cell>
          <cell r="AL381">
            <v>0</v>
          </cell>
        </row>
        <row r="382">
          <cell r="E382">
            <v>0</v>
          </cell>
          <cell r="F382">
            <v>0</v>
          </cell>
          <cell r="G382">
            <v>0</v>
          </cell>
          <cell r="H382">
            <v>0</v>
          </cell>
          <cell r="I382">
            <v>0</v>
          </cell>
          <cell r="J382">
            <v>0</v>
          </cell>
          <cell r="K382" t="str">
            <v>210V</v>
          </cell>
          <cell r="L382">
            <v>0</v>
          </cell>
          <cell r="M382">
            <v>0</v>
          </cell>
          <cell r="N382">
            <v>0</v>
          </cell>
          <cell r="O382">
            <v>0</v>
          </cell>
          <cell r="P382" t="str">
            <v>MCCB  225AF/225</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182.64775619527839</v>
          </cell>
          <cell r="AG382">
            <v>0</v>
          </cell>
          <cell r="AH382">
            <v>0</v>
          </cell>
          <cell r="AI382">
            <v>0</v>
          </cell>
          <cell r="AJ382">
            <v>0</v>
          </cell>
          <cell r="AK382" t="str">
            <v>基底温度</v>
          </cell>
          <cell r="AL382">
            <v>0</v>
          </cell>
        </row>
        <row r="383">
          <cell r="E383">
            <v>0</v>
          </cell>
          <cell r="F383">
            <v>0</v>
          </cell>
          <cell r="G383">
            <v>0</v>
          </cell>
          <cell r="H383">
            <v>0</v>
          </cell>
          <cell r="I383">
            <v>0</v>
          </cell>
          <cell r="J383">
            <v>0</v>
          </cell>
          <cell r="K383" t="str">
            <v/>
          </cell>
          <cell r="L383">
            <v>0</v>
          </cell>
          <cell r="M383">
            <v>0</v>
          </cell>
          <cell r="N383">
            <v>0</v>
          </cell>
          <cell r="O383">
            <v>0</v>
          </cell>
          <cell r="P383" t="str">
            <v/>
          </cell>
          <cell r="Q383">
            <v>0</v>
          </cell>
          <cell r="R383">
            <v>0</v>
          </cell>
          <cell r="S383">
            <v>0</v>
          </cell>
          <cell r="T383" t="str">
            <v/>
          </cell>
          <cell r="U383">
            <v>0</v>
          </cell>
          <cell r="V383">
            <v>0</v>
          </cell>
          <cell r="W383">
            <v>0</v>
          </cell>
          <cell r="X383" t="str">
            <v/>
          </cell>
          <cell r="Y383">
            <v>0</v>
          </cell>
          <cell r="Z383">
            <v>0</v>
          </cell>
          <cell r="AA383">
            <v>0</v>
          </cell>
          <cell r="AB383" t="str">
            <v/>
          </cell>
          <cell r="AC383">
            <v>0</v>
          </cell>
          <cell r="AD383">
            <v>0</v>
          </cell>
          <cell r="AE383">
            <v>0</v>
          </cell>
          <cell r="AF383" t="str">
            <v/>
          </cell>
          <cell r="AG383">
            <v>0</v>
          </cell>
          <cell r="AH383">
            <v>0</v>
          </cell>
          <cell r="AI383">
            <v>0</v>
          </cell>
          <cell r="AJ383">
            <v>0</v>
          </cell>
          <cell r="AK383" t="str">
            <v>CVT</v>
          </cell>
          <cell r="AL383">
            <v>0</v>
          </cell>
        </row>
        <row r="384">
          <cell r="E384">
            <v>0</v>
          </cell>
          <cell r="F384">
            <v>0</v>
          </cell>
          <cell r="G384">
            <v>0</v>
          </cell>
          <cell r="H384">
            <v>0</v>
          </cell>
          <cell r="I384">
            <v>0</v>
          </cell>
          <cell r="J384">
            <v>0</v>
          </cell>
          <cell r="K384" t="str">
            <v/>
          </cell>
          <cell r="L384">
            <v>0</v>
          </cell>
          <cell r="M384">
            <v>0</v>
          </cell>
          <cell r="N384">
            <v>0</v>
          </cell>
          <cell r="O384">
            <v>0</v>
          </cell>
          <cell r="P384" t="str">
            <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t="str">
            <v/>
          </cell>
          <cell r="AG384">
            <v>0</v>
          </cell>
          <cell r="AH384">
            <v>0</v>
          </cell>
          <cell r="AI384">
            <v>0</v>
          </cell>
          <cell r="AJ384">
            <v>0</v>
          </cell>
          <cell r="AK384" t="str">
            <v>基底温度</v>
          </cell>
          <cell r="AL384">
            <v>0</v>
          </cell>
        </row>
        <row r="385">
          <cell r="E385">
            <v>0</v>
          </cell>
          <cell r="F385" t="str">
            <v>ケーブル配線工事</v>
          </cell>
          <cell r="G385">
            <v>0</v>
          </cell>
          <cell r="H385">
            <v>0</v>
          </cell>
          <cell r="I385">
            <v>0</v>
          </cell>
          <cell r="J385">
            <v>0</v>
          </cell>
          <cell r="K385">
            <v>0</v>
          </cell>
          <cell r="L385">
            <v>0</v>
          </cell>
          <cell r="M385">
            <v>0</v>
          </cell>
          <cell r="N385" t="str">
            <v>▼</v>
          </cell>
          <cell r="O385">
            <v>0</v>
          </cell>
          <cell r="P385">
            <v>0</v>
          </cell>
          <cell r="Q385">
            <v>0</v>
          </cell>
          <cell r="R385">
            <v>0</v>
          </cell>
          <cell r="S385">
            <v>0</v>
          </cell>
          <cell r="T385">
            <v>0</v>
          </cell>
          <cell r="U385">
            <v>0</v>
          </cell>
          <cell r="V385" t="str">
            <v>配管</v>
          </cell>
          <cell r="W385">
            <v>0</v>
          </cell>
          <cell r="X385">
            <v>0</v>
          </cell>
          <cell r="Y385" t="str">
            <v>ケーブルラック工事(1段)</v>
          </cell>
          <cell r="Z385">
            <v>0</v>
          </cell>
          <cell r="AA385">
            <v>0</v>
          </cell>
          <cell r="AB385">
            <v>0</v>
          </cell>
          <cell r="AC385">
            <v>0</v>
          </cell>
          <cell r="AD385">
            <v>0</v>
          </cell>
          <cell r="AE385">
            <v>0</v>
          </cell>
          <cell r="AF385">
            <v>0</v>
          </cell>
          <cell r="AG385">
            <v>0</v>
          </cell>
          <cell r="AH385" t="str">
            <v>▼</v>
          </cell>
          <cell r="AI385">
            <v>0</v>
          </cell>
          <cell r="AJ385">
            <v>0</v>
          </cell>
          <cell r="AK385">
            <v>0</v>
          </cell>
          <cell r="AL385">
            <v>0</v>
          </cell>
        </row>
        <row r="386">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row>
        <row r="387">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row>
        <row r="388">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row>
        <row r="389">
          <cell r="E389">
            <v>0</v>
          </cell>
          <cell r="F389">
            <v>0</v>
          </cell>
          <cell r="G389">
            <v>0</v>
          </cell>
          <cell r="H389">
            <v>0</v>
          </cell>
          <cell r="I389" t="str">
            <v>面</v>
          </cell>
          <cell r="J389">
            <v>0</v>
          </cell>
          <cell r="K389" t="str">
            <v>電気方式</v>
          </cell>
          <cell r="L389">
            <v>0</v>
          </cell>
          <cell r="M389">
            <v>0</v>
          </cell>
          <cell r="N389">
            <v>0</v>
          </cell>
          <cell r="O389">
            <v>0</v>
          </cell>
          <cell r="P389" t="str">
            <v>設備容量／面</v>
          </cell>
          <cell r="Q389">
            <v>0</v>
          </cell>
          <cell r="R389">
            <v>0</v>
          </cell>
          <cell r="S389">
            <v>0</v>
          </cell>
          <cell r="T389">
            <v>0</v>
          </cell>
          <cell r="U389">
            <v>0</v>
          </cell>
          <cell r="V389">
            <v>0</v>
          </cell>
          <cell r="W389">
            <v>0</v>
          </cell>
          <cell r="X389" t="str">
            <v>需要容量／面</v>
          </cell>
          <cell r="Y389">
            <v>0</v>
          </cell>
          <cell r="Z389">
            <v>0</v>
          </cell>
          <cell r="AA389">
            <v>0</v>
          </cell>
          <cell r="AB389">
            <v>0</v>
          </cell>
          <cell r="AC389">
            <v>0</v>
          </cell>
          <cell r="AD389">
            <v>0</v>
          </cell>
          <cell r="AE389">
            <v>0</v>
          </cell>
          <cell r="AF389" t="str">
            <v>電流 [A]</v>
          </cell>
          <cell r="AG389">
            <v>0</v>
          </cell>
          <cell r="AH389">
            <v>0</v>
          </cell>
          <cell r="AI389">
            <v>0</v>
          </cell>
          <cell r="AJ389">
            <v>0</v>
          </cell>
          <cell r="AK389" t="str">
            <v>配　線　材　料　／面</v>
          </cell>
          <cell r="AL389">
            <v>0</v>
          </cell>
        </row>
        <row r="390">
          <cell r="E390">
            <v>0</v>
          </cell>
          <cell r="F390">
            <v>0</v>
          </cell>
          <cell r="G390">
            <v>0</v>
          </cell>
          <cell r="H390">
            <v>0</v>
          </cell>
          <cell r="I390" t="str">
            <v>数</v>
          </cell>
          <cell r="J390">
            <v>0</v>
          </cell>
          <cell r="K390">
            <v>0</v>
          </cell>
          <cell r="L390">
            <v>0</v>
          </cell>
          <cell r="M390">
            <v>0</v>
          </cell>
          <cell r="N390">
            <v>0</v>
          </cell>
          <cell r="O390">
            <v>0</v>
          </cell>
          <cell r="P390" t="str">
            <v>KW</v>
          </cell>
          <cell r="Q390">
            <v>0</v>
          </cell>
          <cell r="R390">
            <v>0</v>
          </cell>
          <cell r="S390">
            <v>0</v>
          </cell>
          <cell r="T390" t="str">
            <v>KVar</v>
          </cell>
          <cell r="U390">
            <v>0</v>
          </cell>
          <cell r="V390">
            <v>0</v>
          </cell>
          <cell r="W390">
            <v>0</v>
          </cell>
          <cell r="X390" t="str">
            <v>DmKW</v>
          </cell>
          <cell r="Y390">
            <v>0</v>
          </cell>
          <cell r="Z390">
            <v>0</v>
          </cell>
          <cell r="AA390">
            <v>0</v>
          </cell>
          <cell r="AB390" t="str">
            <v>DmKVar</v>
          </cell>
          <cell r="AC390">
            <v>0</v>
          </cell>
          <cell r="AD390">
            <v>0</v>
          </cell>
          <cell r="AE390">
            <v>0</v>
          </cell>
          <cell r="AF390" t="str">
            <v>設備/需要</v>
          </cell>
          <cell r="AG390">
            <v>0</v>
          </cell>
          <cell r="AH390">
            <v>0</v>
          </cell>
          <cell r="AI390">
            <v>0</v>
          </cell>
          <cell r="AJ390">
            <v>0</v>
          </cell>
          <cell r="AK390" t="str">
            <v>名 称</v>
          </cell>
          <cell r="AL390">
            <v>0</v>
          </cell>
        </row>
        <row r="391">
          <cell r="E391">
            <v>0</v>
          </cell>
          <cell r="F391">
            <v>0</v>
          </cell>
          <cell r="G391">
            <v>0</v>
          </cell>
          <cell r="H391">
            <v>0</v>
          </cell>
          <cell r="I391">
            <v>1</v>
          </cell>
          <cell r="J391">
            <v>0</v>
          </cell>
          <cell r="K391" t="str">
            <v/>
          </cell>
          <cell r="L391">
            <v>0</v>
          </cell>
          <cell r="M391">
            <v>0</v>
          </cell>
          <cell r="N391">
            <v>0</v>
          </cell>
          <cell r="O391">
            <v>0</v>
          </cell>
          <cell r="P391" t="str">
            <v/>
          </cell>
          <cell r="Q391">
            <v>0</v>
          </cell>
          <cell r="R391">
            <v>0</v>
          </cell>
          <cell r="S391">
            <v>0</v>
          </cell>
          <cell r="T391" t="str">
            <v/>
          </cell>
          <cell r="U391">
            <v>0</v>
          </cell>
          <cell r="V391">
            <v>0</v>
          </cell>
          <cell r="W391">
            <v>0</v>
          </cell>
          <cell r="X391" t="str">
            <v/>
          </cell>
          <cell r="Y391">
            <v>0</v>
          </cell>
          <cell r="Z391">
            <v>0</v>
          </cell>
          <cell r="AA391">
            <v>0</v>
          </cell>
          <cell r="AB391" t="str">
            <v/>
          </cell>
          <cell r="AC391">
            <v>0</v>
          </cell>
          <cell r="AD391">
            <v>0</v>
          </cell>
          <cell r="AE391">
            <v>0</v>
          </cell>
          <cell r="AF391" t="str">
            <v/>
          </cell>
          <cell r="AG391">
            <v>0</v>
          </cell>
          <cell r="AH391">
            <v>0</v>
          </cell>
          <cell r="AI391">
            <v>0</v>
          </cell>
          <cell r="AJ391">
            <v>0</v>
          </cell>
          <cell r="AK391" t="str">
            <v>CVT</v>
          </cell>
          <cell r="AL391">
            <v>0</v>
          </cell>
        </row>
        <row r="392">
          <cell r="E392">
            <v>0</v>
          </cell>
          <cell r="F392">
            <v>0</v>
          </cell>
          <cell r="G392">
            <v>0</v>
          </cell>
          <cell r="H392">
            <v>0</v>
          </cell>
          <cell r="I392">
            <v>0</v>
          </cell>
          <cell r="J392">
            <v>0</v>
          </cell>
          <cell r="K392" t="str">
            <v/>
          </cell>
          <cell r="L392">
            <v>0</v>
          </cell>
          <cell r="M392">
            <v>0</v>
          </cell>
          <cell r="N392">
            <v>0</v>
          </cell>
          <cell r="O392">
            <v>0</v>
          </cell>
          <cell r="P392" t="str">
            <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t="str">
            <v/>
          </cell>
          <cell r="AG392">
            <v>0</v>
          </cell>
          <cell r="AH392">
            <v>0</v>
          </cell>
          <cell r="AI392">
            <v>0</v>
          </cell>
          <cell r="AJ392">
            <v>0</v>
          </cell>
          <cell r="AK392" t="str">
            <v>基底温度</v>
          </cell>
          <cell r="AL392">
            <v>0</v>
          </cell>
        </row>
        <row r="393">
          <cell r="E393">
            <v>0</v>
          </cell>
          <cell r="F393">
            <v>0</v>
          </cell>
          <cell r="G393">
            <v>0</v>
          </cell>
          <cell r="H393">
            <v>0</v>
          </cell>
          <cell r="I393">
            <v>0</v>
          </cell>
          <cell r="J393">
            <v>0</v>
          </cell>
          <cell r="K393" t="str">
            <v>3φ3W</v>
          </cell>
          <cell r="L393">
            <v>0</v>
          </cell>
          <cell r="M393">
            <v>0</v>
          </cell>
          <cell r="N393">
            <v>0</v>
          </cell>
          <cell r="O393">
            <v>0</v>
          </cell>
          <cell r="P393">
            <v>166.2</v>
          </cell>
          <cell r="Q393">
            <v>0</v>
          </cell>
          <cell r="R393">
            <v>0</v>
          </cell>
          <cell r="S393">
            <v>0</v>
          </cell>
          <cell r="T393">
            <v>169.41971080833127</v>
          </cell>
          <cell r="U393">
            <v>0</v>
          </cell>
          <cell r="V393">
            <v>0</v>
          </cell>
          <cell r="W393">
            <v>0</v>
          </cell>
          <cell r="X393">
            <v>63.27</v>
          </cell>
          <cell r="Y393">
            <v>0</v>
          </cell>
          <cell r="Z393">
            <v>0</v>
          </cell>
          <cell r="AA393">
            <v>0</v>
          </cell>
          <cell r="AB393">
            <v>63.428473642521091</v>
          </cell>
          <cell r="AC393">
            <v>0</v>
          </cell>
          <cell r="AD393">
            <v>0</v>
          </cell>
          <cell r="AE393">
            <v>0</v>
          </cell>
          <cell r="AF393">
            <v>652.4879903522226</v>
          </cell>
          <cell r="AG393">
            <v>0</v>
          </cell>
          <cell r="AH393">
            <v>0</v>
          </cell>
          <cell r="AI393">
            <v>0</v>
          </cell>
          <cell r="AJ393">
            <v>0</v>
          </cell>
          <cell r="AK393" t="str">
            <v>CVT</v>
          </cell>
          <cell r="AL393">
            <v>0</v>
          </cell>
        </row>
        <row r="394">
          <cell r="E394">
            <v>0</v>
          </cell>
          <cell r="F394">
            <v>0</v>
          </cell>
          <cell r="G394">
            <v>0</v>
          </cell>
          <cell r="H394">
            <v>0</v>
          </cell>
          <cell r="I394">
            <v>0</v>
          </cell>
          <cell r="J394">
            <v>0</v>
          </cell>
          <cell r="K394" t="str">
            <v>210V</v>
          </cell>
          <cell r="L394">
            <v>0</v>
          </cell>
          <cell r="M394">
            <v>0</v>
          </cell>
          <cell r="N394">
            <v>0</v>
          </cell>
          <cell r="O394">
            <v>0</v>
          </cell>
          <cell r="P394" t="str">
            <v>MCCB  225AF/225</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426.61628551984296</v>
          </cell>
          <cell r="AG394">
            <v>0</v>
          </cell>
          <cell r="AH394">
            <v>0</v>
          </cell>
          <cell r="AI394">
            <v>0</v>
          </cell>
          <cell r="AJ394">
            <v>0</v>
          </cell>
          <cell r="AK394" t="str">
            <v>基底温度</v>
          </cell>
          <cell r="AL394">
            <v>0</v>
          </cell>
        </row>
        <row r="395">
          <cell r="E395">
            <v>0</v>
          </cell>
          <cell r="F395">
            <v>0</v>
          </cell>
          <cell r="G395">
            <v>0</v>
          </cell>
          <cell r="H395">
            <v>0</v>
          </cell>
          <cell r="I395">
            <v>0</v>
          </cell>
          <cell r="J395">
            <v>0</v>
          </cell>
          <cell r="K395" t="str">
            <v/>
          </cell>
          <cell r="L395">
            <v>0</v>
          </cell>
          <cell r="M395">
            <v>0</v>
          </cell>
          <cell r="N395">
            <v>0</v>
          </cell>
          <cell r="O395">
            <v>0</v>
          </cell>
          <cell r="P395" t="str">
            <v/>
          </cell>
          <cell r="Q395">
            <v>0</v>
          </cell>
          <cell r="R395">
            <v>0</v>
          </cell>
          <cell r="S395">
            <v>0</v>
          </cell>
          <cell r="T395" t="str">
            <v/>
          </cell>
          <cell r="U395">
            <v>0</v>
          </cell>
          <cell r="V395">
            <v>0</v>
          </cell>
          <cell r="W395">
            <v>0</v>
          </cell>
          <cell r="X395" t="str">
            <v/>
          </cell>
          <cell r="Y395">
            <v>0</v>
          </cell>
          <cell r="Z395">
            <v>0</v>
          </cell>
          <cell r="AA395">
            <v>0</v>
          </cell>
          <cell r="AB395" t="str">
            <v/>
          </cell>
          <cell r="AC395">
            <v>0</v>
          </cell>
          <cell r="AD395">
            <v>0</v>
          </cell>
          <cell r="AE395">
            <v>0</v>
          </cell>
          <cell r="AF395" t="str">
            <v/>
          </cell>
          <cell r="AG395">
            <v>0</v>
          </cell>
          <cell r="AH395">
            <v>0</v>
          </cell>
          <cell r="AI395">
            <v>0</v>
          </cell>
          <cell r="AJ395">
            <v>0</v>
          </cell>
          <cell r="AK395" t="str">
            <v>CVT</v>
          </cell>
          <cell r="AL395">
            <v>0</v>
          </cell>
        </row>
        <row r="396">
          <cell r="E396">
            <v>0</v>
          </cell>
          <cell r="F396">
            <v>0</v>
          </cell>
          <cell r="G396">
            <v>0</v>
          </cell>
          <cell r="H396">
            <v>0</v>
          </cell>
          <cell r="I396">
            <v>0</v>
          </cell>
          <cell r="J396">
            <v>0</v>
          </cell>
          <cell r="K396" t="str">
            <v/>
          </cell>
          <cell r="L396">
            <v>0</v>
          </cell>
          <cell r="M396">
            <v>0</v>
          </cell>
          <cell r="N396">
            <v>0</v>
          </cell>
          <cell r="O396">
            <v>0</v>
          </cell>
          <cell r="P396" t="str">
            <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t="str">
            <v/>
          </cell>
          <cell r="AG396">
            <v>0</v>
          </cell>
          <cell r="AH396">
            <v>0</v>
          </cell>
          <cell r="AI396">
            <v>0</v>
          </cell>
          <cell r="AJ396">
            <v>0</v>
          </cell>
          <cell r="AK396" t="str">
            <v>基底温度</v>
          </cell>
          <cell r="AL396">
            <v>0</v>
          </cell>
        </row>
        <row r="397">
          <cell r="E397">
            <v>0</v>
          </cell>
          <cell r="F397" t="str">
            <v>ケーブル配線工事</v>
          </cell>
          <cell r="G397">
            <v>0</v>
          </cell>
          <cell r="H397">
            <v>0</v>
          </cell>
          <cell r="I397">
            <v>0</v>
          </cell>
          <cell r="J397">
            <v>0</v>
          </cell>
          <cell r="K397">
            <v>0</v>
          </cell>
          <cell r="L397">
            <v>0</v>
          </cell>
          <cell r="M397">
            <v>0</v>
          </cell>
          <cell r="N397" t="str">
            <v>▼</v>
          </cell>
          <cell r="O397">
            <v>0</v>
          </cell>
          <cell r="P397">
            <v>0</v>
          </cell>
          <cell r="Q397">
            <v>0</v>
          </cell>
          <cell r="R397">
            <v>0</v>
          </cell>
          <cell r="S397">
            <v>0</v>
          </cell>
          <cell r="T397">
            <v>0</v>
          </cell>
          <cell r="U397">
            <v>0</v>
          </cell>
          <cell r="V397" t="str">
            <v>配管</v>
          </cell>
          <cell r="W397">
            <v>0</v>
          </cell>
          <cell r="X397">
            <v>0</v>
          </cell>
          <cell r="Y397" t="str">
            <v>ケーブルラック工事(1段)</v>
          </cell>
          <cell r="Z397">
            <v>0</v>
          </cell>
          <cell r="AA397">
            <v>0</v>
          </cell>
          <cell r="AB397">
            <v>0</v>
          </cell>
          <cell r="AC397">
            <v>0</v>
          </cell>
          <cell r="AD397">
            <v>0</v>
          </cell>
          <cell r="AE397">
            <v>0</v>
          </cell>
          <cell r="AF397">
            <v>0</v>
          </cell>
          <cell r="AG397">
            <v>0</v>
          </cell>
          <cell r="AH397" t="str">
            <v>▼</v>
          </cell>
          <cell r="AI397">
            <v>0</v>
          </cell>
          <cell r="AJ397">
            <v>0</v>
          </cell>
          <cell r="AK397">
            <v>0</v>
          </cell>
          <cell r="AL397">
            <v>0</v>
          </cell>
        </row>
        <row r="398">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row>
        <row r="401">
          <cell r="E401">
            <v>0</v>
          </cell>
          <cell r="F401">
            <v>0</v>
          </cell>
          <cell r="G401">
            <v>0</v>
          </cell>
          <cell r="H401">
            <v>0</v>
          </cell>
          <cell r="I401" t="str">
            <v>面</v>
          </cell>
          <cell r="J401">
            <v>0</v>
          </cell>
          <cell r="K401" t="str">
            <v>電気方式</v>
          </cell>
          <cell r="L401">
            <v>0</v>
          </cell>
          <cell r="M401">
            <v>0</v>
          </cell>
          <cell r="N401">
            <v>0</v>
          </cell>
          <cell r="O401">
            <v>0</v>
          </cell>
          <cell r="P401" t="str">
            <v>設備容量／面</v>
          </cell>
          <cell r="Q401">
            <v>0</v>
          </cell>
          <cell r="R401">
            <v>0</v>
          </cell>
          <cell r="S401">
            <v>0</v>
          </cell>
          <cell r="T401">
            <v>0</v>
          </cell>
          <cell r="U401">
            <v>0</v>
          </cell>
          <cell r="V401">
            <v>0</v>
          </cell>
          <cell r="W401">
            <v>0</v>
          </cell>
          <cell r="X401" t="str">
            <v>需要容量／面</v>
          </cell>
          <cell r="Y401">
            <v>0</v>
          </cell>
          <cell r="Z401">
            <v>0</v>
          </cell>
          <cell r="AA401">
            <v>0</v>
          </cell>
          <cell r="AB401">
            <v>0</v>
          </cell>
          <cell r="AC401">
            <v>0</v>
          </cell>
          <cell r="AD401">
            <v>0</v>
          </cell>
          <cell r="AE401">
            <v>0</v>
          </cell>
          <cell r="AF401" t="str">
            <v>電流 [A]</v>
          </cell>
          <cell r="AG401">
            <v>0</v>
          </cell>
          <cell r="AH401">
            <v>0</v>
          </cell>
          <cell r="AI401">
            <v>0</v>
          </cell>
          <cell r="AJ401">
            <v>0</v>
          </cell>
          <cell r="AK401" t="str">
            <v>配　線　材　料　／面</v>
          </cell>
          <cell r="AL401">
            <v>0</v>
          </cell>
        </row>
        <row r="402">
          <cell r="E402">
            <v>0</v>
          </cell>
          <cell r="F402">
            <v>0</v>
          </cell>
          <cell r="G402">
            <v>0</v>
          </cell>
          <cell r="H402">
            <v>0</v>
          </cell>
          <cell r="I402" t="str">
            <v>数</v>
          </cell>
          <cell r="J402">
            <v>0</v>
          </cell>
          <cell r="K402">
            <v>0</v>
          </cell>
          <cell r="L402">
            <v>0</v>
          </cell>
          <cell r="M402">
            <v>0</v>
          </cell>
          <cell r="N402">
            <v>0</v>
          </cell>
          <cell r="O402">
            <v>0</v>
          </cell>
          <cell r="P402" t="str">
            <v>KW</v>
          </cell>
          <cell r="Q402">
            <v>0</v>
          </cell>
          <cell r="R402">
            <v>0</v>
          </cell>
          <cell r="S402">
            <v>0</v>
          </cell>
          <cell r="T402" t="str">
            <v>KVar</v>
          </cell>
          <cell r="U402">
            <v>0</v>
          </cell>
          <cell r="V402">
            <v>0</v>
          </cell>
          <cell r="W402">
            <v>0</v>
          </cell>
          <cell r="X402" t="str">
            <v>DmKW</v>
          </cell>
          <cell r="Y402">
            <v>0</v>
          </cell>
          <cell r="Z402">
            <v>0</v>
          </cell>
          <cell r="AA402">
            <v>0</v>
          </cell>
          <cell r="AB402" t="str">
            <v>DmKVar</v>
          </cell>
          <cell r="AC402">
            <v>0</v>
          </cell>
          <cell r="AD402">
            <v>0</v>
          </cell>
          <cell r="AE402">
            <v>0</v>
          </cell>
          <cell r="AF402" t="str">
            <v>設備/需要</v>
          </cell>
          <cell r="AG402">
            <v>0</v>
          </cell>
          <cell r="AH402">
            <v>0</v>
          </cell>
          <cell r="AI402">
            <v>0</v>
          </cell>
          <cell r="AJ402">
            <v>0</v>
          </cell>
          <cell r="AK402" t="str">
            <v>名 称</v>
          </cell>
          <cell r="AL402">
            <v>0</v>
          </cell>
        </row>
        <row r="403">
          <cell r="E403">
            <v>0</v>
          </cell>
          <cell r="F403">
            <v>0</v>
          </cell>
          <cell r="G403">
            <v>0</v>
          </cell>
          <cell r="H403">
            <v>0</v>
          </cell>
          <cell r="I403">
            <v>1</v>
          </cell>
          <cell r="J403">
            <v>0</v>
          </cell>
          <cell r="K403" t="str">
            <v/>
          </cell>
          <cell r="L403">
            <v>0</v>
          </cell>
          <cell r="M403">
            <v>0</v>
          </cell>
          <cell r="N403">
            <v>0</v>
          </cell>
          <cell r="O403">
            <v>0</v>
          </cell>
          <cell r="P403" t="str">
            <v/>
          </cell>
          <cell r="Q403">
            <v>0</v>
          </cell>
          <cell r="R403">
            <v>0</v>
          </cell>
          <cell r="S403">
            <v>0</v>
          </cell>
          <cell r="T403" t="str">
            <v/>
          </cell>
          <cell r="U403">
            <v>0</v>
          </cell>
          <cell r="V403">
            <v>0</v>
          </cell>
          <cell r="W403">
            <v>0</v>
          </cell>
          <cell r="X403" t="str">
            <v/>
          </cell>
          <cell r="Y403">
            <v>0</v>
          </cell>
          <cell r="Z403">
            <v>0</v>
          </cell>
          <cell r="AA403">
            <v>0</v>
          </cell>
          <cell r="AB403" t="str">
            <v/>
          </cell>
          <cell r="AC403">
            <v>0</v>
          </cell>
          <cell r="AD403">
            <v>0</v>
          </cell>
          <cell r="AE403">
            <v>0</v>
          </cell>
          <cell r="AF403" t="str">
            <v/>
          </cell>
          <cell r="AG403">
            <v>0</v>
          </cell>
          <cell r="AH403">
            <v>0</v>
          </cell>
          <cell r="AI403">
            <v>0</v>
          </cell>
          <cell r="AJ403">
            <v>0</v>
          </cell>
          <cell r="AK403" t="str">
            <v>CVT</v>
          </cell>
          <cell r="AL403">
            <v>0</v>
          </cell>
        </row>
        <row r="404">
          <cell r="E404">
            <v>0</v>
          </cell>
          <cell r="F404">
            <v>0</v>
          </cell>
          <cell r="G404">
            <v>0</v>
          </cell>
          <cell r="H404">
            <v>0</v>
          </cell>
          <cell r="I404">
            <v>0</v>
          </cell>
          <cell r="J404">
            <v>0</v>
          </cell>
          <cell r="K404" t="str">
            <v/>
          </cell>
          <cell r="L404">
            <v>0</v>
          </cell>
          <cell r="M404">
            <v>0</v>
          </cell>
          <cell r="N404">
            <v>0</v>
          </cell>
          <cell r="O404">
            <v>0</v>
          </cell>
          <cell r="P404" t="str">
            <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t="str">
            <v/>
          </cell>
          <cell r="AG404">
            <v>0</v>
          </cell>
          <cell r="AH404">
            <v>0</v>
          </cell>
          <cell r="AI404">
            <v>0</v>
          </cell>
          <cell r="AJ404">
            <v>0</v>
          </cell>
          <cell r="AK404" t="str">
            <v>基底温度</v>
          </cell>
          <cell r="AL404">
            <v>0</v>
          </cell>
        </row>
        <row r="405">
          <cell r="E405">
            <v>0</v>
          </cell>
          <cell r="F405">
            <v>0</v>
          </cell>
          <cell r="G405">
            <v>0</v>
          </cell>
          <cell r="H405">
            <v>0</v>
          </cell>
          <cell r="I405">
            <v>0</v>
          </cell>
          <cell r="J405">
            <v>0</v>
          </cell>
          <cell r="K405" t="str">
            <v>3φ3W</v>
          </cell>
          <cell r="L405">
            <v>0</v>
          </cell>
          <cell r="M405">
            <v>0</v>
          </cell>
          <cell r="N405">
            <v>0</v>
          </cell>
          <cell r="O405">
            <v>0</v>
          </cell>
          <cell r="P405">
            <v>108.46000000000001</v>
          </cell>
          <cell r="Q405">
            <v>0</v>
          </cell>
          <cell r="R405">
            <v>0</v>
          </cell>
          <cell r="S405">
            <v>0</v>
          </cell>
          <cell r="T405">
            <v>86.533344070010813</v>
          </cell>
          <cell r="U405">
            <v>0</v>
          </cell>
          <cell r="V405">
            <v>0</v>
          </cell>
          <cell r="W405">
            <v>0</v>
          </cell>
          <cell r="X405">
            <v>5.4230000000000009</v>
          </cell>
          <cell r="Y405">
            <v>0</v>
          </cell>
          <cell r="Z405">
            <v>0</v>
          </cell>
          <cell r="AA405">
            <v>0</v>
          </cell>
          <cell r="AB405">
            <v>4.3266672035005413</v>
          </cell>
          <cell r="AC405">
            <v>0</v>
          </cell>
          <cell r="AD405">
            <v>0</v>
          </cell>
          <cell r="AE405">
            <v>0</v>
          </cell>
          <cell r="AF405">
            <v>660.71477882330601</v>
          </cell>
          <cell r="AG405">
            <v>0</v>
          </cell>
          <cell r="AH405">
            <v>0</v>
          </cell>
          <cell r="AI405">
            <v>0</v>
          </cell>
          <cell r="AJ405">
            <v>0</v>
          </cell>
          <cell r="AK405" t="str">
            <v>CVT</v>
          </cell>
          <cell r="AL405">
            <v>0</v>
          </cell>
        </row>
        <row r="406">
          <cell r="E406">
            <v>0</v>
          </cell>
          <cell r="F406">
            <v>0</v>
          </cell>
          <cell r="G406">
            <v>0</v>
          </cell>
          <cell r="H406">
            <v>0</v>
          </cell>
          <cell r="I406">
            <v>0</v>
          </cell>
          <cell r="J406">
            <v>0</v>
          </cell>
          <cell r="K406" t="str">
            <v>210V</v>
          </cell>
          <cell r="L406">
            <v>0</v>
          </cell>
          <cell r="M406">
            <v>0</v>
          </cell>
          <cell r="N406">
            <v>0</v>
          </cell>
          <cell r="O406">
            <v>0</v>
          </cell>
          <cell r="P406" t="str">
            <v>MCCB  225AF/200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33.035738941165306</v>
          </cell>
          <cell r="AG406">
            <v>0</v>
          </cell>
          <cell r="AH406">
            <v>0</v>
          </cell>
          <cell r="AI406">
            <v>0</v>
          </cell>
          <cell r="AJ406">
            <v>0</v>
          </cell>
          <cell r="AK406" t="str">
            <v>基底温度</v>
          </cell>
          <cell r="AL406">
            <v>0</v>
          </cell>
        </row>
        <row r="407">
          <cell r="E407">
            <v>0</v>
          </cell>
          <cell r="F407">
            <v>0</v>
          </cell>
          <cell r="G407">
            <v>0</v>
          </cell>
          <cell r="H407">
            <v>0</v>
          </cell>
          <cell r="I407">
            <v>0</v>
          </cell>
          <cell r="J407">
            <v>0</v>
          </cell>
          <cell r="K407" t="str">
            <v/>
          </cell>
          <cell r="L407">
            <v>0</v>
          </cell>
          <cell r="M407">
            <v>0</v>
          </cell>
          <cell r="N407">
            <v>0</v>
          </cell>
          <cell r="O407">
            <v>0</v>
          </cell>
          <cell r="P407" t="str">
            <v/>
          </cell>
          <cell r="Q407">
            <v>0</v>
          </cell>
          <cell r="R407">
            <v>0</v>
          </cell>
          <cell r="S407">
            <v>0</v>
          </cell>
          <cell r="T407" t="str">
            <v/>
          </cell>
          <cell r="U407">
            <v>0</v>
          </cell>
          <cell r="V407">
            <v>0</v>
          </cell>
          <cell r="W407">
            <v>0</v>
          </cell>
          <cell r="X407" t="str">
            <v/>
          </cell>
          <cell r="Y407">
            <v>0</v>
          </cell>
          <cell r="Z407">
            <v>0</v>
          </cell>
          <cell r="AA407">
            <v>0</v>
          </cell>
          <cell r="AB407" t="str">
            <v/>
          </cell>
          <cell r="AC407">
            <v>0</v>
          </cell>
          <cell r="AD407">
            <v>0</v>
          </cell>
          <cell r="AE407">
            <v>0</v>
          </cell>
          <cell r="AF407" t="str">
            <v/>
          </cell>
          <cell r="AG407">
            <v>0</v>
          </cell>
          <cell r="AH407">
            <v>0</v>
          </cell>
          <cell r="AI407">
            <v>0</v>
          </cell>
          <cell r="AJ407">
            <v>0</v>
          </cell>
          <cell r="AK407" t="str">
            <v>CVT</v>
          </cell>
          <cell r="AL407">
            <v>0</v>
          </cell>
        </row>
        <row r="408">
          <cell r="E408">
            <v>0</v>
          </cell>
          <cell r="F408">
            <v>0</v>
          </cell>
          <cell r="G408">
            <v>0</v>
          </cell>
          <cell r="H408">
            <v>0</v>
          </cell>
          <cell r="I408">
            <v>0</v>
          </cell>
          <cell r="J408">
            <v>0</v>
          </cell>
          <cell r="K408" t="str">
            <v/>
          </cell>
          <cell r="L408">
            <v>0</v>
          </cell>
          <cell r="M408">
            <v>0</v>
          </cell>
          <cell r="N408">
            <v>0</v>
          </cell>
          <cell r="O408">
            <v>0</v>
          </cell>
          <cell r="P408" t="str">
            <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t="str">
            <v/>
          </cell>
          <cell r="AG408">
            <v>0</v>
          </cell>
          <cell r="AH408">
            <v>0</v>
          </cell>
          <cell r="AI408">
            <v>0</v>
          </cell>
          <cell r="AJ408">
            <v>0</v>
          </cell>
          <cell r="AK408" t="str">
            <v>基底温度</v>
          </cell>
          <cell r="AL408">
            <v>0</v>
          </cell>
        </row>
        <row r="409">
          <cell r="E409">
            <v>0</v>
          </cell>
          <cell r="F409" t="str">
            <v>ケーブル配線工事</v>
          </cell>
          <cell r="G409">
            <v>0</v>
          </cell>
          <cell r="H409">
            <v>0</v>
          </cell>
          <cell r="I409">
            <v>0</v>
          </cell>
          <cell r="J409">
            <v>0</v>
          </cell>
          <cell r="K409">
            <v>0</v>
          </cell>
          <cell r="L409">
            <v>0</v>
          </cell>
          <cell r="M409">
            <v>0</v>
          </cell>
          <cell r="N409" t="str">
            <v>▼</v>
          </cell>
          <cell r="O409">
            <v>0</v>
          </cell>
          <cell r="P409">
            <v>0</v>
          </cell>
          <cell r="Q409">
            <v>0</v>
          </cell>
          <cell r="R409">
            <v>0</v>
          </cell>
          <cell r="S409">
            <v>0</v>
          </cell>
          <cell r="T409">
            <v>0</v>
          </cell>
          <cell r="U409">
            <v>0</v>
          </cell>
          <cell r="V409" t="str">
            <v>配管</v>
          </cell>
          <cell r="W409">
            <v>0</v>
          </cell>
          <cell r="X409">
            <v>0</v>
          </cell>
          <cell r="Y409" t="str">
            <v>ケーブルラック工事(1段)</v>
          </cell>
          <cell r="Z409">
            <v>0</v>
          </cell>
          <cell r="AA409">
            <v>0</v>
          </cell>
          <cell r="AB409">
            <v>0</v>
          </cell>
          <cell r="AC409">
            <v>0</v>
          </cell>
          <cell r="AD409">
            <v>0</v>
          </cell>
          <cell r="AE409">
            <v>0</v>
          </cell>
          <cell r="AF409">
            <v>0</v>
          </cell>
          <cell r="AG409">
            <v>0</v>
          </cell>
          <cell r="AH409" t="str">
            <v>▼</v>
          </cell>
          <cell r="AI409">
            <v>0</v>
          </cell>
          <cell r="AJ409">
            <v>0</v>
          </cell>
          <cell r="AK409">
            <v>0</v>
          </cell>
          <cell r="AL409">
            <v>0</v>
          </cell>
        </row>
        <row r="410">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row>
        <row r="411">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row>
        <row r="412">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row>
        <row r="413">
          <cell r="E413">
            <v>0</v>
          </cell>
          <cell r="F413">
            <v>0</v>
          </cell>
          <cell r="G413">
            <v>0</v>
          </cell>
          <cell r="H413">
            <v>0</v>
          </cell>
          <cell r="I413" t="str">
            <v>面</v>
          </cell>
          <cell r="J413">
            <v>0</v>
          </cell>
          <cell r="K413" t="str">
            <v>電気方式</v>
          </cell>
          <cell r="L413">
            <v>0</v>
          </cell>
          <cell r="M413">
            <v>0</v>
          </cell>
          <cell r="N413">
            <v>0</v>
          </cell>
          <cell r="O413">
            <v>0</v>
          </cell>
          <cell r="P413" t="str">
            <v>設備容量／面</v>
          </cell>
          <cell r="Q413">
            <v>0</v>
          </cell>
          <cell r="R413">
            <v>0</v>
          </cell>
          <cell r="S413">
            <v>0</v>
          </cell>
          <cell r="T413">
            <v>0</v>
          </cell>
          <cell r="U413">
            <v>0</v>
          </cell>
          <cell r="V413">
            <v>0</v>
          </cell>
          <cell r="W413">
            <v>0</v>
          </cell>
          <cell r="X413" t="str">
            <v>需要容量／面</v>
          </cell>
          <cell r="Y413">
            <v>0</v>
          </cell>
          <cell r="Z413">
            <v>0</v>
          </cell>
          <cell r="AA413">
            <v>0</v>
          </cell>
          <cell r="AB413">
            <v>0</v>
          </cell>
          <cell r="AC413">
            <v>0</v>
          </cell>
          <cell r="AD413">
            <v>0</v>
          </cell>
          <cell r="AE413">
            <v>0</v>
          </cell>
          <cell r="AF413" t="str">
            <v>電流 [A]</v>
          </cell>
          <cell r="AG413">
            <v>0</v>
          </cell>
          <cell r="AH413">
            <v>0</v>
          </cell>
          <cell r="AI413">
            <v>0</v>
          </cell>
          <cell r="AJ413">
            <v>0</v>
          </cell>
          <cell r="AK413" t="str">
            <v>配　線　材　料　／面</v>
          </cell>
          <cell r="AL413">
            <v>0</v>
          </cell>
        </row>
        <row r="414">
          <cell r="E414">
            <v>0</v>
          </cell>
          <cell r="F414">
            <v>0</v>
          </cell>
          <cell r="G414">
            <v>0</v>
          </cell>
          <cell r="H414">
            <v>0</v>
          </cell>
          <cell r="I414" t="str">
            <v>数</v>
          </cell>
          <cell r="J414">
            <v>0</v>
          </cell>
          <cell r="K414">
            <v>0</v>
          </cell>
          <cell r="L414">
            <v>0</v>
          </cell>
          <cell r="M414">
            <v>0</v>
          </cell>
          <cell r="N414">
            <v>0</v>
          </cell>
          <cell r="O414">
            <v>0</v>
          </cell>
          <cell r="P414" t="str">
            <v>KW</v>
          </cell>
          <cell r="Q414">
            <v>0</v>
          </cell>
          <cell r="R414">
            <v>0</v>
          </cell>
          <cell r="S414">
            <v>0</v>
          </cell>
          <cell r="T414" t="str">
            <v>KVar</v>
          </cell>
          <cell r="U414">
            <v>0</v>
          </cell>
          <cell r="V414">
            <v>0</v>
          </cell>
          <cell r="W414">
            <v>0</v>
          </cell>
          <cell r="X414" t="str">
            <v>DmKW</v>
          </cell>
          <cell r="Y414">
            <v>0</v>
          </cell>
          <cell r="Z414">
            <v>0</v>
          </cell>
          <cell r="AA414">
            <v>0</v>
          </cell>
          <cell r="AB414" t="str">
            <v>DmKVar</v>
          </cell>
          <cell r="AC414">
            <v>0</v>
          </cell>
          <cell r="AD414">
            <v>0</v>
          </cell>
          <cell r="AE414">
            <v>0</v>
          </cell>
          <cell r="AF414" t="str">
            <v>設備/需要</v>
          </cell>
          <cell r="AG414">
            <v>0</v>
          </cell>
          <cell r="AH414">
            <v>0</v>
          </cell>
          <cell r="AI414">
            <v>0</v>
          </cell>
          <cell r="AJ414">
            <v>0</v>
          </cell>
          <cell r="AK414" t="str">
            <v>名 称</v>
          </cell>
          <cell r="AL414">
            <v>0</v>
          </cell>
        </row>
        <row r="415">
          <cell r="E415">
            <v>0</v>
          </cell>
          <cell r="F415">
            <v>0</v>
          </cell>
          <cell r="G415">
            <v>0</v>
          </cell>
          <cell r="H415">
            <v>0</v>
          </cell>
          <cell r="I415" t="str">
            <v/>
          </cell>
          <cell r="J415">
            <v>0</v>
          </cell>
          <cell r="K415" t="str">
            <v/>
          </cell>
          <cell r="L415">
            <v>0</v>
          </cell>
          <cell r="M415">
            <v>0</v>
          </cell>
          <cell r="N415">
            <v>0</v>
          </cell>
          <cell r="O415">
            <v>0</v>
          </cell>
          <cell r="P415" t="str">
            <v/>
          </cell>
          <cell r="Q415">
            <v>0</v>
          </cell>
          <cell r="R415">
            <v>0</v>
          </cell>
          <cell r="S415">
            <v>0</v>
          </cell>
          <cell r="T415" t="str">
            <v/>
          </cell>
          <cell r="U415">
            <v>0</v>
          </cell>
          <cell r="V415">
            <v>0</v>
          </cell>
          <cell r="W415">
            <v>0</v>
          </cell>
          <cell r="X415" t="str">
            <v/>
          </cell>
          <cell r="Y415">
            <v>0</v>
          </cell>
          <cell r="Z415">
            <v>0</v>
          </cell>
          <cell r="AA415">
            <v>0</v>
          </cell>
          <cell r="AB415" t="str">
            <v/>
          </cell>
          <cell r="AC415">
            <v>0</v>
          </cell>
          <cell r="AD415">
            <v>0</v>
          </cell>
          <cell r="AE415">
            <v>0</v>
          </cell>
          <cell r="AF415" t="str">
            <v/>
          </cell>
          <cell r="AG415">
            <v>0</v>
          </cell>
          <cell r="AH415">
            <v>0</v>
          </cell>
          <cell r="AI415">
            <v>0</v>
          </cell>
          <cell r="AJ415">
            <v>0</v>
          </cell>
          <cell r="AK415" t="str">
            <v>CVT</v>
          </cell>
          <cell r="AL415">
            <v>0</v>
          </cell>
        </row>
        <row r="416">
          <cell r="E416">
            <v>0</v>
          </cell>
          <cell r="F416">
            <v>0</v>
          </cell>
          <cell r="G416">
            <v>0</v>
          </cell>
          <cell r="H416">
            <v>0</v>
          </cell>
          <cell r="I416">
            <v>0</v>
          </cell>
          <cell r="J416">
            <v>0</v>
          </cell>
          <cell r="K416" t="str">
            <v/>
          </cell>
          <cell r="L416">
            <v>0</v>
          </cell>
          <cell r="M416">
            <v>0</v>
          </cell>
          <cell r="N416">
            <v>0</v>
          </cell>
          <cell r="O416">
            <v>0</v>
          </cell>
          <cell r="P416" t="str">
            <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t="str">
            <v/>
          </cell>
          <cell r="AG416">
            <v>0</v>
          </cell>
          <cell r="AH416">
            <v>0</v>
          </cell>
          <cell r="AI416">
            <v>0</v>
          </cell>
          <cell r="AJ416">
            <v>0</v>
          </cell>
          <cell r="AK416" t="str">
            <v>基底温度</v>
          </cell>
          <cell r="AL416">
            <v>0</v>
          </cell>
        </row>
        <row r="417">
          <cell r="E417">
            <v>0</v>
          </cell>
          <cell r="F417">
            <v>0</v>
          </cell>
          <cell r="G417">
            <v>0</v>
          </cell>
          <cell r="H417">
            <v>0</v>
          </cell>
          <cell r="I417">
            <v>0</v>
          </cell>
          <cell r="J417">
            <v>0</v>
          </cell>
          <cell r="K417" t="str">
            <v/>
          </cell>
          <cell r="L417">
            <v>0</v>
          </cell>
          <cell r="M417">
            <v>0</v>
          </cell>
          <cell r="N417">
            <v>0</v>
          </cell>
          <cell r="O417">
            <v>0</v>
          </cell>
          <cell r="P417" t="str">
            <v/>
          </cell>
          <cell r="Q417">
            <v>0</v>
          </cell>
          <cell r="R417">
            <v>0</v>
          </cell>
          <cell r="S417">
            <v>0</v>
          </cell>
          <cell r="T417" t="str">
            <v/>
          </cell>
          <cell r="U417">
            <v>0</v>
          </cell>
          <cell r="V417">
            <v>0</v>
          </cell>
          <cell r="W417">
            <v>0</v>
          </cell>
          <cell r="X417" t="str">
            <v/>
          </cell>
          <cell r="Y417">
            <v>0</v>
          </cell>
          <cell r="Z417">
            <v>0</v>
          </cell>
          <cell r="AA417">
            <v>0</v>
          </cell>
          <cell r="AB417" t="str">
            <v/>
          </cell>
          <cell r="AC417">
            <v>0</v>
          </cell>
          <cell r="AD417">
            <v>0</v>
          </cell>
          <cell r="AE417">
            <v>0</v>
          </cell>
          <cell r="AF417" t="str">
            <v/>
          </cell>
          <cell r="AG417">
            <v>0</v>
          </cell>
          <cell r="AH417">
            <v>0</v>
          </cell>
          <cell r="AI417">
            <v>0</v>
          </cell>
          <cell r="AJ417">
            <v>0</v>
          </cell>
          <cell r="AK417" t="str">
            <v>CVT</v>
          </cell>
          <cell r="AL417">
            <v>0</v>
          </cell>
        </row>
        <row r="418">
          <cell r="E418">
            <v>0</v>
          </cell>
          <cell r="F418">
            <v>0</v>
          </cell>
          <cell r="G418">
            <v>0</v>
          </cell>
          <cell r="H418">
            <v>0</v>
          </cell>
          <cell r="I418">
            <v>0</v>
          </cell>
          <cell r="J418">
            <v>0</v>
          </cell>
          <cell r="K418" t="str">
            <v/>
          </cell>
          <cell r="L418">
            <v>0</v>
          </cell>
          <cell r="M418">
            <v>0</v>
          </cell>
          <cell r="N418">
            <v>0</v>
          </cell>
          <cell r="O418">
            <v>0</v>
          </cell>
          <cell r="P418" t="str">
            <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t="str">
            <v/>
          </cell>
          <cell r="AG418">
            <v>0</v>
          </cell>
          <cell r="AH418">
            <v>0</v>
          </cell>
          <cell r="AI418">
            <v>0</v>
          </cell>
          <cell r="AJ418">
            <v>0</v>
          </cell>
          <cell r="AK418" t="str">
            <v>基底温度</v>
          </cell>
          <cell r="AL418">
            <v>0</v>
          </cell>
        </row>
        <row r="419">
          <cell r="E419">
            <v>0</v>
          </cell>
          <cell r="F419">
            <v>0</v>
          </cell>
          <cell r="G419">
            <v>0</v>
          </cell>
          <cell r="H419">
            <v>0</v>
          </cell>
          <cell r="I419">
            <v>0</v>
          </cell>
          <cell r="J419">
            <v>0</v>
          </cell>
          <cell r="K419" t="str">
            <v/>
          </cell>
          <cell r="L419">
            <v>0</v>
          </cell>
          <cell r="M419">
            <v>0</v>
          </cell>
          <cell r="N419">
            <v>0</v>
          </cell>
          <cell r="O419">
            <v>0</v>
          </cell>
          <cell r="P419" t="str">
            <v/>
          </cell>
          <cell r="Q419">
            <v>0</v>
          </cell>
          <cell r="R419">
            <v>0</v>
          </cell>
          <cell r="S419">
            <v>0</v>
          </cell>
          <cell r="T419" t="str">
            <v/>
          </cell>
          <cell r="U419">
            <v>0</v>
          </cell>
          <cell r="V419">
            <v>0</v>
          </cell>
          <cell r="W419">
            <v>0</v>
          </cell>
          <cell r="X419" t="str">
            <v/>
          </cell>
          <cell r="Y419">
            <v>0</v>
          </cell>
          <cell r="Z419">
            <v>0</v>
          </cell>
          <cell r="AA419">
            <v>0</v>
          </cell>
          <cell r="AB419" t="str">
            <v/>
          </cell>
          <cell r="AC419">
            <v>0</v>
          </cell>
          <cell r="AD419">
            <v>0</v>
          </cell>
          <cell r="AE419">
            <v>0</v>
          </cell>
          <cell r="AF419" t="str">
            <v/>
          </cell>
          <cell r="AG419">
            <v>0</v>
          </cell>
          <cell r="AH419">
            <v>0</v>
          </cell>
          <cell r="AI419">
            <v>0</v>
          </cell>
          <cell r="AJ419">
            <v>0</v>
          </cell>
          <cell r="AK419" t="str">
            <v>CVT</v>
          </cell>
          <cell r="AL419">
            <v>0</v>
          </cell>
        </row>
        <row r="420">
          <cell r="E420">
            <v>0</v>
          </cell>
          <cell r="F420">
            <v>0</v>
          </cell>
          <cell r="G420">
            <v>0</v>
          </cell>
          <cell r="H420">
            <v>0</v>
          </cell>
          <cell r="I420">
            <v>0</v>
          </cell>
          <cell r="J420">
            <v>0</v>
          </cell>
          <cell r="K420" t="str">
            <v/>
          </cell>
          <cell r="L420">
            <v>0</v>
          </cell>
          <cell r="M420">
            <v>0</v>
          </cell>
          <cell r="N420">
            <v>0</v>
          </cell>
          <cell r="O420">
            <v>0</v>
          </cell>
          <cell r="P420" t="str">
            <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t="str">
            <v/>
          </cell>
          <cell r="AG420">
            <v>0</v>
          </cell>
          <cell r="AH420">
            <v>0</v>
          </cell>
          <cell r="AI420">
            <v>0</v>
          </cell>
          <cell r="AJ420">
            <v>0</v>
          </cell>
          <cell r="AK420" t="str">
            <v>基底温度</v>
          </cell>
          <cell r="AL420">
            <v>0</v>
          </cell>
        </row>
        <row r="421">
          <cell r="E421">
            <v>0</v>
          </cell>
          <cell r="F421" t="str">
            <v>ケーブル配線工事</v>
          </cell>
          <cell r="G421">
            <v>0</v>
          </cell>
          <cell r="H421">
            <v>0</v>
          </cell>
          <cell r="I421">
            <v>0</v>
          </cell>
          <cell r="J421">
            <v>0</v>
          </cell>
          <cell r="K421">
            <v>0</v>
          </cell>
          <cell r="L421">
            <v>0</v>
          </cell>
          <cell r="M421">
            <v>0</v>
          </cell>
          <cell r="N421" t="str">
            <v>▼</v>
          </cell>
          <cell r="O421">
            <v>0</v>
          </cell>
          <cell r="P421">
            <v>0</v>
          </cell>
          <cell r="Q421">
            <v>0</v>
          </cell>
          <cell r="R421">
            <v>0</v>
          </cell>
          <cell r="S421">
            <v>0</v>
          </cell>
          <cell r="T421">
            <v>0</v>
          </cell>
          <cell r="U421">
            <v>0</v>
          </cell>
          <cell r="V421" t="str">
            <v>配管</v>
          </cell>
          <cell r="W421">
            <v>0</v>
          </cell>
          <cell r="X421">
            <v>0</v>
          </cell>
          <cell r="Y421" t="str">
            <v>ケーブルラック工事(1段)</v>
          </cell>
          <cell r="Z421">
            <v>0</v>
          </cell>
          <cell r="AA421">
            <v>0</v>
          </cell>
          <cell r="AB421">
            <v>0</v>
          </cell>
          <cell r="AC421">
            <v>0</v>
          </cell>
          <cell r="AD421">
            <v>0</v>
          </cell>
          <cell r="AE421">
            <v>0</v>
          </cell>
          <cell r="AF421">
            <v>0</v>
          </cell>
          <cell r="AG421">
            <v>0</v>
          </cell>
          <cell r="AH421" t="str">
            <v>▼</v>
          </cell>
          <cell r="AI421">
            <v>0</v>
          </cell>
          <cell r="AJ421">
            <v>0</v>
          </cell>
          <cell r="AK421">
            <v>0</v>
          </cell>
          <cell r="AL421">
            <v>0</v>
          </cell>
        </row>
        <row r="422">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row>
        <row r="424">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row>
        <row r="425">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row>
        <row r="426">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row>
        <row r="427">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row>
        <row r="428">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row>
        <row r="429">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row>
        <row r="430">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row>
        <row r="431">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row>
        <row r="432">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row>
        <row r="433">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row>
        <row r="434">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row>
        <row r="435">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row>
        <row r="436">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row>
        <row r="437">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row>
        <row r="438">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row>
        <row r="439">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row>
        <row r="440">
          <cell r="E440">
            <v>0</v>
          </cell>
          <cell r="F440">
            <v>0</v>
          </cell>
          <cell r="G440">
            <v>0</v>
          </cell>
          <cell r="H440">
            <v>0</v>
          </cell>
          <cell r="I440">
            <v>0</v>
          </cell>
          <cell r="J440">
            <v>0</v>
          </cell>
          <cell r="K440">
            <v>0</v>
          </cell>
          <cell r="L440">
            <v>0</v>
          </cell>
          <cell r="M440" t="str">
            <v>一般幹線</v>
          </cell>
          <cell r="N440">
            <v>0</v>
          </cell>
          <cell r="O440">
            <v>0</v>
          </cell>
          <cell r="P440">
            <v>0</v>
          </cell>
          <cell r="Q440">
            <v>0</v>
          </cell>
          <cell r="R440">
            <v>0</v>
          </cell>
          <cell r="S440" t="str">
            <v>個別幹線</v>
          </cell>
          <cell r="T440">
            <v>0</v>
          </cell>
          <cell r="U440">
            <v>0</v>
          </cell>
          <cell r="V440">
            <v>0</v>
          </cell>
          <cell r="W440">
            <v>0</v>
          </cell>
          <cell r="X440">
            <v>0</v>
          </cell>
          <cell r="Y440" t="str">
            <v>個別低圧盤</v>
          </cell>
          <cell r="Z440">
            <v>0</v>
          </cell>
          <cell r="AA440">
            <v>0</v>
          </cell>
          <cell r="AB440">
            <v>0</v>
          </cell>
          <cell r="AC440">
            <v>0</v>
          </cell>
          <cell r="AD440">
            <v>0</v>
          </cell>
          <cell r="AE440">
            <v>0</v>
          </cell>
          <cell r="AF440" t="str">
            <v>配管配線集計</v>
          </cell>
          <cell r="AG440">
            <v>0</v>
          </cell>
          <cell r="AH440">
            <v>0</v>
          </cell>
          <cell r="AI440">
            <v>0</v>
          </cell>
          <cell r="AJ440">
            <v>0</v>
          </cell>
          <cell r="AK440">
            <v>0</v>
          </cell>
          <cell r="AL440">
            <v>0</v>
          </cell>
        </row>
        <row r="441">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row>
        <row r="442">
          <cell r="E442">
            <v>0</v>
          </cell>
          <cell r="F442">
            <v>0</v>
          </cell>
          <cell r="G442">
            <v>0</v>
          </cell>
          <cell r="H442">
            <v>0</v>
          </cell>
          <cell r="I442">
            <v>0</v>
          </cell>
          <cell r="J442">
            <v>0</v>
          </cell>
          <cell r="K442">
            <v>0</v>
          </cell>
          <cell r="L442" t="str">
            <v>修正⇒</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row>
        <row r="443">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row>
        <row r="444">
          <cell r="E444">
            <v>0</v>
          </cell>
          <cell r="F444">
            <v>0</v>
          </cell>
          <cell r="G444">
            <v>0</v>
          </cell>
          <cell r="H444">
            <v>0</v>
          </cell>
          <cell r="I444">
            <v>0</v>
          </cell>
          <cell r="J444">
            <v>0</v>
          </cell>
          <cell r="K444" t="str">
            <v>2P-50AF</v>
          </cell>
          <cell r="L444">
            <v>0</v>
          </cell>
          <cell r="M444">
            <v>0</v>
          </cell>
          <cell r="N444">
            <v>0</v>
          </cell>
          <cell r="O444">
            <v>0</v>
          </cell>
          <cell r="P444">
            <v>15000</v>
          </cell>
          <cell r="Q444">
            <v>0</v>
          </cell>
          <cell r="R444">
            <v>0</v>
          </cell>
          <cell r="S444">
            <v>0</v>
          </cell>
          <cell r="T444">
            <v>0</v>
          </cell>
          <cell r="U444" t="str">
            <v>3P-50AF</v>
          </cell>
          <cell r="V444">
            <v>0</v>
          </cell>
          <cell r="W444">
            <v>0</v>
          </cell>
          <cell r="X444">
            <v>0</v>
          </cell>
          <cell r="Y444">
            <v>0</v>
          </cell>
          <cell r="Z444">
            <v>25000</v>
          </cell>
          <cell r="AA444">
            <v>0</v>
          </cell>
          <cell r="AB444">
            <v>0</v>
          </cell>
          <cell r="AC444">
            <v>0</v>
          </cell>
          <cell r="AD444">
            <v>0</v>
          </cell>
          <cell r="AE444" t="str">
            <v>3P-100AF</v>
          </cell>
          <cell r="AF444">
            <v>0</v>
          </cell>
          <cell r="AG444">
            <v>0</v>
          </cell>
          <cell r="AH444">
            <v>0</v>
          </cell>
          <cell r="AI444">
            <v>0</v>
          </cell>
          <cell r="AJ444">
            <v>35000</v>
          </cell>
          <cell r="AK444">
            <v>0</v>
          </cell>
          <cell r="AL444">
            <v>0</v>
          </cell>
        </row>
        <row r="445">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row>
        <row r="446">
          <cell r="E446">
            <v>0</v>
          </cell>
          <cell r="F446">
            <v>0</v>
          </cell>
          <cell r="G446" t="str">
            <v xml:space="preserve"> B2F</v>
          </cell>
          <cell r="H446">
            <v>0</v>
          </cell>
          <cell r="I446">
            <v>0</v>
          </cell>
          <cell r="J446" t="str">
            <v>( 15)</v>
          </cell>
          <cell r="K446">
            <v>0</v>
          </cell>
          <cell r="L446">
            <v>0</v>
          </cell>
          <cell r="M446">
            <v>0</v>
          </cell>
          <cell r="N446">
            <v>0</v>
          </cell>
          <cell r="O446">
            <v>0</v>
          </cell>
          <cell r="P446">
            <v>0</v>
          </cell>
          <cell r="Q446" t="str">
            <v>面</v>
          </cell>
          <cell r="R446">
            <v>0</v>
          </cell>
          <cell r="S446" t="str">
            <v>幹</v>
          </cell>
          <cell r="T446">
            <v>0</v>
          </cell>
          <cell r="U446" t="str">
            <v>電　気　方　式</v>
          </cell>
          <cell r="V446">
            <v>0</v>
          </cell>
          <cell r="W446">
            <v>0</v>
          </cell>
          <cell r="X446">
            <v>0</v>
          </cell>
          <cell r="Y446">
            <v>0</v>
          </cell>
          <cell r="Z446">
            <v>0</v>
          </cell>
          <cell r="AA446">
            <v>0</v>
          </cell>
          <cell r="AB446">
            <v>0</v>
          </cell>
          <cell r="AC446">
            <v>0</v>
          </cell>
          <cell r="AD446" t="str">
            <v>主幹開閉器 MCCB</v>
          </cell>
          <cell r="AE446">
            <v>0</v>
          </cell>
          <cell r="AF446">
            <v>0</v>
          </cell>
          <cell r="AG446">
            <v>0</v>
          </cell>
          <cell r="AH446">
            <v>0</v>
          </cell>
          <cell r="AI446">
            <v>0</v>
          </cell>
          <cell r="AJ446">
            <v>0</v>
          </cell>
          <cell r="AK446">
            <v>0</v>
          </cell>
          <cell r="AL446">
            <v>0</v>
          </cell>
        </row>
        <row r="447">
          <cell r="E447">
            <v>0</v>
          </cell>
          <cell r="F447">
            <v>0</v>
          </cell>
          <cell r="G447">
            <v>0</v>
          </cell>
          <cell r="H447">
            <v>0</v>
          </cell>
          <cell r="I447">
            <v>0</v>
          </cell>
          <cell r="J447" t="str">
            <v>盤　 名　 称</v>
          </cell>
          <cell r="K447">
            <v>0</v>
          </cell>
          <cell r="L447">
            <v>0</v>
          </cell>
          <cell r="M447">
            <v>0</v>
          </cell>
          <cell r="N447">
            <v>0</v>
          </cell>
          <cell r="O447">
            <v>0</v>
          </cell>
          <cell r="P447">
            <v>0</v>
          </cell>
          <cell r="Q447" t="str">
            <v>数</v>
          </cell>
          <cell r="R447">
            <v>0</v>
          </cell>
          <cell r="S447" t="str">
            <v>線</v>
          </cell>
          <cell r="T447">
            <v>0</v>
          </cell>
          <cell r="U447">
            <v>0</v>
          </cell>
          <cell r="V447">
            <v>0</v>
          </cell>
          <cell r="W447">
            <v>0</v>
          </cell>
          <cell r="X447">
            <v>0</v>
          </cell>
          <cell r="Y447">
            <v>0</v>
          </cell>
          <cell r="Z447">
            <v>0</v>
          </cell>
          <cell r="AA447">
            <v>0</v>
          </cell>
          <cell r="AB447">
            <v>0</v>
          </cell>
          <cell r="AC447">
            <v>0</v>
          </cell>
          <cell r="AD447" t="str">
            <v>主幹開閉器-照</v>
          </cell>
          <cell r="AE447">
            <v>0</v>
          </cell>
          <cell r="AF447">
            <v>0</v>
          </cell>
          <cell r="AG447">
            <v>0</v>
          </cell>
          <cell r="AH447">
            <v>0</v>
          </cell>
          <cell r="AI447">
            <v>0</v>
          </cell>
          <cell r="AJ447">
            <v>0</v>
          </cell>
          <cell r="AK447" t="str">
            <v>主幹開閉器-差</v>
          </cell>
          <cell r="AL447">
            <v>0</v>
          </cell>
        </row>
        <row r="448">
          <cell r="E448">
            <v>0</v>
          </cell>
          <cell r="F448">
            <v>0</v>
          </cell>
          <cell r="G448">
            <v>0</v>
          </cell>
          <cell r="H448">
            <v>0</v>
          </cell>
          <cell r="I448">
            <v>0</v>
          </cell>
          <cell r="J448" t="str">
            <v xml:space="preserve"> B2L-1～2</v>
          </cell>
          <cell r="K448">
            <v>0</v>
          </cell>
          <cell r="L448">
            <v>0</v>
          </cell>
          <cell r="M448">
            <v>0</v>
          </cell>
          <cell r="N448">
            <v>0</v>
          </cell>
          <cell r="O448">
            <v>0</v>
          </cell>
          <cell r="P448">
            <v>0</v>
          </cell>
          <cell r="Q448">
            <v>2</v>
          </cell>
          <cell r="R448">
            <v>0</v>
          </cell>
          <cell r="S448">
            <v>2</v>
          </cell>
          <cell r="T448">
            <v>0</v>
          </cell>
          <cell r="U448" t="str">
            <v>1φ3W 210/105V</v>
          </cell>
          <cell r="V448">
            <v>0</v>
          </cell>
          <cell r="W448">
            <v>0</v>
          </cell>
          <cell r="X448">
            <v>0</v>
          </cell>
          <cell r="Y448">
            <v>0</v>
          </cell>
          <cell r="Z448">
            <v>0</v>
          </cell>
          <cell r="AA448">
            <v>0</v>
          </cell>
          <cell r="AB448">
            <v>0</v>
          </cell>
          <cell r="AC448">
            <v>0</v>
          </cell>
          <cell r="AD448" t="str">
            <v>225AF/125AT</v>
          </cell>
          <cell r="AE448">
            <v>0</v>
          </cell>
          <cell r="AF448">
            <v>0</v>
          </cell>
          <cell r="AG448">
            <v>0</v>
          </cell>
          <cell r="AH448">
            <v>0</v>
          </cell>
          <cell r="AI448">
            <v>0</v>
          </cell>
          <cell r="AJ448">
            <v>0</v>
          </cell>
          <cell r="AK448" t="str">
            <v/>
          </cell>
          <cell r="AL448">
            <v>0</v>
          </cell>
        </row>
        <row r="449">
          <cell r="E449">
            <v>0</v>
          </cell>
          <cell r="F449">
            <v>0</v>
          </cell>
          <cell r="G449">
            <v>0</v>
          </cell>
          <cell r="H449">
            <v>0</v>
          </cell>
          <cell r="I449">
            <v>0</v>
          </cell>
          <cell r="J449" t="str">
            <v/>
          </cell>
          <cell r="K449">
            <v>0</v>
          </cell>
          <cell r="L449">
            <v>0</v>
          </cell>
          <cell r="M449">
            <v>0</v>
          </cell>
          <cell r="N449">
            <v>0</v>
          </cell>
          <cell r="O449">
            <v>0</v>
          </cell>
          <cell r="P449">
            <v>0</v>
          </cell>
          <cell r="Q449" t="str">
            <v/>
          </cell>
          <cell r="R449">
            <v>0</v>
          </cell>
          <cell r="S449" t="str">
            <v/>
          </cell>
          <cell r="T449">
            <v>0</v>
          </cell>
          <cell r="U449" t="str">
            <v xml:space="preserve"> </v>
          </cell>
          <cell r="V449">
            <v>0</v>
          </cell>
          <cell r="W449">
            <v>0</v>
          </cell>
          <cell r="X449">
            <v>0</v>
          </cell>
          <cell r="Y449">
            <v>0</v>
          </cell>
          <cell r="Z449">
            <v>0</v>
          </cell>
          <cell r="AA449">
            <v>0</v>
          </cell>
          <cell r="AB449">
            <v>0</v>
          </cell>
          <cell r="AC449">
            <v>0</v>
          </cell>
          <cell r="AD449" t="str">
            <v/>
          </cell>
          <cell r="AE449">
            <v>0</v>
          </cell>
          <cell r="AF449">
            <v>0</v>
          </cell>
          <cell r="AG449">
            <v>0</v>
          </cell>
          <cell r="AH449">
            <v>0</v>
          </cell>
          <cell r="AI449">
            <v>0</v>
          </cell>
          <cell r="AJ449">
            <v>0</v>
          </cell>
          <cell r="AK449">
            <v>0</v>
          </cell>
          <cell r="AL449">
            <v>0</v>
          </cell>
        </row>
        <row r="450">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t="str">
            <v/>
          </cell>
          <cell r="T450">
            <v>0</v>
          </cell>
          <cell r="U450" t="str">
            <v xml:space="preserve"> </v>
          </cell>
          <cell r="V450">
            <v>0</v>
          </cell>
          <cell r="W450">
            <v>0</v>
          </cell>
          <cell r="X450">
            <v>0</v>
          </cell>
          <cell r="Y450">
            <v>0</v>
          </cell>
          <cell r="Z450">
            <v>0</v>
          </cell>
          <cell r="AA450">
            <v>0</v>
          </cell>
          <cell r="AB450">
            <v>0</v>
          </cell>
          <cell r="AC450">
            <v>0</v>
          </cell>
          <cell r="AD450" t="str">
            <v/>
          </cell>
          <cell r="AE450">
            <v>0</v>
          </cell>
          <cell r="AF450">
            <v>0</v>
          </cell>
          <cell r="AG450">
            <v>0</v>
          </cell>
          <cell r="AH450">
            <v>0</v>
          </cell>
          <cell r="AI450">
            <v>0</v>
          </cell>
          <cell r="AJ450">
            <v>0</v>
          </cell>
          <cell r="AK450">
            <v>0</v>
          </cell>
          <cell r="AL450">
            <v>0</v>
          </cell>
        </row>
        <row r="451">
          <cell r="E451">
            <v>0</v>
          </cell>
          <cell r="F451">
            <v>0</v>
          </cell>
          <cell r="G451">
            <v>0</v>
          </cell>
          <cell r="H451">
            <v>0</v>
          </cell>
          <cell r="I451">
            <v>0</v>
          </cell>
          <cell r="J451" t="str">
            <v xml:space="preserve"> B2M-1</v>
          </cell>
          <cell r="K451">
            <v>0</v>
          </cell>
          <cell r="L451">
            <v>0</v>
          </cell>
          <cell r="M451">
            <v>0</v>
          </cell>
          <cell r="N451">
            <v>0</v>
          </cell>
          <cell r="O451">
            <v>0</v>
          </cell>
          <cell r="P451">
            <v>0</v>
          </cell>
          <cell r="Q451">
            <v>1</v>
          </cell>
          <cell r="R451">
            <v>0</v>
          </cell>
          <cell r="S451">
            <v>3</v>
          </cell>
          <cell r="T451">
            <v>0</v>
          </cell>
          <cell r="U451" t="str">
            <v>3φ3W 210V</v>
          </cell>
          <cell r="V451">
            <v>0</v>
          </cell>
          <cell r="W451">
            <v>0</v>
          </cell>
          <cell r="X451">
            <v>0</v>
          </cell>
          <cell r="Y451">
            <v>0</v>
          </cell>
          <cell r="Z451">
            <v>0</v>
          </cell>
          <cell r="AA451">
            <v>0</v>
          </cell>
          <cell r="AB451">
            <v>0</v>
          </cell>
          <cell r="AC451">
            <v>0</v>
          </cell>
          <cell r="AD451" t="str">
            <v>225AF/175AT</v>
          </cell>
          <cell r="AE451">
            <v>0</v>
          </cell>
          <cell r="AF451">
            <v>0</v>
          </cell>
          <cell r="AG451">
            <v>0</v>
          </cell>
          <cell r="AH451">
            <v>0</v>
          </cell>
          <cell r="AI451">
            <v>0</v>
          </cell>
          <cell r="AJ451">
            <v>0</v>
          </cell>
          <cell r="AK451">
            <v>0</v>
          </cell>
          <cell r="AL451">
            <v>0</v>
          </cell>
        </row>
        <row r="452">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row>
        <row r="453">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row>
        <row r="454">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row>
        <row r="455">
          <cell r="E455">
            <v>0</v>
          </cell>
          <cell r="F455">
            <v>0</v>
          </cell>
          <cell r="G455" t="str">
            <v xml:space="preserve"> B1F</v>
          </cell>
          <cell r="H455">
            <v>0</v>
          </cell>
          <cell r="I455">
            <v>0</v>
          </cell>
          <cell r="J455" t="str">
            <v>(13)イ</v>
          </cell>
          <cell r="K455">
            <v>0</v>
          </cell>
          <cell r="L455">
            <v>0</v>
          </cell>
          <cell r="M455">
            <v>0</v>
          </cell>
          <cell r="N455">
            <v>0</v>
          </cell>
          <cell r="O455">
            <v>0</v>
          </cell>
          <cell r="P455">
            <v>0</v>
          </cell>
          <cell r="Q455" t="str">
            <v>面</v>
          </cell>
          <cell r="R455">
            <v>0</v>
          </cell>
          <cell r="S455" t="str">
            <v>幹</v>
          </cell>
          <cell r="T455">
            <v>0</v>
          </cell>
          <cell r="U455" t="str">
            <v>電　気　方　式</v>
          </cell>
          <cell r="V455">
            <v>0</v>
          </cell>
          <cell r="W455">
            <v>0</v>
          </cell>
          <cell r="X455">
            <v>0</v>
          </cell>
          <cell r="Y455">
            <v>0</v>
          </cell>
          <cell r="Z455">
            <v>0</v>
          </cell>
          <cell r="AA455">
            <v>0</v>
          </cell>
          <cell r="AB455">
            <v>0</v>
          </cell>
          <cell r="AC455">
            <v>0</v>
          </cell>
          <cell r="AD455" t="str">
            <v>主幹開閉器 MCCB</v>
          </cell>
          <cell r="AE455">
            <v>0</v>
          </cell>
          <cell r="AF455">
            <v>0</v>
          </cell>
          <cell r="AG455">
            <v>0</v>
          </cell>
          <cell r="AH455">
            <v>0</v>
          </cell>
          <cell r="AI455">
            <v>0</v>
          </cell>
          <cell r="AJ455">
            <v>0</v>
          </cell>
          <cell r="AK455">
            <v>0</v>
          </cell>
          <cell r="AL455">
            <v>0</v>
          </cell>
        </row>
        <row r="456">
          <cell r="E456">
            <v>0</v>
          </cell>
          <cell r="F456">
            <v>0</v>
          </cell>
          <cell r="G456">
            <v>0</v>
          </cell>
          <cell r="H456">
            <v>0</v>
          </cell>
          <cell r="I456">
            <v>0</v>
          </cell>
          <cell r="J456" t="str">
            <v>盤　 名　 称</v>
          </cell>
          <cell r="K456">
            <v>0</v>
          </cell>
          <cell r="L456">
            <v>0</v>
          </cell>
          <cell r="M456">
            <v>0</v>
          </cell>
          <cell r="N456">
            <v>0</v>
          </cell>
          <cell r="O456">
            <v>0</v>
          </cell>
          <cell r="P456">
            <v>0</v>
          </cell>
          <cell r="Q456" t="str">
            <v>数</v>
          </cell>
          <cell r="R456">
            <v>0</v>
          </cell>
          <cell r="S456" t="str">
            <v>線</v>
          </cell>
          <cell r="T456">
            <v>0</v>
          </cell>
          <cell r="U456">
            <v>0</v>
          </cell>
          <cell r="V456">
            <v>0</v>
          </cell>
          <cell r="W456">
            <v>0</v>
          </cell>
          <cell r="X456">
            <v>0</v>
          </cell>
          <cell r="Y456">
            <v>0</v>
          </cell>
          <cell r="Z456">
            <v>0</v>
          </cell>
          <cell r="AA456">
            <v>0</v>
          </cell>
          <cell r="AB456">
            <v>0</v>
          </cell>
          <cell r="AC456">
            <v>0</v>
          </cell>
          <cell r="AD456" t="str">
            <v>主幹開閉器-照</v>
          </cell>
          <cell r="AE456">
            <v>0</v>
          </cell>
          <cell r="AF456">
            <v>0</v>
          </cell>
          <cell r="AG456">
            <v>0</v>
          </cell>
          <cell r="AH456">
            <v>0</v>
          </cell>
          <cell r="AI456">
            <v>0</v>
          </cell>
          <cell r="AJ456">
            <v>0</v>
          </cell>
          <cell r="AK456" t="str">
            <v>主幹開閉器-差</v>
          </cell>
          <cell r="AL456">
            <v>0</v>
          </cell>
        </row>
        <row r="457">
          <cell r="E457">
            <v>0</v>
          </cell>
          <cell r="F457">
            <v>0</v>
          </cell>
          <cell r="G457">
            <v>0</v>
          </cell>
          <cell r="H457">
            <v>0</v>
          </cell>
          <cell r="I457">
            <v>0</v>
          </cell>
          <cell r="J457" t="str">
            <v xml:space="preserve"> B1L-1</v>
          </cell>
          <cell r="K457">
            <v>0</v>
          </cell>
          <cell r="L457">
            <v>0</v>
          </cell>
          <cell r="M457">
            <v>0</v>
          </cell>
          <cell r="N457">
            <v>0</v>
          </cell>
          <cell r="O457">
            <v>0</v>
          </cell>
          <cell r="P457">
            <v>0</v>
          </cell>
          <cell r="Q457">
            <v>1</v>
          </cell>
          <cell r="R457">
            <v>0</v>
          </cell>
          <cell r="S457">
            <v>1</v>
          </cell>
          <cell r="T457">
            <v>0</v>
          </cell>
          <cell r="U457" t="str">
            <v>1φ3W 210/105V</v>
          </cell>
          <cell r="V457">
            <v>0</v>
          </cell>
          <cell r="W457">
            <v>0</v>
          </cell>
          <cell r="X457">
            <v>0</v>
          </cell>
          <cell r="Y457">
            <v>0</v>
          </cell>
          <cell r="Z457">
            <v>0</v>
          </cell>
          <cell r="AA457">
            <v>0</v>
          </cell>
          <cell r="AB457">
            <v>0</v>
          </cell>
          <cell r="AC457">
            <v>0</v>
          </cell>
          <cell r="AD457" t="str">
            <v>100AF/100AT</v>
          </cell>
          <cell r="AE457">
            <v>0</v>
          </cell>
          <cell r="AF457">
            <v>0</v>
          </cell>
          <cell r="AG457">
            <v>0</v>
          </cell>
          <cell r="AH457">
            <v>0</v>
          </cell>
          <cell r="AI457">
            <v>0</v>
          </cell>
          <cell r="AJ457">
            <v>0</v>
          </cell>
          <cell r="AK457" t="str">
            <v/>
          </cell>
          <cell r="AL457">
            <v>0</v>
          </cell>
        </row>
        <row r="458">
          <cell r="E458">
            <v>0</v>
          </cell>
          <cell r="F458">
            <v>0</v>
          </cell>
          <cell r="G458">
            <v>0</v>
          </cell>
          <cell r="H458">
            <v>0</v>
          </cell>
          <cell r="I458">
            <v>0</v>
          </cell>
          <cell r="J458" t="str">
            <v/>
          </cell>
          <cell r="K458">
            <v>0</v>
          </cell>
          <cell r="L458">
            <v>0</v>
          </cell>
          <cell r="M458">
            <v>0</v>
          </cell>
          <cell r="N458">
            <v>0</v>
          </cell>
          <cell r="O458">
            <v>0</v>
          </cell>
          <cell r="P458">
            <v>0</v>
          </cell>
          <cell r="Q458" t="str">
            <v/>
          </cell>
          <cell r="R458">
            <v>0</v>
          </cell>
          <cell r="S458" t="str">
            <v/>
          </cell>
          <cell r="T458">
            <v>0</v>
          </cell>
          <cell r="U458" t="str">
            <v xml:space="preserve"> </v>
          </cell>
          <cell r="V458">
            <v>0</v>
          </cell>
          <cell r="W458">
            <v>0</v>
          </cell>
          <cell r="X458">
            <v>0</v>
          </cell>
          <cell r="Y458">
            <v>0</v>
          </cell>
          <cell r="Z458">
            <v>0</v>
          </cell>
          <cell r="AA458">
            <v>0</v>
          </cell>
          <cell r="AB458">
            <v>0</v>
          </cell>
          <cell r="AC458">
            <v>0</v>
          </cell>
          <cell r="AD458" t="str">
            <v/>
          </cell>
          <cell r="AE458">
            <v>0</v>
          </cell>
          <cell r="AF458">
            <v>0</v>
          </cell>
          <cell r="AG458">
            <v>0</v>
          </cell>
          <cell r="AH458">
            <v>0</v>
          </cell>
          <cell r="AI458">
            <v>0</v>
          </cell>
          <cell r="AJ458">
            <v>0</v>
          </cell>
          <cell r="AK458">
            <v>0</v>
          </cell>
          <cell r="AL458">
            <v>0</v>
          </cell>
        </row>
        <row r="459">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t="str">
            <v/>
          </cell>
          <cell r="T459">
            <v>0</v>
          </cell>
          <cell r="U459" t="str">
            <v xml:space="preserve"> </v>
          </cell>
          <cell r="V459">
            <v>0</v>
          </cell>
          <cell r="W459">
            <v>0</v>
          </cell>
          <cell r="X459">
            <v>0</v>
          </cell>
          <cell r="Y459">
            <v>0</v>
          </cell>
          <cell r="Z459">
            <v>0</v>
          </cell>
          <cell r="AA459">
            <v>0</v>
          </cell>
          <cell r="AB459">
            <v>0</v>
          </cell>
          <cell r="AC459">
            <v>0</v>
          </cell>
          <cell r="AD459" t="str">
            <v/>
          </cell>
          <cell r="AE459">
            <v>0</v>
          </cell>
          <cell r="AF459">
            <v>0</v>
          </cell>
          <cell r="AG459">
            <v>0</v>
          </cell>
          <cell r="AH459">
            <v>0</v>
          </cell>
          <cell r="AI459">
            <v>0</v>
          </cell>
          <cell r="AJ459">
            <v>0</v>
          </cell>
          <cell r="AK459">
            <v>0</v>
          </cell>
          <cell r="AL459">
            <v>0</v>
          </cell>
        </row>
        <row r="460">
          <cell r="E460">
            <v>0</v>
          </cell>
          <cell r="F460">
            <v>0</v>
          </cell>
          <cell r="G460">
            <v>0</v>
          </cell>
          <cell r="H460">
            <v>0</v>
          </cell>
          <cell r="I460">
            <v>0</v>
          </cell>
          <cell r="J460" t="str">
            <v xml:space="preserve"> B1M-1</v>
          </cell>
          <cell r="K460">
            <v>0</v>
          </cell>
          <cell r="L460">
            <v>0</v>
          </cell>
          <cell r="M460">
            <v>0</v>
          </cell>
          <cell r="N460">
            <v>0</v>
          </cell>
          <cell r="O460">
            <v>0</v>
          </cell>
          <cell r="P460">
            <v>0</v>
          </cell>
          <cell r="Q460">
            <v>1</v>
          </cell>
          <cell r="R460">
            <v>0</v>
          </cell>
          <cell r="S460">
            <v>2</v>
          </cell>
          <cell r="T460">
            <v>0</v>
          </cell>
          <cell r="U460" t="str">
            <v>3φ3W 210V</v>
          </cell>
          <cell r="V460">
            <v>0</v>
          </cell>
          <cell r="W460">
            <v>0</v>
          </cell>
          <cell r="X460">
            <v>0</v>
          </cell>
          <cell r="Y460">
            <v>0</v>
          </cell>
          <cell r="Z460">
            <v>0</v>
          </cell>
          <cell r="AA460">
            <v>0</v>
          </cell>
          <cell r="AB460">
            <v>0</v>
          </cell>
          <cell r="AC460">
            <v>0</v>
          </cell>
          <cell r="AD460" t="str">
            <v>225AF/150AT</v>
          </cell>
          <cell r="AE460">
            <v>0</v>
          </cell>
          <cell r="AF460">
            <v>0</v>
          </cell>
          <cell r="AG460">
            <v>0</v>
          </cell>
          <cell r="AH460">
            <v>0</v>
          </cell>
          <cell r="AI460">
            <v>0</v>
          </cell>
          <cell r="AJ460">
            <v>0</v>
          </cell>
          <cell r="AK460">
            <v>0</v>
          </cell>
          <cell r="AL460">
            <v>0</v>
          </cell>
        </row>
        <row r="461">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row>
        <row r="462">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row>
        <row r="463">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row>
        <row r="464">
          <cell r="E464">
            <v>0</v>
          </cell>
          <cell r="F464">
            <v>0</v>
          </cell>
          <cell r="G464" t="str">
            <v xml:space="preserve">  1F</v>
          </cell>
          <cell r="H464">
            <v>0</v>
          </cell>
          <cell r="I464">
            <v>0</v>
          </cell>
          <cell r="J464" t="str">
            <v>( 4 )</v>
          </cell>
          <cell r="K464">
            <v>0</v>
          </cell>
          <cell r="L464">
            <v>0</v>
          </cell>
          <cell r="M464">
            <v>0</v>
          </cell>
          <cell r="N464">
            <v>0</v>
          </cell>
          <cell r="O464">
            <v>0</v>
          </cell>
          <cell r="P464">
            <v>0</v>
          </cell>
          <cell r="Q464" t="str">
            <v>面</v>
          </cell>
          <cell r="R464">
            <v>0</v>
          </cell>
          <cell r="S464" t="str">
            <v>幹</v>
          </cell>
          <cell r="T464">
            <v>0</v>
          </cell>
          <cell r="U464" t="str">
            <v>電　気　方　式</v>
          </cell>
          <cell r="V464">
            <v>0</v>
          </cell>
          <cell r="W464">
            <v>0</v>
          </cell>
          <cell r="X464">
            <v>0</v>
          </cell>
          <cell r="Y464">
            <v>0</v>
          </cell>
          <cell r="Z464">
            <v>0</v>
          </cell>
          <cell r="AA464">
            <v>0</v>
          </cell>
          <cell r="AB464">
            <v>0</v>
          </cell>
          <cell r="AC464">
            <v>0</v>
          </cell>
          <cell r="AD464" t="str">
            <v>主幹開閉器 MCCB</v>
          </cell>
          <cell r="AE464">
            <v>0</v>
          </cell>
          <cell r="AF464">
            <v>0</v>
          </cell>
          <cell r="AG464">
            <v>0</v>
          </cell>
          <cell r="AH464">
            <v>0</v>
          </cell>
          <cell r="AI464">
            <v>0</v>
          </cell>
          <cell r="AJ464">
            <v>0</v>
          </cell>
          <cell r="AK464">
            <v>0</v>
          </cell>
          <cell r="AL464">
            <v>0</v>
          </cell>
        </row>
        <row r="465">
          <cell r="E465">
            <v>0</v>
          </cell>
          <cell r="F465">
            <v>0</v>
          </cell>
          <cell r="G465">
            <v>0</v>
          </cell>
          <cell r="H465">
            <v>0</v>
          </cell>
          <cell r="I465">
            <v>0</v>
          </cell>
          <cell r="J465" t="str">
            <v>盤　 名　 称</v>
          </cell>
          <cell r="K465">
            <v>0</v>
          </cell>
          <cell r="L465">
            <v>0</v>
          </cell>
          <cell r="M465">
            <v>0</v>
          </cell>
          <cell r="N465">
            <v>0</v>
          </cell>
          <cell r="O465">
            <v>0</v>
          </cell>
          <cell r="P465">
            <v>0</v>
          </cell>
          <cell r="Q465" t="str">
            <v>数</v>
          </cell>
          <cell r="R465">
            <v>0</v>
          </cell>
          <cell r="S465" t="str">
            <v>線</v>
          </cell>
          <cell r="T465">
            <v>0</v>
          </cell>
          <cell r="U465">
            <v>0</v>
          </cell>
          <cell r="V465">
            <v>0</v>
          </cell>
          <cell r="W465">
            <v>0</v>
          </cell>
          <cell r="X465">
            <v>0</v>
          </cell>
          <cell r="Y465">
            <v>0</v>
          </cell>
          <cell r="Z465">
            <v>0</v>
          </cell>
          <cell r="AA465">
            <v>0</v>
          </cell>
          <cell r="AB465">
            <v>0</v>
          </cell>
          <cell r="AC465">
            <v>0</v>
          </cell>
          <cell r="AD465" t="str">
            <v>主幹開閉器-照</v>
          </cell>
          <cell r="AE465">
            <v>0</v>
          </cell>
          <cell r="AF465">
            <v>0</v>
          </cell>
          <cell r="AG465">
            <v>0</v>
          </cell>
          <cell r="AH465">
            <v>0</v>
          </cell>
          <cell r="AI465">
            <v>0</v>
          </cell>
          <cell r="AJ465">
            <v>0</v>
          </cell>
          <cell r="AK465" t="str">
            <v>主幹開閉器-差</v>
          </cell>
          <cell r="AL465">
            <v>0</v>
          </cell>
        </row>
        <row r="466">
          <cell r="E466">
            <v>0</v>
          </cell>
          <cell r="F466">
            <v>0</v>
          </cell>
          <cell r="G466">
            <v>0</v>
          </cell>
          <cell r="H466">
            <v>0</v>
          </cell>
          <cell r="I466">
            <v>0</v>
          </cell>
          <cell r="J466" t="str">
            <v xml:space="preserve">  1L-1～3</v>
          </cell>
          <cell r="K466">
            <v>0</v>
          </cell>
          <cell r="L466">
            <v>0</v>
          </cell>
          <cell r="M466">
            <v>0</v>
          </cell>
          <cell r="N466">
            <v>0</v>
          </cell>
          <cell r="O466">
            <v>0</v>
          </cell>
          <cell r="P466">
            <v>0</v>
          </cell>
          <cell r="Q466">
            <v>3</v>
          </cell>
          <cell r="R466">
            <v>0</v>
          </cell>
          <cell r="S466">
            <v>3</v>
          </cell>
          <cell r="T466">
            <v>0</v>
          </cell>
          <cell r="U466" t="str">
            <v>1φ3W 210/105V</v>
          </cell>
          <cell r="V466">
            <v>0</v>
          </cell>
          <cell r="W466">
            <v>0</v>
          </cell>
          <cell r="X466">
            <v>0</v>
          </cell>
          <cell r="Y466">
            <v>0</v>
          </cell>
          <cell r="Z466">
            <v>0</v>
          </cell>
          <cell r="AA466">
            <v>0</v>
          </cell>
          <cell r="AB466">
            <v>0</v>
          </cell>
          <cell r="AC466">
            <v>0</v>
          </cell>
          <cell r="AD466" t="str">
            <v>255AF/175AT</v>
          </cell>
          <cell r="AE466">
            <v>0</v>
          </cell>
          <cell r="AF466">
            <v>0</v>
          </cell>
          <cell r="AG466">
            <v>0</v>
          </cell>
          <cell r="AH466">
            <v>0</v>
          </cell>
          <cell r="AI466">
            <v>0</v>
          </cell>
          <cell r="AJ466">
            <v>0</v>
          </cell>
          <cell r="AK466" t="str">
            <v/>
          </cell>
          <cell r="AL466">
            <v>0</v>
          </cell>
        </row>
        <row r="467">
          <cell r="E467">
            <v>0</v>
          </cell>
          <cell r="F467">
            <v>0</v>
          </cell>
          <cell r="G467">
            <v>0</v>
          </cell>
          <cell r="H467">
            <v>0</v>
          </cell>
          <cell r="I467">
            <v>0</v>
          </cell>
          <cell r="J467" t="str">
            <v/>
          </cell>
          <cell r="K467">
            <v>0</v>
          </cell>
          <cell r="L467">
            <v>0</v>
          </cell>
          <cell r="M467">
            <v>0</v>
          </cell>
          <cell r="N467">
            <v>0</v>
          </cell>
          <cell r="O467">
            <v>0</v>
          </cell>
          <cell r="P467">
            <v>0</v>
          </cell>
          <cell r="Q467" t="str">
            <v/>
          </cell>
          <cell r="R467">
            <v>0</v>
          </cell>
          <cell r="S467" t="str">
            <v/>
          </cell>
          <cell r="T467">
            <v>0</v>
          </cell>
          <cell r="U467" t="str">
            <v xml:space="preserve"> </v>
          </cell>
          <cell r="V467">
            <v>0</v>
          </cell>
          <cell r="W467">
            <v>0</v>
          </cell>
          <cell r="X467">
            <v>0</v>
          </cell>
          <cell r="Y467">
            <v>0</v>
          </cell>
          <cell r="Z467">
            <v>0</v>
          </cell>
          <cell r="AA467">
            <v>0</v>
          </cell>
          <cell r="AB467">
            <v>0</v>
          </cell>
          <cell r="AC467">
            <v>0</v>
          </cell>
          <cell r="AD467" t="str">
            <v/>
          </cell>
          <cell r="AE467">
            <v>0</v>
          </cell>
          <cell r="AF467">
            <v>0</v>
          </cell>
          <cell r="AG467">
            <v>0</v>
          </cell>
          <cell r="AH467">
            <v>0</v>
          </cell>
          <cell r="AI467">
            <v>0</v>
          </cell>
          <cell r="AJ467">
            <v>0</v>
          </cell>
          <cell r="AK467">
            <v>0</v>
          </cell>
          <cell r="AL467">
            <v>0</v>
          </cell>
        </row>
        <row r="468">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t="str">
            <v/>
          </cell>
          <cell r="T468">
            <v>0</v>
          </cell>
          <cell r="U468" t="str">
            <v xml:space="preserve"> </v>
          </cell>
          <cell r="V468">
            <v>0</v>
          </cell>
          <cell r="W468">
            <v>0</v>
          </cell>
          <cell r="X468">
            <v>0</v>
          </cell>
          <cell r="Y468">
            <v>0</v>
          </cell>
          <cell r="Z468">
            <v>0</v>
          </cell>
          <cell r="AA468">
            <v>0</v>
          </cell>
          <cell r="AB468">
            <v>0</v>
          </cell>
          <cell r="AC468">
            <v>0</v>
          </cell>
          <cell r="AD468" t="str">
            <v/>
          </cell>
          <cell r="AE468">
            <v>0</v>
          </cell>
          <cell r="AF468">
            <v>0</v>
          </cell>
          <cell r="AG468">
            <v>0</v>
          </cell>
          <cell r="AH468">
            <v>0</v>
          </cell>
          <cell r="AI468">
            <v>0</v>
          </cell>
          <cell r="AJ468">
            <v>0</v>
          </cell>
          <cell r="AK468">
            <v>0</v>
          </cell>
          <cell r="AL468">
            <v>0</v>
          </cell>
        </row>
        <row r="469">
          <cell r="E469">
            <v>0</v>
          </cell>
          <cell r="F469">
            <v>0</v>
          </cell>
          <cell r="G469">
            <v>0</v>
          </cell>
          <cell r="H469">
            <v>0</v>
          </cell>
          <cell r="I469">
            <v>0</v>
          </cell>
          <cell r="J469" t="str">
            <v xml:space="preserve">  1M-1</v>
          </cell>
          <cell r="K469">
            <v>0</v>
          </cell>
          <cell r="L469">
            <v>0</v>
          </cell>
          <cell r="M469">
            <v>0</v>
          </cell>
          <cell r="N469">
            <v>0</v>
          </cell>
          <cell r="O469">
            <v>0</v>
          </cell>
          <cell r="P469">
            <v>0</v>
          </cell>
          <cell r="Q469">
            <v>1</v>
          </cell>
          <cell r="R469">
            <v>0</v>
          </cell>
          <cell r="S469">
            <v>4</v>
          </cell>
          <cell r="T469">
            <v>0</v>
          </cell>
          <cell r="U469" t="str">
            <v>3φ3W 210V</v>
          </cell>
          <cell r="V469">
            <v>0</v>
          </cell>
          <cell r="W469">
            <v>0</v>
          </cell>
          <cell r="X469">
            <v>0</v>
          </cell>
          <cell r="Y469">
            <v>0</v>
          </cell>
          <cell r="Z469">
            <v>0</v>
          </cell>
          <cell r="AA469">
            <v>0</v>
          </cell>
          <cell r="AB469">
            <v>0</v>
          </cell>
          <cell r="AC469">
            <v>0</v>
          </cell>
          <cell r="AD469" t="str">
            <v>225AF/175AT</v>
          </cell>
          <cell r="AE469">
            <v>0</v>
          </cell>
          <cell r="AF469">
            <v>0</v>
          </cell>
          <cell r="AG469">
            <v>0</v>
          </cell>
          <cell r="AH469">
            <v>0</v>
          </cell>
          <cell r="AI469">
            <v>0</v>
          </cell>
          <cell r="AJ469">
            <v>0</v>
          </cell>
          <cell r="AK469">
            <v>0</v>
          </cell>
          <cell r="AL469">
            <v>0</v>
          </cell>
        </row>
        <row r="470">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row>
        <row r="471">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row>
        <row r="472">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row>
        <row r="473">
          <cell r="E473">
            <v>0</v>
          </cell>
          <cell r="F473">
            <v>0</v>
          </cell>
          <cell r="G473" t="str">
            <v xml:space="preserve">  2F</v>
          </cell>
          <cell r="H473">
            <v>0</v>
          </cell>
          <cell r="I473">
            <v>0</v>
          </cell>
          <cell r="J473" t="str">
            <v>(3) イ</v>
          </cell>
          <cell r="K473">
            <v>0</v>
          </cell>
          <cell r="L473">
            <v>0</v>
          </cell>
          <cell r="M473">
            <v>0</v>
          </cell>
          <cell r="N473">
            <v>0</v>
          </cell>
          <cell r="O473">
            <v>0</v>
          </cell>
          <cell r="P473">
            <v>0</v>
          </cell>
          <cell r="Q473" t="str">
            <v>面</v>
          </cell>
          <cell r="R473">
            <v>0</v>
          </cell>
          <cell r="S473" t="str">
            <v>幹</v>
          </cell>
          <cell r="T473">
            <v>0</v>
          </cell>
          <cell r="U473" t="str">
            <v>電　気　方　式</v>
          </cell>
          <cell r="V473">
            <v>0</v>
          </cell>
          <cell r="W473">
            <v>0</v>
          </cell>
          <cell r="X473">
            <v>0</v>
          </cell>
          <cell r="Y473">
            <v>0</v>
          </cell>
          <cell r="Z473">
            <v>0</v>
          </cell>
          <cell r="AA473">
            <v>0</v>
          </cell>
          <cell r="AB473">
            <v>0</v>
          </cell>
          <cell r="AC473">
            <v>0</v>
          </cell>
          <cell r="AD473" t="str">
            <v>主幹開閉器 MCCB</v>
          </cell>
          <cell r="AE473">
            <v>0</v>
          </cell>
          <cell r="AF473">
            <v>0</v>
          </cell>
          <cell r="AG473">
            <v>0</v>
          </cell>
          <cell r="AH473">
            <v>0</v>
          </cell>
          <cell r="AI473">
            <v>0</v>
          </cell>
          <cell r="AJ473">
            <v>0</v>
          </cell>
          <cell r="AK473">
            <v>0</v>
          </cell>
          <cell r="AL473">
            <v>0</v>
          </cell>
        </row>
        <row r="474">
          <cell r="E474">
            <v>0</v>
          </cell>
          <cell r="F474">
            <v>0</v>
          </cell>
          <cell r="G474">
            <v>0</v>
          </cell>
          <cell r="H474">
            <v>0</v>
          </cell>
          <cell r="I474">
            <v>0</v>
          </cell>
          <cell r="J474" t="str">
            <v>盤　 名　 称</v>
          </cell>
          <cell r="K474">
            <v>0</v>
          </cell>
          <cell r="L474">
            <v>0</v>
          </cell>
          <cell r="M474">
            <v>0</v>
          </cell>
          <cell r="N474">
            <v>0</v>
          </cell>
          <cell r="O474">
            <v>0</v>
          </cell>
          <cell r="P474">
            <v>0</v>
          </cell>
          <cell r="Q474" t="str">
            <v>数</v>
          </cell>
          <cell r="R474">
            <v>0</v>
          </cell>
          <cell r="S474" t="str">
            <v>線</v>
          </cell>
          <cell r="T474">
            <v>0</v>
          </cell>
          <cell r="U474">
            <v>0</v>
          </cell>
          <cell r="V474">
            <v>0</v>
          </cell>
          <cell r="W474">
            <v>0</v>
          </cell>
          <cell r="X474">
            <v>0</v>
          </cell>
          <cell r="Y474">
            <v>0</v>
          </cell>
          <cell r="Z474">
            <v>0</v>
          </cell>
          <cell r="AA474">
            <v>0</v>
          </cell>
          <cell r="AB474">
            <v>0</v>
          </cell>
          <cell r="AC474">
            <v>0</v>
          </cell>
          <cell r="AD474" t="str">
            <v>主幹開閉器-照</v>
          </cell>
          <cell r="AE474">
            <v>0</v>
          </cell>
          <cell r="AF474">
            <v>0</v>
          </cell>
          <cell r="AG474">
            <v>0</v>
          </cell>
          <cell r="AH474">
            <v>0</v>
          </cell>
          <cell r="AI474">
            <v>0</v>
          </cell>
          <cell r="AJ474">
            <v>0</v>
          </cell>
          <cell r="AK474" t="str">
            <v>主幹開閉器-差</v>
          </cell>
          <cell r="AL474">
            <v>0</v>
          </cell>
        </row>
        <row r="475">
          <cell r="E475">
            <v>0</v>
          </cell>
          <cell r="F475">
            <v>0</v>
          </cell>
          <cell r="G475">
            <v>0</v>
          </cell>
          <cell r="H475">
            <v>0</v>
          </cell>
          <cell r="I475">
            <v>0</v>
          </cell>
          <cell r="J475" t="str">
            <v xml:space="preserve">  2L-1～4</v>
          </cell>
          <cell r="K475">
            <v>0</v>
          </cell>
          <cell r="L475">
            <v>0</v>
          </cell>
          <cell r="M475">
            <v>0</v>
          </cell>
          <cell r="N475">
            <v>0</v>
          </cell>
          <cell r="O475">
            <v>0</v>
          </cell>
          <cell r="P475">
            <v>0</v>
          </cell>
          <cell r="Q475">
            <v>4</v>
          </cell>
          <cell r="R475">
            <v>0</v>
          </cell>
          <cell r="S475">
            <v>4</v>
          </cell>
          <cell r="T475">
            <v>0</v>
          </cell>
          <cell r="U475" t="str">
            <v>1φ3W 210/105V</v>
          </cell>
          <cell r="V475">
            <v>0</v>
          </cell>
          <cell r="W475">
            <v>0</v>
          </cell>
          <cell r="X475">
            <v>0</v>
          </cell>
          <cell r="Y475">
            <v>0</v>
          </cell>
          <cell r="Z475">
            <v>0</v>
          </cell>
          <cell r="AA475">
            <v>0</v>
          </cell>
          <cell r="AB475">
            <v>0</v>
          </cell>
          <cell r="AC475">
            <v>0</v>
          </cell>
          <cell r="AD475" t="str">
            <v>225AF/200AT</v>
          </cell>
          <cell r="AE475">
            <v>0</v>
          </cell>
          <cell r="AF475">
            <v>0</v>
          </cell>
          <cell r="AG475">
            <v>0</v>
          </cell>
          <cell r="AH475">
            <v>0</v>
          </cell>
          <cell r="AI475">
            <v>0</v>
          </cell>
          <cell r="AJ475">
            <v>0</v>
          </cell>
          <cell r="AK475" t="str">
            <v/>
          </cell>
          <cell r="AL475">
            <v>0</v>
          </cell>
        </row>
        <row r="476">
          <cell r="E476">
            <v>0</v>
          </cell>
          <cell r="F476">
            <v>0</v>
          </cell>
          <cell r="G476">
            <v>0</v>
          </cell>
          <cell r="H476">
            <v>0</v>
          </cell>
          <cell r="I476">
            <v>0</v>
          </cell>
          <cell r="J476" t="str">
            <v xml:space="preserve">  2T-1～9</v>
          </cell>
          <cell r="K476">
            <v>0</v>
          </cell>
          <cell r="L476">
            <v>0</v>
          </cell>
          <cell r="M476">
            <v>0</v>
          </cell>
          <cell r="N476">
            <v>0</v>
          </cell>
          <cell r="O476">
            <v>0</v>
          </cell>
          <cell r="P476">
            <v>0</v>
          </cell>
          <cell r="Q476">
            <v>9</v>
          </cell>
          <cell r="R476">
            <v>0</v>
          </cell>
          <cell r="S476">
            <v>4</v>
          </cell>
          <cell r="T476">
            <v>0</v>
          </cell>
          <cell r="U476" t="str">
            <v xml:space="preserve"> </v>
          </cell>
          <cell r="V476">
            <v>0</v>
          </cell>
          <cell r="W476">
            <v>0</v>
          </cell>
          <cell r="X476">
            <v>0</v>
          </cell>
          <cell r="Y476">
            <v>0</v>
          </cell>
          <cell r="Z476">
            <v>0</v>
          </cell>
          <cell r="AA476">
            <v>0</v>
          </cell>
          <cell r="AB476">
            <v>0</v>
          </cell>
          <cell r="AC476">
            <v>0</v>
          </cell>
          <cell r="AD476" t="str">
            <v>225AF/125AT</v>
          </cell>
          <cell r="AE476">
            <v>0</v>
          </cell>
          <cell r="AF476">
            <v>0</v>
          </cell>
          <cell r="AG476">
            <v>0</v>
          </cell>
          <cell r="AH476">
            <v>0</v>
          </cell>
          <cell r="AI476">
            <v>0</v>
          </cell>
          <cell r="AJ476">
            <v>0</v>
          </cell>
          <cell r="AK476">
            <v>0</v>
          </cell>
          <cell r="AL476">
            <v>0</v>
          </cell>
        </row>
        <row r="477">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3</v>
          </cell>
          <cell r="T477">
            <v>0</v>
          </cell>
          <cell r="U477" t="str">
            <v>3φ3W 210V</v>
          </cell>
          <cell r="V477">
            <v>0</v>
          </cell>
          <cell r="W477">
            <v>0</v>
          </cell>
          <cell r="X477">
            <v>0</v>
          </cell>
          <cell r="Y477">
            <v>0</v>
          </cell>
          <cell r="Z477">
            <v>0</v>
          </cell>
          <cell r="AA477">
            <v>0</v>
          </cell>
          <cell r="AB477">
            <v>0</v>
          </cell>
          <cell r="AC477">
            <v>0</v>
          </cell>
          <cell r="AD477" t="str">
            <v>225AF/200AT</v>
          </cell>
          <cell r="AE477">
            <v>0</v>
          </cell>
          <cell r="AF477">
            <v>0</v>
          </cell>
          <cell r="AG477">
            <v>0</v>
          </cell>
          <cell r="AH477">
            <v>0</v>
          </cell>
          <cell r="AI477">
            <v>0</v>
          </cell>
          <cell r="AJ477">
            <v>0</v>
          </cell>
          <cell r="AK477">
            <v>0</v>
          </cell>
          <cell r="AL477">
            <v>0</v>
          </cell>
        </row>
        <row r="478">
          <cell r="E478">
            <v>0</v>
          </cell>
          <cell r="F478">
            <v>0</v>
          </cell>
          <cell r="G478">
            <v>0</v>
          </cell>
          <cell r="H478">
            <v>0</v>
          </cell>
          <cell r="I478">
            <v>0</v>
          </cell>
          <cell r="J478" t="str">
            <v xml:space="preserve">  2M-1</v>
          </cell>
          <cell r="K478">
            <v>0</v>
          </cell>
          <cell r="L478">
            <v>0</v>
          </cell>
          <cell r="M478">
            <v>0</v>
          </cell>
          <cell r="N478">
            <v>0</v>
          </cell>
          <cell r="O478">
            <v>0</v>
          </cell>
          <cell r="P478">
            <v>0</v>
          </cell>
          <cell r="Q478">
            <v>1</v>
          </cell>
          <cell r="R478">
            <v>0</v>
          </cell>
          <cell r="S478">
            <v>2</v>
          </cell>
          <cell r="T478">
            <v>0</v>
          </cell>
          <cell r="U478" t="str">
            <v>3φ3W 210V</v>
          </cell>
          <cell r="V478">
            <v>0</v>
          </cell>
          <cell r="W478">
            <v>0</v>
          </cell>
          <cell r="X478">
            <v>0</v>
          </cell>
          <cell r="Y478">
            <v>0</v>
          </cell>
          <cell r="Z478">
            <v>0</v>
          </cell>
          <cell r="AA478">
            <v>0</v>
          </cell>
          <cell r="AB478">
            <v>0</v>
          </cell>
          <cell r="AC478">
            <v>0</v>
          </cell>
          <cell r="AD478" t="str">
            <v>225AF/225AT</v>
          </cell>
          <cell r="AE478">
            <v>0</v>
          </cell>
          <cell r="AF478">
            <v>0</v>
          </cell>
          <cell r="AG478">
            <v>0</v>
          </cell>
          <cell r="AH478">
            <v>0</v>
          </cell>
          <cell r="AI478">
            <v>0</v>
          </cell>
          <cell r="AJ478">
            <v>0</v>
          </cell>
          <cell r="AK478">
            <v>0</v>
          </cell>
          <cell r="AL478">
            <v>0</v>
          </cell>
        </row>
        <row r="479">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0">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CC480">
            <v>0</v>
          </cell>
        </row>
        <row r="481">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row>
        <row r="482">
          <cell r="E482">
            <v>0</v>
          </cell>
          <cell r="F482">
            <v>0</v>
          </cell>
          <cell r="G482" t="str">
            <v xml:space="preserve">  3F</v>
          </cell>
          <cell r="H482">
            <v>0</v>
          </cell>
          <cell r="I482">
            <v>0</v>
          </cell>
          <cell r="J482" t="str">
            <v>( 4 )</v>
          </cell>
          <cell r="K482">
            <v>0</v>
          </cell>
          <cell r="L482">
            <v>0</v>
          </cell>
          <cell r="M482">
            <v>0</v>
          </cell>
          <cell r="N482">
            <v>0</v>
          </cell>
          <cell r="O482">
            <v>0</v>
          </cell>
          <cell r="P482">
            <v>0</v>
          </cell>
          <cell r="Q482" t="str">
            <v>面</v>
          </cell>
          <cell r="R482">
            <v>0</v>
          </cell>
          <cell r="S482" t="str">
            <v>幹</v>
          </cell>
          <cell r="T482">
            <v>0</v>
          </cell>
          <cell r="U482" t="str">
            <v>電　気　方　式</v>
          </cell>
          <cell r="V482">
            <v>0</v>
          </cell>
          <cell r="W482">
            <v>0</v>
          </cell>
          <cell r="X482">
            <v>0</v>
          </cell>
          <cell r="Y482">
            <v>0</v>
          </cell>
          <cell r="Z482">
            <v>0</v>
          </cell>
          <cell r="AA482">
            <v>0</v>
          </cell>
          <cell r="AB482">
            <v>0</v>
          </cell>
          <cell r="AC482">
            <v>0</v>
          </cell>
          <cell r="AD482" t="str">
            <v>主幹開閉器 MCCB</v>
          </cell>
          <cell r="AE482">
            <v>0</v>
          </cell>
          <cell r="AF482">
            <v>0</v>
          </cell>
          <cell r="AG482">
            <v>0</v>
          </cell>
          <cell r="AH482">
            <v>0</v>
          </cell>
          <cell r="AI482">
            <v>0</v>
          </cell>
          <cell r="AJ482">
            <v>0</v>
          </cell>
          <cell r="AK482">
            <v>0</v>
          </cell>
          <cell r="AL482">
            <v>0</v>
          </cell>
        </row>
        <row r="483">
          <cell r="E483">
            <v>0</v>
          </cell>
          <cell r="F483">
            <v>0</v>
          </cell>
          <cell r="G483">
            <v>0</v>
          </cell>
          <cell r="H483">
            <v>0</v>
          </cell>
          <cell r="I483">
            <v>0</v>
          </cell>
          <cell r="J483" t="str">
            <v>盤　 名　 称</v>
          </cell>
          <cell r="K483">
            <v>0</v>
          </cell>
          <cell r="L483">
            <v>0</v>
          </cell>
          <cell r="M483">
            <v>0</v>
          </cell>
          <cell r="N483">
            <v>0</v>
          </cell>
          <cell r="O483">
            <v>0</v>
          </cell>
          <cell r="P483">
            <v>0</v>
          </cell>
          <cell r="Q483" t="str">
            <v>数</v>
          </cell>
          <cell r="R483">
            <v>0</v>
          </cell>
          <cell r="S483" t="str">
            <v>線</v>
          </cell>
          <cell r="T483">
            <v>0</v>
          </cell>
          <cell r="U483">
            <v>0</v>
          </cell>
          <cell r="V483">
            <v>0</v>
          </cell>
          <cell r="W483">
            <v>0</v>
          </cell>
          <cell r="X483">
            <v>0</v>
          </cell>
          <cell r="Y483">
            <v>0</v>
          </cell>
          <cell r="Z483">
            <v>0</v>
          </cell>
          <cell r="AA483">
            <v>0</v>
          </cell>
          <cell r="AB483">
            <v>0</v>
          </cell>
          <cell r="AC483">
            <v>0</v>
          </cell>
          <cell r="AD483" t="str">
            <v>主幹開閉器-照</v>
          </cell>
          <cell r="AE483">
            <v>0</v>
          </cell>
          <cell r="AF483">
            <v>0</v>
          </cell>
          <cell r="AG483">
            <v>0</v>
          </cell>
          <cell r="AH483">
            <v>0</v>
          </cell>
          <cell r="AI483">
            <v>0</v>
          </cell>
          <cell r="AJ483">
            <v>0</v>
          </cell>
          <cell r="AK483" t="str">
            <v>主幹開閉器-差</v>
          </cell>
          <cell r="AL483">
            <v>0</v>
          </cell>
        </row>
        <row r="484">
          <cell r="E484">
            <v>0</v>
          </cell>
          <cell r="F484">
            <v>0</v>
          </cell>
          <cell r="G484">
            <v>0</v>
          </cell>
          <cell r="H484">
            <v>0</v>
          </cell>
          <cell r="I484">
            <v>0</v>
          </cell>
          <cell r="J484" t="str">
            <v xml:space="preserve">  3L-1～3</v>
          </cell>
          <cell r="K484">
            <v>0</v>
          </cell>
          <cell r="L484">
            <v>0</v>
          </cell>
          <cell r="M484">
            <v>0</v>
          </cell>
          <cell r="N484">
            <v>0</v>
          </cell>
          <cell r="O484">
            <v>0</v>
          </cell>
          <cell r="P484">
            <v>0</v>
          </cell>
          <cell r="Q484">
            <v>3</v>
          </cell>
          <cell r="R484">
            <v>0</v>
          </cell>
          <cell r="S484">
            <v>3</v>
          </cell>
          <cell r="T484">
            <v>0</v>
          </cell>
          <cell r="U484" t="str">
            <v>1φ3W 210/105V</v>
          </cell>
          <cell r="V484">
            <v>0</v>
          </cell>
          <cell r="W484">
            <v>0</v>
          </cell>
          <cell r="X484">
            <v>0</v>
          </cell>
          <cell r="Y484">
            <v>0</v>
          </cell>
          <cell r="Z484">
            <v>0</v>
          </cell>
          <cell r="AA484">
            <v>0</v>
          </cell>
          <cell r="AB484">
            <v>0</v>
          </cell>
          <cell r="AC484">
            <v>0</v>
          </cell>
          <cell r="AD484" t="str">
            <v>225AF/175AT</v>
          </cell>
          <cell r="AE484">
            <v>0</v>
          </cell>
          <cell r="AF484">
            <v>0</v>
          </cell>
          <cell r="AG484">
            <v>0</v>
          </cell>
          <cell r="AH484">
            <v>0</v>
          </cell>
          <cell r="AI484">
            <v>0</v>
          </cell>
          <cell r="AJ484">
            <v>0</v>
          </cell>
          <cell r="AK484" t="str">
            <v/>
          </cell>
          <cell r="AL484">
            <v>0</v>
          </cell>
        </row>
        <row r="485">
          <cell r="E485">
            <v>0</v>
          </cell>
          <cell r="F485">
            <v>0</v>
          </cell>
          <cell r="G485">
            <v>0</v>
          </cell>
          <cell r="H485">
            <v>0</v>
          </cell>
          <cell r="I485">
            <v>0</v>
          </cell>
          <cell r="J485" t="str">
            <v/>
          </cell>
          <cell r="K485">
            <v>0</v>
          </cell>
          <cell r="L485">
            <v>0</v>
          </cell>
          <cell r="M485">
            <v>0</v>
          </cell>
          <cell r="N485">
            <v>0</v>
          </cell>
          <cell r="O485">
            <v>0</v>
          </cell>
          <cell r="P485">
            <v>0</v>
          </cell>
          <cell r="Q485" t="str">
            <v/>
          </cell>
          <cell r="R485">
            <v>0</v>
          </cell>
          <cell r="S485" t="str">
            <v/>
          </cell>
          <cell r="T485">
            <v>0</v>
          </cell>
          <cell r="U485" t="str">
            <v xml:space="preserve"> </v>
          </cell>
          <cell r="V485">
            <v>0</v>
          </cell>
          <cell r="W485">
            <v>0</v>
          </cell>
          <cell r="X485">
            <v>0</v>
          </cell>
          <cell r="Y485">
            <v>0</v>
          </cell>
          <cell r="Z485">
            <v>0</v>
          </cell>
          <cell r="AA485">
            <v>0</v>
          </cell>
          <cell r="AB485">
            <v>0</v>
          </cell>
          <cell r="AC485">
            <v>0</v>
          </cell>
          <cell r="AD485" t="str">
            <v/>
          </cell>
          <cell r="AE485">
            <v>0</v>
          </cell>
          <cell r="AF485">
            <v>0</v>
          </cell>
          <cell r="AG485">
            <v>0</v>
          </cell>
          <cell r="AH485">
            <v>0</v>
          </cell>
          <cell r="AI485">
            <v>0</v>
          </cell>
          <cell r="AJ485">
            <v>0</v>
          </cell>
          <cell r="AK485">
            <v>0</v>
          </cell>
          <cell r="AL485">
            <v>0</v>
          </cell>
        </row>
        <row r="486">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t="str">
            <v/>
          </cell>
          <cell r="T486">
            <v>0</v>
          </cell>
          <cell r="U486" t="str">
            <v xml:space="preserve"> </v>
          </cell>
          <cell r="V486">
            <v>0</v>
          </cell>
          <cell r="W486">
            <v>0</v>
          </cell>
          <cell r="X486">
            <v>0</v>
          </cell>
          <cell r="Y486">
            <v>0</v>
          </cell>
          <cell r="Z486">
            <v>0</v>
          </cell>
          <cell r="AA486">
            <v>0</v>
          </cell>
          <cell r="AB486">
            <v>0</v>
          </cell>
          <cell r="AC486">
            <v>0</v>
          </cell>
          <cell r="AD486" t="str">
            <v/>
          </cell>
          <cell r="AE486">
            <v>0</v>
          </cell>
          <cell r="AF486">
            <v>0</v>
          </cell>
          <cell r="AG486">
            <v>0</v>
          </cell>
          <cell r="AH486">
            <v>0</v>
          </cell>
          <cell r="AI486">
            <v>0</v>
          </cell>
          <cell r="AJ486">
            <v>0</v>
          </cell>
          <cell r="AK486">
            <v>0</v>
          </cell>
          <cell r="AL486">
            <v>0</v>
          </cell>
        </row>
        <row r="487">
          <cell r="E487">
            <v>0</v>
          </cell>
          <cell r="F487">
            <v>0</v>
          </cell>
          <cell r="G487">
            <v>0</v>
          </cell>
          <cell r="H487">
            <v>0</v>
          </cell>
          <cell r="I487">
            <v>0</v>
          </cell>
          <cell r="J487" t="str">
            <v xml:space="preserve">  3M-1</v>
          </cell>
          <cell r="K487">
            <v>0</v>
          </cell>
          <cell r="L487">
            <v>0</v>
          </cell>
          <cell r="M487">
            <v>0</v>
          </cell>
          <cell r="N487">
            <v>0</v>
          </cell>
          <cell r="O487">
            <v>0</v>
          </cell>
          <cell r="P487">
            <v>0</v>
          </cell>
          <cell r="Q487">
            <v>1</v>
          </cell>
          <cell r="R487">
            <v>0</v>
          </cell>
          <cell r="S487">
            <v>4</v>
          </cell>
          <cell r="T487">
            <v>0</v>
          </cell>
          <cell r="U487" t="str">
            <v>3φ3W 210V</v>
          </cell>
          <cell r="V487">
            <v>0</v>
          </cell>
          <cell r="W487">
            <v>0</v>
          </cell>
          <cell r="X487">
            <v>0</v>
          </cell>
          <cell r="Y487">
            <v>0</v>
          </cell>
          <cell r="Z487">
            <v>0</v>
          </cell>
          <cell r="AA487">
            <v>0</v>
          </cell>
          <cell r="AB487">
            <v>0</v>
          </cell>
          <cell r="AC487">
            <v>0</v>
          </cell>
          <cell r="AD487" t="str">
            <v>225AF/175AT</v>
          </cell>
          <cell r="AE487">
            <v>0</v>
          </cell>
          <cell r="AF487">
            <v>0</v>
          </cell>
          <cell r="AG487">
            <v>0</v>
          </cell>
          <cell r="AH487">
            <v>0</v>
          </cell>
          <cell r="AI487">
            <v>0</v>
          </cell>
          <cell r="AJ487">
            <v>0</v>
          </cell>
          <cell r="AK487">
            <v>0</v>
          </cell>
          <cell r="AL487">
            <v>0</v>
          </cell>
        </row>
        <row r="488">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row>
        <row r="489">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row>
        <row r="490">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row>
        <row r="491">
          <cell r="E491">
            <v>0</v>
          </cell>
          <cell r="F491">
            <v>0</v>
          </cell>
          <cell r="G491" t="str">
            <v xml:space="preserve">  4F</v>
          </cell>
          <cell r="H491">
            <v>0</v>
          </cell>
          <cell r="I491">
            <v>0</v>
          </cell>
          <cell r="J491" t="str">
            <v>( 4 )</v>
          </cell>
          <cell r="K491">
            <v>0</v>
          </cell>
          <cell r="L491">
            <v>0</v>
          </cell>
          <cell r="M491">
            <v>0</v>
          </cell>
          <cell r="N491">
            <v>0</v>
          </cell>
          <cell r="O491">
            <v>0</v>
          </cell>
          <cell r="P491">
            <v>0</v>
          </cell>
          <cell r="Q491" t="str">
            <v>面</v>
          </cell>
          <cell r="R491">
            <v>0</v>
          </cell>
          <cell r="S491" t="str">
            <v>幹</v>
          </cell>
          <cell r="T491">
            <v>0</v>
          </cell>
          <cell r="U491" t="str">
            <v>電　気　方　式</v>
          </cell>
          <cell r="V491">
            <v>0</v>
          </cell>
          <cell r="W491">
            <v>0</v>
          </cell>
          <cell r="X491">
            <v>0</v>
          </cell>
          <cell r="Y491">
            <v>0</v>
          </cell>
          <cell r="Z491">
            <v>0</v>
          </cell>
          <cell r="AA491">
            <v>0</v>
          </cell>
          <cell r="AB491">
            <v>0</v>
          </cell>
          <cell r="AC491">
            <v>0</v>
          </cell>
          <cell r="AD491" t="str">
            <v>主幹開閉器 MCCB</v>
          </cell>
          <cell r="AE491">
            <v>0</v>
          </cell>
          <cell r="AF491">
            <v>0</v>
          </cell>
          <cell r="AG491">
            <v>0</v>
          </cell>
          <cell r="AH491">
            <v>0</v>
          </cell>
          <cell r="AI491">
            <v>0</v>
          </cell>
          <cell r="AJ491">
            <v>0</v>
          </cell>
          <cell r="AK491">
            <v>0</v>
          </cell>
          <cell r="AL491">
            <v>0</v>
          </cell>
        </row>
        <row r="492">
          <cell r="E492">
            <v>0</v>
          </cell>
          <cell r="F492">
            <v>0</v>
          </cell>
          <cell r="G492">
            <v>0</v>
          </cell>
          <cell r="H492">
            <v>0</v>
          </cell>
          <cell r="I492">
            <v>0</v>
          </cell>
          <cell r="J492" t="str">
            <v>盤　 名　 称</v>
          </cell>
          <cell r="K492">
            <v>0</v>
          </cell>
          <cell r="L492">
            <v>0</v>
          </cell>
          <cell r="M492">
            <v>0</v>
          </cell>
          <cell r="N492">
            <v>0</v>
          </cell>
          <cell r="O492">
            <v>0</v>
          </cell>
          <cell r="P492">
            <v>0</v>
          </cell>
          <cell r="Q492" t="str">
            <v>数</v>
          </cell>
          <cell r="R492">
            <v>0</v>
          </cell>
          <cell r="S492" t="str">
            <v>線</v>
          </cell>
          <cell r="T492">
            <v>0</v>
          </cell>
          <cell r="U492">
            <v>0</v>
          </cell>
          <cell r="V492">
            <v>0</v>
          </cell>
          <cell r="W492">
            <v>0</v>
          </cell>
          <cell r="X492">
            <v>0</v>
          </cell>
          <cell r="Y492">
            <v>0</v>
          </cell>
          <cell r="Z492">
            <v>0</v>
          </cell>
          <cell r="AA492">
            <v>0</v>
          </cell>
          <cell r="AB492">
            <v>0</v>
          </cell>
          <cell r="AC492">
            <v>0</v>
          </cell>
          <cell r="AD492" t="str">
            <v>主幹開閉器-照</v>
          </cell>
          <cell r="AE492">
            <v>0</v>
          </cell>
          <cell r="AF492">
            <v>0</v>
          </cell>
          <cell r="AG492">
            <v>0</v>
          </cell>
          <cell r="AH492">
            <v>0</v>
          </cell>
          <cell r="AI492">
            <v>0</v>
          </cell>
          <cell r="AJ492">
            <v>0</v>
          </cell>
          <cell r="AK492" t="str">
            <v>主幹開閉器-差</v>
          </cell>
          <cell r="AL492">
            <v>0</v>
          </cell>
        </row>
        <row r="493">
          <cell r="E493">
            <v>0</v>
          </cell>
          <cell r="F493">
            <v>0</v>
          </cell>
          <cell r="G493">
            <v>0</v>
          </cell>
          <cell r="H493">
            <v>0</v>
          </cell>
          <cell r="I493">
            <v>0</v>
          </cell>
          <cell r="J493" t="str">
            <v xml:space="preserve">  4L-1</v>
          </cell>
          <cell r="K493">
            <v>0</v>
          </cell>
          <cell r="L493">
            <v>0</v>
          </cell>
          <cell r="M493">
            <v>0</v>
          </cell>
          <cell r="N493">
            <v>0</v>
          </cell>
          <cell r="O493">
            <v>0</v>
          </cell>
          <cell r="P493">
            <v>0</v>
          </cell>
          <cell r="Q493">
            <v>1</v>
          </cell>
          <cell r="R493">
            <v>0</v>
          </cell>
          <cell r="S493">
            <v>1</v>
          </cell>
          <cell r="T493">
            <v>0</v>
          </cell>
          <cell r="U493" t="str">
            <v>1φ3W 210/105V</v>
          </cell>
          <cell r="V493">
            <v>0</v>
          </cell>
          <cell r="W493">
            <v>0</v>
          </cell>
          <cell r="X493">
            <v>0</v>
          </cell>
          <cell r="Y493">
            <v>0</v>
          </cell>
          <cell r="Z493">
            <v>0</v>
          </cell>
          <cell r="AA493">
            <v>0</v>
          </cell>
          <cell r="AB493">
            <v>0</v>
          </cell>
          <cell r="AC493">
            <v>0</v>
          </cell>
          <cell r="AD493" t="str">
            <v>225AF/175AT</v>
          </cell>
          <cell r="AE493">
            <v>0</v>
          </cell>
          <cell r="AF493">
            <v>0</v>
          </cell>
          <cell r="AG493">
            <v>0</v>
          </cell>
          <cell r="AH493">
            <v>0</v>
          </cell>
          <cell r="AI493">
            <v>0</v>
          </cell>
          <cell r="AJ493">
            <v>0</v>
          </cell>
          <cell r="AK493">
            <v>0</v>
          </cell>
          <cell r="AL493">
            <v>0</v>
          </cell>
        </row>
        <row r="494">
          <cell r="E494">
            <v>0</v>
          </cell>
          <cell r="F494">
            <v>0</v>
          </cell>
          <cell r="G494">
            <v>0</v>
          </cell>
          <cell r="H494">
            <v>0</v>
          </cell>
          <cell r="I494">
            <v>0</v>
          </cell>
          <cell r="J494" t="str">
            <v/>
          </cell>
          <cell r="K494">
            <v>0</v>
          </cell>
          <cell r="L494">
            <v>0</v>
          </cell>
          <cell r="M494">
            <v>0</v>
          </cell>
          <cell r="N494">
            <v>0</v>
          </cell>
          <cell r="O494">
            <v>0</v>
          </cell>
          <cell r="P494">
            <v>0</v>
          </cell>
          <cell r="Q494" t="str">
            <v/>
          </cell>
          <cell r="R494">
            <v>0</v>
          </cell>
          <cell r="S494" t="str">
            <v/>
          </cell>
          <cell r="T494">
            <v>0</v>
          </cell>
          <cell r="U494" t="str">
            <v xml:space="preserve"> </v>
          </cell>
          <cell r="V494">
            <v>0</v>
          </cell>
          <cell r="W494">
            <v>0</v>
          </cell>
          <cell r="X494">
            <v>0</v>
          </cell>
          <cell r="Y494">
            <v>0</v>
          </cell>
          <cell r="Z494">
            <v>0</v>
          </cell>
          <cell r="AA494">
            <v>0</v>
          </cell>
          <cell r="AB494">
            <v>0</v>
          </cell>
          <cell r="AC494">
            <v>0</v>
          </cell>
          <cell r="AD494" t="str">
            <v/>
          </cell>
          <cell r="AE494">
            <v>0</v>
          </cell>
          <cell r="AF494">
            <v>0</v>
          </cell>
          <cell r="AG494">
            <v>0</v>
          </cell>
          <cell r="AH494">
            <v>0</v>
          </cell>
          <cell r="AI494">
            <v>0</v>
          </cell>
          <cell r="AJ494">
            <v>0</v>
          </cell>
          <cell r="AK494">
            <v>0</v>
          </cell>
          <cell r="AL494">
            <v>0</v>
          </cell>
        </row>
        <row r="495">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t="str">
            <v/>
          </cell>
          <cell r="T495">
            <v>0</v>
          </cell>
          <cell r="U495" t="str">
            <v xml:space="preserve"> </v>
          </cell>
          <cell r="V495">
            <v>0</v>
          </cell>
          <cell r="W495">
            <v>0</v>
          </cell>
          <cell r="X495">
            <v>0</v>
          </cell>
          <cell r="Y495">
            <v>0</v>
          </cell>
          <cell r="Z495">
            <v>0</v>
          </cell>
          <cell r="AA495">
            <v>0</v>
          </cell>
          <cell r="AB495">
            <v>0</v>
          </cell>
          <cell r="AC495">
            <v>0</v>
          </cell>
          <cell r="AD495" t="str">
            <v/>
          </cell>
          <cell r="AE495">
            <v>0</v>
          </cell>
          <cell r="AF495">
            <v>0</v>
          </cell>
          <cell r="AG495">
            <v>0</v>
          </cell>
          <cell r="AH495">
            <v>0</v>
          </cell>
          <cell r="AI495">
            <v>0</v>
          </cell>
          <cell r="AJ495">
            <v>0</v>
          </cell>
          <cell r="AK495">
            <v>0</v>
          </cell>
          <cell r="AL495">
            <v>0</v>
          </cell>
        </row>
        <row r="496">
          <cell r="E496">
            <v>0</v>
          </cell>
          <cell r="F496">
            <v>0</v>
          </cell>
          <cell r="G496">
            <v>0</v>
          </cell>
          <cell r="H496">
            <v>0</v>
          </cell>
          <cell r="I496">
            <v>0</v>
          </cell>
          <cell r="J496" t="str">
            <v xml:space="preserve">  4M-1</v>
          </cell>
          <cell r="K496">
            <v>0</v>
          </cell>
          <cell r="L496">
            <v>0</v>
          </cell>
          <cell r="M496">
            <v>0</v>
          </cell>
          <cell r="N496">
            <v>0</v>
          </cell>
          <cell r="O496">
            <v>0</v>
          </cell>
          <cell r="P496">
            <v>0</v>
          </cell>
          <cell r="Q496">
            <v>1</v>
          </cell>
          <cell r="R496">
            <v>0</v>
          </cell>
          <cell r="S496">
            <v>1</v>
          </cell>
          <cell r="T496">
            <v>0</v>
          </cell>
          <cell r="U496" t="str">
            <v>3φ3W 345.6</v>
          </cell>
          <cell r="V496">
            <v>0</v>
          </cell>
          <cell r="W496">
            <v>0</v>
          </cell>
          <cell r="X496">
            <v>0</v>
          </cell>
          <cell r="Y496">
            <v>0</v>
          </cell>
          <cell r="Z496">
            <v>0</v>
          </cell>
          <cell r="AA496">
            <v>0</v>
          </cell>
          <cell r="AB496">
            <v>0</v>
          </cell>
          <cell r="AC496">
            <v>0</v>
          </cell>
          <cell r="AD496" t="str">
            <v>225AF/225AT</v>
          </cell>
          <cell r="AE496">
            <v>0</v>
          </cell>
          <cell r="AF496">
            <v>0</v>
          </cell>
          <cell r="AG496">
            <v>0</v>
          </cell>
          <cell r="AH496">
            <v>0</v>
          </cell>
          <cell r="AI496">
            <v>0</v>
          </cell>
          <cell r="AJ496">
            <v>0</v>
          </cell>
          <cell r="AK496">
            <v>0</v>
          </cell>
          <cell r="AL496">
            <v>0</v>
          </cell>
        </row>
        <row r="497">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row>
        <row r="498">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row>
        <row r="499">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row>
        <row r="500">
          <cell r="E500">
            <v>0</v>
          </cell>
          <cell r="F500">
            <v>0</v>
          </cell>
          <cell r="G500" t="str">
            <v xml:space="preserve">  5F</v>
          </cell>
          <cell r="H500">
            <v>0</v>
          </cell>
          <cell r="I500">
            <v>0</v>
          </cell>
          <cell r="J500" t="str">
            <v>( 4 )</v>
          </cell>
          <cell r="K500">
            <v>0</v>
          </cell>
          <cell r="L500">
            <v>0</v>
          </cell>
          <cell r="M500">
            <v>0</v>
          </cell>
          <cell r="N500">
            <v>0</v>
          </cell>
          <cell r="O500">
            <v>0</v>
          </cell>
          <cell r="P500">
            <v>0</v>
          </cell>
          <cell r="Q500" t="str">
            <v>面</v>
          </cell>
          <cell r="R500">
            <v>0</v>
          </cell>
          <cell r="S500" t="str">
            <v>幹</v>
          </cell>
          <cell r="T500">
            <v>0</v>
          </cell>
          <cell r="U500" t="str">
            <v>電　気　方　式</v>
          </cell>
          <cell r="V500">
            <v>0</v>
          </cell>
          <cell r="W500">
            <v>0</v>
          </cell>
          <cell r="X500">
            <v>0</v>
          </cell>
          <cell r="Y500">
            <v>0</v>
          </cell>
          <cell r="Z500">
            <v>0</v>
          </cell>
          <cell r="AA500">
            <v>0</v>
          </cell>
          <cell r="AB500">
            <v>0</v>
          </cell>
          <cell r="AC500">
            <v>0</v>
          </cell>
          <cell r="AD500" t="str">
            <v>主幹開閉器 MCCB</v>
          </cell>
          <cell r="AE500">
            <v>0</v>
          </cell>
          <cell r="AF500">
            <v>0</v>
          </cell>
          <cell r="AG500">
            <v>0</v>
          </cell>
          <cell r="AH500">
            <v>0</v>
          </cell>
          <cell r="AI500">
            <v>0</v>
          </cell>
          <cell r="AJ500">
            <v>0</v>
          </cell>
          <cell r="AK500">
            <v>0</v>
          </cell>
          <cell r="AL500">
            <v>0</v>
          </cell>
        </row>
        <row r="501">
          <cell r="E501">
            <v>0</v>
          </cell>
          <cell r="F501">
            <v>0</v>
          </cell>
          <cell r="G501">
            <v>0</v>
          </cell>
          <cell r="H501">
            <v>0</v>
          </cell>
          <cell r="I501">
            <v>0</v>
          </cell>
          <cell r="J501" t="str">
            <v>盤　 名　 称</v>
          </cell>
          <cell r="K501">
            <v>0</v>
          </cell>
          <cell r="L501">
            <v>0</v>
          </cell>
          <cell r="M501">
            <v>0</v>
          </cell>
          <cell r="N501">
            <v>0</v>
          </cell>
          <cell r="O501">
            <v>0</v>
          </cell>
          <cell r="P501">
            <v>0</v>
          </cell>
          <cell r="Q501" t="str">
            <v>数</v>
          </cell>
          <cell r="R501">
            <v>0</v>
          </cell>
          <cell r="S501" t="str">
            <v>線</v>
          </cell>
          <cell r="T501">
            <v>0</v>
          </cell>
          <cell r="U501">
            <v>0</v>
          </cell>
          <cell r="V501">
            <v>0</v>
          </cell>
          <cell r="W501">
            <v>0</v>
          </cell>
          <cell r="X501">
            <v>0</v>
          </cell>
          <cell r="Y501">
            <v>0</v>
          </cell>
          <cell r="Z501">
            <v>0</v>
          </cell>
          <cell r="AA501">
            <v>0</v>
          </cell>
          <cell r="AB501">
            <v>0</v>
          </cell>
          <cell r="AC501">
            <v>0</v>
          </cell>
          <cell r="AD501" t="str">
            <v>主幹開閉器-照</v>
          </cell>
          <cell r="AE501">
            <v>0</v>
          </cell>
          <cell r="AF501">
            <v>0</v>
          </cell>
          <cell r="AG501">
            <v>0</v>
          </cell>
          <cell r="AH501">
            <v>0</v>
          </cell>
          <cell r="AI501">
            <v>0</v>
          </cell>
          <cell r="AJ501">
            <v>0</v>
          </cell>
          <cell r="AK501" t="str">
            <v>主幹開閉器-差</v>
          </cell>
          <cell r="AL501">
            <v>0</v>
          </cell>
        </row>
        <row r="502">
          <cell r="E502">
            <v>0</v>
          </cell>
          <cell r="F502">
            <v>0</v>
          </cell>
          <cell r="G502">
            <v>0</v>
          </cell>
          <cell r="H502">
            <v>0</v>
          </cell>
          <cell r="I502">
            <v>0</v>
          </cell>
          <cell r="J502" t="str">
            <v xml:space="preserve">  5L-1</v>
          </cell>
          <cell r="K502">
            <v>0</v>
          </cell>
          <cell r="L502">
            <v>0</v>
          </cell>
          <cell r="M502">
            <v>0</v>
          </cell>
          <cell r="N502">
            <v>0</v>
          </cell>
          <cell r="O502">
            <v>0</v>
          </cell>
          <cell r="P502">
            <v>0</v>
          </cell>
          <cell r="Q502">
            <v>1</v>
          </cell>
          <cell r="R502">
            <v>0</v>
          </cell>
          <cell r="S502">
            <v>1</v>
          </cell>
          <cell r="T502">
            <v>0</v>
          </cell>
          <cell r="U502" t="str">
            <v>1φ3W 210/105V</v>
          </cell>
          <cell r="V502">
            <v>0</v>
          </cell>
          <cell r="W502">
            <v>0</v>
          </cell>
          <cell r="X502">
            <v>0</v>
          </cell>
          <cell r="Y502">
            <v>0</v>
          </cell>
          <cell r="Z502">
            <v>0</v>
          </cell>
          <cell r="AA502">
            <v>0</v>
          </cell>
          <cell r="AB502">
            <v>0</v>
          </cell>
          <cell r="AC502">
            <v>0</v>
          </cell>
          <cell r="AD502" t="str">
            <v>225AF/175AT</v>
          </cell>
          <cell r="AE502">
            <v>0</v>
          </cell>
          <cell r="AF502">
            <v>0</v>
          </cell>
          <cell r="AG502">
            <v>0</v>
          </cell>
          <cell r="AH502">
            <v>0</v>
          </cell>
          <cell r="AI502">
            <v>0</v>
          </cell>
          <cell r="AJ502">
            <v>0</v>
          </cell>
          <cell r="AK502" t="str">
            <v/>
          </cell>
          <cell r="AL502">
            <v>0</v>
          </cell>
        </row>
        <row r="503">
          <cell r="E503">
            <v>0</v>
          </cell>
          <cell r="F503">
            <v>0</v>
          </cell>
          <cell r="G503">
            <v>0</v>
          </cell>
          <cell r="H503">
            <v>0</v>
          </cell>
          <cell r="I503">
            <v>0</v>
          </cell>
          <cell r="J503" t="str">
            <v/>
          </cell>
          <cell r="K503">
            <v>0</v>
          </cell>
          <cell r="L503">
            <v>0</v>
          </cell>
          <cell r="M503">
            <v>0</v>
          </cell>
          <cell r="N503">
            <v>0</v>
          </cell>
          <cell r="O503">
            <v>0</v>
          </cell>
          <cell r="P503">
            <v>0</v>
          </cell>
          <cell r="Q503" t="str">
            <v/>
          </cell>
          <cell r="R503">
            <v>0</v>
          </cell>
          <cell r="S503" t="str">
            <v/>
          </cell>
          <cell r="T503">
            <v>0</v>
          </cell>
          <cell r="U503" t="str">
            <v xml:space="preserve"> </v>
          </cell>
          <cell r="V503">
            <v>0</v>
          </cell>
          <cell r="W503">
            <v>0</v>
          </cell>
          <cell r="X503">
            <v>0</v>
          </cell>
          <cell r="Y503">
            <v>0</v>
          </cell>
          <cell r="Z503">
            <v>0</v>
          </cell>
          <cell r="AA503">
            <v>0</v>
          </cell>
          <cell r="AB503">
            <v>0</v>
          </cell>
          <cell r="AC503">
            <v>0</v>
          </cell>
          <cell r="AD503" t="str">
            <v/>
          </cell>
          <cell r="AE503">
            <v>0</v>
          </cell>
          <cell r="AF503">
            <v>0</v>
          </cell>
          <cell r="AG503">
            <v>0</v>
          </cell>
          <cell r="AH503">
            <v>0</v>
          </cell>
          <cell r="AI503">
            <v>0</v>
          </cell>
          <cell r="AJ503">
            <v>0</v>
          </cell>
          <cell r="AK503">
            <v>0</v>
          </cell>
          <cell r="AL503">
            <v>0</v>
          </cell>
        </row>
        <row r="504">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t="str">
            <v/>
          </cell>
          <cell r="T504">
            <v>0</v>
          </cell>
          <cell r="U504" t="str">
            <v xml:space="preserve"> </v>
          </cell>
          <cell r="V504">
            <v>0</v>
          </cell>
          <cell r="W504">
            <v>0</v>
          </cell>
          <cell r="X504">
            <v>0</v>
          </cell>
          <cell r="Y504">
            <v>0</v>
          </cell>
          <cell r="Z504">
            <v>0</v>
          </cell>
          <cell r="AA504">
            <v>0</v>
          </cell>
          <cell r="AB504">
            <v>0</v>
          </cell>
          <cell r="AC504">
            <v>0</v>
          </cell>
          <cell r="AD504" t="str">
            <v/>
          </cell>
          <cell r="AE504">
            <v>0</v>
          </cell>
          <cell r="AF504">
            <v>0</v>
          </cell>
          <cell r="AG504">
            <v>0</v>
          </cell>
          <cell r="AH504">
            <v>0</v>
          </cell>
          <cell r="AI504">
            <v>0</v>
          </cell>
          <cell r="AJ504">
            <v>0</v>
          </cell>
          <cell r="AK504">
            <v>0</v>
          </cell>
          <cell r="AL504">
            <v>0</v>
          </cell>
        </row>
        <row r="505">
          <cell r="E505">
            <v>0</v>
          </cell>
          <cell r="F505">
            <v>0</v>
          </cell>
          <cell r="G505">
            <v>0</v>
          </cell>
          <cell r="H505">
            <v>0</v>
          </cell>
          <cell r="I505">
            <v>0</v>
          </cell>
          <cell r="J505" t="str">
            <v xml:space="preserve">  5M-1</v>
          </cell>
          <cell r="K505">
            <v>0</v>
          </cell>
          <cell r="L505">
            <v>0</v>
          </cell>
          <cell r="M505">
            <v>0</v>
          </cell>
          <cell r="N505">
            <v>0</v>
          </cell>
          <cell r="O505">
            <v>0</v>
          </cell>
          <cell r="P505">
            <v>0</v>
          </cell>
          <cell r="Q505">
            <v>1</v>
          </cell>
          <cell r="R505">
            <v>0</v>
          </cell>
          <cell r="S505">
            <v>1</v>
          </cell>
          <cell r="T505">
            <v>0</v>
          </cell>
          <cell r="U505" t="str">
            <v>3φ3W 210V</v>
          </cell>
          <cell r="V505">
            <v>0</v>
          </cell>
          <cell r="W505">
            <v>0</v>
          </cell>
          <cell r="X505">
            <v>0</v>
          </cell>
          <cell r="Y505">
            <v>0</v>
          </cell>
          <cell r="Z505">
            <v>0</v>
          </cell>
          <cell r="AA505">
            <v>0</v>
          </cell>
          <cell r="AB505">
            <v>0</v>
          </cell>
          <cell r="AC505">
            <v>0</v>
          </cell>
          <cell r="AD505" t="str">
            <v>225AF/225AT</v>
          </cell>
          <cell r="AE505">
            <v>0</v>
          </cell>
          <cell r="AF505">
            <v>0</v>
          </cell>
          <cell r="AG505">
            <v>0</v>
          </cell>
          <cell r="AH505">
            <v>0</v>
          </cell>
          <cell r="AI505">
            <v>0</v>
          </cell>
          <cell r="AJ505">
            <v>0</v>
          </cell>
          <cell r="AK505">
            <v>0</v>
          </cell>
          <cell r="AL505">
            <v>0</v>
          </cell>
        </row>
        <row r="506">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row>
        <row r="507">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row>
        <row r="508">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row>
        <row r="509">
          <cell r="E509">
            <v>0</v>
          </cell>
          <cell r="F509">
            <v>0</v>
          </cell>
          <cell r="G509" t="str">
            <v xml:space="preserve">  6F</v>
          </cell>
          <cell r="H509">
            <v>0</v>
          </cell>
          <cell r="I509">
            <v>0</v>
          </cell>
          <cell r="J509" t="str">
            <v>( 4 )</v>
          </cell>
          <cell r="K509">
            <v>0</v>
          </cell>
          <cell r="L509">
            <v>0</v>
          </cell>
          <cell r="M509">
            <v>0</v>
          </cell>
          <cell r="N509">
            <v>0</v>
          </cell>
          <cell r="O509">
            <v>0</v>
          </cell>
          <cell r="P509">
            <v>0</v>
          </cell>
          <cell r="Q509" t="str">
            <v>面</v>
          </cell>
          <cell r="R509">
            <v>0</v>
          </cell>
          <cell r="S509" t="str">
            <v>幹</v>
          </cell>
          <cell r="T509">
            <v>0</v>
          </cell>
          <cell r="U509" t="str">
            <v>電　気　方　式</v>
          </cell>
          <cell r="V509">
            <v>0</v>
          </cell>
          <cell r="W509">
            <v>0</v>
          </cell>
          <cell r="X509">
            <v>0</v>
          </cell>
          <cell r="Y509">
            <v>0</v>
          </cell>
          <cell r="Z509">
            <v>0</v>
          </cell>
          <cell r="AA509">
            <v>0</v>
          </cell>
          <cell r="AB509">
            <v>0</v>
          </cell>
          <cell r="AC509">
            <v>0</v>
          </cell>
          <cell r="AD509" t="str">
            <v>主幹開閉器 MCCB</v>
          </cell>
          <cell r="AE509">
            <v>0</v>
          </cell>
          <cell r="AF509">
            <v>0</v>
          </cell>
          <cell r="AG509">
            <v>0</v>
          </cell>
          <cell r="AH509">
            <v>0</v>
          </cell>
          <cell r="AI509">
            <v>0</v>
          </cell>
          <cell r="AJ509">
            <v>0</v>
          </cell>
          <cell r="AK509">
            <v>0</v>
          </cell>
          <cell r="AL509">
            <v>0</v>
          </cell>
        </row>
        <row r="510">
          <cell r="E510">
            <v>0</v>
          </cell>
          <cell r="F510">
            <v>0</v>
          </cell>
          <cell r="G510">
            <v>0</v>
          </cell>
          <cell r="H510">
            <v>0</v>
          </cell>
          <cell r="I510">
            <v>0</v>
          </cell>
          <cell r="J510" t="str">
            <v>盤　 名　 称</v>
          </cell>
          <cell r="K510">
            <v>0</v>
          </cell>
          <cell r="L510">
            <v>0</v>
          </cell>
          <cell r="M510">
            <v>0</v>
          </cell>
          <cell r="N510">
            <v>0</v>
          </cell>
          <cell r="O510">
            <v>0</v>
          </cell>
          <cell r="P510">
            <v>0</v>
          </cell>
          <cell r="Q510" t="str">
            <v>数</v>
          </cell>
          <cell r="R510">
            <v>0</v>
          </cell>
          <cell r="S510" t="str">
            <v>線</v>
          </cell>
          <cell r="T510">
            <v>0</v>
          </cell>
          <cell r="U510">
            <v>0</v>
          </cell>
          <cell r="V510">
            <v>0</v>
          </cell>
          <cell r="W510">
            <v>0</v>
          </cell>
          <cell r="X510">
            <v>0</v>
          </cell>
          <cell r="Y510">
            <v>0</v>
          </cell>
          <cell r="Z510">
            <v>0</v>
          </cell>
          <cell r="AA510">
            <v>0</v>
          </cell>
          <cell r="AB510">
            <v>0</v>
          </cell>
          <cell r="AC510">
            <v>0</v>
          </cell>
          <cell r="AD510" t="str">
            <v>主幹開閉器-照</v>
          </cell>
          <cell r="AE510">
            <v>0</v>
          </cell>
          <cell r="AF510">
            <v>0</v>
          </cell>
          <cell r="AG510">
            <v>0</v>
          </cell>
          <cell r="AH510">
            <v>0</v>
          </cell>
          <cell r="AI510">
            <v>0</v>
          </cell>
          <cell r="AJ510">
            <v>0</v>
          </cell>
          <cell r="AK510" t="str">
            <v>主幹開閉器-差</v>
          </cell>
          <cell r="AL510">
            <v>0</v>
          </cell>
        </row>
        <row r="511">
          <cell r="E511">
            <v>0</v>
          </cell>
          <cell r="F511">
            <v>0</v>
          </cell>
          <cell r="G511">
            <v>0</v>
          </cell>
          <cell r="H511">
            <v>0</v>
          </cell>
          <cell r="I511">
            <v>0</v>
          </cell>
          <cell r="J511" t="str">
            <v xml:space="preserve">  6L-1</v>
          </cell>
          <cell r="K511">
            <v>0</v>
          </cell>
          <cell r="L511">
            <v>0</v>
          </cell>
          <cell r="M511">
            <v>0</v>
          </cell>
          <cell r="N511">
            <v>0</v>
          </cell>
          <cell r="O511">
            <v>0</v>
          </cell>
          <cell r="P511">
            <v>0</v>
          </cell>
          <cell r="Q511">
            <v>1</v>
          </cell>
          <cell r="R511">
            <v>0</v>
          </cell>
          <cell r="S511">
            <v>1</v>
          </cell>
          <cell r="T511">
            <v>0</v>
          </cell>
          <cell r="U511" t="str">
            <v>1φ3W 210/105V</v>
          </cell>
          <cell r="V511">
            <v>0</v>
          </cell>
          <cell r="W511">
            <v>0</v>
          </cell>
          <cell r="X511">
            <v>0</v>
          </cell>
          <cell r="Y511">
            <v>0</v>
          </cell>
          <cell r="Z511">
            <v>0</v>
          </cell>
          <cell r="AA511">
            <v>0</v>
          </cell>
          <cell r="AB511">
            <v>0</v>
          </cell>
          <cell r="AC511">
            <v>0</v>
          </cell>
          <cell r="AD511" t="str">
            <v>225AF/175AT</v>
          </cell>
          <cell r="AE511">
            <v>0</v>
          </cell>
          <cell r="AF511">
            <v>0</v>
          </cell>
          <cell r="AG511">
            <v>0</v>
          </cell>
          <cell r="AH511">
            <v>0</v>
          </cell>
          <cell r="AI511">
            <v>0</v>
          </cell>
          <cell r="AJ511">
            <v>0</v>
          </cell>
          <cell r="AK511" t="str">
            <v/>
          </cell>
          <cell r="AL511">
            <v>0</v>
          </cell>
        </row>
        <row r="512">
          <cell r="E512">
            <v>0</v>
          </cell>
          <cell r="F512">
            <v>0</v>
          </cell>
          <cell r="G512">
            <v>0</v>
          </cell>
          <cell r="H512">
            <v>0</v>
          </cell>
          <cell r="I512">
            <v>0</v>
          </cell>
          <cell r="J512" t="str">
            <v/>
          </cell>
          <cell r="K512">
            <v>0</v>
          </cell>
          <cell r="L512">
            <v>0</v>
          </cell>
          <cell r="M512">
            <v>0</v>
          </cell>
          <cell r="N512">
            <v>0</v>
          </cell>
          <cell r="O512">
            <v>0</v>
          </cell>
          <cell r="P512">
            <v>0</v>
          </cell>
          <cell r="Q512" t="str">
            <v/>
          </cell>
          <cell r="R512">
            <v>0</v>
          </cell>
          <cell r="S512" t="str">
            <v/>
          </cell>
          <cell r="T512">
            <v>0</v>
          </cell>
          <cell r="U512" t="str">
            <v xml:space="preserve"> </v>
          </cell>
          <cell r="V512">
            <v>0</v>
          </cell>
          <cell r="W512">
            <v>0</v>
          </cell>
          <cell r="X512">
            <v>0</v>
          </cell>
          <cell r="Y512">
            <v>0</v>
          </cell>
          <cell r="Z512">
            <v>0</v>
          </cell>
          <cell r="AA512">
            <v>0</v>
          </cell>
          <cell r="AB512">
            <v>0</v>
          </cell>
          <cell r="AC512">
            <v>0</v>
          </cell>
          <cell r="AD512" t="str">
            <v/>
          </cell>
          <cell r="AE512">
            <v>0</v>
          </cell>
          <cell r="AF512">
            <v>0</v>
          </cell>
          <cell r="AG512">
            <v>0</v>
          </cell>
          <cell r="AH512">
            <v>0</v>
          </cell>
          <cell r="AI512">
            <v>0</v>
          </cell>
          <cell r="AJ512">
            <v>0</v>
          </cell>
          <cell r="AK512">
            <v>0</v>
          </cell>
          <cell r="AL512">
            <v>0</v>
          </cell>
        </row>
        <row r="513">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t="str">
            <v/>
          </cell>
          <cell r="T513">
            <v>0</v>
          </cell>
          <cell r="U513" t="str">
            <v xml:space="preserve"> </v>
          </cell>
          <cell r="V513">
            <v>0</v>
          </cell>
          <cell r="W513">
            <v>0</v>
          </cell>
          <cell r="X513">
            <v>0</v>
          </cell>
          <cell r="Y513">
            <v>0</v>
          </cell>
          <cell r="Z513">
            <v>0</v>
          </cell>
          <cell r="AA513">
            <v>0</v>
          </cell>
          <cell r="AB513">
            <v>0</v>
          </cell>
          <cell r="AC513">
            <v>0</v>
          </cell>
          <cell r="AD513" t="str">
            <v/>
          </cell>
          <cell r="AE513">
            <v>0</v>
          </cell>
          <cell r="AF513">
            <v>0</v>
          </cell>
          <cell r="AG513">
            <v>0</v>
          </cell>
          <cell r="AH513">
            <v>0</v>
          </cell>
          <cell r="AI513">
            <v>0</v>
          </cell>
          <cell r="AJ513">
            <v>0</v>
          </cell>
          <cell r="AK513">
            <v>0</v>
          </cell>
          <cell r="AL513">
            <v>0</v>
          </cell>
        </row>
        <row r="514">
          <cell r="E514">
            <v>0</v>
          </cell>
          <cell r="F514">
            <v>0</v>
          </cell>
          <cell r="G514">
            <v>0</v>
          </cell>
          <cell r="H514">
            <v>0</v>
          </cell>
          <cell r="I514">
            <v>0</v>
          </cell>
          <cell r="J514" t="str">
            <v xml:space="preserve">  6M-1</v>
          </cell>
          <cell r="K514">
            <v>0</v>
          </cell>
          <cell r="L514">
            <v>0</v>
          </cell>
          <cell r="M514">
            <v>0</v>
          </cell>
          <cell r="N514">
            <v>0</v>
          </cell>
          <cell r="O514">
            <v>0</v>
          </cell>
          <cell r="P514">
            <v>0</v>
          </cell>
          <cell r="Q514">
            <v>1</v>
          </cell>
          <cell r="R514">
            <v>0</v>
          </cell>
          <cell r="S514" t="str">
            <v/>
          </cell>
          <cell r="T514">
            <v>0</v>
          </cell>
          <cell r="U514" t="str">
            <v>3φ3W 210V</v>
          </cell>
          <cell r="V514">
            <v>0</v>
          </cell>
          <cell r="W514">
            <v>0</v>
          </cell>
          <cell r="X514">
            <v>0</v>
          </cell>
          <cell r="Y514">
            <v>0</v>
          </cell>
          <cell r="Z514">
            <v>0</v>
          </cell>
          <cell r="AA514">
            <v>0</v>
          </cell>
          <cell r="AB514">
            <v>0</v>
          </cell>
          <cell r="AC514">
            <v>0</v>
          </cell>
          <cell r="AD514" t="str">
            <v>225AF/225AT</v>
          </cell>
          <cell r="AE514">
            <v>0</v>
          </cell>
          <cell r="AF514">
            <v>0</v>
          </cell>
          <cell r="AG514">
            <v>0</v>
          </cell>
          <cell r="AH514">
            <v>0</v>
          </cell>
          <cell r="AI514">
            <v>0</v>
          </cell>
          <cell r="AJ514">
            <v>0</v>
          </cell>
          <cell r="AK514">
            <v>0</v>
          </cell>
          <cell r="AL514">
            <v>0</v>
          </cell>
        </row>
        <row r="515">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row>
        <row r="516">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row>
        <row r="517">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row>
        <row r="518">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row>
        <row r="519">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row>
        <row r="520">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row>
        <row r="521">
          <cell r="E521">
            <v>0</v>
          </cell>
          <cell r="F521">
            <v>0</v>
          </cell>
          <cell r="G521" t="str">
            <v xml:space="preserve">  7F</v>
          </cell>
          <cell r="H521">
            <v>0</v>
          </cell>
          <cell r="I521">
            <v>0</v>
          </cell>
          <cell r="J521" t="str">
            <v>( 4 )</v>
          </cell>
          <cell r="K521">
            <v>0</v>
          </cell>
          <cell r="L521">
            <v>0</v>
          </cell>
          <cell r="M521">
            <v>0</v>
          </cell>
          <cell r="N521">
            <v>0</v>
          </cell>
          <cell r="O521">
            <v>0</v>
          </cell>
          <cell r="P521">
            <v>0</v>
          </cell>
          <cell r="Q521" t="str">
            <v>面</v>
          </cell>
          <cell r="R521">
            <v>0</v>
          </cell>
          <cell r="S521" t="str">
            <v>幹</v>
          </cell>
          <cell r="T521">
            <v>0</v>
          </cell>
          <cell r="U521" t="str">
            <v>電　気　方　式</v>
          </cell>
          <cell r="V521">
            <v>0</v>
          </cell>
          <cell r="W521">
            <v>0</v>
          </cell>
          <cell r="X521">
            <v>0</v>
          </cell>
          <cell r="Y521">
            <v>0</v>
          </cell>
          <cell r="Z521">
            <v>0</v>
          </cell>
          <cell r="AA521">
            <v>0</v>
          </cell>
          <cell r="AB521">
            <v>0</v>
          </cell>
          <cell r="AC521">
            <v>0</v>
          </cell>
          <cell r="AD521" t="str">
            <v>主幹開閉器 MCCB</v>
          </cell>
          <cell r="AE521">
            <v>0</v>
          </cell>
          <cell r="AF521">
            <v>0</v>
          </cell>
          <cell r="AG521">
            <v>0</v>
          </cell>
          <cell r="AH521">
            <v>0</v>
          </cell>
          <cell r="AI521">
            <v>0</v>
          </cell>
          <cell r="AJ521">
            <v>0</v>
          </cell>
          <cell r="AK521">
            <v>0</v>
          </cell>
          <cell r="AL521">
            <v>0</v>
          </cell>
        </row>
        <row r="522">
          <cell r="E522">
            <v>0</v>
          </cell>
          <cell r="F522">
            <v>0</v>
          </cell>
          <cell r="G522">
            <v>0</v>
          </cell>
          <cell r="H522">
            <v>0</v>
          </cell>
          <cell r="I522">
            <v>0</v>
          </cell>
          <cell r="J522" t="str">
            <v>盤　 名　 称</v>
          </cell>
          <cell r="K522">
            <v>0</v>
          </cell>
          <cell r="L522">
            <v>0</v>
          </cell>
          <cell r="M522">
            <v>0</v>
          </cell>
          <cell r="N522">
            <v>0</v>
          </cell>
          <cell r="O522">
            <v>0</v>
          </cell>
          <cell r="P522">
            <v>0</v>
          </cell>
          <cell r="Q522" t="str">
            <v>数</v>
          </cell>
          <cell r="R522">
            <v>0</v>
          </cell>
          <cell r="S522" t="str">
            <v>線</v>
          </cell>
          <cell r="T522">
            <v>0</v>
          </cell>
          <cell r="U522">
            <v>0</v>
          </cell>
          <cell r="V522">
            <v>0</v>
          </cell>
          <cell r="W522">
            <v>0</v>
          </cell>
          <cell r="X522">
            <v>0</v>
          </cell>
          <cell r="Y522">
            <v>0</v>
          </cell>
          <cell r="Z522">
            <v>0</v>
          </cell>
          <cell r="AA522">
            <v>0</v>
          </cell>
          <cell r="AB522">
            <v>0</v>
          </cell>
          <cell r="AC522">
            <v>0</v>
          </cell>
          <cell r="AD522" t="str">
            <v>主幹開閉器-照</v>
          </cell>
          <cell r="AE522">
            <v>0</v>
          </cell>
          <cell r="AF522">
            <v>0</v>
          </cell>
          <cell r="AG522">
            <v>0</v>
          </cell>
          <cell r="AH522">
            <v>0</v>
          </cell>
          <cell r="AI522">
            <v>0</v>
          </cell>
          <cell r="AJ522">
            <v>0</v>
          </cell>
          <cell r="AK522" t="str">
            <v>主幹開閉器-差</v>
          </cell>
          <cell r="AL522">
            <v>0</v>
          </cell>
        </row>
        <row r="523">
          <cell r="E523">
            <v>0</v>
          </cell>
          <cell r="F523">
            <v>0</v>
          </cell>
          <cell r="G523">
            <v>0</v>
          </cell>
          <cell r="H523">
            <v>0</v>
          </cell>
          <cell r="I523">
            <v>0</v>
          </cell>
          <cell r="J523" t="str">
            <v xml:space="preserve">  7L-1</v>
          </cell>
          <cell r="K523">
            <v>0</v>
          </cell>
          <cell r="L523">
            <v>0</v>
          </cell>
          <cell r="M523">
            <v>0</v>
          </cell>
          <cell r="N523">
            <v>0</v>
          </cell>
          <cell r="O523">
            <v>0</v>
          </cell>
          <cell r="P523">
            <v>0</v>
          </cell>
          <cell r="Q523">
            <v>1</v>
          </cell>
          <cell r="R523">
            <v>0</v>
          </cell>
          <cell r="S523">
            <v>1</v>
          </cell>
          <cell r="T523">
            <v>0</v>
          </cell>
          <cell r="U523" t="str">
            <v>1φ3W 210/105V</v>
          </cell>
          <cell r="V523">
            <v>0</v>
          </cell>
          <cell r="W523">
            <v>0</v>
          </cell>
          <cell r="X523">
            <v>0</v>
          </cell>
          <cell r="Y523">
            <v>0</v>
          </cell>
          <cell r="Z523">
            <v>0</v>
          </cell>
          <cell r="AA523">
            <v>0</v>
          </cell>
          <cell r="AB523">
            <v>0</v>
          </cell>
          <cell r="AC523">
            <v>0</v>
          </cell>
          <cell r="AD523" t="str">
            <v>225AF/175AT</v>
          </cell>
          <cell r="AE523">
            <v>0</v>
          </cell>
          <cell r="AF523">
            <v>0</v>
          </cell>
          <cell r="AG523">
            <v>0</v>
          </cell>
          <cell r="AH523">
            <v>0</v>
          </cell>
          <cell r="AI523">
            <v>0</v>
          </cell>
          <cell r="AJ523">
            <v>0</v>
          </cell>
          <cell r="AK523" t="str">
            <v/>
          </cell>
          <cell r="AL523">
            <v>0</v>
          </cell>
        </row>
        <row r="524">
          <cell r="E524">
            <v>0</v>
          </cell>
          <cell r="F524">
            <v>0</v>
          </cell>
          <cell r="G524">
            <v>0</v>
          </cell>
          <cell r="H524">
            <v>0</v>
          </cell>
          <cell r="I524">
            <v>0</v>
          </cell>
          <cell r="J524" t="str">
            <v/>
          </cell>
          <cell r="K524">
            <v>0</v>
          </cell>
          <cell r="L524">
            <v>0</v>
          </cell>
          <cell r="M524">
            <v>0</v>
          </cell>
          <cell r="N524">
            <v>0</v>
          </cell>
          <cell r="O524">
            <v>0</v>
          </cell>
          <cell r="P524">
            <v>0</v>
          </cell>
          <cell r="Q524" t="str">
            <v/>
          </cell>
          <cell r="R524">
            <v>0</v>
          </cell>
          <cell r="S524" t="str">
            <v/>
          </cell>
          <cell r="T524">
            <v>0</v>
          </cell>
          <cell r="U524" t="str">
            <v xml:space="preserve"> </v>
          </cell>
          <cell r="V524">
            <v>0</v>
          </cell>
          <cell r="W524">
            <v>0</v>
          </cell>
          <cell r="X524">
            <v>0</v>
          </cell>
          <cell r="Y524">
            <v>0</v>
          </cell>
          <cell r="Z524">
            <v>0</v>
          </cell>
          <cell r="AA524">
            <v>0</v>
          </cell>
          <cell r="AB524">
            <v>0</v>
          </cell>
          <cell r="AC524">
            <v>0</v>
          </cell>
          <cell r="AD524" t="str">
            <v/>
          </cell>
          <cell r="AE524">
            <v>0</v>
          </cell>
          <cell r="AF524">
            <v>0</v>
          </cell>
          <cell r="AG524">
            <v>0</v>
          </cell>
          <cell r="AH524">
            <v>0</v>
          </cell>
          <cell r="AI524">
            <v>0</v>
          </cell>
          <cell r="AJ524">
            <v>0</v>
          </cell>
          <cell r="AK524">
            <v>0</v>
          </cell>
          <cell r="AL524">
            <v>0</v>
          </cell>
        </row>
        <row r="525">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t="str">
            <v/>
          </cell>
          <cell r="T525">
            <v>0</v>
          </cell>
          <cell r="U525" t="str">
            <v xml:space="preserve"> </v>
          </cell>
          <cell r="V525">
            <v>0</v>
          </cell>
          <cell r="W525">
            <v>0</v>
          </cell>
          <cell r="X525">
            <v>0</v>
          </cell>
          <cell r="Y525">
            <v>0</v>
          </cell>
          <cell r="Z525">
            <v>0</v>
          </cell>
          <cell r="AA525">
            <v>0</v>
          </cell>
          <cell r="AB525">
            <v>0</v>
          </cell>
          <cell r="AC525">
            <v>0</v>
          </cell>
          <cell r="AD525" t="str">
            <v/>
          </cell>
          <cell r="AE525">
            <v>0</v>
          </cell>
          <cell r="AF525">
            <v>0</v>
          </cell>
          <cell r="AG525">
            <v>0</v>
          </cell>
          <cell r="AH525">
            <v>0</v>
          </cell>
          <cell r="AI525">
            <v>0</v>
          </cell>
          <cell r="AJ525">
            <v>0</v>
          </cell>
          <cell r="AK525">
            <v>0</v>
          </cell>
          <cell r="AL525">
            <v>0</v>
          </cell>
        </row>
        <row r="526">
          <cell r="E526">
            <v>0</v>
          </cell>
          <cell r="F526">
            <v>0</v>
          </cell>
          <cell r="G526">
            <v>0</v>
          </cell>
          <cell r="H526">
            <v>0</v>
          </cell>
          <cell r="I526">
            <v>0</v>
          </cell>
          <cell r="J526" t="str">
            <v xml:space="preserve">  7M-1</v>
          </cell>
          <cell r="K526">
            <v>0</v>
          </cell>
          <cell r="L526">
            <v>0</v>
          </cell>
          <cell r="M526">
            <v>0</v>
          </cell>
          <cell r="N526">
            <v>0</v>
          </cell>
          <cell r="O526">
            <v>0</v>
          </cell>
          <cell r="P526">
            <v>0</v>
          </cell>
          <cell r="Q526">
            <v>1</v>
          </cell>
          <cell r="R526">
            <v>0</v>
          </cell>
          <cell r="S526" t="str">
            <v/>
          </cell>
          <cell r="T526">
            <v>0</v>
          </cell>
          <cell r="U526" t="str">
            <v>3φ3W 210V</v>
          </cell>
          <cell r="V526">
            <v>0</v>
          </cell>
          <cell r="W526">
            <v>0</v>
          </cell>
          <cell r="X526">
            <v>0</v>
          </cell>
          <cell r="Y526">
            <v>0</v>
          </cell>
          <cell r="Z526">
            <v>0</v>
          </cell>
          <cell r="AA526">
            <v>0</v>
          </cell>
          <cell r="AB526">
            <v>0</v>
          </cell>
          <cell r="AC526">
            <v>0</v>
          </cell>
          <cell r="AD526" t="str">
            <v>225AF/225AT</v>
          </cell>
          <cell r="AE526">
            <v>0</v>
          </cell>
          <cell r="AF526">
            <v>0</v>
          </cell>
          <cell r="AG526">
            <v>0</v>
          </cell>
          <cell r="AH526">
            <v>0</v>
          </cell>
          <cell r="AI526">
            <v>0</v>
          </cell>
          <cell r="AJ526">
            <v>0</v>
          </cell>
          <cell r="AK526">
            <v>0</v>
          </cell>
          <cell r="AL526">
            <v>0</v>
          </cell>
        </row>
        <row r="527">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row>
        <row r="528">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row>
        <row r="529">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row>
        <row r="530">
          <cell r="E530">
            <v>0</v>
          </cell>
          <cell r="F530">
            <v>0</v>
          </cell>
          <cell r="G530" t="str">
            <v xml:space="preserve">  8F</v>
          </cell>
          <cell r="H530">
            <v>0</v>
          </cell>
          <cell r="I530">
            <v>0</v>
          </cell>
          <cell r="J530" t="str">
            <v>( 4 )</v>
          </cell>
          <cell r="K530">
            <v>0</v>
          </cell>
          <cell r="L530">
            <v>0</v>
          </cell>
          <cell r="M530">
            <v>0</v>
          </cell>
          <cell r="N530">
            <v>0</v>
          </cell>
          <cell r="O530">
            <v>0</v>
          </cell>
          <cell r="P530">
            <v>0</v>
          </cell>
          <cell r="Q530" t="str">
            <v>面</v>
          </cell>
          <cell r="R530">
            <v>0</v>
          </cell>
          <cell r="S530" t="str">
            <v>幹</v>
          </cell>
          <cell r="T530">
            <v>0</v>
          </cell>
          <cell r="U530" t="str">
            <v>電　気　方　式</v>
          </cell>
          <cell r="V530">
            <v>0</v>
          </cell>
          <cell r="W530">
            <v>0</v>
          </cell>
          <cell r="X530">
            <v>0</v>
          </cell>
          <cell r="Y530">
            <v>0</v>
          </cell>
          <cell r="Z530">
            <v>0</v>
          </cell>
          <cell r="AA530">
            <v>0</v>
          </cell>
          <cell r="AB530">
            <v>0</v>
          </cell>
          <cell r="AC530">
            <v>0</v>
          </cell>
          <cell r="AD530" t="str">
            <v>主幹開閉器 MCCB</v>
          </cell>
          <cell r="AE530">
            <v>0</v>
          </cell>
          <cell r="AF530">
            <v>0</v>
          </cell>
          <cell r="AG530">
            <v>0</v>
          </cell>
          <cell r="AH530">
            <v>0</v>
          </cell>
          <cell r="AI530">
            <v>0</v>
          </cell>
          <cell r="AJ530">
            <v>0</v>
          </cell>
          <cell r="AK530">
            <v>0</v>
          </cell>
          <cell r="AL530">
            <v>0</v>
          </cell>
        </row>
        <row r="531">
          <cell r="E531">
            <v>0</v>
          </cell>
          <cell r="F531">
            <v>0</v>
          </cell>
          <cell r="G531">
            <v>0</v>
          </cell>
          <cell r="H531">
            <v>0</v>
          </cell>
          <cell r="I531">
            <v>0</v>
          </cell>
          <cell r="J531" t="str">
            <v>盤　 名　 称</v>
          </cell>
          <cell r="K531">
            <v>0</v>
          </cell>
          <cell r="L531">
            <v>0</v>
          </cell>
          <cell r="M531">
            <v>0</v>
          </cell>
          <cell r="N531">
            <v>0</v>
          </cell>
          <cell r="O531">
            <v>0</v>
          </cell>
          <cell r="P531">
            <v>0</v>
          </cell>
          <cell r="Q531" t="str">
            <v>数</v>
          </cell>
          <cell r="R531">
            <v>0</v>
          </cell>
          <cell r="S531" t="str">
            <v>線</v>
          </cell>
          <cell r="T531">
            <v>0</v>
          </cell>
          <cell r="U531">
            <v>0</v>
          </cell>
          <cell r="V531">
            <v>0</v>
          </cell>
          <cell r="W531">
            <v>0</v>
          </cell>
          <cell r="X531">
            <v>0</v>
          </cell>
          <cell r="Y531">
            <v>0</v>
          </cell>
          <cell r="Z531">
            <v>0</v>
          </cell>
          <cell r="AA531">
            <v>0</v>
          </cell>
          <cell r="AB531">
            <v>0</v>
          </cell>
          <cell r="AC531">
            <v>0</v>
          </cell>
          <cell r="AD531" t="str">
            <v>主幹開閉器-照</v>
          </cell>
          <cell r="AE531">
            <v>0</v>
          </cell>
          <cell r="AF531">
            <v>0</v>
          </cell>
          <cell r="AG531">
            <v>0</v>
          </cell>
          <cell r="AH531">
            <v>0</v>
          </cell>
          <cell r="AI531">
            <v>0</v>
          </cell>
          <cell r="AJ531">
            <v>0</v>
          </cell>
          <cell r="AK531" t="str">
            <v>主幹開閉器-差</v>
          </cell>
          <cell r="AL531">
            <v>0</v>
          </cell>
        </row>
        <row r="532">
          <cell r="E532">
            <v>0</v>
          </cell>
          <cell r="F532">
            <v>0</v>
          </cell>
          <cell r="G532">
            <v>0</v>
          </cell>
          <cell r="H532">
            <v>0</v>
          </cell>
          <cell r="I532">
            <v>0</v>
          </cell>
          <cell r="J532" t="str">
            <v xml:space="preserve">  8L-1</v>
          </cell>
          <cell r="K532">
            <v>0</v>
          </cell>
          <cell r="L532">
            <v>0</v>
          </cell>
          <cell r="M532">
            <v>0</v>
          </cell>
          <cell r="N532">
            <v>0</v>
          </cell>
          <cell r="O532">
            <v>0</v>
          </cell>
          <cell r="P532">
            <v>0</v>
          </cell>
          <cell r="Q532">
            <v>1</v>
          </cell>
          <cell r="R532">
            <v>0</v>
          </cell>
          <cell r="S532">
            <v>1</v>
          </cell>
          <cell r="T532">
            <v>0</v>
          </cell>
          <cell r="U532" t="str">
            <v>3φ4W 440/254V</v>
          </cell>
          <cell r="V532">
            <v>0</v>
          </cell>
          <cell r="W532">
            <v>0</v>
          </cell>
          <cell r="X532">
            <v>0</v>
          </cell>
          <cell r="Y532">
            <v>0</v>
          </cell>
          <cell r="Z532">
            <v>0</v>
          </cell>
          <cell r="AA532">
            <v>0</v>
          </cell>
          <cell r="AB532">
            <v>0</v>
          </cell>
          <cell r="AC532">
            <v>0</v>
          </cell>
          <cell r="AD532" t="str">
            <v>50AF/30AT</v>
          </cell>
          <cell r="AE532">
            <v>0</v>
          </cell>
          <cell r="AF532">
            <v>0</v>
          </cell>
          <cell r="AG532">
            <v>0</v>
          </cell>
          <cell r="AH532">
            <v>0</v>
          </cell>
          <cell r="AI532">
            <v>0</v>
          </cell>
          <cell r="AJ532">
            <v>0</v>
          </cell>
          <cell r="AK532" t="str">
            <v>50AF/30AT</v>
          </cell>
          <cell r="AL532">
            <v>0</v>
          </cell>
        </row>
        <row r="533">
          <cell r="E533">
            <v>0</v>
          </cell>
          <cell r="F533">
            <v>0</v>
          </cell>
          <cell r="G533">
            <v>0</v>
          </cell>
          <cell r="H533">
            <v>0</v>
          </cell>
          <cell r="I533">
            <v>0</v>
          </cell>
          <cell r="J533" t="str">
            <v/>
          </cell>
          <cell r="K533">
            <v>0</v>
          </cell>
          <cell r="L533">
            <v>0</v>
          </cell>
          <cell r="M533">
            <v>0</v>
          </cell>
          <cell r="N533">
            <v>0</v>
          </cell>
          <cell r="O533">
            <v>0</v>
          </cell>
          <cell r="P533">
            <v>0</v>
          </cell>
          <cell r="Q533" t="str">
            <v/>
          </cell>
          <cell r="R533">
            <v>0</v>
          </cell>
          <cell r="S533" t="str">
            <v/>
          </cell>
          <cell r="T533">
            <v>0</v>
          </cell>
          <cell r="U533" t="str">
            <v>1φ3W 210/105V</v>
          </cell>
          <cell r="V533">
            <v>0</v>
          </cell>
          <cell r="W533">
            <v>0</v>
          </cell>
          <cell r="X533">
            <v>0</v>
          </cell>
          <cell r="Y533">
            <v>0</v>
          </cell>
          <cell r="Z533">
            <v>0</v>
          </cell>
          <cell r="AA533">
            <v>0</v>
          </cell>
          <cell r="AB533">
            <v>0</v>
          </cell>
          <cell r="AC533">
            <v>0</v>
          </cell>
          <cell r="AD533" t="str">
            <v/>
          </cell>
          <cell r="AE533">
            <v>0</v>
          </cell>
          <cell r="AF533">
            <v>0</v>
          </cell>
          <cell r="AG533">
            <v>0</v>
          </cell>
          <cell r="AH533">
            <v>0</v>
          </cell>
          <cell r="AI533">
            <v>0</v>
          </cell>
          <cell r="AJ533">
            <v>0</v>
          </cell>
          <cell r="AK533">
            <v>0</v>
          </cell>
          <cell r="AL533">
            <v>0</v>
          </cell>
        </row>
        <row r="534">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t="str">
            <v/>
          </cell>
          <cell r="T534">
            <v>0</v>
          </cell>
          <cell r="U534" t="str">
            <v xml:space="preserve"> </v>
          </cell>
          <cell r="V534">
            <v>0</v>
          </cell>
          <cell r="W534">
            <v>0</v>
          </cell>
          <cell r="X534">
            <v>0</v>
          </cell>
          <cell r="Y534">
            <v>0</v>
          </cell>
          <cell r="Z534">
            <v>0</v>
          </cell>
          <cell r="AA534">
            <v>0</v>
          </cell>
          <cell r="AB534">
            <v>0</v>
          </cell>
          <cell r="AC534">
            <v>0</v>
          </cell>
          <cell r="AD534" t="str">
            <v/>
          </cell>
          <cell r="AE534">
            <v>0</v>
          </cell>
          <cell r="AF534">
            <v>0</v>
          </cell>
          <cell r="AG534">
            <v>0</v>
          </cell>
          <cell r="AH534">
            <v>0</v>
          </cell>
          <cell r="AI534">
            <v>0</v>
          </cell>
          <cell r="AJ534">
            <v>0</v>
          </cell>
          <cell r="AK534">
            <v>0</v>
          </cell>
          <cell r="AL534">
            <v>0</v>
          </cell>
        </row>
        <row r="535">
          <cell r="E535">
            <v>0</v>
          </cell>
          <cell r="F535">
            <v>0</v>
          </cell>
          <cell r="G535">
            <v>0</v>
          </cell>
          <cell r="H535">
            <v>0</v>
          </cell>
          <cell r="I535">
            <v>0</v>
          </cell>
          <cell r="J535" t="str">
            <v xml:space="preserve">  8M-1</v>
          </cell>
          <cell r="K535">
            <v>0</v>
          </cell>
          <cell r="L535">
            <v>0</v>
          </cell>
          <cell r="M535">
            <v>0</v>
          </cell>
          <cell r="N535">
            <v>0</v>
          </cell>
          <cell r="O535">
            <v>0</v>
          </cell>
          <cell r="P535">
            <v>0</v>
          </cell>
          <cell r="Q535">
            <v>1</v>
          </cell>
          <cell r="R535">
            <v>0</v>
          </cell>
          <cell r="S535" t="str">
            <v/>
          </cell>
          <cell r="T535">
            <v>0</v>
          </cell>
          <cell r="U535" t="str">
            <v>3φ3W 210V</v>
          </cell>
          <cell r="V535">
            <v>0</v>
          </cell>
          <cell r="W535">
            <v>0</v>
          </cell>
          <cell r="X535">
            <v>0</v>
          </cell>
          <cell r="Y535">
            <v>0</v>
          </cell>
          <cell r="Z535">
            <v>0</v>
          </cell>
          <cell r="AA535">
            <v>0</v>
          </cell>
          <cell r="AB535">
            <v>0</v>
          </cell>
          <cell r="AC535">
            <v>0</v>
          </cell>
          <cell r="AD535" t="str">
            <v>225AF/225AT</v>
          </cell>
          <cell r="AE535">
            <v>0</v>
          </cell>
          <cell r="AF535">
            <v>0</v>
          </cell>
          <cell r="AG535">
            <v>0</v>
          </cell>
          <cell r="AH535">
            <v>0</v>
          </cell>
          <cell r="AI535">
            <v>0</v>
          </cell>
          <cell r="AJ535">
            <v>0</v>
          </cell>
          <cell r="AK535">
            <v>0</v>
          </cell>
          <cell r="AL535">
            <v>0</v>
          </cell>
        </row>
        <row r="536">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row>
        <row r="537">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row>
        <row r="538">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row>
        <row r="539">
          <cell r="E539">
            <v>0</v>
          </cell>
          <cell r="F539">
            <v>0</v>
          </cell>
          <cell r="G539" t="str">
            <v xml:space="preserve">  9F</v>
          </cell>
          <cell r="H539">
            <v>0</v>
          </cell>
          <cell r="I539">
            <v>0</v>
          </cell>
          <cell r="J539" t="str">
            <v>( 4 )</v>
          </cell>
          <cell r="K539">
            <v>0</v>
          </cell>
          <cell r="L539">
            <v>0</v>
          </cell>
          <cell r="M539">
            <v>0</v>
          </cell>
          <cell r="N539">
            <v>0</v>
          </cell>
          <cell r="O539">
            <v>0</v>
          </cell>
          <cell r="P539">
            <v>0</v>
          </cell>
          <cell r="Q539" t="str">
            <v>面</v>
          </cell>
          <cell r="R539">
            <v>0</v>
          </cell>
          <cell r="S539" t="str">
            <v>幹</v>
          </cell>
          <cell r="T539">
            <v>0</v>
          </cell>
          <cell r="U539" t="str">
            <v>電　気　方　式</v>
          </cell>
          <cell r="V539">
            <v>0</v>
          </cell>
          <cell r="W539">
            <v>0</v>
          </cell>
          <cell r="X539">
            <v>0</v>
          </cell>
          <cell r="Y539">
            <v>0</v>
          </cell>
          <cell r="Z539">
            <v>0</v>
          </cell>
          <cell r="AA539">
            <v>0</v>
          </cell>
          <cell r="AB539">
            <v>0</v>
          </cell>
          <cell r="AC539">
            <v>0</v>
          </cell>
          <cell r="AD539" t="str">
            <v>主幹開閉器 MCCB</v>
          </cell>
          <cell r="AE539">
            <v>0</v>
          </cell>
          <cell r="AF539">
            <v>0</v>
          </cell>
          <cell r="AG539">
            <v>0</v>
          </cell>
          <cell r="AH539">
            <v>0</v>
          </cell>
          <cell r="AI539">
            <v>0</v>
          </cell>
          <cell r="AJ539">
            <v>0</v>
          </cell>
          <cell r="AK539">
            <v>0</v>
          </cell>
          <cell r="AL539">
            <v>0</v>
          </cell>
        </row>
        <row r="540">
          <cell r="E540">
            <v>0</v>
          </cell>
          <cell r="F540">
            <v>0</v>
          </cell>
          <cell r="G540">
            <v>0</v>
          </cell>
          <cell r="H540">
            <v>0</v>
          </cell>
          <cell r="I540">
            <v>0</v>
          </cell>
          <cell r="J540" t="str">
            <v>盤　 名　 称</v>
          </cell>
          <cell r="K540">
            <v>0</v>
          </cell>
          <cell r="L540">
            <v>0</v>
          </cell>
          <cell r="M540">
            <v>0</v>
          </cell>
          <cell r="N540">
            <v>0</v>
          </cell>
          <cell r="O540">
            <v>0</v>
          </cell>
          <cell r="P540">
            <v>0</v>
          </cell>
          <cell r="Q540" t="str">
            <v>数</v>
          </cell>
          <cell r="R540">
            <v>0</v>
          </cell>
          <cell r="S540" t="str">
            <v>線</v>
          </cell>
          <cell r="T540">
            <v>0</v>
          </cell>
          <cell r="U540">
            <v>0</v>
          </cell>
          <cell r="V540">
            <v>0</v>
          </cell>
          <cell r="W540">
            <v>0</v>
          </cell>
          <cell r="X540">
            <v>0</v>
          </cell>
          <cell r="Y540">
            <v>0</v>
          </cell>
          <cell r="Z540">
            <v>0</v>
          </cell>
          <cell r="AA540">
            <v>0</v>
          </cell>
          <cell r="AB540">
            <v>0</v>
          </cell>
          <cell r="AC540">
            <v>0</v>
          </cell>
          <cell r="AD540" t="str">
            <v>主幹開閉器-照</v>
          </cell>
          <cell r="AE540">
            <v>0</v>
          </cell>
          <cell r="AF540">
            <v>0</v>
          </cell>
          <cell r="AG540">
            <v>0</v>
          </cell>
          <cell r="AH540">
            <v>0</v>
          </cell>
          <cell r="AI540">
            <v>0</v>
          </cell>
          <cell r="AJ540">
            <v>0</v>
          </cell>
          <cell r="AK540" t="str">
            <v>主幹開閉器-差</v>
          </cell>
          <cell r="AL540">
            <v>0</v>
          </cell>
        </row>
        <row r="541">
          <cell r="E541">
            <v>0</v>
          </cell>
          <cell r="F541">
            <v>0</v>
          </cell>
          <cell r="G541">
            <v>0</v>
          </cell>
          <cell r="H541">
            <v>0</v>
          </cell>
          <cell r="I541">
            <v>0</v>
          </cell>
          <cell r="J541" t="str">
            <v xml:space="preserve">  9L-1</v>
          </cell>
          <cell r="K541">
            <v>0</v>
          </cell>
          <cell r="L541">
            <v>0</v>
          </cell>
          <cell r="M541">
            <v>0</v>
          </cell>
          <cell r="N541">
            <v>0</v>
          </cell>
          <cell r="O541">
            <v>0</v>
          </cell>
          <cell r="P541">
            <v>0</v>
          </cell>
          <cell r="Q541">
            <v>1</v>
          </cell>
          <cell r="R541">
            <v>0</v>
          </cell>
          <cell r="S541">
            <v>1</v>
          </cell>
          <cell r="T541">
            <v>0</v>
          </cell>
          <cell r="U541" t="str">
            <v>3φ4W 440/254V</v>
          </cell>
          <cell r="V541">
            <v>0</v>
          </cell>
          <cell r="W541">
            <v>0</v>
          </cell>
          <cell r="X541">
            <v>0</v>
          </cell>
          <cell r="Y541">
            <v>0</v>
          </cell>
          <cell r="Z541">
            <v>0</v>
          </cell>
          <cell r="AA541">
            <v>0</v>
          </cell>
          <cell r="AB541">
            <v>0</v>
          </cell>
          <cell r="AC541">
            <v>0</v>
          </cell>
          <cell r="AD541" t="str">
            <v>50AF/30AT</v>
          </cell>
          <cell r="AE541">
            <v>0</v>
          </cell>
          <cell r="AF541">
            <v>0</v>
          </cell>
          <cell r="AG541">
            <v>0</v>
          </cell>
          <cell r="AH541">
            <v>0</v>
          </cell>
          <cell r="AI541">
            <v>0</v>
          </cell>
          <cell r="AJ541">
            <v>0</v>
          </cell>
          <cell r="AK541" t="str">
            <v>50AF/30AT</v>
          </cell>
          <cell r="AL541">
            <v>0</v>
          </cell>
        </row>
        <row r="542">
          <cell r="E542">
            <v>0</v>
          </cell>
          <cell r="F542">
            <v>0</v>
          </cell>
          <cell r="G542">
            <v>0</v>
          </cell>
          <cell r="H542">
            <v>0</v>
          </cell>
          <cell r="I542">
            <v>0</v>
          </cell>
          <cell r="J542" t="str">
            <v/>
          </cell>
          <cell r="K542">
            <v>0</v>
          </cell>
          <cell r="L542">
            <v>0</v>
          </cell>
          <cell r="M542">
            <v>0</v>
          </cell>
          <cell r="N542">
            <v>0</v>
          </cell>
          <cell r="O542">
            <v>0</v>
          </cell>
          <cell r="P542">
            <v>0</v>
          </cell>
          <cell r="Q542" t="str">
            <v/>
          </cell>
          <cell r="R542">
            <v>0</v>
          </cell>
          <cell r="S542" t="str">
            <v/>
          </cell>
          <cell r="T542">
            <v>0</v>
          </cell>
          <cell r="U542" t="str">
            <v>1φ3W 210/105V</v>
          </cell>
          <cell r="V542">
            <v>0</v>
          </cell>
          <cell r="W542">
            <v>0</v>
          </cell>
          <cell r="X542">
            <v>0</v>
          </cell>
          <cell r="Y542">
            <v>0</v>
          </cell>
          <cell r="Z542">
            <v>0</v>
          </cell>
          <cell r="AA542">
            <v>0</v>
          </cell>
          <cell r="AB542">
            <v>0</v>
          </cell>
          <cell r="AC542">
            <v>0</v>
          </cell>
          <cell r="AD542" t="str">
            <v/>
          </cell>
          <cell r="AE542">
            <v>0</v>
          </cell>
          <cell r="AF542">
            <v>0</v>
          </cell>
          <cell r="AG542">
            <v>0</v>
          </cell>
          <cell r="AH542">
            <v>0</v>
          </cell>
          <cell r="AI542">
            <v>0</v>
          </cell>
          <cell r="AJ542">
            <v>0</v>
          </cell>
          <cell r="AK542">
            <v>0</v>
          </cell>
          <cell r="AL542">
            <v>0</v>
          </cell>
        </row>
        <row r="543">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t="str">
            <v/>
          </cell>
          <cell r="T543">
            <v>0</v>
          </cell>
          <cell r="U543" t="str">
            <v xml:space="preserve"> </v>
          </cell>
          <cell r="V543">
            <v>0</v>
          </cell>
          <cell r="W543">
            <v>0</v>
          </cell>
          <cell r="X543">
            <v>0</v>
          </cell>
          <cell r="Y543">
            <v>0</v>
          </cell>
          <cell r="Z543">
            <v>0</v>
          </cell>
          <cell r="AA543">
            <v>0</v>
          </cell>
          <cell r="AB543">
            <v>0</v>
          </cell>
          <cell r="AC543">
            <v>0</v>
          </cell>
          <cell r="AD543" t="str">
            <v/>
          </cell>
          <cell r="AE543">
            <v>0</v>
          </cell>
          <cell r="AF543">
            <v>0</v>
          </cell>
          <cell r="AG543">
            <v>0</v>
          </cell>
          <cell r="AH543">
            <v>0</v>
          </cell>
          <cell r="AI543">
            <v>0</v>
          </cell>
          <cell r="AJ543">
            <v>0</v>
          </cell>
          <cell r="AK543">
            <v>0</v>
          </cell>
          <cell r="AL543">
            <v>0</v>
          </cell>
        </row>
        <row r="544">
          <cell r="E544">
            <v>0</v>
          </cell>
          <cell r="F544">
            <v>0</v>
          </cell>
          <cell r="G544">
            <v>0</v>
          </cell>
          <cell r="H544">
            <v>0</v>
          </cell>
          <cell r="I544">
            <v>0</v>
          </cell>
          <cell r="J544" t="str">
            <v xml:space="preserve">  9M-1</v>
          </cell>
          <cell r="K544">
            <v>0</v>
          </cell>
          <cell r="L544">
            <v>0</v>
          </cell>
          <cell r="M544">
            <v>0</v>
          </cell>
          <cell r="N544">
            <v>0</v>
          </cell>
          <cell r="O544">
            <v>0</v>
          </cell>
          <cell r="P544">
            <v>0</v>
          </cell>
          <cell r="Q544">
            <v>1</v>
          </cell>
          <cell r="R544">
            <v>0</v>
          </cell>
          <cell r="S544" t="str">
            <v/>
          </cell>
          <cell r="T544">
            <v>0</v>
          </cell>
          <cell r="U544" t="str">
            <v>3φ3W 210V</v>
          </cell>
          <cell r="V544">
            <v>0</v>
          </cell>
          <cell r="W544">
            <v>0</v>
          </cell>
          <cell r="X544">
            <v>0</v>
          </cell>
          <cell r="Y544">
            <v>0</v>
          </cell>
          <cell r="Z544">
            <v>0</v>
          </cell>
          <cell r="AA544">
            <v>0</v>
          </cell>
          <cell r="AB544">
            <v>0</v>
          </cell>
          <cell r="AC544">
            <v>0</v>
          </cell>
          <cell r="AD544" t="str">
            <v>225AF/225AT</v>
          </cell>
          <cell r="AE544">
            <v>0</v>
          </cell>
          <cell r="AF544">
            <v>0</v>
          </cell>
          <cell r="AG544">
            <v>0</v>
          </cell>
          <cell r="AH544">
            <v>0</v>
          </cell>
          <cell r="AI544">
            <v>0</v>
          </cell>
          <cell r="AJ544">
            <v>0</v>
          </cell>
          <cell r="AK544">
            <v>0</v>
          </cell>
          <cell r="AL544">
            <v>0</v>
          </cell>
        </row>
        <row r="545">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row>
        <row r="546">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row>
        <row r="548">
          <cell r="E548">
            <v>0</v>
          </cell>
          <cell r="F548">
            <v>0</v>
          </cell>
          <cell r="G548" t="str">
            <v xml:space="preserve"> 10F</v>
          </cell>
          <cell r="H548">
            <v>0</v>
          </cell>
          <cell r="I548">
            <v>0</v>
          </cell>
          <cell r="J548" t="str">
            <v>( 4 )</v>
          </cell>
          <cell r="K548">
            <v>0</v>
          </cell>
          <cell r="L548">
            <v>0</v>
          </cell>
          <cell r="M548">
            <v>0</v>
          </cell>
          <cell r="N548">
            <v>0</v>
          </cell>
          <cell r="O548">
            <v>0</v>
          </cell>
          <cell r="P548">
            <v>0</v>
          </cell>
          <cell r="Q548" t="str">
            <v>面</v>
          </cell>
          <cell r="R548">
            <v>0</v>
          </cell>
          <cell r="S548" t="str">
            <v>幹</v>
          </cell>
          <cell r="T548">
            <v>0</v>
          </cell>
          <cell r="U548" t="str">
            <v>電　気　方　式</v>
          </cell>
          <cell r="V548">
            <v>0</v>
          </cell>
          <cell r="W548">
            <v>0</v>
          </cell>
          <cell r="X548">
            <v>0</v>
          </cell>
          <cell r="Y548">
            <v>0</v>
          </cell>
          <cell r="Z548">
            <v>0</v>
          </cell>
          <cell r="AA548">
            <v>0</v>
          </cell>
          <cell r="AB548">
            <v>0</v>
          </cell>
          <cell r="AC548">
            <v>0</v>
          </cell>
          <cell r="AD548" t="str">
            <v>主幹開閉器 MCCB</v>
          </cell>
          <cell r="AE548">
            <v>0</v>
          </cell>
          <cell r="AF548">
            <v>0</v>
          </cell>
          <cell r="AG548">
            <v>0</v>
          </cell>
          <cell r="AH548">
            <v>0</v>
          </cell>
          <cell r="AI548">
            <v>0</v>
          </cell>
          <cell r="AJ548">
            <v>0</v>
          </cell>
          <cell r="AK548">
            <v>0</v>
          </cell>
          <cell r="AL548">
            <v>0</v>
          </cell>
        </row>
        <row r="549">
          <cell r="E549">
            <v>0</v>
          </cell>
          <cell r="F549">
            <v>0</v>
          </cell>
          <cell r="G549">
            <v>0</v>
          </cell>
          <cell r="H549">
            <v>0</v>
          </cell>
          <cell r="I549">
            <v>0</v>
          </cell>
          <cell r="J549" t="str">
            <v>盤　 名　 称</v>
          </cell>
          <cell r="K549">
            <v>0</v>
          </cell>
          <cell r="L549">
            <v>0</v>
          </cell>
          <cell r="M549">
            <v>0</v>
          </cell>
          <cell r="N549">
            <v>0</v>
          </cell>
          <cell r="O549">
            <v>0</v>
          </cell>
          <cell r="P549">
            <v>0</v>
          </cell>
          <cell r="Q549" t="str">
            <v>数</v>
          </cell>
          <cell r="R549">
            <v>0</v>
          </cell>
          <cell r="S549" t="str">
            <v>線</v>
          </cell>
          <cell r="T549">
            <v>0</v>
          </cell>
          <cell r="U549">
            <v>0</v>
          </cell>
          <cell r="V549">
            <v>0</v>
          </cell>
          <cell r="W549">
            <v>0</v>
          </cell>
          <cell r="X549">
            <v>0</v>
          </cell>
          <cell r="Y549">
            <v>0</v>
          </cell>
          <cell r="Z549">
            <v>0</v>
          </cell>
          <cell r="AA549">
            <v>0</v>
          </cell>
          <cell r="AB549">
            <v>0</v>
          </cell>
          <cell r="AC549">
            <v>0</v>
          </cell>
          <cell r="AD549" t="str">
            <v>主幹開閉器-照</v>
          </cell>
          <cell r="AE549">
            <v>0</v>
          </cell>
          <cell r="AF549">
            <v>0</v>
          </cell>
          <cell r="AG549">
            <v>0</v>
          </cell>
          <cell r="AH549">
            <v>0</v>
          </cell>
          <cell r="AI549">
            <v>0</v>
          </cell>
          <cell r="AJ549">
            <v>0</v>
          </cell>
          <cell r="AK549" t="str">
            <v>主幹開閉器-差</v>
          </cell>
          <cell r="AL549">
            <v>0</v>
          </cell>
        </row>
        <row r="550">
          <cell r="E550">
            <v>0</v>
          </cell>
          <cell r="F550">
            <v>0</v>
          </cell>
          <cell r="G550">
            <v>0</v>
          </cell>
          <cell r="H550">
            <v>0</v>
          </cell>
          <cell r="I550">
            <v>0</v>
          </cell>
          <cell r="J550" t="str">
            <v xml:space="preserve"> 10L-1</v>
          </cell>
          <cell r="K550">
            <v>0</v>
          </cell>
          <cell r="L550">
            <v>0</v>
          </cell>
          <cell r="M550">
            <v>0</v>
          </cell>
          <cell r="N550">
            <v>0</v>
          </cell>
          <cell r="O550">
            <v>0</v>
          </cell>
          <cell r="P550">
            <v>0</v>
          </cell>
          <cell r="Q550">
            <v>1</v>
          </cell>
          <cell r="R550">
            <v>0</v>
          </cell>
          <cell r="S550">
            <v>1</v>
          </cell>
          <cell r="T550">
            <v>0</v>
          </cell>
          <cell r="U550" t="str">
            <v>3φ4W 440/254V</v>
          </cell>
          <cell r="V550">
            <v>0</v>
          </cell>
          <cell r="W550">
            <v>0</v>
          </cell>
          <cell r="X550">
            <v>0</v>
          </cell>
          <cell r="Y550">
            <v>0</v>
          </cell>
          <cell r="Z550">
            <v>0</v>
          </cell>
          <cell r="AA550">
            <v>0</v>
          </cell>
          <cell r="AB550">
            <v>0</v>
          </cell>
          <cell r="AC550">
            <v>0</v>
          </cell>
          <cell r="AD550" t="str">
            <v>50AF/30AT</v>
          </cell>
          <cell r="AE550">
            <v>0</v>
          </cell>
          <cell r="AF550">
            <v>0</v>
          </cell>
          <cell r="AG550">
            <v>0</v>
          </cell>
          <cell r="AH550">
            <v>0</v>
          </cell>
          <cell r="AI550">
            <v>0</v>
          </cell>
          <cell r="AJ550">
            <v>0</v>
          </cell>
          <cell r="AK550" t="str">
            <v>50AF/30AT</v>
          </cell>
          <cell r="AL550">
            <v>0</v>
          </cell>
        </row>
        <row r="551">
          <cell r="E551">
            <v>0</v>
          </cell>
          <cell r="F551">
            <v>0</v>
          </cell>
          <cell r="G551">
            <v>0</v>
          </cell>
          <cell r="H551">
            <v>0</v>
          </cell>
          <cell r="I551">
            <v>0</v>
          </cell>
          <cell r="J551" t="str">
            <v/>
          </cell>
          <cell r="K551">
            <v>0</v>
          </cell>
          <cell r="L551">
            <v>0</v>
          </cell>
          <cell r="M551">
            <v>0</v>
          </cell>
          <cell r="N551">
            <v>0</v>
          </cell>
          <cell r="O551">
            <v>0</v>
          </cell>
          <cell r="P551">
            <v>0</v>
          </cell>
          <cell r="Q551" t="str">
            <v/>
          </cell>
          <cell r="R551">
            <v>0</v>
          </cell>
          <cell r="S551" t="str">
            <v/>
          </cell>
          <cell r="T551">
            <v>0</v>
          </cell>
          <cell r="U551" t="str">
            <v>1φ3W 210/105V</v>
          </cell>
          <cell r="V551">
            <v>0</v>
          </cell>
          <cell r="W551">
            <v>0</v>
          </cell>
          <cell r="X551">
            <v>0</v>
          </cell>
          <cell r="Y551">
            <v>0</v>
          </cell>
          <cell r="Z551">
            <v>0</v>
          </cell>
          <cell r="AA551">
            <v>0</v>
          </cell>
          <cell r="AB551">
            <v>0</v>
          </cell>
          <cell r="AC551">
            <v>0</v>
          </cell>
          <cell r="AD551" t="str">
            <v/>
          </cell>
          <cell r="AE551">
            <v>0</v>
          </cell>
          <cell r="AF551">
            <v>0</v>
          </cell>
          <cell r="AG551">
            <v>0</v>
          </cell>
          <cell r="AH551">
            <v>0</v>
          </cell>
          <cell r="AI551">
            <v>0</v>
          </cell>
          <cell r="AJ551">
            <v>0</v>
          </cell>
          <cell r="AK551">
            <v>0</v>
          </cell>
          <cell r="AL551">
            <v>0</v>
          </cell>
        </row>
        <row r="552">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t="str">
            <v/>
          </cell>
          <cell r="T552">
            <v>0</v>
          </cell>
          <cell r="U552" t="str">
            <v xml:space="preserve"> </v>
          </cell>
          <cell r="V552">
            <v>0</v>
          </cell>
          <cell r="W552">
            <v>0</v>
          </cell>
          <cell r="X552">
            <v>0</v>
          </cell>
          <cell r="Y552">
            <v>0</v>
          </cell>
          <cell r="Z552">
            <v>0</v>
          </cell>
          <cell r="AA552">
            <v>0</v>
          </cell>
          <cell r="AB552">
            <v>0</v>
          </cell>
          <cell r="AC552">
            <v>0</v>
          </cell>
          <cell r="AD552" t="str">
            <v/>
          </cell>
          <cell r="AE552">
            <v>0</v>
          </cell>
          <cell r="AF552">
            <v>0</v>
          </cell>
          <cell r="AG552">
            <v>0</v>
          </cell>
          <cell r="AH552">
            <v>0</v>
          </cell>
          <cell r="AI552">
            <v>0</v>
          </cell>
          <cell r="AJ552">
            <v>0</v>
          </cell>
          <cell r="AK552">
            <v>0</v>
          </cell>
          <cell r="AL552">
            <v>0</v>
          </cell>
        </row>
        <row r="553">
          <cell r="E553">
            <v>0</v>
          </cell>
          <cell r="F553">
            <v>0</v>
          </cell>
          <cell r="G553">
            <v>0</v>
          </cell>
          <cell r="H553">
            <v>0</v>
          </cell>
          <cell r="I553">
            <v>0</v>
          </cell>
          <cell r="J553" t="str">
            <v xml:space="preserve"> 10M-1</v>
          </cell>
          <cell r="K553">
            <v>0</v>
          </cell>
          <cell r="L553">
            <v>0</v>
          </cell>
          <cell r="M553">
            <v>0</v>
          </cell>
          <cell r="N553">
            <v>0</v>
          </cell>
          <cell r="O553">
            <v>0</v>
          </cell>
          <cell r="P553">
            <v>0</v>
          </cell>
          <cell r="Q553">
            <v>1</v>
          </cell>
          <cell r="R553">
            <v>0</v>
          </cell>
          <cell r="S553" t="str">
            <v/>
          </cell>
          <cell r="T553">
            <v>0</v>
          </cell>
          <cell r="U553" t="str">
            <v>3φ3W 210V</v>
          </cell>
          <cell r="V553">
            <v>0</v>
          </cell>
          <cell r="W553">
            <v>0</v>
          </cell>
          <cell r="X553">
            <v>0</v>
          </cell>
          <cell r="Y553">
            <v>0</v>
          </cell>
          <cell r="Z553">
            <v>0</v>
          </cell>
          <cell r="AA553">
            <v>0</v>
          </cell>
          <cell r="AB553">
            <v>0</v>
          </cell>
          <cell r="AC553">
            <v>0</v>
          </cell>
          <cell r="AD553" t="str">
            <v>225AF/225AT</v>
          </cell>
          <cell r="AE553">
            <v>0</v>
          </cell>
          <cell r="AF553">
            <v>0</v>
          </cell>
          <cell r="AG553">
            <v>0</v>
          </cell>
          <cell r="AH553">
            <v>0</v>
          </cell>
          <cell r="AI553">
            <v>0</v>
          </cell>
          <cell r="AJ553">
            <v>0</v>
          </cell>
          <cell r="AK553">
            <v>0</v>
          </cell>
          <cell r="AL553">
            <v>0</v>
          </cell>
        </row>
        <row r="554">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5">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row>
        <row r="556">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row>
        <row r="557">
          <cell r="E557">
            <v>0</v>
          </cell>
          <cell r="F557">
            <v>0</v>
          </cell>
          <cell r="G557" t="str">
            <v xml:space="preserve"> 11F</v>
          </cell>
          <cell r="H557">
            <v>0</v>
          </cell>
          <cell r="I557">
            <v>0</v>
          </cell>
          <cell r="J557" t="str">
            <v>( 4 )</v>
          </cell>
          <cell r="K557">
            <v>0</v>
          </cell>
          <cell r="L557">
            <v>0</v>
          </cell>
          <cell r="M557">
            <v>0</v>
          </cell>
          <cell r="N557">
            <v>0</v>
          </cell>
          <cell r="O557">
            <v>0</v>
          </cell>
          <cell r="P557">
            <v>0</v>
          </cell>
          <cell r="Q557" t="str">
            <v>面</v>
          </cell>
          <cell r="R557">
            <v>0</v>
          </cell>
          <cell r="S557" t="str">
            <v>幹</v>
          </cell>
          <cell r="T557">
            <v>0</v>
          </cell>
          <cell r="U557" t="str">
            <v>電　気　方　式</v>
          </cell>
          <cell r="V557">
            <v>0</v>
          </cell>
          <cell r="W557">
            <v>0</v>
          </cell>
          <cell r="X557">
            <v>0</v>
          </cell>
          <cell r="Y557">
            <v>0</v>
          </cell>
          <cell r="Z557">
            <v>0</v>
          </cell>
          <cell r="AA557">
            <v>0</v>
          </cell>
          <cell r="AB557">
            <v>0</v>
          </cell>
          <cell r="AC557">
            <v>0</v>
          </cell>
          <cell r="AD557" t="str">
            <v>主幹開閉器 MCCB</v>
          </cell>
          <cell r="AE557">
            <v>0</v>
          </cell>
          <cell r="AF557">
            <v>0</v>
          </cell>
          <cell r="AG557">
            <v>0</v>
          </cell>
          <cell r="AH557">
            <v>0</v>
          </cell>
          <cell r="AI557">
            <v>0</v>
          </cell>
          <cell r="AJ557">
            <v>0</v>
          </cell>
          <cell r="AK557">
            <v>0</v>
          </cell>
          <cell r="AL557">
            <v>0</v>
          </cell>
        </row>
        <row r="558">
          <cell r="E558">
            <v>0</v>
          </cell>
          <cell r="F558">
            <v>0</v>
          </cell>
          <cell r="G558">
            <v>0</v>
          </cell>
          <cell r="H558">
            <v>0</v>
          </cell>
          <cell r="I558">
            <v>0</v>
          </cell>
          <cell r="J558" t="str">
            <v>盤　 名　 称</v>
          </cell>
          <cell r="K558">
            <v>0</v>
          </cell>
          <cell r="L558">
            <v>0</v>
          </cell>
          <cell r="M558">
            <v>0</v>
          </cell>
          <cell r="N558">
            <v>0</v>
          </cell>
          <cell r="O558">
            <v>0</v>
          </cell>
          <cell r="P558">
            <v>0</v>
          </cell>
          <cell r="Q558" t="str">
            <v>数</v>
          </cell>
          <cell r="R558">
            <v>0</v>
          </cell>
          <cell r="S558" t="str">
            <v>線</v>
          </cell>
          <cell r="T558">
            <v>0</v>
          </cell>
          <cell r="U558">
            <v>0</v>
          </cell>
          <cell r="V558">
            <v>0</v>
          </cell>
          <cell r="W558">
            <v>0</v>
          </cell>
          <cell r="X558">
            <v>0</v>
          </cell>
          <cell r="Y558">
            <v>0</v>
          </cell>
          <cell r="Z558">
            <v>0</v>
          </cell>
          <cell r="AA558">
            <v>0</v>
          </cell>
          <cell r="AB558">
            <v>0</v>
          </cell>
          <cell r="AC558">
            <v>0</v>
          </cell>
          <cell r="AD558" t="str">
            <v>主幹開閉器-照</v>
          </cell>
          <cell r="AE558">
            <v>0</v>
          </cell>
          <cell r="AF558">
            <v>0</v>
          </cell>
          <cell r="AG558">
            <v>0</v>
          </cell>
          <cell r="AH558">
            <v>0</v>
          </cell>
          <cell r="AI558">
            <v>0</v>
          </cell>
          <cell r="AJ558">
            <v>0</v>
          </cell>
          <cell r="AK558" t="str">
            <v>主幹開閉器-差</v>
          </cell>
          <cell r="AL558">
            <v>0</v>
          </cell>
        </row>
        <row r="559">
          <cell r="E559">
            <v>0</v>
          </cell>
          <cell r="F559">
            <v>0</v>
          </cell>
          <cell r="G559">
            <v>0</v>
          </cell>
          <cell r="H559">
            <v>0</v>
          </cell>
          <cell r="I559">
            <v>0</v>
          </cell>
          <cell r="J559" t="str">
            <v xml:space="preserve"> 11L-1</v>
          </cell>
          <cell r="K559">
            <v>0</v>
          </cell>
          <cell r="L559">
            <v>0</v>
          </cell>
          <cell r="M559">
            <v>0</v>
          </cell>
          <cell r="N559">
            <v>0</v>
          </cell>
          <cell r="O559">
            <v>0</v>
          </cell>
          <cell r="P559">
            <v>0</v>
          </cell>
          <cell r="Q559">
            <v>1</v>
          </cell>
          <cell r="R559">
            <v>0</v>
          </cell>
          <cell r="S559">
            <v>1</v>
          </cell>
          <cell r="T559">
            <v>0</v>
          </cell>
          <cell r="U559" t="str">
            <v>3φ4W 440/254V</v>
          </cell>
          <cell r="V559">
            <v>0</v>
          </cell>
          <cell r="W559">
            <v>0</v>
          </cell>
          <cell r="X559">
            <v>0</v>
          </cell>
          <cell r="Y559">
            <v>0</v>
          </cell>
          <cell r="Z559">
            <v>0</v>
          </cell>
          <cell r="AA559">
            <v>0</v>
          </cell>
          <cell r="AB559">
            <v>0</v>
          </cell>
          <cell r="AC559">
            <v>0</v>
          </cell>
          <cell r="AD559" t="str">
            <v>50AF/30AT</v>
          </cell>
          <cell r="AE559">
            <v>0</v>
          </cell>
          <cell r="AF559">
            <v>0</v>
          </cell>
          <cell r="AG559">
            <v>0</v>
          </cell>
          <cell r="AH559">
            <v>0</v>
          </cell>
          <cell r="AI559">
            <v>0</v>
          </cell>
          <cell r="AJ559">
            <v>0</v>
          </cell>
          <cell r="AK559" t="str">
            <v>50AF/30AT</v>
          </cell>
          <cell r="AL559">
            <v>0</v>
          </cell>
        </row>
        <row r="560">
          <cell r="E560">
            <v>0</v>
          </cell>
          <cell r="F560">
            <v>0</v>
          </cell>
          <cell r="G560">
            <v>0</v>
          </cell>
          <cell r="H560">
            <v>0</v>
          </cell>
          <cell r="I560">
            <v>0</v>
          </cell>
          <cell r="J560" t="str">
            <v/>
          </cell>
          <cell r="K560">
            <v>0</v>
          </cell>
          <cell r="L560">
            <v>0</v>
          </cell>
          <cell r="M560">
            <v>0</v>
          </cell>
          <cell r="N560">
            <v>0</v>
          </cell>
          <cell r="O560">
            <v>0</v>
          </cell>
          <cell r="P560">
            <v>0</v>
          </cell>
          <cell r="Q560" t="str">
            <v/>
          </cell>
          <cell r="R560">
            <v>0</v>
          </cell>
          <cell r="S560" t="str">
            <v/>
          </cell>
          <cell r="T560">
            <v>0</v>
          </cell>
          <cell r="U560" t="str">
            <v>1φ3W 210/105V</v>
          </cell>
          <cell r="V560">
            <v>0</v>
          </cell>
          <cell r="W560">
            <v>0</v>
          </cell>
          <cell r="X560">
            <v>0</v>
          </cell>
          <cell r="Y560">
            <v>0</v>
          </cell>
          <cell r="Z560">
            <v>0</v>
          </cell>
          <cell r="AA560">
            <v>0</v>
          </cell>
          <cell r="AB560">
            <v>0</v>
          </cell>
          <cell r="AC560">
            <v>0</v>
          </cell>
          <cell r="AD560" t="str">
            <v/>
          </cell>
          <cell r="AE560">
            <v>0</v>
          </cell>
          <cell r="AF560">
            <v>0</v>
          </cell>
          <cell r="AG560">
            <v>0</v>
          </cell>
          <cell r="AH560">
            <v>0</v>
          </cell>
          <cell r="AI560">
            <v>0</v>
          </cell>
          <cell r="AJ560">
            <v>0</v>
          </cell>
          <cell r="AK560">
            <v>0</v>
          </cell>
          <cell r="AL560">
            <v>0</v>
          </cell>
        </row>
        <row r="561">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t="str">
            <v/>
          </cell>
          <cell r="T561">
            <v>0</v>
          </cell>
          <cell r="U561" t="str">
            <v xml:space="preserve"> </v>
          </cell>
          <cell r="V561">
            <v>0</v>
          </cell>
          <cell r="W561">
            <v>0</v>
          </cell>
          <cell r="X561">
            <v>0</v>
          </cell>
          <cell r="Y561">
            <v>0</v>
          </cell>
          <cell r="Z561">
            <v>0</v>
          </cell>
          <cell r="AA561">
            <v>0</v>
          </cell>
          <cell r="AB561">
            <v>0</v>
          </cell>
          <cell r="AC561">
            <v>0</v>
          </cell>
          <cell r="AD561" t="str">
            <v/>
          </cell>
          <cell r="AE561">
            <v>0</v>
          </cell>
          <cell r="AF561">
            <v>0</v>
          </cell>
          <cell r="AG561">
            <v>0</v>
          </cell>
          <cell r="AH561">
            <v>0</v>
          </cell>
          <cell r="AI561">
            <v>0</v>
          </cell>
          <cell r="AJ561">
            <v>0</v>
          </cell>
          <cell r="AK561">
            <v>0</v>
          </cell>
          <cell r="AL561">
            <v>0</v>
          </cell>
        </row>
        <row r="562">
          <cell r="E562">
            <v>0</v>
          </cell>
          <cell r="F562">
            <v>0</v>
          </cell>
          <cell r="G562">
            <v>0</v>
          </cell>
          <cell r="H562">
            <v>0</v>
          </cell>
          <cell r="I562">
            <v>0</v>
          </cell>
          <cell r="J562" t="str">
            <v xml:space="preserve"> 11M-1</v>
          </cell>
          <cell r="K562">
            <v>0</v>
          </cell>
          <cell r="L562">
            <v>0</v>
          </cell>
          <cell r="M562">
            <v>0</v>
          </cell>
          <cell r="N562">
            <v>0</v>
          </cell>
          <cell r="O562">
            <v>0</v>
          </cell>
          <cell r="P562">
            <v>0</v>
          </cell>
          <cell r="Q562">
            <v>1</v>
          </cell>
          <cell r="R562">
            <v>0</v>
          </cell>
          <cell r="S562" t="str">
            <v/>
          </cell>
          <cell r="T562">
            <v>0</v>
          </cell>
          <cell r="U562" t="str">
            <v>3φ3W 210V</v>
          </cell>
          <cell r="V562">
            <v>0</v>
          </cell>
          <cell r="W562">
            <v>0</v>
          </cell>
          <cell r="X562">
            <v>0</v>
          </cell>
          <cell r="Y562">
            <v>0</v>
          </cell>
          <cell r="Z562">
            <v>0</v>
          </cell>
          <cell r="AA562">
            <v>0</v>
          </cell>
          <cell r="AB562">
            <v>0</v>
          </cell>
          <cell r="AC562">
            <v>0</v>
          </cell>
          <cell r="AD562" t="str">
            <v>225AF/225AT</v>
          </cell>
          <cell r="AE562">
            <v>0</v>
          </cell>
          <cell r="AF562">
            <v>0</v>
          </cell>
          <cell r="AG562">
            <v>0</v>
          </cell>
          <cell r="AH562">
            <v>0</v>
          </cell>
          <cell r="AI562">
            <v>0</v>
          </cell>
          <cell r="AJ562">
            <v>0</v>
          </cell>
          <cell r="AK562">
            <v>0</v>
          </cell>
          <cell r="AL562">
            <v>0</v>
          </cell>
        </row>
        <row r="563">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row>
        <row r="564">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row>
        <row r="565">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row>
        <row r="566">
          <cell r="E566">
            <v>0</v>
          </cell>
          <cell r="F566">
            <v>0</v>
          </cell>
          <cell r="G566" t="str">
            <v xml:space="preserve"> 12F</v>
          </cell>
          <cell r="H566">
            <v>0</v>
          </cell>
          <cell r="I566">
            <v>0</v>
          </cell>
          <cell r="J566" t="str">
            <v>(3) イ</v>
          </cell>
          <cell r="K566">
            <v>0</v>
          </cell>
          <cell r="L566">
            <v>0</v>
          </cell>
          <cell r="M566">
            <v>0</v>
          </cell>
          <cell r="N566">
            <v>0</v>
          </cell>
          <cell r="O566">
            <v>0</v>
          </cell>
          <cell r="P566">
            <v>0</v>
          </cell>
          <cell r="Q566" t="str">
            <v>面</v>
          </cell>
          <cell r="R566">
            <v>0</v>
          </cell>
          <cell r="S566" t="str">
            <v>幹</v>
          </cell>
          <cell r="T566">
            <v>0</v>
          </cell>
          <cell r="U566" t="str">
            <v>電　気　方　式</v>
          </cell>
          <cell r="V566">
            <v>0</v>
          </cell>
          <cell r="W566">
            <v>0</v>
          </cell>
          <cell r="X566">
            <v>0</v>
          </cell>
          <cell r="Y566">
            <v>0</v>
          </cell>
          <cell r="Z566">
            <v>0</v>
          </cell>
          <cell r="AA566">
            <v>0</v>
          </cell>
          <cell r="AB566">
            <v>0</v>
          </cell>
          <cell r="AC566">
            <v>0</v>
          </cell>
          <cell r="AD566" t="str">
            <v>主幹開閉器 MCCB</v>
          </cell>
          <cell r="AE566">
            <v>0</v>
          </cell>
          <cell r="AF566">
            <v>0</v>
          </cell>
          <cell r="AG566">
            <v>0</v>
          </cell>
          <cell r="AH566">
            <v>0</v>
          </cell>
          <cell r="AI566">
            <v>0</v>
          </cell>
          <cell r="AJ566">
            <v>0</v>
          </cell>
          <cell r="AK566">
            <v>0</v>
          </cell>
          <cell r="AL566">
            <v>0</v>
          </cell>
        </row>
        <row r="567">
          <cell r="E567">
            <v>0</v>
          </cell>
          <cell r="F567">
            <v>0</v>
          </cell>
          <cell r="G567">
            <v>0</v>
          </cell>
          <cell r="H567">
            <v>0</v>
          </cell>
          <cell r="I567">
            <v>0</v>
          </cell>
          <cell r="J567" t="str">
            <v>盤　 名　 称</v>
          </cell>
          <cell r="K567">
            <v>0</v>
          </cell>
          <cell r="L567">
            <v>0</v>
          </cell>
          <cell r="M567">
            <v>0</v>
          </cell>
          <cell r="N567">
            <v>0</v>
          </cell>
          <cell r="O567">
            <v>0</v>
          </cell>
          <cell r="P567">
            <v>0</v>
          </cell>
          <cell r="Q567" t="str">
            <v>数</v>
          </cell>
          <cell r="R567">
            <v>0</v>
          </cell>
          <cell r="S567" t="str">
            <v>線</v>
          </cell>
          <cell r="T567">
            <v>0</v>
          </cell>
          <cell r="U567">
            <v>0</v>
          </cell>
          <cell r="V567">
            <v>0</v>
          </cell>
          <cell r="W567">
            <v>0</v>
          </cell>
          <cell r="X567">
            <v>0</v>
          </cell>
          <cell r="Y567">
            <v>0</v>
          </cell>
          <cell r="Z567">
            <v>0</v>
          </cell>
          <cell r="AA567">
            <v>0</v>
          </cell>
          <cell r="AB567">
            <v>0</v>
          </cell>
          <cell r="AC567">
            <v>0</v>
          </cell>
          <cell r="AD567" t="str">
            <v>主幹開閉器-照</v>
          </cell>
          <cell r="AE567">
            <v>0</v>
          </cell>
          <cell r="AF567">
            <v>0</v>
          </cell>
          <cell r="AG567">
            <v>0</v>
          </cell>
          <cell r="AH567">
            <v>0</v>
          </cell>
          <cell r="AI567">
            <v>0</v>
          </cell>
          <cell r="AJ567">
            <v>0</v>
          </cell>
          <cell r="AK567" t="str">
            <v>主幹開閉器-差</v>
          </cell>
          <cell r="AL567">
            <v>0</v>
          </cell>
        </row>
        <row r="568">
          <cell r="E568">
            <v>0</v>
          </cell>
          <cell r="F568">
            <v>0</v>
          </cell>
          <cell r="G568">
            <v>0</v>
          </cell>
          <cell r="H568">
            <v>0</v>
          </cell>
          <cell r="I568">
            <v>0</v>
          </cell>
          <cell r="J568" t="str">
            <v xml:space="preserve"> 12L-1～2</v>
          </cell>
          <cell r="K568">
            <v>0</v>
          </cell>
          <cell r="L568">
            <v>0</v>
          </cell>
          <cell r="M568">
            <v>0</v>
          </cell>
          <cell r="N568">
            <v>0</v>
          </cell>
          <cell r="O568">
            <v>0</v>
          </cell>
          <cell r="P568">
            <v>0</v>
          </cell>
          <cell r="Q568">
            <v>2</v>
          </cell>
          <cell r="R568">
            <v>0</v>
          </cell>
          <cell r="S568">
            <v>2</v>
          </cell>
          <cell r="T568">
            <v>0</v>
          </cell>
          <cell r="U568" t="str">
            <v>1φ3W 210/105V</v>
          </cell>
          <cell r="V568">
            <v>0</v>
          </cell>
          <cell r="W568">
            <v>0</v>
          </cell>
          <cell r="X568">
            <v>0</v>
          </cell>
          <cell r="Y568">
            <v>0</v>
          </cell>
          <cell r="Z568">
            <v>0</v>
          </cell>
          <cell r="AA568">
            <v>0</v>
          </cell>
          <cell r="AB568">
            <v>0</v>
          </cell>
          <cell r="AC568">
            <v>0</v>
          </cell>
          <cell r="AD568" t="str">
            <v>225AF/125AT</v>
          </cell>
          <cell r="AE568">
            <v>0</v>
          </cell>
          <cell r="AF568">
            <v>0</v>
          </cell>
          <cell r="AG568">
            <v>0</v>
          </cell>
          <cell r="AH568">
            <v>0</v>
          </cell>
          <cell r="AI568">
            <v>0</v>
          </cell>
          <cell r="AJ568">
            <v>0</v>
          </cell>
          <cell r="AK568" t="str">
            <v/>
          </cell>
          <cell r="AL568">
            <v>0</v>
          </cell>
        </row>
        <row r="569">
          <cell r="E569">
            <v>0</v>
          </cell>
          <cell r="F569">
            <v>0</v>
          </cell>
          <cell r="G569">
            <v>0</v>
          </cell>
          <cell r="H569">
            <v>0</v>
          </cell>
          <cell r="I569">
            <v>0</v>
          </cell>
          <cell r="J569" t="str">
            <v xml:space="preserve"> 12T-1～3</v>
          </cell>
          <cell r="K569">
            <v>0</v>
          </cell>
          <cell r="L569">
            <v>0</v>
          </cell>
          <cell r="M569">
            <v>0</v>
          </cell>
          <cell r="N569">
            <v>0</v>
          </cell>
          <cell r="O569">
            <v>0</v>
          </cell>
          <cell r="P569">
            <v>0</v>
          </cell>
          <cell r="Q569">
            <v>3</v>
          </cell>
          <cell r="R569">
            <v>0</v>
          </cell>
          <cell r="S569">
            <v>2</v>
          </cell>
          <cell r="T569">
            <v>0</v>
          </cell>
          <cell r="U569" t="str">
            <v xml:space="preserve"> </v>
          </cell>
          <cell r="V569">
            <v>0</v>
          </cell>
          <cell r="W569">
            <v>0</v>
          </cell>
          <cell r="X569">
            <v>0</v>
          </cell>
          <cell r="Y569">
            <v>0</v>
          </cell>
          <cell r="Z569">
            <v>0</v>
          </cell>
          <cell r="AA569">
            <v>0</v>
          </cell>
          <cell r="AB569">
            <v>0</v>
          </cell>
          <cell r="AC569">
            <v>0</v>
          </cell>
          <cell r="AD569" t="str">
            <v>225AF/125AT</v>
          </cell>
          <cell r="AE569">
            <v>0</v>
          </cell>
          <cell r="AF569">
            <v>0</v>
          </cell>
          <cell r="AG569">
            <v>0</v>
          </cell>
          <cell r="AH569">
            <v>0</v>
          </cell>
          <cell r="AI569">
            <v>0</v>
          </cell>
          <cell r="AJ569">
            <v>0</v>
          </cell>
          <cell r="AK569">
            <v>0</v>
          </cell>
          <cell r="AL569">
            <v>0</v>
          </cell>
        </row>
        <row r="570">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1</v>
          </cell>
          <cell r="T570">
            <v>0</v>
          </cell>
          <cell r="U570" t="str">
            <v>3φ3W 210V</v>
          </cell>
          <cell r="V570">
            <v>0</v>
          </cell>
          <cell r="W570">
            <v>0</v>
          </cell>
          <cell r="X570">
            <v>0</v>
          </cell>
          <cell r="Y570">
            <v>0</v>
          </cell>
          <cell r="Z570">
            <v>0</v>
          </cell>
          <cell r="AA570">
            <v>0</v>
          </cell>
          <cell r="AB570">
            <v>0</v>
          </cell>
          <cell r="AC570">
            <v>0</v>
          </cell>
          <cell r="AD570" t="str">
            <v>225AF/175AT</v>
          </cell>
          <cell r="AE570">
            <v>0</v>
          </cell>
          <cell r="AF570">
            <v>0</v>
          </cell>
          <cell r="AG570">
            <v>0</v>
          </cell>
          <cell r="AH570">
            <v>0</v>
          </cell>
          <cell r="AI570">
            <v>0</v>
          </cell>
          <cell r="AJ570">
            <v>0</v>
          </cell>
          <cell r="AK570">
            <v>0</v>
          </cell>
          <cell r="AL570">
            <v>0</v>
          </cell>
        </row>
        <row r="571">
          <cell r="E571">
            <v>0</v>
          </cell>
          <cell r="F571">
            <v>0</v>
          </cell>
          <cell r="G571">
            <v>0</v>
          </cell>
          <cell r="H571">
            <v>0</v>
          </cell>
          <cell r="I571">
            <v>0</v>
          </cell>
          <cell r="J571" t="str">
            <v xml:space="preserve"> 12M-1</v>
          </cell>
          <cell r="K571">
            <v>0</v>
          </cell>
          <cell r="L571">
            <v>0</v>
          </cell>
          <cell r="M571">
            <v>0</v>
          </cell>
          <cell r="N571">
            <v>0</v>
          </cell>
          <cell r="O571">
            <v>0</v>
          </cell>
          <cell r="P571">
            <v>0</v>
          </cell>
          <cell r="Q571">
            <v>1</v>
          </cell>
          <cell r="R571">
            <v>0</v>
          </cell>
          <cell r="S571">
            <v>1</v>
          </cell>
          <cell r="T571">
            <v>0</v>
          </cell>
          <cell r="U571" t="str">
            <v>3φ3W 210V</v>
          </cell>
          <cell r="V571">
            <v>0</v>
          </cell>
          <cell r="W571">
            <v>0</v>
          </cell>
          <cell r="X571">
            <v>0</v>
          </cell>
          <cell r="Y571">
            <v>0</v>
          </cell>
          <cell r="Z571">
            <v>0</v>
          </cell>
          <cell r="AA571">
            <v>0</v>
          </cell>
          <cell r="AB571">
            <v>0</v>
          </cell>
          <cell r="AC571">
            <v>0</v>
          </cell>
          <cell r="AD571" t="str">
            <v>225AF/150AT</v>
          </cell>
          <cell r="AE571">
            <v>0</v>
          </cell>
          <cell r="AF571">
            <v>0</v>
          </cell>
          <cell r="AG571">
            <v>0</v>
          </cell>
          <cell r="AH571">
            <v>0</v>
          </cell>
          <cell r="AI571">
            <v>0</v>
          </cell>
          <cell r="AJ571">
            <v>0</v>
          </cell>
          <cell r="AK571">
            <v>0</v>
          </cell>
          <cell r="AL571">
            <v>0</v>
          </cell>
        </row>
        <row r="572">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row>
        <row r="573">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row>
        <row r="574">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row>
        <row r="575">
          <cell r="E575">
            <v>0</v>
          </cell>
          <cell r="F575">
            <v>0</v>
          </cell>
          <cell r="G575" t="str">
            <v>PH1F</v>
          </cell>
          <cell r="H575">
            <v>0</v>
          </cell>
          <cell r="I575">
            <v>0</v>
          </cell>
          <cell r="J575" t="str">
            <v>( 15)</v>
          </cell>
          <cell r="K575">
            <v>0</v>
          </cell>
          <cell r="L575">
            <v>0</v>
          </cell>
          <cell r="M575">
            <v>0</v>
          </cell>
          <cell r="N575">
            <v>0</v>
          </cell>
          <cell r="O575">
            <v>0</v>
          </cell>
          <cell r="P575">
            <v>0</v>
          </cell>
          <cell r="Q575" t="str">
            <v>面</v>
          </cell>
          <cell r="R575">
            <v>0</v>
          </cell>
          <cell r="S575" t="str">
            <v>幹</v>
          </cell>
          <cell r="T575">
            <v>0</v>
          </cell>
          <cell r="U575" t="str">
            <v>電　気　方　式</v>
          </cell>
          <cell r="V575">
            <v>0</v>
          </cell>
          <cell r="W575">
            <v>0</v>
          </cell>
          <cell r="X575">
            <v>0</v>
          </cell>
          <cell r="Y575">
            <v>0</v>
          </cell>
          <cell r="Z575">
            <v>0</v>
          </cell>
          <cell r="AA575">
            <v>0</v>
          </cell>
          <cell r="AB575">
            <v>0</v>
          </cell>
          <cell r="AC575">
            <v>0</v>
          </cell>
          <cell r="AD575" t="str">
            <v>主幹開閉器 MCCB</v>
          </cell>
          <cell r="AE575">
            <v>0</v>
          </cell>
          <cell r="AF575">
            <v>0</v>
          </cell>
          <cell r="AG575">
            <v>0</v>
          </cell>
          <cell r="AH575">
            <v>0</v>
          </cell>
          <cell r="AI575">
            <v>0</v>
          </cell>
          <cell r="AJ575">
            <v>0</v>
          </cell>
          <cell r="AK575">
            <v>0</v>
          </cell>
          <cell r="AL575">
            <v>0</v>
          </cell>
        </row>
        <row r="576">
          <cell r="E576">
            <v>0</v>
          </cell>
          <cell r="F576">
            <v>0</v>
          </cell>
          <cell r="G576">
            <v>0</v>
          </cell>
          <cell r="H576">
            <v>0</v>
          </cell>
          <cell r="I576">
            <v>0</v>
          </cell>
          <cell r="J576" t="str">
            <v>盤　 名　 称</v>
          </cell>
          <cell r="K576">
            <v>0</v>
          </cell>
          <cell r="L576">
            <v>0</v>
          </cell>
          <cell r="M576">
            <v>0</v>
          </cell>
          <cell r="N576">
            <v>0</v>
          </cell>
          <cell r="O576">
            <v>0</v>
          </cell>
          <cell r="P576">
            <v>0</v>
          </cell>
          <cell r="Q576" t="str">
            <v>数</v>
          </cell>
          <cell r="R576">
            <v>0</v>
          </cell>
          <cell r="S576" t="str">
            <v>線</v>
          </cell>
          <cell r="T576">
            <v>0</v>
          </cell>
          <cell r="U576">
            <v>0</v>
          </cell>
          <cell r="V576">
            <v>0</v>
          </cell>
          <cell r="W576">
            <v>0</v>
          </cell>
          <cell r="X576">
            <v>0</v>
          </cell>
          <cell r="Y576">
            <v>0</v>
          </cell>
          <cell r="Z576">
            <v>0</v>
          </cell>
          <cell r="AA576">
            <v>0</v>
          </cell>
          <cell r="AB576">
            <v>0</v>
          </cell>
          <cell r="AC576">
            <v>0</v>
          </cell>
          <cell r="AD576" t="str">
            <v>主幹開閉器-照</v>
          </cell>
          <cell r="AE576">
            <v>0</v>
          </cell>
          <cell r="AF576">
            <v>0</v>
          </cell>
          <cell r="AG576">
            <v>0</v>
          </cell>
          <cell r="AH576">
            <v>0</v>
          </cell>
          <cell r="AI576">
            <v>0</v>
          </cell>
          <cell r="AJ576">
            <v>0</v>
          </cell>
          <cell r="AK576" t="str">
            <v>主幹開閉器-差</v>
          </cell>
          <cell r="AL576">
            <v>0</v>
          </cell>
        </row>
        <row r="577">
          <cell r="E577">
            <v>0</v>
          </cell>
          <cell r="F577">
            <v>0</v>
          </cell>
          <cell r="G577">
            <v>0</v>
          </cell>
          <cell r="H577">
            <v>0</v>
          </cell>
          <cell r="I577">
            <v>0</v>
          </cell>
          <cell r="J577" t="str">
            <v>PH1L-1</v>
          </cell>
          <cell r="K577">
            <v>0</v>
          </cell>
          <cell r="L577">
            <v>0</v>
          </cell>
          <cell r="M577">
            <v>0</v>
          </cell>
          <cell r="N577">
            <v>0</v>
          </cell>
          <cell r="O577">
            <v>0</v>
          </cell>
          <cell r="P577">
            <v>0</v>
          </cell>
          <cell r="Q577">
            <v>1</v>
          </cell>
          <cell r="R577">
            <v>0</v>
          </cell>
          <cell r="S577">
            <v>1</v>
          </cell>
          <cell r="T577">
            <v>0</v>
          </cell>
          <cell r="U577" t="str">
            <v>1φ3W 210/105V</v>
          </cell>
          <cell r="V577">
            <v>0</v>
          </cell>
          <cell r="W577">
            <v>0</v>
          </cell>
          <cell r="X577">
            <v>0</v>
          </cell>
          <cell r="Y577">
            <v>0</v>
          </cell>
          <cell r="Z577">
            <v>0</v>
          </cell>
          <cell r="AA577">
            <v>0</v>
          </cell>
          <cell r="AB577">
            <v>0</v>
          </cell>
          <cell r="AC577">
            <v>0</v>
          </cell>
          <cell r="AD577" t="str">
            <v>50AF/30AT</v>
          </cell>
          <cell r="AE577">
            <v>0</v>
          </cell>
          <cell r="AF577">
            <v>0</v>
          </cell>
          <cell r="AG577">
            <v>0</v>
          </cell>
          <cell r="AH577">
            <v>0</v>
          </cell>
          <cell r="AI577">
            <v>0</v>
          </cell>
          <cell r="AJ577">
            <v>0</v>
          </cell>
          <cell r="AK577" t="str">
            <v/>
          </cell>
          <cell r="AL577">
            <v>0</v>
          </cell>
        </row>
        <row r="578">
          <cell r="E578">
            <v>0</v>
          </cell>
          <cell r="F578">
            <v>0</v>
          </cell>
          <cell r="G578">
            <v>0</v>
          </cell>
          <cell r="H578">
            <v>0</v>
          </cell>
          <cell r="I578">
            <v>0</v>
          </cell>
          <cell r="J578" t="str">
            <v/>
          </cell>
          <cell r="K578">
            <v>0</v>
          </cell>
          <cell r="L578">
            <v>0</v>
          </cell>
          <cell r="M578">
            <v>0</v>
          </cell>
          <cell r="N578">
            <v>0</v>
          </cell>
          <cell r="O578">
            <v>0</v>
          </cell>
          <cell r="P578">
            <v>0</v>
          </cell>
          <cell r="Q578" t="str">
            <v/>
          </cell>
          <cell r="R578">
            <v>0</v>
          </cell>
          <cell r="S578" t="str">
            <v/>
          </cell>
          <cell r="T578">
            <v>0</v>
          </cell>
          <cell r="U578" t="str">
            <v xml:space="preserve"> </v>
          </cell>
          <cell r="V578">
            <v>0</v>
          </cell>
          <cell r="W578">
            <v>0</v>
          </cell>
          <cell r="X578">
            <v>0</v>
          </cell>
          <cell r="Y578">
            <v>0</v>
          </cell>
          <cell r="Z578">
            <v>0</v>
          </cell>
          <cell r="AA578">
            <v>0</v>
          </cell>
          <cell r="AB578">
            <v>0</v>
          </cell>
          <cell r="AC578">
            <v>0</v>
          </cell>
          <cell r="AD578" t="str">
            <v/>
          </cell>
          <cell r="AE578">
            <v>0</v>
          </cell>
          <cell r="AF578">
            <v>0</v>
          </cell>
          <cell r="AG578">
            <v>0</v>
          </cell>
          <cell r="AH578">
            <v>0</v>
          </cell>
          <cell r="AI578">
            <v>0</v>
          </cell>
          <cell r="AJ578">
            <v>0</v>
          </cell>
          <cell r="AK578">
            <v>0</v>
          </cell>
          <cell r="AL578">
            <v>0</v>
          </cell>
        </row>
        <row r="579">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t="str">
            <v/>
          </cell>
          <cell r="T579">
            <v>0</v>
          </cell>
          <cell r="U579" t="str">
            <v xml:space="preserve"> </v>
          </cell>
          <cell r="V579">
            <v>0</v>
          </cell>
          <cell r="W579">
            <v>0</v>
          </cell>
          <cell r="X579">
            <v>0</v>
          </cell>
          <cell r="Y579">
            <v>0</v>
          </cell>
          <cell r="Z579">
            <v>0</v>
          </cell>
          <cell r="AA579">
            <v>0</v>
          </cell>
          <cell r="AB579">
            <v>0</v>
          </cell>
          <cell r="AC579">
            <v>0</v>
          </cell>
          <cell r="AD579" t="str">
            <v/>
          </cell>
          <cell r="AE579">
            <v>0</v>
          </cell>
          <cell r="AF579">
            <v>0</v>
          </cell>
          <cell r="AG579">
            <v>0</v>
          </cell>
          <cell r="AH579">
            <v>0</v>
          </cell>
          <cell r="AI579">
            <v>0</v>
          </cell>
          <cell r="AJ579">
            <v>0</v>
          </cell>
          <cell r="AK579">
            <v>0</v>
          </cell>
          <cell r="AL579">
            <v>0</v>
          </cell>
        </row>
        <row r="580">
          <cell r="E580">
            <v>0</v>
          </cell>
          <cell r="F580">
            <v>0</v>
          </cell>
          <cell r="G580">
            <v>0</v>
          </cell>
          <cell r="H580">
            <v>0</v>
          </cell>
          <cell r="I580">
            <v>0</v>
          </cell>
          <cell r="J580" t="str">
            <v>PH1M-1</v>
          </cell>
          <cell r="K580">
            <v>0</v>
          </cell>
          <cell r="L580">
            <v>0</v>
          </cell>
          <cell r="M580">
            <v>0</v>
          </cell>
          <cell r="N580">
            <v>0</v>
          </cell>
          <cell r="O580">
            <v>0</v>
          </cell>
          <cell r="P580">
            <v>0</v>
          </cell>
          <cell r="Q580">
            <v>1</v>
          </cell>
          <cell r="R580">
            <v>0</v>
          </cell>
          <cell r="S580" t="str">
            <v/>
          </cell>
          <cell r="T580">
            <v>0</v>
          </cell>
          <cell r="U580" t="str">
            <v>3φ3W 210V</v>
          </cell>
          <cell r="V580">
            <v>0</v>
          </cell>
          <cell r="W580">
            <v>0</v>
          </cell>
          <cell r="X580">
            <v>0</v>
          </cell>
          <cell r="Y580">
            <v>0</v>
          </cell>
          <cell r="Z580">
            <v>0</v>
          </cell>
          <cell r="AA580">
            <v>0</v>
          </cell>
          <cell r="AB580">
            <v>0</v>
          </cell>
          <cell r="AC580">
            <v>0</v>
          </cell>
          <cell r="AD580" t="str">
            <v>225AF/125AT</v>
          </cell>
          <cell r="AE580">
            <v>0</v>
          </cell>
          <cell r="AF580">
            <v>0</v>
          </cell>
          <cell r="AG580">
            <v>0</v>
          </cell>
          <cell r="AH580">
            <v>0</v>
          </cell>
          <cell r="AI580">
            <v>0</v>
          </cell>
          <cell r="AJ580">
            <v>0</v>
          </cell>
          <cell r="AK580">
            <v>0</v>
          </cell>
          <cell r="AL580">
            <v>0</v>
          </cell>
        </row>
        <row r="581">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row>
        <row r="582">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row>
        <row r="583">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row>
        <row r="584">
          <cell r="E584">
            <v>0</v>
          </cell>
          <cell r="F584">
            <v>0</v>
          </cell>
          <cell r="G584" t="str">
            <v>PH2F</v>
          </cell>
          <cell r="H584">
            <v>0</v>
          </cell>
          <cell r="I584">
            <v>0</v>
          </cell>
          <cell r="J584" t="str">
            <v>( 15)</v>
          </cell>
          <cell r="K584">
            <v>0</v>
          </cell>
          <cell r="L584">
            <v>0</v>
          </cell>
          <cell r="M584">
            <v>0</v>
          </cell>
          <cell r="N584">
            <v>0</v>
          </cell>
          <cell r="O584">
            <v>0</v>
          </cell>
          <cell r="P584">
            <v>0</v>
          </cell>
          <cell r="Q584" t="str">
            <v>面</v>
          </cell>
          <cell r="R584">
            <v>0</v>
          </cell>
          <cell r="S584" t="str">
            <v>幹</v>
          </cell>
          <cell r="T584">
            <v>0</v>
          </cell>
          <cell r="U584" t="str">
            <v>電　気　方　式</v>
          </cell>
          <cell r="V584">
            <v>0</v>
          </cell>
          <cell r="W584">
            <v>0</v>
          </cell>
          <cell r="X584">
            <v>0</v>
          </cell>
          <cell r="Y584">
            <v>0</v>
          </cell>
          <cell r="Z584">
            <v>0</v>
          </cell>
          <cell r="AA584">
            <v>0</v>
          </cell>
          <cell r="AB584">
            <v>0</v>
          </cell>
          <cell r="AC584">
            <v>0</v>
          </cell>
          <cell r="AD584" t="str">
            <v>主幹開閉器 MCCB</v>
          </cell>
          <cell r="AE584">
            <v>0</v>
          </cell>
          <cell r="AF584">
            <v>0</v>
          </cell>
          <cell r="AG584">
            <v>0</v>
          </cell>
          <cell r="AH584">
            <v>0</v>
          </cell>
          <cell r="AI584">
            <v>0</v>
          </cell>
          <cell r="AJ584">
            <v>0</v>
          </cell>
          <cell r="AK584">
            <v>0</v>
          </cell>
          <cell r="AL584">
            <v>0</v>
          </cell>
        </row>
        <row r="585">
          <cell r="E585">
            <v>0</v>
          </cell>
          <cell r="F585">
            <v>0</v>
          </cell>
          <cell r="G585">
            <v>0</v>
          </cell>
          <cell r="H585">
            <v>0</v>
          </cell>
          <cell r="I585">
            <v>0</v>
          </cell>
          <cell r="J585" t="str">
            <v>盤　 名　 称</v>
          </cell>
          <cell r="K585">
            <v>0</v>
          </cell>
          <cell r="L585">
            <v>0</v>
          </cell>
          <cell r="M585">
            <v>0</v>
          </cell>
          <cell r="N585">
            <v>0</v>
          </cell>
          <cell r="O585">
            <v>0</v>
          </cell>
          <cell r="P585">
            <v>0</v>
          </cell>
          <cell r="Q585" t="str">
            <v>数</v>
          </cell>
          <cell r="R585">
            <v>0</v>
          </cell>
          <cell r="S585" t="str">
            <v>線</v>
          </cell>
          <cell r="T585">
            <v>0</v>
          </cell>
          <cell r="U585">
            <v>0</v>
          </cell>
          <cell r="V585">
            <v>0</v>
          </cell>
          <cell r="W585">
            <v>0</v>
          </cell>
          <cell r="X585">
            <v>0</v>
          </cell>
          <cell r="Y585">
            <v>0</v>
          </cell>
          <cell r="Z585">
            <v>0</v>
          </cell>
          <cell r="AA585">
            <v>0</v>
          </cell>
          <cell r="AB585">
            <v>0</v>
          </cell>
          <cell r="AC585">
            <v>0</v>
          </cell>
          <cell r="AD585" t="str">
            <v>主幹開閉器-照</v>
          </cell>
          <cell r="AE585">
            <v>0</v>
          </cell>
          <cell r="AF585">
            <v>0</v>
          </cell>
          <cell r="AG585">
            <v>0</v>
          </cell>
          <cell r="AH585">
            <v>0</v>
          </cell>
          <cell r="AI585">
            <v>0</v>
          </cell>
          <cell r="AJ585">
            <v>0</v>
          </cell>
          <cell r="AK585" t="str">
            <v>主幹開閉器-差</v>
          </cell>
          <cell r="AL585">
            <v>0</v>
          </cell>
        </row>
        <row r="586">
          <cell r="E586">
            <v>0</v>
          </cell>
          <cell r="F586">
            <v>0</v>
          </cell>
          <cell r="G586">
            <v>0</v>
          </cell>
          <cell r="H586">
            <v>0</v>
          </cell>
          <cell r="I586">
            <v>0</v>
          </cell>
          <cell r="J586" t="str">
            <v>PH2L-1</v>
          </cell>
          <cell r="K586">
            <v>0</v>
          </cell>
          <cell r="L586">
            <v>0</v>
          </cell>
          <cell r="M586">
            <v>0</v>
          </cell>
          <cell r="N586">
            <v>0</v>
          </cell>
          <cell r="O586">
            <v>0</v>
          </cell>
          <cell r="P586">
            <v>0</v>
          </cell>
          <cell r="Q586">
            <v>1</v>
          </cell>
          <cell r="R586">
            <v>0</v>
          </cell>
          <cell r="S586">
            <v>1</v>
          </cell>
          <cell r="T586">
            <v>0</v>
          </cell>
          <cell r="U586" t="str">
            <v>1φ3W 210/105V</v>
          </cell>
          <cell r="V586">
            <v>0</v>
          </cell>
          <cell r="W586">
            <v>0</v>
          </cell>
          <cell r="X586">
            <v>0</v>
          </cell>
          <cell r="Y586">
            <v>0</v>
          </cell>
          <cell r="Z586">
            <v>0</v>
          </cell>
          <cell r="AA586">
            <v>0</v>
          </cell>
          <cell r="AB586">
            <v>0</v>
          </cell>
          <cell r="AC586">
            <v>0</v>
          </cell>
          <cell r="AD586" t="str">
            <v>50AF/30AT</v>
          </cell>
          <cell r="AE586">
            <v>0</v>
          </cell>
          <cell r="AF586">
            <v>0</v>
          </cell>
          <cell r="AG586">
            <v>0</v>
          </cell>
          <cell r="AH586">
            <v>0</v>
          </cell>
          <cell r="AI586">
            <v>0</v>
          </cell>
          <cell r="AJ586">
            <v>0</v>
          </cell>
          <cell r="AK586" t="str">
            <v/>
          </cell>
          <cell r="AL586">
            <v>0</v>
          </cell>
        </row>
        <row r="587">
          <cell r="E587">
            <v>0</v>
          </cell>
          <cell r="F587">
            <v>0</v>
          </cell>
          <cell r="G587">
            <v>0</v>
          </cell>
          <cell r="H587">
            <v>0</v>
          </cell>
          <cell r="I587">
            <v>0</v>
          </cell>
          <cell r="J587" t="str">
            <v/>
          </cell>
          <cell r="K587">
            <v>0</v>
          </cell>
          <cell r="L587">
            <v>0</v>
          </cell>
          <cell r="M587">
            <v>0</v>
          </cell>
          <cell r="N587">
            <v>0</v>
          </cell>
          <cell r="O587">
            <v>0</v>
          </cell>
          <cell r="P587">
            <v>0</v>
          </cell>
          <cell r="Q587" t="str">
            <v/>
          </cell>
          <cell r="R587">
            <v>0</v>
          </cell>
          <cell r="S587" t="str">
            <v/>
          </cell>
          <cell r="T587">
            <v>0</v>
          </cell>
          <cell r="U587" t="str">
            <v xml:space="preserve"> </v>
          </cell>
          <cell r="V587">
            <v>0</v>
          </cell>
          <cell r="W587">
            <v>0</v>
          </cell>
          <cell r="X587">
            <v>0</v>
          </cell>
          <cell r="Y587">
            <v>0</v>
          </cell>
          <cell r="Z587">
            <v>0</v>
          </cell>
          <cell r="AA587">
            <v>0</v>
          </cell>
          <cell r="AB587">
            <v>0</v>
          </cell>
          <cell r="AC587">
            <v>0</v>
          </cell>
          <cell r="AD587" t="str">
            <v/>
          </cell>
          <cell r="AE587">
            <v>0</v>
          </cell>
          <cell r="AF587">
            <v>0</v>
          </cell>
          <cell r="AG587">
            <v>0</v>
          </cell>
          <cell r="AH587">
            <v>0</v>
          </cell>
          <cell r="AI587">
            <v>0</v>
          </cell>
          <cell r="AJ587">
            <v>0</v>
          </cell>
          <cell r="AK587">
            <v>0</v>
          </cell>
          <cell r="AL587">
            <v>0</v>
          </cell>
        </row>
        <row r="588">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t="str">
            <v/>
          </cell>
          <cell r="T588">
            <v>0</v>
          </cell>
          <cell r="U588" t="str">
            <v xml:space="preserve"> </v>
          </cell>
          <cell r="V588">
            <v>0</v>
          </cell>
          <cell r="W588">
            <v>0</v>
          </cell>
          <cell r="X588">
            <v>0</v>
          </cell>
          <cell r="Y588">
            <v>0</v>
          </cell>
          <cell r="Z588">
            <v>0</v>
          </cell>
          <cell r="AA588">
            <v>0</v>
          </cell>
          <cell r="AB588">
            <v>0</v>
          </cell>
          <cell r="AC588">
            <v>0</v>
          </cell>
          <cell r="AD588" t="str">
            <v/>
          </cell>
          <cell r="AE588">
            <v>0</v>
          </cell>
          <cell r="AF588">
            <v>0</v>
          </cell>
          <cell r="AG588">
            <v>0</v>
          </cell>
          <cell r="AH588">
            <v>0</v>
          </cell>
          <cell r="AI588">
            <v>0</v>
          </cell>
          <cell r="AJ588">
            <v>0</v>
          </cell>
          <cell r="AK588">
            <v>0</v>
          </cell>
          <cell r="AL588">
            <v>0</v>
          </cell>
        </row>
        <row r="589">
          <cell r="E589">
            <v>0</v>
          </cell>
          <cell r="F589">
            <v>0</v>
          </cell>
          <cell r="G589">
            <v>0</v>
          </cell>
          <cell r="H589">
            <v>0</v>
          </cell>
          <cell r="I589">
            <v>0</v>
          </cell>
          <cell r="J589" t="str">
            <v>PH2M-1</v>
          </cell>
          <cell r="K589">
            <v>0</v>
          </cell>
          <cell r="L589">
            <v>0</v>
          </cell>
          <cell r="M589">
            <v>0</v>
          </cell>
          <cell r="N589">
            <v>0</v>
          </cell>
          <cell r="O589">
            <v>0</v>
          </cell>
          <cell r="P589">
            <v>0</v>
          </cell>
          <cell r="Q589">
            <v>1</v>
          </cell>
          <cell r="R589">
            <v>0</v>
          </cell>
          <cell r="S589" t="str">
            <v/>
          </cell>
          <cell r="T589">
            <v>0</v>
          </cell>
          <cell r="U589" t="str">
            <v>3φ3W 210V</v>
          </cell>
          <cell r="V589">
            <v>0</v>
          </cell>
          <cell r="W589">
            <v>0</v>
          </cell>
          <cell r="X589">
            <v>0</v>
          </cell>
          <cell r="Y589">
            <v>0</v>
          </cell>
          <cell r="Z589">
            <v>0</v>
          </cell>
          <cell r="AA589">
            <v>0</v>
          </cell>
          <cell r="AB589">
            <v>0</v>
          </cell>
          <cell r="AC589">
            <v>0</v>
          </cell>
          <cell r="AD589" t="str">
            <v>225AF/125AT</v>
          </cell>
          <cell r="AE589">
            <v>0</v>
          </cell>
          <cell r="AF589">
            <v>0</v>
          </cell>
          <cell r="AG589">
            <v>0</v>
          </cell>
          <cell r="AH589">
            <v>0</v>
          </cell>
          <cell r="AI589">
            <v>0</v>
          </cell>
          <cell r="AJ589">
            <v>0</v>
          </cell>
          <cell r="AK589">
            <v>0</v>
          </cell>
          <cell r="AL589">
            <v>0</v>
          </cell>
        </row>
        <row r="590">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row>
        <row r="591">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row>
        <row r="592">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row>
        <row r="593">
          <cell r="E593">
            <v>0</v>
          </cell>
          <cell r="F593">
            <v>0</v>
          </cell>
          <cell r="G593" t="str">
            <v/>
          </cell>
          <cell r="H593">
            <v>0</v>
          </cell>
          <cell r="I593">
            <v>0</v>
          </cell>
          <cell r="J593" t="str">
            <v/>
          </cell>
          <cell r="K593">
            <v>0</v>
          </cell>
          <cell r="L593">
            <v>0</v>
          </cell>
          <cell r="M593">
            <v>0</v>
          </cell>
          <cell r="N593">
            <v>0</v>
          </cell>
          <cell r="O593">
            <v>0</v>
          </cell>
          <cell r="P593">
            <v>0</v>
          </cell>
          <cell r="Q593" t="str">
            <v>面</v>
          </cell>
          <cell r="R593">
            <v>0</v>
          </cell>
          <cell r="S593" t="str">
            <v>幹</v>
          </cell>
          <cell r="T593">
            <v>0</v>
          </cell>
          <cell r="U593" t="str">
            <v>電　気　方　式</v>
          </cell>
          <cell r="V593">
            <v>0</v>
          </cell>
          <cell r="W593">
            <v>0</v>
          </cell>
          <cell r="X593">
            <v>0</v>
          </cell>
          <cell r="Y593">
            <v>0</v>
          </cell>
          <cell r="Z593">
            <v>0</v>
          </cell>
          <cell r="AA593">
            <v>0</v>
          </cell>
          <cell r="AB593">
            <v>0</v>
          </cell>
          <cell r="AC593">
            <v>0</v>
          </cell>
          <cell r="AD593" t="str">
            <v>主幹開閉器 MCCB</v>
          </cell>
          <cell r="AE593">
            <v>0</v>
          </cell>
          <cell r="AF593">
            <v>0</v>
          </cell>
          <cell r="AG593">
            <v>0</v>
          </cell>
          <cell r="AH593">
            <v>0</v>
          </cell>
          <cell r="AI593">
            <v>0</v>
          </cell>
          <cell r="AJ593">
            <v>0</v>
          </cell>
          <cell r="AK593">
            <v>0</v>
          </cell>
          <cell r="AL593">
            <v>0</v>
          </cell>
        </row>
        <row r="594">
          <cell r="E594">
            <v>0</v>
          </cell>
          <cell r="F594">
            <v>0</v>
          </cell>
          <cell r="G594">
            <v>0</v>
          </cell>
          <cell r="H594">
            <v>0</v>
          </cell>
          <cell r="I594">
            <v>0</v>
          </cell>
          <cell r="J594" t="str">
            <v>盤　 名　 称</v>
          </cell>
          <cell r="K594">
            <v>0</v>
          </cell>
          <cell r="L594">
            <v>0</v>
          </cell>
          <cell r="M594">
            <v>0</v>
          </cell>
          <cell r="N594">
            <v>0</v>
          </cell>
          <cell r="O594">
            <v>0</v>
          </cell>
          <cell r="P594">
            <v>0</v>
          </cell>
          <cell r="Q594" t="str">
            <v>数</v>
          </cell>
          <cell r="R594">
            <v>0</v>
          </cell>
          <cell r="S594" t="str">
            <v>線</v>
          </cell>
          <cell r="T594">
            <v>0</v>
          </cell>
          <cell r="U594">
            <v>0</v>
          </cell>
          <cell r="V594">
            <v>0</v>
          </cell>
          <cell r="W594">
            <v>0</v>
          </cell>
          <cell r="X594">
            <v>0</v>
          </cell>
          <cell r="Y594">
            <v>0</v>
          </cell>
          <cell r="Z594">
            <v>0</v>
          </cell>
          <cell r="AA594">
            <v>0</v>
          </cell>
          <cell r="AB594">
            <v>0</v>
          </cell>
          <cell r="AC594">
            <v>0</v>
          </cell>
          <cell r="AD594" t="str">
            <v>主幹開閉器-照</v>
          </cell>
          <cell r="AE594">
            <v>0</v>
          </cell>
          <cell r="AF594">
            <v>0</v>
          </cell>
          <cell r="AG594">
            <v>0</v>
          </cell>
          <cell r="AH594">
            <v>0</v>
          </cell>
          <cell r="AI594">
            <v>0</v>
          </cell>
          <cell r="AJ594">
            <v>0</v>
          </cell>
          <cell r="AK594" t="str">
            <v>主幹開閉器-差</v>
          </cell>
          <cell r="AL594">
            <v>0</v>
          </cell>
        </row>
        <row r="595">
          <cell r="E595">
            <v>0</v>
          </cell>
          <cell r="F595">
            <v>0</v>
          </cell>
          <cell r="G595">
            <v>0</v>
          </cell>
          <cell r="H595">
            <v>0</v>
          </cell>
          <cell r="I595">
            <v>0</v>
          </cell>
          <cell r="J595" t="str">
            <v/>
          </cell>
          <cell r="K595">
            <v>0</v>
          </cell>
          <cell r="L595">
            <v>0</v>
          </cell>
          <cell r="M595">
            <v>0</v>
          </cell>
          <cell r="N595">
            <v>0</v>
          </cell>
          <cell r="O595">
            <v>0</v>
          </cell>
          <cell r="P595">
            <v>0</v>
          </cell>
          <cell r="Q595" t="str">
            <v/>
          </cell>
          <cell r="R595">
            <v>0</v>
          </cell>
          <cell r="S595" t="str">
            <v/>
          </cell>
          <cell r="T595">
            <v>0</v>
          </cell>
          <cell r="U595" t="str">
            <v xml:space="preserve"> </v>
          </cell>
          <cell r="V595">
            <v>0</v>
          </cell>
          <cell r="W595">
            <v>0</v>
          </cell>
          <cell r="X595">
            <v>0</v>
          </cell>
          <cell r="Y595">
            <v>0</v>
          </cell>
          <cell r="Z595">
            <v>0</v>
          </cell>
          <cell r="AA595">
            <v>0</v>
          </cell>
          <cell r="AB595">
            <v>0</v>
          </cell>
          <cell r="AC595">
            <v>0</v>
          </cell>
          <cell r="AD595" t="str">
            <v/>
          </cell>
          <cell r="AE595">
            <v>0</v>
          </cell>
          <cell r="AF595">
            <v>0</v>
          </cell>
          <cell r="AG595">
            <v>0</v>
          </cell>
          <cell r="AH595">
            <v>0</v>
          </cell>
          <cell r="AI595">
            <v>0</v>
          </cell>
          <cell r="AJ595">
            <v>0</v>
          </cell>
          <cell r="AK595" t="str">
            <v/>
          </cell>
          <cell r="AL595">
            <v>0</v>
          </cell>
        </row>
        <row r="596">
          <cell r="E596">
            <v>0</v>
          </cell>
          <cell r="F596">
            <v>0</v>
          </cell>
          <cell r="G596">
            <v>0</v>
          </cell>
          <cell r="H596">
            <v>0</v>
          </cell>
          <cell r="I596">
            <v>0</v>
          </cell>
          <cell r="J596" t="str">
            <v/>
          </cell>
          <cell r="K596">
            <v>0</v>
          </cell>
          <cell r="L596">
            <v>0</v>
          </cell>
          <cell r="M596">
            <v>0</v>
          </cell>
          <cell r="N596">
            <v>0</v>
          </cell>
          <cell r="O596">
            <v>0</v>
          </cell>
          <cell r="P596">
            <v>0</v>
          </cell>
          <cell r="Q596" t="str">
            <v/>
          </cell>
          <cell r="R596">
            <v>0</v>
          </cell>
          <cell r="S596" t="str">
            <v/>
          </cell>
          <cell r="T596">
            <v>0</v>
          </cell>
          <cell r="U596" t="str">
            <v xml:space="preserve"> </v>
          </cell>
          <cell r="V596">
            <v>0</v>
          </cell>
          <cell r="W596">
            <v>0</v>
          </cell>
          <cell r="X596">
            <v>0</v>
          </cell>
          <cell r="Y596">
            <v>0</v>
          </cell>
          <cell r="Z596">
            <v>0</v>
          </cell>
          <cell r="AA596">
            <v>0</v>
          </cell>
          <cell r="AB596">
            <v>0</v>
          </cell>
          <cell r="AC596">
            <v>0</v>
          </cell>
          <cell r="AD596" t="str">
            <v/>
          </cell>
          <cell r="AE596">
            <v>0</v>
          </cell>
          <cell r="AF596">
            <v>0</v>
          </cell>
          <cell r="AG596">
            <v>0</v>
          </cell>
          <cell r="AH596">
            <v>0</v>
          </cell>
          <cell r="AI596">
            <v>0</v>
          </cell>
          <cell r="AJ596">
            <v>0</v>
          </cell>
          <cell r="AK596">
            <v>0</v>
          </cell>
          <cell r="AL596">
            <v>0</v>
          </cell>
        </row>
        <row r="597">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t="str">
            <v/>
          </cell>
          <cell r="T597">
            <v>0</v>
          </cell>
          <cell r="U597" t="str">
            <v xml:space="preserve"> </v>
          </cell>
          <cell r="V597">
            <v>0</v>
          </cell>
          <cell r="W597">
            <v>0</v>
          </cell>
          <cell r="X597">
            <v>0</v>
          </cell>
          <cell r="Y597">
            <v>0</v>
          </cell>
          <cell r="Z597">
            <v>0</v>
          </cell>
          <cell r="AA597">
            <v>0</v>
          </cell>
          <cell r="AB597">
            <v>0</v>
          </cell>
          <cell r="AC597">
            <v>0</v>
          </cell>
          <cell r="AD597" t="str">
            <v/>
          </cell>
          <cell r="AE597">
            <v>0</v>
          </cell>
          <cell r="AF597">
            <v>0</v>
          </cell>
          <cell r="AG597">
            <v>0</v>
          </cell>
          <cell r="AH597">
            <v>0</v>
          </cell>
          <cell r="AI597">
            <v>0</v>
          </cell>
          <cell r="AJ597">
            <v>0</v>
          </cell>
          <cell r="AK597">
            <v>0</v>
          </cell>
          <cell r="AL597">
            <v>0</v>
          </cell>
        </row>
        <row r="598">
          <cell r="E598">
            <v>0</v>
          </cell>
          <cell r="F598">
            <v>0</v>
          </cell>
          <cell r="G598">
            <v>0</v>
          </cell>
          <cell r="H598">
            <v>0</v>
          </cell>
          <cell r="I598">
            <v>0</v>
          </cell>
          <cell r="J598" t="str">
            <v/>
          </cell>
          <cell r="K598">
            <v>0</v>
          </cell>
          <cell r="L598">
            <v>0</v>
          </cell>
          <cell r="M598">
            <v>0</v>
          </cell>
          <cell r="N598">
            <v>0</v>
          </cell>
          <cell r="O598">
            <v>0</v>
          </cell>
          <cell r="P598">
            <v>0</v>
          </cell>
          <cell r="Q598" t="str">
            <v/>
          </cell>
          <cell r="R598">
            <v>0</v>
          </cell>
          <cell r="S598" t="str">
            <v/>
          </cell>
          <cell r="T598">
            <v>0</v>
          </cell>
          <cell r="U598" t="str">
            <v xml:space="preserve"> </v>
          </cell>
          <cell r="V598">
            <v>0</v>
          </cell>
          <cell r="W598">
            <v>0</v>
          </cell>
          <cell r="X598">
            <v>0</v>
          </cell>
          <cell r="Y598">
            <v>0</v>
          </cell>
          <cell r="Z598">
            <v>0</v>
          </cell>
          <cell r="AA598">
            <v>0</v>
          </cell>
          <cell r="AB598">
            <v>0</v>
          </cell>
          <cell r="AC598">
            <v>0</v>
          </cell>
          <cell r="AD598" t="str">
            <v/>
          </cell>
          <cell r="AE598">
            <v>0</v>
          </cell>
          <cell r="AF598">
            <v>0</v>
          </cell>
          <cell r="AG598">
            <v>0</v>
          </cell>
          <cell r="AH598">
            <v>0</v>
          </cell>
          <cell r="AI598">
            <v>0</v>
          </cell>
          <cell r="AJ598">
            <v>0</v>
          </cell>
          <cell r="AK598">
            <v>0</v>
          </cell>
          <cell r="AL598">
            <v>0</v>
          </cell>
        </row>
        <row r="599">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row>
        <row r="600">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row>
        <row r="601">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row>
        <row r="602">
          <cell r="E602">
            <v>0</v>
          </cell>
          <cell r="F602">
            <v>0</v>
          </cell>
          <cell r="G602" t="str">
            <v/>
          </cell>
          <cell r="H602">
            <v>0</v>
          </cell>
          <cell r="I602">
            <v>0</v>
          </cell>
          <cell r="J602" t="str">
            <v/>
          </cell>
          <cell r="K602">
            <v>0</v>
          </cell>
          <cell r="L602">
            <v>0</v>
          </cell>
          <cell r="M602">
            <v>0</v>
          </cell>
          <cell r="N602">
            <v>0</v>
          </cell>
          <cell r="O602">
            <v>0</v>
          </cell>
          <cell r="P602">
            <v>0</v>
          </cell>
          <cell r="Q602" t="str">
            <v>面</v>
          </cell>
          <cell r="R602">
            <v>0</v>
          </cell>
          <cell r="S602" t="str">
            <v>幹</v>
          </cell>
          <cell r="T602">
            <v>0</v>
          </cell>
          <cell r="U602" t="str">
            <v>電　気　方　式</v>
          </cell>
          <cell r="V602">
            <v>0</v>
          </cell>
          <cell r="W602">
            <v>0</v>
          </cell>
          <cell r="X602">
            <v>0</v>
          </cell>
          <cell r="Y602">
            <v>0</v>
          </cell>
          <cell r="Z602">
            <v>0</v>
          </cell>
          <cell r="AA602">
            <v>0</v>
          </cell>
          <cell r="AB602">
            <v>0</v>
          </cell>
          <cell r="AC602">
            <v>0</v>
          </cell>
          <cell r="AD602" t="str">
            <v>主幹開閉器 MCCB</v>
          </cell>
          <cell r="AE602">
            <v>0</v>
          </cell>
          <cell r="AF602">
            <v>0</v>
          </cell>
          <cell r="AG602">
            <v>0</v>
          </cell>
          <cell r="AH602">
            <v>0</v>
          </cell>
          <cell r="AI602">
            <v>0</v>
          </cell>
          <cell r="AJ602">
            <v>0</v>
          </cell>
          <cell r="AK602">
            <v>0</v>
          </cell>
          <cell r="AL602">
            <v>0</v>
          </cell>
        </row>
        <row r="603">
          <cell r="E603">
            <v>0</v>
          </cell>
          <cell r="F603">
            <v>0</v>
          </cell>
          <cell r="G603">
            <v>0</v>
          </cell>
          <cell r="H603">
            <v>0</v>
          </cell>
          <cell r="I603">
            <v>0</v>
          </cell>
          <cell r="J603" t="str">
            <v>盤　 名　 称</v>
          </cell>
          <cell r="K603">
            <v>0</v>
          </cell>
          <cell r="L603">
            <v>0</v>
          </cell>
          <cell r="M603">
            <v>0</v>
          </cell>
          <cell r="N603">
            <v>0</v>
          </cell>
          <cell r="O603">
            <v>0</v>
          </cell>
          <cell r="P603">
            <v>0</v>
          </cell>
          <cell r="Q603" t="str">
            <v>数</v>
          </cell>
          <cell r="R603">
            <v>0</v>
          </cell>
          <cell r="S603" t="str">
            <v>線</v>
          </cell>
          <cell r="T603">
            <v>0</v>
          </cell>
          <cell r="U603">
            <v>0</v>
          </cell>
          <cell r="V603">
            <v>0</v>
          </cell>
          <cell r="W603">
            <v>0</v>
          </cell>
          <cell r="X603">
            <v>0</v>
          </cell>
          <cell r="Y603">
            <v>0</v>
          </cell>
          <cell r="Z603">
            <v>0</v>
          </cell>
          <cell r="AA603">
            <v>0</v>
          </cell>
          <cell r="AB603">
            <v>0</v>
          </cell>
          <cell r="AC603">
            <v>0</v>
          </cell>
          <cell r="AD603" t="str">
            <v>主幹開閉器-照</v>
          </cell>
          <cell r="AE603">
            <v>0</v>
          </cell>
          <cell r="AF603">
            <v>0</v>
          </cell>
          <cell r="AG603">
            <v>0</v>
          </cell>
          <cell r="AH603">
            <v>0</v>
          </cell>
          <cell r="AI603">
            <v>0</v>
          </cell>
          <cell r="AJ603">
            <v>0</v>
          </cell>
          <cell r="AK603" t="str">
            <v>主幹開閉器-差</v>
          </cell>
          <cell r="AL603">
            <v>0</v>
          </cell>
        </row>
        <row r="604">
          <cell r="E604">
            <v>0</v>
          </cell>
          <cell r="F604">
            <v>0</v>
          </cell>
          <cell r="G604">
            <v>0</v>
          </cell>
          <cell r="H604">
            <v>0</v>
          </cell>
          <cell r="I604">
            <v>0</v>
          </cell>
          <cell r="J604" t="str">
            <v/>
          </cell>
          <cell r="K604">
            <v>0</v>
          </cell>
          <cell r="L604">
            <v>0</v>
          </cell>
          <cell r="M604">
            <v>0</v>
          </cell>
          <cell r="N604">
            <v>0</v>
          </cell>
          <cell r="O604">
            <v>0</v>
          </cell>
          <cell r="P604">
            <v>0</v>
          </cell>
          <cell r="Q604" t="str">
            <v/>
          </cell>
          <cell r="R604">
            <v>0</v>
          </cell>
          <cell r="S604" t="str">
            <v/>
          </cell>
          <cell r="T604">
            <v>0</v>
          </cell>
          <cell r="U604" t="str">
            <v xml:space="preserve"> </v>
          </cell>
          <cell r="V604">
            <v>0</v>
          </cell>
          <cell r="W604">
            <v>0</v>
          </cell>
          <cell r="X604">
            <v>0</v>
          </cell>
          <cell r="Y604">
            <v>0</v>
          </cell>
          <cell r="Z604">
            <v>0</v>
          </cell>
          <cell r="AA604">
            <v>0</v>
          </cell>
          <cell r="AB604">
            <v>0</v>
          </cell>
          <cell r="AC604">
            <v>0</v>
          </cell>
          <cell r="AD604" t="str">
            <v/>
          </cell>
          <cell r="AE604">
            <v>0</v>
          </cell>
          <cell r="AF604">
            <v>0</v>
          </cell>
          <cell r="AG604">
            <v>0</v>
          </cell>
          <cell r="AH604">
            <v>0</v>
          </cell>
          <cell r="AI604">
            <v>0</v>
          </cell>
          <cell r="AJ604">
            <v>0</v>
          </cell>
          <cell r="AK604" t="str">
            <v/>
          </cell>
          <cell r="AL604">
            <v>0</v>
          </cell>
        </row>
        <row r="605">
          <cell r="E605">
            <v>0</v>
          </cell>
          <cell r="F605">
            <v>0</v>
          </cell>
          <cell r="G605">
            <v>0</v>
          </cell>
          <cell r="H605">
            <v>0</v>
          </cell>
          <cell r="I605">
            <v>0</v>
          </cell>
          <cell r="J605" t="str">
            <v/>
          </cell>
          <cell r="K605">
            <v>0</v>
          </cell>
          <cell r="L605">
            <v>0</v>
          </cell>
          <cell r="M605">
            <v>0</v>
          </cell>
          <cell r="N605">
            <v>0</v>
          </cell>
          <cell r="O605">
            <v>0</v>
          </cell>
          <cell r="P605">
            <v>0</v>
          </cell>
          <cell r="Q605" t="str">
            <v/>
          </cell>
          <cell r="R605">
            <v>0</v>
          </cell>
          <cell r="S605" t="str">
            <v/>
          </cell>
          <cell r="T605">
            <v>0</v>
          </cell>
          <cell r="U605" t="str">
            <v xml:space="preserve"> </v>
          </cell>
          <cell r="V605">
            <v>0</v>
          </cell>
          <cell r="W605">
            <v>0</v>
          </cell>
          <cell r="X605">
            <v>0</v>
          </cell>
          <cell r="Y605">
            <v>0</v>
          </cell>
          <cell r="Z605">
            <v>0</v>
          </cell>
          <cell r="AA605">
            <v>0</v>
          </cell>
          <cell r="AB605">
            <v>0</v>
          </cell>
          <cell r="AC605">
            <v>0</v>
          </cell>
          <cell r="AD605" t="str">
            <v/>
          </cell>
          <cell r="AE605">
            <v>0</v>
          </cell>
          <cell r="AF605">
            <v>0</v>
          </cell>
          <cell r="AG605">
            <v>0</v>
          </cell>
          <cell r="AH605">
            <v>0</v>
          </cell>
          <cell r="AI605">
            <v>0</v>
          </cell>
          <cell r="AJ605">
            <v>0</v>
          </cell>
          <cell r="AK605">
            <v>0</v>
          </cell>
          <cell r="AL605">
            <v>0</v>
          </cell>
        </row>
        <row r="606">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t="str">
            <v/>
          </cell>
          <cell r="T606">
            <v>0</v>
          </cell>
          <cell r="U606" t="str">
            <v xml:space="preserve"> </v>
          </cell>
          <cell r="V606">
            <v>0</v>
          </cell>
          <cell r="W606">
            <v>0</v>
          </cell>
          <cell r="X606">
            <v>0</v>
          </cell>
          <cell r="Y606">
            <v>0</v>
          </cell>
          <cell r="Z606">
            <v>0</v>
          </cell>
          <cell r="AA606">
            <v>0</v>
          </cell>
          <cell r="AB606">
            <v>0</v>
          </cell>
          <cell r="AC606">
            <v>0</v>
          </cell>
          <cell r="AD606" t="str">
            <v/>
          </cell>
          <cell r="AE606">
            <v>0</v>
          </cell>
          <cell r="AF606">
            <v>0</v>
          </cell>
          <cell r="AG606">
            <v>0</v>
          </cell>
          <cell r="AH606">
            <v>0</v>
          </cell>
          <cell r="AI606">
            <v>0</v>
          </cell>
          <cell r="AJ606">
            <v>0</v>
          </cell>
          <cell r="AK606">
            <v>0</v>
          </cell>
          <cell r="AL606">
            <v>0</v>
          </cell>
        </row>
        <row r="607">
          <cell r="E607">
            <v>0</v>
          </cell>
          <cell r="F607">
            <v>0</v>
          </cell>
          <cell r="G607">
            <v>0</v>
          </cell>
          <cell r="H607">
            <v>0</v>
          </cell>
          <cell r="I607">
            <v>0</v>
          </cell>
          <cell r="J607" t="str">
            <v/>
          </cell>
          <cell r="K607">
            <v>0</v>
          </cell>
          <cell r="L607">
            <v>0</v>
          </cell>
          <cell r="M607">
            <v>0</v>
          </cell>
          <cell r="N607">
            <v>0</v>
          </cell>
          <cell r="O607">
            <v>0</v>
          </cell>
          <cell r="P607">
            <v>0</v>
          </cell>
          <cell r="Q607" t="str">
            <v/>
          </cell>
          <cell r="R607">
            <v>0</v>
          </cell>
          <cell r="S607" t="str">
            <v/>
          </cell>
          <cell r="T607">
            <v>0</v>
          </cell>
          <cell r="U607" t="str">
            <v xml:space="preserve"> </v>
          </cell>
          <cell r="V607">
            <v>0</v>
          </cell>
          <cell r="W607">
            <v>0</v>
          </cell>
          <cell r="X607">
            <v>0</v>
          </cell>
          <cell r="Y607">
            <v>0</v>
          </cell>
          <cell r="Z607">
            <v>0</v>
          </cell>
          <cell r="AA607">
            <v>0</v>
          </cell>
          <cell r="AB607">
            <v>0</v>
          </cell>
          <cell r="AC607">
            <v>0</v>
          </cell>
          <cell r="AD607" t="str">
            <v/>
          </cell>
          <cell r="AE607">
            <v>0</v>
          </cell>
          <cell r="AF607">
            <v>0</v>
          </cell>
          <cell r="AG607">
            <v>0</v>
          </cell>
          <cell r="AH607">
            <v>0</v>
          </cell>
          <cell r="AI607">
            <v>0</v>
          </cell>
          <cell r="AJ607">
            <v>0</v>
          </cell>
          <cell r="AK607">
            <v>0</v>
          </cell>
          <cell r="AL607">
            <v>0</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row>
        <row r="609">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row>
        <row r="610">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row>
        <row r="611">
          <cell r="E611">
            <v>0</v>
          </cell>
          <cell r="F611">
            <v>0</v>
          </cell>
          <cell r="G611" t="str">
            <v/>
          </cell>
          <cell r="H611">
            <v>0</v>
          </cell>
          <cell r="I611">
            <v>0</v>
          </cell>
          <cell r="J611" t="str">
            <v/>
          </cell>
          <cell r="K611">
            <v>0</v>
          </cell>
          <cell r="L611">
            <v>0</v>
          </cell>
          <cell r="M611">
            <v>0</v>
          </cell>
          <cell r="N611">
            <v>0</v>
          </cell>
          <cell r="O611">
            <v>0</v>
          </cell>
          <cell r="P611">
            <v>0</v>
          </cell>
          <cell r="Q611" t="str">
            <v>面</v>
          </cell>
          <cell r="R611">
            <v>0</v>
          </cell>
          <cell r="S611" t="str">
            <v>幹</v>
          </cell>
          <cell r="T611">
            <v>0</v>
          </cell>
          <cell r="U611" t="str">
            <v>電　気　方　式</v>
          </cell>
          <cell r="V611">
            <v>0</v>
          </cell>
          <cell r="W611">
            <v>0</v>
          </cell>
          <cell r="X611">
            <v>0</v>
          </cell>
          <cell r="Y611">
            <v>0</v>
          </cell>
          <cell r="Z611">
            <v>0</v>
          </cell>
          <cell r="AA611">
            <v>0</v>
          </cell>
          <cell r="AB611">
            <v>0</v>
          </cell>
          <cell r="AC611">
            <v>0</v>
          </cell>
          <cell r="AD611" t="str">
            <v>主幹開閉器 MCCB</v>
          </cell>
          <cell r="AE611">
            <v>0</v>
          </cell>
          <cell r="AF611">
            <v>0</v>
          </cell>
          <cell r="AG611">
            <v>0</v>
          </cell>
          <cell r="AH611">
            <v>0</v>
          </cell>
          <cell r="AI611">
            <v>0</v>
          </cell>
          <cell r="AJ611">
            <v>0</v>
          </cell>
          <cell r="AK611">
            <v>0</v>
          </cell>
          <cell r="AL611">
            <v>0</v>
          </cell>
        </row>
        <row r="612">
          <cell r="E612">
            <v>0</v>
          </cell>
          <cell r="F612">
            <v>0</v>
          </cell>
          <cell r="G612">
            <v>0</v>
          </cell>
          <cell r="H612">
            <v>0</v>
          </cell>
          <cell r="I612">
            <v>0</v>
          </cell>
          <cell r="J612" t="str">
            <v>盤　 名　 称</v>
          </cell>
          <cell r="K612">
            <v>0</v>
          </cell>
          <cell r="L612">
            <v>0</v>
          </cell>
          <cell r="M612">
            <v>0</v>
          </cell>
          <cell r="N612">
            <v>0</v>
          </cell>
          <cell r="O612">
            <v>0</v>
          </cell>
          <cell r="P612">
            <v>0</v>
          </cell>
          <cell r="Q612" t="str">
            <v>数</v>
          </cell>
          <cell r="R612">
            <v>0</v>
          </cell>
          <cell r="S612" t="str">
            <v>線</v>
          </cell>
          <cell r="T612">
            <v>0</v>
          </cell>
          <cell r="U612">
            <v>0</v>
          </cell>
          <cell r="V612">
            <v>0</v>
          </cell>
          <cell r="W612">
            <v>0</v>
          </cell>
          <cell r="X612">
            <v>0</v>
          </cell>
          <cell r="Y612">
            <v>0</v>
          </cell>
          <cell r="Z612">
            <v>0</v>
          </cell>
          <cell r="AA612">
            <v>0</v>
          </cell>
          <cell r="AB612">
            <v>0</v>
          </cell>
          <cell r="AC612">
            <v>0</v>
          </cell>
          <cell r="AD612" t="str">
            <v>主幹開閉器-照</v>
          </cell>
          <cell r="AE612">
            <v>0</v>
          </cell>
          <cell r="AF612">
            <v>0</v>
          </cell>
          <cell r="AG612">
            <v>0</v>
          </cell>
          <cell r="AH612">
            <v>0</v>
          </cell>
          <cell r="AI612">
            <v>0</v>
          </cell>
          <cell r="AJ612">
            <v>0</v>
          </cell>
          <cell r="AK612" t="str">
            <v>主幹開閉器-差</v>
          </cell>
          <cell r="AL612">
            <v>0</v>
          </cell>
        </row>
        <row r="613">
          <cell r="E613">
            <v>0</v>
          </cell>
          <cell r="F613">
            <v>0</v>
          </cell>
          <cell r="G613">
            <v>0</v>
          </cell>
          <cell r="H613">
            <v>0</v>
          </cell>
          <cell r="I613">
            <v>0</v>
          </cell>
          <cell r="J613" t="str">
            <v/>
          </cell>
          <cell r="K613">
            <v>0</v>
          </cell>
          <cell r="L613">
            <v>0</v>
          </cell>
          <cell r="M613">
            <v>0</v>
          </cell>
          <cell r="N613">
            <v>0</v>
          </cell>
          <cell r="O613">
            <v>0</v>
          </cell>
          <cell r="P613">
            <v>0</v>
          </cell>
          <cell r="Q613" t="str">
            <v/>
          </cell>
          <cell r="R613">
            <v>0</v>
          </cell>
          <cell r="S613" t="str">
            <v/>
          </cell>
          <cell r="T613">
            <v>0</v>
          </cell>
          <cell r="U613" t="str">
            <v xml:space="preserve"> </v>
          </cell>
          <cell r="V613">
            <v>0</v>
          </cell>
          <cell r="W613">
            <v>0</v>
          </cell>
          <cell r="X613">
            <v>0</v>
          </cell>
          <cell r="Y613">
            <v>0</v>
          </cell>
          <cell r="Z613">
            <v>0</v>
          </cell>
          <cell r="AA613">
            <v>0</v>
          </cell>
          <cell r="AB613">
            <v>0</v>
          </cell>
          <cell r="AC613">
            <v>0</v>
          </cell>
          <cell r="AD613" t="str">
            <v/>
          </cell>
          <cell r="AE613">
            <v>0</v>
          </cell>
          <cell r="AF613">
            <v>0</v>
          </cell>
          <cell r="AG613">
            <v>0</v>
          </cell>
          <cell r="AH613">
            <v>0</v>
          </cell>
          <cell r="AI613">
            <v>0</v>
          </cell>
          <cell r="AJ613">
            <v>0</v>
          </cell>
          <cell r="AK613" t="str">
            <v/>
          </cell>
          <cell r="AL613">
            <v>0</v>
          </cell>
        </row>
        <row r="614">
          <cell r="E614">
            <v>0</v>
          </cell>
          <cell r="F614">
            <v>0</v>
          </cell>
          <cell r="G614">
            <v>0</v>
          </cell>
          <cell r="H614">
            <v>0</v>
          </cell>
          <cell r="I614">
            <v>0</v>
          </cell>
          <cell r="J614" t="str">
            <v/>
          </cell>
          <cell r="K614">
            <v>0</v>
          </cell>
          <cell r="L614">
            <v>0</v>
          </cell>
          <cell r="M614">
            <v>0</v>
          </cell>
          <cell r="N614">
            <v>0</v>
          </cell>
          <cell r="O614">
            <v>0</v>
          </cell>
          <cell r="P614">
            <v>0</v>
          </cell>
          <cell r="Q614" t="str">
            <v/>
          </cell>
          <cell r="R614">
            <v>0</v>
          </cell>
          <cell r="S614" t="str">
            <v/>
          </cell>
          <cell r="T614">
            <v>0</v>
          </cell>
          <cell r="U614" t="str">
            <v xml:space="preserve"> </v>
          </cell>
          <cell r="V614">
            <v>0</v>
          </cell>
          <cell r="W614">
            <v>0</v>
          </cell>
          <cell r="X614">
            <v>0</v>
          </cell>
          <cell r="Y614">
            <v>0</v>
          </cell>
          <cell r="Z614">
            <v>0</v>
          </cell>
          <cell r="AA614">
            <v>0</v>
          </cell>
          <cell r="AB614">
            <v>0</v>
          </cell>
          <cell r="AC614">
            <v>0</v>
          </cell>
          <cell r="AD614" t="str">
            <v/>
          </cell>
          <cell r="AE614">
            <v>0</v>
          </cell>
          <cell r="AF614">
            <v>0</v>
          </cell>
          <cell r="AG614">
            <v>0</v>
          </cell>
          <cell r="AH614">
            <v>0</v>
          </cell>
          <cell r="AI614">
            <v>0</v>
          </cell>
          <cell r="AJ614">
            <v>0</v>
          </cell>
          <cell r="AK614">
            <v>0</v>
          </cell>
          <cell r="AL614">
            <v>0</v>
          </cell>
        </row>
        <row r="615">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t="str">
            <v/>
          </cell>
          <cell r="T615">
            <v>0</v>
          </cell>
          <cell r="U615" t="str">
            <v xml:space="preserve"> </v>
          </cell>
          <cell r="V615">
            <v>0</v>
          </cell>
          <cell r="W615">
            <v>0</v>
          </cell>
          <cell r="X615">
            <v>0</v>
          </cell>
          <cell r="Y615">
            <v>0</v>
          </cell>
          <cell r="Z615">
            <v>0</v>
          </cell>
          <cell r="AA615">
            <v>0</v>
          </cell>
          <cell r="AB615">
            <v>0</v>
          </cell>
          <cell r="AC615">
            <v>0</v>
          </cell>
          <cell r="AD615" t="str">
            <v/>
          </cell>
          <cell r="AE615">
            <v>0</v>
          </cell>
          <cell r="AF615">
            <v>0</v>
          </cell>
          <cell r="AG615">
            <v>0</v>
          </cell>
          <cell r="AH615">
            <v>0</v>
          </cell>
          <cell r="AI615">
            <v>0</v>
          </cell>
          <cell r="AJ615">
            <v>0</v>
          </cell>
          <cell r="AK615">
            <v>0</v>
          </cell>
          <cell r="AL615">
            <v>0</v>
          </cell>
        </row>
        <row r="616">
          <cell r="E616">
            <v>0</v>
          </cell>
          <cell r="F616">
            <v>0</v>
          </cell>
          <cell r="G616">
            <v>0</v>
          </cell>
          <cell r="H616">
            <v>0</v>
          </cell>
          <cell r="I616">
            <v>0</v>
          </cell>
          <cell r="J616" t="str">
            <v/>
          </cell>
          <cell r="K616">
            <v>0</v>
          </cell>
          <cell r="L616">
            <v>0</v>
          </cell>
          <cell r="M616">
            <v>0</v>
          </cell>
          <cell r="N616">
            <v>0</v>
          </cell>
          <cell r="O616">
            <v>0</v>
          </cell>
          <cell r="P616">
            <v>0</v>
          </cell>
          <cell r="Q616" t="str">
            <v/>
          </cell>
          <cell r="R616">
            <v>0</v>
          </cell>
          <cell r="S616" t="str">
            <v/>
          </cell>
          <cell r="T616">
            <v>0</v>
          </cell>
          <cell r="U616" t="str">
            <v xml:space="preserve"> </v>
          </cell>
          <cell r="V616">
            <v>0</v>
          </cell>
          <cell r="W616">
            <v>0</v>
          </cell>
          <cell r="X616">
            <v>0</v>
          </cell>
          <cell r="Y616">
            <v>0</v>
          </cell>
          <cell r="Z616">
            <v>0</v>
          </cell>
          <cell r="AA616">
            <v>0</v>
          </cell>
          <cell r="AB616">
            <v>0</v>
          </cell>
          <cell r="AC616">
            <v>0</v>
          </cell>
          <cell r="AD616" t="str">
            <v/>
          </cell>
          <cell r="AE616">
            <v>0</v>
          </cell>
          <cell r="AF616">
            <v>0</v>
          </cell>
          <cell r="AG616">
            <v>0</v>
          </cell>
          <cell r="AH616">
            <v>0</v>
          </cell>
          <cell r="AI616">
            <v>0</v>
          </cell>
          <cell r="AJ616">
            <v>0</v>
          </cell>
          <cell r="AK616">
            <v>0</v>
          </cell>
          <cell r="AL616">
            <v>0</v>
          </cell>
        </row>
        <row r="617">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row>
        <row r="618">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row>
        <row r="619">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row>
        <row r="620">
          <cell r="E620">
            <v>0</v>
          </cell>
          <cell r="F620">
            <v>0</v>
          </cell>
          <cell r="G620" t="str">
            <v/>
          </cell>
          <cell r="H620">
            <v>0</v>
          </cell>
          <cell r="I620">
            <v>0</v>
          </cell>
          <cell r="J620" t="str">
            <v/>
          </cell>
          <cell r="K620">
            <v>0</v>
          </cell>
          <cell r="L620">
            <v>0</v>
          </cell>
          <cell r="M620">
            <v>0</v>
          </cell>
          <cell r="N620">
            <v>0</v>
          </cell>
          <cell r="O620">
            <v>0</v>
          </cell>
          <cell r="P620">
            <v>0</v>
          </cell>
          <cell r="Q620" t="str">
            <v>面</v>
          </cell>
          <cell r="R620">
            <v>0</v>
          </cell>
          <cell r="S620" t="str">
            <v>幹</v>
          </cell>
          <cell r="T620">
            <v>0</v>
          </cell>
          <cell r="U620" t="str">
            <v>電　気　方　式</v>
          </cell>
          <cell r="V620">
            <v>0</v>
          </cell>
          <cell r="W620">
            <v>0</v>
          </cell>
          <cell r="X620">
            <v>0</v>
          </cell>
          <cell r="Y620">
            <v>0</v>
          </cell>
          <cell r="Z620">
            <v>0</v>
          </cell>
          <cell r="AA620">
            <v>0</v>
          </cell>
          <cell r="AB620">
            <v>0</v>
          </cell>
          <cell r="AC620">
            <v>0</v>
          </cell>
          <cell r="AD620" t="str">
            <v>主幹開閉器 MCCB</v>
          </cell>
          <cell r="AE620">
            <v>0</v>
          </cell>
          <cell r="AF620">
            <v>0</v>
          </cell>
          <cell r="AG620">
            <v>0</v>
          </cell>
          <cell r="AH620">
            <v>0</v>
          </cell>
          <cell r="AI620">
            <v>0</v>
          </cell>
          <cell r="AJ620">
            <v>0</v>
          </cell>
          <cell r="AK620">
            <v>0</v>
          </cell>
          <cell r="AL620">
            <v>0</v>
          </cell>
        </row>
        <row r="621">
          <cell r="E621">
            <v>0</v>
          </cell>
          <cell r="F621">
            <v>0</v>
          </cell>
          <cell r="G621">
            <v>0</v>
          </cell>
          <cell r="H621">
            <v>0</v>
          </cell>
          <cell r="I621">
            <v>0</v>
          </cell>
          <cell r="J621" t="str">
            <v>盤　 名　 称</v>
          </cell>
          <cell r="K621">
            <v>0</v>
          </cell>
          <cell r="L621">
            <v>0</v>
          </cell>
          <cell r="M621">
            <v>0</v>
          </cell>
          <cell r="N621">
            <v>0</v>
          </cell>
          <cell r="O621">
            <v>0</v>
          </cell>
          <cell r="P621">
            <v>0</v>
          </cell>
          <cell r="Q621" t="str">
            <v>数</v>
          </cell>
          <cell r="R621">
            <v>0</v>
          </cell>
          <cell r="S621" t="str">
            <v>線</v>
          </cell>
          <cell r="T621">
            <v>0</v>
          </cell>
          <cell r="U621">
            <v>0</v>
          </cell>
          <cell r="V621">
            <v>0</v>
          </cell>
          <cell r="W621">
            <v>0</v>
          </cell>
          <cell r="X621">
            <v>0</v>
          </cell>
          <cell r="Y621">
            <v>0</v>
          </cell>
          <cell r="Z621">
            <v>0</v>
          </cell>
          <cell r="AA621">
            <v>0</v>
          </cell>
          <cell r="AB621">
            <v>0</v>
          </cell>
          <cell r="AC621">
            <v>0</v>
          </cell>
          <cell r="AD621" t="str">
            <v>主幹開閉器-照</v>
          </cell>
          <cell r="AE621">
            <v>0</v>
          </cell>
          <cell r="AF621">
            <v>0</v>
          </cell>
          <cell r="AG621">
            <v>0</v>
          </cell>
          <cell r="AH621">
            <v>0</v>
          </cell>
          <cell r="AI621">
            <v>0</v>
          </cell>
          <cell r="AJ621">
            <v>0</v>
          </cell>
          <cell r="AK621" t="str">
            <v>主幹開閉器-差</v>
          </cell>
          <cell r="AL621">
            <v>0</v>
          </cell>
        </row>
        <row r="622">
          <cell r="E622">
            <v>0</v>
          </cell>
          <cell r="F622">
            <v>0</v>
          </cell>
          <cell r="G622">
            <v>0</v>
          </cell>
          <cell r="H622">
            <v>0</v>
          </cell>
          <cell r="I622">
            <v>0</v>
          </cell>
          <cell r="J622" t="str">
            <v/>
          </cell>
          <cell r="K622">
            <v>0</v>
          </cell>
          <cell r="L622">
            <v>0</v>
          </cell>
          <cell r="M622">
            <v>0</v>
          </cell>
          <cell r="N622">
            <v>0</v>
          </cell>
          <cell r="O622">
            <v>0</v>
          </cell>
          <cell r="P622">
            <v>0</v>
          </cell>
          <cell r="Q622" t="str">
            <v/>
          </cell>
          <cell r="R622">
            <v>0</v>
          </cell>
          <cell r="S622" t="str">
            <v/>
          </cell>
          <cell r="T622">
            <v>0</v>
          </cell>
          <cell r="U622" t="str">
            <v xml:space="preserve"> </v>
          </cell>
          <cell r="V622">
            <v>0</v>
          </cell>
          <cell r="W622">
            <v>0</v>
          </cell>
          <cell r="X622">
            <v>0</v>
          </cell>
          <cell r="Y622">
            <v>0</v>
          </cell>
          <cell r="Z622">
            <v>0</v>
          </cell>
          <cell r="AA622">
            <v>0</v>
          </cell>
          <cell r="AB622">
            <v>0</v>
          </cell>
          <cell r="AC622">
            <v>0</v>
          </cell>
          <cell r="AD622" t="str">
            <v/>
          </cell>
          <cell r="AE622">
            <v>0</v>
          </cell>
          <cell r="AF622">
            <v>0</v>
          </cell>
          <cell r="AG622">
            <v>0</v>
          </cell>
          <cell r="AH622">
            <v>0</v>
          </cell>
          <cell r="AI622">
            <v>0</v>
          </cell>
          <cell r="AJ622">
            <v>0</v>
          </cell>
          <cell r="AK622" t="str">
            <v/>
          </cell>
          <cell r="AL622">
            <v>0</v>
          </cell>
        </row>
        <row r="623">
          <cell r="E623">
            <v>0</v>
          </cell>
          <cell r="F623">
            <v>0</v>
          </cell>
          <cell r="G623">
            <v>0</v>
          </cell>
          <cell r="H623">
            <v>0</v>
          </cell>
          <cell r="I623">
            <v>0</v>
          </cell>
          <cell r="J623" t="str">
            <v/>
          </cell>
          <cell r="K623">
            <v>0</v>
          </cell>
          <cell r="L623">
            <v>0</v>
          </cell>
          <cell r="M623">
            <v>0</v>
          </cell>
          <cell r="N623">
            <v>0</v>
          </cell>
          <cell r="O623">
            <v>0</v>
          </cell>
          <cell r="P623">
            <v>0</v>
          </cell>
          <cell r="Q623" t="str">
            <v/>
          </cell>
          <cell r="R623">
            <v>0</v>
          </cell>
          <cell r="S623" t="str">
            <v/>
          </cell>
          <cell r="T623">
            <v>0</v>
          </cell>
          <cell r="U623" t="str">
            <v xml:space="preserve"> </v>
          </cell>
          <cell r="V623">
            <v>0</v>
          </cell>
          <cell r="W623">
            <v>0</v>
          </cell>
          <cell r="X623">
            <v>0</v>
          </cell>
          <cell r="Y623">
            <v>0</v>
          </cell>
          <cell r="Z623">
            <v>0</v>
          </cell>
          <cell r="AA623">
            <v>0</v>
          </cell>
          <cell r="AB623">
            <v>0</v>
          </cell>
          <cell r="AC623">
            <v>0</v>
          </cell>
          <cell r="AD623" t="str">
            <v/>
          </cell>
          <cell r="AE623">
            <v>0</v>
          </cell>
          <cell r="AF623">
            <v>0</v>
          </cell>
          <cell r="AG623">
            <v>0</v>
          </cell>
          <cell r="AH623">
            <v>0</v>
          </cell>
          <cell r="AI623">
            <v>0</v>
          </cell>
          <cell r="AJ623">
            <v>0</v>
          </cell>
          <cell r="AK623">
            <v>0</v>
          </cell>
          <cell r="AL623">
            <v>0</v>
          </cell>
        </row>
        <row r="624">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t="str">
            <v/>
          </cell>
          <cell r="T624">
            <v>0</v>
          </cell>
          <cell r="U624" t="str">
            <v xml:space="preserve"> </v>
          </cell>
          <cell r="V624">
            <v>0</v>
          </cell>
          <cell r="W624">
            <v>0</v>
          </cell>
          <cell r="X624">
            <v>0</v>
          </cell>
          <cell r="Y624">
            <v>0</v>
          </cell>
          <cell r="Z624">
            <v>0</v>
          </cell>
          <cell r="AA624">
            <v>0</v>
          </cell>
          <cell r="AB624">
            <v>0</v>
          </cell>
          <cell r="AC624">
            <v>0</v>
          </cell>
          <cell r="AD624" t="str">
            <v/>
          </cell>
          <cell r="AE624">
            <v>0</v>
          </cell>
          <cell r="AF624">
            <v>0</v>
          </cell>
          <cell r="AG624">
            <v>0</v>
          </cell>
          <cell r="AH624">
            <v>0</v>
          </cell>
          <cell r="AI624">
            <v>0</v>
          </cell>
          <cell r="AJ624">
            <v>0</v>
          </cell>
          <cell r="AK624">
            <v>0</v>
          </cell>
          <cell r="AL624">
            <v>0</v>
          </cell>
        </row>
        <row r="625">
          <cell r="E625">
            <v>0</v>
          </cell>
          <cell r="F625">
            <v>0</v>
          </cell>
          <cell r="G625">
            <v>0</v>
          </cell>
          <cell r="H625">
            <v>0</v>
          </cell>
          <cell r="I625">
            <v>0</v>
          </cell>
          <cell r="J625" t="str">
            <v/>
          </cell>
          <cell r="K625">
            <v>0</v>
          </cell>
          <cell r="L625">
            <v>0</v>
          </cell>
          <cell r="M625">
            <v>0</v>
          </cell>
          <cell r="N625">
            <v>0</v>
          </cell>
          <cell r="O625">
            <v>0</v>
          </cell>
          <cell r="P625">
            <v>0</v>
          </cell>
          <cell r="Q625" t="str">
            <v/>
          </cell>
          <cell r="R625">
            <v>0</v>
          </cell>
          <cell r="S625" t="str">
            <v/>
          </cell>
          <cell r="T625">
            <v>0</v>
          </cell>
          <cell r="U625" t="str">
            <v xml:space="preserve"> </v>
          </cell>
          <cell r="V625">
            <v>0</v>
          </cell>
          <cell r="W625">
            <v>0</v>
          </cell>
          <cell r="X625">
            <v>0</v>
          </cell>
          <cell r="Y625">
            <v>0</v>
          </cell>
          <cell r="Z625">
            <v>0</v>
          </cell>
          <cell r="AA625">
            <v>0</v>
          </cell>
          <cell r="AB625">
            <v>0</v>
          </cell>
          <cell r="AC625">
            <v>0</v>
          </cell>
          <cell r="AD625" t="str">
            <v/>
          </cell>
          <cell r="AE625">
            <v>0</v>
          </cell>
          <cell r="AF625">
            <v>0</v>
          </cell>
          <cell r="AG625">
            <v>0</v>
          </cell>
          <cell r="AH625">
            <v>0</v>
          </cell>
          <cell r="AI625">
            <v>0</v>
          </cell>
          <cell r="AJ625">
            <v>0</v>
          </cell>
          <cell r="AK625">
            <v>0</v>
          </cell>
          <cell r="AL625">
            <v>0</v>
          </cell>
        </row>
        <row r="626">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row>
        <row r="627">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row>
        <row r="628">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row>
        <row r="629">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row>
        <row r="630">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row>
        <row r="631">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row>
        <row r="632">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row>
        <row r="633">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row>
        <row r="634">
          <cell r="E634">
            <v>0</v>
          </cell>
          <cell r="F634">
            <v>0</v>
          </cell>
          <cell r="G634">
            <v>0</v>
          </cell>
          <cell r="H634">
            <v>0</v>
          </cell>
          <cell r="I634">
            <v>0</v>
          </cell>
          <cell r="J634">
            <v>0</v>
          </cell>
          <cell r="K634">
            <v>0</v>
          </cell>
          <cell r="L634">
            <v>0</v>
          </cell>
          <cell r="M634" t="str">
            <v>一般幹線</v>
          </cell>
          <cell r="N634">
            <v>0</v>
          </cell>
          <cell r="O634">
            <v>0</v>
          </cell>
          <cell r="P634">
            <v>0</v>
          </cell>
          <cell r="Q634">
            <v>0</v>
          </cell>
          <cell r="R634">
            <v>0</v>
          </cell>
          <cell r="S634" t="str">
            <v>個別幹線</v>
          </cell>
          <cell r="T634">
            <v>0</v>
          </cell>
          <cell r="U634">
            <v>0</v>
          </cell>
          <cell r="V634">
            <v>0</v>
          </cell>
          <cell r="W634">
            <v>0</v>
          </cell>
          <cell r="X634">
            <v>0</v>
          </cell>
          <cell r="Y634" t="str">
            <v>各階低圧盤</v>
          </cell>
          <cell r="Z634">
            <v>0</v>
          </cell>
          <cell r="AA634">
            <v>0</v>
          </cell>
          <cell r="AB634">
            <v>0</v>
          </cell>
          <cell r="AC634">
            <v>0</v>
          </cell>
          <cell r="AD634">
            <v>0</v>
          </cell>
          <cell r="AE634">
            <v>0</v>
          </cell>
          <cell r="AF634" t="str">
            <v>配管配線集計</v>
          </cell>
          <cell r="AG634">
            <v>0</v>
          </cell>
          <cell r="AH634">
            <v>0</v>
          </cell>
          <cell r="AI634">
            <v>0</v>
          </cell>
          <cell r="AJ634">
            <v>0</v>
          </cell>
          <cell r="AK634">
            <v>0</v>
          </cell>
          <cell r="AL634">
            <v>0</v>
          </cell>
        </row>
        <row r="635">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row>
        <row r="636">
          <cell r="E636">
            <v>0</v>
          </cell>
          <cell r="F636">
            <v>0</v>
          </cell>
          <cell r="G636" t="str">
            <v xml:space="preserve">  1F</v>
          </cell>
          <cell r="H636">
            <v>0</v>
          </cell>
          <cell r="I636">
            <v>0</v>
          </cell>
          <cell r="J636" t="str">
            <v>盤　 名　 称</v>
          </cell>
          <cell r="K636">
            <v>0</v>
          </cell>
          <cell r="L636">
            <v>0</v>
          </cell>
          <cell r="M636">
            <v>0</v>
          </cell>
          <cell r="N636">
            <v>0</v>
          </cell>
          <cell r="O636">
            <v>0</v>
          </cell>
          <cell r="P636">
            <v>0</v>
          </cell>
          <cell r="Q636" t="str">
            <v>幹</v>
          </cell>
          <cell r="R636">
            <v>0</v>
          </cell>
          <cell r="S636" t="str">
            <v>電　気　方　式</v>
          </cell>
          <cell r="T636">
            <v>0</v>
          </cell>
          <cell r="U636">
            <v>0</v>
          </cell>
          <cell r="V636">
            <v>0</v>
          </cell>
          <cell r="W636">
            <v>0</v>
          </cell>
          <cell r="X636">
            <v>0</v>
          </cell>
          <cell r="Y636">
            <v>0</v>
          </cell>
          <cell r="Z636">
            <v>0</v>
          </cell>
          <cell r="AA636">
            <v>0</v>
          </cell>
          <cell r="AB636" t="str">
            <v>主幹開閉器</v>
          </cell>
          <cell r="AC636">
            <v>0</v>
          </cell>
          <cell r="AD636">
            <v>0</v>
          </cell>
          <cell r="AE636">
            <v>0</v>
          </cell>
          <cell r="AF636">
            <v>0</v>
          </cell>
          <cell r="AG636">
            <v>0</v>
          </cell>
          <cell r="AH636">
            <v>0</v>
          </cell>
          <cell r="AI636">
            <v>0</v>
          </cell>
          <cell r="AJ636">
            <v>0</v>
          </cell>
          <cell r="AK636">
            <v>0</v>
          </cell>
          <cell r="AL636">
            <v>0</v>
          </cell>
        </row>
        <row r="637">
          <cell r="E637">
            <v>0</v>
          </cell>
          <cell r="F637">
            <v>0</v>
          </cell>
          <cell r="G637">
            <v>0</v>
          </cell>
          <cell r="H637">
            <v>0</v>
          </cell>
          <cell r="I637">
            <v>0</v>
          </cell>
          <cell r="J637">
            <v>0</v>
          </cell>
          <cell r="K637">
            <v>0</v>
          </cell>
          <cell r="L637">
            <v>0</v>
          </cell>
          <cell r="M637">
            <v>0</v>
          </cell>
          <cell r="N637">
            <v>0</v>
          </cell>
          <cell r="O637">
            <v>0</v>
          </cell>
          <cell r="P637">
            <v>0</v>
          </cell>
          <cell r="Q637" t="str">
            <v>線</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row>
        <row r="638">
          <cell r="E638">
            <v>0</v>
          </cell>
          <cell r="F638">
            <v>0</v>
          </cell>
          <cell r="G638">
            <v>0</v>
          </cell>
          <cell r="H638">
            <v>0</v>
          </cell>
          <cell r="I638">
            <v>0</v>
          </cell>
          <cell r="J638" t="str">
            <v/>
          </cell>
          <cell r="K638">
            <v>0</v>
          </cell>
          <cell r="L638">
            <v>0</v>
          </cell>
          <cell r="M638">
            <v>0</v>
          </cell>
          <cell r="N638">
            <v>0</v>
          </cell>
          <cell r="O638">
            <v>0</v>
          </cell>
          <cell r="P638">
            <v>0</v>
          </cell>
          <cell r="Q638" t="str">
            <v/>
          </cell>
          <cell r="R638">
            <v>0</v>
          </cell>
          <cell r="S638" t="str">
            <v xml:space="preserve"> </v>
          </cell>
          <cell r="T638">
            <v>0</v>
          </cell>
          <cell r="U638">
            <v>0</v>
          </cell>
          <cell r="V638">
            <v>0</v>
          </cell>
          <cell r="W638">
            <v>0</v>
          </cell>
          <cell r="X638">
            <v>0</v>
          </cell>
          <cell r="Y638">
            <v>0</v>
          </cell>
          <cell r="Z638">
            <v>0</v>
          </cell>
          <cell r="AA638">
            <v>0</v>
          </cell>
          <cell r="AB638" t="str">
            <v/>
          </cell>
          <cell r="AC638">
            <v>0</v>
          </cell>
          <cell r="AD638">
            <v>0</v>
          </cell>
          <cell r="AE638">
            <v>0</v>
          </cell>
          <cell r="AF638">
            <v>0</v>
          </cell>
          <cell r="AG638">
            <v>0</v>
          </cell>
          <cell r="AH638">
            <v>0</v>
          </cell>
          <cell r="AI638">
            <v>0</v>
          </cell>
          <cell r="AJ638">
            <v>0</v>
          </cell>
          <cell r="AK638">
            <v>0</v>
          </cell>
          <cell r="AL638">
            <v>0</v>
          </cell>
        </row>
        <row r="639">
          <cell r="E639">
            <v>0</v>
          </cell>
          <cell r="F639">
            <v>0</v>
          </cell>
          <cell r="G639">
            <v>0</v>
          </cell>
          <cell r="H639">
            <v>0</v>
          </cell>
          <cell r="I639">
            <v>0</v>
          </cell>
          <cell r="J639">
            <v>0</v>
          </cell>
          <cell r="K639">
            <v>0</v>
          </cell>
          <cell r="L639">
            <v>0</v>
          </cell>
          <cell r="M639">
            <v>0</v>
          </cell>
          <cell r="N639">
            <v>0</v>
          </cell>
          <cell r="O639">
            <v>0</v>
          </cell>
          <cell r="P639">
            <v>0</v>
          </cell>
          <cell r="Q639" t="str">
            <v/>
          </cell>
          <cell r="R639">
            <v>0</v>
          </cell>
          <cell r="S639" t="str">
            <v xml:space="preserve"> </v>
          </cell>
          <cell r="T639">
            <v>0</v>
          </cell>
          <cell r="U639">
            <v>0</v>
          </cell>
          <cell r="V639">
            <v>0</v>
          </cell>
          <cell r="W639">
            <v>0</v>
          </cell>
          <cell r="X639">
            <v>0</v>
          </cell>
          <cell r="Y639">
            <v>0</v>
          </cell>
          <cell r="Z639">
            <v>0</v>
          </cell>
          <cell r="AA639">
            <v>0</v>
          </cell>
          <cell r="AB639" t="str">
            <v/>
          </cell>
          <cell r="AC639">
            <v>0</v>
          </cell>
          <cell r="AD639">
            <v>0</v>
          </cell>
          <cell r="AE639">
            <v>0</v>
          </cell>
          <cell r="AF639">
            <v>0</v>
          </cell>
          <cell r="AG639">
            <v>0</v>
          </cell>
          <cell r="AH639">
            <v>0</v>
          </cell>
          <cell r="AI639">
            <v>0</v>
          </cell>
          <cell r="AJ639">
            <v>0</v>
          </cell>
          <cell r="AK639">
            <v>0</v>
          </cell>
          <cell r="AL639">
            <v>0</v>
          </cell>
        </row>
        <row r="640">
          <cell r="E640">
            <v>0</v>
          </cell>
          <cell r="F640">
            <v>0</v>
          </cell>
          <cell r="G640">
            <v>0</v>
          </cell>
          <cell r="H640">
            <v>0</v>
          </cell>
          <cell r="I640">
            <v>0</v>
          </cell>
          <cell r="J640" t="str">
            <v/>
          </cell>
          <cell r="K640">
            <v>0</v>
          </cell>
          <cell r="L640">
            <v>0</v>
          </cell>
          <cell r="M640">
            <v>0</v>
          </cell>
          <cell r="N640">
            <v>0</v>
          </cell>
          <cell r="O640">
            <v>0</v>
          </cell>
          <cell r="P640">
            <v>0</v>
          </cell>
          <cell r="Q640" t="str">
            <v/>
          </cell>
          <cell r="R640">
            <v>0</v>
          </cell>
          <cell r="S640" t="str">
            <v xml:space="preserve"> </v>
          </cell>
          <cell r="T640">
            <v>0</v>
          </cell>
          <cell r="U640">
            <v>0</v>
          </cell>
          <cell r="V640">
            <v>0</v>
          </cell>
          <cell r="W640">
            <v>0</v>
          </cell>
          <cell r="X640">
            <v>0</v>
          </cell>
          <cell r="Y640">
            <v>0</v>
          </cell>
          <cell r="Z640">
            <v>0</v>
          </cell>
          <cell r="AA640">
            <v>0</v>
          </cell>
          <cell r="AB640" t="str">
            <v/>
          </cell>
          <cell r="AC640">
            <v>0</v>
          </cell>
          <cell r="AD640">
            <v>0</v>
          </cell>
          <cell r="AE640">
            <v>0</v>
          </cell>
          <cell r="AF640">
            <v>0</v>
          </cell>
          <cell r="AG640">
            <v>0</v>
          </cell>
          <cell r="AH640">
            <v>0</v>
          </cell>
          <cell r="AI640">
            <v>0</v>
          </cell>
          <cell r="AJ640">
            <v>0</v>
          </cell>
          <cell r="AK640">
            <v>0</v>
          </cell>
          <cell r="AL640">
            <v>0</v>
          </cell>
        </row>
        <row r="641">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row>
        <row r="642">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row>
        <row r="643">
          <cell r="E643">
            <v>0</v>
          </cell>
          <cell r="F643">
            <v>0</v>
          </cell>
          <cell r="G643" t="str">
            <v xml:space="preserve">  1F</v>
          </cell>
          <cell r="H643">
            <v>0</v>
          </cell>
          <cell r="I643">
            <v>0</v>
          </cell>
          <cell r="J643" t="str">
            <v>盤　 名　 称</v>
          </cell>
          <cell r="K643">
            <v>0</v>
          </cell>
          <cell r="L643">
            <v>0</v>
          </cell>
          <cell r="M643">
            <v>0</v>
          </cell>
          <cell r="N643">
            <v>0</v>
          </cell>
          <cell r="O643">
            <v>0</v>
          </cell>
          <cell r="P643">
            <v>0</v>
          </cell>
          <cell r="Q643" t="str">
            <v>幹</v>
          </cell>
          <cell r="R643">
            <v>0</v>
          </cell>
          <cell r="S643" t="str">
            <v>電　気　方　式</v>
          </cell>
          <cell r="T643">
            <v>0</v>
          </cell>
          <cell r="U643">
            <v>0</v>
          </cell>
          <cell r="V643">
            <v>0</v>
          </cell>
          <cell r="W643">
            <v>0</v>
          </cell>
          <cell r="X643">
            <v>0</v>
          </cell>
          <cell r="Y643">
            <v>0</v>
          </cell>
          <cell r="Z643">
            <v>0</v>
          </cell>
          <cell r="AA643">
            <v>0</v>
          </cell>
          <cell r="AB643" t="str">
            <v>主幹開閉器</v>
          </cell>
          <cell r="AC643">
            <v>0</v>
          </cell>
          <cell r="AD643">
            <v>0</v>
          </cell>
          <cell r="AE643">
            <v>0</v>
          </cell>
          <cell r="AF643">
            <v>0</v>
          </cell>
          <cell r="AG643">
            <v>0</v>
          </cell>
          <cell r="AH643">
            <v>0</v>
          </cell>
          <cell r="AI643">
            <v>0</v>
          </cell>
          <cell r="AJ643">
            <v>0</v>
          </cell>
          <cell r="AK643">
            <v>0</v>
          </cell>
          <cell r="AL643">
            <v>0</v>
          </cell>
        </row>
        <row r="644">
          <cell r="E644">
            <v>0</v>
          </cell>
          <cell r="F644">
            <v>0</v>
          </cell>
          <cell r="G644">
            <v>0</v>
          </cell>
          <cell r="H644">
            <v>0</v>
          </cell>
          <cell r="I644">
            <v>0</v>
          </cell>
          <cell r="J644">
            <v>0</v>
          </cell>
          <cell r="K644">
            <v>0</v>
          </cell>
          <cell r="L644">
            <v>0</v>
          </cell>
          <cell r="M644">
            <v>0</v>
          </cell>
          <cell r="N644">
            <v>0</v>
          </cell>
          <cell r="O644">
            <v>0</v>
          </cell>
          <cell r="P644">
            <v>0</v>
          </cell>
          <cell r="Q644" t="str">
            <v>線</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row>
        <row r="645">
          <cell r="E645">
            <v>0</v>
          </cell>
          <cell r="F645">
            <v>0</v>
          </cell>
          <cell r="G645">
            <v>0</v>
          </cell>
          <cell r="H645">
            <v>0</v>
          </cell>
          <cell r="I645">
            <v>0</v>
          </cell>
          <cell r="J645" t="str">
            <v xml:space="preserve">  1M-S</v>
          </cell>
          <cell r="K645">
            <v>0</v>
          </cell>
          <cell r="L645">
            <v>0</v>
          </cell>
          <cell r="M645">
            <v>0</v>
          </cell>
          <cell r="N645">
            <v>0</v>
          </cell>
          <cell r="O645">
            <v>0</v>
          </cell>
          <cell r="P645">
            <v>0</v>
          </cell>
          <cell r="Q645" t="str">
            <v/>
          </cell>
          <cell r="R645">
            <v>0</v>
          </cell>
          <cell r="S645" t="str">
            <v xml:space="preserve"> </v>
          </cell>
          <cell r="T645">
            <v>0</v>
          </cell>
          <cell r="U645">
            <v>0</v>
          </cell>
          <cell r="V645">
            <v>0</v>
          </cell>
          <cell r="W645">
            <v>0</v>
          </cell>
          <cell r="X645">
            <v>0</v>
          </cell>
          <cell r="Y645">
            <v>0</v>
          </cell>
          <cell r="Z645">
            <v>0</v>
          </cell>
          <cell r="AA645">
            <v>0</v>
          </cell>
          <cell r="AB645" t="str">
            <v/>
          </cell>
          <cell r="AC645">
            <v>0</v>
          </cell>
          <cell r="AD645">
            <v>0</v>
          </cell>
          <cell r="AE645">
            <v>0</v>
          </cell>
          <cell r="AF645">
            <v>0</v>
          </cell>
          <cell r="AG645">
            <v>0</v>
          </cell>
          <cell r="AH645">
            <v>0</v>
          </cell>
          <cell r="AI645">
            <v>0</v>
          </cell>
          <cell r="AJ645">
            <v>0</v>
          </cell>
          <cell r="AK645">
            <v>0</v>
          </cell>
          <cell r="AL645">
            <v>0</v>
          </cell>
        </row>
        <row r="646">
          <cell r="E646">
            <v>0</v>
          </cell>
          <cell r="F646">
            <v>0</v>
          </cell>
          <cell r="G646">
            <v>0</v>
          </cell>
          <cell r="H646">
            <v>0</v>
          </cell>
          <cell r="I646">
            <v>0</v>
          </cell>
          <cell r="J646">
            <v>0</v>
          </cell>
          <cell r="K646">
            <v>0</v>
          </cell>
          <cell r="L646">
            <v>0</v>
          </cell>
          <cell r="M646">
            <v>0</v>
          </cell>
          <cell r="N646">
            <v>0</v>
          </cell>
          <cell r="O646">
            <v>0</v>
          </cell>
          <cell r="P646">
            <v>0</v>
          </cell>
          <cell r="Q646" t="str">
            <v/>
          </cell>
          <cell r="R646">
            <v>0</v>
          </cell>
          <cell r="S646" t="str">
            <v xml:space="preserve"> </v>
          </cell>
          <cell r="T646">
            <v>0</v>
          </cell>
          <cell r="U646">
            <v>0</v>
          </cell>
          <cell r="V646">
            <v>0</v>
          </cell>
          <cell r="W646">
            <v>0</v>
          </cell>
          <cell r="X646">
            <v>0</v>
          </cell>
          <cell r="Y646">
            <v>0</v>
          </cell>
          <cell r="Z646">
            <v>0</v>
          </cell>
          <cell r="AA646">
            <v>0</v>
          </cell>
          <cell r="AB646" t="str">
            <v/>
          </cell>
          <cell r="AC646">
            <v>0</v>
          </cell>
          <cell r="AD646">
            <v>0</v>
          </cell>
          <cell r="AE646">
            <v>0</v>
          </cell>
          <cell r="AF646">
            <v>0</v>
          </cell>
          <cell r="AG646">
            <v>0</v>
          </cell>
          <cell r="AH646">
            <v>0</v>
          </cell>
          <cell r="AI646">
            <v>0</v>
          </cell>
          <cell r="AJ646">
            <v>0</v>
          </cell>
          <cell r="AK646">
            <v>0</v>
          </cell>
          <cell r="AL646">
            <v>0</v>
          </cell>
        </row>
        <row r="647">
          <cell r="E647">
            <v>0</v>
          </cell>
          <cell r="F647">
            <v>0</v>
          </cell>
          <cell r="G647">
            <v>0</v>
          </cell>
          <cell r="H647">
            <v>0</v>
          </cell>
          <cell r="I647">
            <v>0</v>
          </cell>
          <cell r="J647" t="str">
            <v>衛生機械盤</v>
          </cell>
          <cell r="K647">
            <v>0</v>
          </cell>
          <cell r="L647">
            <v>0</v>
          </cell>
          <cell r="M647">
            <v>0</v>
          </cell>
          <cell r="N647">
            <v>0</v>
          </cell>
          <cell r="O647">
            <v>0</v>
          </cell>
          <cell r="P647">
            <v>0</v>
          </cell>
          <cell r="Q647">
            <v>1</v>
          </cell>
          <cell r="R647">
            <v>0</v>
          </cell>
          <cell r="S647" t="str">
            <v>3φ3W 440V</v>
          </cell>
          <cell r="T647">
            <v>0</v>
          </cell>
          <cell r="U647">
            <v>0</v>
          </cell>
          <cell r="V647">
            <v>0</v>
          </cell>
          <cell r="W647">
            <v>0</v>
          </cell>
          <cell r="X647">
            <v>0</v>
          </cell>
          <cell r="Y647">
            <v>0</v>
          </cell>
          <cell r="Z647">
            <v>0</v>
          </cell>
          <cell r="AA647">
            <v>0</v>
          </cell>
          <cell r="AB647" t="str">
            <v>MCCB  225AF/125</v>
          </cell>
          <cell r="AC647">
            <v>0</v>
          </cell>
          <cell r="AD647">
            <v>0</v>
          </cell>
          <cell r="AE647">
            <v>0</v>
          </cell>
          <cell r="AF647">
            <v>0</v>
          </cell>
          <cell r="AG647">
            <v>0</v>
          </cell>
          <cell r="AH647">
            <v>0</v>
          </cell>
          <cell r="AI647">
            <v>0</v>
          </cell>
          <cell r="AJ647">
            <v>0</v>
          </cell>
          <cell r="AK647">
            <v>0</v>
          </cell>
          <cell r="AL647">
            <v>0</v>
          </cell>
        </row>
        <row r="648">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row>
        <row r="649">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row>
        <row r="650">
          <cell r="E650">
            <v>0</v>
          </cell>
          <cell r="F650">
            <v>0</v>
          </cell>
          <cell r="G650" t="str">
            <v xml:space="preserve">  1F</v>
          </cell>
          <cell r="H650">
            <v>0</v>
          </cell>
          <cell r="I650">
            <v>0</v>
          </cell>
          <cell r="J650" t="str">
            <v>盤　 名　 称</v>
          </cell>
          <cell r="K650">
            <v>0</v>
          </cell>
          <cell r="L650">
            <v>0</v>
          </cell>
          <cell r="M650">
            <v>0</v>
          </cell>
          <cell r="N650">
            <v>0</v>
          </cell>
          <cell r="O650">
            <v>0</v>
          </cell>
          <cell r="P650">
            <v>0</v>
          </cell>
          <cell r="Q650" t="str">
            <v>幹</v>
          </cell>
          <cell r="R650">
            <v>0</v>
          </cell>
          <cell r="S650" t="str">
            <v>電　気　方　式</v>
          </cell>
          <cell r="T650">
            <v>0</v>
          </cell>
          <cell r="U650">
            <v>0</v>
          </cell>
          <cell r="V650">
            <v>0</v>
          </cell>
          <cell r="W650">
            <v>0</v>
          </cell>
          <cell r="X650">
            <v>0</v>
          </cell>
          <cell r="Y650">
            <v>0</v>
          </cell>
          <cell r="Z650">
            <v>0</v>
          </cell>
          <cell r="AA650">
            <v>0</v>
          </cell>
          <cell r="AB650" t="str">
            <v>主幹開閉器</v>
          </cell>
          <cell r="AC650">
            <v>0</v>
          </cell>
          <cell r="AD650">
            <v>0</v>
          </cell>
          <cell r="AE650">
            <v>0</v>
          </cell>
          <cell r="AF650">
            <v>0</v>
          </cell>
          <cell r="AG650">
            <v>0</v>
          </cell>
          <cell r="AH650">
            <v>0</v>
          </cell>
          <cell r="AI650">
            <v>0</v>
          </cell>
          <cell r="AJ650">
            <v>0</v>
          </cell>
          <cell r="AK650">
            <v>0</v>
          </cell>
          <cell r="AL650">
            <v>0</v>
          </cell>
        </row>
        <row r="651">
          <cell r="E651">
            <v>0</v>
          </cell>
          <cell r="F651">
            <v>0</v>
          </cell>
          <cell r="G651">
            <v>0</v>
          </cell>
          <cell r="H651">
            <v>0</v>
          </cell>
          <cell r="I651">
            <v>0</v>
          </cell>
          <cell r="J651">
            <v>0</v>
          </cell>
          <cell r="K651">
            <v>0</v>
          </cell>
          <cell r="L651">
            <v>0</v>
          </cell>
          <cell r="M651">
            <v>0</v>
          </cell>
          <cell r="N651">
            <v>0</v>
          </cell>
          <cell r="O651">
            <v>0</v>
          </cell>
          <cell r="P651">
            <v>0</v>
          </cell>
          <cell r="Q651" t="str">
            <v>線</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row>
        <row r="652">
          <cell r="E652">
            <v>0</v>
          </cell>
          <cell r="F652">
            <v>0</v>
          </cell>
          <cell r="G652">
            <v>0</v>
          </cell>
          <cell r="H652">
            <v>0</v>
          </cell>
          <cell r="I652">
            <v>0</v>
          </cell>
          <cell r="J652" t="str">
            <v xml:space="preserve">  1M-K</v>
          </cell>
          <cell r="K652">
            <v>0</v>
          </cell>
          <cell r="L652">
            <v>0</v>
          </cell>
          <cell r="M652">
            <v>0</v>
          </cell>
          <cell r="N652">
            <v>0</v>
          </cell>
          <cell r="O652">
            <v>0</v>
          </cell>
          <cell r="P652">
            <v>0</v>
          </cell>
          <cell r="Q652">
            <v>1</v>
          </cell>
          <cell r="R652">
            <v>0</v>
          </cell>
          <cell r="S652" t="str">
            <v>1φ3W 210V</v>
          </cell>
          <cell r="T652">
            <v>0</v>
          </cell>
          <cell r="U652">
            <v>0</v>
          </cell>
          <cell r="V652">
            <v>0</v>
          </cell>
          <cell r="W652">
            <v>0</v>
          </cell>
          <cell r="X652">
            <v>0</v>
          </cell>
          <cell r="Y652">
            <v>0</v>
          </cell>
          <cell r="Z652">
            <v>0</v>
          </cell>
          <cell r="AA652">
            <v>0</v>
          </cell>
          <cell r="AB652" t="str">
            <v>MCCB  100AF/75</v>
          </cell>
          <cell r="AC652">
            <v>0</v>
          </cell>
          <cell r="AD652">
            <v>0</v>
          </cell>
          <cell r="AE652">
            <v>0</v>
          </cell>
          <cell r="AF652">
            <v>0</v>
          </cell>
          <cell r="AG652">
            <v>0</v>
          </cell>
          <cell r="AH652">
            <v>0</v>
          </cell>
          <cell r="AI652">
            <v>0</v>
          </cell>
          <cell r="AJ652">
            <v>0</v>
          </cell>
          <cell r="AK652">
            <v>0</v>
          </cell>
          <cell r="AL652">
            <v>0</v>
          </cell>
        </row>
        <row r="653">
          <cell r="E653">
            <v>0</v>
          </cell>
          <cell r="F653">
            <v>0</v>
          </cell>
          <cell r="G653">
            <v>0</v>
          </cell>
          <cell r="H653">
            <v>0</v>
          </cell>
          <cell r="I653">
            <v>0</v>
          </cell>
          <cell r="J653">
            <v>0</v>
          </cell>
          <cell r="K653">
            <v>0</v>
          </cell>
          <cell r="L653">
            <v>0</v>
          </cell>
          <cell r="M653">
            <v>0</v>
          </cell>
          <cell r="N653">
            <v>0</v>
          </cell>
          <cell r="O653">
            <v>0</v>
          </cell>
          <cell r="P653">
            <v>0</v>
          </cell>
          <cell r="Q653">
            <v>2</v>
          </cell>
          <cell r="R653">
            <v>0</v>
          </cell>
          <cell r="S653" t="str">
            <v>3φ3W 210V</v>
          </cell>
          <cell r="T653">
            <v>0</v>
          </cell>
          <cell r="U653">
            <v>0</v>
          </cell>
          <cell r="V653">
            <v>0</v>
          </cell>
          <cell r="W653">
            <v>0</v>
          </cell>
          <cell r="X653">
            <v>0</v>
          </cell>
          <cell r="Y653">
            <v>0</v>
          </cell>
          <cell r="Z653">
            <v>0</v>
          </cell>
          <cell r="AA653">
            <v>0</v>
          </cell>
          <cell r="AB653" t="str">
            <v>MCCB  225AF/225</v>
          </cell>
          <cell r="AC653">
            <v>0</v>
          </cell>
          <cell r="AD653">
            <v>0</v>
          </cell>
          <cell r="AE653">
            <v>0</v>
          </cell>
          <cell r="AF653">
            <v>0</v>
          </cell>
          <cell r="AG653">
            <v>0</v>
          </cell>
          <cell r="AH653">
            <v>0</v>
          </cell>
          <cell r="AI653">
            <v>0</v>
          </cell>
          <cell r="AJ653">
            <v>0</v>
          </cell>
          <cell r="AK653">
            <v>0</v>
          </cell>
          <cell r="AL653">
            <v>0</v>
          </cell>
        </row>
        <row r="654">
          <cell r="E654">
            <v>0</v>
          </cell>
          <cell r="F654">
            <v>0</v>
          </cell>
          <cell r="G654">
            <v>0</v>
          </cell>
          <cell r="H654">
            <v>0</v>
          </cell>
          <cell r="I654">
            <v>0</v>
          </cell>
          <cell r="J654" t="str">
            <v>厨房機器盤</v>
          </cell>
          <cell r="K654">
            <v>0</v>
          </cell>
          <cell r="L654">
            <v>0</v>
          </cell>
          <cell r="M654">
            <v>0</v>
          </cell>
          <cell r="N654">
            <v>0</v>
          </cell>
          <cell r="O654">
            <v>0</v>
          </cell>
          <cell r="P654">
            <v>0</v>
          </cell>
          <cell r="Q654" t="str">
            <v/>
          </cell>
          <cell r="R654">
            <v>0</v>
          </cell>
          <cell r="S654" t="str">
            <v xml:space="preserve"> </v>
          </cell>
          <cell r="T654">
            <v>0</v>
          </cell>
          <cell r="U654">
            <v>0</v>
          </cell>
          <cell r="V654">
            <v>0</v>
          </cell>
          <cell r="W654">
            <v>0</v>
          </cell>
          <cell r="X654">
            <v>0</v>
          </cell>
          <cell r="Y654">
            <v>0</v>
          </cell>
          <cell r="Z654">
            <v>0</v>
          </cell>
          <cell r="AA654">
            <v>0</v>
          </cell>
          <cell r="AB654" t="str">
            <v/>
          </cell>
          <cell r="AC654">
            <v>0</v>
          </cell>
          <cell r="AD654">
            <v>0</v>
          </cell>
          <cell r="AE654">
            <v>0</v>
          </cell>
          <cell r="AF654">
            <v>0</v>
          </cell>
          <cell r="AG654">
            <v>0</v>
          </cell>
          <cell r="AH654">
            <v>0</v>
          </cell>
          <cell r="AI654">
            <v>0</v>
          </cell>
          <cell r="AJ654">
            <v>0</v>
          </cell>
          <cell r="AK654">
            <v>0</v>
          </cell>
          <cell r="AL654">
            <v>0</v>
          </cell>
        </row>
        <row r="655">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row>
        <row r="656">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row>
        <row r="657">
          <cell r="E657">
            <v>0</v>
          </cell>
          <cell r="F657">
            <v>0</v>
          </cell>
          <cell r="G657" t="str">
            <v xml:space="preserve">  1F</v>
          </cell>
          <cell r="H657">
            <v>0</v>
          </cell>
          <cell r="I657">
            <v>0</v>
          </cell>
          <cell r="J657" t="str">
            <v>盤　 名　 称</v>
          </cell>
          <cell r="K657">
            <v>0</v>
          </cell>
          <cell r="L657">
            <v>0</v>
          </cell>
          <cell r="M657">
            <v>0</v>
          </cell>
          <cell r="N657">
            <v>0</v>
          </cell>
          <cell r="O657">
            <v>0</v>
          </cell>
          <cell r="P657">
            <v>0</v>
          </cell>
          <cell r="Q657" t="str">
            <v>幹</v>
          </cell>
          <cell r="R657">
            <v>0</v>
          </cell>
          <cell r="S657" t="str">
            <v>電　気　方　式</v>
          </cell>
          <cell r="T657">
            <v>0</v>
          </cell>
          <cell r="U657">
            <v>0</v>
          </cell>
          <cell r="V657">
            <v>0</v>
          </cell>
          <cell r="W657">
            <v>0</v>
          </cell>
          <cell r="X657">
            <v>0</v>
          </cell>
          <cell r="Y657">
            <v>0</v>
          </cell>
          <cell r="Z657">
            <v>0</v>
          </cell>
          <cell r="AA657">
            <v>0</v>
          </cell>
          <cell r="AB657" t="str">
            <v>主幹開閉器</v>
          </cell>
          <cell r="AC657">
            <v>0</v>
          </cell>
          <cell r="AD657">
            <v>0</v>
          </cell>
          <cell r="AE657">
            <v>0</v>
          </cell>
          <cell r="AF657">
            <v>0</v>
          </cell>
          <cell r="AG657">
            <v>0</v>
          </cell>
          <cell r="AH657">
            <v>0</v>
          </cell>
          <cell r="AI657">
            <v>0</v>
          </cell>
          <cell r="AJ657">
            <v>0</v>
          </cell>
          <cell r="AK657">
            <v>0</v>
          </cell>
          <cell r="AL657">
            <v>0</v>
          </cell>
        </row>
        <row r="658">
          <cell r="E658">
            <v>0</v>
          </cell>
          <cell r="F658">
            <v>0</v>
          </cell>
          <cell r="G658">
            <v>0</v>
          </cell>
          <cell r="H658">
            <v>0</v>
          </cell>
          <cell r="I658">
            <v>0</v>
          </cell>
          <cell r="J658">
            <v>0</v>
          </cell>
          <cell r="K658">
            <v>0</v>
          </cell>
          <cell r="L658">
            <v>0</v>
          </cell>
          <cell r="M658">
            <v>0</v>
          </cell>
          <cell r="N658">
            <v>0</v>
          </cell>
          <cell r="O658">
            <v>0</v>
          </cell>
          <cell r="P658">
            <v>0</v>
          </cell>
          <cell r="Q658" t="str">
            <v>線</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row>
        <row r="659">
          <cell r="E659">
            <v>0</v>
          </cell>
          <cell r="F659">
            <v>0</v>
          </cell>
          <cell r="G659">
            <v>0</v>
          </cell>
          <cell r="H659">
            <v>0</v>
          </cell>
          <cell r="I659">
            <v>0</v>
          </cell>
          <cell r="J659" t="str">
            <v xml:space="preserve">  1M-B</v>
          </cell>
          <cell r="K659">
            <v>0</v>
          </cell>
          <cell r="L659">
            <v>0</v>
          </cell>
          <cell r="M659">
            <v>0</v>
          </cell>
          <cell r="N659">
            <v>0</v>
          </cell>
          <cell r="O659">
            <v>0</v>
          </cell>
          <cell r="P659">
            <v>0</v>
          </cell>
          <cell r="Q659" t="str">
            <v/>
          </cell>
          <cell r="R659">
            <v>0</v>
          </cell>
          <cell r="S659" t="str">
            <v xml:space="preserve"> </v>
          </cell>
          <cell r="T659">
            <v>0</v>
          </cell>
          <cell r="U659">
            <v>0</v>
          </cell>
          <cell r="V659">
            <v>0</v>
          </cell>
          <cell r="W659">
            <v>0</v>
          </cell>
          <cell r="X659">
            <v>0</v>
          </cell>
          <cell r="Y659">
            <v>0</v>
          </cell>
          <cell r="Z659">
            <v>0</v>
          </cell>
          <cell r="AA659">
            <v>0</v>
          </cell>
          <cell r="AB659" t="str">
            <v/>
          </cell>
          <cell r="AC659">
            <v>0</v>
          </cell>
          <cell r="AD659">
            <v>0</v>
          </cell>
          <cell r="AE659">
            <v>0</v>
          </cell>
          <cell r="AF659">
            <v>0</v>
          </cell>
          <cell r="AG659">
            <v>0</v>
          </cell>
          <cell r="AH659">
            <v>0</v>
          </cell>
          <cell r="AI659">
            <v>0</v>
          </cell>
          <cell r="AJ659">
            <v>0</v>
          </cell>
          <cell r="AK659">
            <v>0</v>
          </cell>
          <cell r="AL659">
            <v>0</v>
          </cell>
        </row>
        <row r="660">
          <cell r="E660">
            <v>0</v>
          </cell>
          <cell r="F660">
            <v>0</v>
          </cell>
          <cell r="G660">
            <v>0</v>
          </cell>
          <cell r="H660">
            <v>0</v>
          </cell>
          <cell r="I660">
            <v>0</v>
          </cell>
          <cell r="J660">
            <v>0</v>
          </cell>
          <cell r="K660">
            <v>0</v>
          </cell>
          <cell r="L660">
            <v>0</v>
          </cell>
          <cell r="M660">
            <v>0</v>
          </cell>
          <cell r="N660">
            <v>0</v>
          </cell>
          <cell r="O660">
            <v>0</v>
          </cell>
          <cell r="P660">
            <v>0</v>
          </cell>
          <cell r="Q660">
            <v>3</v>
          </cell>
          <cell r="R660">
            <v>0</v>
          </cell>
          <cell r="S660" t="str">
            <v>3φ3W 210V</v>
          </cell>
          <cell r="T660">
            <v>0</v>
          </cell>
          <cell r="U660">
            <v>0</v>
          </cell>
          <cell r="V660">
            <v>0</v>
          </cell>
          <cell r="W660">
            <v>0</v>
          </cell>
          <cell r="X660">
            <v>0</v>
          </cell>
          <cell r="Y660">
            <v>0</v>
          </cell>
          <cell r="Z660">
            <v>0</v>
          </cell>
          <cell r="AA660">
            <v>0</v>
          </cell>
          <cell r="AB660" t="str">
            <v>MCCB  225AF/225</v>
          </cell>
          <cell r="AC660">
            <v>0</v>
          </cell>
          <cell r="AD660">
            <v>0</v>
          </cell>
          <cell r="AE660">
            <v>0</v>
          </cell>
          <cell r="AF660">
            <v>0</v>
          </cell>
          <cell r="AG660">
            <v>0</v>
          </cell>
          <cell r="AH660">
            <v>0</v>
          </cell>
          <cell r="AI660">
            <v>0</v>
          </cell>
          <cell r="AJ660">
            <v>0</v>
          </cell>
          <cell r="AK660">
            <v>0</v>
          </cell>
          <cell r="AL660">
            <v>0</v>
          </cell>
        </row>
        <row r="661">
          <cell r="E661">
            <v>0</v>
          </cell>
          <cell r="F661">
            <v>0</v>
          </cell>
          <cell r="G661">
            <v>0</v>
          </cell>
          <cell r="H661">
            <v>0</v>
          </cell>
          <cell r="I661">
            <v>0</v>
          </cell>
          <cell r="J661" t="str">
            <v>建築動力盤</v>
          </cell>
          <cell r="K661">
            <v>0</v>
          </cell>
          <cell r="L661">
            <v>0</v>
          </cell>
          <cell r="M661">
            <v>0</v>
          </cell>
          <cell r="N661">
            <v>0</v>
          </cell>
          <cell r="O661">
            <v>0</v>
          </cell>
          <cell r="P661">
            <v>0</v>
          </cell>
          <cell r="Q661" t="str">
            <v/>
          </cell>
          <cell r="R661">
            <v>0</v>
          </cell>
          <cell r="S661" t="str">
            <v xml:space="preserve"> </v>
          </cell>
          <cell r="T661">
            <v>0</v>
          </cell>
          <cell r="U661">
            <v>0</v>
          </cell>
          <cell r="V661">
            <v>0</v>
          </cell>
          <cell r="W661">
            <v>0</v>
          </cell>
          <cell r="X661">
            <v>0</v>
          </cell>
          <cell r="Y661">
            <v>0</v>
          </cell>
          <cell r="Z661">
            <v>0</v>
          </cell>
          <cell r="AA661">
            <v>0</v>
          </cell>
          <cell r="AB661" t="str">
            <v/>
          </cell>
          <cell r="AC661">
            <v>0</v>
          </cell>
          <cell r="AD661">
            <v>0</v>
          </cell>
          <cell r="AE661">
            <v>0</v>
          </cell>
          <cell r="AF661">
            <v>0</v>
          </cell>
          <cell r="AG661">
            <v>0</v>
          </cell>
          <cell r="AH661">
            <v>0</v>
          </cell>
          <cell r="AI661">
            <v>0</v>
          </cell>
          <cell r="AJ661">
            <v>0</v>
          </cell>
          <cell r="AK661">
            <v>0</v>
          </cell>
          <cell r="AL661">
            <v>0</v>
          </cell>
        </row>
        <row r="662">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row>
        <row r="663">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row>
        <row r="664">
          <cell r="E664">
            <v>0</v>
          </cell>
          <cell r="F664">
            <v>0</v>
          </cell>
          <cell r="G664" t="str">
            <v xml:space="preserve"> B2F</v>
          </cell>
          <cell r="H664">
            <v>0</v>
          </cell>
          <cell r="I664">
            <v>0</v>
          </cell>
          <cell r="J664" t="str">
            <v>盤　 名　 称</v>
          </cell>
          <cell r="K664">
            <v>0</v>
          </cell>
          <cell r="L664">
            <v>0</v>
          </cell>
          <cell r="M664">
            <v>0</v>
          </cell>
          <cell r="N664">
            <v>0</v>
          </cell>
          <cell r="O664">
            <v>0</v>
          </cell>
          <cell r="P664">
            <v>0</v>
          </cell>
          <cell r="Q664" t="str">
            <v>幹</v>
          </cell>
          <cell r="R664">
            <v>0</v>
          </cell>
          <cell r="S664" t="str">
            <v>電　気　方　式</v>
          </cell>
          <cell r="T664">
            <v>0</v>
          </cell>
          <cell r="U664">
            <v>0</v>
          </cell>
          <cell r="V664">
            <v>0</v>
          </cell>
          <cell r="W664">
            <v>0</v>
          </cell>
          <cell r="X664">
            <v>0</v>
          </cell>
          <cell r="Y664">
            <v>0</v>
          </cell>
          <cell r="Z664">
            <v>0</v>
          </cell>
          <cell r="AA664">
            <v>0</v>
          </cell>
          <cell r="AB664" t="str">
            <v>主幹開閉器</v>
          </cell>
          <cell r="AC664">
            <v>0</v>
          </cell>
          <cell r="AD664">
            <v>0</v>
          </cell>
          <cell r="AE664">
            <v>0</v>
          </cell>
          <cell r="AF664">
            <v>0</v>
          </cell>
          <cell r="AG664">
            <v>0</v>
          </cell>
          <cell r="AH664">
            <v>0</v>
          </cell>
          <cell r="AI664">
            <v>0</v>
          </cell>
          <cell r="AJ664">
            <v>0</v>
          </cell>
          <cell r="AK664">
            <v>0</v>
          </cell>
          <cell r="AL664">
            <v>0</v>
          </cell>
        </row>
        <row r="665">
          <cell r="E665">
            <v>0</v>
          </cell>
          <cell r="F665">
            <v>0</v>
          </cell>
          <cell r="G665">
            <v>0</v>
          </cell>
          <cell r="H665">
            <v>0</v>
          </cell>
          <cell r="I665">
            <v>0</v>
          </cell>
          <cell r="J665">
            <v>0</v>
          </cell>
          <cell r="K665">
            <v>0</v>
          </cell>
          <cell r="L665">
            <v>0</v>
          </cell>
          <cell r="M665">
            <v>0</v>
          </cell>
          <cell r="N665">
            <v>0</v>
          </cell>
          <cell r="O665">
            <v>0</v>
          </cell>
          <cell r="P665">
            <v>0</v>
          </cell>
          <cell r="Q665" t="str">
            <v>線</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row>
        <row r="666">
          <cell r="E666">
            <v>0</v>
          </cell>
          <cell r="F666">
            <v>0</v>
          </cell>
          <cell r="G666">
            <v>0</v>
          </cell>
          <cell r="H666">
            <v>0</v>
          </cell>
          <cell r="I666">
            <v>0</v>
          </cell>
          <cell r="J666" t="str">
            <v xml:space="preserve"> B2M-E</v>
          </cell>
          <cell r="K666">
            <v>0</v>
          </cell>
          <cell r="L666">
            <v>0</v>
          </cell>
          <cell r="M666">
            <v>0</v>
          </cell>
          <cell r="N666">
            <v>0</v>
          </cell>
          <cell r="O666">
            <v>0</v>
          </cell>
          <cell r="P666">
            <v>0</v>
          </cell>
          <cell r="Q666" t="str">
            <v/>
          </cell>
          <cell r="R666">
            <v>0</v>
          </cell>
          <cell r="S666" t="str">
            <v xml:space="preserve"> </v>
          </cell>
          <cell r="T666">
            <v>0</v>
          </cell>
          <cell r="U666">
            <v>0</v>
          </cell>
          <cell r="V666">
            <v>0</v>
          </cell>
          <cell r="W666">
            <v>0</v>
          </cell>
          <cell r="X666">
            <v>0</v>
          </cell>
          <cell r="Y666">
            <v>0</v>
          </cell>
          <cell r="Z666">
            <v>0</v>
          </cell>
          <cell r="AA666">
            <v>0</v>
          </cell>
          <cell r="AB666" t="str">
            <v/>
          </cell>
          <cell r="AC666">
            <v>0</v>
          </cell>
          <cell r="AD666">
            <v>0</v>
          </cell>
          <cell r="AE666">
            <v>0</v>
          </cell>
          <cell r="AF666">
            <v>0</v>
          </cell>
          <cell r="AG666">
            <v>0</v>
          </cell>
          <cell r="AH666">
            <v>0</v>
          </cell>
          <cell r="AI666">
            <v>0</v>
          </cell>
          <cell r="AJ666">
            <v>0</v>
          </cell>
          <cell r="AK666">
            <v>0</v>
          </cell>
          <cell r="AL666">
            <v>0</v>
          </cell>
        </row>
        <row r="667">
          <cell r="E667">
            <v>0</v>
          </cell>
          <cell r="F667">
            <v>0</v>
          </cell>
          <cell r="G667">
            <v>0</v>
          </cell>
          <cell r="H667">
            <v>0</v>
          </cell>
          <cell r="I667">
            <v>0</v>
          </cell>
          <cell r="J667">
            <v>0</v>
          </cell>
          <cell r="K667">
            <v>0</v>
          </cell>
          <cell r="L667">
            <v>0</v>
          </cell>
          <cell r="M667">
            <v>0</v>
          </cell>
          <cell r="N667">
            <v>0</v>
          </cell>
          <cell r="O667">
            <v>0</v>
          </cell>
          <cell r="P667">
            <v>0</v>
          </cell>
          <cell r="Q667">
            <v>2</v>
          </cell>
          <cell r="R667">
            <v>0</v>
          </cell>
          <cell r="S667" t="str">
            <v>3φ3W 210V</v>
          </cell>
          <cell r="T667">
            <v>0</v>
          </cell>
          <cell r="U667">
            <v>0</v>
          </cell>
          <cell r="V667">
            <v>0</v>
          </cell>
          <cell r="W667">
            <v>0</v>
          </cell>
          <cell r="X667">
            <v>0</v>
          </cell>
          <cell r="Y667">
            <v>0</v>
          </cell>
          <cell r="Z667">
            <v>0</v>
          </cell>
          <cell r="AA667">
            <v>0</v>
          </cell>
          <cell r="AB667" t="str">
            <v>MCCB  225AF/200</v>
          </cell>
          <cell r="AC667">
            <v>0</v>
          </cell>
          <cell r="AD667">
            <v>0</v>
          </cell>
          <cell r="AE667">
            <v>0</v>
          </cell>
          <cell r="AF667">
            <v>0</v>
          </cell>
          <cell r="AG667">
            <v>0</v>
          </cell>
          <cell r="AH667">
            <v>0</v>
          </cell>
          <cell r="AI667">
            <v>0</v>
          </cell>
          <cell r="AJ667">
            <v>0</v>
          </cell>
          <cell r="AK667">
            <v>0</v>
          </cell>
          <cell r="AL667">
            <v>0</v>
          </cell>
        </row>
        <row r="668">
          <cell r="E668">
            <v>0</v>
          </cell>
          <cell r="F668">
            <v>0</v>
          </cell>
          <cell r="G668">
            <v>0</v>
          </cell>
          <cell r="H668">
            <v>0</v>
          </cell>
          <cell r="I668">
            <v>0</v>
          </cell>
          <cell r="J668" t="str">
            <v>防災動力盤</v>
          </cell>
          <cell r="K668">
            <v>0</v>
          </cell>
          <cell r="L668">
            <v>0</v>
          </cell>
          <cell r="M668">
            <v>0</v>
          </cell>
          <cell r="N668">
            <v>0</v>
          </cell>
          <cell r="O668">
            <v>0</v>
          </cell>
          <cell r="P668">
            <v>0</v>
          </cell>
          <cell r="Q668" t="str">
            <v/>
          </cell>
          <cell r="R668">
            <v>0</v>
          </cell>
          <cell r="S668" t="str">
            <v xml:space="preserve"> </v>
          </cell>
          <cell r="T668">
            <v>0</v>
          </cell>
          <cell r="U668">
            <v>0</v>
          </cell>
          <cell r="V668">
            <v>0</v>
          </cell>
          <cell r="W668">
            <v>0</v>
          </cell>
          <cell r="X668">
            <v>0</v>
          </cell>
          <cell r="Y668">
            <v>0</v>
          </cell>
          <cell r="Z668">
            <v>0</v>
          </cell>
          <cell r="AA668">
            <v>0</v>
          </cell>
          <cell r="AB668" t="str">
            <v/>
          </cell>
          <cell r="AC668">
            <v>0</v>
          </cell>
          <cell r="AD668">
            <v>0</v>
          </cell>
          <cell r="AE668">
            <v>0</v>
          </cell>
          <cell r="AF668">
            <v>0</v>
          </cell>
          <cell r="AG668">
            <v>0</v>
          </cell>
          <cell r="AH668">
            <v>0</v>
          </cell>
          <cell r="AI668">
            <v>0</v>
          </cell>
          <cell r="AJ668">
            <v>0</v>
          </cell>
          <cell r="AK668">
            <v>0</v>
          </cell>
          <cell r="AL668">
            <v>0</v>
          </cell>
        </row>
        <row r="669">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row>
        <row r="671">
          <cell r="E671">
            <v>0</v>
          </cell>
          <cell r="F671">
            <v>0</v>
          </cell>
          <cell r="G671" t="str">
            <v xml:space="preserve">  1F</v>
          </cell>
          <cell r="H671">
            <v>0</v>
          </cell>
          <cell r="I671">
            <v>0</v>
          </cell>
          <cell r="J671" t="str">
            <v>盤　 名　 称</v>
          </cell>
          <cell r="K671">
            <v>0</v>
          </cell>
          <cell r="L671">
            <v>0</v>
          </cell>
          <cell r="M671">
            <v>0</v>
          </cell>
          <cell r="N671">
            <v>0</v>
          </cell>
          <cell r="O671">
            <v>0</v>
          </cell>
          <cell r="P671">
            <v>0</v>
          </cell>
          <cell r="Q671" t="str">
            <v>幹</v>
          </cell>
          <cell r="R671">
            <v>0</v>
          </cell>
          <cell r="S671" t="str">
            <v>電　気　方　式</v>
          </cell>
          <cell r="T671">
            <v>0</v>
          </cell>
          <cell r="U671">
            <v>0</v>
          </cell>
          <cell r="V671">
            <v>0</v>
          </cell>
          <cell r="W671">
            <v>0</v>
          </cell>
          <cell r="X671">
            <v>0</v>
          </cell>
          <cell r="Y671">
            <v>0</v>
          </cell>
          <cell r="Z671">
            <v>0</v>
          </cell>
          <cell r="AA671">
            <v>0</v>
          </cell>
          <cell r="AB671" t="str">
            <v>主幹開閉器</v>
          </cell>
          <cell r="AC671">
            <v>0</v>
          </cell>
          <cell r="AD671">
            <v>0</v>
          </cell>
          <cell r="AE671">
            <v>0</v>
          </cell>
          <cell r="AF671">
            <v>0</v>
          </cell>
          <cell r="AG671">
            <v>0</v>
          </cell>
          <cell r="AH671">
            <v>0</v>
          </cell>
          <cell r="AI671">
            <v>0</v>
          </cell>
          <cell r="AJ671">
            <v>0</v>
          </cell>
          <cell r="AK671">
            <v>0</v>
          </cell>
          <cell r="AL671">
            <v>0</v>
          </cell>
        </row>
        <row r="672">
          <cell r="E672">
            <v>0</v>
          </cell>
          <cell r="F672">
            <v>0</v>
          </cell>
          <cell r="G672">
            <v>0</v>
          </cell>
          <cell r="H672">
            <v>0</v>
          </cell>
          <cell r="I672">
            <v>0</v>
          </cell>
          <cell r="J672">
            <v>0</v>
          </cell>
          <cell r="K672">
            <v>0</v>
          </cell>
          <cell r="L672">
            <v>0</v>
          </cell>
          <cell r="M672">
            <v>0</v>
          </cell>
          <cell r="N672">
            <v>0</v>
          </cell>
          <cell r="O672">
            <v>0</v>
          </cell>
          <cell r="P672">
            <v>0</v>
          </cell>
          <cell r="Q672" t="str">
            <v>線</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row>
        <row r="673">
          <cell r="E673">
            <v>0</v>
          </cell>
          <cell r="F673">
            <v>0</v>
          </cell>
          <cell r="G673">
            <v>0</v>
          </cell>
          <cell r="H673">
            <v>0</v>
          </cell>
          <cell r="I673">
            <v>0</v>
          </cell>
          <cell r="J673" t="str">
            <v/>
          </cell>
          <cell r="K673">
            <v>0</v>
          </cell>
          <cell r="L673">
            <v>0</v>
          </cell>
          <cell r="M673">
            <v>0</v>
          </cell>
          <cell r="N673">
            <v>0</v>
          </cell>
          <cell r="O673">
            <v>0</v>
          </cell>
          <cell r="P673">
            <v>0</v>
          </cell>
          <cell r="Q673" t="str">
            <v/>
          </cell>
          <cell r="R673">
            <v>0</v>
          </cell>
          <cell r="S673" t="str">
            <v xml:space="preserve"> </v>
          </cell>
          <cell r="T673">
            <v>0</v>
          </cell>
          <cell r="U673">
            <v>0</v>
          </cell>
          <cell r="V673">
            <v>0</v>
          </cell>
          <cell r="W673">
            <v>0</v>
          </cell>
          <cell r="X673">
            <v>0</v>
          </cell>
          <cell r="Y673">
            <v>0</v>
          </cell>
          <cell r="Z673">
            <v>0</v>
          </cell>
          <cell r="AA673">
            <v>0</v>
          </cell>
          <cell r="AB673" t="str">
            <v/>
          </cell>
          <cell r="AC673">
            <v>0</v>
          </cell>
          <cell r="AD673">
            <v>0</v>
          </cell>
          <cell r="AE673">
            <v>0</v>
          </cell>
          <cell r="AF673">
            <v>0</v>
          </cell>
          <cell r="AG673">
            <v>0</v>
          </cell>
          <cell r="AH673">
            <v>0</v>
          </cell>
          <cell r="AI673">
            <v>0</v>
          </cell>
          <cell r="AJ673">
            <v>0</v>
          </cell>
          <cell r="AK673">
            <v>0</v>
          </cell>
          <cell r="AL673">
            <v>0</v>
          </cell>
        </row>
        <row r="674">
          <cell r="E674">
            <v>0</v>
          </cell>
          <cell r="F674">
            <v>0</v>
          </cell>
          <cell r="G674">
            <v>0</v>
          </cell>
          <cell r="H674">
            <v>0</v>
          </cell>
          <cell r="I674">
            <v>0</v>
          </cell>
          <cell r="J674">
            <v>0</v>
          </cell>
          <cell r="K674">
            <v>0</v>
          </cell>
          <cell r="L674">
            <v>0</v>
          </cell>
          <cell r="M674">
            <v>0</v>
          </cell>
          <cell r="N674">
            <v>0</v>
          </cell>
          <cell r="O674">
            <v>0</v>
          </cell>
          <cell r="P674">
            <v>0</v>
          </cell>
          <cell r="Q674" t="str">
            <v/>
          </cell>
          <cell r="R674">
            <v>0</v>
          </cell>
          <cell r="S674" t="str">
            <v xml:space="preserve"> </v>
          </cell>
          <cell r="T674">
            <v>0</v>
          </cell>
          <cell r="U674">
            <v>0</v>
          </cell>
          <cell r="V674">
            <v>0</v>
          </cell>
          <cell r="W674">
            <v>0</v>
          </cell>
          <cell r="X674">
            <v>0</v>
          </cell>
          <cell r="Y674">
            <v>0</v>
          </cell>
          <cell r="Z674">
            <v>0</v>
          </cell>
          <cell r="AA674">
            <v>0</v>
          </cell>
          <cell r="AB674" t="str">
            <v/>
          </cell>
          <cell r="AC674">
            <v>0</v>
          </cell>
          <cell r="AD674">
            <v>0</v>
          </cell>
          <cell r="AE674">
            <v>0</v>
          </cell>
          <cell r="AF674">
            <v>0</v>
          </cell>
          <cell r="AG674">
            <v>0</v>
          </cell>
          <cell r="AH674">
            <v>0</v>
          </cell>
          <cell r="AI674">
            <v>0</v>
          </cell>
          <cell r="AJ674">
            <v>0</v>
          </cell>
          <cell r="AK674">
            <v>0</v>
          </cell>
          <cell r="AL674">
            <v>0</v>
          </cell>
        </row>
        <row r="675">
          <cell r="E675">
            <v>0</v>
          </cell>
          <cell r="F675">
            <v>0</v>
          </cell>
          <cell r="G675">
            <v>0</v>
          </cell>
          <cell r="H675">
            <v>0</v>
          </cell>
          <cell r="I675">
            <v>0</v>
          </cell>
          <cell r="J675" t="str">
            <v/>
          </cell>
          <cell r="K675">
            <v>0</v>
          </cell>
          <cell r="L675">
            <v>0</v>
          </cell>
          <cell r="M675">
            <v>0</v>
          </cell>
          <cell r="N675">
            <v>0</v>
          </cell>
          <cell r="O675">
            <v>0</v>
          </cell>
          <cell r="P675">
            <v>0</v>
          </cell>
          <cell r="Q675" t="str">
            <v/>
          </cell>
          <cell r="R675">
            <v>0</v>
          </cell>
          <cell r="S675" t="str">
            <v xml:space="preserve"> </v>
          </cell>
          <cell r="T675">
            <v>0</v>
          </cell>
          <cell r="U675">
            <v>0</v>
          </cell>
          <cell r="V675">
            <v>0</v>
          </cell>
          <cell r="W675">
            <v>0</v>
          </cell>
          <cell r="X675">
            <v>0</v>
          </cell>
          <cell r="Y675">
            <v>0</v>
          </cell>
          <cell r="Z675">
            <v>0</v>
          </cell>
          <cell r="AA675">
            <v>0</v>
          </cell>
          <cell r="AB675" t="str">
            <v/>
          </cell>
          <cell r="AC675">
            <v>0</v>
          </cell>
          <cell r="AD675">
            <v>0</v>
          </cell>
          <cell r="AE675">
            <v>0</v>
          </cell>
          <cell r="AF675">
            <v>0</v>
          </cell>
          <cell r="AG675">
            <v>0</v>
          </cell>
          <cell r="AH675">
            <v>0</v>
          </cell>
          <cell r="AI675">
            <v>0</v>
          </cell>
          <cell r="AJ675">
            <v>0</v>
          </cell>
          <cell r="AK675">
            <v>0</v>
          </cell>
          <cell r="AL675">
            <v>0</v>
          </cell>
        </row>
        <row r="676">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row>
        <row r="677">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row>
        <row r="678">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row>
        <row r="679">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row>
        <row r="680">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row>
        <row r="681">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row>
        <row r="682">
          <cell r="E682">
            <v>0</v>
          </cell>
          <cell r="F682">
            <v>0</v>
          </cell>
          <cell r="G682">
            <v>0</v>
          </cell>
          <cell r="H682">
            <v>0</v>
          </cell>
          <cell r="I682">
            <v>0</v>
          </cell>
          <cell r="J682">
            <v>0</v>
          </cell>
          <cell r="K682">
            <v>0</v>
          </cell>
          <cell r="L682">
            <v>0</v>
          </cell>
          <cell r="M682">
            <v>0</v>
          </cell>
          <cell r="N682">
            <v>0</v>
          </cell>
          <cell r="O682">
            <v>0</v>
          </cell>
          <cell r="P682" t="str">
            <v>一般幹線</v>
          </cell>
          <cell r="Q682">
            <v>0</v>
          </cell>
          <cell r="R682">
            <v>0</v>
          </cell>
          <cell r="S682">
            <v>0</v>
          </cell>
          <cell r="T682">
            <v>0</v>
          </cell>
          <cell r="U682">
            <v>0</v>
          </cell>
          <cell r="V682" t="str">
            <v>個別幹線</v>
          </cell>
          <cell r="W682">
            <v>0</v>
          </cell>
          <cell r="X682">
            <v>0</v>
          </cell>
          <cell r="Y682">
            <v>0</v>
          </cell>
          <cell r="Z682">
            <v>0</v>
          </cell>
          <cell r="AA682">
            <v>0</v>
          </cell>
          <cell r="AB682" t="str">
            <v>各階低圧盤</v>
          </cell>
          <cell r="AC682">
            <v>0</v>
          </cell>
          <cell r="AD682">
            <v>0</v>
          </cell>
          <cell r="AE682">
            <v>0</v>
          </cell>
          <cell r="AF682">
            <v>0</v>
          </cell>
          <cell r="AG682">
            <v>0</v>
          </cell>
          <cell r="AH682">
            <v>0</v>
          </cell>
          <cell r="AI682" t="str">
            <v>個別低圧盤</v>
          </cell>
          <cell r="AJ682">
            <v>0</v>
          </cell>
          <cell r="AK682">
            <v>0</v>
          </cell>
          <cell r="AL682">
            <v>0</v>
          </cell>
        </row>
        <row r="683">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row>
        <row r="684">
          <cell r="E684">
            <v>0</v>
          </cell>
          <cell r="F684">
            <v>0</v>
          </cell>
          <cell r="G684">
            <v>0</v>
          </cell>
          <cell r="H684">
            <v>0</v>
          </cell>
          <cell r="I684">
            <v>0</v>
          </cell>
          <cell r="J684">
            <v>0</v>
          </cell>
          <cell r="K684" t="e">
            <v>#REF!</v>
          </cell>
          <cell r="L684">
            <v>26</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12</v>
          </cell>
          <cell r="AK684">
            <v>26</v>
          </cell>
          <cell r="AL684" t="str">
            <v>個別幹線</v>
          </cell>
        </row>
        <row r="685">
          <cell r="E685">
            <v>0</v>
          </cell>
          <cell r="F685">
            <v>0</v>
          </cell>
          <cell r="G685">
            <v>0</v>
          </cell>
          <cell r="H685">
            <v>0</v>
          </cell>
          <cell r="I685">
            <v>0</v>
          </cell>
          <cell r="J685">
            <v>0</v>
          </cell>
          <cell r="K685" t="str">
            <v>数　　量</v>
          </cell>
          <cell r="L685">
            <v>0</v>
          </cell>
          <cell r="M685">
            <v>0</v>
          </cell>
          <cell r="N685">
            <v>0</v>
          </cell>
          <cell r="O685">
            <v>0</v>
          </cell>
          <cell r="P685" t="str">
            <v>呼称</v>
          </cell>
          <cell r="Q685">
            <v>0</v>
          </cell>
          <cell r="R685" t="str">
            <v>単価 (円)</v>
          </cell>
          <cell r="S685">
            <v>0</v>
          </cell>
          <cell r="T685">
            <v>0</v>
          </cell>
          <cell r="U685">
            <v>0</v>
          </cell>
          <cell r="V685">
            <v>0</v>
          </cell>
          <cell r="W685" t="str">
            <v>金　額 (円)</v>
          </cell>
          <cell r="X685">
            <v>0</v>
          </cell>
          <cell r="Y685">
            <v>0</v>
          </cell>
          <cell r="Z685">
            <v>0</v>
          </cell>
          <cell r="AA685">
            <v>0</v>
          </cell>
          <cell r="AB685">
            <v>0</v>
          </cell>
          <cell r="AC685">
            <v>0</v>
          </cell>
          <cell r="AD685" t="str">
            <v>歩 掛</v>
          </cell>
          <cell r="AE685">
            <v>0</v>
          </cell>
          <cell r="AF685">
            <v>0</v>
          </cell>
          <cell r="AG685" t="str">
            <v>電工数</v>
          </cell>
          <cell r="AH685">
            <v>0</v>
          </cell>
          <cell r="AI685">
            <v>0</v>
          </cell>
          <cell r="AJ685">
            <v>0</v>
          </cell>
          <cell r="AK685">
            <v>0</v>
          </cell>
          <cell r="AL685" t="str">
            <v>材 料 名 称</v>
          </cell>
        </row>
        <row r="686">
          <cell r="E686">
            <v>0</v>
          </cell>
          <cell r="F686">
            <v>0</v>
          </cell>
          <cell r="G686">
            <v>0</v>
          </cell>
          <cell r="H686">
            <v>0</v>
          </cell>
          <cell r="I686">
            <v>0</v>
          </cell>
          <cell r="J686">
            <v>0</v>
          </cell>
          <cell r="K686">
            <v>5615.800000000002</v>
          </cell>
          <cell r="L686">
            <v>0</v>
          </cell>
          <cell r="M686">
            <v>0</v>
          </cell>
          <cell r="N686">
            <v>0</v>
          </cell>
          <cell r="O686">
            <v>0</v>
          </cell>
          <cell r="P686" t="str">
            <v>ｍ</v>
          </cell>
          <cell r="Q686">
            <v>0</v>
          </cell>
          <cell r="R686">
            <v>488</v>
          </cell>
          <cell r="S686">
            <v>0</v>
          </cell>
          <cell r="T686">
            <v>0</v>
          </cell>
          <cell r="U686">
            <v>0</v>
          </cell>
          <cell r="V686">
            <v>0</v>
          </cell>
          <cell r="W686">
            <v>2740510.4000000008</v>
          </cell>
          <cell r="X686">
            <v>0</v>
          </cell>
          <cell r="Y686">
            <v>0</v>
          </cell>
          <cell r="Z686">
            <v>0</v>
          </cell>
          <cell r="AA686">
            <v>0</v>
          </cell>
          <cell r="AB686">
            <v>0</v>
          </cell>
          <cell r="AC686">
            <v>0</v>
          </cell>
          <cell r="AD686">
            <v>3.6999999999999998E-2</v>
          </cell>
          <cell r="AE686">
            <v>0</v>
          </cell>
          <cell r="AF686">
            <v>0</v>
          </cell>
          <cell r="AG686">
            <v>207.78460000000007</v>
          </cell>
          <cell r="AH686">
            <v>0</v>
          </cell>
          <cell r="AI686">
            <v>0</v>
          </cell>
          <cell r="AJ686">
            <v>0</v>
          </cell>
          <cell r="AK686">
            <v>0</v>
          </cell>
          <cell r="AL686" t="str">
            <v>CVT 38sq</v>
          </cell>
        </row>
        <row r="687">
          <cell r="E687">
            <v>0</v>
          </cell>
          <cell r="F687">
            <v>0</v>
          </cell>
          <cell r="G687">
            <v>0</v>
          </cell>
          <cell r="H687">
            <v>0</v>
          </cell>
          <cell r="I687">
            <v>0</v>
          </cell>
          <cell r="J687">
            <v>0</v>
          </cell>
          <cell r="K687">
            <v>263.60000000000002</v>
          </cell>
          <cell r="L687">
            <v>0</v>
          </cell>
          <cell r="M687">
            <v>0</v>
          </cell>
          <cell r="N687">
            <v>0</v>
          </cell>
          <cell r="O687">
            <v>0</v>
          </cell>
          <cell r="P687" t="str">
            <v>ｍ</v>
          </cell>
          <cell r="Q687">
            <v>0</v>
          </cell>
          <cell r="R687">
            <v>733</v>
          </cell>
          <cell r="S687">
            <v>0</v>
          </cell>
          <cell r="T687">
            <v>0</v>
          </cell>
          <cell r="U687">
            <v>0</v>
          </cell>
          <cell r="V687">
            <v>0</v>
          </cell>
          <cell r="W687">
            <v>193218.80000000002</v>
          </cell>
          <cell r="X687">
            <v>0</v>
          </cell>
          <cell r="Y687">
            <v>0</v>
          </cell>
          <cell r="Z687">
            <v>0</v>
          </cell>
          <cell r="AA687">
            <v>0</v>
          </cell>
          <cell r="AB687">
            <v>0</v>
          </cell>
          <cell r="AC687">
            <v>0</v>
          </cell>
          <cell r="AD687">
            <v>4.7E-2</v>
          </cell>
          <cell r="AE687">
            <v>0</v>
          </cell>
          <cell r="AF687">
            <v>0</v>
          </cell>
          <cell r="AG687">
            <v>12.389200000000001</v>
          </cell>
          <cell r="AH687">
            <v>0</v>
          </cell>
          <cell r="AI687">
            <v>0</v>
          </cell>
          <cell r="AJ687">
            <v>0</v>
          </cell>
          <cell r="AK687">
            <v>0</v>
          </cell>
          <cell r="AL687" t="str">
            <v>CVT 14sq</v>
          </cell>
        </row>
        <row r="688">
          <cell r="E688">
            <v>0</v>
          </cell>
          <cell r="F688">
            <v>0</v>
          </cell>
          <cell r="G688">
            <v>0</v>
          </cell>
          <cell r="H688">
            <v>0</v>
          </cell>
          <cell r="I688">
            <v>0</v>
          </cell>
          <cell r="J688">
            <v>0</v>
          </cell>
          <cell r="K688">
            <v>1285.5999999999999</v>
          </cell>
          <cell r="L688">
            <v>0</v>
          </cell>
          <cell r="M688">
            <v>0</v>
          </cell>
          <cell r="N688">
            <v>0</v>
          </cell>
          <cell r="O688">
            <v>0</v>
          </cell>
          <cell r="P688" t="str">
            <v>ｍ</v>
          </cell>
          <cell r="Q688">
            <v>0</v>
          </cell>
          <cell r="R688">
            <v>1207</v>
          </cell>
          <cell r="S688">
            <v>0</v>
          </cell>
          <cell r="T688">
            <v>0</v>
          </cell>
          <cell r="U688">
            <v>0</v>
          </cell>
          <cell r="V688">
            <v>0</v>
          </cell>
          <cell r="W688">
            <v>1551719.2</v>
          </cell>
          <cell r="X688">
            <v>0</v>
          </cell>
          <cell r="Y688">
            <v>0</v>
          </cell>
          <cell r="Z688">
            <v>0</v>
          </cell>
          <cell r="AA688">
            <v>0</v>
          </cell>
          <cell r="AB688">
            <v>0</v>
          </cell>
          <cell r="AC688">
            <v>0</v>
          </cell>
          <cell r="AD688">
            <v>6.2E-2</v>
          </cell>
          <cell r="AE688">
            <v>0</v>
          </cell>
          <cell r="AF688">
            <v>0</v>
          </cell>
          <cell r="AG688">
            <v>79.7072</v>
          </cell>
          <cell r="AH688">
            <v>0</v>
          </cell>
          <cell r="AI688">
            <v>0</v>
          </cell>
          <cell r="AJ688">
            <v>0</v>
          </cell>
          <cell r="AK688">
            <v>0</v>
          </cell>
          <cell r="AL688" t="str">
            <v>CVT100sq</v>
          </cell>
        </row>
        <row r="689">
          <cell r="E689">
            <v>0</v>
          </cell>
          <cell r="F689">
            <v>0</v>
          </cell>
          <cell r="G689">
            <v>0</v>
          </cell>
          <cell r="H689">
            <v>0</v>
          </cell>
          <cell r="I689">
            <v>0</v>
          </cell>
          <cell r="J689">
            <v>0</v>
          </cell>
          <cell r="K689">
            <v>936.59999999999991</v>
          </cell>
          <cell r="L689">
            <v>0</v>
          </cell>
          <cell r="M689">
            <v>0</v>
          </cell>
          <cell r="N689">
            <v>0</v>
          </cell>
          <cell r="O689">
            <v>0</v>
          </cell>
          <cell r="P689" t="str">
            <v>ｍ</v>
          </cell>
          <cell r="Q689">
            <v>0</v>
          </cell>
          <cell r="R689">
            <v>3106</v>
          </cell>
          <cell r="S689">
            <v>0</v>
          </cell>
          <cell r="T689">
            <v>0</v>
          </cell>
          <cell r="U689">
            <v>0</v>
          </cell>
          <cell r="V689">
            <v>0</v>
          </cell>
          <cell r="W689">
            <v>2909079.5999999996</v>
          </cell>
          <cell r="X689">
            <v>0</v>
          </cell>
          <cell r="Y689">
            <v>0</v>
          </cell>
          <cell r="Z689">
            <v>0</v>
          </cell>
          <cell r="AA689">
            <v>0</v>
          </cell>
          <cell r="AB689">
            <v>0</v>
          </cell>
          <cell r="AC689">
            <v>0</v>
          </cell>
          <cell r="AD689">
            <v>0.112</v>
          </cell>
          <cell r="AE689">
            <v>0</v>
          </cell>
          <cell r="AF689">
            <v>0</v>
          </cell>
          <cell r="AG689">
            <v>104.89919999999999</v>
          </cell>
          <cell r="AH689">
            <v>0</v>
          </cell>
          <cell r="AI689">
            <v>0</v>
          </cell>
          <cell r="AJ689">
            <v>0</v>
          </cell>
          <cell r="AK689">
            <v>0</v>
          </cell>
          <cell r="AL689" t="str">
            <v>CVT200sq</v>
          </cell>
        </row>
        <row r="690">
          <cell r="E690">
            <v>0</v>
          </cell>
          <cell r="F690">
            <v>0</v>
          </cell>
          <cell r="G690">
            <v>0</v>
          </cell>
          <cell r="H690">
            <v>0</v>
          </cell>
          <cell r="I690">
            <v>0</v>
          </cell>
          <cell r="J690">
            <v>0</v>
          </cell>
          <cell r="K690">
            <v>709</v>
          </cell>
          <cell r="L690">
            <v>0</v>
          </cell>
          <cell r="M690">
            <v>0</v>
          </cell>
          <cell r="N690">
            <v>0</v>
          </cell>
          <cell r="O690">
            <v>0</v>
          </cell>
          <cell r="P690" t="str">
            <v>ｍ</v>
          </cell>
          <cell r="Q690">
            <v>0</v>
          </cell>
          <cell r="R690">
            <v>1845</v>
          </cell>
          <cell r="S690">
            <v>0</v>
          </cell>
          <cell r="T690">
            <v>0</v>
          </cell>
          <cell r="U690">
            <v>0</v>
          </cell>
          <cell r="V690">
            <v>0</v>
          </cell>
          <cell r="W690">
            <v>1308105</v>
          </cell>
          <cell r="X690">
            <v>0</v>
          </cell>
          <cell r="Y690">
            <v>0</v>
          </cell>
          <cell r="Z690">
            <v>0</v>
          </cell>
          <cell r="AA690">
            <v>0</v>
          </cell>
          <cell r="AB690">
            <v>0</v>
          </cell>
          <cell r="AC690">
            <v>0</v>
          </cell>
          <cell r="AD690">
            <v>8.2000000000000003E-2</v>
          </cell>
          <cell r="AE690">
            <v>0</v>
          </cell>
          <cell r="AF690">
            <v>0</v>
          </cell>
          <cell r="AG690">
            <v>58.138000000000005</v>
          </cell>
          <cell r="AH690">
            <v>0</v>
          </cell>
          <cell r="AI690">
            <v>0</v>
          </cell>
          <cell r="AJ690">
            <v>0</v>
          </cell>
          <cell r="AK690">
            <v>0</v>
          </cell>
          <cell r="AL690" t="str">
            <v/>
          </cell>
        </row>
        <row r="691">
          <cell r="E691">
            <v>0</v>
          </cell>
          <cell r="F691">
            <v>0</v>
          </cell>
          <cell r="G691">
            <v>0</v>
          </cell>
          <cell r="H691">
            <v>0</v>
          </cell>
          <cell r="I691">
            <v>0</v>
          </cell>
          <cell r="J691">
            <v>0</v>
          </cell>
          <cell r="K691" t="str">
            <v/>
          </cell>
          <cell r="L691">
            <v>0</v>
          </cell>
          <cell r="M691">
            <v>0</v>
          </cell>
          <cell r="N691">
            <v>0</v>
          </cell>
          <cell r="O691">
            <v>0</v>
          </cell>
          <cell r="P691" t="str">
            <v/>
          </cell>
          <cell r="Q691">
            <v>0</v>
          </cell>
          <cell r="R691" t="str">
            <v/>
          </cell>
          <cell r="S691">
            <v>0</v>
          </cell>
          <cell r="T691">
            <v>0</v>
          </cell>
          <cell r="U691">
            <v>0</v>
          </cell>
          <cell r="V691">
            <v>0</v>
          </cell>
          <cell r="W691" t="str">
            <v/>
          </cell>
          <cell r="X691">
            <v>0</v>
          </cell>
          <cell r="Y691">
            <v>0</v>
          </cell>
          <cell r="Z691">
            <v>0</v>
          </cell>
          <cell r="AA691">
            <v>0</v>
          </cell>
          <cell r="AB691">
            <v>0</v>
          </cell>
          <cell r="AC691">
            <v>0</v>
          </cell>
          <cell r="AD691" t="str">
            <v/>
          </cell>
          <cell r="AE691">
            <v>0</v>
          </cell>
          <cell r="AF691">
            <v>0</v>
          </cell>
          <cell r="AG691" t="str">
            <v/>
          </cell>
          <cell r="AH691">
            <v>0</v>
          </cell>
          <cell r="AI691">
            <v>0</v>
          </cell>
          <cell r="AJ691">
            <v>0</v>
          </cell>
          <cell r="AK691">
            <v>0</v>
          </cell>
          <cell r="AL691" t="str">
            <v/>
          </cell>
        </row>
        <row r="692">
          <cell r="E692">
            <v>0</v>
          </cell>
          <cell r="F692">
            <v>0</v>
          </cell>
          <cell r="G692">
            <v>0</v>
          </cell>
          <cell r="H692">
            <v>0</v>
          </cell>
          <cell r="I692">
            <v>0</v>
          </cell>
          <cell r="J692">
            <v>0</v>
          </cell>
          <cell r="K692" t="str">
            <v/>
          </cell>
          <cell r="L692">
            <v>0</v>
          </cell>
          <cell r="M692">
            <v>0</v>
          </cell>
          <cell r="N692">
            <v>0</v>
          </cell>
          <cell r="O692">
            <v>0</v>
          </cell>
          <cell r="P692" t="str">
            <v/>
          </cell>
          <cell r="Q692">
            <v>0</v>
          </cell>
          <cell r="R692" t="str">
            <v/>
          </cell>
          <cell r="S692">
            <v>0</v>
          </cell>
          <cell r="T692">
            <v>0</v>
          </cell>
          <cell r="U692">
            <v>0</v>
          </cell>
          <cell r="V692">
            <v>0</v>
          </cell>
          <cell r="W692" t="str">
            <v/>
          </cell>
          <cell r="X692">
            <v>0</v>
          </cell>
          <cell r="Y692">
            <v>0</v>
          </cell>
          <cell r="Z692">
            <v>0</v>
          </cell>
          <cell r="AA692">
            <v>0</v>
          </cell>
          <cell r="AB692">
            <v>0</v>
          </cell>
          <cell r="AC692">
            <v>0</v>
          </cell>
          <cell r="AD692" t="str">
            <v/>
          </cell>
          <cell r="AE692">
            <v>0</v>
          </cell>
          <cell r="AF692">
            <v>0</v>
          </cell>
          <cell r="AG692" t="str">
            <v/>
          </cell>
          <cell r="AH692">
            <v>0</v>
          </cell>
          <cell r="AI692">
            <v>0</v>
          </cell>
          <cell r="AJ692">
            <v>0</v>
          </cell>
          <cell r="AK692">
            <v>0</v>
          </cell>
          <cell r="AL692" t="str">
            <v/>
          </cell>
        </row>
        <row r="693">
          <cell r="E693">
            <v>0</v>
          </cell>
          <cell r="F693">
            <v>0</v>
          </cell>
          <cell r="G693">
            <v>0</v>
          </cell>
          <cell r="H693">
            <v>0</v>
          </cell>
          <cell r="I693">
            <v>0</v>
          </cell>
          <cell r="J693">
            <v>0</v>
          </cell>
          <cell r="K693" t="str">
            <v/>
          </cell>
          <cell r="L693">
            <v>0</v>
          </cell>
          <cell r="M693">
            <v>0</v>
          </cell>
          <cell r="N693">
            <v>0</v>
          </cell>
          <cell r="O693">
            <v>0</v>
          </cell>
          <cell r="P693" t="str">
            <v/>
          </cell>
          <cell r="Q693">
            <v>0</v>
          </cell>
          <cell r="R693" t="str">
            <v/>
          </cell>
          <cell r="S693">
            <v>0</v>
          </cell>
          <cell r="T693">
            <v>0</v>
          </cell>
          <cell r="U693">
            <v>0</v>
          </cell>
          <cell r="V693">
            <v>0</v>
          </cell>
          <cell r="W693" t="str">
            <v/>
          </cell>
          <cell r="X693">
            <v>0</v>
          </cell>
          <cell r="Y693">
            <v>0</v>
          </cell>
          <cell r="Z693">
            <v>0</v>
          </cell>
          <cell r="AA693">
            <v>0</v>
          </cell>
          <cell r="AB693">
            <v>0</v>
          </cell>
          <cell r="AC693">
            <v>0</v>
          </cell>
          <cell r="AD693" t="str">
            <v/>
          </cell>
          <cell r="AE693">
            <v>0</v>
          </cell>
          <cell r="AF693">
            <v>0</v>
          </cell>
          <cell r="AG693" t="str">
            <v/>
          </cell>
          <cell r="AH693">
            <v>0</v>
          </cell>
          <cell r="AI693">
            <v>0</v>
          </cell>
          <cell r="AJ693">
            <v>0</v>
          </cell>
          <cell r="AK693">
            <v>0</v>
          </cell>
          <cell r="AL693" t="str">
            <v/>
          </cell>
        </row>
        <row r="694">
          <cell r="E694">
            <v>0</v>
          </cell>
          <cell r="F694">
            <v>0</v>
          </cell>
          <cell r="G694">
            <v>0</v>
          </cell>
          <cell r="H694">
            <v>0</v>
          </cell>
          <cell r="I694">
            <v>0</v>
          </cell>
          <cell r="J694">
            <v>0</v>
          </cell>
          <cell r="K694" t="str">
            <v/>
          </cell>
          <cell r="L694">
            <v>0</v>
          </cell>
          <cell r="M694">
            <v>0</v>
          </cell>
          <cell r="N694">
            <v>0</v>
          </cell>
          <cell r="O694">
            <v>0</v>
          </cell>
          <cell r="P694" t="str">
            <v/>
          </cell>
          <cell r="Q694">
            <v>0</v>
          </cell>
          <cell r="R694" t="str">
            <v/>
          </cell>
          <cell r="S694">
            <v>0</v>
          </cell>
          <cell r="T694">
            <v>0</v>
          </cell>
          <cell r="U694">
            <v>0</v>
          </cell>
          <cell r="V694">
            <v>0</v>
          </cell>
          <cell r="W694" t="str">
            <v/>
          </cell>
          <cell r="X694">
            <v>0</v>
          </cell>
          <cell r="Y694">
            <v>0</v>
          </cell>
          <cell r="Z694">
            <v>0</v>
          </cell>
          <cell r="AA694">
            <v>0</v>
          </cell>
          <cell r="AB694">
            <v>0</v>
          </cell>
          <cell r="AC694">
            <v>0</v>
          </cell>
          <cell r="AD694" t="str">
            <v/>
          </cell>
          <cell r="AE694">
            <v>0</v>
          </cell>
          <cell r="AF694">
            <v>0</v>
          </cell>
          <cell r="AG694" t="str">
            <v/>
          </cell>
          <cell r="AH694">
            <v>0</v>
          </cell>
          <cell r="AI694">
            <v>0</v>
          </cell>
          <cell r="AJ694">
            <v>0</v>
          </cell>
          <cell r="AK694">
            <v>0</v>
          </cell>
          <cell r="AL694" t="str">
            <v/>
          </cell>
        </row>
        <row r="695">
          <cell r="E695">
            <v>0</v>
          </cell>
          <cell r="F695">
            <v>0</v>
          </cell>
          <cell r="G695">
            <v>0</v>
          </cell>
          <cell r="H695">
            <v>0</v>
          </cell>
          <cell r="I695">
            <v>0</v>
          </cell>
          <cell r="J695">
            <v>0</v>
          </cell>
          <cell r="K695" t="str">
            <v/>
          </cell>
          <cell r="L695">
            <v>0</v>
          </cell>
          <cell r="M695">
            <v>0</v>
          </cell>
          <cell r="N695">
            <v>0</v>
          </cell>
          <cell r="O695">
            <v>0</v>
          </cell>
          <cell r="P695" t="str">
            <v/>
          </cell>
          <cell r="Q695">
            <v>0</v>
          </cell>
          <cell r="R695" t="str">
            <v/>
          </cell>
          <cell r="S695">
            <v>0</v>
          </cell>
          <cell r="T695">
            <v>0</v>
          </cell>
          <cell r="U695">
            <v>0</v>
          </cell>
          <cell r="V695">
            <v>0</v>
          </cell>
          <cell r="W695" t="str">
            <v/>
          </cell>
          <cell r="X695">
            <v>0</v>
          </cell>
          <cell r="Y695">
            <v>0</v>
          </cell>
          <cell r="Z695">
            <v>0</v>
          </cell>
          <cell r="AA695">
            <v>0</v>
          </cell>
          <cell r="AB695">
            <v>0</v>
          </cell>
          <cell r="AC695">
            <v>0</v>
          </cell>
          <cell r="AD695" t="str">
            <v/>
          </cell>
          <cell r="AE695">
            <v>0</v>
          </cell>
          <cell r="AF695">
            <v>0</v>
          </cell>
          <cell r="AG695" t="str">
            <v/>
          </cell>
          <cell r="AH695">
            <v>0</v>
          </cell>
          <cell r="AI695">
            <v>0</v>
          </cell>
          <cell r="AJ695">
            <v>0</v>
          </cell>
          <cell r="AK695">
            <v>0</v>
          </cell>
          <cell r="AL695" t="str">
            <v/>
          </cell>
        </row>
        <row r="696">
          <cell r="E696">
            <v>0</v>
          </cell>
          <cell r="F696">
            <v>0</v>
          </cell>
          <cell r="G696">
            <v>0</v>
          </cell>
          <cell r="H696">
            <v>0</v>
          </cell>
          <cell r="I696">
            <v>0</v>
          </cell>
          <cell r="J696">
            <v>0</v>
          </cell>
          <cell r="K696" t="str">
            <v/>
          </cell>
          <cell r="L696">
            <v>0</v>
          </cell>
          <cell r="M696">
            <v>0</v>
          </cell>
          <cell r="N696">
            <v>0</v>
          </cell>
          <cell r="O696">
            <v>0</v>
          </cell>
          <cell r="P696" t="str">
            <v/>
          </cell>
          <cell r="Q696">
            <v>0</v>
          </cell>
          <cell r="R696" t="str">
            <v/>
          </cell>
          <cell r="S696">
            <v>0</v>
          </cell>
          <cell r="T696">
            <v>0</v>
          </cell>
          <cell r="U696">
            <v>0</v>
          </cell>
          <cell r="V696">
            <v>0</v>
          </cell>
          <cell r="W696" t="str">
            <v/>
          </cell>
          <cell r="X696">
            <v>0</v>
          </cell>
          <cell r="Y696">
            <v>0</v>
          </cell>
          <cell r="Z696">
            <v>0</v>
          </cell>
          <cell r="AA696">
            <v>0</v>
          </cell>
          <cell r="AB696">
            <v>0</v>
          </cell>
          <cell r="AC696">
            <v>0</v>
          </cell>
          <cell r="AD696" t="str">
            <v/>
          </cell>
          <cell r="AE696">
            <v>0</v>
          </cell>
          <cell r="AF696">
            <v>0</v>
          </cell>
          <cell r="AG696" t="str">
            <v/>
          </cell>
          <cell r="AH696">
            <v>0</v>
          </cell>
          <cell r="AI696">
            <v>0</v>
          </cell>
          <cell r="AJ696">
            <v>0</v>
          </cell>
          <cell r="AK696">
            <v>0</v>
          </cell>
          <cell r="AL696" t="str">
            <v/>
          </cell>
        </row>
        <row r="697">
          <cell r="E697">
            <v>0</v>
          </cell>
          <cell r="F697">
            <v>0</v>
          </cell>
          <cell r="G697">
            <v>0</v>
          </cell>
          <cell r="H697">
            <v>0</v>
          </cell>
          <cell r="I697">
            <v>0</v>
          </cell>
          <cell r="J697">
            <v>0</v>
          </cell>
          <cell r="K697" t="str">
            <v/>
          </cell>
          <cell r="L697">
            <v>0</v>
          </cell>
          <cell r="M697">
            <v>0</v>
          </cell>
          <cell r="N697">
            <v>0</v>
          </cell>
          <cell r="O697">
            <v>0</v>
          </cell>
          <cell r="P697" t="str">
            <v/>
          </cell>
          <cell r="Q697">
            <v>0</v>
          </cell>
          <cell r="R697" t="str">
            <v/>
          </cell>
          <cell r="S697">
            <v>0</v>
          </cell>
          <cell r="T697">
            <v>0</v>
          </cell>
          <cell r="U697">
            <v>0</v>
          </cell>
          <cell r="V697">
            <v>0</v>
          </cell>
          <cell r="W697" t="str">
            <v/>
          </cell>
          <cell r="X697">
            <v>0</v>
          </cell>
          <cell r="Y697">
            <v>0</v>
          </cell>
          <cell r="Z697">
            <v>0</v>
          </cell>
          <cell r="AA697">
            <v>0</v>
          </cell>
          <cell r="AB697">
            <v>0</v>
          </cell>
          <cell r="AC697">
            <v>0</v>
          </cell>
          <cell r="AD697" t="str">
            <v/>
          </cell>
          <cell r="AE697">
            <v>0</v>
          </cell>
          <cell r="AF697">
            <v>0</v>
          </cell>
          <cell r="AG697" t="str">
            <v/>
          </cell>
          <cell r="AH697">
            <v>0</v>
          </cell>
          <cell r="AI697">
            <v>0</v>
          </cell>
          <cell r="AJ697">
            <v>0</v>
          </cell>
          <cell r="AK697">
            <v>0</v>
          </cell>
          <cell r="AL697" t="str">
            <v/>
          </cell>
        </row>
        <row r="698">
          <cell r="E698">
            <v>0</v>
          </cell>
          <cell r="F698">
            <v>0</v>
          </cell>
          <cell r="G698">
            <v>0</v>
          </cell>
          <cell r="H698">
            <v>0</v>
          </cell>
          <cell r="I698">
            <v>0</v>
          </cell>
          <cell r="J698">
            <v>0</v>
          </cell>
          <cell r="K698" t="str">
            <v/>
          </cell>
          <cell r="L698">
            <v>0</v>
          </cell>
          <cell r="M698">
            <v>0</v>
          </cell>
          <cell r="N698">
            <v>0</v>
          </cell>
          <cell r="O698">
            <v>0</v>
          </cell>
          <cell r="P698" t="str">
            <v/>
          </cell>
          <cell r="Q698">
            <v>0</v>
          </cell>
          <cell r="R698" t="str">
            <v/>
          </cell>
          <cell r="S698">
            <v>0</v>
          </cell>
          <cell r="T698">
            <v>0</v>
          </cell>
          <cell r="U698">
            <v>0</v>
          </cell>
          <cell r="V698">
            <v>0</v>
          </cell>
          <cell r="W698" t="str">
            <v/>
          </cell>
          <cell r="X698">
            <v>0</v>
          </cell>
          <cell r="Y698">
            <v>0</v>
          </cell>
          <cell r="Z698">
            <v>0</v>
          </cell>
          <cell r="AA698">
            <v>0</v>
          </cell>
          <cell r="AB698">
            <v>0</v>
          </cell>
          <cell r="AC698">
            <v>0</v>
          </cell>
          <cell r="AD698" t="str">
            <v/>
          </cell>
          <cell r="AE698">
            <v>0</v>
          </cell>
          <cell r="AF698">
            <v>0</v>
          </cell>
          <cell r="AG698" t="str">
            <v/>
          </cell>
          <cell r="AH698">
            <v>0</v>
          </cell>
          <cell r="AI698">
            <v>0</v>
          </cell>
          <cell r="AJ698">
            <v>0</v>
          </cell>
          <cell r="AK698">
            <v>0</v>
          </cell>
          <cell r="AL698" t="str">
            <v/>
          </cell>
        </row>
        <row r="699">
          <cell r="E699">
            <v>0</v>
          </cell>
          <cell r="F699">
            <v>0</v>
          </cell>
          <cell r="G699">
            <v>0</v>
          </cell>
          <cell r="H699">
            <v>0</v>
          </cell>
          <cell r="I699">
            <v>0</v>
          </cell>
          <cell r="J699">
            <v>0</v>
          </cell>
          <cell r="K699" t="str">
            <v/>
          </cell>
          <cell r="L699">
            <v>0</v>
          </cell>
          <cell r="M699">
            <v>0</v>
          </cell>
          <cell r="N699">
            <v>0</v>
          </cell>
          <cell r="O699">
            <v>0</v>
          </cell>
          <cell r="P699" t="str">
            <v/>
          </cell>
          <cell r="Q699">
            <v>0</v>
          </cell>
          <cell r="R699" t="str">
            <v/>
          </cell>
          <cell r="S699">
            <v>0</v>
          </cell>
          <cell r="T699">
            <v>0</v>
          </cell>
          <cell r="U699">
            <v>0</v>
          </cell>
          <cell r="V699">
            <v>0</v>
          </cell>
          <cell r="W699" t="str">
            <v/>
          </cell>
          <cell r="X699">
            <v>0</v>
          </cell>
          <cell r="Y699">
            <v>0</v>
          </cell>
          <cell r="Z699">
            <v>0</v>
          </cell>
          <cell r="AA699">
            <v>0</v>
          </cell>
          <cell r="AB699">
            <v>0</v>
          </cell>
          <cell r="AC699">
            <v>0</v>
          </cell>
          <cell r="AD699" t="str">
            <v/>
          </cell>
          <cell r="AE699">
            <v>0</v>
          </cell>
          <cell r="AF699">
            <v>0</v>
          </cell>
          <cell r="AG699" t="str">
            <v/>
          </cell>
          <cell r="AH699">
            <v>0</v>
          </cell>
          <cell r="AI699">
            <v>0</v>
          </cell>
          <cell r="AJ699">
            <v>0</v>
          </cell>
          <cell r="AK699">
            <v>0</v>
          </cell>
          <cell r="AL699" t="str">
            <v/>
          </cell>
        </row>
        <row r="700">
          <cell r="E700">
            <v>0</v>
          </cell>
          <cell r="F700">
            <v>0</v>
          </cell>
          <cell r="G700">
            <v>0</v>
          </cell>
          <cell r="H700">
            <v>0</v>
          </cell>
          <cell r="I700">
            <v>0</v>
          </cell>
          <cell r="J700">
            <v>0</v>
          </cell>
          <cell r="K700" t="str">
            <v/>
          </cell>
          <cell r="L700">
            <v>0</v>
          </cell>
          <cell r="M700">
            <v>0</v>
          </cell>
          <cell r="N700">
            <v>0</v>
          </cell>
          <cell r="O700">
            <v>0</v>
          </cell>
          <cell r="P700" t="str">
            <v/>
          </cell>
          <cell r="Q700">
            <v>0</v>
          </cell>
          <cell r="R700" t="str">
            <v/>
          </cell>
          <cell r="S700">
            <v>0</v>
          </cell>
          <cell r="T700">
            <v>0</v>
          </cell>
          <cell r="U700">
            <v>0</v>
          </cell>
          <cell r="V700">
            <v>0</v>
          </cell>
          <cell r="W700" t="str">
            <v/>
          </cell>
          <cell r="X700">
            <v>0</v>
          </cell>
          <cell r="Y700">
            <v>0</v>
          </cell>
          <cell r="Z700">
            <v>0</v>
          </cell>
          <cell r="AA700">
            <v>0</v>
          </cell>
          <cell r="AB700">
            <v>0</v>
          </cell>
          <cell r="AC700">
            <v>0</v>
          </cell>
          <cell r="AD700" t="str">
            <v/>
          </cell>
          <cell r="AE700">
            <v>0</v>
          </cell>
          <cell r="AF700">
            <v>0</v>
          </cell>
          <cell r="AG700" t="str">
            <v/>
          </cell>
          <cell r="AH700">
            <v>0</v>
          </cell>
          <cell r="AI700">
            <v>0</v>
          </cell>
          <cell r="AJ700">
            <v>0</v>
          </cell>
          <cell r="AK700">
            <v>0</v>
          </cell>
          <cell r="AL700" t="str">
            <v/>
          </cell>
        </row>
        <row r="701">
          <cell r="E701">
            <v>0</v>
          </cell>
          <cell r="F701">
            <v>0</v>
          </cell>
          <cell r="G701">
            <v>0</v>
          </cell>
          <cell r="H701">
            <v>0</v>
          </cell>
          <cell r="I701">
            <v>0</v>
          </cell>
          <cell r="J701">
            <v>0</v>
          </cell>
          <cell r="K701" t="str">
            <v/>
          </cell>
          <cell r="L701">
            <v>0</v>
          </cell>
          <cell r="M701">
            <v>0</v>
          </cell>
          <cell r="N701">
            <v>0</v>
          </cell>
          <cell r="O701">
            <v>0</v>
          </cell>
          <cell r="P701" t="str">
            <v/>
          </cell>
          <cell r="Q701">
            <v>0</v>
          </cell>
          <cell r="R701" t="str">
            <v/>
          </cell>
          <cell r="S701">
            <v>0</v>
          </cell>
          <cell r="T701">
            <v>0</v>
          </cell>
          <cell r="U701">
            <v>0</v>
          </cell>
          <cell r="V701">
            <v>0</v>
          </cell>
          <cell r="W701" t="str">
            <v/>
          </cell>
          <cell r="X701">
            <v>0</v>
          </cell>
          <cell r="Y701">
            <v>0</v>
          </cell>
          <cell r="Z701">
            <v>0</v>
          </cell>
          <cell r="AA701">
            <v>0</v>
          </cell>
          <cell r="AB701">
            <v>0</v>
          </cell>
          <cell r="AC701">
            <v>0</v>
          </cell>
          <cell r="AD701" t="str">
            <v/>
          </cell>
          <cell r="AE701">
            <v>0</v>
          </cell>
          <cell r="AF701">
            <v>0</v>
          </cell>
          <cell r="AG701" t="str">
            <v/>
          </cell>
          <cell r="AH701">
            <v>0</v>
          </cell>
          <cell r="AI701">
            <v>0</v>
          </cell>
          <cell r="AJ701">
            <v>0</v>
          </cell>
          <cell r="AK701">
            <v>0</v>
          </cell>
          <cell r="AL701" t="str">
            <v/>
          </cell>
        </row>
        <row r="702">
          <cell r="E702">
            <v>0</v>
          </cell>
          <cell r="F702">
            <v>0</v>
          </cell>
          <cell r="G702">
            <v>0</v>
          </cell>
          <cell r="H702">
            <v>0</v>
          </cell>
          <cell r="I702">
            <v>0</v>
          </cell>
          <cell r="J702">
            <v>0</v>
          </cell>
          <cell r="K702" t="str">
            <v/>
          </cell>
          <cell r="L702">
            <v>0</v>
          </cell>
          <cell r="M702">
            <v>0</v>
          </cell>
          <cell r="N702">
            <v>0</v>
          </cell>
          <cell r="O702">
            <v>0</v>
          </cell>
          <cell r="P702" t="str">
            <v/>
          </cell>
          <cell r="Q702">
            <v>0</v>
          </cell>
          <cell r="R702" t="str">
            <v/>
          </cell>
          <cell r="S702">
            <v>0</v>
          </cell>
          <cell r="T702">
            <v>0</v>
          </cell>
          <cell r="U702">
            <v>0</v>
          </cell>
          <cell r="V702">
            <v>0</v>
          </cell>
          <cell r="W702" t="str">
            <v/>
          </cell>
          <cell r="X702">
            <v>0</v>
          </cell>
          <cell r="Y702">
            <v>0</v>
          </cell>
          <cell r="Z702">
            <v>0</v>
          </cell>
          <cell r="AA702">
            <v>0</v>
          </cell>
          <cell r="AB702">
            <v>0</v>
          </cell>
          <cell r="AC702">
            <v>0</v>
          </cell>
          <cell r="AD702" t="str">
            <v/>
          </cell>
          <cell r="AE702">
            <v>0</v>
          </cell>
          <cell r="AF702">
            <v>0</v>
          </cell>
          <cell r="AG702" t="str">
            <v/>
          </cell>
          <cell r="AH702">
            <v>0</v>
          </cell>
          <cell r="AI702">
            <v>0</v>
          </cell>
          <cell r="AJ702">
            <v>0</v>
          </cell>
          <cell r="AK702">
            <v>0</v>
          </cell>
          <cell r="AL702" t="str">
            <v/>
          </cell>
        </row>
        <row r="703">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t="str">
            <v>計</v>
          </cell>
          <cell r="V703">
            <v>0</v>
          </cell>
          <cell r="W703">
            <v>8702633</v>
          </cell>
          <cell r="X703">
            <v>0</v>
          </cell>
          <cell r="Y703">
            <v>0</v>
          </cell>
          <cell r="Z703">
            <v>0</v>
          </cell>
          <cell r="AA703">
            <v>0</v>
          </cell>
          <cell r="AB703">
            <v>0</v>
          </cell>
          <cell r="AC703">
            <v>0</v>
          </cell>
          <cell r="AD703">
            <v>0</v>
          </cell>
          <cell r="AE703" t="str">
            <v>計</v>
          </cell>
          <cell r="AF703">
            <v>0</v>
          </cell>
          <cell r="AG703">
            <v>462.91820000000007</v>
          </cell>
          <cell r="AH703">
            <v>0</v>
          </cell>
          <cell r="AI703">
            <v>0</v>
          </cell>
          <cell r="AJ703">
            <v>0</v>
          </cell>
          <cell r="AK703">
            <v>0</v>
          </cell>
          <cell r="AL703">
            <v>0</v>
          </cell>
        </row>
        <row r="704">
          <cell r="E704">
            <v>0</v>
          </cell>
          <cell r="F704">
            <v>0</v>
          </cell>
          <cell r="G704">
            <v>0</v>
          </cell>
          <cell r="H704">
            <v>0</v>
          </cell>
          <cell r="I704">
            <v>0</v>
          </cell>
          <cell r="J704">
            <v>0</v>
          </cell>
          <cell r="K704" t="str">
            <v>数　　量</v>
          </cell>
          <cell r="L704">
            <v>0</v>
          </cell>
          <cell r="M704">
            <v>0</v>
          </cell>
          <cell r="N704">
            <v>0</v>
          </cell>
          <cell r="O704">
            <v>0</v>
          </cell>
          <cell r="P704" t="str">
            <v>呼称</v>
          </cell>
          <cell r="Q704">
            <v>0</v>
          </cell>
          <cell r="R704" t="str">
            <v>単価 (円)</v>
          </cell>
          <cell r="S704">
            <v>0</v>
          </cell>
          <cell r="T704">
            <v>0</v>
          </cell>
          <cell r="U704">
            <v>0</v>
          </cell>
          <cell r="V704">
            <v>0</v>
          </cell>
          <cell r="W704" t="str">
            <v>金　額 (円)</v>
          </cell>
          <cell r="X704">
            <v>0</v>
          </cell>
          <cell r="Y704">
            <v>0</v>
          </cell>
          <cell r="Z704">
            <v>0</v>
          </cell>
          <cell r="AA704">
            <v>0</v>
          </cell>
          <cell r="AB704">
            <v>0</v>
          </cell>
          <cell r="AC704">
            <v>0</v>
          </cell>
          <cell r="AD704" t="str">
            <v>歩 掛</v>
          </cell>
          <cell r="AE704">
            <v>0</v>
          </cell>
          <cell r="AF704">
            <v>0</v>
          </cell>
          <cell r="AG704" t="str">
            <v>電工数</v>
          </cell>
          <cell r="AH704">
            <v>0</v>
          </cell>
          <cell r="AI704">
            <v>0</v>
          </cell>
          <cell r="AJ704">
            <v>0</v>
          </cell>
          <cell r="AK704">
            <v>0</v>
          </cell>
          <cell r="AL704" t="str">
            <v>材 料 名 称</v>
          </cell>
        </row>
        <row r="705">
          <cell r="E705">
            <v>0</v>
          </cell>
          <cell r="F705">
            <v>0</v>
          </cell>
          <cell r="G705">
            <v>0</v>
          </cell>
          <cell r="H705">
            <v>0</v>
          </cell>
          <cell r="I705">
            <v>0</v>
          </cell>
          <cell r="J705">
            <v>0</v>
          </cell>
          <cell r="K705">
            <v>328</v>
          </cell>
          <cell r="L705">
            <v>0</v>
          </cell>
          <cell r="M705">
            <v>0</v>
          </cell>
          <cell r="N705">
            <v>0</v>
          </cell>
          <cell r="O705">
            <v>0</v>
          </cell>
          <cell r="P705" t="str">
            <v>ｍ</v>
          </cell>
          <cell r="Q705">
            <v>0</v>
          </cell>
          <cell r="R705">
            <v>292</v>
          </cell>
          <cell r="S705">
            <v>0</v>
          </cell>
          <cell r="T705">
            <v>0</v>
          </cell>
          <cell r="U705">
            <v>0</v>
          </cell>
          <cell r="V705">
            <v>0</v>
          </cell>
          <cell r="W705">
            <v>95776</v>
          </cell>
          <cell r="X705">
            <v>0</v>
          </cell>
          <cell r="Y705">
            <v>0</v>
          </cell>
          <cell r="Z705">
            <v>0</v>
          </cell>
          <cell r="AA705">
            <v>0</v>
          </cell>
          <cell r="AB705">
            <v>0</v>
          </cell>
          <cell r="AC705">
            <v>0</v>
          </cell>
          <cell r="AD705">
            <v>0.109</v>
          </cell>
          <cell r="AE705">
            <v>0</v>
          </cell>
          <cell r="AF705">
            <v>0</v>
          </cell>
          <cell r="AG705">
            <v>35.752000000000002</v>
          </cell>
          <cell r="AH705">
            <v>0</v>
          </cell>
          <cell r="AI705">
            <v>0</v>
          </cell>
          <cell r="AJ705">
            <v>0</v>
          </cell>
          <cell r="AK705">
            <v>0</v>
          </cell>
          <cell r="AL705" t="str">
            <v>C-51mm</v>
          </cell>
        </row>
        <row r="706">
          <cell r="E706">
            <v>0</v>
          </cell>
          <cell r="F706">
            <v>0</v>
          </cell>
          <cell r="G706">
            <v>0</v>
          </cell>
          <cell r="H706">
            <v>0</v>
          </cell>
          <cell r="I706">
            <v>0</v>
          </cell>
          <cell r="J706">
            <v>0</v>
          </cell>
          <cell r="K706">
            <v>232.8</v>
          </cell>
          <cell r="L706">
            <v>0</v>
          </cell>
          <cell r="M706">
            <v>0</v>
          </cell>
          <cell r="N706">
            <v>0</v>
          </cell>
          <cell r="O706">
            <v>0</v>
          </cell>
          <cell r="P706" t="str">
            <v>ｍ</v>
          </cell>
          <cell r="Q706">
            <v>0</v>
          </cell>
          <cell r="R706">
            <v>2626</v>
          </cell>
          <cell r="S706">
            <v>0</v>
          </cell>
          <cell r="T706">
            <v>0</v>
          </cell>
          <cell r="U706">
            <v>0</v>
          </cell>
          <cell r="V706">
            <v>0</v>
          </cell>
          <cell r="W706">
            <v>611332.80000000005</v>
          </cell>
          <cell r="X706">
            <v>0</v>
          </cell>
          <cell r="Y706">
            <v>0</v>
          </cell>
          <cell r="Z706">
            <v>0</v>
          </cell>
          <cell r="AA706">
            <v>0</v>
          </cell>
          <cell r="AB706">
            <v>0</v>
          </cell>
          <cell r="AC706">
            <v>0</v>
          </cell>
          <cell r="AD706">
            <v>0.33900000000000002</v>
          </cell>
          <cell r="AE706">
            <v>0</v>
          </cell>
          <cell r="AF706">
            <v>0</v>
          </cell>
          <cell r="AG706">
            <v>78.919200000000004</v>
          </cell>
          <cell r="AH706">
            <v>0</v>
          </cell>
          <cell r="AI706">
            <v>0</v>
          </cell>
          <cell r="AJ706">
            <v>0</v>
          </cell>
          <cell r="AK706">
            <v>0</v>
          </cell>
          <cell r="AL706" t="str">
            <v>FEP- 40mm</v>
          </cell>
        </row>
        <row r="707">
          <cell r="E707">
            <v>0</v>
          </cell>
          <cell r="F707">
            <v>0</v>
          </cell>
          <cell r="G707">
            <v>0</v>
          </cell>
          <cell r="H707">
            <v>0</v>
          </cell>
          <cell r="I707">
            <v>0</v>
          </cell>
          <cell r="J707">
            <v>0</v>
          </cell>
          <cell r="K707">
            <v>224</v>
          </cell>
          <cell r="L707">
            <v>0</v>
          </cell>
          <cell r="M707">
            <v>0</v>
          </cell>
          <cell r="N707">
            <v>0</v>
          </cell>
          <cell r="O707">
            <v>0</v>
          </cell>
          <cell r="P707" t="str">
            <v>ｍ</v>
          </cell>
          <cell r="Q707">
            <v>0</v>
          </cell>
          <cell r="R707">
            <v>431</v>
          </cell>
          <cell r="S707">
            <v>0</v>
          </cell>
          <cell r="T707">
            <v>0</v>
          </cell>
          <cell r="U707">
            <v>0</v>
          </cell>
          <cell r="V707">
            <v>0</v>
          </cell>
          <cell r="W707">
            <v>96544</v>
          </cell>
          <cell r="X707">
            <v>0</v>
          </cell>
          <cell r="Y707">
            <v>0</v>
          </cell>
          <cell r="Z707">
            <v>0</v>
          </cell>
          <cell r="AA707">
            <v>0</v>
          </cell>
          <cell r="AB707">
            <v>0</v>
          </cell>
          <cell r="AC707">
            <v>0</v>
          </cell>
          <cell r="AD707">
            <v>0.14699999999999999</v>
          </cell>
          <cell r="AE707">
            <v>0</v>
          </cell>
          <cell r="AF707">
            <v>0</v>
          </cell>
          <cell r="AG707">
            <v>32.927999999999997</v>
          </cell>
          <cell r="AH707">
            <v>0</v>
          </cell>
          <cell r="AI707">
            <v>0</v>
          </cell>
          <cell r="AJ707">
            <v>0</v>
          </cell>
          <cell r="AK707">
            <v>0</v>
          </cell>
          <cell r="AL707" t="str">
            <v>メラミンCR-300mm</v>
          </cell>
        </row>
        <row r="708">
          <cell r="E708">
            <v>0</v>
          </cell>
          <cell r="F708">
            <v>0</v>
          </cell>
          <cell r="G708">
            <v>0</v>
          </cell>
          <cell r="H708">
            <v>0</v>
          </cell>
          <cell r="I708">
            <v>0</v>
          </cell>
          <cell r="J708">
            <v>0</v>
          </cell>
          <cell r="K708">
            <v>112</v>
          </cell>
          <cell r="L708">
            <v>0</v>
          </cell>
          <cell r="M708">
            <v>0</v>
          </cell>
          <cell r="N708">
            <v>0</v>
          </cell>
          <cell r="O708">
            <v>0</v>
          </cell>
          <cell r="P708" t="str">
            <v>ｍ</v>
          </cell>
          <cell r="Q708">
            <v>0</v>
          </cell>
          <cell r="R708">
            <v>814</v>
          </cell>
          <cell r="S708">
            <v>0</v>
          </cell>
          <cell r="T708">
            <v>0</v>
          </cell>
          <cell r="U708">
            <v>0</v>
          </cell>
          <cell r="V708">
            <v>0</v>
          </cell>
          <cell r="W708">
            <v>91168</v>
          </cell>
          <cell r="X708">
            <v>0</v>
          </cell>
          <cell r="Y708">
            <v>0</v>
          </cell>
          <cell r="Z708">
            <v>0</v>
          </cell>
          <cell r="AA708">
            <v>0</v>
          </cell>
          <cell r="AB708">
            <v>0</v>
          </cell>
          <cell r="AC708">
            <v>0</v>
          </cell>
          <cell r="AD708">
            <v>0.23100000000000001</v>
          </cell>
          <cell r="AE708">
            <v>0</v>
          </cell>
          <cell r="AF708">
            <v>0</v>
          </cell>
          <cell r="AG708">
            <v>25.872</v>
          </cell>
          <cell r="AH708">
            <v>0</v>
          </cell>
          <cell r="AI708">
            <v>0</v>
          </cell>
          <cell r="AJ708">
            <v>0</v>
          </cell>
          <cell r="AK708">
            <v>0</v>
          </cell>
          <cell r="AL708" t="str">
            <v>C-39mm</v>
          </cell>
        </row>
        <row r="709">
          <cell r="E709">
            <v>0</v>
          </cell>
          <cell r="F709">
            <v>0</v>
          </cell>
          <cell r="G709">
            <v>0</v>
          </cell>
          <cell r="H709">
            <v>0</v>
          </cell>
          <cell r="I709">
            <v>0</v>
          </cell>
          <cell r="J709">
            <v>0</v>
          </cell>
          <cell r="K709" t="str">
            <v/>
          </cell>
          <cell r="L709">
            <v>0</v>
          </cell>
          <cell r="M709">
            <v>0</v>
          </cell>
          <cell r="N709">
            <v>0</v>
          </cell>
          <cell r="O709">
            <v>0</v>
          </cell>
          <cell r="P709" t="str">
            <v/>
          </cell>
          <cell r="Q709">
            <v>0</v>
          </cell>
          <cell r="R709" t="str">
            <v/>
          </cell>
          <cell r="S709">
            <v>0</v>
          </cell>
          <cell r="T709">
            <v>0</v>
          </cell>
          <cell r="U709">
            <v>0</v>
          </cell>
          <cell r="V709">
            <v>0</v>
          </cell>
          <cell r="W709" t="str">
            <v/>
          </cell>
          <cell r="X709">
            <v>0</v>
          </cell>
          <cell r="Y709">
            <v>0</v>
          </cell>
          <cell r="Z709">
            <v>0</v>
          </cell>
          <cell r="AA709">
            <v>0</v>
          </cell>
          <cell r="AB709">
            <v>0</v>
          </cell>
          <cell r="AC709">
            <v>0</v>
          </cell>
          <cell r="AD709" t="str">
            <v/>
          </cell>
          <cell r="AE709">
            <v>0</v>
          </cell>
          <cell r="AF709">
            <v>0</v>
          </cell>
          <cell r="AG709" t="str">
            <v/>
          </cell>
          <cell r="AH709">
            <v>0</v>
          </cell>
          <cell r="AI709">
            <v>0</v>
          </cell>
          <cell r="AJ709">
            <v>0</v>
          </cell>
          <cell r="AK709">
            <v>0</v>
          </cell>
          <cell r="AL709" t="str">
            <v>C-75mm</v>
          </cell>
        </row>
        <row r="710">
          <cell r="E710">
            <v>0</v>
          </cell>
          <cell r="F710">
            <v>0</v>
          </cell>
          <cell r="G710">
            <v>0</v>
          </cell>
          <cell r="H710">
            <v>0</v>
          </cell>
          <cell r="I710">
            <v>0</v>
          </cell>
          <cell r="J710">
            <v>0</v>
          </cell>
          <cell r="K710" t="str">
            <v/>
          </cell>
          <cell r="L710">
            <v>0</v>
          </cell>
          <cell r="M710">
            <v>0</v>
          </cell>
          <cell r="N710">
            <v>0</v>
          </cell>
          <cell r="O710">
            <v>0</v>
          </cell>
          <cell r="P710" t="str">
            <v/>
          </cell>
          <cell r="Q710">
            <v>0</v>
          </cell>
          <cell r="R710" t="str">
            <v/>
          </cell>
          <cell r="S710">
            <v>0</v>
          </cell>
          <cell r="T710">
            <v>0</v>
          </cell>
          <cell r="U710">
            <v>0</v>
          </cell>
          <cell r="V710">
            <v>0</v>
          </cell>
          <cell r="W710" t="str">
            <v/>
          </cell>
          <cell r="X710">
            <v>0</v>
          </cell>
          <cell r="Y710">
            <v>0</v>
          </cell>
          <cell r="Z710">
            <v>0</v>
          </cell>
          <cell r="AA710">
            <v>0</v>
          </cell>
          <cell r="AB710">
            <v>0</v>
          </cell>
          <cell r="AC710">
            <v>0</v>
          </cell>
          <cell r="AD710" t="str">
            <v/>
          </cell>
          <cell r="AE710">
            <v>0</v>
          </cell>
          <cell r="AF710">
            <v>0</v>
          </cell>
          <cell r="AG710" t="str">
            <v/>
          </cell>
          <cell r="AH710">
            <v>0</v>
          </cell>
          <cell r="AI710">
            <v>0</v>
          </cell>
          <cell r="AJ710">
            <v>0</v>
          </cell>
          <cell r="AK710">
            <v>0</v>
          </cell>
          <cell r="AL710" t="str">
            <v>FEP- 65mm</v>
          </cell>
        </row>
        <row r="711">
          <cell r="E711">
            <v>0</v>
          </cell>
          <cell r="F711">
            <v>0</v>
          </cell>
          <cell r="G711">
            <v>0</v>
          </cell>
          <cell r="H711">
            <v>0</v>
          </cell>
          <cell r="I711">
            <v>0</v>
          </cell>
          <cell r="J711">
            <v>0</v>
          </cell>
          <cell r="K711" t="str">
            <v/>
          </cell>
          <cell r="L711">
            <v>0</v>
          </cell>
          <cell r="M711">
            <v>0</v>
          </cell>
          <cell r="N711">
            <v>0</v>
          </cell>
          <cell r="O711">
            <v>0</v>
          </cell>
          <cell r="P711" t="str">
            <v/>
          </cell>
          <cell r="Q711">
            <v>0</v>
          </cell>
          <cell r="R711" t="str">
            <v/>
          </cell>
          <cell r="S711">
            <v>0</v>
          </cell>
          <cell r="T711">
            <v>0</v>
          </cell>
          <cell r="U711">
            <v>0</v>
          </cell>
          <cell r="V711">
            <v>0</v>
          </cell>
          <cell r="W711" t="str">
            <v/>
          </cell>
          <cell r="X711">
            <v>0</v>
          </cell>
          <cell r="Y711">
            <v>0</v>
          </cell>
          <cell r="Z711">
            <v>0</v>
          </cell>
          <cell r="AA711">
            <v>0</v>
          </cell>
          <cell r="AB711">
            <v>0</v>
          </cell>
          <cell r="AC711">
            <v>0</v>
          </cell>
          <cell r="AD711" t="str">
            <v/>
          </cell>
          <cell r="AE711">
            <v>0</v>
          </cell>
          <cell r="AF711">
            <v>0</v>
          </cell>
          <cell r="AG711" t="str">
            <v/>
          </cell>
          <cell r="AH711">
            <v>0</v>
          </cell>
          <cell r="AI711">
            <v>0</v>
          </cell>
          <cell r="AJ711">
            <v>0</v>
          </cell>
          <cell r="AK711">
            <v>0</v>
          </cell>
          <cell r="AL711" t="str">
            <v>G-82mm</v>
          </cell>
        </row>
        <row r="712">
          <cell r="E712">
            <v>0</v>
          </cell>
          <cell r="F712">
            <v>0</v>
          </cell>
          <cell r="G712">
            <v>0</v>
          </cell>
          <cell r="H712">
            <v>0</v>
          </cell>
          <cell r="I712">
            <v>0</v>
          </cell>
          <cell r="J712">
            <v>0</v>
          </cell>
          <cell r="K712" t="str">
            <v/>
          </cell>
          <cell r="L712">
            <v>0</v>
          </cell>
          <cell r="M712">
            <v>0</v>
          </cell>
          <cell r="N712">
            <v>0</v>
          </cell>
          <cell r="O712">
            <v>0</v>
          </cell>
          <cell r="P712" t="str">
            <v/>
          </cell>
          <cell r="Q712">
            <v>0</v>
          </cell>
          <cell r="R712" t="str">
            <v/>
          </cell>
          <cell r="S712">
            <v>0</v>
          </cell>
          <cell r="T712">
            <v>0</v>
          </cell>
          <cell r="U712">
            <v>0</v>
          </cell>
          <cell r="V712">
            <v>0</v>
          </cell>
          <cell r="W712" t="str">
            <v/>
          </cell>
          <cell r="X712">
            <v>0</v>
          </cell>
          <cell r="Y712">
            <v>0</v>
          </cell>
          <cell r="Z712">
            <v>0</v>
          </cell>
          <cell r="AA712">
            <v>0</v>
          </cell>
          <cell r="AB712">
            <v>0</v>
          </cell>
          <cell r="AC712">
            <v>0</v>
          </cell>
          <cell r="AD712" t="str">
            <v/>
          </cell>
          <cell r="AE712">
            <v>0</v>
          </cell>
          <cell r="AF712">
            <v>0</v>
          </cell>
          <cell r="AG712" t="str">
            <v/>
          </cell>
          <cell r="AH712">
            <v>0</v>
          </cell>
          <cell r="AI712">
            <v>0</v>
          </cell>
          <cell r="AJ712">
            <v>0</v>
          </cell>
          <cell r="AK712">
            <v>0</v>
          </cell>
          <cell r="AL712" t="str">
            <v>FEP- 80mm</v>
          </cell>
        </row>
        <row r="713">
          <cell r="E713">
            <v>0</v>
          </cell>
          <cell r="F713">
            <v>0</v>
          </cell>
          <cell r="G713">
            <v>0</v>
          </cell>
          <cell r="H713">
            <v>0</v>
          </cell>
          <cell r="I713">
            <v>0</v>
          </cell>
          <cell r="J713">
            <v>0</v>
          </cell>
          <cell r="K713" t="str">
            <v/>
          </cell>
          <cell r="L713">
            <v>0</v>
          </cell>
          <cell r="M713">
            <v>0</v>
          </cell>
          <cell r="N713">
            <v>0</v>
          </cell>
          <cell r="O713">
            <v>0</v>
          </cell>
          <cell r="P713" t="str">
            <v/>
          </cell>
          <cell r="Q713">
            <v>0</v>
          </cell>
          <cell r="R713" t="str">
            <v/>
          </cell>
          <cell r="S713">
            <v>0</v>
          </cell>
          <cell r="T713">
            <v>0</v>
          </cell>
          <cell r="U713">
            <v>0</v>
          </cell>
          <cell r="V713">
            <v>0</v>
          </cell>
          <cell r="W713" t="str">
            <v/>
          </cell>
          <cell r="X713">
            <v>0</v>
          </cell>
          <cell r="Y713">
            <v>0</v>
          </cell>
          <cell r="Z713">
            <v>0</v>
          </cell>
          <cell r="AA713">
            <v>0</v>
          </cell>
          <cell r="AB713">
            <v>0</v>
          </cell>
          <cell r="AC713">
            <v>0</v>
          </cell>
          <cell r="AD713" t="str">
            <v/>
          </cell>
          <cell r="AE713">
            <v>0</v>
          </cell>
          <cell r="AF713">
            <v>0</v>
          </cell>
          <cell r="AG713" t="str">
            <v/>
          </cell>
          <cell r="AH713">
            <v>0</v>
          </cell>
          <cell r="AI713">
            <v>0</v>
          </cell>
          <cell r="AJ713">
            <v>0</v>
          </cell>
          <cell r="AK713">
            <v>0</v>
          </cell>
          <cell r="AL713" t="str">
            <v/>
          </cell>
        </row>
        <row r="714">
          <cell r="E714">
            <v>0</v>
          </cell>
          <cell r="F714">
            <v>0</v>
          </cell>
          <cell r="G714">
            <v>0</v>
          </cell>
          <cell r="H714">
            <v>0</v>
          </cell>
          <cell r="I714">
            <v>0</v>
          </cell>
          <cell r="J714">
            <v>0</v>
          </cell>
          <cell r="K714" t="str">
            <v/>
          </cell>
          <cell r="L714">
            <v>0</v>
          </cell>
          <cell r="M714">
            <v>0</v>
          </cell>
          <cell r="N714">
            <v>0</v>
          </cell>
          <cell r="O714">
            <v>0</v>
          </cell>
          <cell r="P714" t="str">
            <v/>
          </cell>
          <cell r="Q714">
            <v>0</v>
          </cell>
          <cell r="R714" t="str">
            <v/>
          </cell>
          <cell r="S714">
            <v>0</v>
          </cell>
          <cell r="T714">
            <v>0</v>
          </cell>
          <cell r="U714">
            <v>0</v>
          </cell>
          <cell r="V714">
            <v>0</v>
          </cell>
          <cell r="W714" t="str">
            <v/>
          </cell>
          <cell r="X714">
            <v>0</v>
          </cell>
          <cell r="Y714">
            <v>0</v>
          </cell>
          <cell r="Z714">
            <v>0</v>
          </cell>
          <cell r="AA714">
            <v>0</v>
          </cell>
          <cell r="AB714">
            <v>0</v>
          </cell>
          <cell r="AC714">
            <v>0</v>
          </cell>
          <cell r="AD714" t="str">
            <v/>
          </cell>
          <cell r="AE714">
            <v>0</v>
          </cell>
          <cell r="AF714">
            <v>0</v>
          </cell>
          <cell r="AG714" t="str">
            <v/>
          </cell>
          <cell r="AH714">
            <v>0</v>
          </cell>
          <cell r="AI714">
            <v>0</v>
          </cell>
          <cell r="AJ714">
            <v>0</v>
          </cell>
          <cell r="AK714">
            <v>0</v>
          </cell>
          <cell r="AL714" t="str">
            <v/>
          </cell>
        </row>
        <row r="715">
          <cell r="E715">
            <v>0</v>
          </cell>
          <cell r="F715">
            <v>0</v>
          </cell>
          <cell r="G715">
            <v>0</v>
          </cell>
          <cell r="H715">
            <v>0</v>
          </cell>
          <cell r="I715">
            <v>0</v>
          </cell>
          <cell r="J715">
            <v>0</v>
          </cell>
          <cell r="K715" t="str">
            <v/>
          </cell>
          <cell r="L715">
            <v>0</v>
          </cell>
          <cell r="M715">
            <v>0</v>
          </cell>
          <cell r="N715">
            <v>0</v>
          </cell>
          <cell r="O715">
            <v>0</v>
          </cell>
          <cell r="P715" t="str">
            <v/>
          </cell>
          <cell r="Q715">
            <v>0</v>
          </cell>
          <cell r="R715" t="str">
            <v/>
          </cell>
          <cell r="S715">
            <v>0</v>
          </cell>
          <cell r="T715">
            <v>0</v>
          </cell>
          <cell r="U715">
            <v>0</v>
          </cell>
          <cell r="V715">
            <v>0</v>
          </cell>
          <cell r="W715" t="str">
            <v/>
          </cell>
          <cell r="X715">
            <v>0</v>
          </cell>
          <cell r="Y715">
            <v>0</v>
          </cell>
          <cell r="Z715">
            <v>0</v>
          </cell>
          <cell r="AA715">
            <v>0</v>
          </cell>
          <cell r="AB715">
            <v>0</v>
          </cell>
          <cell r="AC715">
            <v>0</v>
          </cell>
          <cell r="AD715" t="str">
            <v/>
          </cell>
          <cell r="AE715">
            <v>0</v>
          </cell>
          <cell r="AF715">
            <v>0</v>
          </cell>
          <cell r="AG715" t="str">
            <v/>
          </cell>
          <cell r="AH715">
            <v>0</v>
          </cell>
          <cell r="AI715">
            <v>0</v>
          </cell>
          <cell r="AJ715">
            <v>0</v>
          </cell>
          <cell r="AK715">
            <v>0</v>
          </cell>
          <cell r="AL715" t="str">
            <v/>
          </cell>
        </row>
        <row r="716">
          <cell r="E716">
            <v>0</v>
          </cell>
          <cell r="F716">
            <v>0</v>
          </cell>
          <cell r="G716">
            <v>0</v>
          </cell>
          <cell r="H716">
            <v>0</v>
          </cell>
          <cell r="I716">
            <v>0</v>
          </cell>
          <cell r="J716">
            <v>0</v>
          </cell>
          <cell r="K716" t="str">
            <v/>
          </cell>
          <cell r="L716">
            <v>0</v>
          </cell>
          <cell r="M716">
            <v>0</v>
          </cell>
          <cell r="N716">
            <v>0</v>
          </cell>
          <cell r="O716">
            <v>0</v>
          </cell>
          <cell r="P716" t="str">
            <v/>
          </cell>
          <cell r="Q716">
            <v>0</v>
          </cell>
          <cell r="R716" t="str">
            <v/>
          </cell>
          <cell r="S716">
            <v>0</v>
          </cell>
          <cell r="T716">
            <v>0</v>
          </cell>
          <cell r="U716">
            <v>0</v>
          </cell>
          <cell r="V716">
            <v>0</v>
          </cell>
          <cell r="W716" t="str">
            <v/>
          </cell>
          <cell r="X716">
            <v>0</v>
          </cell>
          <cell r="Y716">
            <v>0</v>
          </cell>
          <cell r="Z716">
            <v>0</v>
          </cell>
          <cell r="AA716">
            <v>0</v>
          </cell>
          <cell r="AB716">
            <v>0</v>
          </cell>
          <cell r="AC716">
            <v>0</v>
          </cell>
          <cell r="AD716" t="str">
            <v/>
          </cell>
          <cell r="AE716">
            <v>0</v>
          </cell>
          <cell r="AF716">
            <v>0</v>
          </cell>
          <cell r="AG716" t="str">
            <v/>
          </cell>
          <cell r="AH716">
            <v>0</v>
          </cell>
          <cell r="AI716">
            <v>0</v>
          </cell>
          <cell r="AJ716">
            <v>0</v>
          </cell>
          <cell r="AK716">
            <v>0</v>
          </cell>
          <cell r="AL716" t="str">
            <v/>
          </cell>
        </row>
        <row r="717">
          <cell r="E717">
            <v>0</v>
          </cell>
          <cell r="F717">
            <v>0</v>
          </cell>
          <cell r="G717">
            <v>0</v>
          </cell>
          <cell r="H717">
            <v>0</v>
          </cell>
          <cell r="I717">
            <v>0</v>
          </cell>
          <cell r="J717">
            <v>0</v>
          </cell>
          <cell r="K717" t="str">
            <v/>
          </cell>
          <cell r="L717">
            <v>0</v>
          </cell>
          <cell r="M717">
            <v>0</v>
          </cell>
          <cell r="N717">
            <v>0</v>
          </cell>
          <cell r="O717">
            <v>0</v>
          </cell>
          <cell r="P717" t="str">
            <v/>
          </cell>
          <cell r="Q717">
            <v>0</v>
          </cell>
          <cell r="R717" t="str">
            <v/>
          </cell>
          <cell r="S717">
            <v>0</v>
          </cell>
          <cell r="T717">
            <v>0</v>
          </cell>
          <cell r="U717">
            <v>0</v>
          </cell>
          <cell r="V717">
            <v>0</v>
          </cell>
          <cell r="W717" t="str">
            <v/>
          </cell>
          <cell r="X717">
            <v>0</v>
          </cell>
          <cell r="Y717">
            <v>0</v>
          </cell>
          <cell r="Z717">
            <v>0</v>
          </cell>
          <cell r="AA717">
            <v>0</v>
          </cell>
          <cell r="AB717">
            <v>0</v>
          </cell>
          <cell r="AC717">
            <v>0</v>
          </cell>
          <cell r="AD717" t="str">
            <v/>
          </cell>
          <cell r="AE717">
            <v>0</v>
          </cell>
          <cell r="AF717">
            <v>0</v>
          </cell>
          <cell r="AG717" t="str">
            <v/>
          </cell>
          <cell r="AH717">
            <v>0</v>
          </cell>
          <cell r="AI717">
            <v>0</v>
          </cell>
          <cell r="AJ717">
            <v>0</v>
          </cell>
          <cell r="AK717">
            <v>0</v>
          </cell>
          <cell r="AL717" t="str">
            <v/>
          </cell>
        </row>
        <row r="718">
          <cell r="E718">
            <v>0</v>
          </cell>
          <cell r="F718">
            <v>0</v>
          </cell>
          <cell r="G718">
            <v>0</v>
          </cell>
          <cell r="H718">
            <v>0</v>
          </cell>
          <cell r="I718">
            <v>0</v>
          </cell>
          <cell r="J718">
            <v>0</v>
          </cell>
          <cell r="K718" t="str">
            <v/>
          </cell>
          <cell r="L718">
            <v>0</v>
          </cell>
          <cell r="M718">
            <v>0</v>
          </cell>
          <cell r="N718">
            <v>0</v>
          </cell>
          <cell r="O718">
            <v>0</v>
          </cell>
          <cell r="P718" t="str">
            <v/>
          </cell>
          <cell r="Q718">
            <v>0</v>
          </cell>
          <cell r="R718" t="str">
            <v/>
          </cell>
          <cell r="S718">
            <v>0</v>
          </cell>
          <cell r="T718">
            <v>0</v>
          </cell>
          <cell r="U718">
            <v>0</v>
          </cell>
          <cell r="V718">
            <v>0</v>
          </cell>
          <cell r="W718" t="str">
            <v/>
          </cell>
          <cell r="X718">
            <v>0</v>
          </cell>
          <cell r="Y718">
            <v>0</v>
          </cell>
          <cell r="Z718">
            <v>0</v>
          </cell>
          <cell r="AA718">
            <v>0</v>
          </cell>
          <cell r="AB718">
            <v>0</v>
          </cell>
          <cell r="AC718">
            <v>0</v>
          </cell>
          <cell r="AD718" t="str">
            <v/>
          </cell>
          <cell r="AE718">
            <v>0</v>
          </cell>
          <cell r="AF718">
            <v>0</v>
          </cell>
          <cell r="AG718" t="str">
            <v/>
          </cell>
          <cell r="AH718">
            <v>0</v>
          </cell>
          <cell r="AI718">
            <v>0</v>
          </cell>
          <cell r="AJ718">
            <v>0</v>
          </cell>
          <cell r="AK718">
            <v>0</v>
          </cell>
          <cell r="AL718" t="str">
            <v/>
          </cell>
        </row>
        <row r="719">
          <cell r="E719">
            <v>0</v>
          </cell>
          <cell r="F719">
            <v>0</v>
          </cell>
          <cell r="G719">
            <v>0</v>
          </cell>
          <cell r="H719">
            <v>0</v>
          </cell>
          <cell r="I719">
            <v>0</v>
          </cell>
          <cell r="J719">
            <v>0</v>
          </cell>
          <cell r="K719" t="str">
            <v/>
          </cell>
          <cell r="L719">
            <v>0</v>
          </cell>
          <cell r="M719">
            <v>0</v>
          </cell>
          <cell r="N719">
            <v>0</v>
          </cell>
          <cell r="O719">
            <v>0</v>
          </cell>
          <cell r="P719" t="str">
            <v/>
          </cell>
          <cell r="Q719">
            <v>0</v>
          </cell>
          <cell r="R719" t="str">
            <v/>
          </cell>
          <cell r="S719">
            <v>0</v>
          </cell>
          <cell r="T719">
            <v>0</v>
          </cell>
          <cell r="U719">
            <v>0</v>
          </cell>
          <cell r="V719">
            <v>0</v>
          </cell>
          <cell r="W719" t="str">
            <v/>
          </cell>
          <cell r="X719">
            <v>0</v>
          </cell>
          <cell r="Y719">
            <v>0</v>
          </cell>
          <cell r="Z719">
            <v>0</v>
          </cell>
          <cell r="AA719">
            <v>0</v>
          </cell>
          <cell r="AB719">
            <v>0</v>
          </cell>
          <cell r="AC719">
            <v>0</v>
          </cell>
          <cell r="AD719" t="str">
            <v/>
          </cell>
          <cell r="AE719">
            <v>0</v>
          </cell>
          <cell r="AF719">
            <v>0</v>
          </cell>
          <cell r="AG719" t="str">
            <v/>
          </cell>
          <cell r="AH719">
            <v>0</v>
          </cell>
          <cell r="AI719">
            <v>0</v>
          </cell>
          <cell r="AJ719">
            <v>0</v>
          </cell>
          <cell r="AK719">
            <v>0</v>
          </cell>
          <cell r="AL719" t="str">
            <v/>
          </cell>
        </row>
        <row r="720">
          <cell r="E720">
            <v>0</v>
          </cell>
          <cell r="F720">
            <v>0</v>
          </cell>
          <cell r="G720">
            <v>0</v>
          </cell>
          <cell r="H720">
            <v>0</v>
          </cell>
          <cell r="I720">
            <v>0</v>
          </cell>
          <cell r="J720">
            <v>0</v>
          </cell>
          <cell r="K720" t="str">
            <v/>
          </cell>
          <cell r="L720">
            <v>0</v>
          </cell>
          <cell r="M720">
            <v>0</v>
          </cell>
          <cell r="N720">
            <v>0</v>
          </cell>
          <cell r="O720">
            <v>0</v>
          </cell>
          <cell r="P720" t="str">
            <v/>
          </cell>
          <cell r="Q720">
            <v>0</v>
          </cell>
          <cell r="R720" t="str">
            <v/>
          </cell>
          <cell r="S720">
            <v>0</v>
          </cell>
          <cell r="T720">
            <v>0</v>
          </cell>
          <cell r="U720">
            <v>0</v>
          </cell>
          <cell r="V720">
            <v>0</v>
          </cell>
          <cell r="W720" t="str">
            <v/>
          </cell>
          <cell r="X720">
            <v>0</v>
          </cell>
          <cell r="Y720">
            <v>0</v>
          </cell>
          <cell r="Z720">
            <v>0</v>
          </cell>
          <cell r="AA720">
            <v>0</v>
          </cell>
          <cell r="AB720">
            <v>0</v>
          </cell>
          <cell r="AC720">
            <v>0</v>
          </cell>
          <cell r="AD720" t="str">
            <v/>
          </cell>
          <cell r="AE720">
            <v>0</v>
          </cell>
          <cell r="AF720">
            <v>0</v>
          </cell>
          <cell r="AG720" t="str">
            <v/>
          </cell>
          <cell r="AH720">
            <v>0</v>
          </cell>
          <cell r="AI720">
            <v>0</v>
          </cell>
          <cell r="AJ720">
            <v>0</v>
          </cell>
          <cell r="AK720">
            <v>0</v>
          </cell>
          <cell r="AL720" t="str">
            <v/>
          </cell>
        </row>
        <row r="721">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t="str">
            <v>計</v>
          </cell>
          <cell r="V721">
            <v>0</v>
          </cell>
          <cell r="W721">
            <v>894820.8</v>
          </cell>
          <cell r="X721">
            <v>0</v>
          </cell>
          <cell r="Y721">
            <v>0</v>
          </cell>
          <cell r="Z721">
            <v>0</v>
          </cell>
          <cell r="AA721">
            <v>0</v>
          </cell>
          <cell r="AB721">
            <v>0</v>
          </cell>
          <cell r="AC721">
            <v>0</v>
          </cell>
          <cell r="AD721">
            <v>0</v>
          </cell>
          <cell r="AE721" t="str">
            <v>計</v>
          </cell>
          <cell r="AF721">
            <v>0</v>
          </cell>
          <cell r="AG721">
            <v>173.47120000000001</v>
          </cell>
          <cell r="AH721">
            <v>0</v>
          </cell>
          <cell r="AI721">
            <v>0</v>
          </cell>
          <cell r="AJ721">
            <v>0</v>
          </cell>
          <cell r="AK721">
            <v>0</v>
          </cell>
          <cell r="AL721">
            <v>0</v>
          </cell>
        </row>
        <row r="722">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row>
        <row r="723">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row>
        <row r="724">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row>
        <row r="725">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row>
        <row r="726">
          <cell r="E726">
            <v>0</v>
          </cell>
          <cell r="F726">
            <v>0</v>
          </cell>
          <cell r="G726">
            <v>0</v>
          </cell>
          <cell r="H726">
            <v>0</v>
          </cell>
          <cell r="I726">
            <v>0</v>
          </cell>
          <cell r="J726">
            <v>0</v>
          </cell>
          <cell r="K726">
            <v>0</v>
          </cell>
          <cell r="L726" t="str">
            <v>一般幹線</v>
          </cell>
          <cell r="M726">
            <v>0</v>
          </cell>
          <cell r="N726">
            <v>0</v>
          </cell>
          <cell r="O726">
            <v>0</v>
          </cell>
          <cell r="P726">
            <v>0</v>
          </cell>
          <cell r="Q726">
            <v>0</v>
          </cell>
          <cell r="R726" t="str">
            <v>個別幹線</v>
          </cell>
          <cell r="S726">
            <v>0</v>
          </cell>
          <cell r="T726">
            <v>0</v>
          </cell>
          <cell r="U726">
            <v>0</v>
          </cell>
          <cell r="V726">
            <v>0</v>
          </cell>
          <cell r="W726">
            <v>0</v>
          </cell>
          <cell r="X726" t="str">
            <v>各階低圧盤</v>
          </cell>
          <cell r="Y726">
            <v>0</v>
          </cell>
          <cell r="Z726">
            <v>0</v>
          </cell>
          <cell r="AA726">
            <v>0</v>
          </cell>
          <cell r="AB726">
            <v>0</v>
          </cell>
          <cell r="AC726">
            <v>0</v>
          </cell>
          <cell r="AD726">
            <v>0</v>
          </cell>
          <cell r="AE726" t="str">
            <v>個別低圧盤</v>
          </cell>
          <cell r="AF726">
            <v>0</v>
          </cell>
          <cell r="AG726">
            <v>0</v>
          </cell>
          <cell r="AH726">
            <v>0</v>
          </cell>
          <cell r="AI726">
            <v>0</v>
          </cell>
          <cell r="AJ726">
            <v>0</v>
          </cell>
          <cell r="AK726">
            <v>0</v>
          </cell>
          <cell r="AL726" t="str">
            <v>配管配線集計</v>
          </cell>
        </row>
        <row r="727">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row>
        <row r="728">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row>
        <row r="729">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row>
        <row r="730">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row>
        <row r="731">
          <cell r="E731">
            <v>0</v>
          </cell>
          <cell r="F731">
            <v>0</v>
          </cell>
          <cell r="G731">
            <v>0</v>
          </cell>
          <cell r="H731">
            <v>0</v>
          </cell>
          <cell r="I731">
            <v>0</v>
          </cell>
          <cell r="J731">
            <v>0</v>
          </cell>
          <cell r="K731">
            <v>0</v>
          </cell>
          <cell r="L731">
            <v>0</v>
          </cell>
          <cell r="M731">
            <v>0</v>
          </cell>
          <cell r="N731">
            <v>0</v>
          </cell>
          <cell r="O731">
            <v>0</v>
          </cell>
          <cell r="P731">
            <v>8702000</v>
          </cell>
          <cell r="Q731">
            <v>0</v>
          </cell>
          <cell r="R731">
            <v>0</v>
          </cell>
          <cell r="S731">
            <v>0</v>
          </cell>
          <cell r="T731">
            <v>0</v>
          </cell>
          <cell r="U731">
            <v>0</v>
          </cell>
          <cell r="V731">
            <v>0</v>
          </cell>
          <cell r="W731">
            <v>0</v>
          </cell>
          <cell r="X731" t="str">
            <v>電 工(人)</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row>
        <row r="732">
          <cell r="E732">
            <v>0</v>
          </cell>
          <cell r="F732">
            <v>0</v>
          </cell>
          <cell r="G732">
            <v>0</v>
          </cell>
          <cell r="H732">
            <v>0</v>
          </cell>
          <cell r="I732">
            <v>0</v>
          </cell>
          <cell r="J732">
            <v>0</v>
          </cell>
          <cell r="K732">
            <v>0</v>
          </cell>
          <cell r="L732">
            <v>0</v>
          </cell>
          <cell r="M732">
            <v>0</v>
          </cell>
          <cell r="N732">
            <v>0</v>
          </cell>
          <cell r="O732">
            <v>0</v>
          </cell>
          <cell r="P732">
            <v>435000</v>
          </cell>
          <cell r="Q732">
            <v>0</v>
          </cell>
          <cell r="R732">
            <v>0</v>
          </cell>
          <cell r="S732">
            <v>0</v>
          </cell>
          <cell r="T732">
            <v>0</v>
          </cell>
          <cell r="U732">
            <v>0</v>
          </cell>
          <cell r="V732">
            <v>0</v>
          </cell>
          <cell r="W732">
            <v>0</v>
          </cell>
          <cell r="X732">
            <v>462.91820000000007</v>
          </cell>
          <cell r="Y732">
            <v>0</v>
          </cell>
          <cell r="Z732">
            <v>0</v>
          </cell>
          <cell r="AA732">
            <v>0</v>
          </cell>
          <cell r="AB732">
            <v>0</v>
          </cell>
          <cell r="AC732">
            <v>0</v>
          </cell>
          <cell r="AD732">
            <v>1388000</v>
          </cell>
          <cell r="AE732">
            <v>0</v>
          </cell>
          <cell r="AF732">
            <v>0</v>
          </cell>
          <cell r="AG732">
            <v>0</v>
          </cell>
          <cell r="AH732">
            <v>0</v>
          </cell>
          <cell r="AI732">
            <v>0</v>
          </cell>
          <cell r="AJ732">
            <v>0</v>
          </cell>
          <cell r="AK732">
            <v>0</v>
          </cell>
          <cell r="AL732">
            <v>0</v>
          </cell>
        </row>
        <row r="733">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row>
        <row r="734">
          <cell r="E734">
            <v>0</v>
          </cell>
          <cell r="F734">
            <v>0</v>
          </cell>
          <cell r="G734">
            <v>0</v>
          </cell>
          <cell r="H734">
            <v>0</v>
          </cell>
          <cell r="I734">
            <v>0</v>
          </cell>
          <cell r="J734">
            <v>0</v>
          </cell>
          <cell r="K734">
            <v>0</v>
          </cell>
          <cell r="L734">
            <v>0</v>
          </cell>
          <cell r="M734">
            <v>0</v>
          </cell>
          <cell r="N734">
            <v>0</v>
          </cell>
          <cell r="O734">
            <v>0</v>
          </cell>
          <cell r="P734">
            <v>894000</v>
          </cell>
          <cell r="Q734">
            <v>0</v>
          </cell>
          <cell r="R734">
            <v>0</v>
          </cell>
          <cell r="S734">
            <v>0</v>
          </cell>
          <cell r="T734">
            <v>0</v>
          </cell>
          <cell r="U734">
            <v>0</v>
          </cell>
          <cell r="V734">
            <v>0</v>
          </cell>
          <cell r="W734">
            <v>0</v>
          </cell>
          <cell r="X734" t="str">
            <v>電 工(人)</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row>
        <row r="735">
          <cell r="E735">
            <v>0</v>
          </cell>
          <cell r="F735">
            <v>0</v>
          </cell>
          <cell r="G735">
            <v>0</v>
          </cell>
          <cell r="H735">
            <v>0</v>
          </cell>
          <cell r="I735">
            <v>0</v>
          </cell>
          <cell r="J735">
            <v>0</v>
          </cell>
          <cell r="K735">
            <v>0</v>
          </cell>
          <cell r="L735">
            <v>0</v>
          </cell>
          <cell r="M735">
            <v>0</v>
          </cell>
          <cell r="N735">
            <v>0</v>
          </cell>
          <cell r="O735">
            <v>0</v>
          </cell>
          <cell r="P735">
            <v>312000</v>
          </cell>
          <cell r="Q735">
            <v>0</v>
          </cell>
          <cell r="R735">
            <v>0</v>
          </cell>
          <cell r="S735">
            <v>0</v>
          </cell>
          <cell r="T735">
            <v>0</v>
          </cell>
          <cell r="U735">
            <v>0</v>
          </cell>
          <cell r="V735">
            <v>0</v>
          </cell>
          <cell r="W735">
            <v>0</v>
          </cell>
          <cell r="X735">
            <v>173.47120000000001</v>
          </cell>
          <cell r="Y735">
            <v>0</v>
          </cell>
          <cell r="Z735">
            <v>0</v>
          </cell>
          <cell r="AA735">
            <v>0</v>
          </cell>
          <cell r="AB735">
            <v>0</v>
          </cell>
          <cell r="AC735">
            <v>0</v>
          </cell>
          <cell r="AD735">
            <v>520000</v>
          </cell>
          <cell r="AE735">
            <v>0</v>
          </cell>
          <cell r="AF735">
            <v>0</v>
          </cell>
          <cell r="AG735">
            <v>0</v>
          </cell>
          <cell r="AH735">
            <v>0</v>
          </cell>
          <cell r="AI735">
            <v>0</v>
          </cell>
          <cell r="AJ735">
            <v>0</v>
          </cell>
          <cell r="AK735">
            <v>0</v>
          </cell>
          <cell r="AL735">
            <v>0</v>
          </cell>
        </row>
        <row r="736">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row>
        <row r="737">
          <cell r="E737">
            <v>0</v>
          </cell>
          <cell r="F737">
            <v>0</v>
          </cell>
          <cell r="G737">
            <v>0</v>
          </cell>
          <cell r="H737">
            <v>0</v>
          </cell>
          <cell r="I737">
            <v>0</v>
          </cell>
          <cell r="J737">
            <v>0</v>
          </cell>
          <cell r="K737">
            <v>0</v>
          </cell>
          <cell r="L737">
            <v>0</v>
          </cell>
          <cell r="M737">
            <v>0</v>
          </cell>
          <cell r="N737">
            <v>0</v>
          </cell>
          <cell r="O737" t="str">
            <v>小計</v>
          </cell>
          <cell r="P737">
            <v>10343000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row>
        <row r="738">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row>
        <row r="739">
          <cell r="E739">
            <v>0</v>
          </cell>
          <cell r="F739">
            <v>0</v>
          </cell>
          <cell r="G739">
            <v>0</v>
          </cell>
          <cell r="H739">
            <v>0</v>
          </cell>
          <cell r="I739">
            <v>0</v>
          </cell>
          <cell r="J739">
            <v>0</v>
          </cell>
          <cell r="K739" t="str">
            <v>合計金額</v>
          </cell>
          <cell r="L739">
            <v>0</v>
          </cell>
          <cell r="M739">
            <v>0</v>
          </cell>
          <cell r="N739">
            <v>0</v>
          </cell>
          <cell r="O739">
            <v>0</v>
          </cell>
          <cell r="P739">
            <v>50254000</v>
          </cell>
          <cell r="Q739">
            <v>0</v>
          </cell>
          <cell r="R739">
            <v>0</v>
          </cell>
          <cell r="S739">
            <v>0</v>
          </cell>
          <cell r="T739">
            <v>0</v>
          </cell>
          <cell r="U739">
            <v>0</v>
          </cell>
          <cell r="V739">
            <v>0</v>
          </cell>
          <cell r="W739">
            <v>0</v>
          </cell>
          <cell r="X739" t="str">
            <v>電 工 費</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row>
        <row r="740">
          <cell r="E740">
            <v>0</v>
          </cell>
          <cell r="F740">
            <v>0</v>
          </cell>
          <cell r="G740">
            <v>0</v>
          </cell>
          <cell r="H740">
            <v>0</v>
          </cell>
          <cell r="I740">
            <v>0</v>
          </cell>
          <cell r="J740">
            <v>0</v>
          </cell>
          <cell r="K740" t="str">
            <v>一式金額</v>
          </cell>
          <cell r="L740">
            <v>0</v>
          </cell>
          <cell r="M740">
            <v>0</v>
          </cell>
          <cell r="N740">
            <v>0</v>
          </cell>
          <cell r="O740">
            <v>0</v>
          </cell>
          <cell r="P740">
            <v>2512000</v>
          </cell>
          <cell r="Q740">
            <v>0</v>
          </cell>
          <cell r="R740">
            <v>0</v>
          </cell>
          <cell r="S740">
            <v>0</v>
          </cell>
          <cell r="T740">
            <v>0</v>
          </cell>
          <cell r="U740">
            <v>0</v>
          </cell>
          <cell r="V740">
            <v>0</v>
          </cell>
          <cell r="W740">
            <v>0</v>
          </cell>
          <cell r="X740">
            <v>697.1099999999999</v>
          </cell>
          <cell r="Y740">
            <v>0</v>
          </cell>
          <cell r="Z740">
            <v>0</v>
          </cell>
          <cell r="AA740">
            <v>0</v>
          </cell>
          <cell r="AB740">
            <v>0</v>
          </cell>
          <cell r="AC740">
            <v>0</v>
          </cell>
          <cell r="AD740">
            <v>2091300</v>
          </cell>
          <cell r="AE740">
            <v>0</v>
          </cell>
          <cell r="AF740">
            <v>0</v>
          </cell>
          <cell r="AG740">
            <v>0</v>
          </cell>
          <cell r="AH740">
            <v>0</v>
          </cell>
          <cell r="AI740">
            <v>0</v>
          </cell>
          <cell r="AJ740">
            <v>0</v>
          </cell>
          <cell r="AK740">
            <v>0</v>
          </cell>
          <cell r="AL740">
            <v>0</v>
          </cell>
        </row>
        <row r="741">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row>
        <row r="742">
          <cell r="E742">
            <v>0</v>
          </cell>
          <cell r="F742">
            <v>0</v>
          </cell>
          <cell r="G742">
            <v>0</v>
          </cell>
          <cell r="H742">
            <v>0</v>
          </cell>
          <cell r="I742">
            <v>0</v>
          </cell>
          <cell r="J742">
            <v>0</v>
          </cell>
          <cell r="K742">
            <v>0</v>
          </cell>
          <cell r="L742">
            <v>0</v>
          </cell>
          <cell r="M742">
            <v>0</v>
          </cell>
          <cell r="N742">
            <v>0</v>
          </cell>
          <cell r="O742" t="str">
            <v>小計</v>
          </cell>
          <cell r="P742">
            <v>52766000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3999300</v>
          </cell>
          <cell r="AE742">
            <v>0</v>
          </cell>
          <cell r="AF742">
            <v>0</v>
          </cell>
          <cell r="AG742">
            <v>0</v>
          </cell>
          <cell r="AH742">
            <v>0</v>
          </cell>
          <cell r="AI742">
            <v>0</v>
          </cell>
          <cell r="AJ742">
            <v>0</v>
          </cell>
          <cell r="AK742">
            <v>0</v>
          </cell>
          <cell r="AL742">
            <v>0</v>
          </cell>
        </row>
        <row r="743">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row>
        <row r="744">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row>
        <row r="745">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row>
        <row r="746">
          <cell r="E746">
            <v>0</v>
          </cell>
          <cell r="F746" t="str">
            <v xml:space="preserve"> 低圧幹線設備工事</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row>
        <row r="747">
          <cell r="E747">
            <v>0</v>
          </cell>
          <cell r="F747">
            <v>0</v>
          </cell>
          <cell r="G747">
            <v>0</v>
          </cell>
          <cell r="H747">
            <v>0</v>
          </cell>
          <cell r="I747">
            <v>0</v>
          </cell>
          <cell r="J747">
            <v>0</v>
          </cell>
          <cell r="K747">
            <v>0</v>
          </cell>
          <cell r="L747">
            <v>0</v>
          </cell>
          <cell r="M747">
            <v>23938000</v>
          </cell>
          <cell r="N747">
            <v>0</v>
          </cell>
          <cell r="O747">
            <v>0</v>
          </cell>
          <cell r="P747">
            <v>0</v>
          </cell>
          <cell r="Q747">
            <v>0</v>
          </cell>
          <cell r="R747">
            <v>0</v>
          </cell>
          <cell r="S747">
            <v>0</v>
          </cell>
          <cell r="T747">
            <v>0</v>
          </cell>
          <cell r="U747">
            <v>0</v>
          </cell>
          <cell r="V747" t="str">
            <v>▼</v>
          </cell>
          <cell r="W747" t="str">
            <v>掛率％</v>
          </cell>
          <cell r="X747">
            <v>0</v>
          </cell>
          <cell r="Y747">
            <v>0</v>
          </cell>
          <cell r="Z747">
            <v>0</v>
          </cell>
          <cell r="AA747">
            <v>0</v>
          </cell>
          <cell r="AB747">
            <v>0</v>
          </cell>
          <cell r="AC747">
            <v>0</v>
          </cell>
          <cell r="AD747">
            <v>0</v>
          </cell>
          <cell r="AE747">
            <v>0</v>
          </cell>
          <cell r="AF747" t="str">
            <v/>
          </cell>
          <cell r="AG747">
            <v>0</v>
          </cell>
          <cell r="AH747">
            <v>0</v>
          </cell>
          <cell r="AI747">
            <v>0</v>
          </cell>
          <cell r="AJ747">
            <v>0</v>
          </cell>
          <cell r="AK747">
            <v>0</v>
          </cell>
          <cell r="AL747">
            <v>0</v>
          </cell>
        </row>
        <row r="748">
          <cell r="E748">
            <v>0</v>
          </cell>
          <cell r="F748">
            <v>0</v>
          </cell>
          <cell r="G748">
            <v>0</v>
          </cell>
          <cell r="H748">
            <v>0</v>
          </cell>
          <cell r="I748">
            <v>0</v>
          </cell>
          <cell r="J748">
            <v>0</v>
          </cell>
          <cell r="K748">
            <v>0</v>
          </cell>
          <cell r="L748">
            <v>0</v>
          </cell>
          <cell r="M748">
            <v>55438000</v>
          </cell>
          <cell r="N748">
            <v>0</v>
          </cell>
          <cell r="O748">
            <v>0</v>
          </cell>
          <cell r="P748">
            <v>0</v>
          </cell>
          <cell r="Q748">
            <v>0</v>
          </cell>
          <cell r="R748">
            <v>0</v>
          </cell>
          <cell r="S748">
            <v>0</v>
          </cell>
          <cell r="T748">
            <v>0</v>
          </cell>
          <cell r="U748">
            <v>0</v>
          </cell>
          <cell r="V748" t="str">
            <v>▼</v>
          </cell>
          <cell r="W748" t="str">
            <v>掛率％</v>
          </cell>
          <cell r="X748">
            <v>0</v>
          </cell>
          <cell r="Y748">
            <v>0</v>
          </cell>
          <cell r="Z748">
            <v>0</v>
          </cell>
          <cell r="AA748">
            <v>0</v>
          </cell>
          <cell r="AB748">
            <v>0</v>
          </cell>
          <cell r="AC748">
            <v>0</v>
          </cell>
          <cell r="AD748">
            <v>0</v>
          </cell>
          <cell r="AE748">
            <v>0</v>
          </cell>
          <cell r="AF748" t="str">
            <v/>
          </cell>
          <cell r="AG748">
            <v>0</v>
          </cell>
          <cell r="AH748">
            <v>0</v>
          </cell>
          <cell r="AI748">
            <v>0</v>
          </cell>
          <cell r="AJ748">
            <v>0</v>
          </cell>
          <cell r="AK748">
            <v>0</v>
          </cell>
          <cell r="AL748">
            <v>0</v>
          </cell>
        </row>
        <row r="749">
          <cell r="E749">
            <v>0</v>
          </cell>
          <cell r="F749">
            <v>0</v>
          </cell>
          <cell r="G749">
            <v>0</v>
          </cell>
          <cell r="H749">
            <v>0</v>
          </cell>
          <cell r="I749">
            <v>0</v>
          </cell>
          <cell r="J749">
            <v>0</v>
          </cell>
          <cell r="K749">
            <v>0</v>
          </cell>
          <cell r="L749">
            <v>0</v>
          </cell>
          <cell r="M749">
            <v>6365000</v>
          </cell>
          <cell r="N749">
            <v>0</v>
          </cell>
          <cell r="O749">
            <v>0</v>
          </cell>
          <cell r="P749">
            <v>0</v>
          </cell>
          <cell r="Q749">
            <v>0</v>
          </cell>
          <cell r="R749">
            <v>0</v>
          </cell>
          <cell r="S749">
            <v>0</v>
          </cell>
          <cell r="T749">
            <v>0</v>
          </cell>
          <cell r="U749">
            <v>0</v>
          </cell>
          <cell r="V749" t="str">
            <v>電工単価</v>
          </cell>
          <cell r="W749">
            <v>0</v>
          </cell>
          <cell r="X749">
            <v>0</v>
          </cell>
          <cell r="Y749">
            <v>0</v>
          </cell>
          <cell r="Z749">
            <v>0</v>
          </cell>
          <cell r="AA749">
            <v>0</v>
          </cell>
          <cell r="AB749">
            <v>3000</v>
          </cell>
          <cell r="AC749">
            <v>0</v>
          </cell>
          <cell r="AD749">
            <v>0</v>
          </cell>
          <cell r="AE749">
            <v>0</v>
          </cell>
          <cell r="AF749">
            <v>0</v>
          </cell>
          <cell r="AG749">
            <v>0</v>
          </cell>
          <cell r="AH749" t="str">
            <v>▼</v>
          </cell>
          <cell r="AI749">
            <v>0</v>
          </cell>
          <cell r="AJ749">
            <v>0</v>
          </cell>
          <cell r="AK749">
            <v>0</v>
          </cell>
          <cell r="AL749">
            <v>0</v>
          </cell>
        </row>
        <row r="750">
          <cell r="E750">
            <v>0</v>
          </cell>
          <cell r="F750" t="str">
            <v>　の 計</v>
          </cell>
          <cell r="G750">
            <v>0</v>
          </cell>
          <cell r="H750">
            <v>0</v>
          </cell>
          <cell r="I750">
            <v>0</v>
          </cell>
          <cell r="J750">
            <v>0</v>
          </cell>
          <cell r="K750">
            <v>0</v>
          </cell>
          <cell r="L750">
            <v>0</v>
          </cell>
          <cell r="M750">
            <v>85741000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row>
        <row r="751">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row>
        <row r="752">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row>
        <row r="753">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row>
      </sheetData>
      <sheetData sheetId="1">
        <row r="9">
          <cell r="BA9">
            <v>0</v>
          </cell>
        </row>
        <row r="57">
          <cell r="D57" t="str">
            <v>排水ポンプ</v>
          </cell>
          <cell r="AE57">
            <v>12.774095833333334</v>
          </cell>
          <cell r="AM57">
            <v>79</v>
          </cell>
          <cell r="AP57">
            <v>90</v>
          </cell>
          <cell r="AS57">
            <v>2</v>
          </cell>
        </row>
        <row r="58">
          <cell r="D58" t="str">
            <v>汚水ポンプ</v>
          </cell>
          <cell r="AE58">
            <v>5.1096383333333346</v>
          </cell>
          <cell r="AM58">
            <v>79</v>
          </cell>
          <cell r="AP58">
            <v>90</v>
          </cell>
          <cell r="AS58">
            <v>2</v>
          </cell>
        </row>
        <row r="59">
          <cell r="D59" t="str">
            <v>湧水ポンプ</v>
          </cell>
          <cell r="AE59">
            <v>0.19943000000000002</v>
          </cell>
          <cell r="AM59">
            <v>66</v>
          </cell>
          <cell r="AP59">
            <v>80</v>
          </cell>
          <cell r="AS59">
            <v>2</v>
          </cell>
        </row>
        <row r="480">
          <cell r="CC480">
            <v>6.1999999999999993</v>
          </cell>
          <cell r="CD480">
            <v>9.3929618301109379</v>
          </cell>
          <cell r="CE480">
            <v>158.75</v>
          </cell>
          <cell r="CF480">
            <v>20.381532183620013</v>
          </cell>
          <cell r="CJ480">
            <v>1.46</v>
          </cell>
          <cell r="CK480">
            <v>2.1627917363115725</v>
          </cell>
          <cell r="CL480">
            <v>38.075000000000003</v>
          </cell>
          <cell r="CM480">
            <v>4.6345787709122588</v>
          </cell>
        </row>
        <row r="508">
          <cell r="D508" t="str">
            <v>屋内消火栓ポンプ</v>
          </cell>
          <cell r="AE508" t="str">
            <v/>
          </cell>
          <cell r="AM508" t="str">
            <v/>
          </cell>
          <cell r="AP508" t="str">
            <v/>
          </cell>
          <cell r="AS508" t="str">
            <v/>
          </cell>
        </row>
        <row r="509">
          <cell r="D509" t="str">
            <v>スプリンクラ・ポンプ</v>
          </cell>
          <cell r="AE509">
            <v>75.460000000000008</v>
          </cell>
          <cell r="AM509">
            <v>85</v>
          </cell>
          <cell r="AP509">
            <v>93</v>
          </cell>
          <cell r="AS509">
            <v>1</v>
          </cell>
        </row>
        <row r="518">
          <cell r="D518" t="str">
            <v>排煙ファン</v>
          </cell>
          <cell r="AE518">
            <v>30</v>
          </cell>
          <cell r="AM518">
            <v>85</v>
          </cell>
          <cell r="AP518">
            <v>93</v>
          </cell>
          <cell r="AS518">
            <v>1</v>
          </cell>
        </row>
        <row r="519">
          <cell r="D519" t="str">
            <v>防火シャッタ</v>
          </cell>
          <cell r="AE519">
            <v>0.2</v>
          </cell>
          <cell r="AM519">
            <v>66</v>
          </cell>
          <cell r="AP519">
            <v>80</v>
          </cell>
          <cell r="AS519">
            <v>15</v>
          </cell>
        </row>
        <row r="520">
          <cell r="D520" t="str">
            <v>非常用エレベータ</v>
          </cell>
          <cell r="AE520" t="str">
            <v/>
          </cell>
          <cell r="AM520" t="str">
            <v/>
          </cell>
          <cell r="AP520" t="str">
            <v/>
          </cell>
          <cell r="AS520" t="str">
            <v/>
          </cell>
        </row>
        <row r="1406">
          <cell r="M1406">
            <v>14972000</v>
          </cell>
        </row>
        <row r="1407">
          <cell r="M1407">
            <v>4491000</v>
          </cell>
        </row>
        <row r="1408">
          <cell r="M1408">
            <v>9858000</v>
          </cell>
        </row>
      </sheetData>
      <sheetData sheetId="2">
        <row r="6">
          <cell r="N6" t="str">
            <v>器具取付高さ [mm]</v>
          </cell>
        </row>
        <row r="234">
          <cell r="CR234" t="str">
            <v xml:space="preserve"> B2F</v>
          </cell>
          <cell r="CS234">
            <v>5</v>
          </cell>
          <cell r="CT234">
            <v>0</v>
          </cell>
          <cell r="CU234">
            <v>0</v>
          </cell>
          <cell r="CV234">
            <v>10</v>
          </cell>
          <cell r="CW234">
            <v>10</v>
          </cell>
          <cell r="CX234">
            <v>10</v>
          </cell>
          <cell r="CY234">
            <v>0</v>
          </cell>
          <cell r="CZ234">
            <v>0</v>
          </cell>
          <cell r="DA234">
            <v>24</v>
          </cell>
          <cell r="DB234">
            <v>33</v>
          </cell>
          <cell r="DC234" t="str">
            <v>⑦</v>
          </cell>
        </row>
        <row r="235">
          <cell r="CR235" t="str">
            <v xml:space="preserve"> B1F</v>
          </cell>
          <cell r="CS235">
            <v>5</v>
          </cell>
          <cell r="CT235">
            <v>10</v>
          </cell>
          <cell r="CU235">
            <v>0</v>
          </cell>
          <cell r="CV235">
            <v>5</v>
          </cell>
          <cell r="CW235">
            <v>15</v>
          </cell>
          <cell r="CX235">
            <v>5</v>
          </cell>
          <cell r="CY235">
            <v>0</v>
          </cell>
          <cell r="CZ235">
            <v>0</v>
          </cell>
          <cell r="DA235">
            <v>24</v>
          </cell>
          <cell r="DB235">
            <v>33</v>
          </cell>
          <cell r="DC235" t="str">
            <v>⑦</v>
          </cell>
        </row>
        <row r="236">
          <cell r="BD236">
            <v>11530000</v>
          </cell>
          <cell r="CR236" t="str">
            <v xml:space="preserve">  1F</v>
          </cell>
          <cell r="CS236">
            <v>5</v>
          </cell>
          <cell r="CT236">
            <v>15</v>
          </cell>
          <cell r="CU236">
            <v>0</v>
          </cell>
          <cell r="CV236">
            <v>0</v>
          </cell>
          <cell r="CW236">
            <v>0</v>
          </cell>
          <cell r="CX236">
            <v>0</v>
          </cell>
          <cell r="CY236">
            <v>1</v>
          </cell>
          <cell r="CZ236">
            <v>1</v>
          </cell>
          <cell r="DA236">
            <v>30</v>
          </cell>
          <cell r="DB236">
            <v>31.8</v>
          </cell>
          <cell r="DC236" t="str">
            <v>⑦</v>
          </cell>
        </row>
        <row r="237">
          <cell r="BD237">
            <v>2589000</v>
          </cell>
          <cell r="CR237" t="str">
            <v xml:space="preserve">  2F</v>
          </cell>
          <cell r="CS237">
            <v>4</v>
          </cell>
          <cell r="CT237">
            <v>19</v>
          </cell>
          <cell r="CU237">
            <v>4</v>
          </cell>
          <cell r="CV237">
            <v>0</v>
          </cell>
          <cell r="CW237">
            <v>0</v>
          </cell>
          <cell r="CX237">
            <v>4</v>
          </cell>
          <cell r="CY237">
            <v>1</v>
          </cell>
          <cell r="CZ237">
            <v>2</v>
          </cell>
          <cell r="DA237">
            <v>30</v>
          </cell>
          <cell r="DB237">
            <v>31.8</v>
          </cell>
          <cell r="DC237" t="str">
            <v>⑦</v>
          </cell>
        </row>
        <row r="238">
          <cell r="BD238">
            <v>9835000</v>
          </cell>
          <cell r="CR238" t="str">
            <v xml:space="preserve">  3F</v>
          </cell>
          <cell r="CS238">
            <v>4</v>
          </cell>
          <cell r="CT238">
            <v>23</v>
          </cell>
          <cell r="CU238">
            <v>4</v>
          </cell>
          <cell r="CV238">
            <v>0</v>
          </cell>
          <cell r="CW238">
            <v>0</v>
          </cell>
          <cell r="CX238">
            <v>8</v>
          </cell>
          <cell r="CY238">
            <v>1</v>
          </cell>
          <cell r="CZ238">
            <v>3</v>
          </cell>
          <cell r="DA238">
            <v>30</v>
          </cell>
          <cell r="DB238">
            <v>31.8</v>
          </cell>
          <cell r="DC238" t="str">
            <v>⑦</v>
          </cell>
        </row>
        <row r="239">
          <cell r="CR239" t="str">
            <v xml:space="preserve">  4F</v>
          </cell>
          <cell r="CS239">
            <v>4</v>
          </cell>
          <cell r="CT239">
            <v>27</v>
          </cell>
          <cell r="CU239">
            <v>4</v>
          </cell>
          <cell r="CV239">
            <v>0</v>
          </cell>
          <cell r="CW239">
            <v>0</v>
          </cell>
          <cell r="CX239">
            <v>12</v>
          </cell>
          <cell r="CY239">
            <v>1</v>
          </cell>
          <cell r="CZ239">
            <v>4</v>
          </cell>
          <cell r="DA239">
            <v>12</v>
          </cell>
          <cell r="DB239">
            <v>24</v>
          </cell>
          <cell r="DC239" t="str">
            <v>⑦</v>
          </cell>
        </row>
        <row r="240">
          <cell r="CR240" t="str">
            <v xml:space="preserve">  5F</v>
          </cell>
          <cell r="CS240">
            <v>4</v>
          </cell>
          <cell r="CT240">
            <v>31</v>
          </cell>
          <cell r="CU240">
            <v>4</v>
          </cell>
          <cell r="CV240">
            <v>0</v>
          </cell>
          <cell r="CW240">
            <v>0</v>
          </cell>
          <cell r="CX240">
            <v>16</v>
          </cell>
          <cell r="CY240">
            <v>1</v>
          </cell>
          <cell r="CZ240">
            <v>5</v>
          </cell>
          <cell r="DA240">
            <v>12</v>
          </cell>
          <cell r="DB240">
            <v>24</v>
          </cell>
          <cell r="DC240" t="str">
            <v>⑦</v>
          </cell>
        </row>
        <row r="241">
          <cell r="CR241" t="str">
            <v xml:space="preserve">  6F</v>
          </cell>
          <cell r="CS241">
            <v>4</v>
          </cell>
          <cell r="CT241">
            <v>35</v>
          </cell>
          <cell r="CU241">
            <v>4</v>
          </cell>
          <cell r="CV241">
            <v>0</v>
          </cell>
          <cell r="CW241">
            <v>0</v>
          </cell>
          <cell r="CX241">
            <v>20</v>
          </cell>
          <cell r="CY241">
            <v>1</v>
          </cell>
          <cell r="CZ241">
            <v>6</v>
          </cell>
          <cell r="DA241">
            <v>12</v>
          </cell>
          <cell r="DB241">
            <v>24</v>
          </cell>
          <cell r="DC241" t="str">
            <v>⑦</v>
          </cell>
        </row>
        <row r="242">
          <cell r="CR242" t="str">
            <v xml:space="preserve">  7F</v>
          </cell>
          <cell r="CS242">
            <v>4</v>
          </cell>
          <cell r="CT242">
            <v>39</v>
          </cell>
          <cell r="CU242">
            <v>4</v>
          </cell>
          <cell r="CV242">
            <v>0</v>
          </cell>
          <cell r="CW242">
            <v>0</v>
          </cell>
          <cell r="CX242">
            <v>24</v>
          </cell>
          <cell r="CY242">
            <v>1</v>
          </cell>
          <cell r="CZ242">
            <v>7</v>
          </cell>
          <cell r="DA242">
            <v>12</v>
          </cell>
          <cell r="DB242">
            <v>24</v>
          </cell>
          <cell r="DC242" t="str">
            <v>⑦</v>
          </cell>
        </row>
        <row r="243">
          <cell r="CR243" t="str">
            <v xml:space="preserve">  8F</v>
          </cell>
          <cell r="CS243">
            <v>4</v>
          </cell>
          <cell r="CT243">
            <v>43</v>
          </cell>
          <cell r="CU243">
            <v>4</v>
          </cell>
          <cell r="CV243">
            <v>0</v>
          </cell>
          <cell r="CW243">
            <v>0</v>
          </cell>
          <cell r="CX243">
            <v>28</v>
          </cell>
          <cell r="CY243">
            <v>1</v>
          </cell>
          <cell r="CZ243">
            <v>8</v>
          </cell>
          <cell r="DA243">
            <v>12</v>
          </cell>
          <cell r="DB243">
            <v>24</v>
          </cell>
          <cell r="DC243" t="str">
            <v>⑦</v>
          </cell>
        </row>
        <row r="244">
          <cell r="CR244" t="str">
            <v xml:space="preserve">  9F</v>
          </cell>
          <cell r="CS244">
            <v>4</v>
          </cell>
          <cell r="CT244">
            <v>47</v>
          </cell>
          <cell r="CU244">
            <v>4</v>
          </cell>
          <cell r="CV244">
            <v>0</v>
          </cell>
          <cell r="CW244">
            <v>0</v>
          </cell>
          <cell r="CX244">
            <v>32</v>
          </cell>
          <cell r="CY244">
            <v>1</v>
          </cell>
          <cell r="CZ244">
            <v>9</v>
          </cell>
          <cell r="DA244">
            <v>12</v>
          </cell>
          <cell r="DB244">
            <v>24</v>
          </cell>
          <cell r="DC244" t="str">
            <v>⑦</v>
          </cell>
        </row>
        <row r="245">
          <cell r="CR245" t="str">
            <v xml:space="preserve"> 10F</v>
          </cell>
          <cell r="CS245">
            <v>4</v>
          </cell>
          <cell r="CT245">
            <v>51</v>
          </cell>
          <cell r="CU245">
            <v>4</v>
          </cell>
          <cell r="CV245">
            <v>0</v>
          </cell>
          <cell r="CW245">
            <v>0</v>
          </cell>
          <cell r="CX245">
            <v>36</v>
          </cell>
          <cell r="CY245">
            <v>1</v>
          </cell>
          <cell r="CZ245">
            <v>10</v>
          </cell>
          <cell r="DA245">
            <v>12</v>
          </cell>
          <cell r="DB245">
            <v>24</v>
          </cell>
          <cell r="DC245" t="str">
            <v>⑦</v>
          </cell>
        </row>
        <row r="246">
          <cell r="CR246" t="str">
            <v xml:space="preserve"> 11F</v>
          </cell>
          <cell r="CS246">
            <v>4</v>
          </cell>
          <cell r="CT246">
            <v>55</v>
          </cell>
          <cell r="CU246">
            <v>4</v>
          </cell>
          <cell r="CV246">
            <v>0</v>
          </cell>
          <cell r="CW246">
            <v>0</v>
          </cell>
          <cell r="CX246">
            <v>40</v>
          </cell>
          <cell r="CY246">
            <v>1</v>
          </cell>
          <cell r="CZ246">
            <v>11</v>
          </cell>
          <cell r="DA246">
            <v>12</v>
          </cell>
          <cell r="DB246">
            <v>24</v>
          </cell>
          <cell r="DC246" t="str">
            <v>⑦</v>
          </cell>
        </row>
        <row r="247">
          <cell r="BD247">
            <v>36205000</v>
          </cell>
          <cell r="CR247" t="str">
            <v xml:space="preserve"> 12F</v>
          </cell>
          <cell r="CS247">
            <v>4</v>
          </cell>
          <cell r="CT247">
            <v>59</v>
          </cell>
          <cell r="CU247">
            <v>4</v>
          </cell>
          <cell r="CV247">
            <v>0</v>
          </cell>
          <cell r="CW247">
            <v>0</v>
          </cell>
          <cell r="CX247">
            <v>44</v>
          </cell>
          <cell r="CY247">
            <v>1</v>
          </cell>
          <cell r="CZ247">
            <v>12</v>
          </cell>
          <cell r="DA247">
            <v>12</v>
          </cell>
          <cell r="DB247">
            <v>24</v>
          </cell>
          <cell r="DC247" t="str">
            <v>⑦</v>
          </cell>
        </row>
        <row r="248">
          <cell r="BD248">
            <v>724000</v>
          </cell>
          <cell r="CR248" t="str">
            <v>PH1F</v>
          </cell>
          <cell r="CS248">
            <v>4</v>
          </cell>
          <cell r="CT248">
            <v>63</v>
          </cell>
          <cell r="CU248">
            <v>0</v>
          </cell>
          <cell r="CV248">
            <v>0</v>
          </cell>
          <cell r="CW248">
            <v>0</v>
          </cell>
          <cell r="CX248">
            <v>44</v>
          </cell>
          <cell r="CY248">
            <v>0</v>
          </cell>
          <cell r="CZ248">
            <v>12</v>
          </cell>
          <cell r="DA248">
            <v>5</v>
          </cell>
          <cell r="DB248">
            <v>7</v>
          </cell>
          <cell r="DC248" t="str">
            <v>⑦</v>
          </cell>
        </row>
        <row r="249">
          <cell r="BD249">
            <v>3296000</v>
          </cell>
          <cell r="CR249" t="str">
            <v>PH2F</v>
          </cell>
          <cell r="CS249">
            <v>4</v>
          </cell>
          <cell r="CT249">
            <v>67</v>
          </cell>
          <cell r="CU249">
            <v>0</v>
          </cell>
          <cell r="CV249">
            <v>0</v>
          </cell>
          <cell r="CW249">
            <v>0</v>
          </cell>
          <cell r="CX249">
            <v>44</v>
          </cell>
          <cell r="CY249">
            <v>0</v>
          </cell>
          <cell r="CZ249">
            <v>12</v>
          </cell>
          <cell r="DA249">
            <v>5</v>
          </cell>
          <cell r="DB249">
            <v>7</v>
          </cell>
          <cell r="DC249" t="str">
            <v>⑦</v>
          </cell>
        </row>
        <row r="250">
          <cell r="CR250" t="str">
            <v/>
          </cell>
          <cell r="CS250">
            <v>0</v>
          </cell>
          <cell r="CT250">
            <v>67</v>
          </cell>
          <cell r="CU250">
            <v>0</v>
          </cell>
          <cell r="CV250">
            <v>0</v>
          </cell>
          <cell r="CW250">
            <v>0</v>
          </cell>
          <cell r="CX250">
            <v>0</v>
          </cell>
          <cell r="CY250">
            <v>1</v>
          </cell>
          <cell r="CZ250">
            <v>13</v>
          </cell>
          <cell r="DA250">
            <v>0</v>
          </cell>
          <cell r="DB250">
            <v>0</v>
          </cell>
          <cell r="DC250" t="str">
            <v/>
          </cell>
        </row>
        <row r="251">
          <cell r="CR251" t="str">
            <v/>
          </cell>
          <cell r="CS251">
            <v>0</v>
          </cell>
          <cell r="CT251">
            <v>67</v>
          </cell>
          <cell r="CU251">
            <v>0</v>
          </cell>
          <cell r="CV251">
            <v>0</v>
          </cell>
          <cell r="CW251">
            <v>0</v>
          </cell>
          <cell r="CX251">
            <v>0</v>
          </cell>
          <cell r="CY251">
            <v>1</v>
          </cell>
          <cell r="CZ251">
            <v>14</v>
          </cell>
          <cell r="DA251">
            <v>0</v>
          </cell>
          <cell r="DB251">
            <v>0</v>
          </cell>
          <cell r="DC251" t="str">
            <v/>
          </cell>
        </row>
        <row r="252">
          <cell r="CR252" t="str">
            <v/>
          </cell>
          <cell r="CS252">
            <v>0</v>
          </cell>
          <cell r="CT252">
            <v>67</v>
          </cell>
          <cell r="CU252">
            <v>0</v>
          </cell>
          <cell r="CV252">
            <v>0</v>
          </cell>
          <cell r="CW252">
            <v>0</v>
          </cell>
          <cell r="CX252">
            <v>0</v>
          </cell>
          <cell r="CY252">
            <v>1</v>
          </cell>
          <cell r="CZ252">
            <v>15</v>
          </cell>
          <cell r="DA252">
            <v>0</v>
          </cell>
          <cell r="DB252">
            <v>0</v>
          </cell>
          <cell r="DC252" t="str">
            <v/>
          </cell>
        </row>
        <row r="253">
          <cell r="CR253" t="str">
            <v/>
          </cell>
          <cell r="CS253">
            <v>0</v>
          </cell>
          <cell r="CT253">
            <v>67</v>
          </cell>
          <cell r="CU253">
            <v>0</v>
          </cell>
          <cell r="CV253">
            <v>0</v>
          </cell>
          <cell r="CW253">
            <v>0</v>
          </cell>
          <cell r="CX253">
            <v>0</v>
          </cell>
          <cell r="CY253">
            <v>1</v>
          </cell>
          <cell r="CZ253">
            <v>16</v>
          </cell>
          <cell r="DA253">
            <v>0</v>
          </cell>
          <cell r="DB253">
            <v>0</v>
          </cell>
          <cell r="DC253" t="str">
            <v/>
          </cell>
        </row>
        <row r="370">
          <cell r="CN370">
            <v>400.84800000000007</v>
          </cell>
          <cell r="CO370">
            <v>90.553347471289911</v>
          </cell>
          <cell r="CP370">
            <v>86.688000000000002</v>
          </cell>
          <cell r="CQ370">
            <v>20.830229603561911</v>
          </cell>
          <cell r="CT370">
            <v>502.0800000000001</v>
          </cell>
          <cell r="CU370">
            <v>669.44</v>
          </cell>
          <cell r="CV370">
            <v>360.76319999999993</v>
          </cell>
          <cell r="CW370">
            <v>81.49801272416093</v>
          </cell>
          <cell r="CX370">
            <v>78.019199999999998</v>
          </cell>
          <cell r="CY370">
            <v>18.747206643205722</v>
          </cell>
          <cell r="DB370">
            <v>150.624</v>
          </cell>
          <cell r="DC370">
            <v>200.83200000000005</v>
          </cell>
        </row>
      </sheetData>
      <sheetData sheetId="3" refreshError="1"/>
      <sheetData sheetId="4">
        <row r="26">
          <cell r="E2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別表"/>
      <sheetName val="提出"/>
      <sheetName val="原価"/>
      <sheetName val="引込"/>
      <sheetName val="受変"/>
      <sheetName val="発電"/>
      <sheetName val="S3"/>
      <sheetName val="S5"/>
      <sheetName val="Help"/>
      <sheetName val="RECS-2"/>
      <sheetName val="#REF"/>
    </sheetNames>
    <sheetDataSet>
      <sheetData sheetId="0"/>
      <sheetData sheetId="1"/>
      <sheetData sheetId="2"/>
      <sheetData sheetId="3"/>
      <sheetData sheetId="4">
        <row r="5">
          <cell r="BD5" t="str">
            <v>X=3m</v>
          </cell>
        </row>
      </sheetData>
      <sheetData sheetId="5">
        <row r="6">
          <cell r="AC6" t="str">
            <v>H</v>
          </cell>
        </row>
        <row r="53">
          <cell r="Y53" t="str">
            <v>1795.</v>
          </cell>
        </row>
      </sheetData>
      <sheetData sheetId="6">
        <row r="75">
          <cell r="DN75">
            <v>316000</v>
          </cell>
        </row>
      </sheetData>
      <sheetData sheetId="7"/>
      <sheetData sheetId="8"/>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誘"/>
      <sheetName val="火煙"/>
      <sheetName val="雷保"/>
      <sheetName val="電話"/>
      <sheetName val="放送"/>
      <sheetName val="TV"/>
    </sheetNames>
    <sheetDataSet>
      <sheetData sheetId="0">
        <row r="142">
          <cell r="CU142">
            <v>1368</v>
          </cell>
          <cell r="CV142">
            <v>2111.2860595513157</v>
          </cell>
        </row>
        <row r="167">
          <cell r="BD167">
            <v>1152000</v>
          </cell>
        </row>
        <row r="168">
          <cell r="BD168">
            <v>14457000</v>
          </cell>
        </row>
        <row r="169">
          <cell r="BD169">
            <v>3245000</v>
          </cell>
        </row>
      </sheetData>
      <sheetData sheetId="1">
        <row r="192">
          <cell r="BB192">
            <v>3869000</v>
          </cell>
        </row>
        <row r="193">
          <cell r="BB193">
            <v>4834000</v>
          </cell>
        </row>
        <row r="194">
          <cell r="BB194">
            <v>5934000</v>
          </cell>
        </row>
      </sheetData>
      <sheetData sheetId="2">
        <row r="64">
          <cell r="K64">
            <v>1388000</v>
          </cell>
        </row>
        <row r="65">
          <cell r="K65">
            <v>2964000</v>
          </cell>
        </row>
        <row r="66">
          <cell r="K66">
            <v>1235099.9999999998</v>
          </cell>
        </row>
      </sheetData>
      <sheetData sheetId="3">
        <row r="297">
          <cell r="M297">
            <v>1319000</v>
          </cell>
        </row>
        <row r="298">
          <cell r="M298">
            <v>18619000</v>
          </cell>
        </row>
        <row r="299">
          <cell r="M299">
            <v>42311000</v>
          </cell>
        </row>
        <row r="300">
          <cell r="M300">
            <v>21840000</v>
          </cell>
        </row>
      </sheetData>
      <sheetData sheetId="4">
        <row r="235">
          <cell r="BD235">
            <v>1676000</v>
          </cell>
        </row>
        <row r="236">
          <cell r="BD236">
            <v>1336000</v>
          </cell>
        </row>
        <row r="237">
          <cell r="BD237">
            <v>5554000</v>
          </cell>
        </row>
        <row r="238">
          <cell r="BD238">
            <v>4614000</v>
          </cell>
        </row>
      </sheetData>
      <sheetData sheetId="5">
        <row r="362">
          <cell r="M362">
            <v>572000</v>
          </cell>
        </row>
        <row r="363">
          <cell r="M363">
            <v>2189000</v>
          </cell>
        </row>
        <row r="364">
          <cell r="M364">
            <v>3360000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低幹"/>
      <sheetName val="動配"/>
      <sheetName val="照差"/>
      <sheetName val="引込"/>
      <sheetName val="Top"/>
      <sheetName val="別表"/>
      <sheetName val="提出"/>
      <sheetName val="原価"/>
      <sheetName val="受変"/>
      <sheetName val="発電"/>
      <sheetName val="S3"/>
      <sheetName val="RECS-3"/>
    </sheetNames>
    <definedNames>
      <definedName name="階高" refersTo="='照差'!$CR$234:$DC$253"/>
    </definedNames>
    <sheetDataSet>
      <sheetData sheetId="0"/>
      <sheetData sheetId="1">
        <row r="520">
          <cell r="D520" t="str">
            <v>非常用エレベータ</v>
          </cell>
        </row>
      </sheetData>
      <sheetData sheetId="2">
        <row r="234">
          <cell r="CR234" t="str">
            <v xml:space="preserve"> B2F</v>
          </cell>
          <cell r="CS234">
            <v>5</v>
          </cell>
          <cell r="CT234">
            <v>5</v>
          </cell>
          <cell r="CU234">
            <v>0</v>
          </cell>
          <cell r="CV234">
            <v>10</v>
          </cell>
          <cell r="CW234">
            <v>10</v>
          </cell>
          <cell r="CX234">
            <v>10</v>
          </cell>
          <cell r="CY234">
            <v>0</v>
          </cell>
          <cell r="CZ234">
            <v>0</v>
          </cell>
          <cell r="DA234">
            <v>24</v>
          </cell>
          <cell r="DB234">
            <v>33</v>
          </cell>
          <cell r="DC234" t="str">
            <v>⑦</v>
          </cell>
        </row>
        <row r="235">
          <cell r="CR235" t="str">
            <v xml:space="preserve"> B1F</v>
          </cell>
          <cell r="CS235">
            <v>5</v>
          </cell>
          <cell r="CT235">
            <v>10</v>
          </cell>
          <cell r="CU235">
            <v>0</v>
          </cell>
          <cell r="CV235">
            <v>5</v>
          </cell>
          <cell r="CW235">
            <v>15</v>
          </cell>
          <cell r="CX235">
            <v>5</v>
          </cell>
          <cell r="CY235">
            <v>0</v>
          </cell>
          <cell r="CZ235">
            <v>0</v>
          </cell>
          <cell r="DA235">
            <v>24</v>
          </cell>
          <cell r="DB235">
            <v>33</v>
          </cell>
          <cell r="DC235" t="str">
            <v>⑦</v>
          </cell>
        </row>
        <row r="236">
          <cell r="CR236" t="str">
            <v xml:space="preserve">  1F</v>
          </cell>
          <cell r="CS236">
            <v>5.75</v>
          </cell>
          <cell r="CT236">
            <v>15.75</v>
          </cell>
          <cell r="CU236">
            <v>0</v>
          </cell>
          <cell r="CV236">
            <v>0</v>
          </cell>
          <cell r="CW236">
            <v>0</v>
          </cell>
          <cell r="CX236">
            <v>0</v>
          </cell>
          <cell r="CY236">
            <v>1</v>
          </cell>
          <cell r="CZ236">
            <v>1</v>
          </cell>
          <cell r="DA236">
            <v>30</v>
          </cell>
          <cell r="DB236">
            <v>31.8</v>
          </cell>
          <cell r="DC236" t="str">
            <v>⑦</v>
          </cell>
        </row>
        <row r="237">
          <cell r="CR237" t="str">
            <v xml:space="preserve">  2F</v>
          </cell>
          <cell r="CS237">
            <v>4</v>
          </cell>
          <cell r="CT237">
            <v>19.75</v>
          </cell>
          <cell r="CU237">
            <v>4</v>
          </cell>
          <cell r="CV237">
            <v>0</v>
          </cell>
          <cell r="CW237">
            <v>0</v>
          </cell>
          <cell r="CX237">
            <v>4</v>
          </cell>
          <cell r="CY237">
            <v>1</v>
          </cell>
          <cell r="CZ237">
            <v>2</v>
          </cell>
          <cell r="DA237">
            <v>30</v>
          </cell>
          <cell r="DB237">
            <v>31.8</v>
          </cell>
          <cell r="DC237" t="str">
            <v>⑦</v>
          </cell>
        </row>
        <row r="238">
          <cell r="CR238" t="str">
            <v xml:space="preserve">  3F</v>
          </cell>
          <cell r="CS238">
            <v>4</v>
          </cell>
          <cell r="CT238">
            <v>23.75</v>
          </cell>
          <cell r="CU238">
            <v>4</v>
          </cell>
          <cell r="CV238">
            <v>0</v>
          </cell>
          <cell r="CW238">
            <v>0</v>
          </cell>
          <cell r="CX238">
            <v>8</v>
          </cell>
          <cell r="CY238">
            <v>1</v>
          </cell>
          <cell r="CZ238">
            <v>3</v>
          </cell>
          <cell r="DA238">
            <v>30</v>
          </cell>
          <cell r="DB238">
            <v>31.8</v>
          </cell>
          <cell r="DC238" t="str">
            <v>⑦</v>
          </cell>
        </row>
        <row r="239">
          <cell r="CR239" t="str">
            <v xml:space="preserve">  4F</v>
          </cell>
          <cell r="CS239">
            <v>4</v>
          </cell>
          <cell r="CT239">
            <v>27.75</v>
          </cell>
          <cell r="CU239">
            <v>4</v>
          </cell>
          <cell r="CV239">
            <v>0</v>
          </cell>
          <cell r="CW239">
            <v>0</v>
          </cell>
          <cell r="CX239">
            <v>12</v>
          </cell>
          <cell r="CY239">
            <v>1</v>
          </cell>
          <cell r="CZ239">
            <v>4</v>
          </cell>
          <cell r="DA239">
            <v>12</v>
          </cell>
          <cell r="DB239">
            <v>24</v>
          </cell>
          <cell r="DC239" t="str">
            <v>⑦</v>
          </cell>
        </row>
        <row r="240">
          <cell r="CR240" t="str">
            <v xml:space="preserve">  5F</v>
          </cell>
          <cell r="CS240">
            <v>4</v>
          </cell>
          <cell r="CT240">
            <v>31.75</v>
          </cell>
          <cell r="CU240">
            <v>4</v>
          </cell>
          <cell r="CV240">
            <v>0</v>
          </cell>
          <cell r="CW240">
            <v>0</v>
          </cell>
          <cell r="CX240">
            <v>16</v>
          </cell>
          <cell r="CY240">
            <v>1</v>
          </cell>
          <cell r="CZ240">
            <v>5</v>
          </cell>
          <cell r="DA240">
            <v>12</v>
          </cell>
          <cell r="DB240">
            <v>24</v>
          </cell>
          <cell r="DC240" t="str">
            <v>⑦</v>
          </cell>
        </row>
        <row r="241">
          <cell r="CR241" t="str">
            <v xml:space="preserve">  6F</v>
          </cell>
          <cell r="CS241">
            <v>4</v>
          </cell>
          <cell r="CT241">
            <v>35.75</v>
          </cell>
          <cell r="CU241">
            <v>4</v>
          </cell>
          <cell r="CV241">
            <v>0</v>
          </cell>
          <cell r="CW241">
            <v>0</v>
          </cell>
          <cell r="CX241">
            <v>20</v>
          </cell>
          <cell r="CY241">
            <v>1</v>
          </cell>
          <cell r="CZ241">
            <v>6</v>
          </cell>
          <cell r="DA241">
            <v>12</v>
          </cell>
          <cell r="DB241">
            <v>24</v>
          </cell>
          <cell r="DC241" t="str">
            <v>⑦</v>
          </cell>
        </row>
        <row r="242">
          <cell r="CR242" t="str">
            <v xml:space="preserve">  7F</v>
          </cell>
          <cell r="CS242">
            <v>4</v>
          </cell>
          <cell r="CT242">
            <v>39.75</v>
          </cell>
          <cell r="CU242">
            <v>4</v>
          </cell>
          <cell r="CV242">
            <v>0</v>
          </cell>
          <cell r="CW242">
            <v>0</v>
          </cell>
          <cell r="CX242">
            <v>24</v>
          </cell>
          <cell r="CY242">
            <v>1</v>
          </cell>
          <cell r="CZ242">
            <v>7</v>
          </cell>
          <cell r="DA242">
            <v>12</v>
          </cell>
          <cell r="DB242">
            <v>24</v>
          </cell>
          <cell r="DC242" t="str">
            <v>⑦</v>
          </cell>
        </row>
        <row r="243">
          <cell r="CR243" t="str">
            <v xml:space="preserve">  8F</v>
          </cell>
          <cell r="CS243">
            <v>4</v>
          </cell>
          <cell r="CT243">
            <v>43.75</v>
          </cell>
          <cell r="CU243">
            <v>4</v>
          </cell>
          <cell r="CV243">
            <v>0</v>
          </cell>
          <cell r="CW243">
            <v>0</v>
          </cell>
          <cell r="CX243">
            <v>28</v>
          </cell>
          <cell r="CY243">
            <v>1</v>
          </cell>
          <cell r="CZ243">
            <v>8</v>
          </cell>
          <cell r="DA243">
            <v>12</v>
          </cell>
          <cell r="DB243">
            <v>24</v>
          </cell>
          <cell r="DC243" t="str">
            <v>⑦</v>
          </cell>
        </row>
        <row r="244">
          <cell r="CR244" t="str">
            <v xml:space="preserve">  9F</v>
          </cell>
          <cell r="CS244">
            <v>4</v>
          </cell>
          <cell r="CT244">
            <v>47.75</v>
          </cell>
          <cell r="CU244">
            <v>4</v>
          </cell>
          <cell r="CV244">
            <v>0</v>
          </cell>
          <cell r="CW244">
            <v>0</v>
          </cell>
          <cell r="CX244">
            <v>32</v>
          </cell>
          <cell r="CY244">
            <v>1</v>
          </cell>
          <cell r="CZ244">
            <v>9</v>
          </cell>
          <cell r="DA244">
            <v>12</v>
          </cell>
          <cell r="DB244">
            <v>24</v>
          </cell>
          <cell r="DC244" t="str">
            <v>⑦</v>
          </cell>
        </row>
        <row r="245">
          <cell r="CR245" t="str">
            <v xml:space="preserve"> 10F</v>
          </cell>
          <cell r="CS245">
            <v>4</v>
          </cell>
          <cell r="CT245">
            <v>51.75</v>
          </cell>
          <cell r="CU245">
            <v>4</v>
          </cell>
          <cell r="CV245">
            <v>0</v>
          </cell>
          <cell r="CW245">
            <v>0</v>
          </cell>
          <cell r="CX245">
            <v>36</v>
          </cell>
          <cell r="CY245">
            <v>1</v>
          </cell>
          <cell r="CZ245">
            <v>10</v>
          </cell>
          <cell r="DA245">
            <v>12</v>
          </cell>
          <cell r="DB245">
            <v>24</v>
          </cell>
          <cell r="DC245" t="str">
            <v>⑦</v>
          </cell>
        </row>
        <row r="246">
          <cell r="CR246" t="str">
            <v xml:space="preserve"> 11F</v>
          </cell>
          <cell r="CS246">
            <v>4</v>
          </cell>
          <cell r="CT246">
            <v>55.75</v>
          </cell>
          <cell r="CU246">
            <v>4</v>
          </cell>
          <cell r="CV246">
            <v>0</v>
          </cell>
          <cell r="CW246">
            <v>0</v>
          </cell>
          <cell r="CX246">
            <v>40</v>
          </cell>
          <cell r="CY246">
            <v>1</v>
          </cell>
          <cell r="CZ246">
            <v>11</v>
          </cell>
          <cell r="DA246">
            <v>12</v>
          </cell>
          <cell r="DB246">
            <v>24</v>
          </cell>
          <cell r="DC246" t="str">
            <v>⑦</v>
          </cell>
        </row>
        <row r="247">
          <cell r="CR247" t="str">
            <v xml:space="preserve"> 12F</v>
          </cell>
          <cell r="CS247">
            <v>4</v>
          </cell>
          <cell r="CT247">
            <v>59.75</v>
          </cell>
          <cell r="CU247">
            <v>4</v>
          </cell>
          <cell r="CV247">
            <v>0</v>
          </cell>
          <cell r="CW247">
            <v>0</v>
          </cell>
          <cell r="CX247">
            <v>44</v>
          </cell>
          <cell r="CY247">
            <v>1</v>
          </cell>
          <cell r="CZ247">
            <v>12</v>
          </cell>
          <cell r="DA247">
            <v>12</v>
          </cell>
          <cell r="DB247">
            <v>24</v>
          </cell>
          <cell r="DC247" t="str">
            <v>⑦</v>
          </cell>
        </row>
        <row r="248">
          <cell r="CR248" t="str">
            <v>PH1F</v>
          </cell>
          <cell r="CS248">
            <v>4</v>
          </cell>
          <cell r="CT248">
            <v>63.75</v>
          </cell>
          <cell r="CU248">
            <v>0</v>
          </cell>
          <cell r="CV248">
            <v>0</v>
          </cell>
          <cell r="CW248">
            <v>0</v>
          </cell>
          <cell r="CX248">
            <v>44</v>
          </cell>
          <cell r="CY248">
            <v>0</v>
          </cell>
          <cell r="CZ248">
            <v>12</v>
          </cell>
          <cell r="DA248">
            <v>5</v>
          </cell>
          <cell r="DB248">
            <v>7</v>
          </cell>
          <cell r="DC248" t="str">
            <v>⑦</v>
          </cell>
        </row>
        <row r="249">
          <cell r="CR249" t="str">
            <v>PH2F</v>
          </cell>
          <cell r="CS249">
            <v>4</v>
          </cell>
          <cell r="CT249">
            <v>67.75</v>
          </cell>
          <cell r="CU249">
            <v>0</v>
          </cell>
          <cell r="CV249">
            <v>0</v>
          </cell>
          <cell r="CW249">
            <v>0</v>
          </cell>
          <cell r="CX249">
            <v>44</v>
          </cell>
          <cell r="CY249">
            <v>0</v>
          </cell>
          <cell r="CZ249">
            <v>12</v>
          </cell>
          <cell r="DA249">
            <v>5</v>
          </cell>
          <cell r="DB249">
            <v>7</v>
          </cell>
          <cell r="DC249" t="str">
            <v>⑦</v>
          </cell>
        </row>
        <row r="250">
          <cell r="CR250" t="str">
            <v/>
          </cell>
          <cell r="CS250">
            <v>0</v>
          </cell>
          <cell r="CT250">
            <v>67.75</v>
          </cell>
          <cell r="CU250">
            <v>0</v>
          </cell>
          <cell r="CV250">
            <v>0</v>
          </cell>
          <cell r="CW250">
            <v>0</v>
          </cell>
          <cell r="CX250">
            <v>0</v>
          </cell>
          <cell r="CY250">
            <v>1</v>
          </cell>
          <cell r="CZ250">
            <v>13</v>
          </cell>
          <cell r="DA250">
            <v>0</v>
          </cell>
          <cell r="DB250">
            <v>0</v>
          </cell>
          <cell r="DC250" t="str">
            <v/>
          </cell>
        </row>
        <row r="251">
          <cell r="CR251" t="str">
            <v/>
          </cell>
          <cell r="CS251">
            <v>0</v>
          </cell>
          <cell r="CT251">
            <v>67.75</v>
          </cell>
          <cell r="CU251">
            <v>0</v>
          </cell>
          <cell r="CV251">
            <v>0</v>
          </cell>
          <cell r="CW251">
            <v>0</v>
          </cell>
          <cell r="CX251">
            <v>0</v>
          </cell>
          <cell r="CY251">
            <v>1</v>
          </cell>
          <cell r="CZ251">
            <v>14</v>
          </cell>
          <cell r="DA251">
            <v>0</v>
          </cell>
          <cell r="DB251">
            <v>0</v>
          </cell>
          <cell r="DC251" t="str">
            <v/>
          </cell>
        </row>
        <row r="252">
          <cell r="CR252" t="str">
            <v/>
          </cell>
          <cell r="CS252">
            <v>0</v>
          </cell>
          <cell r="CT252">
            <v>67.75</v>
          </cell>
          <cell r="CU252">
            <v>0</v>
          </cell>
          <cell r="CV252">
            <v>0</v>
          </cell>
          <cell r="CW252">
            <v>0</v>
          </cell>
          <cell r="CX252">
            <v>0</v>
          </cell>
          <cell r="CY252">
            <v>1</v>
          </cell>
          <cell r="CZ252">
            <v>15</v>
          </cell>
          <cell r="DA252">
            <v>0</v>
          </cell>
          <cell r="DB252">
            <v>0</v>
          </cell>
          <cell r="DC252" t="str">
            <v/>
          </cell>
        </row>
        <row r="253">
          <cell r="CR253" t="str">
            <v/>
          </cell>
          <cell r="CS253">
            <v>0</v>
          </cell>
          <cell r="CT253">
            <v>67.75</v>
          </cell>
          <cell r="CU253">
            <v>0</v>
          </cell>
          <cell r="CV253">
            <v>0</v>
          </cell>
          <cell r="CW253">
            <v>0</v>
          </cell>
          <cell r="CX253">
            <v>0</v>
          </cell>
          <cell r="CY253">
            <v>1</v>
          </cell>
          <cell r="CZ253">
            <v>16</v>
          </cell>
          <cell r="DA253">
            <v>0</v>
          </cell>
          <cell r="DB253">
            <v>0</v>
          </cell>
          <cell r="DC253"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物1802"/>
    </sheetNames>
    <sheetDataSet>
      <sheetData sheetId="0">
        <row r="5">
          <cell r="E5" t="str">
            <v>G-16mm</v>
          </cell>
          <cell r="F5" t="str">
            <v>ｍ</v>
          </cell>
          <cell r="G5">
            <v>795</v>
          </cell>
          <cell r="H5">
            <v>217</v>
          </cell>
          <cell r="I5">
            <v>785</v>
          </cell>
          <cell r="J5">
            <v>214</v>
          </cell>
          <cell r="K5">
            <v>785</v>
          </cell>
          <cell r="L5">
            <v>214</v>
          </cell>
          <cell r="M5">
            <v>785</v>
          </cell>
          <cell r="N5">
            <v>214</v>
          </cell>
          <cell r="O5">
            <v>785</v>
          </cell>
          <cell r="P5">
            <v>214</v>
          </cell>
          <cell r="Q5">
            <v>785</v>
          </cell>
          <cell r="R5">
            <v>214</v>
          </cell>
          <cell r="S5">
            <v>785</v>
          </cell>
          <cell r="T5">
            <v>214</v>
          </cell>
          <cell r="U5">
            <v>785</v>
          </cell>
          <cell r="V5">
            <v>214</v>
          </cell>
          <cell r="W5">
            <v>785</v>
          </cell>
          <cell r="X5">
            <v>214</v>
          </cell>
          <cell r="Y5">
            <v>795</v>
          </cell>
          <cell r="Z5">
            <v>217</v>
          </cell>
          <cell r="AA5">
            <v>0</v>
          </cell>
          <cell r="AB5">
            <v>0</v>
          </cell>
          <cell r="AC5">
            <v>0</v>
          </cell>
          <cell r="AD5">
            <v>0.06</v>
          </cell>
          <cell r="AE5">
            <v>0</v>
          </cell>
          <cell r="AF5">
            <v>0</v>
          </cell>
          <cell r="AG5">
            <v>0</v>
          </cell>
          <cell r="AH5">
            <v>0</v>
          </cell>
          <cell r="AI5">
            <v>0</v>
          </cell>
          <cell r="AJ5">
            <v>0</v>
          </cell>
          <cell r="AK5">
            <v>0</v>
          </cell>
          <cell r="AL5" t="str">
            <v>１本=3.66m</v>
          </cell>
        </row>
        <row r="6">
          <cell r="E6" t="str">
            <v>G-22mm</v>
          </cell>
          <cell r="F6" t="str">
            <v>ｍ</v>
          </cell>
          <cell r="G6">
            <v>1060</v>
          </cell>
          <cell r="H6">
            <v>289</v>
          </cell>
          <cell r="I6">
            <v>1040</v>
          </cell>
          <cell r="J6">
            <v>284</v>
          </cell>
          <cell r="K6">
            <v>1040</v>
          </cell>
          <cell r="L6">
            <v>284</v>
          </cell>
          <cell r="M6">
            <v>1040</v>
          </cell>
          <cell r="N6">
            <v>284</v>
          </cell>
          <cell r="O6">
            <v>1040</v>
          </cell>
          <cell r="P6">
            <v>284</v>
          </cell>
          <cell r="Q6">
            <v>1040</v>
          </cell>
          <cell r="R6">
            <v>284</v>
          </cell>
          <cell r="S6">
            <v>1040</v>
          </cell>
          <cell r="T6">
            <v>284</v>
          </cell>
          <cell r="U6">
            <v>1040</v>
          </cell>
          <cell r="V6">
            <v>284</v>
          </cell>
          <cell r="W6">
            <v>1040</v>
          </cell>
          <cell r="X6">
            <v>284</v>
          </cell>
          <cell r="Y6">
            <v>1060</v>
          </cell>
          <cell r="Z6">
            <v>289</v>
          </cell>
          <cell r="AA6">
            <v>0</v>
          </cell>
          <cell r="AB6">
            <v>0</v>
          </cell>
          <cell r="AC6">
            <v>0</v>
          </cell>
          <cell r="AD6">
            <v>0.08</v>
          </cell>
          <cell r="AE6">
            <v>0</v>
          </cell>
          <cell r="AF6">
            <v>0</v>
          </cell>
          <cell r="AG6">
            <v>0</v>
          </cell>
          <cell r="AH6">
            <v>0</v>
          </cell>
          <cell r="AI6">
            <v>0</v>
          </cell>
          <cell r="AJ6">
            <v>0</v>
          </cell>
          <cell r="AK6">
            <v>0</v>
          </cell>
          <cell r="AL6" t="str">
            <v xml:space="preserve">     ↓</v>
          </cell>
        </row>
        <row r="7">
          <cell r="E7" t="str">
            <v>G-28mm</v>
          </cell>
          <cell r="F7" t="str">
            <v>ｍ</v>
          </cell>
          <cell r="G7">
            <v>1420</v>
          </cell>
          <cell r="H7">
            <v>387</v>
          </cell>
          <cell r="I7">
            <v>1400</v>
          </cell>
          <cell r="J7">
            <v>382</v>
          </cell>
          <cell r="K7">
            <v>1400</v>
          </cell>
          <cell r="L7">
            <v>382</v>
          </cell>
          <cell r="M7">
            <v>1400</v>
          </cell>
          <cell r="N7">
            <v>382</v>
          </cell>
          <cell r="O7">
            <v>1400</v>
          </cell>
          <cell r="P7">
            <v>382</v>
          </cell>
          <cell r="Q7">
            <v>1400</v>
          </cell>
          <cell r="R7">
            <v>382</v>
          </cell>
          <cell r="S7">
            <v>1400</v>
          </cell>
          <cell r="T7">
            <v>382</v>
          </cell>
          <cell r="U7">
            <v>1400</v>
          </cell>
          <cell r="V7">
            <v>382</v>
          </cell>
          <cell r="W7">
            <v>1400</v>
          </cell>
          <cell r="X7">
            <v>382</v>
          </cell>
          <cell r="Y7">
            <v>1420</v>
          </cell>
          <cell r="Z7">
            <v>387</v>
          </cell>
          <cell r="AA7">
            <v>0</v>
          </cell>
          <cell r="AB7">
            <v>0</v>
          </cell>
          <cell r="AC7">
            <v>0</v>
          </cell>
          <cell r="AD7">
            <v>0.10299999999999999</v>
          </cell>
          <cell r="AE7">
            <v>0</v>
          </cell>
          <cell r="AF7">
            <v>0</v>
          </cell>
          <cell r="AG7">
            <v>0</v>
          </cell>
          <cell r="AH7">
            <v>0</v>
          </cell>
          <cell r="AI7">
            <v>0</v>
          </cell>
          <cell r="AJ7">
            <v>0</v>
          </cell>
          <cell r="AK7">
            <v>0</v>
          </cell>
          <cell r="AL7" t="str">
            <v xml:space="preserve">     ↓</v>
          </cell>
        </row>
        <row r="8">
          <cell r="E8" t="str">
            <v>G-36mm</v>
          </cell>
          <cell r="F8" t="str">
            <v>ｍ</v>
          </cell>
          <cell r="G8">
            <v>1820</v>
          </cell>
          <cell r="H8">
            <v>497</v>
          </cell>
          <cell r="I8">
            <v>1790</v>
          </cell>
          <cell r="J8">
            <v>489</v>
          </cell>
          <cell r="K8">
            <v>1790</v>
          </cell>
          <cell r="L8">
            <v>489</v>
          </cell>
          <cell r="M8">
            <v>1790</v>
          </cell>
          <cell r="N8">
            <v>489</v>
          </cell>
          <cell r="O8">
            <v>1790</v>
          </cell>
          <cell r="P8">
            <v>489</v>
          </cell>
          <cell r="Q8">
            <v>1790</v>
          </cell>
          <cell r="R8">
            <v>489</v>
          </cell>
          <cell r="S8">
            <v>1790</v>
          </cell>
          <cell r="T8">
            <v>489</v>
          </cell>
          <cell r="U8">
            <v>1780</v>
          </cell>
          <cell r="V8">
            <v>486</v>
          </cell>
          <cell r="W8">
            <v>1790</v>
          </cell>
          <cell r="X8">
            <v>489</v>
          </cell>
          <cell r="Y8">
            <v>1820</v>
          </cell>
          <cell r="Z8">
            <v>497</v>
          </cell>
          <cell r="AA8">
            <v>0</v>
          </cell>
          <cell r="AB8">
            <v>0</v>
          </cell>
          <cell r="AC8">
            <v>0</v>
          </cell>
          <cell r="AD8">
            <v>0.124</v>
          </cell>
          <cell r="AE8">
            <v>0</v>
          </cell>
          <cell r="AF8">
            <v>0</v>
          </cell>
          <cell r="AG8">
            <v>0</v>
          </cell>
          <cell r="AH8">
            <v>0</v>
          </cell>
          <cell r="AI8">
            <v>0</v>
          </cell>
          <cell r="AJ8">
            <v>0</v>
          </cell>
          <cell r="AK8">
            <v>0</v>
          </cell>
          <cell r="AL8" t="str">
            <v xml:space="preserve">     ↓</v>
          </cell>
        </row>
        <row r="9">
          <cell r="E9" t="str">
            <v>G-42mm</v>
          </cell>
          <cell r="F9" t="str">
            <v>ｍ</v>
          </cell>
          <cell r="G9">
            <v>2120</v>
          </cell>
          <cell r="H9">
            <v>579</v>
          </cell>
          <cell r="I9">
            <v>2090</v>
          </cell>
          <cell r="J9">
            <v>571</v>
          </cell>
          <cell r="K9">
            <v>2090</v>
          </cell>
          <cell r="L9">
            <v>571</v>
          </cell>
          <cell r="M9">
            <v>2090</v>
          </cell>
          <cell r="N9">
            <v>571</v>
          </cell>
          <cell r="O9">
            <v>2090</v>
          </cell>
          <cell r="P9">
            <v>571</v>
          </cell>
          <cell r="Q9">
            <v>2090</v>
          </cell>
          <cell r="R9">
            <v>571</v>
          </cell>
          <cell r="S9">
            <v>2090</v>
          </cell>
          <cell r="T9">
            <v>571</v>
          </cell>
          <cell r="U9">
            <v>2090</v>
          </cell>
          <cell r="V9">
            <v>571</v>
          </cell>
          <cell r="W9">
            <v>2090</v>
          </cell>
          <cell r="X9">
            <v>571</v>
          </cell>
          <cell r="Y9">
            <v>2120</v>
          </cell>
          <cell r="Z9">
            <v>579</v>
          </cell>
          <cell r="AA9">
            <v>0</v>
          </cell>
          <cell r="AB9">
            <v>0</v>
          </cell>
          <cell r="AC9">
            <v>0</v>
          </cell>
          <cell r="AD9">
            <v>0.17</v>
          </cell>
          <cell r="AE9">
            <v>0</v>
          </cell>
          <cell r="AF9">
            <v>0</v>
          </cell>
          <cell r="AG9">
            <v>0</v>
          </cell>
          <cell r="AH9">
            <v>0</v>
          </cell>
          <cell r="AI9">
            <v>0</v>
          </cell>
          <cell r="AJ9">
            <v>0</v>
          </cell>
          <cell r="AK9">
            <v>0</v>
          </cell>
          <cell r="AL9" t="str">
            <v xml:space="preserve">     ↓</v>
          </cell>
        </row>
        <row r="10">
          <cell r="E10" t="str">
            <v>G-54mm</v>
          </cell>
          <cell r="F10" t="str">
            <v>ｍ</v>
          </cell>
          <cell r="G10">
            <v>3030</v>
          </cell>
          <cell r="H10">
            <v>827</v>
          </cell>
          <cell r="I10">
            <v>2980</v>
          </cell>
          <cell r="J10">
            <v>814</v>
          </cell>
          <cell r="K10">
            <v>2980</v>
          </cell>
          <cell r="L10">
            <v>814</v>
          </cell>
          <cell r="M10">
            <v>2980</v>
          </cell>
          <cell r="N10">
            <v>814</v>
          </cell>
          <cell r="O10">
            <v>2980</v>
          </cell>
          <cell r="P10">
            <v>814</v>
          </cell>
          <cell r="Q10">
            <v>2980</v>
          </cell>
          <cell r="R10">
            <v>814</v>
          </cell>
          <cell r="S10">
            <v>2980</v>
          </cell>
          <cell r="T10">
            <v>814</v>
          </cell>
          <cell r="U10">
            <v>2980</v>
          </cell>
          <cell r="V10">
            <v>814</v>
          </cell>
          <cell r="W10">
            <v>2980</v>
          </cell>
          <cell r="X10">
            <v>814</v>
          </cell>
          <cell r="Y10">
            <v>3030</v>
          </cell>
          <cell r="Z10">
            <v>827</v>
          </cell>
          <cell r="AA10">
            <v>0</v>
          </cell>
          <cell r="AB10">
            <v>0</v>
          </cell>
          <cell r="AC10">
            <v>0</v>
          </cell>
          <cell r="AD10">
            <v>0.22900000000000001</v>
          </cell>
          <cell r="AE10">
            <v>0</v>
          </cell>
          <cell r="AF10">
            <v>0</v>
          </cell>
          <cell r="AG10">
            <v>0</v>
          </cell>
          <cell r="AH10">
            <v>0</v>
          </cell>
          <cell r="AI10">
            <v>0</v>
          </cell>
          <cell r="AJ10">
            <v>0</v>
          </cell>
          <cell r="AK10">
            <v>0</v>
          </cell>
          <cell r="AL10" t="str">
            <v xml:space="preserve">     ↓</v>
          </cell>
        </row>
        <row r="11">
          <cell r="E11" t="str">
            <v>G-70mm</v>
          </cell>
          <cell r="F11" t="str">
            <v>ｍ</v>
          </cell>
          <cell r="G11">
            <v>4340</v>
          </cell>
          <cell r="H11">
            <v>1185</v>
          </cell>
          <cell r="I11">
            <v>4280</v>
          </cell>
          <cell r="J11">
            <v>1169</v>
          </cell>
          <cell r="K11">
            <v>4280</v>
          </cell>
          <cell r="L11">
            <v>1169</v>
          </cell>
          <cell r="M11">
            <v>4280</v>
          </cell>
          <cell r="N11">
            <v>1169</v>
          </cell>
          <cell r="O11">
            <v>4280</v>
          </cell>
          <cell r="P11">
            <v>1169</v>
          </cell>
          <cell r="Q11">
            <v>4280</v>
          </cell>
          <cell r="R11">
            <v>1169</v>
          </cell>
          <cell r="S11">
            <v>4280</v>
          </cell>
          <cell r="T11">
            <v>1169</v>
          </cell>
          <cell r="U11">
            <v>4280</v>
          </cell>
          <cell r="V11">
            <v>1169</v>
          </cell>
          <cell r="W11">
            <v>4280</v>
          </cell>
          <cell r="X11">
            <v>1169</v>
          </cell>
          <cell r="Y11">
            <v>4340</v>
          </cell>
          <cell r="Z11">
            <v>1185</v>
          </cell>
          <cell r="AA11">
            <v>0</v>
          </cell>
          <cell r="AB11">
            <v>0</v>
          </cell>
          <cell r="AC11">
            <v>0</v>
          </cell>
          <cell r="AD11">
            <v>0.26600000000000001</v>
          </cell>
          <cell r="AE11">
            <v>0</v>
          </cell>
          <cell r="AF11">
            <v>0</v>
          </cell>
          <cell r="AG11">
            <v>0</v>
          </cell>
          <cell r="AH11">
            <v>0</v>
          </cell>
          <cell r="AI11">
            <v>0</v>
          </cell>
          <cell r="AJ11">
            <v>0</v>
          </cell>
          <cell r="AK11">
            <v>0</v>
          </cell>
          <cell r="AL11" t="str">
            <v xml:space="preserve">     ↓</v>
          </cell>
        </row>
        <row r="12">
          <cell r="E12" t="str">
            <v>G-82mm</v>
          </cell>
          <cell r="F12" t="str">
            <v>ｍ</v>
          </cell>
          <cell r="G12">
            <v>5260</v>
          </cell>
          <cell r="H12">
            <v>1437</v>
          </cell>
          <cell r="I12">
            <v>5180</v>
          </cell>
          <cell r="J12">
            <v>1415</v>
          </cell>
          <cell r="K12">
            <v>5180</v>
          </cell>
          <cell r="L12">
            <v>1415</v>
          </cell>
          <cell r="M12">
            <v>5180</v>
          </cell>
          <cell r="N12">
            <v>1415</v>
          </cell>
          <cell r="O12">
            <v>5180</v>
          </cell>
          <cell r="P12">
            <v>1415</v>
          </cell>
          <cell r="Q12">
            <v>5180</v>
          </cell>
          <cell r="R12">
            <v>1415</v>
          </cell>
          <cell r="S12">
            <v>5180</v>
          </cell>
          <cell r="T12">
            <v>1415</v>
          </cell>
          <cell r="U12">
            <v>5180</v>
          </cell>
          <cell r="V12">
            <v>1415</v>
          </cell>
          <cell r="W12">
            <v>5180</v>
          </cell>
          <cell r="X12">
            <v>1415</v>
          </cell>
          <cell r="Y12">
            <v>5260</v>
          </cell>
          <cell r="Z12">
            <v>1437</v>
          </cell>
          <cell r="AA12">
            <v>0</v>
          </cell>
          <cell r="AB12">
            <v>0</v>
          </cell>
          <cell r="AC12">
            <v>0</v>
          </cell>
          <cell r="AD12">
            <v>0.32300000000000001</v>
          </cell>
          <cell r="AE12">
            <v>0</v>
          </cell>
          <cell r="AF12">
            <v>0</v>
          </cell>
          <cell r="AG12">
            <v>0</v>
          </cell>
          <cell r="AH12">
            <v>0</v>
          </cell>
          <cell r="AI12">
            <v>0</v>
          </cell>
          <cell r="AJ12">
            <v>0</v>
          </cell>
          <cell r="AK12">
            <v>0</v>
          </cell>
          <cell r="AL12" t="str">
            <v xml:space="preserve">     ↓</v>
          </cell>
        </row>
        <row r="13">
          <cell r="E13" t="str">
            <v>G-92mm</v>
          </cell>
          <cell r="F13" t="str">
            <v>ｍ</v>
          </cell>
          <cell r="G13">
            <v>8520</v>
          </cell>
          <cell r="H13">
            <v>2327</v>
          </cell>
          <cell r="I13">
            <v>8340</v>
          </cell>
          <cell r="J13">
            <v>2278</v>
          </cell>
          <cell r="K13">
            <v>8340</v>
          </cell>
          <cell r="L13">
            <v>2278</v>
          </cell>
          <cell r="M13">
            <v>8340</v>
          </cell>
          <cell r="N13">
            <v>2278</v>
          </cell>
          <cell r="O13">
            <v>8340</v>
          </cell>
          <cell r="P13">
            <v>2278</v>
          </cell>
          <cell r="Q13">
            <v>8340</v>
          </cell>
          <cell r="R13">
            <v>2278</v>
          </cell>
          <cell r="S13">
            <v>8340</v>
          </cell>
          <cell r="T13">
            <v>2278</v>
          </cell>
          <cell r="U13">
            <v>8340</v>
          </cell>
          <cell r="V13">
            <v>2278</v>
          </cell>
          <cell r="W13">
            <v>8340</v>
          </cell>
          <cell r="X13">
            <v>2278</v>
          </cell>
          <cell r="Y13">
            <v>8520</v>
          </cell>
          <cell r="Z13">
            <v>2327</v>
          </cell>
          <cell r="AA13">
            <v>0</v>
          </cell>
          <cell r="AB13">
            <v>0</v>
          </cell>
          <cell r="AC13">
            <v>0</v>
          </cell>
          <cell r="AD13">
            <v>0.36</v>
          </cell>
          <cell r="AE13">
            <v>0</v>
          </cell>
          <cell r="AF13">
            <v>0</v>
          </cell>
          <cell r="AG13">
            <v>0</v>
          </cell>
          <cell r="AH13">
            <v>0</v>
          </cell>
          <cell r="AI13">
            <v>0</v>
          </cell>
          <cell r="AJ13">
            <v>0</v>
          </cell>
          <cell r="AK13">
            <v>0</v>
          </cell>
          <cell r="AL13" t="str">
            <v xml:space="preserve">     ↓</v>
          </cell>
        </row>
        <row r="14">
          <cell r="E14" t="str">
            <v>G-104mm</v>
          </cell>
          <cell r="F14" t="str">
            <v>ｍ</v>
          </cell>
          <cell r="G14">
            <v>9740</v>
          </cell>
          <cell r="H14">
            <v>2661</v>
          </cell>
          <cell r="I14">
            <v>9540</v>
          </cell>
          <cell r="J14">
            <v>2606</v>
          </cell>
          <cell r="K14">
            <v>9540</v>
          </cell>
          <cell r="L14">
            <v>2606</v>
          </cell>
          <cell r="M14">
            <v>9540</v>
          </cell>
          <cell r="N14">
            <v>2606</v>
          </cell>
          <cell r="O14">
            <v>9540</v>
          </cell>
          <cell r="P14">
            <v>2606</v>
          </cell>
          <cell r="Q14">
            <v>9540</v>
          </cell>
          <cell r="R14">
            <v>2606</v>
          </cell>
          <cell r="S14">
            <v>9540</v>
          </cell>
          <cell r="T14">
            <v>2606</v>
          </cell>
          <cell r="U14">
            <v>9540</v>
          </cell>
          <cell r="V14">
            <v>2606</v>
          </cell>
          <cell r="W14">
            <v>9540</v>
          </cell>
          <cell r="X14">
            <v>2606</v>
          </cell>
          <cell r="Y14">
            <v>9740</v>
          </cell>
          <cell r="Z14">
            <v>2661</v>
          </cell>
          <cell r="AA14">
            <v>0</v>
          </cell>
          <cell r="AB14">
            <v>0</v>
          </cell>
          <cell r="AC14">
            <v>0</v>
          </cell>
          <cell r="AD14">
            <v>0.40200000000000002</v>
          </cell>
          <cell r="AE14">
            <v>0</v>
          </cell>
          <cell r="AF14">
            <v>0</v>
          </cell>
          <cell r="AG14">
            <v>0</v>
          </cell>
          <cell r="AH14">
            <v>0</v>
          </cell>
          <cell r="AI14">
            <v>0</v>
          </cell>
          <cell r="AJ14">
            <v>0</v>
          </cell>
          <cell r="AK14">
            <v>0</v>
          </cell>
          <cell r="AL14" t="str">
            <v xml:space="preserve">     ↓</v>
          </cell>
        </row>
        <row r="15">
          <cell r="E15" t="str">
            <v>C-19mm</v>
          </cell>
          <cell r="F15" t="str">
            <v>ｍ</v>
          </cell>
          <cell r="G15">
            <v>506</v>
          </cell>
          <cell r="H15">
            <v>138</v>
          </cell>
          <cell r="I15">
            <v>495</v>
          </cell>
          <cell r="J15">
            <v>135</v>
          </cell>
          <cell r="K15">
            <v>495</v>
          </cell>
          <cell r="L15">
            <v>135</v>
          </cell>
          <cell r="M15">
            <v>495</v>
          </cell>
          <cell r="N15">
            <v>135</v>
          </cell>
          <cell r="O15">
            <v>495</v>
          </cell>
          <cell r="P15">
            <v>135</v>
          </cell>
          <cell r="Q15">
            <v>495</v>
          </cell>
          <cell r="R15">
            <v>135</v>
          </cell>
          <cell r="S15">
            <v>495</v>
          </cell>
          <cell r="T15">
            <v>135</v>
          </cell>
          <cell r="U15">
            <v>495</v>
          </cell>
          <cell r="V15">
            <v>135</v>
          </cell>
          <cell r="W15">
            <v>495</v>
          </cell>
          <cell r="X15">
            <v>135</v>
          </cell>
          <cell r="Y15">
            <v>505</v>
          </cell>
          <cell r="Z15">
            <v>137</v>
          </cell>
          <cell r="AA15">
            <v>0</v>
          </cell>
          <cell r="AB15">
            <v>0</v>
          </cell>
          <cell r="AC15">
            <v>0</v>
          </cell>
          <cell r="AD15">
            <v>5.1999999999999998E-2</v>
          </cell>
          <cell r="AE15">
            <v>0</v>
          </cell>
          <cell r="AF15">
            <v>0</v>
          </cell>
          <cell r="AG15">
            <v>0</v>
          </cell>
          <cell r="AH15">
            <v>0</v>
          </cell>
          <cell r="AI15">
            <v>0</v>
          </cell>
          <cell r="AJ15">
            <v>0</v>
          </cell>
          <cell r="AK15">
            <v>0</v>
          </cell>
          <cell r="AL15" t="str">
            <v>１本=3.66m</v>
          </cell>
        </row>
        <row r="16">
          <cell r="E16" t="str">
            <v>C-25mm</v>
          </cell>
          <cell r="F16" t="str">
            <v>ｍ</v>
          </cell>
          <cell r="G16">
            <v>705</v>
          </cell>
          <cell r="H16">
            <v>192</v>
          </cell>
          <cell r="I16">
            <v>695</v>
          </cell>
          <cell r="J16">
            <v>189</v>
          </cell>
          <cell r="K16">
            <v>695</v>
          </cell>
          <cell r="L16">
            <v>189</v>
          </cell>
          <cell r="M16">
            <v>695</v>
          </cell>
          <cell r="N16">
            <v>189</v>
          </cell>
          <cell r="O16">
            <v>695</v>
          </cell>
          <cell r="P16">
            <v>189</v>
          </cell>
          <cell r="Q16">
            <v>695</v>
          </cell>
          <cell r="R16">
            <v>189</v>
          </cell>
          <cell r="S16">
            <v>695</v>
          </cell>
          <cell r="T16">
            <v>189</v>
          </cell>
          <cell r="U16">
            <v>695</v>
          </cell>
          <cell r="V16">
            <v>189</v>
          </cell>
          <cell r="W16">
            <v>695</v>
          </cell>
          <cell r="X16">
            <v>189</v>
          </cell>
          <cell r="Y16">
            <v>705</v>
          </cell>
          <cell r="Z16">
            <v>192</v>
          </cell>
          <cell r="AA16">
            <v>0</v>
          </cell>
          <cell r="AB16">
            <v>0</v>
          </cell>
          <cell r="AC16">
            <v>0</v>
          </cell>
          <cell r="AD16">
            <v>7.0000000000000007E-2</v>
          </cell>
          <cell r="AE16">
            <v>0</v>
          </cell>
          <cell r="AF16">
            <v>0</v>
          </cell>
          <cell r="AG16">
            <v>0</v>
          </cell>
          <cell r="AH16">
            <v>0</v>
          </cell>
          <cell r="AI16">
            <v>0</v>
          </cell>
          <cell r="AJ16">
            <v>0</v>
          </cell>
          <cell r="AK16">
            <v>0</v>
          </cell>
          <cell r="AL16" t="str">
            <v xml:space="preserve">     ↓</v>
          </cell>
        </row>
        <row r="17">
          <cell r="E17" t="str">
            <v>C-31mm</v>
          </cell>
          <cell r="F17" t="str">
            <v>ｍ</v>
          </cell>
          <cell r="G17">
            <v>940</v>
          </cell>
          <cell r="H17">
            <v>256</v>
          </cell>
          <cell r="I17">
            <v>925</v>
          </cell>
          <cell r="J17">
            <v>252</v>
          </cell>
          <cell r="K17">
            <v>925</v>
          </cell>
          <cell r="L17">
            <v>252</v>
          </cell>
          <cell r="M17">
            <v>925</v>
          </cell>
          <cell r="N17">
            <v>252</v>
          </cell>
          <cell r="O17">
            <v>925</v>
          </cell>
          <cell r="P17">
            <v>252</v>
          </cell>
          <cell r="Q17">
            <v>925</v>
          </cell>
          <cell r="R17">
            <v>252</v>
          </cell>
          <cell r="S17">
            <v>925</v>
          </cell>
          <cell r="T17">
            <v>252</v>
          </cell>
          <cell r="U17">
            <v>925</v>
          </cell>
          <cell r="V17">
            <v>252</v>
          </cell>
          <cell r="W17">
            <v>925</v>
          </cell>
          <cell r="X17">
            <v>252</v>
          </cell>
          <cell r="Y17">
            <v>940</v>
          </cell>
          <cell r="Z17">
            <v>256</v>
          </cell>
          <cell r="AA17">
            <v>0</v>
          </cell>
          <cell r="AB17">
            <v>0</v>
          </cell>
          <cell r="AC17">
            <v>0</v>
          </cell>
          <cell r="AD17">
            <v>8.8999999999999996E-2</v>
          </cell>
          <cell r="AE17">
            <v>0</v>
          </cell>
          <cell r="AF17">
            <v>0</v>
          </cell>
          <cell r="AG17">
            <v>0</v>
          </cell>
          <cell r="AH17">
            <v>0</v>
          </cell>
          <cell r="AI17">
            <v>0</v>
          </cell>
          <cell r="AJ17">
            <v>0</v>
          </cell>
          <cell r="AK17">
            <v>0</v>
          </cell>
          <cell r="AL17" t="str">
            <v xml:space="preserve">     ↓</v>
          </cell>
        </row>
        <row r="18">
          <cell r="E18" t="str">
            <v>C-39mm</v>
          </cell>
          <cell r="F18" t="str">
            <v>ｍ</v>
          </cell>
          <cell r="G18">
            <v>1090</v>
          </cell>
          <cell r="H18">
            <v>297</v>
          </cell>
          <cell r="I18">
            <v>1070</v>
          </cell>
          <cell r="J18">
            <v>292</v>
          </cell>
          <cell r="K18">
            <v>1070</v>
          </cell>
          <cell r="L18">
            <v>292</v>
          </cell>
          <cell r="M18">
            <v>1070</v>
          </cell>
          <cell r="N18">
            <v>292</v>
          </cell>
          <cell r="O18">
            <v>1070</v>
          </cell>
          <cell r="P18">
            <v>292</v>
          </cell>
          <cell r="Q18">
            <v>1070</v>
          </cell>
          <cell r="R18">
            <v>292</v>
          </cell>
          <cell r="S18">
            <v>1070</v>
          </cell>
          <cell r="T18">
            <v>292</v>
          </cell>
          <cell r="U18">
            <v>1070</v>
          </cell>
          <cell r="V18">
            <v>292</v>
          </cell>
          <cell r="W18">
            <v>1070</v>
          </cell>
          <cell r="X18">
            <v>292</v>
          </cell>
          <cell r="Y18">
            <v>1090</v>
          </cell>
          <cell r="Z18">
            <v>297</v>
          </cell>
          <cell r="AA18">
            <v>0</v>
          </cell>
          <cell r="AB18">
            <v>0</v>
          </cell>
          <cell r="AC18">
            <v>0</v>
          </cell>
          <cell r="AD18">
            <v>0.109</v>
          </cell>
          <cell r="AE18">
            <v>0</v>
          </cell>
          <cell r="AF18">
            <v>0</v>
          </cell>
          <cell r="AG18">
            <v>0</v>
          </cell>
          <cell r="AH18">
            <v>0</v>
          </cell>
          <cell r="AI18">
            <v>0</v>
          </cell>
          <cell r="AJ18">
            <v>0</v>
          </cell>
          <cell r="AK18">
            <v>0</v>
          </cell>
          <cell r="AL18" t="str">
            <v xml:space="preserve">     ↓</v>
          </cell>
        </row>
        <row r="19">
          <cell r="E19" t="str">
            <v>C-51mm</v>
          </cell>
          <cell r="F19" t="str">
            <v>ｍ</v>
          </cell>
          <cell r="G19">
            <v>1600</v>
          </cell>
          <cell r="H19">
            <v>437</v>
          </cell>
          <cell r="I19">
            <v>1560</v>
          </cell>
          <cell r="J19">
            <v>426</v>
          </cell>
          <cell r="K19">
            <v>1580</v>
          </cell>
          <cell r="L19">
            <v>431</v>
          </cell>
          <cell r="M19">
            <v>1580</v>
          </cell>
          <cell r="N19">
            <v>431</v>
          </cell>
          <cell r="O19">
            <v>1580</v>
          </cell>
          <cell r="P19">
            <v>431</v>
          </cell>
          <cell r="Q19">
            <v>1580</v>
          </cell>
          <cell r="R19">
            <v>431</v>
          </cell>
          <cell r="S19">
            <v>1580</v>
          </cell>
          <cell r="T19">
            <v>431</v>
          </cell>
          <cell r="U19">
            <v>1580</v>
          </cell>
          <cell r="V19">
            <v>431</v>
          </cell>
          <cell r="W19">
            <v>1580</v>
          </cell>
          <cell r="X19">
            <v>431</v>
          </cell>
          <cell r="Y19">
            <v>1600</v>
          </cell>
          <cell r="Z19">
            <v>437</v>
          </cell>
          <cell r="AA19">
            <v>0</v>
          </cell>
          <cell r="AB19">
            <v>0</v>
          </cell>
          <cell r="AC19">
            <v>0</v>
          </cell>
          <cell r="AD19">
            <v>0.14699999999999999</v>
          </cell>
          <cell r="AE19">
            <v>0</v>
          </cell>
          <cell r="AF19">
            <v>0</v>
          </cell>
          <cell r="AG19">
            <v>0</v>
          </cell>
          <cell r="AH19">
            <v>0</v>
          </cell>
          <cell r="AI19">
            <v>0</v>
          </cell>
          <cell r="AJ19">
            <v>0</v>
          </cell>
          <cell r="AK19">
            <v>0</v>
          </cell>
          <cell r="AL19" t="str">
            <v xml:space="preserve">     ↓</v>
          </cell>
        </row>
        <row r="20">
          <cell r="E20" t="str">
            <v>C-63mm</v>
          </cell>
          <cell r="F20" t="str">
            <v>ｍ</v>
          </cell>
          <cell r="G20">
            <v>2430</v>
          </cell>
          <cell r="H20">
            <v>663</v>
          </cell>
          <cell r="I20">
            <v>2390</v>
          </cell>
          <cell r="J20">
            <v>653</v>
          </cell>
          <cell r="K20">
            <v>2390</v>
          </cell>
          <cell r="L20">
            <v>653</v>
          </cell>
          <cell r="M20">
            <v>2390</v>
          </cell>
          <cell r="N20">
            <v>653</v>
          </cell>
          <cell r="O20">
            <v>2390</v>
          </cell>
          <cell r="P20">
            <v>653</v>
          </cell>
          <cell r="Q20">
            <v>2390</v>
          </cell>
          <cell r="R20">
            <v>653</v>
          </cell>
          <cell r="S20">
            <v>2390</v>
          </cell>
          <cell r="T20">
            <v>653</v>
          </cell>
          <cell r="U20">
            <v>2390</v>
          </cell>
          <cell r="V20">
            <v>653</v>
          </cell>
          <cell r="W20">
            <v>2390</v>
          </cell>
          <cell r="X20">
            <v>653</v>
          </cell>
          <cell r="Y20">
            <v>2430</v>
          </cell>
          <cell r="Z20">
            <v>663</v>
          </cell>
          <cell r="AA20">
            <v>0</v>
          </cell>
          <cell r="AB20">
            <v>0</v>
          </cell>
          <cell r="AC20">
            <v>0</v>
          </cell>
          <cell r="AD20">
            <v>0.19800000000000001</v>
          </cell>
          <cell r="AE20">
            <v>0</v>
          </cell>
          <cell r="AF20">
            <v>0</v>
          </cell>
          <cell r="AG20">
            <v>0</v>
          </cell>
          <cell r="AH20">
            <v>0</v>
          </cell>
          <cell r="AI20">
            <v>0</v>
          </cell>
          <cell r="AJ20">
            <v>0</v>
          </cell>
          <cell r="AK20">
            <v>0</v>
          </cell>
          <cell r="AL20" t="str">
            <v xml:space="preserve">     ↓</v>
          </cell>
        </row>
        <row r="21">
          <cell r="E21" t="str">
            <v>C-75mm</v>
          </cell>
          <cell r="F21" t="str">
            <v>ｍ</v>
          </cell>
          <cell r="G21">
            <v>3030</v>
          </cell>
          <cell r="H21">
            <v>827</v>
          </cell>
          <cell r="I21">
            <v>2980</v>
          </cell>
          <cell r="J21">
            <v>814</v>
          </cell>
          <cell r="K21">
            <v>2980</v>
          </cell>
          <cell r="L21">
            <v>814</v>
          </cell>
          <cell r="M21">
            <v>2980</v>
          </cell>
          <cell r="N21">
            <v>814</v>
          </cell>
          <cell r="O21">
            <v>2980</v>
          </cell>
          <cell r="P21">
            <v>814</v>
          </cell>
          <cell r="Q21">
            <v>2980</v>
          </cell>
          <cell r="R21">
            <v>814</v>
          </cell>
          <cell r="S21">
            <v>2980</v>
          </cell>
          <cell r="T21">
            <v>814</v>
          </cell>
          <cell r="U21">
            <v>2980</v>
          </cell>
          <cell r="V21">
            <v>814</v>
          </cell>
          <cell r="W21">
            <v>2980</v>
          </cell>
          <cell r="X21">
            <v>814</v>
          </cell>
          <cell r="Y21">
            <v>3030</v>
          </cell>
          <cell r="Z21">
            <v>827</v>
          </cell>
          <cell r="AA21">
            <v>0</v>
          </cell>
          <cell r="AB21">
            <v>0</v>
          </cell>
          <cell r="AC21">
            <v>0</v>
          </cell>
          <cell r="AD21">
            <v>0.23100000000000001</v>
          </cell>
          <cell r="AE21">
            <v>0</v>
          </cell>
          <cell r="AF21">
            <v>0</v>
          </cell>
          <cell r="AG21">
            <v>0</v>
          </cell>
          <cell r="AH21">
            <v>0</v>
          </cell>
          <cell r="AI21">
            <v>0</v>
          </cell>
          <cell r="AJ21">
            <v>0</v>
          </cell>
          <cell r="AK21">
            <v>0</v>
          </cell>
          <cell r="AL21" t="str">
            <v xml:space="preserve">     ↓</v>
          </cell>
        </row>
        <row r="22">
          <cell r="E22" t="str">
            <v>E-19mm</v>
          </cell>
          <cell r="F22" t="str">
            <v>ｍ</v>
          </cell>
          <cell r="G22">
            <v>445</v>
          </cell>
          <cell r="H22">
            <v>121</v>
          </cell>
          <cell r="I22">
            <v>440</v>
          </cell>
          <cell r="J22">
            <v>120</v>
          </cell>
          <cell r="K22">
            <v>440</v>
          </cell>
          <cell r="L22">
            <v>120</v>
          </cell>
          <cell r="M22">
            <v>440</v>
          </cell>
          <cell r="N22">
            <v>120</v>
          </cell>
          <cell r="O22">
            <v>440</v>
          </cell>
          <cell r="P22">
            <v>120</v>
          </cell>
          <cell r="Q22">
            <v>440</v>
          </cell>
          <cell r="R22">
            <v>120</v>
          </cell>
          <cell r="S22">
            <v>440</v>
          </cell>
          <cell r="T22">
            <v>120</v>
          </cell>
          <cell r="U22">
            <v>440</v>
          </cell>
          <cell r="V22">
            <v>120</v>
          </cell>
          <cell r="W22">
            <v>440</v>
          </cell>
          <cell r="X22">
            <v>120</v>
          </cell>
          <cell r="Y22">
            <v>445</v>
          </cell>
          <cell r="Z22">
            <v>121</v>
          </cell>
          <cell r="AA22">
            <v>0</v>
          </cell>
          <cell r="AB22">
            <v>0</v>
          </cell>
          <cell r="AC22">
            <v>0</v>
          </cell>
          <cell r="AD22">
            <v>4.2000000000000003E-2</v>
          </cell>
          <cell r="AE22">
            <v>0</v>
          </cell>
          <cell r="AF22">
            <v>0</v>
          </cell>
          <cell r="AG22">
            <v>0</v>
          </cell>
          <cell r="AH22">
            <v>0</v>
          </cell>
          <cell r="AI22">
            <v>0</v>
          </cell>
          <cell r="AJ22">
            <v>0</v>
          </cell>
          <cell r="AK22">
            <v>0</v>
          </cell>
          <cell r="AL22" t="str">
            <v>１本=3.66m</v>
          </cell>
        </row>
        <row r="23">
          <cell r="E23" t="str">
            <v>E-25mm</v>
          </cell>
          <cell r="F23" t="str">
            <v>ｍ</v>
          </cell>
          <cell r="G23">
            <v>635</v>
          </cell>
          <cell r="H23">
            <v>173</v>
          </cell>
          <cell r="I23">
            <v>625</v>
          </cell>
          <cell r="J23">
            <v>170</v>
          </cell>
          <cell r="K23">
            <v>625</v>
          </cell>
          <cell r="L23">
            <v>170</v>
          </cell>
          <cell r="M23">
            <v>625</v>
          </cell>
          <cell r="N23">
            <v>170</v>
          </cell>
          <cell r="O23">
            <v>625</v>
          </cell>
          <cell r="P23">
            <v>170</v>
          </cell>
          <cell r="Q23">
            <v>625</v>
          </cell>
          <cell r="R23">
            <v>170</v>
          </cell>
          <cell r="S23">
            <v>625</v>
          </cell>
          <cell r="T23">
            <v>170</v>
          </cell>
          <cell r="U23">
            <v>625</v>
          </cell>
          <cell r="V23">
            <v>170</v>
          </cell>
          <cell r="W23">
            <v>625</v>
          </cell>
          <cell r="X23">
            <v>170</v>
          </cell>
          <cell r="Y23">
            <v>635</v>
          </cell>
          <cell r="Z23">
            <v>173</v>
          </cell>
          <cell r="AA23">
            <v>0</v>
          </cell>
          <cell r="AB23">
            <v>0</v>
          </cell>
          <cell r="AC23">
            <v>0</v>
          </cell>
          <cell r="AD23">
            <v>5.6000000000000001E-2</v>
          </cell>
          <cell r="AE23">
            <v>0</v>
          </cell>
          <cell r="AF23">
            <v>0</v>
          </cell>
          <cell r="AG23">
            <v>0</v>
          </cell>
          <cell r="AH23">
            <v>0</v>
          </cell>
          <cell r="AI23">
            <v>0</v>
          </cell>
          <cell r="AJ23">
            <v>0</v>
          </cell>
          <cell r="AK23">
            <v>0</v>
          </cell>
          <cell r="AL23" t="str">
            <v xml:space="preserve">     ↓</v>
          </cell>
        </row>
        <row r="24">
          <cell r="E24" t="str">
            <v>E-31mm</v>
          </cell>
          <cell r="F24" t="str">
            <v>ｍ</v>
          </cell>
          <cell r="G24">
            <v>880</v>
          </cell>
          <cell r="H24">
            <v>240</v>
          </cell>
          <cell r="I24">
            <v>870</v>
          </cell>
          <cell r="J24">
            <v>237</v>
          </cell>
          <cell r="K24">
            <v>870</v>
          </cell>
          <cell r="L24">
            <v>237</v>
          </cell>
          <cell r="M24">
            <v>870</v>
          </cell>
          <cell r="N24">
            <v>237</v>
          </cell>
          <cell r="O24">
            <v>870</v>
          </cell>
          <cell r="P24">
            <v>237</v>
          </cell>
          <cell r="Q24">
            <v>870</v>
          </cell>
          <cell r="R24">
            <v>237</v>
          </cell>
          <cell r="S24">
            <v>870</v>
          </cell>
          <cell r="T24">
            <v>237</v>
          </cell>
          <cell r="U24">
            <v>870</v>
          </cell>
          <cell r="V24">
            <v>237</v>
          </cell>
          <cell r="W24">
            <v>870</v>
          </cell>
          <cell r="X24">
            <v>237</v>
          </cell>
          <cell r="Y24">
            <v>880</v>
          </cell>
          <cell r="Z24">
            <v>240</v>
          </cell>
          <cell r="AA24">
            <v>0</v>
          </cell>
          <cell r="AB24">
            <v>0</v>
          </cell>
          <cell r="AC24">
            <v>0</v>
          </cell>
          <cell r="AD24">
            <v>7.0999999999999994E-2</v>
          </cell>
          <cell r="AE24">
            <v>0</v>
          </cell>
          <cell r="AF24">
            <v>0</v>
          </cell>
          <cell r="AG24">
            <v>0</v>
          </cell>
          <cell r="AH24">
            <v>0</v>
          </cell>
          <cell r="AI24">
            <v>0</v>
          </cell>
          <cell r="AJ24">
            <v>0</v>
          </cell>
          <cell r="AK24">
            <v>0</v>
          </cell>
          <cell r="AL24" t="str">
            <v xml:space="preserve">     ↓</v>
          </cell>
        </row>
        <row r="25">
          <cell r="E25" t="str">
            <v>E-39mm</v>
          </cell>
          <cell r="F25" t="str">
            <v>ｍ</v>
          </cell>
          <cell r="G25">
            <v>1060</v>
          </cell>
          <cell r="H25">
            <v>289</v>
          </cell>
          <cell r="I25">
            <v>1040</v>
          </cell>
          <cell r="J25">
            <v>284</v>
          </cell>
          <cell r="K25">
            <v>1040</v>
          </cell>
          <cell r="L25">
            <v>284</v>
          </cell>
          <cell r="M25">
            <v>1040</v>
          </cell>
          <cell r="N25">
            <v>284</v>
          </cell>
          <cell r="O25">
            <v>1040</v>
          </cell>
          <cell r="P25">
            <v>284</v>
          </cell>
          <cell r="Q25">
            <v>1040</v>
          </cell>
          <cell r="R25">
            <v>284</v>
          </cell>
          <cell r="S25">
            <v>1040</v>
          </cell>
          <cell r="T25">
            <v>284</v>
          </cell>
          <cell r="U25">
            <v>1040</v>
          </cell>
          <cell r="V25">
            <v>284</v>
          </cell>
          <cell r="W25">
            <v>1040</v>
          </cell>
          <cell r="X25">
            <v>284</v>
          </cell>
          <cell r="Y25">
            <v>1060</v>
          </cell>
          <cell r="Z25">
            <v>289</v>
          </cell>
          <cell r="AA25">
            <v>0</v>
          </cell>
          <cell r="AB25">
            <v>0</v>
          </cell>
          <cell r="AC25">
            <v>0</v>
          </cell>
          <cell r="AD25">
            <v>8.6999999999999994E-2</v>
          </cell>
          <cell r="AE25">
            <v>0</v>
          </cell>
          <cell r="AF25">
            <v>0</v>
          </cell>
          <cell r="AG25">
            <v>0</v>
          </cell>
          <cell r="AH25">
            <v>0</v>
          </cell>
          <cell r="AI25">
            <v>0</v>
          </cell>
          <cell r="AJ25">
            <v>0</v>
          </cell>
          <cell r="AK25">
            <v>0</v>
          </cell>
          <cell r="AL25" t="str">
            <v xml:space="preserve">     ↓</v>
          </cell>
        </row>
        <row r="26">
          <cell r="E26" t="str">
            <v>E-51mm</v>
          </cell>
          <cell r="F26" t="str">
            <v>ｍ</v>
          </cell>
          <cell r="G26">
            <v>1510</v>
          </cell>
          <cell r="H26">
            <v>412</v>
          </cell>
          <cell r="I26">
            <v>1480</v>
          </cell>
          <cell r="J26">
            <v>404</v>
          </cell>
          <cell r="K26">
            <v>1480</v>
          </cell>
          <cell r="L26">
            <v>404</v>
          </cell>
          <cell r="M26">
            <v>1480</v>
          </cell>
          <cell r="N26">
            <v>404</v>
          </cell>
          <cell r="O26">
            <v>1480</v>
          </cell>
          <cell r="P26">
            <v>404</v>
          </cell>
          <cell r="Q26">
            <v>1480</v>
          </cell>
          <cell r="R26">
            <v>404</v>
          </cell>
          <cell r="S26">
            <v>1480</v>
          </cell>
          <cell r="T26">
            <v>404</v>
          </cell>
          <cell r="U26">
            <v>1480</v>
          </cell>
          <cell r="V26">
            <v>404</v>
          </cell>
          <cell r="W26">
            <v>1480</v>
          </cell>
          <cell r="X26">
            <v>404</v>
          </cell>
          <cell r="Y26">
            <v>1510</v>
          </cell>
          <cell r="Z26">
            <v>412</v>
          </cell>
          <cell r="AA26">
            <v>0</v>
          </cell>
          <cell r="AB26">
            <v>0</v>
          </cell>
          <cell r="AC26">
            <v>0</v>
          </cell>
          <cell r="AD26">
            <v>0.11799999999999999</v>
          </cell>
          <cell r="AE26">
            <v>0</v>
          </cell>
          <cell r="AF26">
            <v>0</v>
          </cell>
          <cell r="AG26">
            <v>0</v>
          </cell>
          <cell r="AH26">
            <v>0</v>
          </cell>
          <cell r="AI26">
            <v>0</v>
          </cell>
          <cell r="AJ26">
            <v>0</v>
          </cell>
          <cell r="AK26">
            <v>0</v>
          </cell>
          <cell r="AL26" t="str">
            <v xml:space="preserve">     ↓</v>
          </cell>
        </row>
        <row r="27">
          <cell r="E27" t="str">
            <v>E-63mm</v>
          </cell>
          <cell r="F27" t="str">
            <v>ｍ</v>
          </cell>
          <cell r="G27">
            <v>2230</v>
          </cell>
          <cell r="H27">
            <v>609</v>
          </cell>
          <cell r="I27">
            <v>2200</v>
          </cell>
          <cell r="J27">
            <v>601</v>
          </cell>
          <cell r="K27">
            <v>2200</v>
          </cell>
          <cell r="L27">
            <v>601</v>
          </cell>
          <cell r="M27">
            <v>2200</v>
          </cell>
          <cell r="N27">
            <v>601</v>
          </cell>
          <cell r="O27">
            <v>2200</v>
          </cell>
          <cell r="P27">
            <v>601</v>
          </cell>
          <cell r="Q27">
            <v>2200</v>
          </cell>
          <cell r="R27">
            <v>601</v>
          </cell>
          <cell r="S27">
            <v>2200</v>
          </cell>
          <cell r="T27">
            <v>601</v>
          </cell>
          <cell r="U27">
            <v>2200</v>
          </cell>
          <cell r="V27">
            <v>601</v>
          </cell>
          <cell r="W27">
            <v>2200</v>
          </cell>
          <cell r="X27">
            <v>601</v>
          </cell>
          <cell r="Y27">
            <v>2230</v>
          </cell>
          <cell r="Z27">
            <v>609</v>
          </cell>
          <cell r="AA27">
            <v>0</v>
          </cell>
          <cell r="AB27">
            <v>0</v>
          </cell>
          <cell r="AC27">
            <v>0</v>
          </cell>
          <cell r="AD27">
            <v>0.159</v>
          </cell>
          <cell r="AE27">
            <v>0</v>
          </cell>
          <cell r="AF27">
            <v>0</v>
          </cell>
          <cell r="AG27">
            <v>0</v>
          </cell>
          <cell r="AH27">
            <v>0</v>
          </cell>
          <cell r="AI27">
            <v>0</v>
          </cell>
          <cell r="AJ27">
            <v>0</v>
          </cell>
          <cell r="AK27">
            <v>0</v>
          </cell>
          <cell r="AL27" t="str">
            <v xml:space="preserve">     ↓</v>
          </cell>
        </row>
        <row r="28">
          <cell r="E28" t="str">
            <v>E-75mm</v>
          </cell>
          <cell r="F28" t="str">
            <v>ｍ</v>
          </cell>
          <cell r="G28">
            <v>2910</v>
          </cell>
          <cell r="H28">
            <v>795</v>
          </cell>
          <cell r="I28">
            <v>2870</v>
          </cell>
          <cell r="J28">
            <v>784</v>
          </cell>
          <cell r="K28">
            <v>2870</v>
          </cell>
          <cell r="L28">
            <v>784</v>
          </cell>
          <cell r="M28">
            <v>2870</v>
          </cell>
          <cell r="N28">
            <v>784</v>
          </cell>
          <cell r="O28">
            <v>2870</v>
          </cell>
          <cell r="P28">
            <v>784</v>
          </cell>
          <cell r="Q28">
            <v>2870</v>
          </cell>
          <cell r="R28">
            <v>784</v>
          </cell>
          <cell r="S28">
            <v>2870</v>
          </cell>
          <cell r="T28">
            <v>784</v>
          </cell>
          <cell r="U28">
            <v>2870</v>
          </cell>
          <cell r="V28">
            <v>784</v>
          </cell>
          <cell r="W28">
            <v>2870</v>
          </cell>
          <cell r="X28">
            <v>784</v>
          </cell>
          <cell r="Y28">
            <v>2910</v>
          </cell>
          <cell r="Z28">
            <v>795</v>
          </cell>
          <cell r="AA28">
            <v>0</v>
          </cell>
          <cell r="AB28">
            <v>0</v>
          </cell>
          <cell r="AC28">
            <v>0</v>
          </cell>
          <cell r="AD28">
            <v>0.185</v>
          </cell>
          <cell r="AE28">
            <v>0</v>
          </cell>
          <cell r="AF28">
            <v>0</v>
          </cell>
          <cell r="AG28">
            <v>0</v>
          </cell>
          <cell r="AH28">
            <v>0</v>
          </cell>
          <cell r="AI28">
            <v>0</v>
          </cell>
          <cell r="AJ28">
            <v>0</v>
          </cell>
          <cell r="AK28">
            <v>0</v>
          </cell>
          <cell r="AL28" t="str">
            <v xml:space="preserve">     ↓</v>
          </cell>
        </row>
        <row r="29">
          <cell r="E29" t="str">
            <v>VE-14mm</v>
          </cell>
          <cell r="F29" t="str">
            <v>ｍ</v>
          </cell>
          <cell r="G29">
            <v>214</v>
          </cell>
          <cell r="H29">
            <v>53</v>
          </cell>
          <cell r="I29">
            <v>210</v>
          </cell>
          <cell r="J29">
            <v>52</v>
          </cell>
          <cell r="K29">
            <v>210</v>
          </cell>
          <cell r="L29">
            <v>52</v>
          </cell>
          <cell r="M29">
            <v>214</v>
          </cell>
          <cell r="N29">
            <v>53</v>
          </cell>
          <cell r="O29">
            <v>214</v>
          </cell>
          <cell r="P29">
            <v>53</v>
          </cell>
          <cell r="Q29">
            <v>214</v>
          </cell>
          <cell r="R29">
            <v>53</v>
          </cell>
          <cell r="S29">
            <v>214</v>
          </cell>
          <cell r="T29">
            <v>53</v>
          </cell>
          <cell r="U29">
            <v>214</v>
          </cell>
          <cell r="V29">
            <v>53</v>
          </cell>
          <cell r="W29">
            <v>214</v>
          </cell>
          <cell r="X29">
            <v>53</v>
          </cell>
          <cell r="Y29">
            <v>214</v>
          </cell>
          <cell r="Z29">
            <v>53</v>
          </cell>
          <cell r="AA29">
            <v>0</v>
          </cell>
          <cell r="AB29">
            <v>0</v>
          </cell>
          <cell r="AC29">
            <v>0</v>
          </cell>
          <cell r="AD29">
            <v>4.3999999999999997E-2</v>
          </cell>
          <cell r="AE29">
            <v>0</v>
          </cell>
          <cell r="AF29">
            <v>0</v>
          </cell>
          <cell r="AG29">
            <v>0</v>
          </cell>
          <cell r="AH29">
            <v>0</v>
          </cell>
          <cell r="AI29">
            <v>0</v>
          </cell>
          <cell r="AJ29">
            <v>0</v>
          </cell>
          <cell r="AK29">
            <v>0</v>
          </cell>
          <cell r="AL29" t="str">
            <v>１本=4.00m</v>
          </cell>
        </row>
        <row r="30">
          <cell r="E30" t="str">
            <v>VE-16mm</v>
          </cell>
          <cell r="F30" t="str">
            <v>ｍ</v>
          </cell>
          <cell r="G30">
            <v>262</v>
          </cell>
          <cell r="H30">
            <v>65</v>
          </cell>
          <cell r="I30">
            <v>256</v>
          </cell>
          <cell r="J30">
            <v>64</v>
          </cell>
          <cell r="K30">
            <v>256</v>
          </cell>
          <cell r="L30">
            <v>64</v>
          </cell>
          <cell r="M30">
            <v>262</v>
          </cell>
          <cell r="N30">
            <v>65</v>
          </cell>
          <cell r="O30">
            <v>262</v>
          </cell>
          <cell r="P30">
            <v>65</v>
          </cell>
          <cell r="Q30">
            <v>262</v>
          </cell>
          <cell r="R30">
            <v>65</v>
          </cell>
          <cell r="S30">
            <v>262</v>
          </cell>
          <cell r="T30">
            <v>65</v>
          </cell>
          <cell r="U30">
            <v>262</v>
          </cell>
          <cell r="V30">
            <v>65</v>
          </cell>
          <cell r="W30">
            <v>262</v>
          </cell>
          <cell r="X30">
            <v>65</v>
          </cell>
          <cell r="Y30">
            <v>262</v>
          </cell>
          <cell r="Z30">
            <v>65</v>
          </cell>
          <cell r="AA30">
            <v>0</v>
          </cell>
          <cell r="AB30">
            <v>0</v>
          </cell>
          <cell r="AC30">
            <v>0</v>
          </cell>
          <cell r="AD30">
            <v>4.3999999999999997E-2</v>
          </cell>
          <cell r="AE30">
            <v>0</v>
          </cell>
          <cell r="AF30">
            <v>0</v>
          </cell>
          <cell r="AG30">
            <v>0</v>
          </cell>
          <cell r="AH30">
            <v>0</v>
          </cell>
          <cell r="AI30">
            <v>0</v>
          </cell>
          <cell r="AJ30">
            <v>0</v>
          </cell>
          <cell r="AK30">
            <v>0</v>
          </cell>
          <cell r="AL30" t="str">
            <v xml:space="preserve">     ↓</v>
          </cell>
        </row>
        <row r="31">
          <cell r="E31" t="str">
            <v>VE-22mm</v>
          </cell>
          <cell r="F31" t="str">
            <v>ｍ</v>
          </cell>
          <cell r="G31">
            <v>308</v>
          </cell>
          <cell r="H31">
            <v>77</v>
          </cell>
          <cell r="I31">
            <v>302</v>
          </cell>
          <cell r="J31">
            <v>75</v>
          </cell>
          <cell r="K31">
            <v>302</v>
          </cell>
          <cell r="L31">
            <v>75</v>
          </cell>
          <cell r="M31">
            <v>308</v>
          </cell>
          <cell r="N31">
            <v>77</v>
          </cell>
          <cell r="O31">
            <v>308</v>
          </cell>
          <cell r="P31">
            <v>77</v>
          </cell>
          <cell r="Q31">
            <v>308</v>
          </cell>
          <cell r="R31">
            <v>77</v>
          </cell>
          <cell r="S31">
            <v>308</v>
          </cell>
          <cell r="T31">
            <v>77</v>
          </cell>
          <cell r="U31">
            <v>308</v>
          </cell>
          <cell r="V31">
            <v>77</v>
          </cell>
          <cell r="W31">
            <v>308</v>
          </cell>
          <cell r="X31">
            <v>77</v>
          </cell>
          <cell r="Y31">
            <v>308</v>
          </cell>
          <cell r="Z31">
            <v>77</v>
          </cell>
          <cell r="AA31">
            <v>0</v>
          </cell>
          <cell r="AB31">
            <v>0</v>
          </cell>
          <cell r="AC31">
            <v>0</v>
          </cell>
          <cell r="AD31">
            <v>5.3999999999999999E-2</v>
          </cell>
          <cell r="AE31">
            <v>0</v>
          </cell>
          <cell r="AF31">
            <v>0</v>
          </cell>
          <cell r="AG31">
            <v>0</v>
          </cell>
          <cell r="AH31">
            <v>0</v>
          </cell>
          <cell r="AI31">
            <v>0</v>
          </cell>
          <cell r="AJ31">
            <v>0</v>
          </cell>
          <cell r="AK31">
            <v>0</v>
          </cell>
          <cell r="AL31" t="str">
            <v xml:space="preserve">     ↓</v>
          </cell>
        </row>
        <row r="32">
          <cell r="E32" t="str">
            <v>VE-28mm</v>
          </cell>
          <cell r="F32" t="str">
            <v>ｍ</v>
          </cell>
          <cell r="G32">
            <v>599</v>
          </cell>
          <cell r="H32">
            <v>149</v>
          </cell>
          <cell r="I32">
            <v>587</v>
          </cell>
          <cell r="J32">
            <v>146</v>
          </cell>
          <cell r="K32">
            <v>587</v>
          </cell>
          <cell r="L32">
            <v>146</v>
          </cell>
          <cell r="M32">
            <v>599</v>
          </cell>
          <cell r="N32">
            <v>149</v>
          </cell>
          <cell r="O32">
            <v>599</v>
          </cell>
          <cell r="P32">
            <v>149</v>
          </cell>
          <cell r="Q32">
            <v>599</v>
          </cell>
          <cell r="R32">
            <v>149</v>
          </cell>
          <cell r="S32">
            <v>599</v>
          </cell>
          <cell r="T32">
            <v>149</v>
          </cell>
          <cell r="U32">
            <v>599</v>
          </cell>
          <cell r="V32">
            <v>149</v>
          </cell>
          <cell r="W32">
            <v>599</v>
          </cell>
          <cell r="X32">
            <v>149</v>
          </cell>
          <cell r="Y32">
            <v>599</v>
          </cell>
          <cell r="Z32">
            <v>149</v>
          </cell>
          <cell r="AA32">
            <v>0</v>
          </cell>
          <cell r="AB32">
            <v>0</v>
          </cell>
          <cell r="AC32">
            <v>0</v>
          </cell>
          <cell r="AD32">
            <v>6.4000000000000001E-2</v>
          </cell>
          <cell r="AE32">
            <v>0</v>
          </cell>
          <cell r="AF32">
            <v>0</v>
          </cell>
          <cell r="AG32">
            <v>0</v>
          </cell>
          <cell r="AH32">
            <v>0</v>
          </cell>
          <cell r="AI32">
            <v>0</v>
          </cell>
          <cell r="AJ32">
            <v>0</v>
          </cell>
          <cell r="AK32">
            <v>0</v>
          </cell>
          <cell r="AL32" t="str">
            <v xml:space="preserve">     ↓</v>
          </cell>
        </row>
        <row r="33">
          <cell r="E33" t="str">
            <v>VE-36mm</v>
          </cell>
          <cell r="F33" t="str">
            <v>ｍ</v>
          </cell>
          <cell r="G33">
            <v>859</v>
          </cell>
          <cell r="H33">
            <v>214</v>
          </cell>
          <cell r="I33">
            <v>842</v>
          </cell>
          <cell r="J33">
            <v>210</v>
          </cell>
          <cell r="K33">
            <v>842</v>
          </cell>
          <cell r="L33">
            <v>210</v>
          </cell>
          <cell r="M33">
            <v>859</v>
          </cell>
          <cell r="N33">
            <v>214</v>
          </cell>
          <cell r="O33">
            <v>859</v>
          </cell>
          <cell r="P33">
            <v>214</v>
          </cell>
          <cell r="Q33">
            <v>859</v>
          </cell>
          <cell r="R33">
            <v>214</v>
          </cell>
          <cell r="S33">
            <v>859</v>
          </cell>
          <cell r="T33">
            <v>214</v>
          </cell>
          <cell r="U33">
            <v>859</v>
          </cell>
          <cell r="V33">
            <v>214</v>
          </cell>
          <cell r="W33">
            <v>859</v>
          </cell>
          <cell r="X33">
            <v>214</v>
          </cell>
          <cell r="Y33">
            <v>859</v>
          </cell>
          <cell r="Z33">
            <v>214</v>
          </cell>
          <cell r="AA33">
            <v>0</v>
          </cell>
          <cell r="AB33">
            <v>0</v>
          </cell>
          <cell r="AC33">
            <v>0</v>
          </cell>
          <cell r="AD33">
            <v>8.5999999999999993E-2</v>
          </cell>
          <cell r="AE33">
            <v>0</v>
          </cell>
          <cell r="AF33">
            <v>0</v>
          </cell>
          <cell r="AG33">
            <v>0</v>
          </cell>
          <cell r="AH33">
            <v>0</v>
          </cell>
          <cell r="AI33">
            <v>0</v>
          </cell>
          <cell r="AJ33">
            <v>0</v>
          </cell>
          <cell r="AK33">
            <v>0</v>
          </cell>
          <cell r="AL33" t="str">
            <v xml:space="preserve">     ↓</v>
          </cell>
        </row>
        <row r="34">
          <cell r="E34" t="str">
            <v>VE-42mm</v>
          </cell>
          <cell r="F34" t="str">
            <v>ｍ</v>
          </cell>
          <cell r="G34">
            <v>1132</v>
          </cell>
          <cell r="H34">
            <v>283</v>
          </cell>
          <cell r="I34">
            <v>1110</v>
          </cell>
          <cell r="J34">
            <v>277</v>
          </cell>
          <cell r="K34">
            <v>1110</v>
          </cell>
          <cell r="L34">
            <v>277</v>
          </cell>
          <cell r="M34">
            <v>1132</v>
          </cell>
          <cell r="N34">
            <v>283</v>
          </cell>
          <cell r="O34">
            <v>1132</v>
          </cell>
          <cell r="P34">
            <v>283</v>
          </cell>
          <cell r="Q34">
            <v>1132</v>
          </cell>
          <cell r="R34">
            <v>283</v>
          </cell>
          <cell r="S34">
            <v>1132</v>
          </cell>
          <cell r="T34">
            <v>283</v>
          </cell>
          <cell r="U34">
            <v>1132</v>
          </cell>
          <cell r="V34">
            <v>283</v>
          </cell>
          <cell r="W34">
            <v>1132</v>
          </cell>
          <cell r="X34">
            <v>283</v>
          </cell>
          <cell r="Y34">
            <v>1132</v>
          </cell>
          <cell r="Z34">
            <v>283</v>
          </cell>
          <cell r="AA34">
            <v>0</v>
          </cell>
          <cell r="AB34">
            <v>0</v>
          </cell>
          <cell r="AC34">
            <v>0</v>
          </cell>
          <cell r="AD34">
            <v>0.108</v>
          </cell>
          <cell r="AE34">
            <v>0</v>
          </cell>
          <cell r="AF34">
            <v>0</v>
          </cell>
          <cell r="AG34">
            <v>0</v>
          </cell>
          <cell r="AH34">
            <v>0</v>
          </cell>
          <cell r="AI34">
            <v>0</v>
          </cell>
          <cell r="AJ34">
            <v>0</v>
          </cell>
          <cell r="AK34">
            <v>0</v>
          </cell>
          <cell r="AL34" t="str">
            <v xml:space="preserve">     ↓</v>
          </cell>
        </row>
        <row r="35">
          <cell r="E35" t="str">
            <v>VE-54mm</v>
          </cell>
          <cell r="F35" t="str">
            <v>ｍ</v>
          </cell>
          <cell r="G35">
            <v>1589</v>
          </cell>
          <cell r="H35">
            <v>397</v>
          </cell>
          <cell r="I35">
            <v>1558</v>
          </cell>
          <cell r="J35">
            <v>389</v>
          </cell>
          <cell r="K35">
            <v>1558</v>
          </cell>
          <cell r="L35">
            <v>389</v>
          </cell>
          <cell r="M35">
            <v>1589</v>
          </cell>
          <cell r="N35">
            <v>397</v>
          </cell>
          <cell r="O35">
            <v>1589</v>
          </cell>
          <cell r="P35">
            <v>397</v>
          </cell>
          <cell r="Q35">
            <v>1589</v>
          </cell>
          <cell r="R35">
            <v>397</v>
          </cell>
          <cell r="S35">
            <v>1589</v>
          </cell>
          <cell r="T35">
            <v>397</v>
          </cell>
          <cell r="U35">
            <v>1589</v>
          </cell>
          <cell r="V35">
            <v>397</v>
          </cell>
          <cell r="W35">
            <v>1589</v>
          </cell>
          <cell r="X35">
            <v>397</v>
          </cell>
          <cell r="Y35">
            <v>1589</v>
          </cell>
          <cell r="Z35">
            <v>397</v>
          </cell>
          <cell r="AA35">
            <v>0</v>
          </cell>
          <cell r="AB35">
            <v>0</v>
          </cell>
          <cell r="AC35">
            <v>0</v>
          </cell>
          <cell r="AD35">
            <v>0.13</v>
          </cell>
          <cell r="AE35">
            <v>0</v>
          </cell>
          <cell r="AF35">
            <v>0</v>
          </cell>
          <cell r="AG35">
            <v>0</v>
          </cell>
          <cell r="AH35">
            <v>0</v>
          </cell>
          <cell r="AI35">
            <v>0</v>
          </cell>
          <cell r="AJ35">
            <v>0</v>
          </cell>
          <cell r="AK35">
            <v>0</v>
          </cell>
          <cell r="AL35" t="str">
            <v xml:space="preserve">     ↓</v>
          </cell>
        </row>
        <row r="36">
          <cell r="E36" t="str">
            <v>VE-70mm</v>
          </cell>
          <cell r="F36" t="str">
            <v>ｍ</v>
          </cell>
          <cell r="G36">
            <v>2033</v>
          </cell>
          <cell r="H36">
            <v>508</v>
          </cell>
          <cell r="I36">
            <v>1993</v>
          </cell>
          <cell r="J36">
            <v>498</v>
          </cell>
          <cell r="K36">
            <v>1993</v>
          </cell>
          <cell r="L36">
            <v>498</v>
          </cell>
          <cell r="M36">
            <v>2033</v>
          </cell>
          <cell r="N36">
            <v>508</v>
          </cell>
          <cell r="O36">
            <v>2033</v>
          </cell>
          <cell r="P36">
            <v>508</v>
          </cell>
          <cell r="Q36">
            <v>2033</v>
          </cell>
          <cell r="R36">
            <v>508</v>
          </cell>
          <cell r="S36">
            <v>2033</v>
          </cell>
          <cell r="T36">
            <v>508</v>
          </cell>
          <cell r="U36">
            <v>2033</v>
          </cell>
          <cell r="V36">
            <v>508</v>
          </cell>
          <cell r="W36">
            <v>2033</v>
          </cell>
          <cell r="X36">
            <v>508</v>
          </cell>
          <cell r="Y36">
            <v>2033</v>
          </cell>
          <cell r="Z36">
            <v>508</v>
          </cell>
          <cell r="AA36">
            <v>0</v>
          </cell>
          <cell r="AB36">
            <v>0</v>
          </cell>
          <cell r="AC36">
            <v>0</v>
          </cell>
          <cell r="AD36">
            <v>0.16200000000000001</v>
          </cell>
          <cell r="AE36">
            <v>0</v>
          </cell>
          <cell r="AF36">
            <v>0</v>
          </cell>
          <cell r="AG36">
            <v>0</v>
          </cell>
          <cell r="AH36">
            <v>0</v>
          </cell>
          <cell r="AI36">
            <v>0</v>
          </cell>
          <cell r="AJ36">
            <v>0</v>
          </cell>
          <cell r="AK36">
            <v>0</v>
          </cell>
          <cell r="AL36" t="str">
            <v xml:space="preserve">     ↓</v>
          </cell>
        </row>
        <row r="37">
          <cell r="E37" t="str">
            <v>VE-82mm</v>
          </cell>
          <cell r="F37" t="str">
            <v>ｍ</v>
          </cell>
          <cell r="G37">
            <v>3111</v>
          </cell>
          <cell r="H37">
            <v>777</v>
          </cell>
          <cell r="I37">
            <v>3050</v>
          </cell>
          <cell r="J37">
            <v>762</v>
          </cell>
          <cell r="K37">
            <v>3050</v>
          </cell>
          <cell r="L37">
            <v>762</v>
          </cell>
          <cell r="M37">
            <v>3111</v>
          </cell>
          <cell r="N37">
            <v>777</v>
          </cell>
          <cell r="O37">
            <v>3111</v>
          </cell>
          <cell r="P37">
            <v>777</v>
          </cell>
          <cell r="Q37">
            <v>3111</v>
          </cell>
          <cell r="R37">
            <v>777</v>
          </cell>
          <cell r="S37">
            <v>3111</v>
          </cell>
          <cell r="T37">
            <v>777</v>
          </cell>
          <cell r="U37">
            <v>3111</v>
          </cell>
          <cell r="V37">
            <v>777</v>
          </cell>
          <cell r="W37">
            <v>3111</v>
          </cell>
          <cell r="X37">
            <v>777</v>
          </cell>
          <cell r="Y37">
            <v>3111</v>
          </cell>
          <cell r="Z37">
            <v>777</v>
          </cell>
          <cell r="AA37">
            <v>0</v>
          </cell>
          <cell r="AB37">
            <v>0</v>
          </cell>
          <cell r="AC37">
            <v>0</v>
          </cell>
          <cell r="AD37">
            <v>0.19400000000000001</v>
          </cell>
          <cell r="AE37">
            <v>0</v>
          </cell>
          <cell r="AF37">
            <v>0</v>
          </cell>
          <cell r="AG37">
            <v>0</v>
          </cell>
          <cell r="AH37">
            <v>0</v>
          </cell>
          <cell r="AI37">
            <v>0</v>
          </cell>
          <cell r="AJ37">
            <v>0</v>
          </cell>
          <cell r="AK37">
            <v>0</v>
          </cell>
          <cell r="AL37" t="str">
            <v xml:space="preserve">     ↓</v>
          </cell>
        </row>
        <row r="38">
          <cell r="E38" t="str">
            <v>HIVE-14mm</v>
          </cell>
          <cell r="F38" t="str">
            <v>ｍ</v>
          </cell>
          <cell r="G38">
            <v>291</v>
          </cell>
          <cell r="H38">
            <v>72</v>
          </cell>
          <cell r="I38">
            <v>285</v>
          </cell>
          <cell r="J38">
            <v>71</v>
          </cell>
          <cell r="K38">
            <v>285</v>
          </cell>
          <cell r="L38">
            <v>71</v>
          </cell>
          <cell r="M38">
            <v>291</v>
          </cell>
          <cell r="N38">
            <v>72</v>
          </cell>
          <cell r="O38">
            <v>291</v>
          </cell>
          <cell r="P38">
            <v>72</v>
          </cell>
          <cell r="Q38">
            <v>291</v>
          </cell>
          <cell r="R38">
            <v>72</v>
          </cell>
          <cell r="S38">
            <v>291</v>
          </cell>
          <cell r="T38">
            <v>72</v>
          </cell>
          <cell r="U38">
            <v>291</v>
          </cell>
          <cell r="V38">
            <v>72</v>
          </cell>
          <cell r="W38">
            <v>291</v>
          </cell>
          <cell r="X38">
            <v>72</v>
          </cell>
          <cell r="Y38">
            <v>291</v>
          </cell>
          <cell r="Z38">
            <v>72</v>
          </cell>
          <cell r="AA38">
            <v>0</v>
          </cell>
          <cell r="AB38">
            <v>0</v>
          </cell>
          <cell r="AC38">
            <v>0</v>
          </cell>
          <cell r="AD38">
            <v>4.3999999999999997E-2</v>
          </cell>
          <cell r="AE38">
            <v>0</v>
          </cell>
          <cell r="AF38">
            <v>0</v>
          </cell>
          <cell r="AG38">
            <v>0</v>
          </cell>
          <cell r="AH38">
            <v>0</v>
          </cell>
          <cell r="AI38">
            <v>0</v>
          </cell>
          <cell r="AJ38">
            <v>0</v>
          </cell>
          <cell r="AK38">
            <v>0</v>
          </cell>
          <cell r="AL38" t="str">
            <v>１本=4.00m</v>
          </cell>
        </row>
        <row r="39">
          <cell r="E39" t="str">
            <v>HIVE-16mm</v>
          </cell>
          <cell r="F39" t="str">
            <v>ｍ</v>
          </cell>
          <cell r="G39">
            <v>357</v>
          </cell>
          <cell r="H39">
            <v>89</v>
          </cell>
          <cell r="I39">
            <v>349</v>
          </cell>
          <cell r="J39">
            <v>87</v>
          </cell>
          <cell r="K39">
            <v>349</v>
          </cell>
          <cell r="L39">
            <v>87</v>
          </cell>
          <cell r="M39">
            <v>357</v>
          </cell>
          <cell r="N39">
            <v>89</v>
          </cell>
          <cell r="O39">
            <v>357</v>
          </cell>
          <cell r="P39">
            <v>89</v>
          </cell>
          <cell r="Q39">
            <v>357</v>
          </cell>
          <cell r="R39">
            <v>89</v>
          </cell>
          <cell r="S39">
            <v>357</v>
          </cell>
          <cell r="T39">
            <v>89</v>
          </cell>
          <cell r="U39">
            <v>357</v>
          </cell>
          <cell r="V39">
            <v>89</v>
          </cell>
          <cell r="W39">
            <v>357</v>
          </cell>
          <cell r="X39">
            <v>89</v>
          </cell>
          <cell r="Y39">
            <v>357</v>
          </cell>
          <cell r="Z39">
            <v>89</v>
          </cell>
          <cell r="AA39">
            <v>0</v>
          </cell>
          <cell r="AB39">
            <v>0</v>
          </cell>
          <cell r="AC39">
            <v>0</v>
          </cell>
          <cell r="AD39">
            <v>4.3999999999999997E-2</v>
          </cell>
          <cell r="AE39">
            <v>0</v>
          </cell>
          <cell r="AF39">
            <v>0</v>
          </cell>
          <cell r="AG39">
            <v>0</v>
          </cell>
          <cell r="AH39">
            <v>0</v>
          </cell>
          <cell r="AI39">
            <v>0</v>
          </cell>
          <cell r="AJ39">
            <v>0</v>
          </cell>
          <cell r="AK39">
            <v>0</v>
          </cell>
          <cell r="AL39" t="str">
            <v xml:space="preserve">     ↓</v>
          </cell>
        </row>
        <row r="40">
          <cell r="E40" t="str">
            <v>HIVE-22mm</v>
          </cell>
          <cell r="F40" t="str">
            <v>ｍ</v>
          </cell>
          <cell r="G40">
            <v>421</v>
          </cell>
          <cell r="H40">
            <v>105</v>
          </cell>
          <cell r="I40">
            <v>412</v>
          </cell>
          <cell r="J40">
            <v>103</v>
          </cell>
          <cell r="K40">
            <v>412</v>
          </cell>
          <cell r="L40">
            <v>103</v>
          </cell>
          <cell r="M40">
            <v>421</v>
          </cell>
          <cell r="N40">
            <v>105</v>
          </cell>
          <cell r="O40">
            <v>421</v>
          </cell>
          <cell r="P40">
            <v>105</v>
          </cell>
          <cell r="Q40">
            <v>421</v>
          </cell>
          <cell r="R40">
            <v>105</v>
          </cell>
          <cell r="S40">
            <v>421</v>
          </cell>
          <cell r="T40">
            <v>105</v>
          </cell>
          <cell r="U40">
            <v>421</v>
          </cell>
          <cell r="V40">
            <v>105</v>
          </cell>
          <cell r="W40">
            <v>421</v>
          </cell>
          <cell r="X40">
            <v>105</v>
          </cell>
          <cell r="Y40">
            <v>421</v>
          </cell>
          <cell r="Z40">
            <v>105</v>
          </cell>
          <cell r="AA40">
            <v>0</v>
          </cell>
          <cell r="AB40">
            <v>0</v>
          </cell>
          <cell r="AC40">
            <v>0</v>
          </cell>
          <cell r="AD40">
            <v>5.3999999999999999E-2</v>
          </cell>
          <cell r="AE40">
            <v>0</v>
          </cell>
          <cell r="AF40">
            <v>0</v>
          </cell>
          <cell r="AG40">
            <v>0</v>
          </cell>
          <cell r="AH40">
            <v>0</v>
          </cell>
          <cell r="AI40">
            <v>0</v>
          </cell>
          <cell r="AJ40">
            <v>0</v>
          </cell>
          <cell r="AK40">
            <v>0</v>
          </cell>
          <cell r="AL40" t="str">
            <v xml:space="preserve">     ↓</v>
          </cell>
        </row>
        <row r="41">
          <cell r="E41" t="str">
            <v>HIVE-28mm</v>
          </cell>
          <cell r="F41" t="str">
            <v>ｍ</v>
          </cell>
          <cell r="G41">
            <v>819</v>
          </cell>
          <cell r="H41">
            <v>204</v>
          </cell>
          <cell r="I41">
            <v>803</v>
          </cell>
          <cell r="J41">
            <v>200</v>
          </cell>
          <cell r="K41">
            <v>803</v>
          </cell>
          <cell r="L41">
            <v>200</v>
          </cell>
          <cell r="M41">
            <v>819</v>
          </cell>
          <cell r="N41">
            <v>204</v>
          </cell>
          <cell r="O41">
            <v>819</v>
          </cell>
          <cell r="P41">
            <v>204</v>
          </cell>
          <cell r="Q41">
            <v>819</v>
          </cell>
          <cell r="R41">
            <v>204</v>
          </cell>
          <cell r="S41">
            <v>819</v>
          </cell>
          <cell r="T41">
            <v>204</v>
          </cell>
          <cell r="U41">
            <v>819</v>
          </cell>
          <cell r="V41">
            <v>204</v>
          </cell>
          <cell r="W41">
            <v>819</v>
          </cell>
          <cell r="X41">
            <v>204</v>
          </cell>
          <cell r="Y41">
            <v>819</v>
          </cell>
          <cell r="Z41">
            <v>204</v>
          </cell>
          <cell r="AA41">
            <v>0</v>
          </cell>
          <cell r="AB41">
            <v>0</v>
          </cell>
          <cell r="AC41">
            <v>0</v>
          </cell>
          <cell r="AD41">
            <v>6.4000000000000001E-2</v>
          </cell>
          <cell r="AE41">
            <v>0</v>
          </cell>
          <cell r="AF41">
            <v>0</v>
          </cell>
          <cell r="AG41">
            <v>0</v>
          </cell>
          <cell r="AH41">
            <v>0</v>
          </cell>
          <cell r="AI41">
            <v>0</v>
          </cell>
          <cell r="AJ41">
            <v>0</v>
          </cell>
          <cell r="AK41">
            <v>0</v>
          </cell>
          <cell r="AL41" t="str">
            <v xml:space="preserve">     ↓</v>
          </cell>
        </row>
        <row r="42">
          <cell r="E42" t="str">
            <v>HIVE-36mm</v>
          </cell>
          <cell r="F42" t="str">
            <v>ｍ</v>
          </cell>
          <cell r="G42">
            <v>1177</v>
          </cell>
          <cell r="H42">
            <v>294</v>
          </cell>
          <cell r="I42">
            <v>1154</v>
          </cell>
          <cell r="J42">
            <v>288</v>
          </cell>
          <cell r="K42">
            <v>1154</v>
          </cell>
          <cell r="L42">
            <v>288</v>
          </cell>
          <cell r="M42">
            <v>1177</v>
          </cell>
          <cell r="N42">
            <v>294</v>
          </cell>
          <cell r="O42">
            <v>1177</v>
          </cell>
          <cell r="P42">
            <v>294</v>
          </cell>
          <cell r="Q42">
            <v>1177</v>
          </cell>
          <cell r="R42">
            <v>294</v>
          </cell>
          <cell r="S42">
            <v>1177</v>
          </cell>
          <cell r="T42">
            <v>294</v>
          </cell>
          <cell r="U42">
            <v>1177</v>
          </cell>
          <cell r="V42">
            <v>294</v>
          </cell>
          <cell r="W42">
            <v>1177</v>
          </cell>
          <cell r="X42">
            <v>294</v>
          </cell>
          <cell r="Y42">
            <v>1177</v>
          </cell>
          <cell r="Z42">
            <v>294</v>
          </cell>
          <cell r="AA42">
            <v>0</v>
          </cell>
          <cell r="AB42">
            <v>0</v>
          </cell>
          <cell r="AC42">
            <v>0</v>
          </cell>
          <cell r="AD42">
            <v>8.5999999999999993E-2</v>
          </cell>
          <cell r="AE42">
            <v>0</v>
          </cell>
          <cell r="AF42">
            <v>0</v>
          </cell>
          <cell r="AG42">
            <v>0</v>
          </cell>
          <cell r="AH42">
            <v>0</v>
          </cell>
          <cell r="AI42">
            <v>0</v>
          </cell>
          <cell r="AJ42">
            <v>0</v>
          </cell>
          <cell r="AK42">
            <v>0</v>
          </cell>
          <cell r="AL42" t="str">
            <v xml:space="preserve">     ↓</v>
          </cell>
        </row>
        <row r="43">
          <cell r="E43" t="str">
            <v>HIVE-42mm</v>
          </cell>
          <cell r="F43" t="str">
            <v>ｍ</v>
          </cell>
          <cell r="G43">
            <v>1567</v>
          </cell>
          <cell r="H43">
            <v>391</v>
          </cell>
          <cell r="I43">
            <v>1526</v>
          </cell>
          <cell r="J43">
            <v>381</v>
          </cell>
          <cell r="K43">
            <v>1526</v>
          </cell>
          <cell r="L43">
            <v>381</v>
          </cell>
          <cell r="M43">
            <v>1567</v>
          </cell>
          <cell r="N43">
            <v>391</v>
          </cell>
          <cell r="O43">
            <v>1567</v>
          </cell>
          <cell r="P43">
            <v>391</v>
          </cell>
          <cell r="Q43">
            <v>1567</v>
          </cell>
          <cell r="R43">
            <v>391</v>
          </cell>
          <cell r="S43">
            <v>1567</v>
          </cell>
          <cell r="T43">
            <v>391</v>
          </cell>
          <cell r="U43">
            <v>1567</v>
          </cell>
          <cell r="V43">
            <v>391</v>
          </cell>
          <cell r="W43">
            <v>1567</v>
          </cell>
          <cell r="X43">
            <v>391</v>
          </cell>
          <cell r="Y43">
            <v>1567</v>
          </cell>
          <cell r="Z43">
            <v>391</v>
          </cell>
          <cell r="AA43">
            <v>0</v>
          </cell>
          <cell r="AB43">
            <v>0</v>
          </cell>
          <cell r="AC43">
            <v>0</v>
          </cell>
          <cell r="AD43">
            <v>0.108</v>
          </cell>
          <cell r="AE43">
            <v>0</v>
          </cell>
          <cell r="AF43">
            <v>0</v>
          </cell>
          <cell r="AG43">
            <v>0</v>
          </cell>
          <cell r="AH43">
            <v>0</v>
          </cell>
          <cell r="AI43">
            <v>0</v>
          </cell>
          <cell r="AJ43">
            <v>0</v>
          </cell>
          <cell r="AK43">
            <v>0</v>
          </cell>
          <cell r="AL43" t="str">
            <v xml:space="preserve">     ↓</v>
          </cell>
        </row>
        <row r="44">
          <cell r="E44" t="str">
            <v>HIVE-54mm</v>
          </cell>
          <cell r="F44" t="str">
            <v>ｍ</v>
          </cell>
          <cell r="G44">
            <v>2193</v>
          </cell>
          <cell r="H44">
            <v>548</v>
          </cell>
          <cell r="I44">
            <v>2150</v>
          </cell>
          <cell r="J44">
            <v>537</v>
          </cell>
          <cell r="K44">
            <v>2150</v>
          </cell>
          <cell r="L44">
            <v>537</v>
          </cell>
          <cell r="M44">
            <v>2193</v>
          </cell>
          <cell r="N44">
            <v>548</v>
          </cell>
          <cell r="O44">
            <v>2193</v>
          </cell>
          <cell r="P44">
            <v>548</v>
          </cell>
          <cell r="Q44">
            <v>2193</v>
          </cell>
          <cell r="R44">
            <v>548</v>
          </cell>
          <cell r="S44">
            <v>2193</v>
          </cell>
          <cell r="T44">
            <v>548</v>
          </cell>
          <cell r="U44">
            <v>2193</v>
          </cell>
          <cell r="V44">
            <v>548</v>
          </cell>
          <cell r="W44">
            <v>2193</v>
          </cell>
          <cell r="X44">
            <v>548</v>
          </cell>
          <cell r="Y44">
            <v>2193</v>
          </cell>
          <cell r="Z44">
            <v>548</v>
          </cell>
          <cell r="AA44">
            <v>0</v>
          </cell>
          <cell r="AB44">
            <v>0</v>
          </cell>
          <cell r="AC44">
            <v>0</v>
          </cell>
          <cell r="AD44">
            <v>0.13</v>
          </cell>
          <cell r="AE44">
            <v>0</v>
          </cell>
          <cell r="AF44">
            <v>0</v>
          </cell>
          <cell r="AG44">
            <v>0</v>
          </cell>
          <cell r="AH44">
            <v>0</v>
          </cell>
          <cell r="AI44">
            <v>0</v>
          </cell>
          <cell r="AJ44">
            <v>0</v>
          </cell>
          <cell r="AK44">
            <v>0</v>
          </cell>
          <cell r="AL44" t="str">
            <v xml:space="preserve">     ↓</v>
          </cell>
        </row>
        <row r="45">
          <cell r="E45" t="str">
            <v>HIVE-70mm</v>
          </cell>
          <cell r="F45" t="str">
            <v>ｍ</v>
          </cell>
          <cell r="G45">
            <v>2791</v>
          </cell>
          <cell r="H45">
            <v>697</v>
          </cell>
          <cell r="I45">
            <v>2736</v>
          </cell>
          <cell r="J45">
            <v>684</v>
          </cell>
          <cell r="K45">
            <v>2736</v>
          </cell>
          <cell r="L45">
            <v>684</v>
          </cell>
          <cell r="M45">
            <v>2791</v>
          </cell>
          <cell r="N45">
            <v>697</v>
          </cell>
          <cell r="O45">
            <v>2791</v>
          </cell>
          <cell r="P45">
            <v>697</v>
          </cell>
          <cell r="Q45">
            <v>2791</v>
          </cell>
          <cell r="R45">
            <v>697</v>
          </cell>
          <cell r="S45">
            <v>2791</v>
          </cell>
          <cell r="T45">
            <v>697</v>
          </cell>
          <cell r="U45">
            <v>2791</v>
          </cell>
          <cell r="V45">
            <v>697</v>
          </cell>
          <cell r="W45">
            <v>2791</v>
          </cell>
          <cell r="X45">
            <v>697</v>
          </cell>
          <cell r="Y45">
            <v>2791</v>
          </cell>
          <cell r="Z45">
            <v>697</v>
          </cell>
          <cell r="AA45">
            <v>0</v>
          </cell>
          <cell r="AB45">
            <v>0</v>
          </cell>
          <cell r="AC45">
            <v>0</v>
          </cell>
          <cell r="AD45">
            <v>0.16200000000000001</v>
          </cell>
          <cell r="AE45">
            <v>0</v>
          </cell>
          <cell r="AF45">
            <v>0</v>
          </cell>
          <cell r="AG45">
            <v>0</v>
          </cell>
          <cell r="AH45">
            <v>0</v>
          </cell>
          <cell r="AI45">
            <v>0</v>
          </cell>
          <cell r="AJ45">
            <v>0</v>
          </cell>
          <cell r="AK45">
            <v>0</v>
          </cell>
          <cell r="AL45" t="str">
            <v xml:space="preserve">     ↓</v>
          </cell>
        </row>
        <row r="46">
          <cell r="E46" t="str">
            <v>HIVE-82mm</v>
          </cell>
          <cell r="F46" t="str">
            <v>ｍ</v>
          </cell>
          <cell r="G46">
            <v>4287</v>
          </cell>
          <cell r="H46">
            <v>1071</v>
          </cell>
          <cell r="I46">
            <v>4203</v>
          </cell>
          <cell r="J46">
            <v>1050</v>
          </cell>
          <cell r="K46">
            <v>4203</v>
          </cell>
          <cell r="L46">
            <v>1050</v>
          </cell>
          <cell r="M46">
            <v>4287</v>
          </cell>
          <cell r="N46">
            <v>1071</v>
          </cell>
          <cell r="O46">
            <v>4287</v>
          </cell>
          <cell r="P46">
            <v>1071</v>
          </cell>
          <cell r="Q46">
            <v>4287</v>
          </cell>
          <cell r="R46">
            <v>1071</v>
          </cell>
          <cell r="S46">
            <v>4287</v>
          </cell>
          <cell r="T46">
            <v>1071</v>
          </cell>
          <cell r="U46">
            <v>4287</v>
          </cell>
          <cell r="V46">
            <v>1071</v>
          </cell>
          <cell r="W46">
            <v>4287</v>
          </cell>
          <cell r="X46">
            <v>1071</v>
          </cell>
          <cell r="Y46">
            <v>4287</v>
          </cell>
          <cell r="Z46">
            <v>1071</v>
          </cell>
          <cell r="AA46">
            <v>0</v>
          </cell>
          <cell r="AB46">
            <v>0</v>
          </cell>
          <cell r="AC46">
            <v>0</v>
          </cell>
          <cell r="AD46">
            <v>0.19400000000000001</v>
          </cell>
          <cell r="AE46">
            <v>0</v>
          </cell>
          <cell r="AF46">
            <v>0</v>
          </cell>
          <cell r="AG46">
            <v>0</v>
          </cell>
          <cell r="AH46">
            <v>0</v>
          </cell>
          <cell r="AI46">
            <v>0</v>
          </cell>
          <cell r="AJ46">
            <v>0</v>
          </cell>
          <cell r="AK46">
            <v>0</v>
          </cell>
          <cell r="AL46" t="str">
            <v xml:space="preserve">     ↓</v>
          </cell>
        </row>
        <row r="47">
          <cell r="E47" t="str">
            <v>MCCP- 50A (伸縮継手付き)</v>
          </cell>
          <cell r="F47" t="str">
            <v>ｍ</v>
          </cell>
          <cell r="G47">
            <v>14700</v>
          </cell>
          <cell r="H47">
            <v>2672</v>
          </cell>
          <cell r="I47">
            <v>14700</v>
          </cell>
          <cell r="J47">
            <v>2672</v>
          </cell>
          <cell r="K47">
            <v>14700</v>
          </cell>
          <cell r="L47">
            <v>2672</v>
          </cell>
          <cell r="M47">
            <v>14700</v>
          </cell>
          <cell r="N47">
            <v>2672</v>
          </cell>
          <cell r="O47">
            <v>14700</v>
          </cell>
          <cell r="P47">
            <v>2672</v>
          </cell>
          <cell r="Q47">
            <v>14700</v>
          </cell>
          <cell r="R47">
            <v>2672</v>
          </cell>
          <cell r="S47">
            <v>14700</v>
          </cell>
          <cell r="T47">
            <v>2672</v>
          </cell>
          <cell r="U47">
            <v>14700</v>
          </cell>
          <cell r="V47">
            <v>2672</v>
          </cell>
          <cell r="W47">
            <v>14700</v>
          </cell>
          <cell r="X47">
            <v>2672</v>
          </cell>
          <cell r="Y47">
            <v>14700</v>
          </cell>
          <cell r="Z47">
            <v>2672</v>
          </cell>
          <cell r="AA47">
            <v>0</v>
          </cell>
          <cell r="AB47">
            <v>0</v>
          </cell>
          <cell r="AC47">
            <v>0</v>
          </cell>
          <cell r="AD47">
            <v>0.161</v>
          </cell>
          <cell r="AE47">
            <v>0</v>
          </cell>
          <cell r="AF47">
            <v>0</v>
          </cell>
          <cell r="AG47">
            <v>0</v>
          </cell>
          <cell r="AH47">
            <v>0</v>
          </cell>
          <cell r="AI47">
            <v>0</v>
          </cell>
          <cell r="AJ47">
            <v>0</v>
          </cell>
          <cell r="AK47">
            <v>0</v>
          </cell>
          <cell r="AL47" t="str">
            <v>１本=5.50m</v>
          </cell>
        </row>
        <row r="48">
          <cell r="E48" t="str">
            <v>MCCP- 80A (伸縮継手付き)</v>
          </cell>
          <cell r="F48" t="str">
            <v>ｍ</v>
          </cell>
          <cell r="G48">
            <v>19900</v>
          </cell>
          <cell r="H48">
            <v>3618</v>
          </cell>
          <cell r="I48">
            <v>19900</v>
          </cell>
          <cell r="J48">
            <v>3618</v>
          </cell>
          <cell r="K48">
            <v>19900</v>
          </cell>
          <cell r="L48">
            <v>3618</v>
          </cell>
          <cell r="M48">
            <v>19900</v>
          </cell>
          <cell r="N48">
            <v>3618</v>
          </cell>
          <cell r="O48">
            <v>19900</v>
          </cell>
          <cell r="P48">
            <v>3618</v>
          </cell>
          <cell r="Q48">
            <v>19900</v>
          </cell>
          <cell r="R48">
            <v>3618</v>
          </cell>
          <cell r="S48">
            <v>19900</v>
          </cell>
          <cell r="T48">
            <v>3618</v>
          </cell>
          <cell r="U48">
            <v>19900</v>
          </cell>
          <cell r="V48">
            <v>3618</v>
          </cell>
          <cell r="W48">
            <v>19900</v>
          </cell>
          <cell r="X48">
            <v>3618</v>
          </cell>
          <cell r="Y48">
            <v>19900</v>
          </cell>
          <cell r="Z48">
            <v>3618</v>
          </cell>
          <cell r="AA48">
            <v>0</v>
          </cell>
          <cell r="AB48">
            <v>0</v>
          </cell>
          <cell r="AC48">
            <v>0</v>
          </cell>
          <cell r="AD48">
            <v>0.26100000000000001</v>
          </cell>
          <cell r="AE48">
            <v>0</v>
          </cell>
          <cell r="AF48">
            <v>0</v>
          </cell>
          <cell r="AG48">
            <v>0</v>
          </cell>
          <cell r="AH48">
            <v>0</v>
          </cell>
          <cell r="AI48">
            <v>0</v>
          </cell>
          <cell r="AJ48">
            <v>0</v>
          </cell>
          <cell r="AK48">
            <v>0</v>
          </cell>
          <cell r="AL48" t="str">
            <v xml:space="preserve">     ↓</v>
          </cell>
        </row>
        <row r="49">
          <cell r="E49" t="str">
            <v>MCCP-100A (伸縮継手付き)</v>
          </cell>
          <cell r="F49" t="str">
            <v>ｍ</v>
          </cell>
          <cell r="G49">
            <v>31200</v>
          </cell>
          <cell r="H49">
            <v>5672</v>
          </cell>
          <cell r="I49">
            <v>31200</v>
          </cell>
          <cell r="J49">
            <v>5672</v>
          </cell>
          <cell r="K49">
            <v>31200</v>
          </cell>
          <cell r="L49">
            <v>5672</v>
          </cell>
          <cell r="M49">
            <v>31200</v>
          </cell>
          <cell r="N49">
            <v>5672</v>
          </cell>
          <cell r="O49">
            <v>31200</v>
          </cell>
          <cell r="P49">
            <v>5672</v>
          </cell>
          <cell r="Q49">
            <v>31200</v>
          </cell>
          <cell r="R49">
            <v>5672</v>
          </cell>
          <cell r="S49">
            <v>31200</v>
          </cell>
          <cell r="T49">
            <v>5672</v>
          </cell>
          <cell r="U49">
            <v>31200</v>
          </cell>
          <cell r="V49">
            <v>5672</v>
          </cell>
          <cell r="W49">
            <v>31200</v>
          </cell>
          <cell r="X49">
            <v>5672</v>
          </cell>
          <cell r="Y49">
            <v>31200</v>
          </cell>
          <cell r="Z49">
            <v>5672</v>
          </cell>
          <cell r="AA49">
            <v>0</v>
          </cell>
          <cell r="AB49">
            <v>0</v>
          </cell>
          <cell r="AC49">
            <v>0</v>
          </cell>
          <cell r="AD49">
            <v>0.34699999999999998</v>
          </cell>
          <cell r="AE49">
            <v>0</v>
          </cell>
          <cell r="AF49">
            <v>0</v>
          </cell>
          <cell r="AG49">
            <v>0</v>
          </cell>
          <cell r="AH49">
            <v>0</v>
          </cell>
          <cell r="AI49">
            <v>0</v>
          </cell>
          <cell r="AJ49">
            <v>0</v>
          </cell>
          <cell r="AK49">
            <v>0</v>
          </cell>
          <cell r="AL49" t="str">
            <v xml:space="preserve">     ↓</v>
          </cell>
        </row>
        <row r="50">
          <cell r="E50" t="str">
            <v>MCCP-125A (伸縮継手付き)</v>
          </cell>
          <cell r="F50" t="str">
            <v>ｍ</v>
          </cell>
          <cell r="G50">
            <v>32800</v>
          </cell>
          <cell r="H50">
            <v>5963</v>
          </cell>
          <cell r="I50">
            <v>32800</v>
          </cell>
          <cell r="J50">
            <v>5963</v>
          </cell>
          <cell r="K50">
            <v>32800</v>
          </cell>
          <cell r="L50">
            <v>5963</v>
          </cell>
          <cell r="M50">
            <v>32800</v>
          </cell>
          <cell r="N50">
            <v>5963</v>
          </cell>
          <cell r="O50">
            <v>32800</v>
          </cell>
          <cell r="P50">
            <v>5963</v>
          </cell>
          <cell r="Q50">
            <v>32800</v>
          </cell>
          <cell r="R50">
            <v>5963</v>
          </cell>
          <cell r="S50">
            <v>32800</v>
          </cell>
          <cell r="T50">
            <v>5963</v>
          </cell>
          <cell r="U50">
            <v>32800</v>
          </cell>
          <cell r="V50">
            <v>5963</v>
          </cell>
          <cell r="W50">
            <v>32800</v>
          </cell>
          <cell r="X50">
            <v>5963</v>
          </cell>
          <cell r="Y50">
            <v>32800</v>
          </cell>
          <cell r="Z50">
            <v>5963</v>
          </cell>
          <cell r="AA50">
            <v>0</v>
          </cell>
          <cell r="AB50">
            <v>0</v>
          </cell>
          <cell r="AC50">
            <v>0</v>
          </cell>
          <cell r="AD50">
            <v>0.433</v>
          </cell>
          <cell r="AE50">
            <v>0</v>
          </cell>
          <cell r="AF50">
            <v>0</v>
          </cell>
          <cell r="AG50">
            <v>0</v>
          </cell>
          <cell r="AH50">
            <v>0</v>
          </cell>
          <cell r="AI50">
            <v>0</v>
          </cell>
          <cell r="AJ50">
            <v>0</v>
          </cell>
          <cell r="AK50">
            <v>0</v>
          </cell>
          <cell r="AL50" t="str">
            <v xml:space="preserve">     ↓</v>
          </cell>
        </row>
        <row r="51">
          <cell r="E51" t="str">
            <v>MCCP- 50A固定</v>
          </cell>
          <cell r="F51" t="str">
            <v>ｍ</v>
          </cell>
          <cell r="G51">
            <v>14100</v>
          </cell>
          <cell r="H51">
            <v>2563</v>
          </cell>
          <cell r="I51">
            <v>14100</v>
          </cell>
          <cell r="J51">
            <v>2563</v>
          </cell>
          <cell r="K51">
            <v>14100</v>
          </cell>
          <cell r="L51">
            <v>2563</v>
          </cell>
          <cell r="M51">
            <v>14100</v>
          </cell>
          <cell r="N51">
            <v>2563</v>
          </cell>
          <cell r="O51">
            <v>14100</v>
          </cell>
          <cell r="P51">
            <v>2563</v>
          </cell>
          <cell r="Q51">
            <v>14100</v>
          </cell>
          <cell r="R51">
            <v>2563</v>
          </cell>
          <cell r="S51">
            <v>14100</v>
          </cell>
          <cell r="T51">
            <v>2563</v>
          </cell>
          <cell r="U51">
            <v>14100</v>
          </cell>
          <cell r="V51">
            <v>2563</v>
          </cell>
          <cell r="W51">
            <v>14100</v>
          </cell>
          <cell r="X51">
            <v>2563</v>
          </cell>
          <cell r="Y51">
            <v>14100</v>
          </cell>
          <cell r="Z51">
            <v>2563</v>
          </cell>
          <cell r="AA51">
            <v>0</v>
          </cell>
          <cell r="AB51">
            <v>0</v>
          </cell>
          <cell r="AC51">
            <v>0</v>
          </cell>
          <cell r="AD51">
            <v>0.161</v>
          </cell>
          <cell r="AE51">
            <v>0</v>
          </cell>
          <cell r="AF51">
            <v>0</v>
          </cell>
          <cell r="AG51">
            <v>0</v>
          </cell>
          <cell r="AH51">
            <v>0</v>
          </cell>
          <cell r="AI51">
            <v>0</v>
          </cell>
          <cell r="AJ51">
            <v>0</v>
          </cell>
          <cell r="AK51">
            <v>0</v>
          </cell>
          <cell r="AL51" t="str">
            <v xml:space="preserve">     ↓</v>
          </cell>
        </row>
        <row r="52">
          <cell r="E52" t="str">
            <v>FEP- 30mm</v>
          </cell>
          <cell r="F52" t="str">
            <v>ｍ</v>
          </cell>
          <cell r="G52">
            <v>0</v>
          </cell>
          <cell r="H52">
            <v>224</v>
          </cell>
          <cell r="I52">
            <v>0</v>
          </cell>
          <cell r="J52">
            <v>224</v>
          </cell>
          <cell r="K52">
            <v>0</v>
          </cell>
          <cell r="L52">
            <v>219</v>
          </cell>
          <cell r="M52">
            <v>0</v>
          </cell>
          <cell r="N52">
            <v>219</v>
          </cell>
          <cell r="O52">
            <v>0</v>
          </cell>
          <cell r="P52">
            <v>219</v>
          </cell>
          <cell r="Q52">
            <v>0</v>
          </cell>
          <cell r="R52">
            <v>224</v>
          </cell>
          <cell r="S52">
            <v>0</v>
          </cell>
          <cell r="T52">
            <v>224</v>
          </cell>
          <cell r="U52">
            <v>0</v>
          </cell>
          <cell r="V52">
            <v>219</v>
          </cell>
          <cell r="W52">
            <v>0</v>
          </cell>
          <cell r="X52">
            <v>224</v>
          </cell>
          <cell r="Y52">
            <v>0</v>
          </cell>
          <cell r="Z52">
            <v>239</v>
          </cell>
          <cell r="AA52">
            <v>0</v>
          </cell>
          <cell r="AB52">
            <v>0</v>
          </cell>
          <cell r="AC52">
            <v>0</v>
          </cell>
          <cell r="AD52">
            <v>3.6999999999999998E-2</v>
          </cell>
          <cell r="AE52">
            <v>0</v>
          </cell>
          <cell r="AF52">
            <v>0</v>
          </cell>
          <cell r="AG52">
            <v>0</v>
          </cell>
          <cell r="AH52">
            <v>0</v>
          </cell>
          <cell r="AI52">
            <v>0</v>
          </cell>
          <cell r="AJ52">
            <v>0</v>
          </cell>
          <cell r="AK52">
            <v>0</v>
          </cell>
          <cell r="AL52">
            <v>0</v>
          </cell>
        </row>
        <row r="53">
          <cell r="E53" t="str">
            <v>FEP- 40mm</v>
          </cell>
          <cell r="F53" t="str">
            <v>ｍ</v>
          </cell>
          <cell r="G53">
            <v>0</v>
          </cell>
          <cell r="H53">
            <v>246</v>
          </cell>
          <cell r="I53">
            <v>0</v>
          </cell>
          <cell r="J53">
            <v>246</v>
          </cell>
          <cell r="K53">
            <v>0</v>
          </cell>
          <cell r="L53">
            <v>240</v>
          </cell>
          <cell r="M53">
            <v>0</v>
          </cell>
          <cell r="N53">
            <v>240</v>
          </cell>
          <cell r="O53">
            <v>0</v>
          </cell>
          <cell r="P53">
            <v>240</v>
          </cell>
          <cell r="Q53">
            <v>0</v>
          </cell>
          <cell r="R53">
            <v>246</v>
          </cell>
          <cell r="S53">
            <v>0</v>
          </cell>
          <cell r="T53">
            <v>246</v>
          </cell>
          <cell r="U53">
            <v>0</v>
          </cell>
          <cell r="V53">
            <v>240</v>
          </cell>
          <cell r="W53">
            <v>0</v>
          </cell>
          <cell r="X53">
            <v>246</v>
          </cell>
          <cell r="Y53">
            <v>0</v>
          </cell>
          <cell r="Z53">
            <v>263</v>
          </cell>
          <cell r="AA53">
            <v>0</v>
          </cell>
          <cell r="AB53">
            <v>0</v>
          </cell>
          <cell r="AC53">
            <v>0</v>
          </cell>
          <cell r="AD53">
            <v>4.3999999999999997E-2</v>
          </cell>
          <cell r="AE53">
            <v>0</v>
          </cell>
          <cell r="AF53">
            <v>0</v>
          </cell>
          <cell r="AG53">
            <v>0</v>
          </cell>
          <cell r="AH53">
            <v>0</v>
          </cell>
          <cell r="AI53">
            <v>0</v>
          </cell>
          <cell r="AJ53">
            <v>0</v>
          </cell>
          <cell r="AK53">
            <v>0</v>
          </cell>
          <cell r="AL53">
            <v>0</v>
          </cell>
        </row>
        <row r="54">
          <cell r="E54" t="str">
            <v>FEP- 50mm</v>
          </cell>
          <cell r="F54" t="str">
            <v>ｍ</v>
          </cell>
          <cell r="G54">
            <v>0</v>
          </cell>
          <cell r="H54">
            <v>290</v>
          </cell>
          <cell r="I54">
            <v>0</v>
          </cell>
          <cell r="J54">
            <v>290</v>
          </cell>
          <cell r="K54">
            <v>0</v>
          </cell>
          <cell r="L54">
            <v>283</v>
          </cell>
          <cell r="M54">
            <v>0</v>
          </cell>
          <cell r="N54">
            <v>283</v>
          </cell>
          <cell r="O54">
            <v>0</v>
          </cell>
          <cell r="P54">
            <v>283</v>
          </cell>
          <cell r="Q54">
            <v>0</v>
          </cell>
          <cell r="R54">
            <v>290</v>
          </cell>
          <cell r="S54">
            <v>0</v>
          </cell>
          <cell r="T54">
            <v>290</v>
          </cell>
          <cell r="U54">
            <v>0</v>
          </cell>
          <cell r="V54">
            <v>283</v>
          </cell>
          <cell r="W54">
            <v>0</v>
          </cell>
          <cell r="X54">
            <v>290</v>
          </cell>
          <cell r="Y54">
            <v>0</v>
          </cell>
          <cell r="Z54">
            <v>310</v>
          </cell>
          <cell r="AA54">
            <v>0</v>
          </cell>
          <cell r="AB54">
            <v>0</v>
          </cell>
          <cell r="AC54">
            <v>0</v>
          </cell>
          <cell r="AD54">
            <v>0.05</v>
          </cell>
          <cell r="AE54">
            <v>0</v>
          </cell>
          <cell r="AF54">
            <v>0</v>
          </cell>
          <cell r="AG54">
            <v>0</v>
          </cell>
          <cell r="AH54">
            <v>0</v>
          </cell>
          <cell r="AI54">
            <v>0</v>
          </cell>
          <cell r="AJ54">
            <v>0</v>
          </cell>
          <cell r="AK54">
            <v>0</v>
          </cell>
          <cell r="AL54">
            <v>0</v>
          </cell>
        </row>
        <row r="55">
          <cell r="E55" t="str">
            <v>FEP- 65mm</v>
          </cell>
          <cell r="F55" t="str">
            <v>ｍ</v>
          </cell>
          <cell r="G55">
            <v>0</v>
          </cell>
          <cell r="H55">
            <v>356</v>
          </cell>
          <cell r="I55">
            <v>0</v>
          </cell>
          <cell r="J55">
            <v>356</v>
          </cell>
          <cell r="K55">
            <v>0</v>
          </cell>
          <cell r="L55">
            <v>348</v>
          </cell>
          <cell r="M55">
            <v>0</v>
          </cell>
          <cell r="N55">
            <v>348</v>
          </cell>
          <cell r="O55">
            <v>0</v>
          </cell>
          <cell r="P55">
            <v>348</v>
          </cell>
          <cell r="Q55">
            <v>0</v>
          </cell>
          <cell r="R55">
            <v>356</v>
          </cell>
          <cell r="S55">
            <v>0</v>
          </cell>
          <cell r="T55">
            <v>356</v>
          </cell>
          <cell r="U55">
            <v>0</v>
          </cell>
          <cell r="V55">
            <v>348</v>
          </cell>
          <cell r="W55">
            <v>0</v>
          </cell>
          <cell r="X55">
            <v>356</v>
          </cell>
          <cell r="Y55">
            <v>0</v>
          </cell>
          <cell r="Z55">
            <v>380</v>
          </cell>
          <cell r="AA55">
            <v>0</v>
          </cell>
          <cell r="AB55">
            <v>0</v>
          </cell>
          <cell r="AC55">
            <v>0</v>
          </cell>
          <cell r="AD55">
            <v>5.7000000000000002E-2</v>
          </cell>
          <cell r="AE55">
            <v>0</v>
          </cell>
          <cell r="AF55">
            <v>0</v>
          </cell>
          <cell r="AG55">
            <v>0</v>
          </cell>
          <cell r="AH55">
            <v>0</v>
          </cell>
          <cell r="AI55">
            <v>0</v>
          </cell>
          <cell r="AJ55">
            <v>0</v>
          </cell>
          <cell r="AK55">
            <v>0</v>
          </cell>
          <cell r="AL55">
            <v>0</v>
          </cell>
        </row>
        <row r="56">
          <cell r="E56" t="str">
            <v>FEP- 80mm</v>
          </cell>
          <cell r="F56" t="str">
            <v>ｍ</v>
          </cell>
          <cell r="G56">
            <v>0</v>
          </cell>
          <cell r="H56">
            <v>466</v>
          </cell>
          <cell r="I56">
            <v>0</v>
          </cell>
          <cell r="J56">
            <v>466</v>
          </cell>
          <cell r="K56">
            <v>0</v>
          </cell>
          <cell r="L56">
            <v>455</v>
          </cell>
          <cell r="M56">
            <v>0</v>
          </cell>
          <cell r="N56">
            <v>455</v>
          </cell>
          <cell r="O56">
            <v>0</v>
          </cell>
          <cell r="P56">
            <v>455</v>
          </cell>
          <cell r="Q56">
            <v>0</v>
          </cell>
          <cell r="R56">
            <v>466</v>
          </cell>
          <cell r="S56">
            <v>0</v>
          </cell>
          <cell r="T56">
            <v>466</v>
          </cell>
          <cell r="U56">
            <v>0</v>
          </cell>
          <cell r="V56">
            <v>455</v>
          </cell>
          <cell r="W56">
            <v>0</v>
          </cell>
          <cell r="X56">
            <v>466</v>
          </cell>
          <cell r="Y56">
            <v>0</v>
          </cell>
          <cell r="Z56">
            <v>498</v>
          </cell>
          <cell r="AA56">
            <v>0</v>
          </cell>
          <cell r="AB56">
            <v>0</v>
          </cell>
          <cell r="AC56">
            <v>0</v>
          </cell>
          <cell r="AD56">
            <v>6.4000000000000001E-2</v>
          </cell>
          <cell r="AE56">
            <v>0</v>
          </cell>
          <cell r="AF56">
            <v>0</v>
          </cell>
          <cell r="AG56">
            <v>0</v>
          </cell>
          <cell r="AH56">
            <v>0</v>
          </cell>
          <cell r="AI56">
            <v>0</v>
          </cell>
          <cell r="AJ56">
            <v>0</v>
          </cell>
          <cell r="AK56">
            <v>0</v>
          </cell>
          <cell r="AL56">
            <v>0</v>
          </cell>
        </row>
        <row r="57">
          <cell r="E57" t="str">
            <v>FEP-100mm</v>
          </cell>
          <cell r="F57" t="str">
            <v>ｍ</v>
          </cell>
          <cell r="G57">
            <v>0</v>
          </cell>
          <cell r="H57">
            <v>638</v>
          </cell>
          <cell r="I57">
            <v>0</v>
          </cell>
          <cell r="J57">
            <v>638</v>
          </cell>
          <cell r="K57">
            <v>0</v>
          </cell>
          <cell r="L57">
            <v>623</v>
          </cell>
          <cell r="M57">
            <v>0</v>
          </cell>
          <cell r="N57">
            <v>623</v>
          </cell>
          <cell r="O57">
            <v>0</v>
          </cell>
          <cell r="P57">
            <v>623</v>
          </cell>
          <cell r="Q57">
            <v>0</v>
          </cell>
          <cell r="R57">
            <v>638</v>
          </cell>
          <cell r="S57">
            <v>0</v>
          </cell>
          <cell r="T57">
            <v>638</v>
          </cell>
          <cell r="U57">
            <v>0</v>
          </cell>
          <cell r="V57">
            <v>623</v>
          </cell>
          <cell r="W57">
            <v>0</v>
          </cell>
          <cell r="X57">
            <v>638</v>
          </cell>
          <cell r="Y57">
            <v>0</v>
          </cell>
          <cell r="Z57">
            <v>681</v>
          </cell>
          <cell r="AA57">
            <v>0</v>
          </cell>
          <cell r="AB57">
            <v>0</v>
          </cell>
          <cell r="AC57">
            <v>0</v>
          </cell>
          <cell r="AD57">
            <v>8.5999999999999993E-2</v>
          </cell>
          <cell r="AE57">
            <v>0</v>
          </cell>
          <cell r="AF57">
            <v>0</v>
          </cell>
          <cell r="AG57">
            <v>0</v>
          </cell>
          <cell r="AH57">
            <v>0</v>
          </cell>
          <cell r="AI57">
            <v>0</v>
          </cell>
          <cell r="AJ57">
            <v>0</v>
          </cell>
          <cell r="AK57">
            <v>0</v>
          </cell>
          <cell r="AL57">
            <v>0</v>
          </cell>
        </row>
        <row r="58">
          <cell r="E58" t="str">
            <v>FEP-125mm</v>
          </cell>
          <cell r="F58" t="str">
            <v>ｍ</v>
          </cell>
          <cell r="G58">
            <v>0</v>
          </cell>
          <cell r="H58">
            <v>853</v>
          </cell>
          <cell r="I58">
            <v>0</v>
          </cell>
          <cell r="J58">
            <v>853</v>
          </cell>
          <cell r="K58">
            <v>0</v>
          </cell>
          <cell r="L58">
            <v>834</v>
          </cell>
          <cell r="M58">
            <v>0</v>
          </cell>
          <cell r="N58">
            <v>834</v>
          </cell>
          <cell r="O58">
            <v>0</v>
          </cell>
          <cell r="P58">
            <v>834</v>
          </cell>
          <cell r="Q58">
            <v>0</v>
          </cell>
          <cell r="R58">
            <v>853</v>
          </cell>
          <cell r="S58">
            <v>0</v>
          </cell>
          <cell r="T58">
            <v>853</v>
          </cell>
          <cell r="U58">
            <v>0</v>
          </cell>
          <cell r="V58">
            <v>834</v>
          </cell>
          <cell r="W58">
            <v>0</v>
          </cell>
          <cell r="X58">
            <v>853</v>
          </cell>
          <cell r="Y58">
            <v>0</v>
          </cell>
          <cell r="Z58">
            <v>911</v>
          </cell>
          <cell r="AA58">
            <v>0</v>
          </cell>
          <cell r="AB58">
            <v>0</v>
          </cell>
          <cell r="AC58">
            <v>0</v>
          </cell>
          <cell r="AD58">
            <v>9.4E-2</v>
          </cell>
          <cell r="AE58">
            <v>0</v>
          </cell>
          <cell r="AF58">
            <v>0</v>
          </cell>
          <cell r="AG58">
            <v>0</v>
          </cell>
          <cell r="AH58">
            <v>0</v>
          </cell>
          <cell r="AI58">
            <v>0</v>
          </cell>
          <cell r="AJ58">
            <v>0</v>
          </cell>
          <cell r="AK58">
            <v>0</v>
          </cell>
          <cell r="AL58">
            <v>0</v>
          </cell>
        </row>
        <row r="59">
          <cell r="E59" t="str">
            <v>FEP-150mm</v>
          </cell>
          <cell r="F59" t="str">
            <v>ｍ</v>
          </cell>
          <cell r="G59">
            <v>0</v>
          </cell>
          <cell r="H59">
            <v>1080</v>
          </cell>
          <cell r="I59">
            <v>0</v>
          </cell>
          <cell r="J59">
            <v>1080</v>
          </cell>
          <cell r="K59">
            <v>0</v>
          </cell>
          <cell r="L59">
            <v>1050</v>
          </cell>
          <cell r="M59">
            <v>0</v>
          </cell>
          <cell r="N59">
            <v>1050</v>
          </cell>
          <cell r="O59">
            <v>0</v>
          </cell>
          <cell r="P59">
            <v>1050</v>
          </cell>
          <cell r="Q59">
            <v>0</v>
          </cell>
          <cell r="R59">
            <v>1080</v>
          </cell>
          <cell r="S59">
            <v>0</v>
          </cell>
          <cell r="T59">
            <v>1080</v>
          </cell>
          <cell r="U59">
            <v>0</v>
          </cell>
          <cell r="V59">
            <v>1050</v>
          </cell>
          <cell r="W59">
            <v>0</v>
          </cell>
          <cell r="X59">
            <v>1080</v>
          </cell>
          <cell r="Y59">
            <v>0</v>
          </cell>
          <cell r="Z59">
            <v>1150</v>
          </cell>
          <cell r="AA59">
            <v>0</v>
          </cell>
          <cell r="AB59">
            <v>0</v>
          </cell>
          <cell r="AC59">
            <v>0</v>
          </cell>
          <cell r="AD59">
            <v>0.10299999999999999</v>
          </cell>
          <cell r="AE59">
            <v>0</v>
          </cell>
          <cell r="AF59">
            <v>0</v>
          </cell>
          <cell r="AG59">
            <v>0</v>
          </cell>
          <cell r="AH59">
            <v>0</v>
          </cell>
          <cell r="AI59">
            <v>0</v>
          </cell>
          <cell r="AJ59">
            <v>0</v>
          </cell>
          <cell r="AK59">
            <v>0</v>
          </cell>
          <cell r="AL59">
            <v>0</v>
          </cell>
        </row>
        <row r="60">
          <cell r="E60" t="str">
            <v>FEP-200mm</v>
          </cell>
          <cell r="F60" t="str">
            <v>ｍ</v>
          </cell>
          <cell r="G60">
            <v>0</v>
          </cell>
          <cell r="H60">
            <v>1480</v>
          </cell>
          <cell r="I60">
            <v>0</v>
          </cell>
          <cell r="J60">
            <v>1480</v>
          </cell>
          <cell r="K60">
            <v>0</v>
          </cell>
          <cell r="L60">
            <v>1450</v>
          </cell>
          <cell r="M60">
            <v>0</v>
          </cell>
          <cell r="N60">
            <v>1450</v>
          </cell>
          <cell r="O60">
            <v>0</v>
          </cell>
          <cell r="P60">
            <v>1450</v>
          </cell>
          <cell r="Q60">
            <v>0</v>
          </cell>
          <cell r="R60">
            <v>1480</v>
          </cell>
          <cell r="S60">
            <v>0</v>
          </cell>
          <cell r="T60">
            <v>1480</v>
          </cell>
          <cell r="U60">
            <v>0</v>
          </cell>
          <cell r="V60">
            <v>1450</v>
          </cell>
          <cell r="W60">
            <v>0</v>
          </cell>
          <cell r="X60">
            <v>1480</v>
          </cell>
          <cell r="Y60">
            <v>0</v>
          </cell>
          <cell r="Z60">
            <v>1580</v>
          </cell>
          <cell r="AA60">
            <v>0</v>
          </cell>
          <cell r="AB60">
            <v>0</v>
          </cell>
          <cell r="AC60">
            <v>0</v>
          </cell>
          <cell r="AD60">
            <v>0.15</v>
          </cell>
          <cell r="AE60">
            <v>0</v>
          </cell>
          <cell r="AF60">
            <v>0</v>
          </cell>
          <cell r="AG60">
            <v>0</v>
          </cell>
          <cell r="AH60">
            <v>0</v>
          </cell>
          <cell r="AI60">
            <v>0</v>
          </cell>
          <cell r="AJ60">
            <v>0</v>
          </cell>
          <cell r="AK60">
            <v>0</v>
          </cell>
          <cell r="AL60">
            <v>0</v>
          </cell>
        </row>
        <row r="61">
          <cell r="E61" t="str">
            <v>F-FEP- 30mm</v>
          </cell>
          <cell r="F61" t="str">
            <v>ｍ</v>
          </cell>
          <cell r="G61">
            <v>0</v>
          </cell>
          <cell r="H61">
            <v>408</v>
          </cell>
          <cell r="I61">
            <v>0</v>
          </cell>
          <cell r="J61">
            <v>408</v>
          </cell>
          <cell r="K61">
            <v>0</v>
          </cell>
          <cell r="L61">
            <v>402</v>
          </cell>
          <cell r="M61">
            <v>0</v>
          </cell>
          <cell r="N61">
            <v>402</v>
          </cell>
          <cell r="O61">
            <v>0</v>
          </cell>
          <cell r="P61">
            <v>402</v>
          </cell>
          <cell r="Q61">
            <v>0</v>
          </cell>
          <cell r="R61">
            <v>408</v>
          </cell>
          <cell r="S61">
            <v>0</v>
          </cell>
          <cell r="T61">
            <v>408</v>
          </cell>
          <cell r="U61">
            <v>0</v>
          </cell>
          <cell r="V61">
            <v>402</v>
          </cell>
          <cell r="W61">
            <v>0</v>
          </cell>
          <cell r="X61">
            <v>402</v>
          </cell>
          <cell r="Y61">
            <v>0</v>
          </cell>
          <cell r="Z61">
            <v>427</v>
          </cell>
          <cell r="AA61">
            <v>0</v>
          </cell>
          <cell r="AB61">
            <v>0</v>
          </cell>
          <cell r="AC61">
            <v>0</v>
          </cell>
          <cell r="AD61">
            <v>3.6999999999999998E-2</v>
          </cell>
          <cell r="AE61">
            <v>0</v>
          </cell>
          <cell r="AF61">
            <v>0</v>
          </cell>
          <cell r="AG61">
            <v>0</v>
          </cell>
          <cell r="AH61">
            <v>0</v>
          </cell>
          <cell r="AI61">
            <v>0</v>
          </cell>
          <cell r="AJ61">
            <v>0</v>
          </cell>
          <cell r="AK61">
            <v>0</v>
          </cell>
          <cell r="AL61">
            <v>0</v>
          </cell>
        </row>
        <row r="62">
          <cell r="E62" t="str">
            <v>F-FEP- 40mm</v>
          </cell>
          <cell r="F62" t="str">
            <v>ｍ</v>
          </cell>
          <cell r="G62">
            <v>0</v>
          </cell>
          <cell r="H62">
            <v>448</v>
          </cell>
          <cell r="I62">
            <v>0</v>
          </cell>
          <cell r="J62">
            <v>448</v>
          </cell>
          <cell r="K62">
            <v>0</v>
          </cell>
          <cell r="L62">
            <v>442</v>
          </cell>
          <cell r="M62">
            <v>0</v>
          </cell>
          <cell r="N62">
            <v>442</v>
          </cell>
          <cell r="O62">
            <v>0</v>
          </cell>
          <cell r="P62">
            <v>442</v>
          </cell>
          <cell r="Q62">
            <v>0</v>
          </cell>
          <cell r="R62">
            <v>448</v>
          </cell>
          <cell r="S62">
            <v>0</v>
          </cell>
          <cell r="T62">
            <v>448</v>
          </cell>
          <cell r="U62">
            <v>0</v>
          </cell>
          <cell r="V62">
            <v>442</v>
          </cell>
          <cell r="W62">
            <v>0</v>
          </cell>
          <cell r="X62">
            <v>442</v>
          </cell>
          <cell r="Y62">
            <v>0</v>
          </cell>
          <cell r="Z62">
            <v>469</v>
          </cell>
          <cell r="AA62">
            <v>0</v>
          </cell>
          <cell r="AB62">
            <v>0</v>
          </cell>
          <cell r="AC62">
            <v>0</v>
          </cell>
          <cell r="AD62">
            <v>4.3999999999999997E-2</v>
          </cell>
          <cell r="AE62">
            <v>0</v>
          </cell>
          <cell r="AF62">
            <v>0</v>
          </cell>
          <cell r="AG62">
            <v>0</v>
          </cell>
          <cell r="AH62">
            <v>0</v>
          </cell>
          <cell r="AI62">
            <v>0</v>
          </cell>
          <cell r="AJ62">
            <v>0</v>
          </cell>
          <cell r="AK62">
            <v>0</v>
          </cell>
          <cell r="AL62">
            <v>0</v>
          </cell>
        </row>
        <row r="63">
          <cell r="E63" t="str">
            <v>F-FEP- 50mm</v>
          </cell>
          <cell r="F63" t="str">
            <v>ｍ</v>
          </cell>
          <cell r="G63">
            <v>0</v>
          </cell>
          <cell r="H63">
            <v>529</v>
          </cell>
          <cell r="I63">
            <v>0</v>
          </cell>
          <cell r="J63">
            <v>529</v>
          </cell>
          <cell r="K63">
            <v>0</v>
          </cell>
          <cell r="L63">
            <v>521</v>
          </cell>
          <cell r="M63">
            <v>0</v>
          </cell>
          <cell r="N63">
            <v>521</v>
          </cell>
          <cell r="O63">
            <v>0</v>
          </cell>
          <cell r="P63">
            <v>521</v>
          </cell>
          <cell r="Q63">
            <v>0</v>
          </cell>
          <cell r="R63">
            <v>529</v>
          </cell>
          <cell r="S63">
            <v>0</v>
          </cell>
          <cell r="T63">
            <v>529</v>
          </cell>
          <cell r="U63">
            <v>0</v>
          </cell>
          <cell r="V63">
            <v>521</v>
          </cell>
          <cell r="W63">
            <v>0</v>
          </cell>
          <cell r="X63">
            <v>521</v>
          </cell>
          <cell r="Y63">
            <v>0</v>
          </cell>
          <cell r="Z63">
            <v>553</v>
          </cell>
          <cell r="AA63">
            <v>0</v>
          </cell>
          <cell r="AB63">
            <v>0</v>
          </cell>
          <cell r="AC63">
            <v>0</v>
          </cell>
          <cell r="AD63">
            <v>0.05</v>
          </cell>
          <cell r="AE63">
            <v>0</v>
          </cell>
          <cell r="AF63">
            <v>0</v>
          </cell>
          <cell r="AG63">
            <v>0</v>
          </cell>
          <cell r="AH63">
            <v>0</v>
          </cell>
          <cell r="AI63">
            <v>0</v>
          </cell>
          <cell r="AJ63">
            <v>0</v>
          </cell>
          <cell r="AK63">
            <v>0</v>
          </cell>
          <cell r="AL63">
            <v>0</v>
          </cell>
        </row>
        <row r="64">
          <cell r="E64" t="str">
            <v>F-FEP- 65mm</v>
          </cell>
          <cell r="F64" t="str">
            <v>ｍ</v>
          </cell>
          <cell r="G64">
            <v>0</v>
          </cell>
          <cell r="H64">
            <v>649</v>
          </cell>
          <cell r="I64">
            <v>0</v>
          </cell>
          <cell r="J64">
            <v>649</v>
          </cell>
          <cell r="K64">
            <v>0</v>
          </cell>
          <cell r="L64">
            <v>640</v>
          </cell>
          <cell r="M64">
            <v>0</v>
          </cell>
          <cell r="N64">
            <v>640</v>
          </cell>
          <cell r="O64">
            <v>0</v>
          </cell>
          <cell r="P64">
            <v>640</v>
          </cell>
          <cell r="Q64">
            <v>0</v>
          </cell>
          <cell r="R64">
            <v>649</v>
          </cell>
          <cell r="S64">
            <v>0</v>
          </cell>
          <cell r="T64">
            <v>649</v>
          </cell>
          <cell r="U64">
            <v>0</v>
          </cell>
          <cell r="V64">
            <v>640</v>
          </cell>
          <cell r="W64">
            <v>0</v>
          </cell>
          <cell r="X64">
            <v>640</v>
          </cell>
          <cell r="Y64">
            <v>0</v>
          </cell>
          <cell r="Z64">
            <v>679</v>
          </cell>
          <cell r="AA64">
            <v>0</v>
          </cell>
          <cell r="AB64">
            <v>0</v>
          </cell>
          <cell r="AC64">
            <v>0</v>
          </cell>
          <cell r="AD64">
            <v>5.7000000000000002E-2</v>
          </cell>
          <cell r="AE64">
            <v>0</v>
          </cell>
          <cell r="AF64">
            <v>0</v>
          </cell>
          <cell r="AG64">
            <v>0</v>
          </cell>
          <cell r="AH64">
            <v>0</v>
          </cell>
          <cell r="AI64">
            <v>0</v>
          </cell>
          <cell r="AJ64">
            <v>0</v>
          </cell>
          <cell r="AK64">
            <v>0</v>
          </cell>
          <cell r="AL64">
            <v>0</v>
          </cell>
        </row>
        <row r="65">
          <cell r="E65" t="str">
            <v>F-FEP- 80mm</v>
          </cell>
          <cell r="F65" t="str">
            <v>ｍ</v>
          </cell>
          <cell r="G65">
            <v>0</v>
          </cell>
          <cell r="H65">
            <v>850</v>
          </cell>
          <cell r="I65">
            <v>0</v>
          </cell>
          <cell r="J65">
            <v>850</v>
          </cell>
          <cell r="K65">
            <v>0</v>
          </cell>
          <cell r="L65">
            <v>838</v>
          </cell>
          <cell r="M65">
            <v>0</v>
          </cell>
          <cell r="N65">
            <v>838</v>
          </cell>
          <cell r="O65">
            <v>0</v>
          </cell>
          <cell r="P65">
            <v>838</v>
          </cell>
          <cell r="Q65">
            <v>0</v>
          </cell>
          <cell r="R65">
            <v>850</v>
          </cell>
          <cell r="S65">
            <v>0</v>
          </cell>
          <cell r="T65">
            <v>850</v>
          </cell>
          <cell r="U65">
            <v>0</v>
          </cell>
          <cell r="V65">
            <v>838</v>
          </cell>
          <cell r="W65">
            <v>0</v>
          </cell>
          <cell r="X65">
            <v>838</v>
          </cell>
          <cell r="Y65">
            <v>0</v>
          </cell>
          <cell r="Z65">
            <v>889</v>
          </cell>
          <cell r="AA65">
            <v>0</v>
          </cell>
          <cell r="AB65">
            <v>0</v>
          </cell>
          <cell r="AC65">
            <v>0</v>
          </cell>
          <cell r="AD65">
            <v>6.4000000000000001E-2</v>
          </cell>
          <cell r="AE65">
            <v>0</v>
          </cell>
          <cell r="AF65">
            <v>0</v>
          </cell>
          <cell r="AG65">
            <v>0</v>
          </cell>
          <cell r="AH65">
            <v>0</v>
          </cell>
          <cell r="AI65">
            <v>0</v>
          </cell>
          <cell r="AJ65">
            <v>0</v>
          </cell>
          <cell r="AK65">
            <v>0</v>
          </cell>
          <cell r="AL65">
            <v>0</v>
          </cell>
        </row>
        <row r="66">
          <cell r="E66" t="str">
            <v>F-FEP-100mm</v>
          </cell>
          <cell r="F66" t="str">
            <v>ｍ</v>
          </cell>
          <cell r="G66">
            <v>0</v>
          </cell>
          <cell r="H66">
            <v>1160</v>
          </cell>
          <cell r="I66">
            <v>0</v>
          </cell>
          <cell r="J66">
            <v>1160</v>
          </cell>
          <cell r="K66">
            <v>0</v>
          </cell>
          <cell r="L66">
            <v>1140</v>
          </cell>
          <cell r="M66">
            <v>0</v>
          </cell>
          <cell r="N66">
            <v>1140</v>
          </cell>
          <cell r="O66">
            <v>0</v>
          </cell>
          <cell r="P66">
            <v>1140</v>
          </cell>
          <cell r="Q66">
            <v>0</v>
          </cell>
          <cell r="R66">
            <v>1160</v>
          </cell>
          <cell r="S66">
            <v>0</v>
          </cell>
          <cell r="T66">
            <v>1160</v>
          </cell>
          <cell r="U66">
            <v>0</v>
          </cell>
          <cell r="V66">
            <v>1140</v>
          </cell>
          <cell r="W66">
            <v>0</v>
          </cell>
          <cell r="X66">
            <v>1140</v>
          </cell>
          <cell r="Y66">
            <v>0</v>
          </cell>
          <cell r="Z66">
            <v>1210</v>
          </cell>
          <cell r="AA66">
            <v>0</v>
          </cell>
          <cell r="AB66">
            <v>0</v>
          </cell>
          <cell r="AC66">
            <v>0</v>
          </cell>
          <cell r="AD66">
            <v>8.5999999999999993E-2</v>
          </cell>
          <cell r="AE66">
            <v>0</v>
          </cell>
          <cell r="AF66">
            <v>0</v>
          </cell>
          <cell r="AG66">
            <v>0</v>
          </cell>
          <cell r="AH66">
            <v>0</v>
          </cell>
          <cell r="AI66">
            <v>0</v>
          </cell>
          <cell r="AJ66">
            <v>0</v>
          </cell>
          <cell r="AK66">
            <v>0</v>
          </cell>
          <cell r="AL66">
            <v>0</v>
          </cell>
        </row>
        <row r="67">
          <cell r="E67" t="str">
            <v>F-FEP-125mm</v>
          </cell>
          <cell r="F67" t="str">
            <v>ｍ</v>
          </cell>
          <cell r="G67">
            <v>0</v>
          </cell>
          <cell r="H67">
            <v>1560</v>
          </cell>
          <cell r="I67">
            <v>0</v>
          </cell>
          <cell r="J67">
            <v>1560</v>
          </cell>
          <cell r="K67">
            <v>0</v>
          </cell>
          <cell r="L67">
            <v>1530</v>
          </cell>
          <cell r="M67">
            <v>0</v>
          </cell>
          <cell r="N67">
            <v>1530</v>
          </cell>
          <cell r="O67">
            <v>0</v>
          </cell>
          <cell r="P67">
            <v>1530</v>
          </cell>
          <cell r="Q67">
            <v>0</v>
          </cell>
          <cell r="R67">
            <v>1560</v>
          </cell>
          <cell r="S67">
            <v>0</v>
          </cell>
          <cell r="T67">
            <v>1560</v>
          </cell>
          <cell r="U67">
            <v>0</v>
          </cell>
          <cell r="V67">
            <v>1530</v>
          </cell>
          <cell r="W67">
            <v>0</v>
          </cell>
          <cell r="X67">
            <v>1530</v>
          </cell>
          <cell r="Y67">
            <v>0</v>
          </cell>
          <cell r="Z67">
            <v>1630</v>
          </cell>
          <cell r="AA67">
            <v>0</v>
          </cell>
          <cell r="AB67">
            <v>0</v>
          </cell>
          <cell r="AC67">
            <v>0</v>
          </cell>
          <cell r="AD67">
            <v>9.4E-2</v>
          </cell>
          <cell r="AE67">
            <v>0</v>
          </cell>
          <cell r="AF67">
            <v>0</v>
          </cell>
          <cell r="AG67">
            <v>0</v>
          </cell>
          <cell r="AH67">
            <v>0</v>
          </cell>
          <cell r="AI67">
            <v>0</v>
          </cell>
          <cell r="AJ67">
            <v>0</v>
          </cell>
          <cell r="AK67">
            <v>0</v>
          </cell>
          <cell r="AL67">
            <v>0</v>
          </cell>
        </row>
        <row r="68">
          <cell r="E68" t="str">
            <v>F-FEP-150mm</v>
          </cell>
          <cell r="F68" t="str">
            <v>ｍ</v>
          </cell>
          <cell r="G68">
            <v>0</v>
          </cell>
          <cell r="H68">
            <v>1970</v>
          </cell>
          <cell r="I68">
            <v>0</v>
          </cell>
          <cell r="J68">
            <v>1970</v>
          </cell>
          <cell r="K68">
            <v>0</v>
          </cell>
          <cell r="L68">
            <v>1940</v>
          </cell>
          <cell r="M68">
            <v>0</v>
          </cell>
          <cell r="N68">
            <v>1940</v>
          </cell>
          <cell r="O68">
            <v>0</v>
          </cell>
          <cell r="P68">
            <v>1940</v>
          </cell>
          <cell r="Q68">
            <v>0</v>
          </cell>
          <cell r="R68">
            <v>1970</v>
          </cell>
          <cell r="S68">
            <v>0</v>
          </cell>
          <cell r="T68">
            <v>1970</v>
          </cell>
          <cell r="U68">
            <v>0</v>
          </cell>
          <cell r="V68">
            <v>1940</v>
          </cell>
          <cell r="W68">
            <v>0</v>
          </cell>
          <cell r="X68">
            <v>1940</v>
          </cell>
          <cell r="Y68">
            <v>0</v>
          </cell>
          <cell r="Z68">
            <v>2060</v>
          </cell>
          <cell r="AA68">
            <v>0</v>
          </cell>
          <cell r="AB68">
            <v>0</v>
          </cell>
          <cell r="AC68">
            <v>0</v>
          </cell>
          <cell r="AD68">
            <v>0.10299999999999999</v>
          </cell>
          <cell r="AE68">
            <v>0</v>
          </cell>
          <cell r="AF68">
            <v>0</v>
          </cell>
          <cell r="AG68">
            <v>0</v>
          </cell>
          <cell r="AH68">
            <v>0</v>
          </cell>
          <cell r="AI68">
            <v>0</v>
          </cell>
          <cell r="AJ68">
            <v>0</v>
          </cell>
          <cell r="AK68">
            <v>0</v>
          </cell>
          <cell r="AL68">
            <v>0</v>
          </cell>
        </row>
        <row r="69">
          <cell r="E69" t="str">
            <v>F-FEP-200mm</v>
          </cell>
          <cell r="F69" t="str">
            <v>ｍ</v>
          </cell>
          <cell r="G69">
            <v>0</v>
          </cell>
          <cell r="H69">
            <v>2720</v>
          </cell>
          <cell r="I69">
            <v>0</v>
          </cell>
          <cell r="J69">
            <v>2720</v>
          </cell>
          <cell r="K69">
            <v>0</v>
          </cell>
          <cell r="L69">
            <v>2670</v>
          </cell>
          <cell r="M69">
            <v>0</v>
          </cell>
          <cell r="N69">
            <v>2670</v>
          </cell>
          <cell r="O69">
            <v>0</v>
          </cell>
          <cell r="P69">
            <v>2670</v>
          </cell>
          <cell r="Q69">
            <v>0</v>
          </cell>
          <cell r="R69">
            <v>2720</v>
          </cell>
          <cell r="S69">
            <v>0</v>
          </cell>
          <cell r="T69">
            <v>2720</v>
          </cell>
          <cell r="U69">
            <v>0</v>
          </cell>
          <cell r="V69">
            <v>2670</v>
          </cell>
          <cell r="W69">
            <v>0</v>
          </cell>
          <cell r="X69">
            <v>2670</v>
          </cell>
          <cell r="Y69">
            <v>0</v>
          </cell>
          <cell r="Z69">
            <v>2840</v>
          </cell>
          <cell r="AA69">
            <v>0</v>
          </cell>
          <cell r="AB69">
            <v>0</v>
          </cell>
          <cell r="AC69">
            <v>0</v>
          </cell>
          <cell r="AD69">
            <v>0.15</v>
          </cell>
          <cell r="AE69">
            <v>0</v>
          </cell>
          <cell r="AF69">
            <v>0</v>
          </cell>
          <cell r="AG69">
            <v>0</v>
          </cell>
          <cell r="AH69">
            <v>0</v>
          </cell>
          <cell r="AI69">
            <v>0</v>
          </cell>
          <cell r="AJ69">
            <v>0</v>
          </cell>
          <cell r="AK69">
            <v>0</v>
          </cell>
          <cell r="AL69">
            <v>0</v>
          </cell>
        </row>
        <row r="70">
          <cell r="E70" t="str">
            <v>SGP- 15A</v>
          </cell>
          <cell r="F70" t="str">
            <v>ｍ</v>
          </cell>
          <cell r="G70">
            <v>1170</v>
          </cell>
          <cell r="H70">
            <v>212</v>
          </cell>
          <cell r="I70">
            <v>1170</v>
          </cell>
          <cell r="J70">
            <v>212</v>
          </cell>
          <cell r="K70">
            <v>1230</v>
          </cell>
          <cell r="L70">
            <v>223</v>
          </cell>
          <cell r="M70">
            <v>1130</v>
          </cell>
          <cell r="N70">
            <v>205</v>
          </cell>
          <cell r="O70">
            <v>1230</v>
          </cell>
          <cell r="P70">
            <v>223</v>
          </cell>
          <cell r="Q70">
            <v>1170</v>
          </cell>
          <cell r="R70">
            <v>212</v>
          </cell>
          <cell r="S70">
            <v>1170</v>
          </cell>
          <cell r="T70">
            <v>212</v>
          </cell>
          <cell r="U70">
            <v>1170</v>
          </cell>
          <cell r="V70">
            <v>212</v>
          </cell>
          <cell r="W70">
            <v>1170</v>
          </cell>
          <cell r="X70">
            <v>212</v>
          </cell>
          <cell r="Y70">
            <v>1370</v>
          </cell>
          <cell r="Z70">
            <v>249</v>
          </cell>
          <cell r="AA70">
            <v>0</v>
          </cell>
          <cell r="AB70">
            <v>0</v>
          </cell>
          <cell r="AC70">
            <v>0</v>
          </cell>
          <cell r="AD70">
            <v>0.05</v>
          </cell>
          <cell r="AE70">
            <v>0</v>
          </cell>
          <cell r="AF70">
            <v>0</v>
          </cell>
          <cell r="AG70">
            <v>0</v>
          </cell>
          <cell r="AH70">
            <v>0</v>
          </cell>
          <cell r="AI70">
            <v>0</v>
          </cell>
          <cell r="AJ70">
            <v>0</v>
          </cell>
          <cell r="AK70">
            <v>0</v>
          </cell>
          <cell r="AL70" t="str">
            <v>１本=5.50m</v>
          </cell>
        </row>
        <row r="71">
          <cell r="E71" t="str">
            <v>SGP- 20A</v>
          </cell>
          <cell r="F71" t="str">
            <v>ｍ</v>
          </cell>
          <cell r="G71">
            <v>1430</v>
          </cell>
          <cell r="H71">
            <v>260</v>
          </cell>
          <cell r="I71">
            <v>1430</v>
          </cell>
          <cell r="J71">
            <v>260</v>
          </cell>
          <cell r="K71">
            <v>1500</v>
          </cell>
          <cell r="L71">
            <v>272</v>
          </cell>
          <cell r="M71">
            <v>1380</v>
          </cell>
          <cell r="N71">
            <v>250</v>
          </cell>
          <cell r="O71">
            <v>1500</v>
          </cell>
          <cell r="P71">
            <v>272</v>
          </cell>
          <cell r="Q71">
            <v>1430</v>
          </cell>
          <cell r="R71">
            <v>260</v>
          </cell>
          <cell r="S71">
            <v>1430</v>
          </cell>
          <cell r="T71">
            <v>260</v>
          </cell>
          <cell r="U71">
            <v>1430</v>
          </cell>
          <cell r="V71">
            <v>260</v>
          </cell>
          <cell r="W71">
            <v>1430</v>
          </cell>
          <cell r="X71">
            <v>260</v>
          </cell>
          <cell r="Y71">
            <v>1680</v>
          </cell>
          <cell r="Z71">
            <v>305</v>
          </cell>
          <cell r="AA71">
            <v>0</v>
          </cell>
          <cell r="AB71">
            <v>0</v>
          </cell>
          <cell r="AC71">
            <v>0</v>
          </cell>
          <cell r="AD71">
            <v>6.7000000000000004E-2</v>
          </cell>
          <cell r="AE71">
            <v>0</v>
          </cell>
          <cell r="AF71">
            <v>0</v>
          </cell>
          <cell r="AG71">
            <v>0</v>
          </cell>
          <cell r="AH71">
            <v>0</v>
          </cell>
          <cell r="AI71">
            <v>0</v>
          </cell>
          <cell r="AJ71">
            <v>0</v>
          </cell>
          <cell r="AK71">
            <v>0</v>
          </cell>
          <cell r="AL71" t="str">
            <v xml:space="preserve">     ↓</v>
          </cell>
        </row>
        <row r="72">
          <cell r="E72" t="str">
            <v>SGP- 25A</v>
          </cell>
          <cell r="F72" t="str">
            <v>ｍ</v>
          </cell>
          <cell r="G72">
            <v>2020</v>
          </cell>
          <cell r="H72">
            <v>367</v>
          </cell>
          <cell r="I72">
            <v>2020</v>
          </cell>
          <cell r="J72">
            <v>367</v>
          </cell>
          <cell r="K72">
            <v>2110</v>
          </cell>
          <cell r="L72">
            <v>383</v>
          </cell>
          <cell r="M72">
            <v>1950</v>
          </cell>
          <cell r="N72">
            <v>354</v>
          </cell>
          <cell r="O72">
            <v>2110</v>
          </cell>
          <cell r="P72">
            <v>383</v>
          </cell>
          <cell r="Q72">
            <v>2020</v>
          </cell>
          <cell r="R72">
            <v>367</v>
          </cell>
          <cell r="S72">
            <v>2020</v>
          </cell>
          <cell r="T72">
            <v>367</v>
          </cell>
          <cell r="U72">
            <v>2020</v>
          </cell>
          <cell r="V72">
            <v>367</v>
          </cell>
          <cell r="W72">
            <v>2020</v>
          </cell>
          <cell r="X72">
            <v>367</v>
          </cell>
          <cell r="Y72">
            <v>2370</v>
          </cell>
          <cell r="Z72">
            <v>430</v>
          </cell>
          <cell r="AA72">
            <v>0</v>
          </cell>
          <cell r="AB72">
            <v>0</v>
          </cell>
          <cell r="AC72">
            <v>0</v>
          </cell>
          <cell r="AD72">
            <v>0.1</v>
          </cell>
          <cell r="AE72">
            <v>0</v>
          </cell>
          <cell r="AF72">
            <v>0</v>
          </cell>
          <cell r="AG72">
            <v>0</v>
          </cell>
          <cell r="AH72">
            <v>0</v>
          </cell>
          <cell r="AI72">
            <v>0</v>
          </cell>
          <cell r="AJ72">
            <v>0</v>
          </cell>
          <cell r="AK72">
            <v>0</v>
          </cell>
          <cell r="AL72" t="str">
            <v xml:space="preserve">     ↓</v>
          </cell>
        </row>
        <row r="73">
          <cell r="E73" t="str">
            <v>SGP- 32A</v>
          </cell>
          <cell r="F73" t="str">
            <v>ｍ</v>
          </cell>
          <cell r="G73">
            <v>2660</v>
          </cell>
          <cell r="H73">
            <v>483</v>
          </cell>
          <cell r="I73">
            <v>2660</v>
          </cell>
          <cell r="J73">
            <v>483</v>
          </cell>
          <cell r="K73">
            <v>2810</v>
          </cell>
          <cell r="L73">
            <v>510</v>
          </cell>
          <cell r="M73">
            <v>2570</v>
          </cell>
          <cell r="N73">
            <v>467</v>
          </cell>
          <cell r="O73">
            <v>2810</v>
          </cell>
          <cell r="P73">
            <v>510</v>
          </cell>
          <cell r="Q73">
            <v>2660</v>
          </cell>
          <cell r="R73">
            <v>483</v>
          </cell>
          <cell r="S73">
            <v>2660</v>
          </cell>
          <cell r="T73">
            <v>483</v>
          </cell>
          <cell r="U73">
            <v>2660</v>
          </cell>
          <cell r="V73">
            <v>483</v>
          </cell>
          <cell r="W73">
            <v>2660</v>
          </cell>
          <cell r="X73">
            <v>483</v>
          </cell>
          <cell r="Y73">
            <v>3120</v>
          </cell>
          <cell r="Z73">
            <v>567</v>
          </cell>
          <cell r="AA73">
            <v>0</v>
          </cell>
          <cell r="AB73">
            <v>0</v>
          </cell>
          <cell r="AC73">
            <v>0</v>
          </cell>
          <cell r="AD73">
            <v>0.124</v>
          </cell>
          <cell r="AE73">
            <v>0</v>
          </cell>
          <cell r="AF73">
            <v>0</v>
          </cell>
          <cell r="AG73">
            <v>0</v>
          </cell>
          <cell r="AH73">
            <v>0</v>
          </cell>
          <cell r="AI73">
            <v>0</v>
          </cell>
          <cell r="AJ73">
            <v>0</v>
          </cell>
          <cell r="AK73">
            <v>0</v>
          </cell>
          <cell r="AL73" t="str">
            <v xml:space="preserve">     ↓</v>
          </cell>
        </row>
        <row r="74">
          <cell r="E74" t="str">
            <v>SGP- 40A</v>
          </cell>
          <cell r="F74" t="str">
            <v>ｍ</v>
          </cell>
          <cell r="G74">
            <v>3060</v>
          </cell>
          <cell r="H74">
            <v>556</v>
          </cell>
          <cell r="I74">
            <v>3060</v>
          </cell>
          <cell r="J74">
            <v>556</v>
          </cell>
          <cell r="K74">
            <v>3220</v>
          </cell>
          <cell r="L74">
            <v>585</v>
          </cell>
          <cell r="M74">
            <v>2950</v>
          </cell>
          <cell r="N74">
            <v>536</v>
          </cell>
          <cell r="O74">
            <v>3220</v>
          </cell>
          <cell r="P74">
            <v>585</v>
          </cell>
          <cell r="Q74">
            <v>3060</v>
          </cell>
          <cell r="R74">
            <v>556</v>
          </cell>
          <cell r="S74">
            <v>3060</v>
          </cell>
          <cell r="T74">
            <v>556</v>
          </cell>
          <cell r="U74">
            <v>3060</v>
          </cell>
          <cell r="V74">
            <v>556</v>
          </cell>
          <cell r="W74">
            <v>3060</v>
          </cell>
          <cell r="X74">
            <v>556</v>
          </cell>
          <cell r="Y74">
            <v>3590</v>
          </cell>
          <cell r="Z74">
            <v>652</v>
          </cell>
          <cell r="AA74">
            <v>0</v>
          </cell>
          <cell r="AB74">
            <v>0</v>
          </cell>
          <cell r="AC74">
            <v>0</v>
          </cell>
          <cell r="AD74">
            <v>0.13700000000000001</v>
          </cell>
          <cell r="AE74">
            <v>0</v>
          </cell>
          <cell r="AF74">
            <v>0</v>
          </cell>
          <cell r="AG74">
            <v>0</v>
          </cell>
          <cell r="AH74">
            <v>0</v>
          </cell>
          <cell r="AI74">
            <v>0</v>
          </cell>
          <cell r="AJ74">
            <v>0</v>
          </cell>
          <cell r="AK74">
            <v>0</v>
          </cell>
          <cell r="AL74" t="str">
            <v xml:space="preserve">     ↓</v>
          </cell>
        </row>
        <row r="75">
          <cell r="E75" t="str">
            <v>SGP- 50A</v>
          </cell>
          <cell r="F75" t="str">
            <v>ｍ</v>
          </cell>
          <cell r="G75">
            <v>4170</v>
          </cell>
          <cell r="H75">
            <v>758</v>
          </cell>
          <cell r="I75">
            <v>4170</v>
          </cell>
          <cell r="J75">
            <v>758</v>
          </cell>
          <cell r="K75">
            <v>4410</v>
          </cell>
          <cell r="L75">
            <v>801</v>
          </cell>
          <cell r="M75">
            <v>4030</v>
          </cell>
          <cell r="N75">
            <v>732</v>
          </cell>
          <cell r="O75">
            <v>4410</v>
          </cell>
          <cell r="P75">
            <v>801</v>
          </cell>
          <cell r="Q75">
            <v>4170</v>
          </cell>
          <cell r="R75">
            <v>758</v>
          </cell>
          <cell r="S75">
            <v>4170</v>
          </cell>
          <cell r="T75">
            <v>758</v>
          </cell>
          <cell r="U75">
            <v>4170</v>
          </cell>
          <cell r="V75">
            <v>758</v>
          </cell>
          <cell r="W75">
            <v>4170</v>
          </cell>
          <cell r="X75">
            <v>758</v>
          </cell>
          <cell r="Y75">
            <v>4890</v>
          </cell>
          <cell r="Z75">
            <v>889</v>
          </cell>
          <cell r="AA75">
            <v>0</v>
          </cell>
          <cell r="AB75">
            <v>0</v>
          </cell>
          <cell r="AC75">
            <v>0</v>
          </cell>
          <cell r="AD75">
            <v>0.161</v>
          </cell>
          <cell r="AE75">
            <v>0</v>
          </cell>
          <cell r="AF75">
            <v>0</v>
          </cell>
          <cell r="AG75">
            <v>0</v>
          </cell>
          <cell r="AH75">
            <v>0</v>
          </cell>
          <cell r="AI75">
            <v>0</v>
          </cell>
          <cell r="AJ75">
            <v>0</v>
          </cell>
          <cell r="AK75">
            <v>0</v>
          </cell>
          <cell r="AL75" t="str">
            <v xml:space="preserve">     ↓</v>
          </cell>
        </row>
        <row r="76">
          <cell r="E76" t="str">
            <v>SGP- 65A</v>
          </cell>
          <cell r="F76" t="str">
            <v>ｍ</v>
          </cell>
          <cell r="G76">
            <v>5860</v>
          </cell>
          <cell r="H76">
            <v>1065</v>
          </cell>
          <cell r="I76">
            <v>5860</v>
          </cell>
          <cell r="J76">
            <v>1065</v>
          </cell>
          <cell r="K76">
            <v>6310</v>
          </cell>
          <cell r="L76">
            <v>1147</v>
          </cell>
          <cell r="M76">
            <v>5660</v>
          </cell>
          <cell r="N76">
            <v>1029</v>
          </cell>
          <cell r="O76">
            <v>6310</v>
          </cell>
          <cell r="P76">
            <v>1147</v>
          </cell>
          <cell r="Q76">
            <v>5860</v>
          </cell>
          <cell r="R76">
            <v>1065</v>
          </cell>
          <cell r="S76">
            <v>5860</v>
          </cell>
          <cell r="T76">
            <v>1065</v>
          </cell>
          <cell r="U76">
            <v>5860</v>
          </cell>
          <cell r="V76">
            <v>1065</v>
          </cell>
          <cell r="W76">
            <v>5860</v>
          </cell>
          <cell r="X76">
            <v>1065</v>
          </cell>
          <cell r="Y76">
            <v>6880</v>
          </cell>
          <cell r="Z76">
            <v>1250</v>
          </cell>
          <cell r="AA76">
            <v>0</v>
          </cell>
          <cell r="AB76">
            <v>0</v>
          </cell>
          <cell r="AC76">
            <v>0</v>
          </cell>
          <cell r="AD76">
            <v>0.19900000000000001</v>
          </cell>
          <cell r="AE76">
            <v>0</v>
          </cell>
          <cell r="AF76">
            <v>0</v>
          </cell>
          <cell r="AG76">
            <v>0</v>
          </cell>
          <cell r="AH76">
            <v>0</v>
          </cell>
          <cell r="AI76">
            <v>0</v>
          </cell>
          <cell r="AJ76">
            <v>0</v>
          </cell>
          <cell r="AK76">
            <v>0</v>
          </cell>
          <cell r="AL76" t="str">
            <v xml:space="preserve">     ↓</v>
          </cell>
        </row>
        <row r="77">
          <cell r="E77" t="str">
            <v>SGP- 80A</v>
          </cell>
          <cell r="F77" t="str">
            <v>ｍ</v>
          </cell>
          <cell r="G77">
            <v>6900</v>
          </cell>
          <cell r="H77">
            <v>1254</v>
          </cell>
          <cell r="I77">
            <v>6900</v>
          </cell>
          <cell r="J77">
            <v>1254</v>
          </cell>
          <cell r="K77">
            <v>7560</v>
          </cell>
          <cell r="L77">
            <v>1374</v>
          </cell>
          <cell r="M77">
            <v>6660</v>
          </cell>
          <cell r="N77">
            <v>1210</v>
          </cell>
          <cell r="O77">
            <v>7560</v>
          </cell>
          <cell r="P77">
            <v>1374</v>
          </cell>
          <cell r="Q77">
            <v>6900</v>
          </cell>
          <cell r="R77">
            <v>1254</v>
          </cell>
          <cell r="S77">
            <v>6900</v>
          </cell>
          <cell r="T77">
            <v>1254</v>
          </cell>
          <cell r="U77">
            <v>6900</v>
          </cell>
          <cell r="V77">
            <v>1254</v>
          </cell>
          <cell r="W77">
            <v>6900</v>
          </cell>
          <cell r="X77">
            <v>1254</v>
          </cell>
          <cell r="Y77">
            <v>8090</v>
          </cell>
          <cell r="Z77">
            <v>1470</v>
          </cell>
          <cell r="AA77">
            <v>0</v>
          </cell>
          <cell r="AB77">
            <v>0</v>
          </cell>
          <cell r="AC77">
            <v>0</v>
          </cell>
          <cell r="AD77">
            <v>0.26100000000000001</v>
          </cell>
          <cell r="AE77">
            <v>0</v>
          </cell>
          <cell r="AF77">
            <v>0</v>
          </cell>
          <cell r="AG77">
            <v>0</v>
          </cell>
          <cell r="AH77">
            <v>0</v>
          </cell>
          <cell r="AI77">
            <v>0</v>
          </cell>
          <cell r="AJ77">
            <v>0</v>
          </cell>
          <cell r="AK77">
            <v>0</v>
          </cell>
          <cell r="AL77" t="str">
            <v xml:space="preserve">     ↓</v>
          </cell>
        </row>
        <row r="78">
          <cell r="E78" t="str">
            <v>SGP-100A</v>
          </cell>
          <cell r="F78" t="str">
            <v>ｍ</v>
          </cell>
          <cell r="G78">
            <v>9570</v>
          </cell>
          <cell r="H78">
            <v>1740</v>
          </cell>
          <cell r="I78">
            <v>9570</v>
          </cell>
          <cell r="J78">
            <v>1740</v>
          </cell>
          <cell r="K78">
            <v>10800</v>
          </cell>
          <cell r="L78">
            <v>1963</v>
          </cell>
          <cell r="M78">
            <v>9240</v>
          </cell>
          <cell r="N78">
            <v>1680</v>
          </cell>
          <cell r="O78">
            <v>10800</v>
          </cell>
          <cell r="P78">
            <v>1963</v>
          </cell>
          <cell r="Q78">
            <v>9570</v>
          </cell>
          <cell r="R78">
            <v>1740</v>
          </cell>
          <cell r="S78">
            <v>9570</v>
          </cell>
          <cell r="T78">
            <v>1740</v>
          </cell>
          <cell r="U78">
            <v>9570</v>
          </cell>
          <cell r="V78">
            <v>1740</v>
          </cell>
          <cell r="W78">
            <v>9570</v>
          </cell>
          <cell r="X78">
            <v>1740</v>
          </cell>
          <cell r="Y78">
            <v>11200</v>
          </cell>
          <cell r="Z78">
            <v>2036</v>
          </cell>
          <cell r="AA78">
            <v>0</v>
          </cell>
          <cell r="AB78">
            <v>0</v>
          </cell>
          <cell r="AC78">
            <v>0</v>
          </cell>
          <cell r="AD78">
            <v>0.34699999999999998</v>
          </cell>
          <cell r="AE78">
            <v>0</v>
          </cell>
          <cell r="AF78">
            <v>0</v>
          </cell>
          <cell r="AG78">
            <v>0</v>
          </cell>
          <cell r="AH78">
            <v>0</v>
          </cell>
          <cell r="AI78">
            <v>0</v>
          </cell>
          <cell r="AJ78">
            <v>0</v>
          </cell>
          <cell r="AK78">
            <v>0</v>
          </cell>
          <cell r="AL78" t="str">
            <v xml:space="preserve">     ↓</v>
          </cell>
        </row>
        <row r="79">
          <cell r="E79" t="str">
            <v>19_Users</v>
          </cell>
          <cell r="F79" t="str">
            <v>ｍ</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E80" t="str">
            <v>19_Users</v>
          </cell>
          <cell r="F80" t="str">
            <v>ｍ</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E81" t="str">
            <v>19_Users</v>
          </cell>
          <cell r="F81" t="str">
            <v>ｍ</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E82" t="str">
            <v>19_Users</v>
          </cell>
          <cell r="F82" t="str">
            <v>ｍ</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E83" t="str">
            <v>19_Users</v>
          </cell>
          <cell r="F83" t="str">
            <v>ｍ</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E84" t="str">
            <v>19_Users</v>
          </cell>
          <cell r="F84" t="str">
            <v>ｍ</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E85" t="str">
            <v>19_Users</v>
          </cell>
          <cell r="F85" t="str">
            <v>ｍ</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E86" t="str">
            <v>19_Users</v>
          </cell>
          <cell r="F86" t="str">
            <v>ｍ</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E87" t="str">
            <v>CD-14mm</v>
          </cell>
          <cell r="F87" t="str">
            <v>ｍ</v>
          </cell>
          <cell r="G87">
            <v>0</v>
          </cell>
          <cell r="H87">
            <v>25</v>
          </cell>
          <cell r="I87">
            <v>0</v>
          </cell>
          <cell r="J87">
            <v>25</v>
          </cell>
          <cell r="K87">
            <v>0</v>
          </cell>
          <cell r="L87">
            <v>25</v>
          </cell>
          <cell r="M87">
            <v>0</v>
          </cell>
          <cell r="N87">
            <v>25</v>
          </cell>
          <cell r="O87">
            <v>0</v>
          </cell>
          <cell r="P87">
            <v>25</v>
          </cell>
          <cell r="Q87">
            <v>0</v>
          </cell>
          <cell r="R87">
            <v>25</v>
          </cell>
          <cell r="S87">
            <v>0</v>
          </cell>
          <cell r="T87">
            <v>25</v>
          </cell>
          <cell r="U87">
            <v>0</v>
          </cell>
          <cell r="V87">
            <v>25</v>
          </cell>
          <cell r="W87">
            <v>0</v>
          </cell>
          <cell r="X87">
            <v>25</v>
          </cell>
          <cell r="Y87">
            <v>0</v>
          </cell>
          <cell r="Z87">
            <v>27</v>
          </cell>
          <cell r="AA87">
            <v>0</v>
          </cell>
          <cell r="AB87">
            <v>0</v>
          </cell>
          <cell r="AC87">
            <v>0</v>
          </cell>
          <cell r="AD87">
            <v>2.9000000000000001E-2</v>
          </cell>
          <cell r="AE87">
            <v>0</v>
          </cell>
          <cell r="AF87">
            <v>0</v>
          </cell>
          <cell r="AG87">
            <v>0</v>
          </cell>
          <cell r="AH87">
            <v>0</v>
          </cell>
          <cell r="AI87">
            <v>0</v>
          </cell>
          <cell r="AJ87">
            <v>0</v>
          </cell>
          <cell r="AK87">
            <v>0</v>
          </cell>
          <cell r="AL87">
            <v>0</v>
          </cell>
        </row>
        <row r="88">
          <cell r="E88" t="str">
            <v>CD-16mm</v>
          </cell>
          <cell r="F88" t="str">
            <v>ｍ</v>
          </cell>
          <cell r="G88">
            <v>0</v>
          </cell>
          <cell r="H88">
            <v>24</v>
          </cell>
          <cell r="I88">
            <v>0</v>
          </cell>
          <cell r="J88">
            <v>24</v>
          </cell>
          <cell r="K88">
            <v>0</v>
          </cell>
          <cell r="L88">
            <v>24</v>
          </cell>
          <cell r="M88">
            <v>0</v>
          </cell>
          <cell r="N88">
            <v>24</v>
          </cell>
          <cell r="O88">
            <v>0</v>
          </cell>
          <cell r="P88">
            <v>24</v>
          </cell>
          <cell r="Q88">
            <v>0</v>
          </cell>
          <cell r="R88">
            <v>24</v>
          </cell>
          <cell r="S88">
            <v>0</v>
          </cell>
          <cell r="T88">
            <v>24</v>
          </cell>
          <cell r="U88">
            <v>0</v>
          </cell>
          <cell r="V88">
            <v>24</v>
          </cell>
          <cell r="W88">
            <v>0</v>
          </cell>
          <cell r="X88">
            <v>24</v>
          </cell>
          <cell r="Y88">
            <v>0</v>
          </cell>
          <cell r="Z88">
            <v>26</v>
          </cell>
          <cell r="AA88">
            <v>0</v>
          </cell>
          <cell r="AB88">
            <v>0</v>
          </cell>
          <cell r="AC88">
            <v>0</v>
          </cell>
          <cell r="AD88">
            <v>3.1E-2</v>
          </cell>
          <cell r="AE88">
            <v>0</v>
          </cell>
          <cell r="AF88">
            <v>0</v>
          </cell>
          <cell r="AG88">
            <v>0</v>
          </cell>
          <cell r="AH88">
            <v>0</v>
          </cell>
          <cell r="AI88">
            <v>0</v>
          </cell>
          <cell r="AJ88">
            <v>0</v>
          </cell>
          <cell r="AK88">
            <v>0</v>
          </cell>
          <cell r="AL88">
            <v>0</v>
          </cell>
        </row>
        <row r="89">
          <cell r="E89" t="str">
            <v>CD-22mm</v>
          </cell>
          <cell r="F89" t="str">
            <v>ｍ</v>
          </cell>
          <cell r="G89">
            <v>0</v>
          </cell>
          <cell r="H89">
            <v>37</v>
          </cell>
          <cell r="I89">
            <v>0</v>
          </cell>
          <cell r="J89">
            <v>37</v>
          </cell>
          <cell r="K89">
            <v>0</v>
          </cell>
          <cell r="L89">
            <v>37</v>
          </cell>
          <cell r="M89">
            <v>0</v>
          </cell>
          <cell r="N89">
            <v>37</v>
          </cell>
          <cell r="O89">
            <v>0</v>
          </cell>
          <cell r="P89">
            <v>37</v>
          </cell>
          <cell r="Q89">
            <v>0</v>
          </cell>
          <cell r="R89">
            <v>37</v>
          </cell>
          <cell r="S89">
            <v>0</v>
          </cell>
          <cell r="T89">
            <v>37</v>
          </cell>
          <cell r="U89">
            <v>0</v>
          </cell>
          <cell r="V89">
            <v>37</v>
          </cell>
          <cell r="W89">
            <v>0</v>
          </cell>
          <cell r="X89">
            <v>37</v>
          </cell>
          <cell r="Y89">
            <v>0</v>
          </cell>
          <cell r="Z89">
            <v>41</v>
          </cell>
          <cell r="AA89">
            <v>0</v>
          </cell>
          <cell r="AB89">
            <v>0</v>
          </cell>
          <cell r="AC89">
            <v>0</v>
          </cell>
          <cell r="AD89">
            <v>4.1000000000000002E-2</v>
          </cell>
          <cell r="AE89">
            <v>0</v>
          </cell>
          <cell r="AF89">
            <v>0</v>
          </cell>
          <cell r="AG89">
            <v>0</v>
          </cell>
          <cell r="AH89">
            <v>0</v>
          </cell>
          <cell r="AI89">
            <v>0</v>
          </cell>
          <cell r="AJ89">
            <v>0</v>
          </cell>
          <cell r="AK89">
            <v>0</v>
          </cell>
          <cell r="AL89">
            <v>0</v>
          </cell>
        </row>
        <row r="90">
          <cell r="E90" t="str">
            <v>CD-28mm</v>
          </cell>
          <cell r="F90" t="str">
            <v>ｍ</v>
          </cell>
          <cell r="G90">
            <v>0</v>
          </cell>
          <cell r="H90">
            <v>53</v>
          </cell>
          <cell r="I90">
            <v>0</v>
          </cell>
          <cell r="J90">
            <v>53</v>
          </cell>
          <cell r="K90">
            <v>0</v>
          </cell>
          <cell r="L90">
            <v>53</v>
          </cell>
          <cell r="M90">
            <v>0</v>
          </cell>
          <cell r="N90">
            <v>53</v>
          </cell>
          <cell r="O90">
            <v>0</v>
          </cell>
          <cell r="P90">
            <v>53</v>
          </cell>
          <cell r="Q90">
            <v>0</v>
          </cell>
          <cell r="R90">
            <v>53</v>
          </cell>
          <cell r="S90">
            <v>0</v>
          </cell>
          <cell r="T90">
            <v>53</v>
          </cell>
          <cell r="U90">
            <v>0</v>
          </cell>
          <cell r="V90">
            <v>53</v>
          </cell>
          <cell r="W90">
            <v>0</v>
          </cell>
          <cell r="X90">
            <v>53</v>
          </cell>
          <cell r="Y90">
            <v>0</v>
          </cell>
          <cell r="Z90">
            <v>58</v>
          </cell>
          <cell r="AA90">
            <v>0</v>
          </cell>
          <cell r="AB90">
            <v>0</v>
          </cell>
          <cell r="AC90">
            <v>0</v>
          </cell>
          <cell r="AD90">
            <v>5.1999999999999998E-2</v>
          </cell>
          <cell r="AE90">
            <v>0</v>
          </cell>
          <cell r="AF90">
            <v>0</v>
          </cell>
          <cell r="AG90">
            <v>0</v>
          </cell>
          <cell r="AH90">
            <v>0</v>
          </cell>
          <cell r="AI90">
            <v>0</v>
          </cell>
          <cell r="AJ90">
            <v>0</v>
          </cell>
          <cell r="AK90">
            <v>0</v>
          </cell>
          <cell r="AL90">
            <v>0</v>
          </cell>
        </row>
        <row r="91">
          <cell r="E91" t="str">
            <v>CD-36mm</v>
          </cell>
          <cell r="F91" t="str">
            <v>ｍ</v>
          </cell>
          <cell r="G91">
            <v>0</v>
          </cell>
          <cell r="H91">
            <v>68</v>
          </cell>
          <cell r="I91">
            <v>0</v>
          </cell>
          <cell r="J91">
            <v>68</v>
          </cell>
          <cell r="K91">
            <v>0</v>
          </cell>
          <cell r="L91">
            <v>68</v>
          </cell>
          <cell r="M91">
            <v>0</v>
          </cell>
          <cell r="N91">
            <v>68</v>
          </cell>
          <cell r="O91">
            <v>0</v>
          </cell>
          <cell r="P91">
            <v>68</v>
          </cell>
          <cell r="Q91">
            <v>0</v>
          </cell>
          <cell r="R91">
            <v>68</v>
          </cell>
          <cell r="S91">
            <v>0</v>
          </cell>
          <cell r="T91">
            <v>68</v>
          </cell>
          <cell r="U91">
            <v>0</v>
          </cell>
          <cell r="V91">
            <v>68</v>
          </cell>
          <cell r="W91">
            <v>0</v>
          </cell>
          <cell r="X91">
            <v>68</v>
          </cell>
          <cell r="Y91">
            <v>0</v>
          </cell>
          <cell r="Z91">
            <v>68</v>
          </cell>
          <cell r="AA91">
            <v>0</v>
          </cell>
          <cell r="AB91">
            <v>0</v>
          </cell>
          <cell r="AC91">
            <v>0</v>
          </cell>
          <cell r="AD91">
            <v>6.7000000000000004E-2</v>
          </cell>
          <cell r="AE91">
            <v>0</v>
          </cell>
          <cell r="AF91">
            <v>0</v>
          </cell>
          <cell r="AG91">
            <v>0</v>
          </cell>
          <cell r="AH91">
            <v>0</v>
          </cell>
          <cell r="AI91">
            <v>0</v>
          </cell>
          <cell r="AJ91">
            <v>0</v>
          </cell>
          <cell r="AK91">
            <v>0</v>
          </cell>
          <cell r="AL91">
            <v>0</v>
          </cell>
        </row>
        <row r="92">
          <cell r="E92" t="str">
            <v>CD-42mm</v>
          </cell>
          <cell r="F92" t="str">
            <v>ｍ</v>
          </cell>
          <cell r="G92">
            <v>0</v>
          </cell>
          <cell r="H92">
            <v>79</v>
          </cell>
          <cell r="I92">
            <v>0</v>
          </cell>
          <cell r="J92">
            <v>79</v>
          </cell>
          <cell r="K92">
            <v>0</v>
          </cell>
          <cell r="L92">
            <v>79</v>
          </cell>
          <cell r="M92">
            <v>0</v>
          </cell>
          <cell r="N92">
            <v>79</v>
          </cell>
          <cell r="O92">
            <v>0</v>
          </cell>
          <cell r="P92">
            <v>79</v>
          </cell>
          <cell r="Q92">
            <v>0</v>
          </cell>
          <cell r="R92">
            <v>79</v>
          </cell>
          <cell r="S92">
            <v>0</v>
          </cell>
          <cell r="T92">
            <v>79</v>
          </cell>
          <cell r="U92">
            <v>0</v>
          </cell>
          <cell r="V92">
            <v>79</v>
          </cell>
          <cell r="W92">
            <v>0</v>
          </cell>
          <cell r="X92">
            <v>79</v>
          </cell>
          <cell r="Y92">
            <v>0</v>
          </cell>
          <cell r="Z92">
            <v>79</v>
          </cell>
          <cell r="AA92">
            <v>0</v>
          </cell>
          <cell r="AB92">
            <v>0</v>
          </cell>
          <cell r="AC92">
            <v>0</v>
          </cell>
          <cell r="AD92">
            <v>7.8E-2</v>
          </cell>
          <cell r="AE92">
            <v>0</v>
          </cell>
          <cell r="AF92">
            <v>0</v>
          </cell>
          <cell r="AG92">
            <v>0</v>
          </cell>
          <cell r="AH92">
            <v>0</v>
          </cell>
          <cell r="AI92">
            <v>0</v>
          </cell>
          <cell r="AJ92">
            <v>0</v>
          </cell>
          <cell r="AK92">
            <v>0</v>
          </cell>
          <cell r="AL92">
            <v>0</v>
          </cell>
        </row>
        <row r="93">
          <cell r="E93" t="str">
            <v>PF-S-14mm</v>
          </cell>
          <cell r="F93" t="str">
            <v>ｍ</v>
          </cell>
          <cell r="G93">
            <v>0</v>
          </cell>
          <cell r="H93">
            <v>59</v>
          </cell>
          <cell r="I93">
            <v>0</v>
          </cell>
          <cell r="J93">
            <v>59</v>
          </cell>
          <cell r="K93">
            <v>0</v>
          </cell>
          <cell r="L93">
            <v>59</v>
          </cell>
          <cell r="M93">
            <v>0</v>
          </cell>
          <cell r="N93">
            <v>59</v>
          </cell>
          <cell r="O93">
            <v>0</v>
          </cell>
          <cell r="P93">
            <v>59</v>
          </cell>
          <cell r="Q93">
            <v>0</v>
          </cell>
          <cell r="R93">
            <v>59</v>
          </cell>
          <cell r="S93">
            <v>0</v>
          </cell>
          <cell r="T93">
            <v>59</v>
          </cell>
          <cell r="U93">
            <v>0</v>
          </cell>
          <cell r="V93">
            <v>59</v>
          </cell>
          <cell r="W93">
            <v>0</v>
          </cell>
          <cell r="X93">
            <v>59</v>
          </cell>
          <cell r="Y93">
            <v>0</v>
          </cell>
          <cell r="Z93">
            <v>61</v>
          </cell>
          <cell r="AA93">
            <v>0</v>
          </cell>
          <cell r="AB93">
            <v>0</v>
          </cell>
          <cell r="AC93">
            <v>0</v>
          </cell>
          <cell r="AD93">
            <v>2.9000000000000001E-2</v>
          </cell>
          <cell r="AE93">
            <v>0</v>
          </cell>
          <cell r="AF93">
            <v>0</v>
          </cell>
          <cell r="AG93">
            <v>0</v>
          </cell>
          <cell r="AH93">
            <v>0</v>
          </cell>
          <cell r="AI93">
            <v>0</v>
          </cell>
          <cell r="AJ93">
            <v>0</v>
          </cell>
          <cell r="AK93">
            <v>0</v>
          </cell>
          <cell r="AL93">
            <v>0</v>
          </cell>
        </row>
        <row r="94">
          <cell r="E94" t="str">
            <v>PF-S-16mm</v>
          </cell>
          <cell r="F94" t="str">
            <v>ｍ</v>
          </cell>
          <cell r="G94">
            <v>0</v>
          </cell>
          <cell r="H94">
            <v>56</v>
          </cell>
          <cell r="I94">
            <v>0</v>
          </cell>
          <cell r="J94">
            <v>56</v>
          </cell>
          <cell r="K94">
            <v>0</v>
          </cell>
          <cell r="L94">
            <v>56</v>
          </cell>
          <cell r="M94">
            <v>0</v>
          </cell>
          <cell r="N94">
            <v>56</v>
          </cell>
          <cell r="O94">
            <v>0</v>
          </cell>
          <cell r="P94">
            <v>56</v>
          </cell>
          <cell r="Q94">
            <v>0</v>
          </cell>
          <cell r="R94">
            <v>56</v>
          </cell>
          <cell r="S94">
            <v>0</v>
          </cell>
          <cell r="T94">
            <v>56</v>
          </cell>
          <cell r="U94">
            <v>0</v>
          </cell>
          <cell r="V94">
            <v>56</v>
          </cell>
          <cell r="W94">
            <v>0</v>
          </cell>
          <cell r="X94">
            <v>56</v>
          </cell>
          <cell r="Y94">
            <v>0</v>
          </cell>
          <cell r="Z94">
            <v>59</v>
          </cell>
          <cell r="AA94">
            <v>0</v>
          </cell>
          <cell r="AB94">
            <v>0</v>
          </cell>
          <cell r="AC94">
            <v>0</v>
          </cell>
          <cell r="AD94">
            <v>3.1E-2</v>
          </cell>
          <cell r="AE94">
            <v>0</v>
          </cell>
          <cell r="AF94">
            <v>0</v>
          </cell>
          <cell r="AG94">
            <v>0</v>
          </cell>
          <cell r="AH94">
            <v>0</v>
          </cell>
          <cell r="AI94">
            <v>0</v>
          </cell>
          <cell r="AJ94">
            <v>0</v>
          </cell>
          <cell r="AK94">
            <v>0</v>
          </cell>
          <cell r="AL94">
            <v>0</v>
          </cell>
        </row>
        <row r="95">
          <cell r="E95" t="str">
            <v>PF-S-22mm</v>
          </cell>
          <cell r="F95" t="str">
            <v>ｍ</v>
          </cell>
          <cell r="G95">
            <v>0</v>
          </cell>
          <cell r="H95">
            <v>81</v>
          </cell>
          <cell r="I95">
            <v>0</v>
          </cell>
          <cell r="J95">
            <v>81</v>
          </cell>
          <cell r="K95">
            <v>0</v>
          </cell>
          <cell r="L95">
            <v>81</v>
          </cell>
          <cell r="M95">
            <v>0</v>
          </cell>
          <cell r="N95">
            <v>81</v>
          </cell>
          <cell r="O95">
            <v>0</v>
          </cell>
          <cell r="P95">
            <v>81</v>
          </cell>
          <cell r="Q95">
            <v>0</v>
          </cell>
          <cell r="R95">
            <v>81</v>
          </cell>
          <cell r="S95">
            <v>0</v>
          </cell>
          <cell r="T95">
            <v>81</v>
          </cell>
          <cell r="U95">
            <v>0</v>
          </cell>
          <cell r="V95">
            <v>81</v>
          </cell>
          <cell r="W95">
            <v>0</v>
          </cell>
          <cell r="X95">
            <v>81</v>
          </cell>
          <cell r="Y95">
            <v>0</v>
          </cell>
          <cell r="Z95">
            <v>85</v>
          </cell>
          <cell r="AA95">
            <v>0</v>
          </cell>
          <cell r="AB95">
            <v>0</v>
          </cell>
          <cell r="AC95">
            <v>0</v>
          </cell>
          <cell r="AD95">
            <v>4.1000000000000002E-2</v>
          </cell>
          <cell r="AE95">
            <v>0</v>
          </cell>
          <cell r="AF95">
            <v>0</v>
          </cell>
          <cell r="AG95">
            <v>0</v>
          </cell>
          <cell r="AH95">
            <v>0</v>
          </cell>
          <cell r="AI95">
            <v>0</v>
          </cell>
          <cell r="AJ95">
            <v>0</v>
          </cell>
          <cell r="AK95">
            <v>0</v>
          </cell>
          <cell r="AL95">
            <v>0</v>
          </cell>
        </row>
        <row r="96">
          <cell r="E96" t="str">
            <v>PF-S-28mm</v>
          </cell>
          <cell r="F96" t="str">
            <v>ｍ</v>
          </cell>
          <cell r="G96">
            <v>0</v>
          </cell>
          <cell r="H96">
            <v>109</v>
          </cell>
          <cell r="I96">
            <v>0</v>
          </cell>
          <cell r="J96">
            <v>109</v>
          </cell>
          <cell r="K96">
            <v>0</v>
          </cell>
          <cell r="L96">
            <v>109</v>
          </cell>
          <cell r="M96">
            <v>0</v>
          </cell>
          <cell r="N96">
            <v>109</v>
          </cell>
          <cell r="O96">
            <v>0</v>
          </cell>
          <cell r="P96">
            <v>109</v>
          </cell>
          <cell r="Q96">
            <v>0</v>
          </cell>
          <cell r="R96">
            <v>109</v>
          </cell>
          <cell r="S96">
            <v>0</v>
          </cell>
          <cell r="T96">
            <v>109</v>
          </cell>
          <cell r="U96">
            <v>0</v>
          </cell>
          <cell r="V96">
            <v>109</v>
          </cell>
          <cell r="W96">
            <v>0</v>
          </cell>
          <cell r="X96">
            <v>109</v>
          </cell>
          <cell r="Y96">
            <v>0</v>
          </cell>
          <cell r="Z96">
            <v>114</v>
          </cell>
          <cell r="AA96">
            <v>0</v>
          </cell>
          <cell r="AB96">
            <v>0</v>
          </cell>
          <cell r="AC96">
            <v>0</v>
          </cell>
          <cell r="AD96">
            <v>5.1999999999999998E-2</v>
          </cell>
          <cell r="AE96">
            <v>0</v>
          </cell>
          <cell r="AF96">
            <v>0</v>
          </cell>
          <cell r="AG96">
            <v>0</v>
          </cell>
          <cell r="AH96">
            <v>0</v>
          </cell>
          <cell r="AI96">
            <v>0</v>
          </cell>
          <cell r="AJ96">
            <v>0</v>
          </cell>
          <cell r="AK96">
            <v>0</v>
          </cell>
          <cell r="AL96">
            <v>0</v>
          </cell>
        </row>
        <row r="97">
          <cell r="E97" t="str">
            <v>PF-S-36mm</v>
          </cell>
          <cell r="F97" t="str">
            <v>ｍ</v>
          </cell>
          <cell r="G97">
            <v>0</v>
          </cell>
          <cell r="H97">
            <v>198</v>
          </cell>
          <cell r="I97">
            <v>0</v>
          </cell>
          <cell r="J97">
            <v>198</v>
          </cell>
          <cell r="K97">
            <v>0</v>
          </cell>
          <cell r="L97">
            <v>198</v>
          </cell>
          <cell r="M97">
            <v>0</v>
          </cell>
          <cell r="N97">
            <v>198</v>
          </cell>
          <cell r="O97">
            <v>0</v>
          </cell>
          <cell r="P97">
            <v>198</v>
          </cell>
          <cell r="Q97">
            <v>0</v>
          </cell>
          <cell r="R97">
            <v>198</v>
          </cell>
          <cell r="S97">
            <v>0</v>
          </cell>
          <cell r="T97">
            <v>198</v>
          </cell>
          <cell r="U97">
            <v>0</v>
          </cell>
          <cell r="V97">
            <v>198</v>
          </cell>
          <cell r="W97">
            <v>0</v>
          </cell>
          <cell r="X97">
            <v>198</v>
          </cell>
          <cell r="Y97">
            <v>0</v>
          </cell>
          <cell r="Z97">
            <v>198</v>
          </cell>
          <cell r="AA97">
            <v>0</v>
          </cell>
          <cell r="AB97">
            <v>0</v>
          </cell>
          <cell r="AC97">
            <v>0</v>
          </cell>
          <cell r="AD97">
            <v>6.7000000000000004E-2</v>
          </cell>
          <cell r="AE97">
            <v>0</v>
          </cell>
          <cell r="AF97">
            <v>0</v>
          </cell>
          <cell r="AG97">
            <v>0</v>
          </cell>
          <cell r="AH97">
            <v>0</v>
          </cell>
          <cell r="AI97">
            <v>0</v>
          </cell>
          <cell r="AJ97">
            <v>0</v>
          </cell>
          <cell r="AK97">
            <v>0</v>
          </cell>
          <cell r="AL97">
            <v>0</v>
          </cell>
        </row>
        <row r="98">
          <cell r="E98" t="str">
            <v>PF-S-42mm</v>
          </cell>
          <cell r="F98" t="str">
            <v>ｍ</v>
          </cell>
          <cell r="G98">
            <v>0</v>
          </cell>
          <cell r="H98">
            <v>231</v>
          </cell>
          <cell r="I98">
            <v>0</v>
          </cell>
          <cell r="J98">
            <v>231</v>
          </cell>
          <cell r="K98">
            <v>0</v>
          </cell>
          <cell r="L98">
            <v>231</v>
          </cell>
          <cell r="M98">
            <v>0</v>
          </cell>
          <cell r="N98">
            <v>231</v>
          </cell>
          <cell r="O98">
            <v>0</v>
          </cell>
          <cell r="P98">
            <v>231</v>
          </cell>
          <cell r="Q98">
            <v>0</v>
          </cell>
          <cell r="R98">
            <v>231</v>
          </cell>
          <cell r="S98">
            <v>0</v>
          </cell>
          <cell r="T98">
            <v>231</v>
          </cell>
          <cell r="U98">
            <v>0</v>
          </cell>
          <cell r="V98">
            <v>231</v>
          </cell>
          <cell r="W98">
            <v>0</v>
          </cell>
          <cell r="X98">
            <v>231</v>
          </cell>
          <cell r="Y98">
            <v>0</v>
          </cell>
          <cell r="Z98">
            <v>231</v>
          </cell>
          <cell r="AA98">
            <v>0</v>
          </cell>
          <cell r="AB98">
            <v>0</v>
          </cell>
          <cell r="AC98">
            <v>0</v>
          </cell>
          <cell r="AD98">
            <v>7.8E-2</v>
          </cell>
          <cell r="AE98">
            <v>0</v>
          </cell>
          <cell r="AF98">
            <v>0</v>
          </cell>
          <cell r="AG98">
            <v>0</v>
          </cell>
          <cell r="AH98">
            <v>0</v>
          </cell>
          <cell r="AI98">
            <v>0</v>
          </cell>
          <cell r="AJ98">
            <v>0</v>
          </cell>
          <cell r="AK98">
            <v>0</v>
          </cell>
          <cell r="AL98">
            <v>0</v>
          </cell>
        </row>
        <row r="99">
          <cell r="E99" t="str">
            <v>PF-D-14mm</v>
          </cell>
          <cell r="F99" t="str">
            <v>ｍ</v>
          </cell>
          <cell r="G99">
            <v>0</v>
          </cell>
          <cell r="H99">
            <v>85</v>
          </cell>
          <cell r="I99">
            <v>0</v>
          </cell>
          <cell r="J99">
            <v>85</v>
          </cell>
          <cell r="K99">
            <v>0</v>
          </cell>
          <cell r="L99">
            <v>85</v>
          </cell>
          <cell r="M99">
            <v>0</v>
          </cell>
          <cell r="N99">
            <v>85</v>
          </cell>
          <cell r="O99">
            <v>0</v>
          </cell>
          <cell r="P99">
            <v>85</v>
          </cell>
          <cell r="Q99">
            <v>0</v>
          </cell>
          <cell r="R99">
            <v>85</v>
          </cell>
          <cell r="S99">
            <v>0</v>
          </cell>
          <cell r="T99">
            <v>85</v>
          </cell>
          <cell r="U99">
            <v>0</v>
          </cell>
          <cell r="V99">
            <v>85</v>
          </cell>
          <cell r="W99">
            <v>0</v>
          </cell>
          <cell r="X99">
            <v>85</v>
          </cell>
          <cell r="Y99">
            <v>0</v>
          </cell>
          <cell r="Z99">
            <v>87</v>
          </cell>
          <cell r="AA99">
            <v>0</v>
          </cell>
          <cell r="AB99">
            <v>0</v>
          </cell>
          <cell r="AC99">
            <v>0</v>
          </cell>
          <cell r="AD99">
            <v>2.9000000000000001E-2</v>
          </cell>
          <cell r="AE99">
            <v>0</v>
          </cell>
          <cell r="AF99">
            <v>0</v>
          </cell>
          <cell r="AG99">
            <v>0</v>
          </cell>
          <cell r="AH99">
            <v>0</v>
          </cell>
          <cell r="AI99">
            <v>0</v>
          </cell>
          <cell r="AJ99">
            <v>0</v>
          </cell>
          <cell r="AK99">
            <v>0</v>
          </cell>
          <cell r="AL99">
            <v>0</v>
          </cell>
        </row>
        <row r="100">
          <cell r="E100" t="str">
            <v>PF-D-16mm</v>
          </cell>
          <cell r="F100" t="str">
            <v>ｍ</v>
          </cell>
          <cell r="G100">
            <v>0</v>
          </cell>
          <cell r="H100">
            <v>77</v>
          </cell>
          <cell r="I100">
            <v>0</v>
          </cell>
          <cell r="J100">
            <v>77</v>
          </cell>
          <cell r="K100">
            <v>0</v>
          </cell>
          <cell r="L100">
            <v>77</v>
          </cell>
          <cell r="M100">
            <v>0</v>
          </cell>
          <cell r="N100">
            <v>77</v>
          </cell>
          <cell r="O100">
            <v>0</v>
          </cell>
          <cell r="P100">
            <v>77</v>
          </cell>
          <cell r="Q100">
            <v>0</v>
          </cell>
          <cell r="R100">
            <v>77</v>
          </cell>
          <cell r="S100">
            <v>0</v>
          </cell>
          <cell r="T100">
            <v>77</v>
          </cell>
          <cell r="U100">
            <v>0</v>
          </cell>
          <cell r="V100">
            <v>77</v>
          </cell>
          <cell r="W100">
            <v>0</v>
          </cell>
          <cell r="X100">
            <v>77</v>
          </cell>
          <cell r="Y100">
            <v>0</v>
          </cell>
          <cell r="Z100">
            <v>79</v>
          </cell>
          <cell r="AA100">
            <v>0</v>
          </cell>
          <cell r="AB100">
            <v>0</v>
          </cell>
          <cell r="AC100">
            <v>0</v>
          </cell>
          <cell r="AD100">
            <v>3.1E-2</v>
          </cell>
          <cell r="AE100">
            <v>0</v>
          </cell>
          <cell r="AF100">
            <v>0</v>
          </cell>
          <cell r="AG100">
            <v>0</v>
          </cell>
          <cell r="AH100">
            <v>0</v>
          </cell>
          <cell r="AI100">
            <v>0</v>
          </cell>
          <cell r="AJ100">
            <v>0</v>
          </cell>
          <cell r="AK100">
            <v>0</v>
          </cell>
          <cell r="AL100">
            <v>0</v>
          </cell>
        </row>
        <row r="101">
          <cell r="E101" t="str">
            <v>PF-D-22mm</v>
          </cell>
          <cell r="F101" t="str">
            <v>ｍ</v>
          </cell>
          <cell r="G101">
            <v>0</v>
          </cell>
          <cell r="H101">
            <v>116</v>
          </cell>
          <cell r="I101">
            <v>0</v>
          </cell>
          <cell r="J101">
            <v>116</v>
          </cell>
          <cell r="K101">
            <v>0</v>
          </cell>
          <cell r="L101">
            <v>116</v>
          </cell>
          <cell r="M101">
            <v>0</v>
          </cell>
          <cell r="N101">
            <v>116</v>
          </cell>
          <cell r="O101">
            <v>0</v>
          </cell>
          <cell r="P101">
            <v>116</v>
          </cell>
          <cell r="Q101">
            <v>0</v>
          </cell>
          <cell r="R101">
            <v>116</v>
          </cell>
          <cell r="S101">
            <v>0</v>
          </cell>
          <cell r="T101">
            <v>116</v>
          </cell>
          <cell r="U101">
            <v>0</v>
          </cell>
          <cell r="V101">
            <v>116</v>
          </cell>
          <cell r="W101">
            <v>0</v>
          </cell>
          <cell r="X101">
            <v>116</v>
          </cell>
          <cell r="Y101">
            <v>0</v>
          </cell>
          <cell r="Z101">
            <v>119</v>
          </cell>
          <cell r="AA101">
            <v>0</v>
          </cell>
          <cell r="AB101">
            <v>0</v>
          </cell>
          <cell r="AC101">
            <v>0</v>
          </cell>
          <cell r="AD101">
            <v>4.1000000000000002E-2</v>
          </cell>
          <cell r="AE101">
            <v>0</v>
          </cell>
          <cell r="AF101">
            <v>0</v>
          </cell>
          <cell r="AG101">
            <v>0</v>
          </cell>
          <cell r="AH101">
            <v>0</v>
          </cell>
          <cell r="AI101">
            <v>0</v>
          </cell>
          <cell r="AJ101">
            <v>0</v>
          </cell>
          <cell r="AK101">
            <v>0</v>
          </cell>
          <cell r="AL101">
            <v>0</v>
          </cell>
        </row>
        <row r="102">
          <cell r="E102" t="str">
            <v>PF-D-28mm</v>
          </cell>
          <cell r="F102" t="str">
            <v>ｍ</v>
          </cell>
          <cell r="G102">
            <v>0</v>
          </cell>
          <cell r="H102">
            <v>155</v>
          </cell>
          <cell r="I102">
            <v>0</v>
          </cell>
          <cell r="J102">
            <v>155</v>
          </cell>
          <cell r="K102">
            <v>0</v>
          </cell>
          <cell r="L102">
            <v>155</v>
          </cell>
          <cell r="M102">
            <v>0</v>
          </cell>
          <cell r="N102">
            <v>155</v>
          </cell>
          <cell r="O102">
            <v>0</v>
          </cell>
          <cell r="P102">
            <v>155</v>
          </cell>
          <cell r="Q102">
            <v>0</v>
          </cell>
          <cell r="R102">
            <v>155</v>
          </cell>
          <cell r="S102">
            <v>0</v>
          </cell>
          <cell r="T102">
            <v>155</v>
          </cell>
          <cell r="U102">
            <v>0</v>
          </cell>
          <cell r="V102">
            <v>155</v>
          </cell>
          <cell r="W102">
            <v>0</v>
          </cell>
          <cell r="X102">
            <v>155</v>
          </cell>
          <cell r="Y102">
            <v>0</v>
          </cell>
          <cell r="Z102">
            <v>159</v>
          </cell>
          <cell r="AA102">
            <v>0</v>
          </cell>
          <cell r="AB102">
            <v>0</v>
          </cell>
          <cell r="AC102">
            <v>0</v>
          </cell>
          <cell r="AD102">
            <v>5.1999999999999998E-2</v>
          </cell>
          <cell r="AE102">
            <v>0</v>
          </cell>
          <cell r="AF102">
            <v>0</v>
          </cell>
          <cell r="AG102">
            <v>0</v>
          </cell>
          <cell r="AH102">
            <v>0</v>
          </cell>
          <cell r="AI102">
            <v>0</v>
          </cell>
          <cell r="AJ102">
            <v>0</v>
          </cell>
          <cell r="AK102">
            <v>0</v>
          </cell>
          <cell r="AL102">
            <v>0</v>
          </cell>
        </row>
        <row r="103">
          <cell r="E103" t="str">
            <v>PF-D-36mm</v>
          </cell>
          <cell r="F103" t="str">
            <v>ｍ</v>
          </cell>
          <cell r="G103">
            <v>0</v>
          </cell>
          <cell r="H103">
            <v>198</v>
          </cell>
          <cell r="I103">
            <v>0</v>
          </cell>
          <cell r="J103">
            <v>198</v>
          </cell>
          <cell r="K103">
            <v>0</v>
          </cell>
          <cell r="L103">
            <v>198</v>
          </cell>
          <cell r="M103">
            <v>0</v>
          </cell>
          <cell r="N103">
            <v>198</v>
          </cell>
          <cell r="O103">
            <v>0</v>
          </cell>
          <cell r="P103">
            <v>198</v>
          </cell>
          <cell r="Q103">
            <v>0</v>
          </cell>
          <cell r="R103">
            <v>198</v>
          </cell>
          <cell r="S103">
            <v>0</v>
          </cell>
          <cell r="T103">
            <v>198</v>
          </cell>
          <cell r="U103">
            <v>0</v>
          </cell>
          <cell r="V103">
            <v>198</v>
          </cell>
          <cell r="W103">
            <v>0</v>
          </cell>
          <cell r="X103">
            <v>198</v>
          </cell>
          <cell r="Y103">
            <v>0</v>
          </cell>
          <cell r="Z103">
            <v>198</v>
          </cell>
          <cell r="AA103">
            <v>0</v>
          </cell>
          <cell r="AB103">
            <v>0</v>
          </cell>
          <cell r="AC103">
            <v>0</v>
          </cell>
          <cell r="AD103">
            <v>6.7000000000000004E-2</v>
          </cell>
          <cell r="AE103">
            <v>0</v>
          </cell>
          <cell r="AF103">
            <v>0</v>
          </cell>
          <cell r="AG103">
            <v>0</v>
          </cell>
          <cell r="AH103">
            <v>0</v>
          </cell>
          <cell r="AI103">
            <v>0</v>
          </cell>
          <cell r="AJ103">
            <v>0</v>
          </cell>
          <cell r="AK103">
            <v>0</v>
          </cell>
          <cell r="AL103">
            <v>0</v>
          </cell>
        </row>
        <row r="104">
          <cell r="E104" t="str">
            <v>PF-D-42mm</v>
          </cell>
          <cell r="F104" t="str">
            <v>ｍ</v>
          </cell>
          <cell r="G104">
            <v>0</v>
          </cell>
          <cell r="H104">
            <v>231</v>
          </cell>
          <cell r="I104">
            <v>0</v>
          </cell>
          <cell r="J104">
            <v>231</v>
          </cell>
          <cell r="K104">
            <v>0</v>
          </cell>
          <cell r="L104">
            <v>231</v>
          </cell>
          <cell r="M104">
            <v>0</v>
          </cell>
          <cell r="N104">
            <v>231</v>
          </cell>
          <cell r="O104">
            <v>0</v>
          </cell>
          <cell r="P104">
            <v>231</v>
          </cell>
          <cell r="Q104">
            <v>0</v>
          </cell>
          <cell r="R104">
            <v>231</v>
          </cell>
          <cell r="S104">
            <v>0</v>
          </cell>
          <cell r="T104">
            <v>231</v>
          </cell>
          <cell r="U104">
            <v>0</v>
          </cell>
          <cell r="V104">
            <v>231</v>
          </cell>
          <cell r="W104">
            <v>0</v>
          </cell>
          <cell r="X104">
            <v>231</v>
          </cell>
          <cell r="Y104">
            <v>0</v>
          </cell>
          <cell r="Z104">
            <v>231</v>
          </cell>
          <cell r="AA104">
            <v>0</v>
          </cell>
          <cell r="AB104">
            <v>0</v>
          </cell>
          <cell r="AC104">
            <v>0</v>
          </cell>
          <cell r="AD104">
            <v>7.8E-2</v>
          </cell>
          <cell r="AE104">
            <v>0</v>
          </cell>
          <cell r="AF104">
            <v>0</v>
          </cell>
          <cell r="AG104">
            <v>0</v>
          </cell>
          <cell r="AH104">
            <v>0</v>
          </cell>
          <cell r="AI104">
            <v>0</v>
          </cell>
          <cell r="AJ104">
            <v>0</v>
          </cell>
          <cell r="AK104">
            <v>0</v>
          </cell>
          <cell r="AL104">
            <v>0</v>
          </cell>
        </row>
        <row r="105">
          <cell r="E105" t="str">
            <v>F2- 10mm</v>
          </cell>
          <cell r="F105" t="str">
            <v>ｍ</v>
          </cell>
          <cell r="G105">
            <v>0</v>
          </cell>
          <cell r="H105">
            <v>199</v>
          </cell>
          <cell r="I105">
            <v>0</v>
          </cell>
          <cell r="J105">
            <v>199</v>
          </cell>
          <cell r="K105">
            <v>0</v>
          </cell>
          <cell r="L105">
            <v>199</v>
          </cell>
          <cell r="M105">
            <v>0</v>
          </cell>
          <cell r="N105">
            <v>199</v>
          </cell>
          <cell r="O105">
            <v>0</v>
          </cell>
          <cell r="P105">
            <v>199</v>
          </cell>
          <cell r="Q105">
            <v>0</v>
          </cell>
          <cell r="R105">
            <v>199</v>
          </cell>
          <cell r="S105">
            <v>0</v>
          </cell>
          <cell r="T105">
            <v>199</v>
          </cell>
          <cell r="U105">
            <v>0</v>
          </cell>
          <cell r="V105">
            <v>199</v>
          </cell>
          <cell r="W105">
            <v>0</v>
          </cell>
          <cell r="X105">
            <v>199</v>
          </cell>
          <cell r="Y105">
            <v>0</v>
          </cell>
          <cell r="Z105">
            <v>199</v>
          </cell>
          <cell r="AA105">
            <v>0</v>
          </cell>
          <cell r="AB105">
            <v>0</v>
          </cell>
          <cell r="AC105">
            <v>0</v>
          </cell>
          <cell r="AD105">
            <v>1.4999999999999999E-2</v>
          </cell>
          <cell r="AE105">
            <v>0</v>
          </cell>
          <cell r="AF105">
            <v>0</v>
          </cell>
          <cell r="AG105">
            <v>0</v>
          </cell>
          <cell r="AH105">
            <v>0</v>
          </cell>
          <cell r="AI105">
            <v>0</v>
          </cell>
          <cell r="AJ105">
            <v>0</v>
          </cell>
          <cell r="AK105">
            <v>0</v>
          </cell>
          <cell r="AL105">
            <v>0</v>
          </cell>
        </row>
        <row r="106">
          <cell r="E106" t="str">
            <v>F2- 12mm</v>
          </cell>
          <cell r="F106" t="str">
            <v>ｍ</v>
          </cell>
          <cell r="G106">
            <v>0</v>
          </cell>
          <cell r="H106">
            <v>243</v>
          </cell>
          <cell r="I106">
            <v>0</v>
          </cell>
          <cell r="J106">
            <v>243</v>
          </cell>
          <cell r="K106">
            <v>0</v>
          </cell>
          <cell r="L106">
            <v>243</v>
          </cell>
          <cell r="M106">
            <v>0</v>
          </cell>
          <cell r="N106">
            <v>243</v>
          </cell>
          <cell r="O106">
            <v>0</v>
          </cell>
          <cell r="P106">
            <v>243</v>
          </cell>
          <cell r="Q106">
            <v>0</v>
          </cell>
          <cell r="R106">
            <v>243</v>
          </cell>
          <cell r="S106">
            <v>0</v>
          </cell>
          <cell r="T106">
            <v>243</v>
          </cell>
          <cell r="U106">
            <v>0</v>
          </cell>
          <cell r="V106">
            <v>243</v>
          </cell>
          <cell r="W106">
            <v>0</v>
          </cell>
          <cell r="X106">
            <v>243</v>
          </cell>
          <cell r="Y106">
            <v>0</v>
          </cell>
          <cell r="Z106">
            <v>243</v>
          </cell>
          <cell r="AA106">
            <v>0</v>
          </cell>
          <cell r="AB106">
            <v>0</v>
          </cell>
          <cell r="AC106">
            <v>0</v>
          </cell>
          <cell r="AD106">
            <v>1.7999999999999999E-2</v>
          </cell>
          <cell r="AE106">
            <v>0</v>
          </cell>
          <cell r="AF106">
            <v>0</v>
          </cell>
          <cell r="AG106">
            <v>0</v>
          </cell>
          <cell r="AH106">
            <v>0</v>
          </cell>
          <cell r="AI106">
            <v>0</v>
          </cell>
          <cell r="AJ106">
            <v>0</v>
          </cell>
          <cell r="AK106">
            <v>0</v>
          </cell>
          <cell r="AL106">
            <v>0</v>
          </cell>
        </row>
        <row r="107">
          <cell r="E107" t="str">
            <v>F2- 15mm</v>
          </cell>
          <cell r="F107" t="str">
            <v>ｍ</v>
          </cell>
          <cell r="G107">
            <v>0</v>
          </cell>
          <cell r="H107">
            <v>253</v>
          </cell>
          <cell r="I107">
            <v>0</v>
          </cell>
          <cell r="J107">
            <v>253</v>
          </cell>
          <cell r="K107">
            <v>0</v>
          </cell>
          <cell r="L107">
            <v>253</v>
          </cell>
          <cell r="M107">
            <v>0</v>
          </cell>
          <cell r="N107">
            <v>253</v>
          </cell>
          <cell r="O107">
            <v>0</v>
          </cell>
          <cell r="P107">
            <v>253</v>
          </cell>
          <cell r="Q107">
            <v>0</v>
          </cell>
          <cell r="R107">
            <v>253</v>
          </cell>
          <cell r="S107">
            <v>0</v>
          </cell>
          <cell r="T107">
            <v>253</v>
          </cell>
          <cell r="U107">
            <v>0</v>
          </cell>
          <cell r="V107">
            <v>253</v>
          </cell>
          <cell r="W107">
            <v>0</v>
          </cell>
          <cell r="X107">
            <v>253</v>
          </cell>
          <cell r="Y107">
            <v>0</v>
          </cell>
          <cell r="Z107">
            <v>253</v>
          </cell>
          <cell r="AA107">
            <v>0</v>
          </cell>
          <cell r="AB107">
            <v>0</v>
          </cell>
          <cell r="AC107">
            <v>0</v>
          </cell>
          <cell r="AD107">
            <v>2.1999999999999999E-2</v>
          </cell>
          <cell r="AE107">
            <v>0</v>
          </cell>
          <cell r="AF107">
            <v>0</v>
          </cell>
          <cell r="AG107">
            <v>0</v>
          </cell>
          <cell r="AH107">
            <v>0</v>
          </cell>
          <cell r="AI107">
            <v>0</v>
          </cell>
          <cell r="AJ107">
            <v>0</v>
          </cell>
          <cell r="AK107">
            <v>0</v>
          </cell>
          <cell r="AL107">
            <v>0</v>
          </cell>
        </row>
        <row r="108">
          <cell r="E108" t="str">
            <v>F2- 17mm</v>
          </cell>
          <cell r="F108" t="str">
            <v>ｍ</v>
          </cell>
          <cell r="G108">
            <v>0</v>
          </cell>
          <cell r="H108">
            <v>275</v>
          </cell>
          <cell r="I108">
            <v>0</v>
          </cell>
          <cell r="J108">
            <v>275</v>
          </cell>
          <cell r="K108">
            <v>0</v>
          </cell>
          <cell r="L108">
            <v>275</v>
          </cell>
          <cell r="M108">
            <v>0</v>
          </cell>
          <cell r="N108">
            <v>275</v>
          </cell>
          <cell r="O108">
            <v>0</v>
          </cell>
          <cell r="P108">
            <v>275</v>
          </cell>
          <cell r="Q108">
            <v>0</v>
          </cell>
          <cell r="R108">
            <v>275</v>
          </cell>
          <cell r="S108">
            <v>0</v>
          </cell>
          <cell r="T108">
            <v>275</v>
          </cell>
          <cell r="U108">
            <v>0</v>
          </cell>
          <cell r="V108">
            <v>275</v>
          </cell>
          <cell r="W108">
            <v>0</v>
          </cell>
          <cell r="X108">
            <v>275</v>
          </cell>
          <cell r="Y108">
            <v>0</v>
          </cell>
          <cell r="Z108">
            <v>275</v>
          </cell>
          <cell r="AA108">
            <v>0</v>
          </cell>
          <cell r="AB108">
            <v>0</v>
          </cell>
          <cell r="AC108">
            <v>0</v>
          </cell>
          <cell r="AD108">
            <v>2.5000000000000001E-2</v>
          </cell>
          <cell r="AE108">
            <v>0</v>
          </cell>
          <cell r="AF108">
            <v>0</v>
          </cell>
          <cell r="AG108">
            <v>0</v>
          </cell>
          <cell r="AH108">
            <v>0</v>
          </cell>
          <cell r="AI108">
            <v>0</v>
          </cell>
          <cell r="AJ108">
            <v>0</v>
          </cell>
          <cell r="AK108">
            <v>0</v>
          </cell>
          <cell r="AL108">
            <v>0</v>
          </cell>
        </row>
        <row r="109">
          <cell r="E109" t="str">
            <v>F2- 24mm</v>
          </cell>
          <cell r="F109" t="str">
            <v>ｍ</v>
          </cell>
          <cell r="G109">
            <v>0</v>
          </cell>
          <cell r="H109">
            <v>367</v>
          </cell>
          <cell r="I109">
            <v>0</v>
          </cell>
          <cell r="J109">
            <v>367</v>
          </cell>
          <cell r="K109">
            <v>0</v>
          </cell>
          <cell r="L109">
            <v>367</v>
          </cell>
          <cell r="M109">
            <v>0</v>
          </cell>
          <cell r="N109">
            <v>367</v>
          </cell>
          <cell r="O109">
            <v>0</v>
          </cell>
          <cell r="P109">
            <v>367</v>
          </cell>
          <cell r="Q109">
            <v>0</v>
          </cell>
          <cell r="R109">
            <v>367</v>
          </cell>
          <cell r="S109">
            <v>0</v>
          </cell>
          <cell r="T109">
            <v>367</v>
          </cell>
          <cell r="U109">
            <v>0</v>
          </cell>
          <cell r="V109">
            <v>367</v>
          </cell>
          <cell r="W109">
            <v>0</v>
          </cell>
          <cell r="X109">
            <v>367</v>
          </cell>
          <cell r="Y109">
            <v>0</v>
          </cell>
          <cell r="Z109">
            <v>367</v>
          </cell>
          <cell r="AA109">
            <v>0</v>
          </cell>
          <cell r="AB109">
            <v>0</v>
          </cell>
          <cell r="AC109">
            <v>0</v>
          </cell>
          <cell r="AD109">
            <v>3.5999999999999997E-2</v>
          </cell>
          <cell r="AE109">
            <v>0</v>
          </cell>
          <cell r="AF109">
            <v>0</v>
          </cell>
          <cell r="AG109">
            <v>0</v>
          </cell>
          <cell r="AH109">
            <v>0</v>
          </cell>
          <cell r="AI109">
            <v>0</v>
          </cell>
          <cell r="AJ109">
            <v>0</v>
          </cell>
          <cell r="AK109">
            <v>0</v>
          </cell>
          <cell r="AL109">
            <v>0</v>
          </cell>
        </row>
        <row r="110">
          <cell r="E110" t="str">
            <v>F2- 30mm</v>
          </cell>
          <cell r="F110" t="str">
            <v>ｍ</v>
          </cell>
          <cell r="G110">
            <v>0</v>
          </cell>
          <cell r="H110">
            <v>480</v>
          </cell>
          <cell r="I110">
            <v>0</v>
          </cell>
          <cell r="J110">
            <v>480</v>
          </cell>
          <cell r="K110">
            <v>0</v>
          </cell>
          <cell r="L110">
            <v>480</v>
          </cell>
          <cell r="M110">
            <v>0</v>
          </cell>
          <cell r="N110">
            <v>480</v>
          </cell>
          <cell r="O110">
            <v>0</v>
          </cell>
          <cell r="P110">
            <v>480</v>
          </cell>
          <cell r="Q110">
            <v>0</v>
          </cell>
          <cell r="R110">
            <v>480</v>
          </cell>
          <cell r="S110">
            <v>0</v>
          </cell>
          <cell r="T110">
            <v>480</v>
          </cell>
          <cell r="U110">
            <v>0</v>
          </cell>
          <cell r="V110">
            <v>480</v>
          </cell>
          <cell r="W110">
            <v>0</v>
          </cell>
          <cell r="X110">
            <v>480</v>
          </cell>
          <cell r="Y110">
            <v>0</v>
          </cell>
          <cell r="Z110">
            <v>480</v>
          </cell>
          <cell r="AA110">
            <v>0</v>
          </cell>
          <cell r="AB110">
            <v>0</v>
          </cell>
          <cell r="AC110">
            <v>0</v>
          </cell>
          <cell r="AD110">
            <v>4.4999999999999998E-2</v>
          </cell>
          <cell r="AE110">
            <v>0</v>
          </cell>
          <cell r="AF110">
            <v>0</v>
          </cell>
          <cell r="AG110">
            <v>0</v>
          </cell>
          <cell r="AH110">
            <v>0</v>
          </cell>
          <cell r="AI110">
            <v>0</v>
          </cell>
          <cell r="AJ110">
            <v>0</v>
          </cell>
          <cell r="AK110">
            <v>0</v>
          </cell>
          <cell r="AL110">
            <v>0</v>
          </cell>
        </row>
        <row r="111">
          <cell r="E111" t="str">
            <v>F2- 38mm</v>
          </cell>
          <cell r="F111" t="str">
            <v>ｍ</v>
          </cell>
          <cell r="G111">
            <v>0</v>
          </cell>
          <cell r="H111">
            <v>583</v>
          </cell>
          <cell r="I111">
            <v>0</v>
          </cell>
          <cell r="J111">
            <v>583</v>
          </cell>
          <cell r="K111">
            <v>0</v>
          </cell>
          <cell r="L111">
            <v>583</v>
          </cell>
          <cell r="M111">
            <v>0</v>
          </cell>
          <cell r="N111">
            <v>583</v>
          </cell>
          <cell r="O111">
            <v>0</v>
          </cell>
          <cell r="P111">
            <v>583</v>
          </cell>
          <cell r="Q111">
            <v>0</v>
          </cell>
          <cell r="R111">
            <v>583</v>
          </cell>
          <cell r="S111">
            <v>0</v>
          </cell>
          <cell r="T111">
            <v>583</v>
          </cell>
          <cell r="U111">
            <v>0</v>
          </cell>
          <cell r="V111">
            <v>583</v>
          </cell>
          <cell r="W111">
            <v>0</v>
          </cell>
          <cell r="X111">
            <v>583</v>
          </cell>
          <cell r="Y111">
            <v>0</v>
          </cell>
          <cell r="Z111">
            <v>583</v>
          </cell>
          <cell r="AA111">
            <v>0</v>
          </cell>
          <cell r="AB111">
            <v>0</v>
          </cell>
          <cell r="AC111">
            <v>0</v>
          </cell>
          <cell r="AD111">
            <v>5.7000000000000002E-2</v>
          </cell>
          <cell r="AE111">
            <v>0</v>
          </cell>
          <cell r="AF111">
            <v>0</v>
          </cell>
          <cell r="AG111">
            <v>0</v>
          </cell>
          <cell r="AH111">
            <v>0</v>
          </cell>
          <cell r="AI111">
            <v>0</v>
          </cell>
          <cell r="AJ111">
            <v>0</v>
          </cell>
          <cell r="AK111">
            <v>0</v>
          </cell>
          <cell r="AL111">
            <v>0</v>
          </cell>
        </row>
        <row r="112">
          <cell r="E112" t="str">
            <v>F2- 50mm</v>
          </cell>
          <cell r="F112" t="str">
            <v>ｍ</v>
          </cell>
          <cell r="G112">
            <v>0</v>
          </cell>
          <cell r="H112">
            <v>815</v>
          </cell>
          <cell r="I112">
            <v>0</v>
          </cell>
          <cell r="J112">
            <v>815</v>
          </cell>
          <cell r="K112">
            <v>0</v>
          </cell>
          <cell r="L112">
            <v>815</v>
          </cell>
          <cell r="M112">
            <v>0</v>
          </cell>
          <cell r="N112">
            <v>815</v>
          </cell>
          <cell r="O112">
            <v>0</v>
          </cell>
          <cell r="P112">
            <v>815</v>
          </cell>
          <cell r="Q112">
            <v>0</v>
          </cell>
          <cell r="R112">
            <v>815</v>
          </cell>
          <cell r="S112">
            <v>0</v>
          </cell>
          <cell r="T112">
            <v>815</v>
          </cell>
          <cell r="U112">
            <v>0</v>
          </cell>
          <cell r="V112">
            <v>815</v>
          </cell>
          <cell r="W112">
            <v>0</v>
          </cell>
          <cell r="X112">
            <v>815</v>
          </cell>
          <cell r="Y112">
            <v>0</v>
          </cell>
          <cell r="Z112">
            <v>815</v>
          </cell>
          <cell r="AA112">
            <v>0</v>
          </cell>
          <cell r="AB112">
            <v>0</v>
          </cell>
          <cell r="AC112">
            <v>0</v>
          </cell>
          <cell r="AD112">
            <v>7.4999999999999997E-2</v>
          </cell>
          <cell r="AE112">
            <v>0</v>
          </cell>
          <cell r="AF112">
            <v>0</v>
          </cell>
          <cell r="AG112">
            <v>0</v>
          </cell>
          <cell r="AH112">
            <v>0</v>
          </cell>
          <cell r="AI112">
            <v>0</v>
          </cell>
          <cell r="AJ112">
            <v>0</v>
          </cell>
          <cell r="AK112">
            <v>0</v>
          </cell>
          <cell r="AL112">
            <v>0</v>
          </cell>
        </row>
        <row r="113">
          <cell r="E113" t="str">
            <v>F2- 63mm</v>
          </cell>
          <cell r="F113" t="str">
            <v>ｍ</v>
          </cell>
          <cell r="G113">
            <v>0</v>
          </cell>
          <cell r="H113">
            <v>1290</v>
          </cell>
          <cell r="I113">
            <v>0</v>
          </cell>
          <cell r="J113">
            <v>1290</v>
          </cell>
          <cell r="K113">
            <v>0</v>
          </cell>
          <cell r="L113">
            <v>1290</v>
          </cell>
          <cell r="M113">
            <v>0</v>
          </cell>
          <cell r="N113">
            <v>1290</v>
          </cell>
          <cell r="O113">
            <v>0</v>
          </cell>
          <cell r="P113">
            <v>1290</v>
          </cell>
          <cell r="Q113">
            <v>0</v>
          </cell>
          <cell r="R113">
            <v>1290</v>
          </cell>
          <cell r="S113">
            <v>0</v>
          </cell>
          <cell r="T113">
            <v>1290</v>
          </cell>
          <cell r="U113">
            <v>0</v>
          </cell>
          <cell r="V113">
            <v>1290</v>
          </cell>
          <cell r="W113">
            <v>0</v>
          </cell>
          <cell r="X113">
            <v>1290</v>
          </cell>
          <cell r="Y113">
            <v>0</v>
          </cell>
          <cell r="Z113">
            <v>1290</v>
          </cell>
          <cell r="AA113">
            <v>0</v>
          </cell>
          <cell r="AB113">
            <v>0</v>
          </cell>
          <cell r="AC113">
            <v>0</v>
          </cell>
          <cell r="AD113">
            <v>9.5000000000000001E-2</v>
          </cell>
          <cell r="AE113">
            <v>0</v>
          </cell>
          <cell r="AF113">
            <v>0</v>
          </cell>
          <cell r="AG113">
            <v>0</v>
          </cell>
          <cell r="AH113">
            <v>0</v>
          </cell>
          <cell r="AI113">
            <v>0</v>
          </cell>
          <cell r="AJ113">
            <v>0</v>
          </cell>
          <cell r="AK113">
            <v>0</v>
          </cell>
          <cell r="AL113">
            <v>0</v>
          </cell>
        </row>
        <row r="114">
          <cell r="E114" t="str">
            <v>F2- 76mm</v>
          </cell>
          <cell r="F114" t="str">
            <v>ｍ</v>
          </cell>
          <cell r="G114">
            <v>0</v>
          </cell>
          <cell r="H114">
            <v>1720</v>
          </cell>
          <cell r="I114">
            <v>0</v>
          </cell>
          <cell r="J114">
            <v>1720</v>
          </cell>
          <cell r="K114">
            <v>0</v>
          </cell>
          <cell r="L114">
            <v>1720</v>
          </cell>
          <cell r="M114">
            <v>0</v>
          </cell>
          <cell r="N114">
            <v>1720</v>
          </cell>
          <cell r="O114">
            <v>0</v>
          </cell>
          <cell r="P114">
            <v>1720</v>
          </cell>
          <cell r="Q114">
            <v>0</v>
          </cell>
          <cell r="R114">
            <v>1720</v>
          </cell>
          <cell r="S114">
            <v>0</v>
          </cell>
          <cell r="T114">
            <v>1720</v>
          </cell>
          <cell r="U114">
            <v>0</v>
          </cell>
          <cell r="V114">
            <v>1720</v>
          </cell>
          <cell r="W114">
            <v>0</v>
          </cell>
          <cell r="X114">
            <v>1720</v>
          </cell>
          <cell r="Y114">
            <v>0</v>
          </cell>
          <cell r="Z114">
            <v>1720</v>
          </cell>
          <cell r="AA114">
            <v>0</v>
          </cell>
          <cell r="AB114">
            <v>0</v>
          </cell>
          <cell r="AC114">
            <v>0</v>
          </cell>
          <cell r="AD114">
            <v>0.115</v>
          </cell>
          <cell r="AE114">
            <v>0</v>
          </cell>
          <cell r="AF114">
            <v>0</v>
          </cell>
          <cell r="AG114">
            <v>0</v>
          </cell>
          <cell r="AH114">
            <v>0</v>
          </cell>
          <cell r="AI114">
            <v>0</v>
          </cell>
          <cell r="AJ114">
            <v>0</v>
          </cell>
          <cell r="AK114">
            <v>0</v>
          </cell>
          <cell r="AL114">
            <v>0</v>
          </cell>
        </row>
        <row r="115">
          <cell r="E115" t="str">
            <v>F2- 83mm</v>
          </cell>
          <cell r="F115" t="str">
            <v>ｍ</v>
          </cell>
          <cell r="G115">
            <v>0</v>
          </cell>
          <cell r="H115">
            <v>2260</v>
          </cell>
          <cell r="I115">
            <v>0</v>
          </cell>
          <cell r="J115">
            <v>2260</v>
          </cell>
          <cell r="K115">
            <v>0</v>
          </cell>
          <cell r="L115">
            <v>2260</v>
          </cell>
          <cell r="M115">
            <v>0</v>
          </cell>
          <cell r="N115">
            <v>2260</v>
          </cell>
          <cell r="O115">
            <v>0</v>
          </cell>
          <cell r="P115">
            <v>2260</v>
          </cell>
          <cell r="Q115">
            <v>0</v>
          </cell>
          <cell r="R115">
            <v>2260</v>
          </cell>
          <cell r="S115">
            <v>0</v>
          </cell>
          <cell r="T115">
            <v>2260</v>
          </cell>
          <cell r="U115">
            <v>0</v>
          </cell>
          <cell r="V115">
            <v>2260</v>
          </cell>
          <cell r="W115">
            <v>0</v>
          </cell>
          <cell r="X115">
            <v>2260</v>
          </cell>
          <cell r="Y115">
            <v>0</v>
          </cell>
          <cell r="Z115">
            <v>2260</v>
          </cell>
          <cell r="AA115">
            <v>0</v>
          </cell>
          <cell r="AB115">
            <v>0</v>
          </cell>
          <cell r="AC115">
            <v>0</v>
          </cell>
          <cell r="AD115">
            <v>0.125</v>
          </cell>
          <cell r="AE115">
            <v>0</v>
          </cell>
          <cell r="AF115">
            <v>0</v>
          </cell>
          <cell r="AG115">
            <v>0</v>
          </cell>
          <cell r="AH115">
            <v>0</v>
          </cell>
          <cell r="AI115">
            <v>0</v>
          </cell>
          <cell r="AJ115">
            <v>0</v>
          </cell>
          <cell r="AK115">
            <v>0</v>
          </cell>
          <cell r="AL115">
            <v>0</v>
          </cell>
        </row>
        <row r="116">
          <cell r="E116" t="str">
            <v>F2-101mm</v>
          </cell>
          <cell r="F116" t="str">
            <v>ｍ</v>
          </cell>
          <cell r="G116">
            <v>0</v>
          </cell>
          <cell r="H116">
            <v>3130</v>
          </cell>
          <cell r="I116">
            <v>0</v>
          </cell>
          <cell r="J116">
            <v>3130</v>
          </cell>
          <cell r="K116">
            <v>0</v>
          </cell>
          <cell r="L116">
            <v>3130</v>
          </cell>
          <cell r="M116">
            <v>0</v>
          </cell>
          <cell r="N116">
            <v>3130</v>
          </cell>
          <cell r="O116">
            <v>0</v>
          </cell>
          <cell r="P116">
            <v>3130</v>
          </cell>
          <cell r="Q116">
            <v>0</v>
          </cell>
          <cell r="R116">
            <v>3130</v>
          </cell>
          <cell r="S116">
            <v>0</v>
          </cell>
          <cell r="T116">
            <v>3130</v>
          </cell>
          <cell r="U116">
            <v>0</v>
          </cell>
          <cell r="V116">
            <v>3130</v>
          </cell>
          <cell r="W116">
            <v>0</v>
          </cell>
          <cell r="X116">
            <v>3130</v>
          </cell>
          <cell r="Y116">
            <v>0</v>
          </cell>
          <cell r="Z116">
            <v>3130</v>
          </cell>
          <cell r="AA116">
            <v>0</v>
          </cell>
          <cell r="AB116">
            <v>0</v>
          </cell>
          <cell r="AC116">
            <v>0</v>
          </cell>
          <cell r="AD116">
            <v>0.152</v>
          </cell>
          <cell r="AE116">
            <v>0</v>
          </cell>
          <cell r="AF116">
            <v>0</v>
          </cell>
          <cell r="AG116">
            <v>0</v>
          </cell>
          <cell r="AH116">
            <v>0</v>
          </cell>
          <cell r="AI116">
            <v>0</v>
          </cell>
          <cell r="AJ116">
            <v>0</v>
          </cell>
          <cell r="AK116">
            <v>0</v>
          </cell>
          <cell r="AL116">
            <v>0</v>
          </cell>
        </row>
        <row r="117">
          <cell r="E117" t="str">
            <v>F2-V- 10mm</v>
          </cell>
          <cell r="F117" t="str">
            <v>ｍ</v>
          </cell>
          <cell r="G117">
            <v>0</v>
          </cell>
          <cell r="H117">
            <v>291</v>
          </cell>
          <cell r="I117">
            <v>0</v>
          </cell>
          <cell r="J117">
            <v>291</v>
          </cell>
          <cell r="K117">
            <v>0</v>
          </cell>
          <cell r="L117">
            <v>291</v>
          </cell>
          <cell r="M117">
            <v>0</v>
          </cell>
          <cell r="N117">
            <v>291</v>
          </cell>
          <cell r="O117">
            <v>0</v>
          </cell>
          <cell r="P117">
            <v>291</v>
          </cell>
          <cell r="Q117">
            <v>0</v>
          </cell>
          <cell r="R117">
            <v>291</v>
          </cell>
          <cell r="S117">
            <v>0</v>
          </cell>
          <cell r="T117">
            <v>291</v>
          </cell>
          <cell r="U117">
            <v>0</v>
          </cell>
          <cell r="V117">
            <v>291</v>
          </cell>
          <cell r="W117">
            <v>0</v>
          </cell>
          <cell r="X117">
            <v>291</v>
          </cell>
          <cell r="Y117">
            <v>0</v>
          </cell>
          <cell r="Z117">
            <v>291</v>
          </cell>
          <cell r="AA117">
            <v>0</v>
          </cell>
          <cell r="AB117">
            <v>0</v>
          </cell>
          <cell r="AC117">
            <v>0</v>
          </cell>
          <cell r="AD117">
            <v>1.4999999999999999E-2</v>
          </cell>
          <cell r="AE117">
            <v>0</v>
          </cell>
          <cell r="AF117">
            <v>0</v>
          </cell>
          <cell r="AG117">
            <v>0</v>
          </cell>
          <cell r="AH117">
            <v>0</v>
          </cell>
          <cell r="AI117">
            <v>0</v>
          </cell>
          <cell r="AJ117">
            <v>0</v>
          </cell>
          <cell r="AK117">
            <v>0</v>
          </cell>
          <cell r="AL117">
            <v>0</v>
          </cell>
        </row>
        <row r="118">
          <cell r="E118" t="str">
            <v>F2-V- 12mm</v>
          </cell>
          <cell r="F118" t="str">
            <v>ｍ</v>
          </cell>
          <cell r="G118">
            <v>0</v>
          </cell>
          <cell r="H118">
            <v>334</v>
          </cell>
          <cell r="I118">
            <v>0</v>
          </cell>
          <cell r="J118">
            <v>334</v>
          </cell>
          <cell r="K118">
            <v>0</v>
          </cell>
          <cell r="L118">
            <v>334</v>
          </cell>
          <cell r="M118">
            <v>0</v>
          </cell>
          <cell r="N118">
            <v>334</v>
          </cell>
          <cell r="O118">
            <v>0</v>
          </cell>
          <cell r="P118">
            <v>334</v>
          </cell>
          <cell r="Q118">
            <v>0</v>
          </cell>
          <cell r="R118">
            <v>334</v>
          </cell>
          <cell r="S118">
            <v>0</v>
          </cell>
          <cell r="T118">
            <v>334</v>
          </cell>
          <cell r="U118">
            <v>0</v>
          </cell>
          <cell r="V118">
            <v>334</v>
          </cell>
          <cell r="W118">
            <v>0</v>
          </cell>
          <cell r="X118">
            <v>334</v>
          </cell>
          <cell r="Y118">
            <v>0</v>
          </cell>
          <cell r="Z118">
            <v>334</v>
          </cell>
          <cell r="AA118">
            <v>0</v>
          </cell>
          <cell r="AB118">
            <v>0</v>
          </cell>
          <cell r="AC118">
            <v>0</v>
          </cell>
          <cell r="AD118">
            <v>1.7999999999999999E-2</v>
          </cell>
          <cell r="AE118">
            <v>0</v>
          </cell>
          <cell r="AF118">
            <v>0</v>
          </cell>
          <cell r="AG118">
            <v>0</v>
          </cell>
          <cell r="AH118">
            <v>0</v>
          </cell>
          <cell r="AI118">
            <v>0</v>
          </cell>
          <cell r="AJ118">
            <v>0</v>
          </cell>
          <cell r="AK118">
            <v>0</v>
          </cell>
          <cell r="AL118">
            <v>0</v>
          </cell>
        </row>
        <row r="119">
          <cell r="E119" t="str">
            <v>F2-V- 15mm</v>
          </cell>
          <cell r="F119" t="str">
            <v>ｍ</v>
          </cell>
          <cell r="G119">
            <v>0</v>
          </cell>
          <cell r="H119">
            <v>378</v>
          </cell>
          <cell r="I119">
            <v>0</v>
          </cell>
          <cell r="J119">
            <v>378</v>
          </cell>
          <cell r="K119">
            <v>0</v>
          </cell>
          <cell r="L119">
            <v>378</v>
          </cell>
          <cell r="M119">
            <v>0</v>
          </cell>
          <cell r="N119">
            <v>378</v>
          </cell>
          <cell r="O119">
            <v>0</v>
          </cell>
          <cell r="P119">
            <v>378</v>
          </cell>
          <cell r="Q119">
            <v>0</v>
          </cell>
          <cell r="R119">
            <v>378</v>
          </cell>
          <cell r="S119">
            <v>0</v>
          </cell>
          <cell r="T119">
            <v>378</v>
          </cell>
          <cell r="U119">
            <v>0</v>
          </cell>
          <cell r="V119">
            <v>378</v>
          </cell>
          <cell r="W119">
            <v>0</v>
          </cell>
          <cell r="X119">
            <v>378</v>
          </cell>
          <cell r="Y119">
            <v>0</v>
          </cell>
          <cell r="Z119">
            <v>378</v>
          </cell>
          <cell r="AA119">
            <v>0</v>
          </cell>
          <cell r="AB119">
            <v>0</v>
          </cell>
          <cell r="AC119">
            <v>0</v>
          </cell>
          <cell r="AD119">
            <v>2.1999999999999999E-2</v>
          </cell>
          <cell r="AE119">
            <v>0</v>
          </cell>
          <cell r="AF119">
            <v>0</v>
          </cell>
          <cell r="AG119">
            <v>0</v>
          </cell>
          <cell r="AH119">
            <v>0</v>
          </cell>
          <cell r="AI119">
            <v>0</v>
          </cell>
          <cell r="AJ119">
            <v>0</v>
          </cell>
          <cell r="AK119">
            <v>0</v>
          </cell>
          <cell r="AL119">
            <v>0</v>
          </cell>
        </row>
        <row r="120">
          <cell r="E120" t="str">
            <v>F2-V- 17mm</v>
          </cell>
          <cell r="F120" t="str">
            <v>ｍ</v>
          </cell>
          <cell r="G120">
            <v>0</v>
          </cell>
          <cell r="H120">
            <v>421</v>
          </cell>
          <cell r="I120">
            <v>0</v>
          </cell>
          <cell r="J120">
            <v>421</v>
          </cell>
          <cell r="K120">
            <v>0</v>
          </cell>
          <cell r="L120">
            <v>421</v>
          </cell>
          <cell r="M120">
            <v>0</v>
          </cell>
          <cell r="N120">
            <v>421</v>
          </cell>
          <cell r="O120">
            <v>0</v>
          </cell>
          <cell r="P120">
            <v>421</v>
          </cell>
          <cell r="Q120">
            <v>0</v>
          </cell>
          <cell r="R120">
            <v>421</v>
          </cell>
          <cell r="S120">
            <v>0</v>
          </cell>
          <cell r="T120">
            <v>421</v>
          </cell>
          <cell r="U120">
            <v>0</v>
          </cell>
          <cell r="V120">
            <v>421</v>
          </cell>
          <cell r="W120">
            <v>0</v>
          </cell>
          <cell r="X120">
            <v>421</v>
          </cell>
          <cell r="Y120">
            <v>0</v>
          </cell>
          <cell r="Z120">
            <v>421</v>
          </cell>
          <cell r="AA120">
            <v>0</v>
          </cell>
          <cell r="AB120">
            <v>0</v>
          </cell>
          <cell r="AC120">
            <v>0</v>
          </cell>
          <cell r="AD120">
            <v>2.5000000000000001E-2</v>
          </cell>
          <cell r="AE120">
            <v>0</v>
          </cell>
          <cell r="AF120">
            <v>0</v>
          </cell>
          <cell r="AG120">
            <v>0</v>
          </cell>
          <cell r="AH120">
            <v>0</v>
          </cell>
          <cell r="AI120">
            <v>0</v>
          </cell>
          <cell r="AJ120">
            <v>0</v>
          </cell>
          <cell r="AK120">
            <v>0</v>
          </cell>
          <cell r="AL120">
            <v>0</v>
          </cell>
        </row>
        <row r="121">
          <cell r="E121" t="str">
            <v>F2-V- 24mm</v>
          </cell>
          <cell r="F121" t="str">
            <v>ｍ</v>
          </cell>
          <cell r="G121">
            <v>0</v>
          </cell>
          <cell r="H121">
            <v>545</v>
          </cell>
          <cell r="I121">
            <v>0</v>
          </cell>
          <cell r="J121">
            <v>545</v>
          </cell>
          <cell r="K121">
            <v>0</v>
          </cell>
          <cell r="L121">
            <v>545</v>
          </cell>
          <cell r="M121">
            <v>0</v>
          </cell>
          <cell r="N121">
            <v>545</v>
          </cell>
          <cell r="O121">
            <v>0</v>
          </cell>
          <cell r="P121">
            <v>545</v>
          </cell>
          <cell r="Q121">
            <v>0</v>
          </cell>
          <cell r="R121">
            <v>545</v>
          </cell>
          <cell r="S121">
            <v>0</v>
          </cell>
          <cell r="T121">
            <v>545</v>
          </cell>
          <cell r="U121">
            <v>0</v>
          </cell>
          <cell r="V121">
            <v>545</v>
          </cell>
          <cell r="W121">
            <v>0</v>
          </cell>
          <cell r="X121">
            <v>545</v>
          </cell>
          <cell r="Y121">
            <v>0</v>
          </cell>
          <cell r="Z121">
            <v>545</v>
          </cell>
          <cell r="AA121">
            <v>0</v>
          </cell>
          <cell r="AB121">
            <v>0</v>
          </cell>
          <cell r="AC121">
            <v>0</v>
          </cell>
          <cell r="AD121">
            <v>3.5999999999999997E-2</v>
          </cell>
          <cell r="AE121">
            <v>0</v>
          </cell>
          <cell r="AF121">
            <v>0</v>
          </cell>
          <cell r="AG121">
            <v>0</v>
          </cell>
          <cell r="AH121">
            <v>0</v>
          </cell>
          <cell r="AI121">
            <v>0</v>
          </cell>
          <cell r="AJ121">
            <v>0</v>
          </cell>
          <cell r="AK121">
            <v>0</v>
          </cell>
          <cell r="AL121">
            <v>0</v>
          </cell>
        </row>
        <row r="122">
          <cell r="E122" t="str">
            <v>F2-V- 30mm</v>
          </cell>
          <cell r="F122" t="str">
            <v>ｍ</v>
          </cell>
          <cell r="G122">
            <v>0</v>
          </cell>
          <cell r="H122">
            <v>691</v>
          </cell>
          <cell r="I122">
            <v>0</v>
          </cell>
          <cell r="J122">
            <v>691</v>
          </cell>
          <cell r="K122">
            <v>0</v>
          </cell>
          <cell r="L122">
            <v>691</v>
          </cell>
          <cell r="M122">
            <v>0</v>
          </cell>
          <cell r="N122">
            <v>691</v>
          </cell>
          <cell r="O122">
            <v>0</v>
          </cell>
          <cell r="P122">
            <v>691</v>
          </cell>
          <cell r="Q122">
            <v>0</v>
          </cell>
          <cell r="R122">
            <v>691</v>
          </cell>
          <cell r="S122">
            <v>0</v>
          </cell>
          <cell r="T122">
            <v>691</v>
          </cell>
          <cell r="U122">
            <v>0</v>
          </cell>
          <cell r="V122">
            <v>691</v>
          </cell>
          <cell r="W122">
            <v>0</v>
          </cell>
          <cell r="X122">
            <v>691</v>
          </cell>
          <cell r="Y122">
            <v>0</v>
          </cell>
          <cell r="Z122">
            <v>691</v>
          </cell>
          <cell r="AA122">
            <v>0</v>
          </cell>
          <cell r="AB122">
            <v>0</v>
          </cell>
          <cell r="AC122">
            <v>0</v>
          </cell>
          <cell r="AD122">
            <v>4.4999999999999998E-2</v>
          </cell>
          <cell r="AE122">
            <v>0</v>
          </cell>
          <cell r="AF122">
            <v>0</v>
          </cell>
          <cell r="AG122">
            <v>0</v>
          </cell>
          <cell r="AH122">
            <v>0</v>
          </cell>
          <cell r="AI122">
            <v>0</v>
          </cell>
          <cell r="AJ122">
            <v>0</v>
          </cell>
          <cell r="AK122">
            <v>0</v>
          </cell>
          <cell r="AL122">
            <v>0</v>
          </cell>
        </row>
        <row r="123">
          <cell r="E123" t="str">
            <v>F2-V- 38mm</v>
          </cell>
          <cell r="F123" t="str">
            <v>ｍ</v>
          </cell>
          <cell r="G123">
            <v>0</v>
          </cell>
          <cell r="H123">
            <v>853</v>
          </cell>
          <cell r="I123">
            <v>0</v>
          </cell>
          <cell r="J123">
            <v>853</v>
          </cell>
          <cell r="K123">
            <v>0</v>
          </cell>
          <cell r="L123">
            <v>853</v>
          </cell>
          <cell r="M123">
            <v>0</v>
          </cell>
          <cell r="N123">
            <v>853</v>
          </cell>
          <cell r="O123">
            <v>0</v>
          </cell>
          <cell r="P123">
            <v>853</v>
          </cell>
          <cell r="Q123">
            <v>0</v>
          </cell>
          <cell r="R123">
            <v>853</v>
          </cell>
          <cell r="S123">
            <v>0</v>
          </cell>
          <cell r="T123">
            <v>853</v>
          </cell>
          <cell r="U123">
            <v>0</v>
          </cell>
          <cell r="V123">
            <v>853</v>
          </cell>
          <cell r="W123">
            <v>0</v>
          </cell>
          <cell r="X123">
            <v>853</v>
          </cell>
          <cell r="Y123">
            <v>0</v>
          </cell>
          <cell r="Z123">
            <v>853</v>
          </cell>
          <cell r="AA123">
            <v>0</v>
          </cell>
          <cell r="AB123">
            <v>0</v>
          </cell>
          <cell r="AC123">
            <v>0</v>
          </cell>
          <cell r="AD123">
            <v>5.7000000000000002E-2</v>
          </cell>
          <cell r="AE123">
            <v>0</v>
          </cell>
          <cell r="AF123">
            <v>0</v>
          </cell>
          <cell r="AG123">
            <v>0</v>
          </cell>
          <cell r="AH123">
            <v>0</v>
          </cell>
          <cell r="AI123">
            <v>0</v>
          </cell>
          <cell r="AJ123">
            <v>0</v>
          </cell>
          <cell r="AK123">
            <v>0</v>
          </cell>
          <cell r="AL123">
            <v>0</v>
          </cell>
        </row>
        <row r="124">
          <cell r="E124" t="str">
            <v>F2-V- 50mm</v>
          </cell>
          <cell r="F124" t="str">
            <v>ｍ</v>
          </cell>
          <cell r="G124">
            <v>0</v>
          </cell>
          <cell r="H124">
            <v>1290</v>
          </cell>
          <cell r="I124">
            <v>0</v>
          </cell>
          <cell r="J124">
            <v>1290</v>
          </cell>
          <cell r="K124">
            <v>0</v>
          </cell>
          <cell r="L124">
            <v>1290</v>
          </cell>
          <cell r="M124">
            <v>0</v>
          </cell>
          <cell r="N124">
            <v>1290</v>
          </cell>
          <cell r="O124">
            <v>0</v>
          </cell>
          <cell r="P124">
            <v>1290</v>
          </cell>
          <cell r="Q124">
            <v>0</v>
          </cell>
          <cell r="R124">
            <v>1290</v>
          </cell>
          <cell r="S124">
            <v>0</v>
          </cell>
          <cell r="T124">
            <v>1290</v>
          </cell>
          <cell r="U124">
            <v>0</v>
          </cell>
          <cell r="V124">
            <v>1290</v>
          </cell>
          <cell r="W124">
            <v>0</v>
          </cell>
          <cell r="X124">
            <v>1290</v>
          </cell>
          <cell r="Y124">
            <v>0</v>
          </cell>
          <cell r="Z124">
            <v>1290</v>
          </cell>
          <cell r="AA124">
            <v>0</v>
          </cell>
          <cell r="AB124">
            <v>0</v>
          </cell>
          <cell r="AC124">
            <v>0</v>
          </cell>
          <cell r="AD124">
            <v>7.4999999999999997E-2</v>
          </cell>
          <cell r="AE124">
            <v>0</v>
          </cell>
          <cell r="AF124">
            <v>0</v>
          </cell>
          <cell r="AG124">
            <v>0</v>
          </cell>
          <cell r="AH124">
            <v>0</v>
          </cell>
          <cell r="AI124">
            <v>0</v>
          </cell>
          <cell r="AJ124">
            <v>0</v>
          </cell>
          <cell r="AK124">
            <v>0</v>
          </cell>
          <cell r="AL124">
            <v>0</v>
          </cell>
        </row>
        <row r="125">
          <cell r="E125" t="str">
            <v>F2-V- 63mm</v>
          </cell>
          <cell r="F125" t="str">
            <v>ｍ</v>
          </cell>
          <cell r="G125">
            <v>0</v>
          </cell>
          <cell r="H125">
            <v>2160</v>
          </cell>
          <cell r="I125">
            <v>0</v>
          </cell>
          <cell r="J125">
            <v>2160</v>
          </cell>
          <cell r="K125">
            <v>0</v>
          </cell>
          <cell r="L125">
            <v>2160</v>
          </cell>
          <cell r="M125">
            <v>0</v>
          </cell>
          <cell r="N125">
            <v>2160</v>
          </cell>
          <cell r="O125">
            <v>0</v>
          </cell>
          <cell r="P125">
            <v>2160</v>
          </cell>
          <cell r="Q125">
            <v>0</v>
          </cell>
          <cell r="R125">
            <v>2160</v>
          </cell>
          <cell r="S125">
            <v>0</v>
          </cell>
          <cell r="T125">
            <v>2160</v>
          </cell>
          <cell r="U125">
            <v>0</v>
          </cell>
          <cell r="V125">
            <v>2160</v>
          </cell>
          <cell r="W125">
            <v>0</v>
          </cell>
          <cell r="X125">
            <v>2160</v>
          </cell>
          <cell r="Y125">
            <v>0</v>
          </cell>
          <cell r="Z125">
            <v>2160</v>
          </cell>
          <cell r="AA125">
            <v>0</v>
          </cell>
          <cell r="AB125">
            <v>0</v>
          </cell>
          <cell r="AC125">
            <v>0</v>
          </cell>
          <cell r="AD125">
            <v>9.5000000000000001E-2</v>
          </cell>
          <cell r="AE125">
            <v>0</v>
          </cell>
          <cell r="AF125">
            <v>0</v>
          </cell>
          <cell r="AG125">
            <v>0</v>
          </cell>
          <cell r="AH125">
            <v>0</v>
          </cell>
          <cell r="AI125">
            <v>0</v>
          </cell>
          <cell r="AJ125">
            <v>0</v>
          </cell>
          <cell r="AK125">
            <v>0</v>
          </cell>
          <cell r="AL125">
            <v>0</v>
          </cell>
        </row>
        <row r="126">
          <cell r="E126" t="str">
            <v>F2-V- 76mm</v>
          </cell>
          <cell r="F126" t="str">
            <v>ｍ</v>
          </cell>
          <cell r="G126">
            <v>0</v>
          </cell>
          <cell r="H126">
            <v>2910</v>
          </cell>
          <cell r="I126">
            <v>0</v>
          </cell>
          <cell r="J126">
            <v>2910</v>
          </cell>
          <cell r="K126">
            <v>0</v>
          </cell>
          <cell r="L126">
            <v>2910</v>
          </cell>
          <cell r="M126">
            <v>0</v>
          </cell>
          <cell r="N126">
            <v>2910</v>
          </cell>
          <cell r="O126">
            <v>0</v>
          </cell>
          <cell r="P126">
            <v>2910</v>
          </cell>
          <cell r="Q126">
            <v>0</v>
          </cell>
          <cell r="R126">
            <v>2910</v>
          </cell>
          <cell r="S126">
            <v>0</v>
          </cell>
          <cell r="T126">
            <v>2910</v>
          </cell>
          <cell r="U126">
            <v>0</v>
          </cell>
          <cell r="V126">
            <v>2910</v>
          </cell>
          <cell r="W126">
            <v>0</v>
          </cell>
          <cell r="X126">
            <v>2910</v>
          </cell>
          <cell r="Y126">
            <v>0</v>
          </cell>
          <cell r="Z126">
            <v>2910</v>
          </cell>
          <cell r="AA126">
            <v>0</v>
          </cell>
          <cell r="AB126">
            <v>0</v>
          </cell>
          <cell r="AC126">
            <v>0</v>
          </cell>
          <cell r="AD126">
            <v>0.115</v>
          </cell>
          <cell r="AE126">
            <v>0</v>
          </cell>
          <cell r="AF126">
            <v>0</v>
          </cell>
          <cell r="AG126">
            <v>0</v>
          </cell>
          <cell r="AH126">
            <v>0</v>
          </cell>
          <cell r="AI126">
            <v>0</v>
          </cell>
          <cell r="AJ126">
            <v>0</v>
          </cell>
          <cell r="AK126">
            <v>0</v>
          </cell>
          <cell r="AL126">
            <v>0</v>
          </cell>
        </row>
        <row r="127">
          <cell r="E127" t="str">
            <v>F2-V- 83mm</v>
          </cell>
          <cell r="F127" t="str">
            <v>ｍ</v>
          </cell>
          <cell r="G127">
            <v>0</v>
          </cell>
          <cell r="H127">
            <v>4530</v>
          </cell>
          <cell r="I127">
            <v>0</v>
          </cell>
          <cell r="J127">
            <v>4530</v>
          </cell>
          <cell r="K127">
            <v>0</v>
          </cell>
          <cell r="L127">
            <v>4530</v>
          </cell>
          <cell r="M127">
            <v>0</v>
          </cell>
          <cell r="N127">
            <v>4530</v>
          </cell>
          <cell r="O127">
            <v>0</v>
          </cell>
          <cell r="P127">
            <v>4530</v>
          </cell>
          <cell r="Q127">
            <v>0</v>
          </cell>
          <cell r="R127">
            <v>4530</v>
          </cell>
          <cell r="S127">
            <v>0</v>
          </cell>
          <cell r="T127">
            <v>4530</v>
          </cell>
          <cell r="U127">
            <v>0</v>
          </cell>
          <cell r="V127">
            <v>4530</v>
          </cell>
          <cell r="W127">
            <v>0</v>
          </cell>
          <cell r="X127">
            <v>4530</v>
          </cell>
          <cell r="Y127">
            <v>0</v>
          </cell>
          <cell r="Z127">
            <v>4530</v>
          </cell>
          <cell r="AA127">
            <v>0</v>
          </cell>
          <cell r="AB127">
            <v>0</v>
          </cell>
          <cell r="AC127">
            <v>0</v>
          </cell>
          <cell r="AD127">
            <v>0.125</v>
          </cell>
          <cell r="AE127">
            <v>0</v>
          </cell>
          <cell r="AF127">
            <v>0</v>
          </cell>
          <cell r="AG127">
            <v>0</v>
          </cell>
          <cell r="AH127">
            <v>0</v>
          </cell>
          <cell r="AI127">
            <v>0</v>
          </cell>
          <cell r="AJ127">
            <v>0</v>
          </cell>
          <cell r="AK127">
            <v>0</v>
          </cell>
          <cell r="AL127">
            <v>0</v>
          </cell>
        </row>
        <row r="128">
          <cell r="E128" t="str">
            <v>F2-V-101mm</v>
          </cell>
          <cell r="F128" t="str">
            <v>ｍ</v>
          </cell>
          <cell r="G128">
            <v>0</v>
          </cell>
          <cell r="H128">
            <v>5400</v>
          </cell>
          <cell r="I128">
            <v>0</v>
          </cell>
          <cell r="J128">
            <v>5400</v>
          </cell>
          <cell r="K128">
            <v>0</v>
          </cell>
          <cell r="L128">
            <v>5400</v>
          </cell>
          <cell r="M128">
            <v>0</v>
          </cell>
          <cell r="N128">
            <v>5400</v>
          </cell>
          <cell r="O128">
            <v>0</v>
          </cell>
          <cell r="P128">
            <v>5400</v>
          </cell>
          <cell r="Q128">
            <v>0</v>
          </cell>
          <cell r="R128">
            <v>5400</v>
          </cell>
          <cell r="S128">
            <v>0</v>
          </cell>
          <cell r="T128">
            <v>5400</v>
          </cell>
          <cell r="U128">
            <v>0</v>
          </cell>
          <cell r="V128">
            <v>5400</v>
          </cell>
          <cell r="W128">
            <v>0</v>
          </cell>
          <cell r="X128">
            <v>5400</v>
          </cell>
          <cell r="Y128">
            <v>0</v>
          </cell>
          <cell r="Z128">
            <v>5400</v>
          </cell>
          <cell r="AA128">
            <v>0</v>
          </cell>
          <cell r="AB128">
            <v>0</v>
          </cell>
          <cell r="AC128">
            <v>0</v>
          </cell>
          <cell r="AD128">
            <v>0.152</v>
          </cell>
          <cell r="AE128">
            <v>0</v>
          </cell>
          <cell r="AF128">
            <v>0</v>
          </cell>
          <cell r="AG128">
            <v>0</v>
          </cell>
          <cell r="AH128">
            <v>0</v>
          </cell>
          <cell r="AI128">
            <v>0</v>
          </cell>
          <cell r="AJ128">
            <v>0</v>
          </cell>
          <cell r="AK128">
            <v>0</v>
          </cell>
          <cell r="AL128">
            <v>0</v>
          </cell>
        </row>
        <row r="129">
          <cell r="E129" t="str">
            <v>PE- 16mm</v>
          </cell>
          <cell r="F129" t="str">
            <v>ｍ</v>
          </cell>
          <cell r="G129">
            <v>1280</v>
          </cell>
          <cell r="H129">
            <v>349</v>
          </cell>
          <cell r="I129">
            <v>1280</v>
          </cell>
          <cell r="J129">
            <v>349</v>
          </cell>
          <cell r="K129">
            <v>1280</v>
          </cell>
          <cell r="L129">
            <v>349</v>
          </cell>
          <cell r="M129">
            <v>1280</v>
          </cell>
          <cell r="N129">
            <v>349</v>
          </cell>
          <cell r="O129">
            <v>1280</v>
          </cell>
          <cell r="P129">
            <v>349</v>
          </cell>
          <cell r="Q129">
            <v>1280</v>
          </cell>
          <cell r="R129">
            <v>349</v>
          </cell>
          <cell r="S129">
            <v>1280</v>
          </cell>
          <cell r="T129">
            <v>349</v>
          </cell>
          <cell r="U129">
            <v>1280</v>
          </cell>
          <cell r="V129">
            <v>349</v>
          </cell>
          <cell r="W129">
            <v>1280</v>
          </cell>
          <cell r="X129">
            <v>349</v>
          </cell>
          <cell r="Y129">
            <v>1280</v>
          </cell>
          <cell r="Z129">
            <v>349</v>
          </cell>
          <cell r="AA129">
            <v>0</v>
          </cell>
          <cell r="AB129">
            <v>0</v>
          </cell>
          <cell r="AC129">
            <v>0</v>
          </cell>
          <cell r="AD129">
            <v>0.06</v>
          </cell>
          <cell r="AE129">
            <v>0</v>
          </cell>
          <cell r="AF129">
            <v>0</v>
          </cell>
          <cell r="AG129">
            <v>0</v>
          </cell>
          <cell r="AH129">
            <v>0</v>
          </cell>
          <cell r="AI129">
            <v>0</v>
          </cell>
          <cell r="AJ129">
            <v>0</v>
          </cell>
          <cell r="AK129">
            <v>0</v>
          </cell>
          <cell r="AL129" t="str">
            <v>１本=3.66m</v>
          </cell>
        </row>
        <row r="130">
          <cell r="E130" t="str">
            <v>PE- 22mm</v>
          </cell>
          <cell r="F130" t="str">
            <v>ｍ</v>
          </cell>
          <cell r="G130">
            <v>1460</v>
          </cell>
          <cell r="H130">
            <v>398</v>
          </cell>
          <cell r="I130">
            <v>1460</v>
          </cell>
          <cell r="J130">
            <v>398</v>
          </cell>
          <cell r="K130">
            <v>1460</v>
          </cell>
          <cell r="L130">
            <v>398</v>
          </cell>
          <cell r="M130">
            <v>1460</v>
          </cell>
          <cell r="N130">
            <v>398</v>
          </cell>
          <cell r="O130">
            <v>1460</v>
          </cell>
          <cell r="P130">
            <v>398</v>
          </cell>
          <cell r="Q130">
            <v>1460</v>
          </cell>
          <cell r="R130">
            <v>398</v>
          </cell>
          <cell r="S130">
            <v>1460</v>
          </cell>
          <cell r="T130">
            <v>398</v>
          </cell>
          <cell r="U130">
            <v>1460</v>
          </cell>
          <cell r="V130">
            <v>398</v>
          </cell>
          <cell r="W130">
            <v>1460</v>
          </cell>
          <cell r="X130">
            <v>398</v>
          </cell>
          <cell r="Y130">
            <v>1460</v>
          </cell>
          <cell r="Z130">
            <v>398</v>
          </cell>
          <cell r="AA130">
            <v>0</v>
          </cell>
          <cell r="AB130">
            <v>0</v>
          </cell>
          <cell r="AC130">
            <v>0</v>
          </cell>
          <cell r="AD130">
            <v>0.08</v>
          </cell>
          <cell r="AE130">
            <v>0</v>
          </cell>
          <cell r="AF130">
            <v>0</v>
          </cell>
          <cell r="AG130">
            <v>0</v>
          </cell>
          <cell r="AH130">
            <v>0</v>
          </cell>
          <cell r="AI130">
            <v>0</v>
          </cell>
          <cell r="AJ130">
            <v>0</v>
          </cell>
          <cell r="AK130">
            <v>0</v>
          </cell>
          <cell r="AL130" t="str">
            <v xml:space="preserve">     ↓</v>
          </cell>
        </row>
        <row r="131">
          <cell r="E131" t="str">
            <v>PE- 28mm</v>
          </cell>
          <cell r="F131" t="str">
            <v>ｍ</v>
          </cell>
          <cell r="G131">
            <v>1880</v>
          </cell>
          <cell r="H131">
            <v>513</v>
          </cell>
          <cell r="I131">
            <v>1880</v>
          </cell>
          <cell r="J131">
            <v>513</v>
          </cell>
          <cell r="K131">
            <v>1880</v>
          </cell>
          <cell r="L131">
            <v>513</v>
          </cell>
          <cell r="M131">
            <v>1880</v>
          </cell>
          <cell r="N131">
            <v>513</v>
          </cell>
          <cell r="O131">
            <v>1880</v>
          </cell>
          <cell r="P131">
            <v>513</v>
          </cell>
          <cell r="Q131">
            <v>1880</v>
          </cell>
          <cell r="R131">
            <v>513</v>
          </cell>
          <cell r="S131">
            <v>1880</v>
          </cell>
          <cell r="T131">
            <v>513</v>
          </cell>
          <cell r="U131">
            <v>1880</v>
          </cell>
          <cell r="V131">
            <v>513</v>
          </cell>
          <cell r="W131">
            <v>1880</v>
          </cell>
          <cell r="X131">
            <v>513</v>
          </cell>
          <cell r="Y131">
            <v>1880</v>
          </cell>
          <cell r="Z131">
            <v>513</v>
          </cell>
          <cell r="AA131">
            <v>0</v>
          </cell>
          <cell r="AB131">
            <v>0</v>
          </cell>
          <cell r="AC131">
            <v>0</v>
          </cell>
          <cell r="AD131">
            <v>0.10299999999999999</v>
          </cell>
          <cell r="AE131">
            <v>0</v>
          </cell>
          <cell r="AF131">
            <v>0</v>
          </cell>
          <cell r="AG131">
            <v>0</v>
          </cell>
          <cell r="AH131">
            <v>0</v>
          </cell>
          <cell r="AI131">
            <v>0</v>
          </cell>
          <cell r="AJ131">
            <v>0</v>
          </cell>
          <cell r="AK131">
            <v>0</v>
          </cell>
          <cell r="AL131" t="str">
            <v xml:space="preserve">     ↓</v>
          </cell>
        </row>
        <row r="132">
          <cell r="E132" t="str">
            <v>PE- 36mm</v>
          </cell>
          <cell r="F132" t="str">
            <v>ｍ</v>
          </cell>
          <cell r="G132">
            <v>2410</v>
          </cell>
          <cell r="H132">
            <v>658</v>
          </cell>
          <cell r="I132">
            <v>2410</v>
          </cell>
          <cell r="J132">
            <v>658</v>
          </cell>
          <cell r="K132">
            <v>2410</v>
          </cell>
          <cell r="L132">
            <v>658</v>
          </cell>
          <cell r="M132">
            <v>2410</v>
          </cell>
          <cell r="N132">
            <v>658</v>
          </cell>
          <cell r="O132">
            <v>2410</v>
          </cell>
          <cell r="P132">
            <v>658</v>
          </cell>
          <cell r="Q132">
            <v>2410</v>
          </cell>
          <cell r="R132">
            <v>658</v>
          </cell>
          <cell r="S132">
            <v>2410</v>
          </cell>
          <cell r="T132">
            <v>658</v>
          </cell>
          <cell r="U132">
            <v>2410</v>
          </cell>
          <cell r="V132">
            <v>658</v>
          </cell>
          <cell r="W132">
            <v>2410</v>
          </cell>
          <cell r="X132">
            <v>658</v>
          </cell>
          <cell r="Y132">
            <v>2410</v>
          </cell>
          <cell r="Z132">
            <v>658</v>
          </cell>
          <cell r="AA132">
            <v>0</v>
          </cell>
          <cell r="AB132">
            <v>0</v>
          </cell>
          <cell r="AC132">
            <v>0</v>
          </cell>
          <cell r="AD132">
            <v>0.124</v>
          </cell>
          <cell r="AE132">
            <v>0</v>
          </cell>
          <cell r="AF132">
            <v>0</v>
          </cell>
          <cell r="AG132">
            <v>0</v>
          </cell>
          <cell r="AH132">
            <v>0</v>
          </cell>
          <cell r="AI132">
            <v>0</v>
          </cell>
          <cell r="AJ132">
            <v>0</v>
          </cell>
          <cell r="AK132">
            <v>0</v>
          </cell>
          <cell r="AL132" t="str">
            <v xml:space="preserve">     ↓</v>
          </cell>
        </row>
        <row r="133">
          <cell r="E133" t="str">
            <v>PE- 42mm</v>
          </cell>
          <cell r="F133" t="str">
            <v>ｍ</v>
          </cell>
          <cell r="G133">
            <v>2700</v>
          </cell>
          <cell r="H133">
            <v>737</v>
          </cell>
          <cell r="I133">
            <v>2700</v>
          </cell>
          <cell r="J133">
            <v>737</v>
          </cell>
          <cell r="K133">
            <v>2700</v>
          </cell>
          <cell r="L133">
            <v>737</v>
          </cell>
          <cell r="M133">
            <v>2700</v>
          </cell>
          <cell r="N133">
            <v>737</v>
          </cell>
          <cell r="O133">
            <v>2700</v>
          </cell>
          <cell r="P133">
            <v>737</v>
          </cell>
          <cell r="Q133">
            <v>2700</v>
          </cell>
          <cell r="R133">
            <v>737</v>
          </cell>
          <cell r="S133">
            <v>2700</v>
          </cell>
          <cell r="T133">
            <v>737</v>
          </cell>
          <cell r="U133">
            <v>2700</v>
          </cell>
          <cell r="V133">
            <v>737</v>
          </cell>
          <cell r="W133">
            <v>2700</v>
          </cell>
          <cell r="X133">
            <v>737</v>
          </cell>
          <cell r="Y133">
            <v>2700</v>
          </cell>
          <cell r="Z133">
            <v>737</v>
          </cell>
          <cell r="AA133">
            <v>0</v>
          </cell>
          <cell r="AB133">
            <v>0</v>
          </cell>
          <cell r="AC133">
            <v>0</v>
          </cell>
          <cell r="AD133">
            <v>0.17</v>
          </cell>
          <cell r="AE133">
            <v>0</v>
          </cell>
          <cell r="AF133">
            <v>0</v>
          </cell>
          <cell r="AG133">
            <v>0</v>
          </cell>
          <cell r="AH133">
            <v>0</v>
          </cell>
          <cell r="AI133">
            <v>0</v>
          </cell>
          <cell r="AJ133">
            <v>0</v>
          </cell>
          <cell r="AK133">
            <v>0</v>
          </cell>
          <cell r="AL133" t="str">
            <v xml:space="preserve">     ↓</v>
          </cell>
        </row>
        <row r="134">
          <cell r="E134" t="str">
            <v>PE- 54mm</v>
          </cell>
          <cell r="F134" t="str">
            <v>ｍ</v>
          </cell>
          <cell r="G134">
            <v>3760</v>
          </cell>
          <cell r="H134">
            <v>1027</v>
          </cell>
          <cell r="I134">
            <v>3760</v>
          </cell>
          <cell r="J134">
            <v>1027</v>
          </cell>
          <cell r="K134">
            <v>3760</v>
          </cell>
          <cell r="L134">
            <v>1027</v>
          </cell>
          <cell r="M134">
            <v>3760</v>
          </cell>
          <cell r="N134">
            <v>1027</v>
          </cell>
          <cell r="O134">
            <v>3760</v>
          </cell>
          <cell r="P134">
            <v>1027</v>
          </cell>
          <cell r="Q134">
            <v>3760</v>
          </cell>
          <cell r="R134">
            <v>1027</v>
          </cell>
          <cell r="S134">
            <v>3760</v>
          </cell>
          <cell r="T134">
            <v>1027</v>
          </cell>
          <cell r="U134">
            <v>3760</v>
          </cell>
          <cell r="V134">
            <v>1027</v>
          </cell>
          <cell r="W134">
            <v>3760</v>
          </cell>
          <cell r="X134">
            <v>1027</v>
          </cell>
          <cell r="Y134">
            <v>3760</v>
          </cell>
          <cell r="Z134">
            <v>1027</v>
          </cell>
          <cell r="AA134">
            <v>0</v>
          </cell>
          <cell r="AB134">
            <v>0</v>
          </cell>
          <cell r="AC134">
            <v>0</v>
          </cell>
          <cell r="AD134">
            <v>0.22900000000000001</v>
          </cell>
          <cell r="AE134">
            <v>0</v>
          </cell>
          <cell r="AF134">
            <v>0</v>
          </cell>
          <cell r="AG134">
            <v>0</v>
          </cell>
          <cell r="AH134">
            <v>0</v>
          </cell>
          <cell r="AI134">
            <v>0</v>
          </cell>
          <cell r="AJ134">
            <v>0</v>
          </cell>
          <cell r="AK134">
            <v>0</v>
          </cell>
          <cell r="AL134" t="str">
            <v xml:space="preserve">     ↓</v>
          </cell>
        </row>
        <row r="135">
          <cell r="E135" t="str">
            <v>PE- 70mm</v>
          </cell>
          <cell r="F135" t="str">
            <v>ｍ</v>
          </cell>
          <cell r="G135">
            <v>4890</v>
          </cell>
          <cell r="H135">
            <v>1336</v>
          </cell>
          <cell r="I135">
            <v>4890</v>
          </cell>
          <cell r="J135">
            <v>1336</v>
          </cell>
          <cell r="K135">
            <v>4890</v>
          </cell>
          <cell r="L135">
            <v>1336</v>
          </cell>
          <cell r="M135">
            <v>4890</v>
          </cell>
          <cell r="N135">
            <v>1336</v>
          </cell>
          <cell r="O135">
            <v>4890</v>
          </cell>
          <cell r="P135">
            <v>1336</v>
          </cell>
          <cell r="Q135">
            <v>4890</v>
          </cell>
          <cell r="R135">
            <v>1336</v>
          </cell>
          <cell r="S135">
            <v>4890</v>
          </cell>
          <cell r="T135">
            <v>1336</v>
          </cell>
          <cell r="U135">
            <v>4890</v>
          </cell>
          <cell r="V135">
            <v>1336</v>
          </cell>
          <cell r="W135">
            <v>4890</v>
          </cell>
          <cell r="X135">
            <v>1336</v>
          </cell>
          <cell r="Y135">
            <v>4890</v>
          </cell>
          <cell r="Z135">
            <v>1336</v>
          </cell>
          <cell r="AA135">
            <v>0</v>
          </cell>
          <cell r="AB135">
            <v>0</v>
          </cell>
          <cell r="AC135">
            <v>0</v>
          </cell>
          <cell r="AD135">
            <v>0.26600000000000001</v>
          </cell>
          <cell r="AE135">
            <v>0</v>
          </cell>
          <cell r="AF135">
            <v>0</v>
          </cell>
          <cell r="AG135">
            <v>0</v>
          </cell>
          <cell r="AH135">
            <v>0</v>
          </cell>
          <cell r="AI135">
            <v>0</v>
          </cell>
          <cell r="AJ135">
            <v>0</v>
          </cell>
          <cell r="AK135">
            <v>0</v>
          </cell>
          <cell r="AL135" t="str">
            <v xml:space="preserve">     ↓</v>
          </cell>
        </row>
        <row r="136">
          <cell r="E136" t="str">
            <v>PE- 82mm</v>
          </cell>
          <cell r="F136" t="str">
            <v>ｍ</v>
          </cell>
          <cell r="G136">
            <v>5640</v>
          </cell>
          <cell r="H136">
            <v>1540</v>
          </cell>
          <cell r="I136">
            <v>5640</v>
          </cell>
          <cell r="J136">
            <v>1540</v>
          </cell>
          <cell r="K136">
            <v>5640</v>
          </cell>
          <cell r="L136">
            <v>1540</v>
          </cell>
          <cell r="M136">
            <v>5640</v>
          </cell>
          <cell r="N136">
            <v>1540</v>
          </cell>
          <cell r="O136">
            <v>5640</v>
          </cell>
          <cell r="P136">
            <v>1540</v>
          </cell>
          <cell r="Q136">
            <v>5640</v>
          </cell>
          <cell r="R136">
            <v>1540</v>
          </cell>
          <cell r="S136">
            <v>5640</v>
          </cell>
          <cell r="T136">
            <v>1540</v>
          </cell>
          <cell r="U136">
            <v>5640</v>
          </cell>
          <cell r="V136">
            <v>1540</v>
          </cell>
          <cell r="W136">
            <v>5640</v>
          </cell>
          <cell r="X136">
            <v>1540</v>
          </cell>
          <cell r="Y136">
            <v>5640</v>
          </cell>
          <cell r="Z136">
            <v>1540</v>
          </cell>
          <cell r="AA136">
            <v>0</v>
          </cell>
          <cell r="AB136">
            <v>0</v>
          </cell>
          <cell r="AC136">
            <v>0</v>
          </cell>
          <cell r="AD136">
            <v>0.32300000000000001</v>
          </cell>
          <cell r="AE136">
            <v>0</v>
          </cell>
          <cell r="AF136">
            <v>0</v>
          </cell>
          <cell r="AG136">
            <v>0</v>
          </cell>
          <cell r="AH136">
            <v>0</v>
          </cell>
          <cell r="AI136">
            <v>0</v>
          </cell>
          <cell r="AJ136">
            <v>0</v>
          </cell>
          <cell r="AK136">
            <v>0</v>
          </cell>
          <cell r="AL136" t="str">
            <v xml:space="preserve">     ↓</v>
          </cell>
        </row>
        <row r="137">
          <cell r="E137" t="str">
            <v>PE- 92mm</v>
          </cell>
          <cell r="F137" t="str">
            <v>ｍ</v>
          </cell>
          <cell r="G137">
            <v>8510</v>
          </cell>
          <cell r="H137">
            <v>2325</v>
          </cell>
          <cell r="I137">
            <v>8510</v>
          </cell>
          <cell r="J137">
            <v>2325</v>
          </cell>
          <cell r="K137">
            <v>8510</v>
          </cell>
          <cell r="L137">
            <v>2325</v>
          </cell>
          <cell r="M137">
            <v>8510</v>
          </cell>
          <cell r="N137">
            <v>2325</v>
          </cell>
          <cell r="O137">
            <v>8510</v>
          </cell>
          <cell r="P137">
            <v>2325</v>
          </cell>
          <cell r="Q137">
            <v>8510</v>
          </cell>
          <cell r="R137">
            <v>2325</v>
          </cell>
          <cell r="S137">
            <v>8510</v>
          </cell>
          <cell r="T137">
            <v>2325</v>
          </cell>
          <cell r="U137">
            <v>8510</v>
          </cell>
          <cell r="V137">
            <v>2325</v>
          </cell>
          <cell r="W137">
            <v>8510</v>
          </cell>
          <cell r="X137">
            <v>2325</v>
          </cell>
          <cell r="Y137">
            <v>8510</v>
          </cell>
          <cell r="Z137">
            <v>2325</v>
          </cell>
          <cell r="AA137">
            <v>0</v>
          </cell>
          <cell r="AB137">
            <v>0</v>
          </cell>
          <cell r="AC137">
            <v>0</v>
          </cell>
          <cell r="AD137">
            <v>0.36</v>
          </cell>
          <cell r="AE137">
            <v>0</v>
          </cell>
          <cell r="AF137">
            <v>0</v>
          </cell>
          <cell r="AG137">
            <v>0</v>
          </cell>
          <cell r="AH137">
            <v>0</v>
          </cell>
          <cell r="AI137">
            <v>0</v>
          </cell>
          <cell r="AJ137">
            <v>0</v>
          </cell>
          <cell r="AK137">
            <v>0</v>
          </cell>
          <cell r="AL137" t="str">
            <v xml:space="preserve">     ↓</v>
          </cell>
        </row>
        <row r="138">
          <cell r="E138" t="str">
            <v>PE-104mm</v>
          </cell>
          <cell r="F138" t="str">
            <v>ｍ</v>
          </cell>
          <cell r="G138">
            <v>9630</v>
          </cell>
          <cell r="H138">
            <v>2631</v>
          </cell>
          <cell r="I138">
            <v>9630</v>
          </cell>
          <cell r="J138">
            <v>2631</v>
          </cell>
          <cell r="K138">
            <v>9630</v>
          </cell>
          <cell r="L138">
            <v>2631</v>
          </cell>
          <cell r="M138">
            <v>9630</v>
          </cell>
          <cell r="N138">
            <v>2631</v>
          </cell>
          <cell r="O138">
            <v>9630</v>
          </cell>
          <cell r="P138">
            <v>2631</v>
          </cell>
          <cell r="Q138">
            <v>9630</v>
          </cell>
          <cell r="R138">
            <v>2631</v>
          </cell>
          <cell r="S138">
            <v>9630</v>
          </cell>
          <cell r="T138">
            <v>2631</v>
          </cell>
          <cell r="U138">
            <v>9630</v>
          </cell>
          <cell r="V138">
            <v>2631</v>
          </cell>
          <cell r="W138">
            <v>9630</v>
          </cell>
          <cell r="X138">
            <v>2631</v>
          </cell>
          <cell r="Y138">
            <v>9630</v>
          </cell>
          <cell r="Z138">
            <v>2631</v>
          </cell>
          <cell r="AA138">
            <v>0</v>
          </cell>
          <cell r="AB138">
            <v>0</v>
          </cell>
          <cell r="AC138">
            <v>0</v>
          </cell>
          <cell r="AD138">
            <v>0.40200000000000002</v>
          </cell>
          <cell r="AE138">
            <v>0</v>
          </cell>
          <cell r="AF138">
            <v>0</v>
          </cell>
          <cell r="AG138">
            <v>0</v>
          </cell>
          <cell r="AH138">
            <v>0</v>
          </cell>
          <cell r="AI138">
            <v>0</v>
          </cell>
          <cell r="AJ138">
            <v>0</v>
          </cell>
          <cell r="AK138">
            <v>0</v>
          </cell>
          <cell r="AL138" t="str">
            <v xml:space="preserve">     ↓</v>
          </cell>
        </row>
        <row r="139">
          <cell r="E139" t="str">
            <v>F1-F-16mm</v>
          </cell>
          <cell r="F139" t="str">
            <v>ｍ</v>
          </cell>
          <cell r="G139">
            <v>0</v>
          </cell>
          <cell r="H139">
            <v>230</v>
          </cell>
          <cell r="I139">
            <v>0</v>
          </cell>
          <cell r="J139">
            <v>230</v>
          </cell>
          <cell r="K139">
            <v>0</v>
          </cell>
          <cell r="L139">
            <v>230</v>
          </cell>
          <cell r="M139">
            <v>0</v>
          </cell>
          <cell r="N139">
            <v>230</v>
          </cell>
          <cell r="O139">
            <v>0</v>
          </cell>
          <cell r="P139">
            <v>230</v>
          </cell>
          <cell r="Q139">
            <v>0</v>
          </cell>
          <cell r="R139">
            <v>230</v>
          </cell>
          <cell r="S139">
            <v>0</v>
          </cell>
          <cell r="T139">
            <v>230</v>
          </cell>
          <cell r="U139">
            <v>0</v>
          </cell>
          <cell r="V139">
            <v>230</v>
          </cell>
          <cell r="W139">
            <v>0</v>
          </cell>
          <cell r="X139">
            <v>230</v>
          </cell>
          <cell r="Y139">
            <v>0</v>
          </cell>
          <cell r="Z139">
            <v>230</v>
          </cell>
          <cell r="AA139">
            <v>0</v>
          </cell>
          <cell r="AB139">
            <v>0</v>
          </cell>
          <cell r="AC139">
            <v>0</v>
          </cell>
          <cell r="AD139">
            <v>2.4E-2</v>
          </cell>
          <cell r="AE139">
            <v>0</v>
          </cell>
          <cell r="AF139">
            <v>0</v>
          </cell>
          <cell r="AG139">
            <v>0</v>
          </cell>
          <cell r="AH139">
            <v>0</v>
          </cell>
          <cell r="AI139">
            <v>0</v>
          </cell>
          <cell r="AJ139">
            <v>0</v>
          </cell>
          <cell r="AK139">
            <v>0</v>
          </cell>
          <cell r="AL139">
            <v>0</v>
          </cell>
        </row>
        <row r="140">
          <cell r="E140" t="str">
            <v>F1-F-19mm</v>
          </cell>
          <cell r="F140" t="str">
            <v>ｍ</v>
          </cell>
          <cell r="G140">
            <v>0</v>
          </cell>
          <cell r="H140">
            <v>252</v>
          </cell>
          <cell r="I140">
            <v>0</v>
          </cell>
          <cell r="J140">
            <v>252</v>
          </cell>
          <cell r="K140">
            <v>0</v>
          </cell>
          <cell r="L140">
            <v>252</v>
          </cell>
          <cell r="M140">
            <v>0</v>
          </cell>
          <cell r="N140">
            <v>252</v>
          </cell>
          <cell r="O140">
            <v>0</v>
          </cell>
          <cell r="P140">
            <v>252</v>
          </cell>
          <cell r="Q140">
            <v>0</v>
          </cell>
          <cell r="R140">
            <v>252</v>
          </cell>
          <cell r="S140">
            <v>0</v>
          </cell>
          <cell r="T140">
            <v>252</v>
          </cell>
          <cell r="U140">
            <v>0</v>
          </cell>
          <cell r="V140">
            <v>252</v>
          </cell>
          <cell r="W140">
            <v>0</v>
          </cell>
          <cell r="X140">
            <v>252</v>
          </cell>
          <cell r="Y140">
            <v>0</v>
          </cell>
          <cell r="Z140">
            <v>252</v>
          </cell>
          <cell r="AA140">
            <v>0</v>
          </cell>
          <cell r="AB140">
            <v>0</v>
          </cell>
          <cell r="AC140">
            <v>0</v>
          </cell>
          <cell r="AD140">
            <v>2.9000000000000001E-2</v>
          </cell>
          <cell r="AE140">
            <v>0</v>
          </cell>
          <cell r="AF140">
            <v>0</v>
          </cell>
          <cell r="AG140">
            <v>0</v>
          </cell>
          <cell r="AH140">
            <v>0</v>
          </cell>
          <cell r="AI140">
            <v>0</v>
          </cell>
          <cell r="AJ140">
            <v>0</v>
          </cell>
          <cell r="AK140">
            <v>0</v>
          </cell>
          <cell r="AL140">
            <v>0</v>
          </cell>
        </row>
        <row r="141">
          <cell r="E141" t="str">
            <v>F1-F-25mm</v>
          </cell>
          <cell r="F141" t="str">
            <v>ｍ</v>
          </cell>
          <cell r="G141">
            <v>0</v>
          </cell>
          <cell r="H141">
            <v>338</v>
          </cell>
          <cell r="I141">
            <v>0</v>
          </cell>
          <cell r="J141">
            <v>338</v>
          </cell>
          <cell r="K141">
            <v>0</v>
          </cell>
          <cell r="L141">
            <v>338</v>
          </cell>
          <cell r="M141">
            <v>0</v>
          </cell>
          <cell r="N141">
            <v>338</v>
          </cell>
          <cell r="O141">
            <v>0</v>
          </cell>
          <cell r="P141">
            <v>338</v>
          </cell>
          <cell r="Q141">
            <v>0</v>
          </cell>
          <cell r="R141">
            <v>338</v>
          </cell>
          <cell r="S141">
            <v>0</v>
          </cell>
          <cell r="T141">
            <v>338</v>
          </cell>
          <cell r="U141">
            <v>0</v>
          </cell>
          <cell r="V141">
            <v>338</v>
          </cell>
          <cell r="W141">
            <v>0</v>
          </cell>
          <cell r="X141">
            <v>338</v>
          </cell>
          <cell r="Y141">
            <v>0</v>
          </cell>
          <cell r="Z141">
            <v>338</v>
          </cell>
          <cell r="AA141">
            <v>0</v>
          </cell>
          <cell r="AB141">
            <v>0</v>
          </cell>
          <cell r="AC141">
            <v>0</v>
          </cell>
          <cell r="AD141">
            <v>3.7999999999999999E-2</v>
          </cell>
          <cell r="AE141">
            <v>0</v>
          </cell>
          <cell r="AF141">
            <v>0</v>
          </cell>
          <cell r="AG141">
            <v>0</v>
          </cell>
          <cell r="AH141">
            <v>0</v>
          </cell>
          <cell r="AI141">
            <v>0</v>
          </cell>
          <cell r="AJ141">
            <v>0</v>
          </cell>
          <cell r="AK141">
            <v>0</v>
          </cell>
          <cell r="AL141">
            <v>0</v>
          </cell>
        </row>
        <row r="142">
          <cell r="E142" t="str">
            <v>F1-F-32mm</v>
          </cell>
          <cell r="F142" t="str">
            <v>ｍ</v>
          </cell>
          <cell r="G142">
            <v>0</v>
          </cell>
          <cell r="H142">
            <v>388</v>
          </cell>
          <cell r="I142">
            <v>0</v>
          </cell>
          <cell r="J142">
            <v>388</v>
          </cell>
          <cell r="K142">
            <v>0</v>
          </cell>
          <cell r="L142">
            <v>388</v>
          </cell>
          <cell r="M142">
            <v>0</v>
          </cell>
          <cell r="N142">
            <v>388</v>
          </cell>
          <cell r="O142">
            <v>0</v>
          </cell>
          <cell r="P142">
            <v>388</v>
          </cell>
          <cell r="Q142">
            <v>0</v>
          </cell>
          <cell r="R142">
            <v>388</v>
          </cell>
          <cell r="S142">
            <v>0</v>
          </cell>
          <cell r="T142">
            <v>388</v>
          </cell>
          <cell r="U142">
            <v>0</v>
          </cell>
          <cell r="V142">
            <v>388</v>
          </cell>
          <cell r="W142">
            <v>0</v>
          </cell>
          <cell r="X142">
            <v>388</v>
          </cell>
          <cell r="Y142">
            <v>0</v>
          </cell>
          <cell r="Z142">
            <v>388</v>
          </cell>
          <cell r="AA142">
            <v>0</v>
          </cell>
          <cell r="AB142">
            <v>0</v>
          </cell>
          <cell r="AC142">
            <v>0</v>
          </cell>
          <cell r="AD142">
            <v>4.8000000000000001E-2</v>
          </cell>
          <cell r="AE142">
            <v>0</v>
          </cell>
          <cell r="AF142">
            <v>0</v>
          </cell>
          <cell r="AG142">
            <v>0</v>
          </cell>
          <cell r="AH142">
            <v>0</v>
          </cell>
          <cell r="AI142">
            <v>0</v>
          </cell>
          <cell r="AJ142">
            <v>0</v>
          </cell>
          <cell r="AK142">
            <v>0</v>
          </cell>
          <cell r="AL142">
            <v>0</v>
          </cell>
        </row>
        <row r="143">
          <cell r="E143" t="str">
            <v>F1-F-38mm</v>
          </cell>
          <cell r="F143" t="str">
            <v>ｍ</v>
          </cell>
          <cell r="G143">
            <v>0</v>
          </cell>
          <cell r="H143">
            <v>532</v>
          </cell>
          <cell r="I143">
            <v>0</v>
          </cell>
          <cell r="J143">
            <v>532</v>
          </cell>
          <cell r="K143">
            <v>0</v>
          </cell>
          <cell r="L143">
            <v>532</v>
          </cell>
          <cell r="M143">
            <v>0</v>
          </cell>
          <cell r="N143">
            <v>532</v>
          </cell>
          <cell r="O143">
            <v>0</v>
          </cell>
          <cell r="P143">
            <v>532</v>
          </cell>
          <cell r="Q143">
            <v>0</v>
          </cell>
          <cell r="R143">
            <v>532</v>
          </cell>
          <cell r="S143">
            <v>0</v>
          </cell>
          <cell r="T143">
            <v>532</v>
          </cell>
          <cell r="U143">
            <v>0</v>
          </cell>
          <cell r="V143">
            <v>532</v>
          </cell>
          <cell r="W143">
            <v>0</v>
          </cell>
          <cell r="X143">
            <v>532</v>
          </cell>
          <cell r="Y143">
            <v>0</v>
          </cell>
          <cell r="Z143">
            <v>532</v>
          </cell>
          <cell r="AA143">
            <v>0</v>
          </cell>
          <cell r="AB143">
            <v>0</v>
          </cell>
          <cell r="AC143">
            <v>0</v>
          </cell>
          <cell r="AD143">
            <v>5.7000000000000002E-2</v>
          </cell>
          <cell r="AE143">
            <v>0</v>
          </cell>
          <cell r="AF143">
            <v>0</v>
          </cell>
          <cell r="AG143">
            <v>0</v>
          </cell>
          <cell r="AH143">
            <v>0</v>
          </cell>
          <cell r="AI143">
            <v>0</v>
          </cell>
          <cell r="AJ143">
            <v>0</v>
          </cell>
          <cell r="AK143">
            <v>0</v>
          </cell>
          <cell r="AL143">
            <v>0</v>
          </cell>
        </row>
        <row r="144">
          <cell r="E144" t="str">
            <v>F1-F-42mm</v>
          </cell>
          <cell r="F144" t="str">
            <v>ｍ</v>
          </cell>
          <cell r="G144">
            <v>0</v>
          </cell>
          <cell r="H144">
            <v>626</v>
          </cell>
          <cell r="I144">
            <v>0</v>
          </cell>
          <cell r="J144">
            <v>626</v>
          </cell>
          <cell r="K144">
            <v>0</v>
          </cell>
          <cell r="L144">
            <v>626</v>
          </cell>
          <cell r="M144">
            <v>0</v>
          </cell>
          <cell r="N144">
            <v>626</v>
          </cell>
          <cell r="O144">
            <v>0</v>
          </cell>
          <cell r="P144">
            <v>626</v>
          </cell>
          <cell r="Q144">
            <v>0</v>
          </cell>
          <cell r="R144">
            <v>626</v>
          </cell>
          <cell r="S144">
            <v>0</v>
          </cell>
          <cell r="T144">
            <v>626</v>
          </cell>
          <cell r="U144">
            <v>0</v>
          </cell>
          <cell r="V144">
            <v>626</v>
          </cell>
          <cell r="W144">
            <v>0</v>
          </cell>
          <cell r="X144">
            <v>626</v>
          </cell>
          <cell r="Y144">
            <v>0</v>
          </cell>
          <cell r="Z144">
            <v>626</v>
          </cell>
          <cell r="AA144">
            <v>0</v>
          </cell>
          <cell r="AB144">
            <v>0</v>
          </cell>
          <cell r="AC144">
            <v>0</v>
          </cell>
          <cell r="AD144">
            <v>6.4000000000000001E-2</v>
          </cell>
          <cell r="AE144">
            <v>0</v>
          </cell>
          <cell r="AF144">
            <v>0</v>
          </cell>
          <cell r="AG144">
            <v>0</v>
          </cell>
          <cell r="AH144">
            <v>0</v>
          </cell>
          <cell r="AI144">
            <v>0</v>
          </cell>
          <cell r="AJ144">
            <v>0</v>
          </cell>
          <cell r="AK144">
            <v>0</v>
          </cell>
          <cell r="AL144">
            <v>0</v>
          </cell>
        </row>
        <row r="145">
          <cell r="E145" t="str">
            <v>F1-F-50mm</v>
          </cell>
          <cell r="F145" t="str">
            <v>ｍ</v>
          </cell>
          <cell r="G145">
            <v>0</v>
          </cell>
          <cell r="H145">
            <v>871</v>
          </cell>
          <cell r="I145">
            <v>0</v>
          </cell>
          <cell r="J145">
            <v>871</v>
          </cell>
          <cell r="K145">
            <v>0</v>
          </cell>
          <cell r="L145">
            <v>871</v>
          </cell>
          <cell r="M145">
            <v>0</v>
          </cell>
          <cell r="N145">
            <v>871</v>
          </cell>
          <cell r="O145">
            <v>0</v>
          </cell>
          <cell r="P145">
            <v>871</v>
          </cell>
          <cell r="Q145">
            <v>0</v>
          </cell>
          <cell r="R145">
            <v>871</v>
          </cell>
          <cell r="S145">
            <v>0</v>
          </cell>
          <cell r="T145">
            <v>871</v>
          </cell>
          <cell r="U145">
            <v>0</v>
          </cell>
          <cell r="V145">
            <v>871</v>
          </cell>
          <cell r="W145">
            <v>0</v>
          </cell>
          <cell r="X145">
            <v>871</v>
          </cell>
          <cell r="Y145">
            <v>0</v>
          </cell>
          <cell r="Z145">
            <v>871</v>
          </cell>
          <cell r="AA145">
            <v>0</v>
          </cell>
          <cell r="AB145">
            <v>0</v>
          </cell>
          <cell r="AC145">
            <v>0</v>
          </cell>
          <cell r="AD145">
            <v>7.5999999999999998E-2</v>
          </cell>
          <cell r="AE145">
            <v>0</v>
          </cell>
          <cell r="AF145">
            <v>0</v>
          </cell>
          <cell r="AG145">
            <v>0</v>
          </cell>
          <cell r="AH145">
            <v>0</v>
          </cell>
          <cell r="AI145">
            <v>0</v>
          </cell>
          <cell r="AJ145">
            <v>0</v>
          </cell>
          <cell r="AK145">
            <v>0</v>
          </cell>
          <cell r="AL145">
            <v>0</v>
          </cell>
        </row>
        <row r="146">
          <cell r="E146" t="str">
            <v>F1-F-63mm</v>
          </cell>
          <cell r="F146" t="str">
            <v>ｍ</v>
          </cell>
          <cell r="G146">
            <v>0</v>
          </cell>
          <cell r="H146">
            <v>1100</v>
          </cell>
          <cell r="I146">
            <v>0</v>
          </cell>
          <cell r="J146">
            <v>1100</v>
          </cell>
          <cell r="K146">
            <v>0</v>
          </cell>
          <cell r="L146">
            <v>1100</v>
          </cell>
          <cell r="M146">
            <v>0</v>
          </cell>
          <cell r="N146">
            <v>1100</v>
          </cell>
          <cell r="O146">
            <v>0</v>
          </cell>
          <cell r="P146">
            <v>1100</v>
          </cell>
          <cell r="Q146">
            <v>0</v>
          </cell>
          <cell r="R146">
            <v>1100</v>
          </cell>
          <cell r="S146">
            <v>0</v>
          </cell>
          <cell r="T146">
            <v>1100</v>
          </cell>
          <cell r="U146">
            <v>0</v>
          </cell>
          <cell r="V146">
            <v>1100</v>
          </cell>
          <cell r="W146">
            <v>0</v>
          </cell>
          <cell r="X146">
            <v>1100</v>
          </cell>
          <cell r="Y146">
            <v>0</v>
          </cell>
          <cell r="Z146">
            <v>1100</v>
          </cell>
          <cell r="AA146">
            <v>0</v>
          </cell>
          <cell r="AB146">
            <v>0</v>
          </cell>
          <cell r="AC146">
            <v>0</v>
          </cell>
          <cell r="AD146">
            <v>9.5000000000000001E-2</v>
          </cell>
          <cell r="AE146">
            <v>0</v>
          </cell>
          <cell r="AF146">
            <v>0</v>
          </cell>
          <cell r="AG146">
            <v>0</v>
          </cell>
          <cell r="AH146">
            <v>0</v>
          </cell>
          <cell r="AI146">
            <v>0</v>
          </cell>
          <cell r="AJ146">
            <v>0</v>
          </cell>
          <cell r="AK146">
            <v>0</v>
          </cell>
          <cell r="AL146">
            <v>0</v>
          </cell>
        </row>
        <row r="147">
          <cell r="E147" t="str">
            <v>F1-F-75mm</v>
          </cell>
          <cell r="F147" t="str">
            <v>ｍ</v>
          </cell>
          <cell r="G147">
            <v>0</v>
          </cell>
          <cell r="H147">
            <v>1290</v>
          </cell>
          <cell r="I147">
            <v>0</v>
          </cell>
          <cell r="J147">
            <v>1290</v>
          </cell>
          <cell r="K147">
            <v>0</v>
          </cell>
          <cell r="L147">
            <v>1290</v>
          </cell>
          <cell r="M147">
            <v>0</v>
          </cell>
          <cell r="N147">
            <v>1290</v>
          </cell>
          <cell r="O147">
            <v>0</v>
          </cell>
          <cell r="P147">
            <v>1290</v>
          </cell>
          <cell r="Q147">
            <v>0</v>
          </cell>
          <cell r="R147">
            <v>1290</v>
          </cell>
          <cell r="S147">
            <v>0</v>
          </cell>
          <cell r="T147">
            <v>1290</v>
          </cell>
          <cell r="U147">
            <v>0</v>
          </cell>
          <cell r="V147">
            <v>1290</v>
          </cell>
          <cell r="W147">
            <v>0</v>
          </cell>
          <cell r="X147">
            <v>1290</v>
          </cell>
          <cell r="Y147">
            <v>0</v>
          </cell>
          <cell r="Z147">
            <v>1290</v>
          </cell>
          <cell r="AA147">
            <v>0</v>
          </cell>
          <cell r="AB147">
            <v>0</v>
          </cell>
          <cell r="AC147">
            <v>0</v>
          </cell>
          <cell r="AD147">
            <v>0.113</v>
          </cell>
          <cell r="AE147">
            <v>0</v>
          </cell>
          <cell r="AF147">
            <v>0</v>
          </cell>
          <cell r="AG147">
            <v>0</v>
          </cell>
          <cell r="AH147">
            <v>0</v>
          </cell>
          <cell r="AI147">
            <v>0</v>
          </cell>
          <cell r="AJ147">
            <v>0</v>
          </cell>
          <cell r="AK147">
            <v>0</v>
          </cell>
          <cell r="AL147">
            <v>0</v>
          </cell>
        </row>
        <row r="148">
          <cell r="E148" t="str">
            <v>F1-PE-16mm</v>
          </cell>
          <cell r="F148" t="str">
            <v>ｍ</v>
          </cell>
          <cell r="G148">
            <v>0</v>
          </cell>
          <cell r="H148">
            <v>360</v>
          </cell>
          <cell r="I148">
            <v>0</v>
          </cell>
          <cell r="J148">
            <v>360</v>
          </cell>
          <cell r="K148">
            <v>0</v>
          </cell>
          <cell r="L148">
            <v>360</v>
          </cell>
          <cell r="M148">
            <v>0</v>
          </cell>
          <cell r="N148">
            <v>360</v>
          </cell>
          <cell r="O148">
            <v>0</v>
          </cell>
          <cell r="P148">
            <v>360</v>
          </cell>
          <cell r="Q148">
            <v>0</v>
          </cell>
          <cell r="R148">
            <v>360</v>
          </cell>
          <cell r="S148">
            <v>0</v>
          </cell>
          <cell r="T148">
            <v>360</v>
          </cell>
          <cell r="U148">
            <v>0</v>
          </cell>
          <cell r="V148">
            <v>360</v>
          </cell>
          <cell r="W148">
            <v>0</v>
          </cell>
          <cell r="X148">
            <v>360</v>
          </cell>
          <cell r="Y148">
            <v>0</v>
          </cell>
          <cell r="Z148">
            <v>360</v>
          </cell>
          <cell r="AA148">
            <v>0</v>
          </cell>
          <cell r="AB148">
            <v>0</v>
          </cell>
          <cell r="AC148">
            <v>0</v>
          </cell>
          <cell r="AD148">
            <v>0.06</v>
          </cell>
          <cell r="AE148">
            <v>0</v>
          </cell>
          <cell r="AF148">
            <v>0</v>
          </cell>
          <cell r="AG148">
            <v>0</v>
          </cell>
          <cell r="AH148">
            <v>0</v>
          </cell>
          <cell r="AI148">
            <v>0</v>
          </cell>
          <cell r="AJ148">
            <v>0</v>
          </cell>
          <cell r="AK148">
            <v>0</v>
          </cell>
          <cell r="AL148">
            <v>0</v>
          </cell>
        </row>
        <row r="149">
          <cell r="E149" t="str">
            <v>F1-PE-19mm</v>
          </cell>
          <cell r="F149" t="str">
            <v>ｍ</v>
          </cell>
          <cell r="G149">
            <v>0</v>
          </cell>
          <cell r="H149">
            <v>417</v>
          </cell>
          <cell r="I149">
            <v>0</v>
          </cell>
          <cell r="J149">
            <v>417</v>
          </cell>
          <cell r="K149">
            <v>0</v>
          </cell>
          <cell r="L149">
            <v>417</v>
          </cell>
          <cell r="M149">
            <v>0</v>
          </cell>
          <cell r="N149">
            <v>417</v>
          </cell>
          <cell r="O149">
            <v>0</v>
          </cell>
          <cell r="P149">
            <v>417</v>
          </cell>
          <cell r="Q149">
            <v>0</v>
          </cell>
          <cell r="R149">
            <v>417</v>
          </cell>
          <cell r="S149">
            <v>0</v>
          </cell>
          <cell r="T149">
            <v>417</v>
          </cell>
          <cell r="U149">
            <v>0</v>
          </cell>
          <cell r="V149">
            <v>417</v>
          </cell>
          <cell r="W149">
            <v>0</v>
          </cell>
          <cell r="X149">
            <v>417</v>
          </cell>
          <cell r="Y149">
            <v>0</v>
          </cell>
          <cell r="Z149">
            <v>417</v>
          </cell>
          <cell r="AA149">
            <v>0</v>
          </cell>
          <cell r="AB149">
            <v>0</v>
          </cell>
          <cell r="AC149">
            <v>0</v>
          </cell>
          <cell r="AD149">
            <v>0.08</v>
          </cell>
          <cell r="AE149">
            <v>0</v>
          </cell>
          <cell r="AF149">
            <v>0</v>
          </cell>
          <cell r="AG149">
            <v>0</v>
          </cell>
          <cell r="AH149">
            <v>0</v>
          </cell>
          <cell r="AI149">
            <v>0</v>
          </cell>
          <cell r="AJ149">
            <v>0</v>
          </cell>
          <cell r="AK149">
            <v>0</v>
          </cell>
          <cell r="AL149">
            <v>0</v>
          </cell>
        </row>
        <row r="150">
          <cell r="E150" t="str">
            <v>F1-PE-25mm</v>
          </cell>
          <cell r="F150" t="str">
            <v>ｍ</v>
          </cell>
          <cell r="G150">
            <v>0</v>
          </cell>
          <cell r="H150">
            <v>511</v>
          </cell>
          <cell r="I150">
            <v>0</v>
          </cell>
          <cell r="J150">
            <v>511</v>
          </cell>
          <cell r="K150">
            <v>0</v>
          </cell>
          <cell r="L150">
            <v>511</v>
          </cell>
          <cell r="M150">
            <v>0</v>
          </cell>
          <cell r="N150">
            <v>511</v>
          </cell>
          <cell r="O150">
            <v>0</v>
          </cell>
          <cell r="P150">
            <v>511</v>
          </cell>
          <cell r="Q150">
            <v>0</v>
          </cell>
          <cell r="R150">
            <v>511</v>
          </cell>
          <cell r="S150">
            <v>0</v>
          </cell>
          <cell r="T150">
            <v>511</v>
          </cell>
          <cell r="U150">
            <v>0</v>
          </cell>
          <cell r="V150">
            <v>511</v>
          </cell>
          <cell r="W150">
            <v>0</v>
          </cell>
          <cell r="X150">
            <v>511</v>
          </cell>
          <cell r="Y150">
            <v>0</v>
          </cell>
          <cell r="Z150">
            <v>511</v>
          </cell>
          <cell r="AA150">
            <v>0</v>
          </cell>
          <cell r="AB150">
            <v>0</v>
          </cell>
          <cell r="AC150">
            <v>0</v>
          </cell>
          <cell r="AD150">
            <v>0.10299999999999999</v>
          </cell>
          <cell r="AE150">
            <v>0</v>
          </cell>
          <cell r="AF150">
            <v>0</v>
          </cell>
          <cell r="AG150">
            <v>0</v>
          </cell>
          <cell r="AH150">
            <v>0</v>
          </cell>
          <cell r="AI150">
            <v>0</v>
          </cell>
          <cell r="AJ150">
            <v>0</v>
          </cell>
          <cell r="AK150">
            <v>0</v>
          </cell>
          <cell r="AL150">
            <v>0</v>
          </cell>
        </row>
        <row r="151">
          <cell r="E151" t="str">
            <v>F1-PE-32mm</v>
          </cell>
          <cell r="F151" t="str">
            <v>ｍ</v>
          </cell>
          <cell r="G151">
            <v>0</v>
          </cell>
          <cell r="H151">
            <v>633</v>
          </cell>
          <cell r="I151">
            <v>0</v>
          </cell>
          <cell r="J151">
            <v>633</v>
          </cell>
          <cell r="K151">
            <v>0</v>
          </cell>
          <cell r="L151">
            <v>633</v>
          </cell>
          <cell r="M151">
            <v>0</v>
          </cell>
          <cell r="N151">
            <v>633</v>
          </cell>
          <cell r="O151">
            <v>0</v>
          </cell>
          <cell r="P151">
            <v>633</v>
          </cell>
          <cell r="Q151">
            <v>0</v>
          </cell>
          <cell r="R151">
            <v>633</v>
          </cell>
          <cell r="S151">
            <v>0</v>
          </cell>
          <cell r="T151">
            <v>633</v>
          </cell>
          <cell r="U151">
            <v>0</v>
          </cell>
          <cell r="V151">
            <v>633</v>
          </cell>
          <cell r="W151">
            <v>0</v>
          </cell>
          <cell r="X151">
            <v>633</v>
          </cell>
          <cell r="Y151">
            <v>0</v>
          </cell>
          <cell r="Z151">
            <v>633</v>
          </cell>
          <cell r="AA151">
            <v>0</v>
          </cell>
          <cell r="AB151">
            <v>0</v>
          </cell>
          <cell r="AC151">
            <v>0</v>
          </cell>
          <cell r="AD151">
            <v>0.124</v>
          </cell>
          <cell r="AE151">
            <v>0</v>
          </cell>
          <cell r="AF151">
            <v>0</v>
          </cell>
          <cell r="AG151">
            <v>0</v>
          </cell>
          <cell r="AH151">
            <v>0</v>
          </cell>
          <cell r="AI151">
            <v>0</v>
          </cell>
          <cell r="AJ151">
            <v>0</v>
          </cell>
          <cell r="AK151">
            <v>0</v>
          </cell>
          <cell r="AL151">
            <v>0</v>
          </cell>
        </row>
        <row r="152">
          <cell r="E152" t="str">
            <v>F1-PE-38mm</v>
          </cell>
          <cell r="F152" t="str">
            <v>ｍ</v>
          </cell>
          <cell r="G152">
            <v>0</v>
          </cell>
          <cell r="H152">
            <v>828</v>
          </cell>
          <cell r="I152">
            <v>0</v>
          </cell>
          <cell r="J152">
            <v>828</v>
          </cell>
          <cell r="K152">
            <v>0</v>
          </cell>
          <cell r="L152">
            <v>828</v>
          </cell>
          <cell r="M152">
            <v>0</v>
          </cell>
          <cell r="N152">
            <v>828</v>
          </cell>
          <cell r="O152">
            <v>0</v>
          </cell>
          <cell r="P152">
            <v>828</v>
          </cell>
          <cell r="Q152">
            <v>0</v>
          </cell>
          <cell r="R152">
            <v>828</v>
          </cell>
          <cell r="S152">
            <v>0</v>
          </cell>
          <cell r="T152">
            <v>828</v>
          </cell>
          <cell r="U152">
            <v>0</v>
          </cell>
          <cell r="V152">
            <v>828</v>
          </cell>
          <cell r="W152">
            <v>0</v>
          </cell>
          <cell r="X152">
            <v>828</v>
          </cell>
          <cell r="Y152">
            <v>0</v>
          </cell>
          <cell r="Z152">
            <v>828</v>
          </cell>
          <cell r="AA152">
            <v>0</v>
          </cell>
          <cell r="AB152">
            <v>0</v>
          </cell>
          <cell r="AC152">
            <v>0</v>
          </cell>
          <cell r="AD152">
            <v>0.17</v>
          </cell>
          <cell r="AE152">
            <v>0</v>
          </cell>
          <cell r="AF152">
            <v>0</v>
          </cell>
          <cell r="AG152">
            <v>0</v>
          </cell>
          <cell r="AH152">
            <v>0</v>
          </cell>
          <cell r="AI152">
            <v>0</v>
          </cell>
          <cell r="AJ152">
            <v>0</v>
          </cell>
          <cell r="AK152">
            <v>0</v>
          </cell>
          <cell r="AL152">
            <v>0</v>
          </cell>
        </row>
        <row r="153">
          <cell r="E153" t="str">
            <v>F1-PE-42mm</v>
          </cell>
          <cell r="F153" t="str">
            <v>ｍ</v>
          </cell>
          <cell r="G153">
            <v>0</v>
          </cell>
          <cell r="H153">
            <v>1030</v>
          </cell>
          <cell r="I153">
            <v>0</v>
          </cell>
          <cell r="J153">
            <v>1030</v>
          </cell>
          <cell r="K153">
            <v>0</v>
          </cell>
          <cell r="L153">
            <v>1030</v>
          </cell>
          <cell r="M153">
            <v>0</v>
          </cell>
          <cell r="N153">
            <v>1030</v>
          </cell>
          <cell r="O153">
            <v>0</v>
          </cell>
          <cell r="P153">
            <v>1030</v>
          </cell>
          <cell r="Q153">
            <v>0</v>
          </cell>
          <cell r="R153">
            <v>1030</v>
          </cell>
          <cell r="S153">
            <v>0</v>
          </cell>
          <cell r="T153">
            <v>1030</v>
          </cell>
          <cell r="U153">
            <v>0</v>
          </cell>
          <cell r="V153">
            <v>1030</v>
          </cell>
          <cell r="W153">
            <v>0</v>
          </cell>
          <cell r="X153">
            <v>1030</v>
          </cell>
          <cell r="Y153">
            <v>0</v>
          </cell>
          <cell r="Z153">
            <v>1030</v>
          </cell>
          <cell r="AA153">
            <v>0</v>
          </cell>
          <cell r="AB153">
            <v>0</v>
          </cell>
          <cell r="AC153">
            <v>0</v>
          </cell>
          <cell r="AD153">
            <v>0.22900000000000001</v>
          </cell>
          <cell r="AE153">
            <v>0</v>
          </cell>
          <cell r="AF153">
            <v>0</v>
          </cell>
          <cell r="AG153">
            <v>0</v>
          </cell>
          <cell r="AH153">
            <v>0</v>
          </cell>
          <cell r="AI153">
            <v>0</v>
          </cell>
          <cell r="AJ153">
            <v>0</v>
          </cell>
          <cell r="AK153">
            <v>0</v>
          </cell>
          <cell r="AL153">
            <v>0</v>
          </cell>
        </row>
        <row r="154">
          <cell r="E154" t="str">
            <v>F1-PE-50mm</v>
          </cell>
          <cell r="F154" t="str">
            <v>ｍ</v>
          </cell>
          <cell r="G154">
            <v>0</v>
          </cell>
          <cell r="H154">
            <v>1280</v>
          </cell>
          <cell r="I154">
            <v>0</v>
          </cell>
          <cell r="J154">
            <v>1280</v>
          </cell>
          <cell r="K154">
            <v>0</v>
          </cell>
          <cell r="L154">
            <v>1280</v>
          </cell>
          <cell r="M154">
            <v>0</v>
          </cell>
          <cell r="N154">
            <v>1280</v>
          </cell>
          <cell r="O154">
            <v>0</v>
          </cell>
          <cell r="P154">
            <v>1280</v>
          </cell>
          <cell r="Q154">
            <v>0</v>
          </cell>
          <cell r="R154">
            <v>1280</v>
          </cell>
          <cell r="S154">
            <v>0</v>
          </cell>
          <cell r="T154">
            <v>1280</v>
          </cell>
          <cell r="U154">
            <v>0</v>
          </cell>
          <cell r="V154">
            <v>1280</v>
          </cell>
          <cell r="W154">
            <v>0</v>
          </cell>
          <cell r="X154">
            <v>1280</v>
          </cell>
          <cell r="Y154">
            <v>0</v>
          </cell>
          <cell r="Z154">
            <v>1280</v>
          </cell>
          <cell r="AA154">
            <v>0</v>
          </cell>
          <cell r="AB154">
            <v>0</v>
          </cell>
          <cell r="AC154">
            <v>0</v>
          </cell>
          <cell r="AD154">
            <v>0.26600000000000001</v>
          </cell>
          <cell r="AE154">
            <v>0</v>
          </cell>
          <cell r="AF154">
            <v>0</v>
          </cell>
          <cell r="AG154">
            <v>0</v>
          </cell>
          <cell r="AH154">
            <v>0</v>
          </cell>
          <cell r="AI154">
            <v>0</v>
          </cell>
          <cell r="AJ154">
            <v>0</v>
          </cell>
          <cell r="AK154">
            <v>0</v>
          </cell>
          <cell r="AL154">
            <v>0</v>
          </cell>
        </row>
        <row r="155">
          <cell r="E155" t="str">
            <v>F1-PE-63mm</v>
          </cell>
          <cell r="F155" t="str">
            <v>ｍ</v>
          </cell>
          <cell r="G155">
            <v>0</v>
          </cell>
          <cell r="H155">
            <v>1440</v>
          </cell>
          <cell r="I155">
            <v>0</v>
          </cell>
          <cell r="J155">
            <v>1440</v>
          </cell>
          <cell r="K155">
            <v>0</v>
          </cell>
          <cell r="L155">
            <v>1440</v>
          </cell>
          <cell r="M155">
            <v>0</v>
          </cell>
          <cell r="N155">
            <v>1440</v>
          </cell>
          <cell r="O155">
            <v>0</v>
          </cell>
          <cell r="P155">
            <v>1440</v>
          </cell>
          <cell r="Q155">
            <v>0</v>
          </cell>
          <cell r="R155">
            <v>1440</v>
          </cell>
          <cell r="S155">
            <v>0</v>
          </cell>
          <cell r="T155">
            <v>1440</v>
          </cell>
          <cell r="U155">
            <v>0</v>
          </cell>
          <cell r="V155">
            <v>1440</v>
          </cell>
          <cell r="W155">
            <v>0</v>
          </cell>
          <cell r="X155">
            <v>1440</v>
          </cell>
          <cell r="Y155">
            <v>0</v>
          </cell>
          <cell r="Z155">
            <v>1440</v>
          </cell>
          <cell r="AA155">
            <v>0</v>
          </cell>
          <cell r="AB155">
            <v>0</v>
          </cell>
          <cell r="AC155">
            <v>0</v>
          </cell>
          <cell r="AD155">
            <v>0.32300000000000001</v>
          </cell>
          <cell r="AE155">
            <v>0</v>
          </cell>
          <cell r="AF155">
            <v>0</v>
          </cell>
          <cell r="AG155">
            <v>0</v>
          </cell>
          <cell r="AH155">
            <v>0</v>
          </cell>
          <cell r="AI155">
            <v>0</v>
          </cell>
          <cell r="AJ155">
            <v>0</v>
          </cell>
          <cell r="AK155">
            <v>0</v>
          </cell>
          <cell r="AL155">
            <v>0</v>
          </cell>
        </row>
        <row r="156">
          <cell r="E156" t="str">
            <v>F1-PE-75mm</v>
          </cell>
          <cell r="F156" t="str">
            <v>ｍ</v>
          </cell>
          <cell r="G156">
            <v>0</v>
          </cell>
          <cell r="H156">
            <v>1940</v>
          </cell>
          <cell r="I156">
            <v>0</v>
          </cell>
          <cell r="J156">
            <v>1940</v>
          </cell>
          <cell r="K156">
            <v>0</v>
          </cell>
          <cell r="L156">
            <v>1940</v>
          </cell>
          <cell r="M156">
            <v>0</v>
          </cell>
          <cell r="N156">
            <v>1940</v>
          </cell>
          <cell r="O156">
            <v>0</v>
          </cell>
          <cell r="P156">
            <v>1940</v>
          </cell>
          <cell r="Q156">
            <v>0</v>
          </cell>
          <cell r="R156">
            <v>1940</v>
          </cell>
          <cell r="S156">
            <v>0</v>
          </cell>
          <cell r="T156">
            <v>1940</v>
          </cell>
          <cell r="U156">
            <v>0</v>
          </cell>
          <cell r="V156">
            <v>1940</v>
          </cell>
          <cell r="W156">
            <v>0</v>
          </cell>
          <cell r="X156">
            <v>1940</v>
          </cell>
          <cell r="Y156">
            <v>0</v>
          </cell>
          <cell r="Z156">
            <v>1940</v>
          </cell>
          <cell r="AA156">
            <v>0</v>
          </cell>
          <cell r="AB156">
            <v>0</v>
          </cell>
          <cell r="AC156">
            <v>0</v>
          </cell>
          <cell r="AD156">
            <v>0.40200000000000002</v>
          </cell>
          <cell r="AE156">
            <v>0</v>
          </cell>
          <cell r="AF156">
            <v>0</v>
          </cell>
          <cell r="AG156">
            <v>0</v>
          </cell>
          <cell r="AH156">
            <v>0</v>
          </cell>
          <cell r="AI156">
            <v>0</v>
          </cell>
          <cell r="AJ156">
            <v>0</v>
          </cell>
          <cell r="AK156">
            <v>0</v>
          </cell>
          <cell r="AL156">
            <v>0</v>
          </cell>
        </row>
        <row r="157">
          <cell r="E157" t="str">
            <v>SUS-G- 16mm</v>
          </cell>
          <cell r="F157" t="str">
            <v>ｍ</v>
          </cell>
          <cell r="G157">
            <v>8160</v>
          </cell>
          <cell r="H157">
            <v>2229</v>
          </cell>
          <cell r="I157">
            <v>8160</v>
          </cell>
          <cell r="J157">
            <v>2229</v>
          </cell>
          <cell r="K157">
            <v>8160</v>
          </cell>
          <cell r="L157">
            <v>2229</v>
          </cell>
          <cell r="M157">
            <v>8160</v>
          </cell>
          <cell r="N157">
            <v>2229</v>
          </cell>
          <cell r="O157">
            <v>8160</v>
          </cell>
          <cell r="P157">
            <v>2229</v>
          </cell>
          <cell r="Q157">
            <v>8160</v>
          </cell>
          <cell r="R157">
            <v>2229</v>
          </cell>
          <cell r="S157">
            <v>8160</v>
          </cell>
          <cell r="T157">
            <v>2229</v>
          </cell>
          <cell r="U157">
            <v>8160</v>
          </cell>
          <cell r="V157">
            <v>2229</v>
          </cell>
          <cell r="W157">
            <v>8160</v>
          </cell>
          <cell r="X157">
            <v>2229</v>
          </cell>
          <cell r="Y157">
            <v>8160</v>
          </cell>
          <cell r="Z157">
            <v>2229</v>
          </cell>
          <cell r="AA157">
            <v>0</v>
          </cell>
          <cell r="AB157">
            <v>0</v>
          </cell>
          <cell r="AC157">
            <v>0</v>
          </cell>
          <cell r="AD157">
            <v>0.06</v>
          </cell>
          <cell r="AE157">
            <v>0</v>
          </cell>
          <cell r="AF157">
            <v>0</v>
          </cell>
          <cell r="AG157">
            <v>0</v>
          </cell>
          <cell r="AH157">
            <v>0</v>
          </cell>
          <cell r="AI157">
            <v>0</v>
          </cell>
          <cell r="AJ157">
            <v>0</v>
          </cell>
          <cell r="AK157">
            <v>0</v>
          </cell>
          <cell r="AL157" t="str">
            <v>１本=3.66m</v>
          </cell>
        </row>
        <row r="158">
          <cell r="E158" t="str">
            <v>SUS-G- 22mm</v>
          </cell>
          <cell r="F158" t="str">
            <v>ｍ</v>
          </cell>
          <cell r="G158">
            <v>10300</v>
          </cell>
          <cell r="H158">
            <v>2814</v>
          </cell>
          <cell r="I158">
            <v>10300</v>
          </cell>
          <cell r="J158">
            <v>2814</v>
          </cell>
          <cell r="K158">
            <v>10300</v>
          </cell>
          <cell r="L158">
            <v>2814</v>
          </cell>
          <cell r="M158">
            <v>10300</v>
          </cell>
          <cell r="N158">
            <v>2814</v>
          </cell>
          <cell r="O158">
            <v>10300</v>
          </cell>
          <cell r="P158">
            <v>2814</v>
          </cell>
          <cell r="Q158">
            <v>10300</v>
          </cell>
          <cell r="R158">
            <v>2814</v>
          </cell>
          <cell r="S158">
            <v>10300</v>
          </cell>
          <cell r="T158">
            <v>2814</v>
          </cell>
          <cell r="U158">
            <v>10300</v>
          </cell>
          <cell r="V158">
            <v>2814</v>
          </cell>
          <cell r="W158">
            <v>10300</v>
          </cell>
          <cell r="X158">
            <v>2814</v>
          </cell>
          <cell r="Y158">
            <v>10300</v>
          </cell>
          <cell r="Z158">
            <v>2814</v>
          </cell>
          <cell r="AA158">
            <v>0</v>
          </cell>
          <cell r="AB158">
            <v>0</v>
          </cell>
          <cell r="AC158">
            <v>0</v>
          </cell>
          <cell r="AD158">
            <v>0.08</v>
          </cell>
          <cell r="AE158">
            <v>0</v>
          </cell>
          <cell r="AF158">
            <v>0</v>
          </cell>
          <cell r="AG158">
            <v>0</v>
          </cell>
          <cell r="AH158">
            <v>0</v>
          </cell>
          <cell r="AI158">
            <v>0</v>
          </cell>
          <cell r="AJ158">
            <v>0</v>
          </cell>
          <cell r="AK158">
            <v>0</v>
          </cell>
          <cell r="AL158" t="str">
            <v xml:space="preserve">     ↓</v>
          </cell>
        </row>
        <row r="159">
          <cell r="E159" t="str">
            <v>SUS-G- 28mm</v>
          </cell>
          <cell r="F159" t="str">
            <v>ｍ</v>
          </cell>
          <cell r="G159">
            <v>12900</v>
          </cell>
          <cell r="H159">
            <v>3524</v>
          </cell>
          <cell r="I159">
            <v>12900</v>
          </cell>
          <cell r="J159">
            <v>3524</v>
          </cell>
          <cell r="K159">
            <v>12900</v>
          </cell>
          <cell r="L159">
            <v>3524</v>
          </cell>
          <cell r="M159">
            <v>12900</v>
          </cell>
          <cell r="N159">
            <v>3524</v>
          </cell>
          <cell r="O159">
            <v>12900</v>
          </cell>
          <cell r="P159">
            <v>3524</v>
          </cell>
          <cell r="Q159">
            <v>12900</v>
          </cell>
          <cell r="R159">
            <v>3524</v>
          </cell>
          <cell r="S159">
            <v>12900</v>
          </cell>
          <cell r="T159">
            <v>3524</v>
          </cell>
          <cell r="U159">
            <v>12900</v>
          </cell>
          <cell r="V159">
            <v>3524</v>
          </cell>
          <cell r="W159">
            <v>12900</v>
          </cell>
          <cell r="X159">
            <v>3524</v>
          </cell>
          <cell r="Y159">
            <v>12900</v>
          </cell>
          <cell r="Z159">
            <v>3524</v>
          </cell>
          <cell r="AA159">
            <v>0</v>
          </cell>
          <cell r="AB159">
            <v>0</v>
          </cell>
          <cell r="AC159">
            <v>0</v>
          </cell>
          <cell r="AD159">
            <v>0.10299999999999999</v>
          </cell>
          <cell r="AE159">
            <v>0</v>
          </cell>
          <cell r="AF159">
            <v>0</v>
          </cell>
          <cell r="AG159">
            <v>0</v>
          </cell>
          <cell r="AH159">
            <v>0</v>
          </cell>
          <cell r="AI159">
            <v>0</v>
          </cell>
          <cell r="AJ159">
            <v>0</v>
          </cell>
          <cell r="AK159">
            <v>0</v>
          </cell>
          <cell r="AL159" t="str">
            <v xml:space="preserve">     ↓</v>
          </cell>
        </row>
        <row r="160">
          <cell r="E160" t="str">
            <v>SUS-G- 36mm</v>
          </cell>
          <cell r="F160" t="str">
            <v>ｍ</v>
          </cell>
          <cell r="G160">
            <v>16600</v>
          </cell>
          <cell r="H160">
            <v>4535</v>
          </cell>
          <cell r="I160">
            <v>16600</v>
          </cell>
          <cell r="J160">
            <v>4535</v>
          </cell>
          <cell r="K160">
            <v>16600</v>
          </cell>
          <cell r="L160">
            <v>4535</v>
          </cell>
          <cell r="M160">
            <v>16600</v>
          </cell>
          <cell r="N160">
            <v>4535</v>
          </cell>
          <cell r="O160">
            <v>16600</v>
          </cell>
          <cell r="P160">
            <v>4535</v>
          </cell>
          <cell r="Q160">
            <v>16600</v>
          </cell>
          <cell r="R160">
            <v>4535</v>
          </cell>
          <cell r="S160">
            <v>16600</v>
          </cell>
          <cell r="T160">
            <v>4535</v>
          </cell>
          <cell r="U160">
            <v>16600</v>
          </cell>
          <cell r="V160">
            <v>4535</v>
          </cell>
          <cell r="W160">
            <v>16600</v>
          </cell>
          <cell r="X160">
            <v>4535</v>
          </cell>
          <cell r="Y160">
            <v>16600</v>
          </cell>
          <cell r="Z160">
            <v>4535</v>
          </cell>
          <cell r="AA160">
            <v>0</v>
          </cell>
          <cell r="AB160">
            <v>0</v>
          </cell>
          <cell r="AC160">
            <v>0</v>
          </cell>
          <cell r="AD160">
            <v>0.124</v>
          </cell>
          <cell r="AE160">
            <v>0</v>
          </cell>
          <cell r="AF160">
            <v>0</v>
          </cell>
          <cell r="AG160">
            <v>0</v>
          </cell>
          <cell r="AH160">
            <v>0</v>
          </cell>
          <cell r="AI160">
            <v>0</v>
          </cell>
          <cell r="AJ160">
            <v>0</v>
          </cell>
          <cell r="AK160">
            <v>0</v>
          </cell>
          <cell r="AL160" t="str">
            <v xml:space="preserve">     ↓</v>
          </cell>
        </row>
        <row r="161">
          <cell r="E161" t="str">
            <v>SUS-G- 42mm</v>
          </cell>
          <cell r="F161" t="str">
            <v>ｍ</v>
          </cell>
          <cell r="G161">
            <v>19100</v>
          </cell>
          <cell r="H161">
            <v>5218</v>
          </cell>
          <cell r="I161">
            <v>19100</v>
          </cell>
          <cell r="J161">
            <v>5218</v>
          </cell>
          <cell r="K161">
            <v>19100</v>
          </cell>
          <cell r="L161">
            <v>5218</v>
          </cell>
          <cell r="M161">
            <v>19100</v>
          </cell>
          <cell r="N161">
            <v>5218</v>
          </cell>
          <cell r="O161">
            <v>19100</v>
          </cell>
          <cell r="P161">
            <v>5218</v>
          </cell>
          <cell r="Q161">
            <v>19100</v>
          </cell>
          <cell r="R161">
            <v>5218</v>
          </cell>
          <cell r="S161">
            <v>19100</v>
          </cell>
          <cell r="T161">
            <v>5218</v>
          </cell>
          <cell r="U161">
            <v>19100</v>
          </cell>
          <cell r="V161">
            <v>5218</v>
          </cell>
          <cell r="W161">
            <v>19100</v>
          </cell>
          <cell r="X161">
            <v>5218</v>
          </cell>
          <cell r="Y161">
            <v>19100</v>
          </cell>
          <cell r="Z161">
            <v>5218</v>
          </cell>
          <cell r="AA161">
            <v>0</v>
          </cell>
          <cell r="AB161">
            <v>0</v>
          </cell>
          <cell r="AC161">
            <v>0</v>
          </cell>
          <cell r="AD161">
            <v>0.17</v>
          </cell>
          <cell r="AE161">
            <v>0</v>
          </cell>
          <cell r="AF161">
            <v>0</v>
          </cell>
          <cell r="AG161">
            <v>0</v>
          </cell>
          <cell r="AH161">
            <v>0</v>
          </cell>
          <cell r="AI161">
            <v>0</v>
          </cell>
          <cell r="AJ161">
            <v>0</v>
          </cell>
          <cell r="AK161">
            <v>0</v>
          </cell>
          <cell r="AL161" t="str">
            <v xml:space="preserve">     ↓</v>
          </cell>
        </row>
        <row r="162">
          <cell r="E162" t="str">
            <v>SUS-G- 54mm</v>
          </cell>
          <cell r="F162" t="str">
            <v>ｍ</v>
          </cell>
          <cell r="G162">
            <v>23900</v>
          </cell>
          <cell r="H162">
            <v>6530</v>
          </cell>
          <cell r="I162">
            <v>23900</v>
          </cell>
          <cell r="J162">
            <v>6530</v>
          </cell>
          <cell r="K162">
            <v>23900</v>
          </cell>
          <cell r="L162">
            <v>6530</v>
          </cell>
          <cell r="M162">
            <v>23900</v>
          </cell>
          <cell r="N162">
            <v>6530</v>
          </cell>
          <cell r="O162">
            <v>23900</v>
          </cell>
          <cell r="P162">
            <v>6530</v>
          </cell>
          <cell r="Q162">
            <v>23900</v>
          </cell>
          <cell r="R162">
            <v>6530</v>
          </cell>
          <cell r="S162">
            <v>23900</v>
          </cell>
          <cell r="T162">
            <v>6530</v>
          </cell>
          <cell r="U162">
            <v>23900</v>
          </cell>
          <cell r="V162">
            <v>6530</v>
          </cell>
          <cell r="W162">
            <v>23900</v>
          </cell>
          <cell r="X162">
            <v>6530</v>
          </cell>
          <cell r="Y162">
            <v>23900</v>
          </cell>
          <cell r="Z162">
            <v>6530</v>
          </cell>
          <cell r="AA162">
            <v>0</v>
          </cell>
          <cell r="AB162">
            <v>0</v>
          </cell>
          <cell r="AC162">
            <v>0</v>
          </cell>
          <cell r="AD162">
            <v>0.22900000000000001</v>
          </cell>
          <cell r="AE162">
            <v>0</v>
          </cell>
          <cell r="AF162">
            <v>0</v>
          </cell>
          <cell r="AG162">
            <v>0</v>
          </cell>
          <cell r="AH162">
            <v>0</v>
          </cell>
          <cell r="AI162">
            <v>0</v>
          </cell>
          <cell r="AJ162">
            <v>0</v>
          </cell>
          <cell r="AK162">
            <v>0</v>
          </cell>
          <cell r="AL162" t="str">
            <v xml:space="preserve">     ↓</v>
          </cell>
        </row>
        <row r="163">
          <cell r="E163" t="str">
            <v>SUS-G- 70mm</v>
          </cell>
          <cell r="F163" t="str">
            <v>ｍ</v>
          </cell>
          <cell r="G163">
            <v>30600</v>
          </cell>
          <cell r="H163">
            <v>8360</v>
          </cell>
          <cell r="I163">
            <v>30600</v>
          </cell>
          <cell r="J163">
            <v>8360</v>
          </cell>
          <cell r="K163">
            <v>30600</v>
          </cell>
          <cell r="L163">
            <v>8360</v>
          </cell>
          <cell r="M163">
            <v>30600</v>
          </cell>
          <cell r="N163">
            <v>8360</v>
          </cell>
          <cell r="O163">
            <v>30600</v>
          </cell>
          <cell r="P163">
            <v>8360</v>
          </cell>
          <cell r="Q163">
            <v>30600</v>
          </cell>
          <cell r="R163">
            <v>8360</v>
          </cell>
          <cell r="S163">
            <v>30600</v>
          </cell>
          <cell r="T163">
            <v>8360</v>
          </cell>
          <cell r="U163">
            <v>30600</v>
          </cell>
          <cell r="V163">
            <v>8360</v>
          </cell>
          <cell r="W163">
            <v>30600</v>
          </cell>
          <cell r="X163">
            <v>8360</v>
          </cell>
          <cell r="Y163">
            <v>30600</v>
          </cell>
          <cell r="Z163">
            <v>8360</v>
          </cell>
          <cell r="AA163">
            <v>0</v>
          </cell>
          <cell r="AB163">
            <v>0</v>
          </cell>
          <cell r="AC163">
            <v>0</v>
          </cell>
          <cell r="AD163">
            <v>0.26600000000000001</v>
          </cell>
          <cell r="AE163">
            <v>0</v>
          </cell>
          <cell r="AF163">
            <v>0</v>
          </cell>
          <cell r="AG163">
            <v>0</v>
          </cell>
          <cell r="AH163">
            <v>0</v>
          </cell>
          <cell r="AI163">
            <v>0</v>
          </cell>
          <cell r="AJ163">
            <v>0</v>
          </cell>
          <cell r="AK163">
            <v>0</v>
          </cell>
          <cell r="AL163" t="str">
            <v xml:space="preserve">     ↓</v>
          </cell>
        </row>
        <row r="164">
          <cell r="E164" t="str">
            <v>SUS-G- 82mm</v>
          </cell>
          <cell r="F164" t="str">
            <v>ｍ</v>
          </cell>
          <cell r="G164">
            <v>42000</v>
          </cell>
          <cell r="H164">
            <v>11475</v>
          </cell>
          <cell r="I164">
            <v>42000</v>
          </cell>
          <cell r="J164">
            <v>11475</v>
          </cell>
          <cell r="K164">
            <v>42000</v>
          </cell>
          <cell r="L164">
            <v>11475</v>
          </cell>
          <cell r="M164">
            <v>42000</v>
          </cell>
          <cell r="N164">
            <v>11475</v>
          </cell>
          <cell r="O164">
            <v>42000</v>
          </cell>
          <cell r="P164">
            <v>11475</v>
          </cell>
          <cell r="Q164">
            <v>42000</v>
          </cell>
          <cell r="R164">
            <v>11475</v>
          </cell>
          <cell r="S164">
            <v>42000</v>
          </cell>
          <cell r="T164">
            <v>11475</v>
          </cell>
          <cell r="U164">
            <v>42000</v>
          </cell>
          <cell r="V164">
            <v>11475</v>
          </cell>
          <cell r="W164">
            <v>42000</v>
          </cell>
          <cell r="X164">
            <v>11475</v>
          </cell>
          <cell r="Y164">
            <v>42000</v>
          </cell>
          <cell r="Z164">
            <v>11475</v>
          </cell>
          <cell r="AA164">
            <v>0</v>
          </cell>
          <cell r="AB164">
            <v>0</v>
          </cell>
          <cell r="AC164">
            <v>0</v>
          </cell>
          <cell r="AD164">
            <v>0.32300000000000001</v>
          </cell>
          <cell r="AE164">
            <v>0</v>
          </cell>
          <cell r="AF164">
            <v>0</v>
          </cell>
          <cell r="AG164">
            <v>0</v>
          </cell>
          <cell r="AH164">
            <v>0</v>
          </cell>
          <cell r="AI164">
            <v>0</v>
          </cell>
          <cell r="AJ164">
            <v>0</v>
          </cell>
          <cell r="AK164">
            <v>0</v>
          </cell>
          <cell r="AL164" t="str">
            <v xml:space="preserve">     ↓</v>
          </cell>
        </row>
        <row r="165">
          <cell r="E165" t="str">
            <v>SUS-G-104mm</v>
          </cell>
          <cell r="F165" t="str">
            <v>ｍ</v>
          </cell>
          <cell r="G165">
            <v>54600</v>
          </cell>
          <cell r="H165">
            <v>14918</v>
          </cell>
          <cell r="I165">
            <v>54600</v>
          </cell>
          <cell r="J165">
            <v>14918</v>
          </cell>
          <cell r="K165">
            <v>54600</v>
          </cell>
          <cell r="L165">
            <v>14918</v>
          </cell>
          <cell r="M165">
            <v>54600</v>
          </cell>
          <cell r="N165">
            <v>14918</v>
          </cell>
          <cell r="O165">
            <v>54600</v>
          </cell>
          <cell r="P165">
            <v>14918</v>
          </cell>
          <cell r="Q165">
            <v>54600</v>
          </cell>
          <cell r="R165">
            <v>14918</v>
          </cell>
          <cell r="S165">
            <v>54600</v>
          </cell>
          <cell r="T165">
            <v>14918</v>
          </cell>
          <cell r="U165">
            <v>54600</v>
          </cell>
          <cell r="V165">
            <v>14918</v>
          </cell>
          <cell r="W165">
            <v>54600</v>
          </cell>
          <cell r="X165">
            <v>14918</v>
          </cell>
          <cell r="Y165">
            <v>54600</v>
          </cell>
          <cell r="Z165">
            <v>14918</v>
          </cell>
          <cell r="AA165">
            <v>0</v>
          </cell>
          <cell r="AB165">
            <v>0</v>
          </cell>
          <cell r="AC165">
            <v>0</v>
          </cell>
          <cell r="AD165">
            <v>0.40200000000000002</v>
          </cell>
          <cell r="AE165">
            <v>0</v>
          </cell>
          <cell r="AF165">
            <v>0</v>
          </cell>
          <cell r="AG165">
            <v>0</v>
          </cell>
          <cell r="AH165">
            <v>0</v>
          </cell>
          <cell r="AI165">
            <v>0</v>
          </cell>
          <cell r="AJ165">
            <v>0</v>
          </cell>
          <cell r="AK165">
            <v>0</v>
          </cell>
          <cell r="AL165" t="str">
            <v xml:space="preserve">     ↓</v>
          </cell>
        </row>
        <row r="166">
          <cell r="E166" t="str">
            <v>SUS-C- 19mm</v>
          </cell>
          <cell r="F166" t="str">
            <v>ｍ</v>
          </cell>
          <cell r="G166">
            <v>5250</v>
          </cell>
          <cell r="H166">
            <v>1434</v>
          </cell>
          <cell r="I166">
            <v>5250</v>
          </cell>
          <cell r="J166">
            <v>1434</v>
          </cell>
          <cell r="K166">
            <v>5250</v>
          </cell>
          <cell r="L166">
            <v>1434</v>
          </cell>
          <cell r="M166">
            <v>5250</v>
          </cell>
          <cell r="N166">
            <v>1434</v>
          </cell>
          <cell r="O166">
            <v>5250</v>
          </cell>
          <cell r="P166">
            <v>1434</v>
          </cell>
          <cell r="Q166">
            <v>5250</v>
          </cell>
          <cell r="R166">
            <v>1434</v>
          </cell>
          <cell r="S166">
            <v>5250</v>
          </cell>
          <cell r="T166">
            <v>1434</v>
          </cell>
          <cell r="U166">
            <v>5250</v>
          </cell>
          <cell r="V166">
            <v>1434</v>
          </cell>
          <cell r="W166">
            <v>5250</v>
          </cell>
          <cell r="X166">
            <v>1434</v>
          </cell>
          <cell r="Y166">
            <v>5250</v>
          </cell>
          <cell r="Z166">
            <v>1434</v>
          </cell>
          <cell r="AA166">
            <v>0</v>
          </cell>
          <cell r="AB166">
            <v>0</v>
          </cell>
          <cell r="AC166">
            <v>0</v>
          </cell>
          <cell r="AD166">
            <v>5.1999999999999998E-2</v>
          </cell>
          <cell r="AE166">
            <v>0</v>
          </cell>
          <cell r="AF166">
            <v>0</v>
          </cell>
          <cell r="AG166">
            <v>0</v>
          </cell>
          <cell r="AH166">
            <v>0</v>
          </cell>
          <cell r="AI166">
            <v>0</v>
          </cell>
          <cell r="AJ166">
            <v>0</v>
          </cell>
          <cell r="AK166">
            <v>0</v>
          </cell>
          <cell r="AL166" t="str">
            <v>１本=3.66m</v>
          </cell>
        </row>
        <row r="167">
          <cell r="E167" t="str">
            <v>SUS-C- 25mm</v>
          </cell>
          <cell r="F167" t="str">
            <v>ｍ</v>
          </cell>
          <cell r="G167">
            <v>6060</v>
          </cell>
          <cell r="H167">
            <v>1655</v>
          </cell>
          <cell r="I167">
            <v>6060</v>
          </cell>
          <cell r="J167">
            <v>1655</v>
          </cell>
          <cell r="K167">
            <v>6060</v>
          </cell>
          <cell r="L167">
            <v>1655</v>
          </cell>
          <cell r="M167">
            <v>6060</v>
          </cell>
          <cell r="N167">
            <v>1655</v>
          </cell>
          <cell r="O167">
            <v>6060</v>
          </cell>
          <cell r="P167">
            <v>1655</v>
          </cell>
          <cell r="Q167">
            <v>6060</v>
          </cell>
          <cell r="R167">
            <v>1655</v>
          </cell>
          <cell r="S167">
            <v>6060</v>
          </cell>
          <cell r="T167">
            <v>1655</v>
          </cell>
          <cell r="U167">
            <v>6060</v>
          </cell>
          <cell r="V167">
            <v>1655</v>
          </cell>
          <cell r="W167">
            <v>6060</v>
          </cell>
          <cell r="X167">
            <v>1655</v>
          </cell>
          <cell r="Y167">
            <v>6060</v>
          </cell>
          <cell r="Z167">
            <v>1655</v>
          </cell>
          <cell r="AA167">
            <v>0</v>
          </cell>
          <cell r="AB167">
            <v>0</v>
          </cell>
          <cell r="AC167">
            <v>0</v>
          </cell>
          <cell r="AD167">
            <v>7.0000000000000007E-2</v>
          </cell>
          <cell r="AE167">
            <v>0</v>
          </cell>
          <cell r="AF167">
            <v>0</v>
          </cell>
          <cell r="AG167">
            <v>0</v>
          </cell>
          <cell r="AH167">
            <v>0</v>
          </cell>
          <cell r="AI167">
            <v>0</v>
          </cell>
          <cell r="AJ167">
            <v>0</v>
          </cell>
          <cell r="AK167">
            <v>0</v>
          </cell>
          <cell r="AL167" t="str">
            <v xml:space="preserve">     ↓</v>
          </cell>
        </row>
        <row r="168">
          <cell r="E168" t="str">
            <v>SUS-C- 31mm</v>
          </cell>
          <cell r="F168" t="str">
            <v>ｍ</v>
          </cell>
          <cell r="G168">
            <v>7810</v>
          </cell>
          <cell r="H168">
            <v>2133</v>
          </cell>
          <cell r="I168">
            <v>7810</v>
          </cell>
          <cell r="J168">
            <v>2133</v>
          </cell>
          <cell r="K168">
            <v>7810</v>
          </cell>
          <cell r="L168">
            <v>2133</v>
          </cell>
          <cell r="M168">
            <v>7810</v>
          </cell>
          <cell r="N168">
            <v>2133</v>
          </cell>
          <cell r="O168">
            <v>7810</v>
          </cell>
          <cell r="P168">
            <v>2133</v>
          </cell>
          <cell r="Q168">
            <v>7810</v>
          </cell>
          <cell r="R168">
            <v>2133</v>
          </cell>
          <cell r="S168">
            <v>7810</v>
          </cell>
          <cell r="T168">
            <v>2133</v>
          </cell>
          <cell r="U168">
            <v>7810</v>
          </cell>
          <cell r="V168">
            <v>2133</v>
          </cell>
          <cell r="W168">
            <v>7810</v>
          </cell>
          <cell r="X168">
            <v>2133</v>
          </cell>
          <cell r="Y168">
            <v>7810</v>
          </cell>
          <cell r="Z168">
            <v>2133</v>
          </cell>
          <cell r="AA168">
            <v>0</v>
          </cell>
          <cell r="AB168">
            <v>0</v>
          </cell>
          <cell r="AC168">
            <v>0</v>
          </cell>
          <cell r="AD168">
            <v>8.8999999999999996E-2</v>
          </cell>
          <cell r="AE168">
            <v>0</v>
          </cell>
          <cell r="AF168">
            <v>0</v>
          </cell>
          <cell r="AG168">
            <v>0</v>
          </cell>
          <cell r="AH168">
            <v>0</v>
          </cell>
          <cell r="AI168">
            <v>0</v>
          </cell>
          <cell r="AJ168">
            <v>0</v>
          </cell>
          <cell r="AK168">
            <v>0</v>
          </cell>
          <cell r="AL168" t="str">
            <v xml:space="preserve">     ↓</v>
          </cell>
        </row>
        <row r="169">
          <cell r="E169" t="str">
            <v>SUS-C- 39mm</v>
          </cell>
          <cell r="F169" t="str">
            <v>ｍ</v>
          </cell>
          <cell r="G169">
            <v>9330</v>
          </cell>
          <cell r="H169">
            <v>2549</v>
          </cell>
          <cell r="I169">
            <v>9330</v>
          </cell>
          <cell r="J169">
            <v>2549</v>
          </cell>
          <cell r="K169">
            <v>9330</v>
          </cell>
          <cell r="L169">
            <v>2549</v>
          </cell>
          <cell r="M169">
            <v>9330</v>
          </cell>
          <cell r="N169">
            <v>2549</v>
          </cell>
          <cell r="O169">
            <v>9330</v>
          </cell>
          <cell r="P169">
            <v>2549</v>
          </cell>
          <cell r="Q169">
            <v>9330</v>
          </cell>
          <cell r="R169">
            <v>2549</v>
          </cell>
          <cell r="S169">
            <v>9330</v>
          </cell>
          <cell r="T169">
            <v>2549</v>
          </cell>
          <cell r="U169">
            <v>9330</v>
          </cell>
          <cell r="V169">
            <v>2549</v>
          </cell>
          <cell r="W169">
            <v>9330</v>
          </cell>
          <cell r="X169">
            <v>2549</v>
          </cell>
          <cell r="Y169">
            <v>9330</v>
          </cell>
          <cell r="Z169">
            <v>2549</v>
          </cell>
          <cell r="AA169">
            <v>0</v>
          </cell>
          <cell r="AB169">
            <v>0</v>
          </cell>
          <cell r="AC169">
            <v>0</v>
          </cell>
          <cell r="AD169">
            <v>0.109</v>
          </cell>
          <cell r="AE169">
            <v>0</v>
          </cell>
          <cell r="AF169">
            <v>0</v>
          </cell>
          <cell r="AG169">
            <v>0</v>
          </cell>
          <cell r="AH169">
            <v>0</v>
          </cell>
          <cell r="AI169">
            <v>0</v>
          </cell>
          <cell r="AJ169">
            <v>0</v>
          </cell>
          <cell r="AK169">
            <v>0</v>
          </cell>
          <cell r="AL169" t="str">
            <v xml:space="preserve">     ↓</v>
          </cell>
        </row>
        <row r="170">
          <cell r="E170" t="str">
            <v>SUS-C- 51mm</v>
          </cell>
          <cell r="F170" t="str">
            <v>ｍ</v>
          </cell>
          <cell r="G170">
            <v>12200</v>
          </cell>
          <cell r="H170">
            <v>3333</v>
          </cell>
          <cell r="I170">
            <v>12200</v>
          </cell>
          <cell r="J170">
            <v>3333</v>
          </cell>
          <cell r="K170">
            <v>12200</v>
          </cell>
          <cell r="L170">
            <v>3333</v>
          </cell>
          <cell r="M170">
            <v>12200</v>
          </cell>
          <cell r="N170">
            <v>3333</v>
          </cell>
          <cell r="O170">
            <v>12200</v>
          </cell>
          <cell r="P170">
            <v>3333</v>
          </cell>
          <cell r="Q170">
            <v>12200</v>
          </cell>
          <cell r="R170">
            <v>3333</v>
          </cell>
          <cell r="S170">
            <v>12200</v>
          </cell>
          <cell r="T170">
            <v>3333</v>
          </cell>
          <cell r="U170">
            <v>12200</v>
          </cell>
          <cell r="V170">
            <v>3333</v>
          </cell>
          <cell r="W170">
            <v>12200</v>
          </cell>
          <cell r="X170">
            <v>3333</v>
          </cell>
          <cell r="Y170">
            <v>12200</v>
          </cell>
          <cell r="Z170">
            <v>3333</v>
          </cell>
          <cell r="AA170">
            <v>0</v>
          </cell>
          <cell r="AB170">
            <v>0</v>
          </cell>
          <cell r="AC170">
            <v>0</v>
          </cell>
          <cell r="AD170">
            <v>0.14699999999999999</v>
          </cell>
          <cell r="AE170">
            <v>0</v>
          </cell>
          <cell r="AF170">
            <v>0</v>
          </cell>
          <cell r="AG170">
            <v>0</v>
          </cell>
          <cell r="AH170">
            <v>0</v>
          </cell>
          <cell r="AI170">
            <v>0</v>
          </cell>
          <cell r="AJ170">
            <v>0</v>
          </cell>
          <cell r="AK170">
            <v>0</v>
          </cell>
          <cell r="AL170" t="str">
            <v xml:space="preserve">     ↓</v>
          </cell>
        </row>
        <row r="171">
          <cell r="E171" t="str">
            <v>SUS-C- 63mm</v>
          </cell>
          <cell r="F171" t="str">
            <v>ｍ</v>
          </cell>
          <cell r="G171">
            <v>18350</v>
          </cell>
          <cell r="H171">
            <v>5013</v>
          </cell>
          <cell r="I171">
            <v>18350</v>
          </cell>
          <cell r="J171">
            <v>5013</v>
          </cell>
          <cell r="K171">
            <v>18350</v>
          </cell>
          <cell r="L171">
            <v>5013</v>
          </cell>
          <cell r="M171">
            <v>18350</v>
          </cell>
          <cell r="N171">
            <v>5013</v>
          </cell>
          <cell r="O171">
            <v>18350</v>
          </cell>
          <cell r="P171">
            <v>5013</v>
          </cell>
          <cell r="Q171">
            <v>18350</v>
          </cell>
          <cell r="R171">
            <v>5013</v>
          </cell>
          <cell r="S171">
            <v>18350</v>
          </cell>
          <cell r="T171">
            <v>5013</v>
          </cell>
          <cell r="U171">
            <v>18350</v>
          </cell>
          <cell r="V171">
            <v>5013</v>
          </cell>
          <cell r="W171">
            <v>18350</v>
          </cell>
          <cell r="X171">
            <v>5013</v>
          </cell>
          <cell r="Y171">
            <v>18350</v>
          </cell>
          <cell r="Z171">
            <v>5013</v>
          </cell>
          <cell r="AA171">
            <v>0</v>
          </cell>
          <cell r="AB171">
            <v>0</v>
          </cell>
          <cell r="AC171">
            <v>0</v>
          </cell>
          <cell r="AD171">
            <v>0.19800000000000001</v>
          </cell>
          <cell r="AE171">
            <v>0</v>
          </cell>
          <cell r="AF171">
            <v>0</v>
          </cell>
          <cell r="AG171">
            <v>0</v>
          </cell>
          <cell r="AH171">
            <v>0</v>
          </cell>
          <cell r="AI171">
            <v>0</v>
          </cell>
          <cell r="AJ171">
            <v>0</v>
          </cell>
          <cell r="AK171">
            <v>0</v>
          </cell>
          <cell r="AL171" t="str">
            <v xml:space="preserve">     ↓</v>
          </cell>
        </row>
        <row r="172">
          <cell r="E172" t="str">
            <v>SUS-C- 75mm</v>
          </cell>
          <cell r="F172" t="str">
            <v>ｍ</v>
          </cell>
          <cell r="G172">
            <v>24500</v>
          </cell>
          <cell r="H172">
            <v>6693</v>
          </cell>
          <cell r="I172">
            <v>24500</v>
          </cell>
          <cell r="J172">
            <v>6693</v>
          </cell>
          <cell r="K172">
            <v>24500</v>
          </cell>
          <cell r="L172">
            <v>6693</v>
          </cell>
          <cell r="M172">
            <v>24500</v>
          </cell>
          <cell r="N172">
            <v>6693</v>
          </cell>
          <cell r="O172">
            <v>24500</v>
          </cell>
          <cell r="P172">
            <v>6693</v>
          </cell>
          <cell r="Q172">
            <v>24500</v>
          </cell>
          <cell r="R172">
            <v>6693</v>
          </cell>
          <cell r="S172">
            <v>24500</v>
          </cell>
          <cell r="T172">
            <v>6693</v>
          </cell>
          <cell r="U172">
            <v>24500</v>
          </cell>
          <cell r="V172">
            <v>6693</v>
          </cell>
          <cell r="W172">
            <v>24500</v>
          </cell>
          <cell r="X172">
            <v>6693</v>
          </cell>
          <cell r="Y172">
            <v>24500</v>
          </cell>
          <cell r="Z172">
            <v>6693</v>
          </cell>
          <cell r="AA172">
            <v>0</v>
          </cell>
          <cell r="AB172">
            <v>0</v>
          </cell>
          <cell r="AC172">
            <v>0</v>
          </cell>
          <cell r="AD172">
            <v>0.23100000000000001</v>
          </cell>
          <cell r="AE172">
            <v>0</v>
          </cell>
          <cell r="AF172">
            <v>0</v>
          </cell>
          <cell r="AG172">
            <v>0</v>
          </cell>
          <cell r="AH172">
            <v>0</v>
          </cell>
          <cell r="AI172">
            <v>0</v>
          </cell>
          <cell r="AJ172">
            <v>0</v>
          </cell>
          <cell r="AK172">
            <v>0</v>
          </cell>
          <cell r="AL172" t="str">
            <v xml:space="preserve">     ↓</v>
          </cell>
        </row>
        <row r="173">
          <cell r="E173" t="str">
            <v>SUS-E- 19mm</v>
          </cell>
          <cell r="F173" t="str">
            <v>ｍ</v>
          </cell>
          <cell r="G173">
            <v>4660</v>
          </cell>
          <cell r="H173">
            <v>1273</v>
          </cell>
          <cell r="I173">
            <v>4660</v>
          </cell>
          <cell r="J173">
            <v>1273</v>
          </cell>
          <cell r="K173">
            <v>4660</v>
          </cell>
          <cell r="L173">
            <v>1273</v>
          </cell>
          <cell r="M173">
            <v>4660</v>
          </cell>
          <cell r="N173">
            <v>1273</v>
          </cell>
          <cell r="O173">
            <v>4660</v>
          </cell>
          <cell r="P173">
            <v>1273</v>
          </cell>
          <cell r="Q173">
            <v>4660</v>
          </cell>
          <cell r="R173">
            <v>1273</v>
          </cell>
          <cell r="S173">
            <v>4660</v>
          </cell>
          <cell r="T173">
            <v>1273</v>
          </cell>
          <cell r="U173">
            <v>4660</v>
          </cell>
          <cell r="V173">
            <v>1273</v>
          </cell>
          <cell r="W173">
            <v>4660</v>
          </cell>
          <cell r="X173">
            <v>1273</v>
          </cell>
          <cell r="Y173">
            <v>4660</v>
          </cell>
          <cell r="Z173">
            <v>1273</v>
          </cell>
          <cell r="AA173">
            <v>0</v>
          </cell>
          <cell r="AB173">
            <v>0</v>
          </cell>
          <cell r="AC173">
            <v>0</v>
          </cell>
          <cell r="AD173">
            <v>4.2000000000000003E-2</v>
          </cell>
          <cell r="AE173">
            <v>0</v>
          </cell>
          <cell r="AF173">
            <v>0</v>
          </cell>
          <cell r="AG173">
            <v>0</v>
          </cell>
          <cell r="AH173">
            <v>0</v>
          </cell>
          <cell r="AI173">
            <v>0</v>
          </cell>
          <cell r="AJ173">
            <v>0</v>
          </cell>
          <cell r="AK173">
            <v>0</v>
          </cell>
          <cell r="AL173" t="str">
            <v>１本=3.66m</v>
          </cell>
        </row>
        <row r="174">
          <cell r="E174" t="str">
            <v>SUS-E- 25mm</v>
          </cell>
          <cell r="F174" t="str">
            <v>ｍ</v>
          </cell>
          <cell r="G174">
            <v>5600</v>
          </cell>
          <cell r="H174">
            <v>1530</v>
          </cell>
          <cell r="I174">
            <v>5600</v>
          </cell>
          <cell r="J174">
            <v>1530</v>
          </cell>
          <cell r="K174">
            <v>5600</v>
          </cell>
          <cell r="L174">
            <v>1530</v>
          </cell>
          <cell r="M174">
            <v>5600</v>
          </cell>
          <cell r="N174">
            <v>1530</v>
          </cell>
          <cell r="O174">
            <v>5600</v>
          </cell>
          <cell r="P174">
            <v>1530</v>
          </cell>
          <cell r="Q174">
            <v>5600</v>
          </cell>
          <cell r="R174">
            <v>1530</v>
          </cell>
          <cell r="S174">
            <v>5600</v>
          </cell>
          <cell r="T174">
            <v>1530</v>
          </cell>
          <cell r="U174">
            <v>5600</v>
          </cell>
          <cell r="V174">
            <v>1530</v>
          </cell>
          <cell r="W174">
            <v>5600</v>
          </cell>
          <cell r="X174">
            <v>1530</v>
          </cell>
          <cell r="Y174">
            <v>5600</v>
          </cell>
          <cell r="Z174">
            <v>1530</v>
          </cell>
          <cell r="AA174">
            <v>0</v>
          </cell>
          <cell r="AB174">
            <v>0</v>
          </cell>
          <cell r="AC174">
            <v>0</v>
          </cell>
          <cell r="AD174">
            <v>5.6000000000000001E-2</v>
          </cell>
          <cell r="AE174">
            <v>0</v>
          </cell>
          <cell r="AF174">
            <v>0</v>
          </cell>
          <cell r="AG174">
            <v>0</v>
          </cell>
          <cell r="AH174">
            <v>0</v>
          </cell>
          <cell r="AI174">
            <v>0</v>
          </cell>
          <cell r="AJ174">
            <v>0</v>
          </cell>
          <cell r="AK174">
            <v>0</v>
          </cell>
          <cell r="AL174" t="str">
            <v xml:space="preserve">     ↓</v>
          </cell>
        </row>
        <row r="175">
          <cell r="E175" t="str">
            <v>SUS-E- 31mm</v>
          </cell>
          <cell r="F175" t="str">
            <v>ｍ</v>
          </cell>
          <cell r="G175">
            <v>7350</v>
          </cell>
          <cell r="H175">
            <v>2008</v>
          </cell>
          <cell r="I175">
            <v>7350</v>
          </cell>
          <cell r="J175">
            <v>2008</v>
          </cell>
          <cell r="K175">
            <v>7350</v>
          </cell>
          <cell r="L175">
            <v>2008</v>
          </cell>
          <cell r="M175">
            <v>7350</v>
          </cell>
          <cell r="N175">
            <v>2008</v>
          </cell>
          <cell r="O175">
            <v>7350</v>
          </cell>
          <cell r="P175">
            <v>2008</v>
          </cell>
          <cell r="Q175">
            <v>7350</v>
          </cell>
          <cell r="R175">
            <v>2008</v>
          </cell>
          <cell r="S175">
            <v>7350</v>
          </cell>
          <cell r="T175">
            <v>2008</v>
          </cell>
          <cell r="U175">
            <v>7350</v>
          </cell>
          <cell r="V175">
            <v>2008</v>
          </cell>
          <cell r="W175">
            <v>7350</v>
          </cell>
          <cell r="X175">
            <v>2008</v>
          </cell>
          <cell r="Y175">
            <v>7350</v>
          </cell>
          <cell r="Z175">
            <v>2008</v>
          </cell>
          <cell r="AA175">
            <v>0</v>
          </cell>
          <cell r="AB175">
            <v>0</v>
          </cell>
          <cell r="AC175">
            <v>0</v>
          </cell>
          <cell r="AD175">
            <v>7.0999999999999994E-2</v>
          </cell>
          <cell r="AE175">
            <v>0</v>
          </cell>
          <cell r="AF175">
            <v>0</v>
          </cell>
          <cell r="AG175">
            <v>0</v>
          </cell>
          <cell r="AH175">
            <v>0</v>
          </cell>
          <cell r="AI175">
            <v>0</v>
          </cell>
          <cell r="AJ175">
            <v>0</v>
          </cell>
          <cell r="AK175">
            <v>0</v>
          </cell>
          <cell r="AL175" t="str">
            <v xml:space="preserve">     ↓</v>
          </cell>
        </row>
        <row r="176">
          <cell r="E176" t="str">
            <v>SUS-E- 39mm</v>
          </cell>
          <cell r="F176" t="str">
            <v>ｍ</v>
          </cell>
          <cell r="G176">
            <v>8750</v>
          </cell>
          <cell r="H176">
            <v>2390</v>
          </cell>
          <cell r="I176">
            <v>8750</v>
          </cell>
          <cell r="J176">
            <v>2390</v>
          </cell>
          <cell r="K176">
            <v>8750</v>
          </cell>
          <cell r="L176">
            <v>2390</v>
          </cell>
          <cell r="M176">
            <v>8750</v>
          </cell>
          <cell r="N176">
            <v>2390</v>
          </cell>
          <cell r="O176">
            <v>8750</v>
          </cell>
          <cell r="P176">
            <v>2390</v>
          </cell>
          <cell r="Q176">
            <v>8750</v>
          </cell>
          <cell r="R176">
            <v>2390</v>
          </cell>
          <cell r="S176">
            <v>8750</v>
          </cell>
          <cell r="T176">
            <v>2390</v>
          </cell>
          <cell r="U176">
            <v>8750</v>
          </cell>
          <cell r="V176">
            <v>2390</v>
          </cell>
          <cell r="W176">
            <v>8750</v>
          </cell>
          <cell r="X176">
            <v>2390</v>
          </cell>
          <cell r="Y176">
            <v>8750</v>
          </cell>
          <cell r="Z176">
            <v>2390</v>
          </cell>
          <cell r="AA176">
            <v>0</v>
          </cell>
          <cell r="AB176">
            <v>0</v>
          </cell>
          <cell r="AC176">
            <v>0</v>
          </cell>
          <cell r="AD176">
            <v>8.6999999999999994E-2</v>
          </cell>
          <cell r="AE176">
            <v>0</v>
          </cell>
          <cell r="AF176">
            <v>0</v>
          </cell>
          <cell r="AG176">
            <v>0</v>
          </cell>
          <cell r="AH176">
            <v>0</v>
          </cell>
          <cell r="AI176">
            <v>0</v>
          </cell>
          <cell r="AJ176">
            <v>0</v>
          </cell>
          <cell r="AK176">
            <v>0</v>
          </cell>
          <cell r="AL176" t="str">
            <v xml:space="preserve">     ↓</v>
          </cell>
        </row>
        <row r="177">
          <cell r="E177" t="str">
            <v>SUS-E- 51mm</v>
          </cell>
          <cell r="F177" t="str">
            <v>ｍ</v>
          </cell>
          <cell r="G177">
            <v>11600</v>
          </cell>
          <cell r="H177">
            <v>3169</v>
          </cell>
          <cell r="I177">
            <v>11600</v>
          </cell>
          <cell r="J177">
            <v>3169</v>
          </cell>
          <cell r="K177">
            <v>11600</v>
          </cell>
          <cell r="L177">
            <v>3169</v>
          </cell>
          <cell r="M177">
            <v>11600</v>
          </cell>
          <cell r="N177">
            <v>3169</v>
          </cell>
          <cell r="O177">
            <v>11600</v>
          </cell>
          <cell r="P177">
            <v>3169</v>
          </cell>
          <cell r="Q177">
            <v>11600</v>
          </cell>
          <cell r="R177">
            <v>3169</v>
          </cell>
          <cell r="S177">
            <v>11600</v>
          </cell>
          <cell r="T177">
            <v>3169</v>
          </cell>
          <cell r="U177">
            <v>11600</v>
          </cell>
          <cell r="V177">
            <v>3169</v>
          </cell>
          <cell r="W177">
            <v>11600</v>
          </cell>
          <cell r="X177">
            <v>3169</v>
          </cell>
          <cell r="Y177">
            <v>11600</v>
          </cell>
          <cell r="Z177">
            <v>3169</v>
          </cell>
          <cell r="AA177">
            <v>0</v>
          </cell>
          <cell r="AB177">
            <v>0</v>
          </cell>
          <cell r="AC177">
            <v>0</v>
          </cell>
          <cell r="AD177">
            <v>0.11799999999999999</v>
          </cell>
          <cell r="AE177">
            <v>0</v>
          </cell>
          <cell r="AF177">
            <v>0</v>
          </cell>
          <cell r="AG177">
            <v>0</v>
          </cell>
          <cell r="AH177">
            <v>0</v>
          </cell>
          <cell r="AI177">
            <v>0</v>
          </cell>
          <cell r="AJ177">
            <v>0</v>
          </cell>
          <cell r="AK177">
            <v>0</v>
          </cell>
          <cell r="AL177" t="str">
            <v xml:space="preserve">     ↓</v>
          </cell>
        </row>
        <row r="178">
          <cell r="E178" t="str">
            <v>SUS-E- 63mm</v>
          </cell>
          <cell r="F178" t="str">
            <v>ｍ</v>
          </cell>
          <cell r="G178">
            <v>17350</v>
          </cell>
          <cell r="H178">
            <v>4740</v>
          </cell>
          <cell r="I178">
            <v>17350</v>
          </cell>
          <cell r="J178">
            <v>4740</v>
          </cell>
          <cell r="K178">
            <v>17350</v>
          </cell>
          <cell r="L178">
            <v>4740</v>
          </cell>
          <cell r="M178">
            <v>17350</v>
          </cell>
          <cell r="N178">
            <v>4740</v>
          </cell>
          <cell r="O178">
            <v>17350</v>
          </cell>
          <cell r="P178">
            <v>4740</v>
          </cell>
          <cell r="Q178">
            <v>17350</v>
          </cell>
          <cell r="R178">
            <v>4740</v>
          </cell>
          <cell r="S178">
            <v>17350</v>
          </cell>
          <cell r="T178">
            <v>4740</v>
          </cell>
          <cell r="U178">
            <v>17350</v>
          </cell>
          <cell r="V178">
            <v>4740</v>
          </cell>
          <cell r="W178">
            <v>17350</v>
          </cell>
          <cell r="X178">
            <v>4740</v>
          </cell>
          <cell r="Y178">
            <v>17350</v>
          </cell>
          <cell r="Z178">
            <v>4740</v>
          </cell>
          <cell r="AA178">
            <v>0</v>
          </cell>
          <cell r="AB178">
            <v>0</v>
          </cell>
          <cell r="AC178">
            <v>0</v>
          </cell>
          <cell r="AD178">
            <v>0.159</v>
          </cell>
          <cell r="AE178">
            <v>0</v>
          </cell>
          <cell r="AF178">
            <v>0</v>
          </cell>
          <cell r="AG178">
            <v>0</v>
          </cell>
          <cell r="AH178">
            <v>0</v>
          </cell>
          <cell r="AI178">
            <v>0</v>
          </cell>
          <cell r="AJ178">
            <v>0</v>
          </cell>
          <cell r="AK178">
            <v>0</v>
          </cell>
          <cell r="AL178" t="str">
            <v xml:space="preserve">     ↓</v>
          </cell>
        </row>
        <row r="179">
          <cell r="E179" t="str">
            <v>SUS-E- 75mm</v>
          </cell>
          <cell r="F179" t="str">
            <v>ｍ</v>
          </cell>
          <cell r="G179">
            <v>23100</v>
          </cell>
          <cell r="H179">
            <v>6311</v>
          </cell>
          <cell r="I179">
            <v>23100</v>
          </cell>
          <cell r="J179">
            <v>6311</v>
          </cell>
          <cell r="K179">
            <v>23100</v>
          </cell>
          <cell r="L179">
            <v>6311</v>
          </cell>
          <cell r="M179">
            <v>23100</v>
          </cell>
          <cell r="N179">
            <v>6311</v>
          </cell>
          <cell r="O179">
            <v>23100</v>
          </cell>
          <cell r="P179">
            <v>6311</v>
          </cell>
          <cell r="Q179">
            <v>23100</v>
          </cell>
          <cell r="R179">
            <v>6311</v>
          </cell>
          <cell r="S179">
            <v>23100</v>
          </cell>
          <cell r="T179">
            <v>6311</v>
          </cell>
          <cell r="U179">
            <v>23100</v>
          </cell>
          <cell r="V179">
            <v>6311</v>
          </cell>
          <cell r="W179">
            <v>23100</v>
          </cell>
          <cell r="X179">
            <v>6311</v>
          </cell>
          <cell r="Y179">
            <v>23100</v>
          </cell>
          <cell r="Z179">
            <v>6311</v>
          </cell>
          <cell r="AA179">
            <v>0</v>
          </cell>
          <cell r="AB179">
            <v>0</v>
          </cell>
          <cell r="AC179">
            <v>0</v>
          </cell>
          <cell r="AD179">
            <v>0.185</v>
          </cell>
          <cell r="AE179">
            <v>0</v>
          </cell>
          <cell r="AF179">
            <v>0</v>
          </cell>
          <cell r="AG179">
            <v>0</v>
          </cell>
          <cell r="AH179">
            <v>0</v>
          </cell>
          <cell r="AI179">
            <v>0</v>
          </cell>
          <cell r="AJ179">
            <v>0</v>
          </cell>
          <cell r="AK179">
            <v>0</v>
          </cell>
          <cell r="AL179" t="str">
            <v xml:space="preserve">     ↓</v>
          </cell>
        </row>
        <row r="180">
          <cell r="E180" t="str">
            <v>導入線 0.9mmφ</v>
          </cell>
          <cell r="F180" t="str">
            <v>ｍ</v>
          </cell>
          <cell r="G180">
            <v>436</v>
          </cell>
          <cell r="H180">
            <v>1.1854268624252311</v>
          </cell>
          <cell r="I180">
            <v>431</v>
          </cell>
          <cell r="J180">
            <v>1.1718325176726481</v>
          </cell>
          <cell r="K180">
            <v>431</v>
          </cell>
          <cell r="L180">
            <v>1.1718325176726481</v>
          </cell>
          <cell r="M180">
            <v>431</v>
          </cell>
          <cell r="N180">
            <v>1.1718325176726481</v>
          </cell>
          <cell r="O180">
            <v>431</v>
          </cell>
          <cell r="P180">
            <v>1.1718325176726481</v>
          </cell>
          <cell r="Q180">
            <v>431</v>
          </cell>
          <cell r="R180">
            <v>1.1718325176726481</v>
          </cell>
          <cell r="S180">
            <v>431</v>
          </cell>
          <cell r="T180">
            <v>1.1718325176726481</v>
          </cell>
          <cell r="U180">
            <v>431</v>
          </cell>
          <cell r="V180">
            <v>1.1718325176726481</v>
          </cell>
          <cell r="W180">
            <v>436</v>
          </cell>
          <cell r="X180">
            <v>1.1854268624252311</v>
          </cell>
          <cell r="Y180">
            <v>436</v>
          </cell>
          <cell r="Z180">
            <v>1.1854268624252311</v>
          </cell>
          <cell r="AA180">
            <v>0</v>
          </cell>
          <cell r="AB180">
            <v>0</v>
          </cell>
          <cell r="AC180">
            <v>0</v>
          </cell>
          <cell r="AD180">
            <v>5.0000000000000001E-3</v>
          </cell>
          <cell r="AE180">
            <v>0</v>
          </cell>
          <cell r="AF180">
            <v>0</v>
          </cell>
          <cell r="AG180">
            <v>0</v>
          </cell>
          <cell r="AH180">
            <v>0</v>
          </cell>
          <cell r="AI180">
            <v>0</v>
          </cell>
          <cell r="AJ180">
            <v>0</v>
          </cell>
          <cell r="AK180">
            <v>0</v>
          </cell>
          <cell r="AL180">
            <v>0</v>
          </cell>
        </row>
        <row r="181">
          <cell r="E181" t="str">
            <v>導入線 1.2mmφ</v>
          </cell>
          <cell r="F181" t="str">
            <v>ｍ</v>
          </cell>
          <cell r="G181">
            <v>417</v>
          </cell>
          <cell r="H181">
            <v>1.6971916971916974</v>
          </cell>
          <cell r="I181">
            <v>412</v>
          </cell>
          <cell r="J181">
            <v>1.676841676841677</v>
          </cell>
          <cell r="K181">
            <v>412</v>
          </cell>
          <cell r="L181">
            <v>1.676841676841677</v>
          </cell>
          <cell r="M181">
            <v>412</v>
          </cell>
          <cell r="N181">
            <v>1.676841676841677</v>
          </cell>
          <cell r="O181">
            <v>412</v>
          </cell>
          <cell r="P181">
            <v>1.676841676841677</v>
          </cell>
          <cell r="Q181">
            <v>412</v>
          </cell>
          <cell r="R181">
            <v>1.676841676841677</v>
          </cell>
          <cell r="S181">
            <v>412</v>
          </cell>
          <cell r="T181">
            <v>1.676841676841677</v>
          </cell>
          <cell r="U181">
            <v>412</v>
          </cell>
          <cell r="V181">
            <v>1.676841676841677</v>
          </cell>
          <cell r="W181">
            <v>417</v>
          </cell>
          <cell r="X181">
            <v>1.6971916971916974</v>
          </cell>
          <cell r="Y181">
            <v>417</v>
          </cell>
          <cell r="Z181">
            <v>1.6971916971916974</v>
          </cell>
          <cell r="AA181">
            <v>0</v>
          </cell>
          <cell r="AB181">
            <v>0</v>
          </cell>
          <cell r="AC181">
            <v>0</v>
          </cell>
          <cell r="AD181">
            <v>5.0000000000000001E-3</v>
          </cell>
          <cell r="AE181">
            <v>0</v>
          </cell>
          <cell r="AF181">
            <v>0</v>
          </cell>
          <cell r="AG181">
            <v>0</v>
          </cell>
          <cell r="AH181">
            <v>0</v>
          </cell>
          <cell r="AI181">
            <v>0</v>
          </cell>
          <cell r="AJ181">
            <v>0</v>
          </cell>
          <cell r="AK181">
            <v>0</v>
          </cell>
          <cell r="AL181">
            <v>0</v>
          </cell>
        </row>
        <row r="182">
          <cell r="E182" t="str">
            <v>導入線 1.6mmφ</v>
          </cell>
          <cell r="F182" t="str">
            <v>ｍ</v>
          </cell>
          <cell r="G182">
            <v>398</v>
          </cell>
          <cell r="H182">
            <v>3.1363278171788807</v>
          </cell>
          <cell r="I182">
            <v>393</v>
          </cell>
          <cell r="J182">
            <v>3.0969267139479904</v>
          </cell>
          <cell r="K182">
            <v>393</v>
          </cell>
          <cell r="L182">
            <v>3.0969267139479904</v>
          </cell>
          <cell r="M182">
            <v>393</v>
          </cell>
          <cell r="N182">
            <v>3.0969267139479904</v>
          </cell>
          <cell r="O182">
            <v>393</v>
          </cell>
          <cell r="P182">
            <v>3.0969267139479904</v>
          </cell>
          <cell r="Q182">
            <v>393</v>
          </cell>
          <cell r="R182">
            <v>3.0969267139479904</v>
          </cell>
          <cell r="S182">
            <v>393</v>
          </cell>
          <cell r="T182">
            <v>3.0969267139479904</v>
          </cell>
          <cell r="U182">
            <v>393</v>
          </cell>
          <cell r="V182">
            <v>3.0969267139479904</v>
          </cell>
          <cell r="W182">
            <v>398</v>
          </cell>
          <cell r="X182">
            <v>3.1363278171788807</v>
          </cell>
          <cell r="Y182">
            <v>398</v>
          </cell>
          <cell r="Z182">
            <v>3.1363278171788807</v>
          </cell>
          <cell r="AA182">
            <v>0</v>
          </cell>
          <cell r="AB182">
            <v>0</v>
          </cell>
          <cell r="AC182">
            <v>0</v>
          </cell>
          <cell r="AD182">
            <v>5.0000000000000001E-3</v>
          </cell>
          <cell r="AE182">
            <v>0</v>
          </cell>
          <cell r="AF182">
            <v>0</v>
          </cell>
          <cell r="AG182">
            <v>0</v>
          </cell>
          <cell r="AH182">
            <v>0</v>
          </cell>
          <cell r="AI182">
            <v>0</v>
          </cell>
          <cell r="AJ182">
            <v>0</v>
          </cell>
          <cell r="AK182">
            <v>0</v>
          </cell>
          <cell r="AL182">
            <v>0</v>
          </cell>
        </row>
        <row r="183">
          <cell r="E183" t="str">
            <v>導入線 2.0mmφ</v>
          </cell>
          <cell r="F183" t="str">
            <v>ｍ</v>
          </cell>
          <cell r="G183">
            <v>374</v>
          </cell>
          <cell r="H183">
            <v>5.3658536585365848</v>
          </cell>
          <cell r="I183">
            <v>369</v>
          </cell>
          <cell r="J183">
            <v>5.2941176470588234</v>
          </cell>
          <cell r="K183">
            <v>369</v>
          </cell>
          <cell r="L183">
            <v>5.2941176470588234</v>
          </cell>
          <cell r="M183">
            <v>369</v>
          </cell>
          <cell r="N183">
            <v>5.2941176470588234</v>
          </cell>
          <cell r="O183">
            <v>369</v>
          </cell>
          <cell r="P183">
            <v>5.2941176470588234</v>
          </cell>
          <cell r="Q183">
            <v>369</v>
          </cell>
          <cell r="R183">
            <v>5.2941176470588234</v>
          </cell>
          <cell r="S183">
            <v>369</v>
          </cell>
          <cell r="T183">
            <v>5.2941176470588234</v>
          </cell>
          <cell r="U183">
            <v>369</v>
          </cell>
          <cell r="V183">
            <v>5.2941176470588234</v>
          </cell>
          <cell r="W183">
            <v>374</v>
          </cell>
          <cell r="X183">
            <v>5.3658536585365848</v>
          </cell>
          <cell r="Y183">
            <v>374</v>
          </cell>
          <cell r="Z183">
            <v>5.3658536585365848</v>
          </cell>
          <cell r="AA183">
            <v>0</v>
          </cell>
          <cell r="AB183">
            <v>0</v>
          </cell>
          <cell r="AC183">
            <v>0</v>
          </cell>
          <cell r="AD183">
            <v>5.0000000000000001E-3</v>
          </cell>
          <cell r="AE183">
            <v>0</v>
          </cell>
          <cell r="AF183">
            <v>0</v>
          </cell>
          <cell r="AG183">
            <v>0</v>
          </cell>
          <cell r="AH183">
            <v>0</v>
          </cell>
          <cell r="AI183">
            <v>0</v>
          </cell>
          <cell r="AJ183">
            <v>0</v>
          </cell>
          <cell r="AK183">
            <v>0</v>
          </cell>
          <cell r="AL183">
            <v>0</v>
          </cell>
        </row>
        <row r="184">
          <cell r="E184" t="str">
            <v>導入線 2.6mmφ</v>
          </cell>
          <cell r="F184" t="str">
            <v>ｍ</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7.0000000000000001E-3</v>
          </cell>
          <cell r="AE184">
            <v>0</v>
          </cell>
          <cell r="AF184">
            <v>0</v>
          </cell>
          <cell r="AG184">
            <v>0</v>
          </cell>
          <cell r="AH184">
            <v>0</v>
          </cell>
          <cell r="AI184">
            <v>0</v>
          </cell>
          <cell r="AJ184">
            <v>0</v>
          </cell>
          <cell r="AK184">
            <v>0</v>
          </cell>
          <cell r="AL184">
            <v>0</v>
          </cell>
        </row>
        <row r="185">
          <cell r="E185" t="str">
            <v>導入線 3.2mmφ</v>
          </cell>
          <cell r="F185" t="str">
            <v>ｍ</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7.0000000000000001E-3</v>
          </cell>
          <cell r="AE185">
            <v>0</v>
          </cell>
          <cell r="AF185">
            <v>0</v>
          </cell>
          <cell r="AG185">
            <v>0</v>
          </cell>
          <cell r="AH185">
            <v>0</v>
          </cell>
          <cell r="AI185">
            <v>0</v>
          </cell>
          <cell r="AJ185">
            <v>0</v>
          </cell>
          <cell r="AK185">
            <v>0</v>
          </cell>
          <cell r="AL185">
            <v>0</v>
          </cell>
        </row>
        <row r="186">
          <cell r="E186" t="str">
            <v>導入線 4.0mmφ</v>
          </cell>
          <cell r="F186" t="str">
            <v>ｍ</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8.9999999999999993E-3</v>
          </cell>
          <cell r="AE186">
            <v>0</v>
          </cell>
          <cell r="AF186">
            <v>0</v>
          </cell>
          <cell r="AG186">
            <v>0</v>
          </cell>
          <cell r="AH186">
            <v>0</v>
          </cell>
          <cell r="AI186">
            <v>0</v>
          </cell>
          <cell r="AJ186">
            <v>0</v>
          </cell>
          <cell r="AK186">
            <v>0</v>
          </cell>
          <cell r="AL186">
            <v>0</v>
          </cell>
        </row>
        <row r="187">
          <cell r="E187" t="str">
            <v>導入線 5.0mmφ</v>
          </cell>
          <cell r="F187" t="str">
            <v>ｍ</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0.01</v>
          </cell>
          <cell r="AE187">
            <v>0</v>
          </cell>
          <cell r="AF187">
            <v>0</v>
          </cell>
          <cell r="AG187">
            <v>0</v>
          </cell>
          <cell r="AH187">
            <v>0</v>
          </cell>
          <cell r="AI187">
            <v>0</v>
          </cell>
          <cell r="AJ187">
            <v>0</v>
          </cell>
          <cell r="AK187">
            <v>0</v>
          </cell>
          <cell r="AL187">
            <v>0</v>
          </cell>
        </row>
        <row r="188">
          <cell r="E188" t="str">
            <v>19_Users</v>
          </cell>
          <cell r="F188" t="str">
            <v>ｍ</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E189" t="str">
            <v>19_Users</v>
          </cell>
          <cell r="F189" t="str">
            <v>ｍ</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E190" t="str">
            <v>19_Users</v>
          </cell>
          <cell r="F190" t="str">
            <v>ｍ</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E191" t="str">
            <v>19_Users</v>
          </cell>
          <cell r="F191" t="str">
            <v>ｍ</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E192" t="str">
            <v>19_Users</v>
          </cell>
          <cell r="F192" t="str">
            <v>ｍ</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E193" t="str">
            <v>19_Users</v>
          </cell>
          <cell r="F193" t="str">
            <v>ｍ</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E194" t="str">
            <v>19_Users</v>
          </cell>
          <cell r="F194" t="str">
            <v>ｍ</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E195" t="str">
            <v>19_Users</v>
          </cell>
          <cell r="F195" t="str">
            <v>ｍ</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E196" t="str">
            <v>19_Users</v>
          </cell>
          <cell r="F196" t="str">
            <v>ｍ</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E197" t="str">
            <v>19_Users</v>
          </cell>
          <cell r="F197" t="str">
            <v>ｍ</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row>
        <row r="198">
          <cell r="E198" t="str">
            <v>19_Users</v>
          </cell>
          <cell r="F198" t="str">
            <v>ｍ</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row>
        <row r="199">
          <cell r="E199" t="str">
            <v>19_Users</v>
          </cell>
          <cell r="F199" t="str">
            <v>ｍ</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row>
        <row r="200">
          <cell r="E200" t="str">
            <v>19_Users</v>
          </cell>
          <cell r="F200" t="str">
            <v>ｍ</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row>
        <row r="201">
          <cell r="E201" t="str">
            <v>19_Users</v>
          </cell>
          <cell r="F201" t="str">
            <v>ｍ</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row>
        <row r="202">
          <cell r="E202" t="str">
            <v>19_Users</v>
          </cell>
          <cell r="F202" t="str">
            <v>ｍ</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row>
        <row r="203">
          <cell r="E203" t="str">
            <v>19_Users</v>
          </cell>
          <cell r="F203" t="str">
            <v>ｍ</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row>
        <row r="204">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E206" t="str">
            <v>C-SWBox1個用</v>
          </cell>
          <cell r="F206" t="str">
            <v>個</v>
          </cell>
          <cell r="G206">
            <v>0</v>
          </cell>
          <cell r="H206">
            <v>159</v>
          </cell>
          <cell r="I206">
            <v>0</v>
          </cell>
          <cell r="J206">
            <v>159</v>
          </cell>
          <cell r="K206">
            <v>0</v>
          </cell>
          <cell r="L206">
            <v>159</v>
          </cell>
          <cell r="M206">
            <v>0</v>
          </cell>
          <cell r="N206">
            <v>159</v>
          </cell>
          <cell r="O206">
            <v>0</v>
          </cell>
          <cell r="P206">
            <v>159</v>
          </cell>
          <cell r="Q206">
            <v>0</v>
          </cell>
          <cell r="R206">
            <v>159</v>
          </cell>
          <cell r="S206">
            <v>0</v>
          </cell>
          <cell r="T206">
            <v>159</v>
          </cell>
          <cell r="U206">
            <v>0</v>
          </cell>
          <cell r="V206">
            <v>159</v>
          </cell>
          <cell r="W206">
            <v>0</v>
          </cell>
          <cell r="X206">
            <v>159</v>
          </cell>
          <cell r="Y206">
            <v>0</v>
          </cell>
          <cell r="Z206">
            <v>159</v>
          </cell>
          <cell r="AA206">
            <v>0</v>
          </cell>
          <cell r="AB206">
            <v>0</v>
          </cell>
          <cell r="AC206">
            <v>0</v>
          </cell>
          <cell r="AD206">
            <v>0.1</v>
          </cell>
          <cell r="AE206">
            <v>0</v>
          </cell>
          <cell r="AF206">
            <v>0</v>
          </cell>
          <cell r="AG206">
            <v>0</v>
          </cell>
          <cell r="AH206">
            <v>0</v>
          </cell>
          <cell r="AI206">
            <v>0</v>
          </cell>
          <cell r="AJ206">
            <v>0</v>
          </cell>
          <cell r="AK206">
            <v>0</v>
          </cell>
          <cell r="AL206">
            <v>0</v>
          </cell>
        </row>
        <row r="207">
          <cell r="E207" t="str">
            <v>C-SWBox2個用</v>
          </cell>
          <cell r="F207" t="str">
            <v>個</v>
          </cell>
          <cell r="G207">
            <v>0</v>
          </cell>
          <cell r="H207">
            <v>346</v>
          </cell>
          <cell r="I207">
            <v>0</v>
          </cell>
          <cell r="J207">
            <v>346</v>
          </cell>
          <cell r="K207">
            <v>0</v>
          </cell>
          <cell r="L207">
            <v>346</v>
          </cell>
          <cell r="M207">
            <v>0</v>
          </cell>
          <cell r="N207">
            <v>346</v>
          </cell>
          <cell r="O207">
            <v>0</v>
          </cell>
          <cell r="P207">
            <v>346</v>
          </cell>
          <cell r="Q207">
            <v>0</v>
          </cell>
          <cell r="R207">
            <v>346</v>
          </cell>
          <cell r="S207">
            <v>0</v>
          </cell>
          <cell r="T207">
            <v>346</v>
          </cell>
          <cell r="U207">
            <v>0</v>
          </cell>
          <cell r="V207">
            <v>346</v>
          </cell>
          <cell r="W207">
            <v>0</v>
          </cell>
          <cell r="X207">
            <v>346</v>
          </cell>
          <cell r="Y207">
            <v>0</v>
          </cell>
          <cell r="Z207">
            <v>346</v>
          </cell>
          <cell r="AA207">
            <v>0</v>
          </cell>
          <cell r="AB207">
            <v>0</v>
          </cell>
          <cell r="AC207">
            <v>0</v>
          </cell>
          <cell r="AD207">
            <v>0.1</v>
          </cell>
          <cell r="AE207">
            <v>0</v>
          </cell>
          <cell r="AF207">
            <v>0</v>
          </cell>
          <cell r="AG207">
            <v>0</v>
          </cell>
          <cell r="AH207">
            <v>0</v>
          </cell>
          <cell r="AI207">
            <v>0</v>
          </cell>
          <cell r="AJ207">
            <v>0</v>
          </cell>
          <cell r="AK207">
            <v>0</v>
          </cell>
          <cell r="AL207">
            <v>0</v>
          </cell>
        </row>
        <row r="208">
          <cell r="E208" t="str">
            <v>C-SWBox3個用</v>
          </cell>
          <cell r="F208" t="str">
            <v>個</v>
          </cell>
          <cell r="G208">
            <v>0</v>
          </cell>
          <cell r="H208">
            <v>423</v>
          </cell>
          <cell r="I208">
            <v>0</v>
          </cell>
          <cell r="J208">
            <v>423</v>
          </cell>
          <cell r="K208">
            <v>0</v>
          </cell>
          <cell r="L208">
            <v>423</v>
          </cell>
          <cell r="M208">
            <v>0</v>
          </cell>
          <cell r="N208">
            <v>423</v>
          </cell>
          <cell r="O208">
            <v>0</v>
          </cell>
          <cell r="P208">
            <v>423</v>
          </cell>
          <cell r="Q208">
            <v>0</v>
          </cell>
          <cell r="R208">
            <v>423</v>
          </cell>
          <cell r="S208">
            <v>0</v>
          </cell>
          <cell r="T208">
            <v>423</v>
          </cell>
          <cell r="U208">
            <v>0</v>
          </cell>
          <cell r="V208">
            <v>423</v>
          </cell>
          <cell r="W208">
            <v>0</v>
          </cell>
          <cell r="X208">
            <v>423</v>
          </cell>
          <cell r="Y208">
            <v>0</v>
          </cell>
          <cell r="Z208">
            <v>423</v>
          </cell>
          <cell r="AA208">
            <v>0</v>
          </cell>
          <cell r="AB208">
            <v>0</v>
          </cell>
          <cell r="AC208">
            <v>0</v>
          </cell>
          <cell r="AD208">
            <v>0.1</v>
          </cell>
          <cell r="AE208">
            <v>0</v>
          </cell>
          <cell r="AF208">
            <v>0</v>
          </cell>
          <cell r="AG208">
            <v>0</v>
          </cell>
          <cell r="AH208">
            <v>0</v>
          </cell>
          <cell r="AI208">
            <v>0</v>
          </cell>
          <cell r="AJ208">
            <v>0</v>
          </cell>
          <cell r="AK208">
            <v>0</v>
          </cell>
          <cell r="AL208">
            <v>0</v>
          </cell>
        </row>
        <row r="209">
          <cell r="E209" t="str">
            <v>C-SWBox4個用</v>
          </cell>
          <cell r="F209" t="str">
            <v>個</v>
          </cell>
          <cell r="G209">
            <v>0</v>
          </cell>
          <cell r="H209">
            <v>627</v>
          </cell>
          <cell r="I209">
            <v>0</v>
          </cell>
          <cell r="J209">
            <v>627</v>
          </cell>
          <cell r="K209">
            <v>0</v>
          </cell>
          <cell r="L209">
            <v>627</v>
          </cell>
          <cell r="M209">
            <v>0</v>
          </cell>
          <cell r="N209">
            <v>627</v>
          </cell>
          <cell r="O209">
            <v>0</v>
          </cell>
          <cell r="P209">
            <v>627</v>
          </cell>
          <cell r="Q209">
            <v>0</v>
          </cell>
          <cell r="R209">
            <v>627</v>
          </cell>
          <cell r="S209">
            <v>0</v>
          </cell>
          <cell r="T209">
            <v>627</v>
          </cell>
          <cell r="U209">
            <v>0</v>
          </cell>
          <cell r="V209">
            <v>627</v>
          </cell>
          <cell r="W209">
            <v>0</v>
          </cell>
          <cell r="X209">
            <v>627</v>
          </cell>
          <cell r="Y209">
            <v>0</v>
          </cell>
          <cell r="Z209">
            <v>627</v>
          </cell>
          <cell r="AA209">
            <v>0</v>
          </cell>
          <cell r="AB209">
            <v>0</v>
          </cell>
          <cell r="AC209">
            <v>0</v>
          </cell>
          <cell r="AD209">
            <v>0.1</v>
          </cell>
          <cell r="AE209">
            <v>0</v>
          </cell>
          <cell r="AF209">
            <v>0</v>
          </cell>
          <cell r="AG209">
            <v>0</v>
          </cell>
          <cell r="AH209">
            <v>0</v>
          </cell>
          <cell r="AI209">
            <v>0</v>
          </cell>
          <cell r="AJ209">
            <v>0</v>
          </cell>
          <cell r="AK209">
            <v>0</v>
          </cell>
          <cell r="AL209">
            <v>0</v>
          </cell>
        </row>
        <row r="210">
          <cell r="E210" t="str">
            <v>C-SWBox5個用</v>
          </cell>
          <cell r="F210" t="str">
            <v>個</v>
          </cell>
          <cell r="G210">
            <v>0</v>
          </cell>
          <cell r="H210">
            <v>819</v>
          </cell>
          <cell r="I210">
            <v>0</v>
          </cell>
          <cell r="J210">
            <v>819</v>
          </cell>
          <cell r="K210">
            <v>0</v>
          </cell>
          <cell r="L210">
            <v>819</v>
          </cell>
          <cell r="M210">
            <v>0</v>
          </cell>
          <cell r="N210">
            <v>819</v>
          </cell>
          <cell r="O210">
            <v>0</v>
          </cell>
          <cell r="P210">
            <v>819</v>
          </cell>
          <cell r="Q210">
            <v>0</v>
          </cell>
          <cell r="R210">
            <v>819</v>
          </cell>
          <cell r="S210">
            <v>0</v>
          </cell>
          <cell r="T210">
            <v>819</v>
          </cell>
          <cell r="U210">
            <v>0</v>
          </cell>
          <cell r="V210">
            <v>819</v>
          </cell>
          <cell r="W210">
            <v>0</v>
          </cell>
          <cell r="X210">
            <v>819</v>
          </cell>
          <cell r="Y210">
            <v>0</v>
          </cell>
          <cell r="Z210">
            <v>819</v>
          </cell>
          <cell r="AA210">
            <v>0</v>
          </cell>
          <cell r="AB210">
            <v>0</v>
          </cell>
          <cell r="AC210">
            <v>0</v>
          </cell>
          <cell r="AD210">
            <v>0.1</v>
          </cell>
          <cell r="AE210">
            <v>0</v>
          </cell>
          <cell r="AF210">
            <v>0</v>
          </cell>
          <cell r="AG210">
            <v>0</v>
          </cell>
          <cell r="AH210">
            <v>0</v>
          </cell>
          <cell r="AI210">
            <v>0</v>
          </cell>
          <cell r="AJ210">
            <v>0</v>
          </cell>
          <cell r="AK210">
            <v>0</v>
          </cell>
          <cell r="AL210">
            <v>0</v>
          </cell>
        </row>
        <row r="211">
          <cell r="E211" t="str">
            <v>C-OBox4角中浅</v>
          </cell>
          <cell r="F211" t="str">
            <v>個</v>
          </cell>
          <cell r="G211">
            <v>0</v>
          </cell>
          <cell r="H211">
            <v>100</v>
          </cell>
          <cell r="I211">
            <v>0</v>
          </cell>
          <cell r="J211">
            <v>100</v>
          </cell>
          <cell r="K211">
            <v>0</v>
          </cell>
          <cell r="L211">
            <v>100</v>
          </cell>
          <cell r="M211">
            <v>0</v>
          </cell>
          <cell r="N211">
            <v>100</v>
          </cell>
          <cell r="O211">
            <v>0</v>
          </cell>
          <cell r="P211">
            <v>100</v>
          </cell>
          <cell r="Q211">
            <v>0</v>
          </cell>
          <cell r="R211">
            <v>100</v>
          </cell>
          <cell r="S211">
            <v>0</v>
          </cell>
          <cell r="T211">
            <v>100</v>
          </cell>
          <cell r="U211">
            <v>0</v>
          </cell>
          <cell r="V211">
            <v>100</v>
          </cell>
          <cell r="W211">
            <v>0</v>
          </cell>
          <cell r="X211">
            <v>100</v>
          </cell>
          <cell r="Y211">
            <v>0</v>
          </cell>
          <cell r="Z211">
            <v>100</v>
          </cell>
          <cell r="AA211">
            <v>0</v>
          </cell>
          <cell r="AB211">
            <v>0</v>
          </cell>
          <cell r="AC211">
            <v>0</v>
          </cell>
          <cell r="AD211">
            <v>0.1</v>
          </cell>
          <cell r="AE211">
            <v>0</v>
          </cell>
          <cell r="AF211">
            <v>0</v>
          </cell>
          <cell r="AG211">
            <v>0</v>
          </cell>
          <cell r="AH211">
            <v>0</v>
          </cell>
          <cell r="AI211">
            <v>0</v>
          </cell>
          <cell r="AJ211">
            <v>0</v>
          </cell>
          <cell r="AK211">
            <v>0</v>
          </cell>
          <cell r="AL211">
            <v>0</v>
          </cell>
        </row>
        <row r="212">
          <cell r="E212" t="str">
            <v>C-OBox4角中深</v>
          </cell>
          <cell r="F212" t="str">
            <v>個</v>
          </cell>
          <cell r="G212">
            <v>0</v>
          </cell>
          <cell r="H212">
            <v>155</v>
          </cell>
          <cell r="I212">
            <v>0</v>
          </cell>
          <cell r="J212">
            <v>155</v>
          </cell>
          <cell r="K212">
            <v>0</v>
          </cell>
          <cell r="L212">
            <v>155</v>
          </cell>
          <cell r="M212">
            <v>0</v>
          </cell>
          <cell r="N212">
            <v>155</v>
          </cell>
          <cell r="O212">
            <v>0</v>
          </cell>
          <cell r="P212">
            <v>155</v>
          </cell>
          <cell r="Q212">
            <v>0</v>
          </cell>
          <cell r="R212">
            <v>155</v>
          </cell>
          <cell r="S212">
            <v>0</v>
          </cell>
          <cell r="T212">
            <v>155</v>
          </cell>
          <cell r="U212">
            <v>0</v>
          </cell>
          <cell r="V212">
            <v>155</v>
          </cell>
          <cell r="W212">
            <v>0</v>
          </cell>
          <cell r="X212">
            <v>155</v>
          </cell>
          <cell r="Y212">
            <v>0</v>
          </cell>
          <cell r="Z212">
            <v>155</v>
          </cell>
          <cell r="AA212">
            <v>0</v>
          </cell>
          <cell r="AB212">
            <v>0</v>
          </cell>
          <cell r="AC212">
            <v>0</v>
          </cell>
          <cell r="AD212">
            <v>0.1</v>
          </cell>
          <cell r="AE212">
            <v>0</v>
          </cell>
          <cell r="AF212">
            <v>0</v>
          </cell>
          <cell r="AG212">
            <v>0</v>
          </cell>
          <cell r="AH212">
            <v>0</v>
          </cell>
          <cell r="AI212">
            <v>0</v>
          </cell>
          <cell r="AJ212">
            <v>0</v>
          </cell>
          <cell r="AK212">
            <v>0</v>
          </cell>
          <cell r="AL212">
            <v>0</v>
          </cell>
        </row>
        <row r="213">
          <cell r="E213" t="str">
            <v>C-OBox4角大浅</v>
          </cell>
          <cell r="F213" t="str">
            <v>個</v>
          </cell>
          <cell r="G213">
            <v>0</v>
          </cell>
          <cell r="H213">
            <v>232</v>
          </cell>
          <cell r="I213">
            <v>0</v>
          </cell>
          <cell r="J213">
            <v>232</v>
          </cell>
          <cell r="K213">
            <v>0</v>
          </cell>
          <cell r="L213">
            <v>232</v>
          </cell>
          <cell r="M213">
            <v>0</v>
          </cell>
          <cell r="N213">
            <v>232</v>
          </cell>
          <cell r="O213">
            <v>0</v>
          </cell>
          <cell r="P213">
            <v>232</v>
          </cell>
          <cell r="Q213">
            <v>0</v>
          </cell>
          <cell r="R213">
            <v>232</v>
          </cell>
          <cell r="S213">
            <v>0</v>
          </cell>
          <cell r="T213">
            <v>232</v>
          </cell>
          <cell r="U213">
            <v>0</v>
          </cell>
          <cell r="V213">
            <v>232</v>
          </cell>
          <cell r="W213">
            <v>0</v>
          </cell>
          <cell r="X213">
            <v>232</v>
          </cell>
          <cell r="Y213">
            <v>0</v>
          </cell>
          <cell r="Z213">
            <v>232</v>
          </cell>
          <cell r="AA213">
            <v>0</v>
          </cell>
          <cell r="AB213">
            <v>0</v>
          </cell>
          <cell r="AC213">
            <v>0</v>
          </cell>
          <cell r="AD213">
            <v>0.1</v>
          </cell>
          <cell r="AE213">
            <v>0</v>
          </cell>
          <cell r="AF213">
            <v>0</v>
          </cell>
          <cell r="AG213">
            <v>0</v>
          </cell>
          <cell r="AH213">
            <v>0</v>
          </cell>
          <cell r="AI213">
            <v>0</v>
          </cell>
          <cell r="AJ213">
            <v>0</v>
          </cell>
          <cell r="AK213">
            <v>0</v>
          </cell>
          <cell r="AL213">
            <v>0</v>
          </cell>
        </row>
        <row r="214">
          <cell r="E214" t="str">
            <v>C-OBox4角大深</v>
          </cell>
          <cell r="F214" t="str">
            <v>個</v>
          </cell>
          <cell r="G214">
            <v>0</v>
          </cell>
          <cell r="H214">
            <v>260</v>
          </cell>
          <cell r="I214">
            <v>0</v>
          </cell>
          <cell r="J214">
            <v>260</v>
          </cell>
          <cell r="K214">
            <v>0</v>
          </cell>
          <cell r="L214">
            <v>260</v>
          </cell>
          <cell r="M214">
            <v>0</v>
          </cell>
          <cell r="N214">
            <v>260</v>
          </cell>
          <cell r="O214">
            <v>0</v>
          </cell>
          <cell r="P214">
            <v>260</v>
          </cell>
          <cell r="Q214">
            <v>0</v>
          </cell>
          <cell r="R214">
            <v>260</v>
          </cell>
          <cell r="S214">
            <v>0</v>
          </cell>
          <cell r="T214">
            <v>260</v>
          </cell>
          <cell r="U214">
            <v>0</v>
          </cell>
          <cell r="V214">
            <v>260</v>
          </cell>
          <cell r="W214">
            <v>0</v>
          </cell>
          <cell r="X214">
            <v>260</v>
          </cell>
          <cell r="Y214">
            <v>0</v>
          </cell>
          <cell r="Z214">
            <v>260</v>
          </cell>
          <cell r="AA214">
            <v>0</v>
          </cell>
          <cell r="AB214">
            <v>0</v>
          </cell>
          <cell r="AC214">
            <v>0</v>
          </cell>
          <cell r="AD214">
            <v>0.1</v>
          </cell>
          <cell r="AE214">
            <v>0</v>
          </cell>
          <cell r="AF214">
            <v>0</v>
          </cell>
          <cell r="AG214">
            <v>0</v>
          </cell>
          <cell r="AH214">
            <v>0</v>
          </cell>
          <cell r="AI214">
            <v>0</v>
          </cell>
          <cell r="AJ214">
            <v>0</v>
          </cell>
          <cell r="AK214">
            <v>0</v>
          </cell>
          <cell r="AL214">
            <v>0</v>
          </cell>
        </row>
        <row r="215">
          <cell r="E215" t="str">
            <v>C-CBox4角中44mm</v>
          </cell>
          <cell r="F215" t="str">
            <v>個</v>
          </cell>
          <cell r="G215">
            <v>0</v>
          </cell>
          <cell r="H215">
            <v>242</v>
          </cell>
          <cell r="I215">
            <v>0</v>
          </cell>
          <cell r="J215">
            <v>242</v>
          </cell>
          <cell r="K215">
            <v>0</v>
          </cell>
          <cell r="L215">
            <v>242</v>
          </cell>
          <cell r="M215">
            <v>0</v>
          </cell>
          <cell r="N215">
            <v>242</v>
          </cell>
          <cell r="O215">
            <v>0</v>
          </cell>
          <cell r="P215">
            <v>242</v>
          </cell>
          <cell r="Q215">
            <v>0</v>
          </cell>
          <cell r="R215">
            <v>242</v>
          </cell>
          <cell r="S215">
            <v>0</v>
          </cell>
          <cell r="T215">
            <v>242</v>
          </cell>
          <cell r="U215">
            <v>0</v>
          </cell>
          <cell r="V215">
            <v>242</v>
          </cell>
          <cell r="W215">
            <v>0</v>
          </cell>
          <cell r="X215">
            <v>242</v>
          </cell>
          <cell r="Y215">
            <v>0</v>
          </cell>
          <cell r="Z215">
            <v>242</v>
          </cell>
          <cell r="AA215">
            <v>0</v>
          </cell>
          <cell r="AB215">
            <v>0</v>
          </cell>
          <cell r="AC215">
            <v>0</v>
          </cell>
          <cell r="AD215">
            <v>0.1</v>
          </cell>
          <cell r="AE215">
            <v>0</v>
          </cell>
          <cell r="AF215">
            <v>0</v>
          </cell>
          <cell r="AG215">
            <v>0</v>
          </cell>
          <cell r="AH215">
            <v>0</v>
          </cell>
          <cell r="AI215">
            <v>0</v>
          </cell>
          <cell r="AJ215">
            <v>0</v>
          </cell>
          <cell r="AK215">
            <v>0</v>
          </cell>
          <cell r="AL215">
            <v>0</v>
          </cell>
        </row>
        <row r="216">
          <cell r="E216" t="str">
            <v>C-CBox4角中54mm</v>
          </cell>
          <cell r="F216" t="str">
            <v>個</v>
          </cell>
          <cell r="G216">
            <v>0</v>
          </cell>
          <cell r="H216">
            <v>275</v>
          </cell>
          <cell r="I216">
            <v>0</v>
          </cell>
          <cell r="J216">
            <v>275</v>
          </cell>
          <cell r="K216">
            <v>0</v>
          </cell>
          <cell r="L216">
            <v>275</v>
          </cell>
          <cell r="M216">
            <v>0</v>
          </cell>
          <cell r="N216">
            <v>275</v>
          </cell>
          <cell r="O216">
            <v>0</v>
          </cell>
          <cell r="P216">
            <v>275</v>
          </cell>
          <cell r="Q216">
            <v>0</v>
          </cell>
          <cell r="R216">
            <v>275</v>
          </cell>
          <cell r="S216">
            <v>0</v>
          </cell>
          <cell r="T216">
            <v>275</v>
          </cell>
          <cell r="U216">
            <v>0</v>
          </cell>
          <cell r="V216">
            <v>275</v>
          </cell>
          <cell r="W216">
            <v>0</v>
          </cell>
          <cell r="X216">
            <v>275</v>
          </cell>
          <cell r="Y216">
            <v>0</v>
          </cell>
          <cell r="Z216">
            <v>275</v>
          </cell>
          <cell r="AA216">
            <v>0</v>
          </cell>
          <cell r="AB216">
            <v>0</v>
          </cell>
          <cell r="AC216">
            <v>0</v>
          </cell>
          <cell r="AD216">
            <v>0.1</v>
          </cell>
          <cell r="AE216">
            <v>0</v>
          </cell>
          <cell r="AF216">
            <v>0</v>
          </cell>
          <cell r="AG216">
            <v>0</v>
          </cell>
          <cell r="AH216">
            <v>0</v>
          </cell>
          <cell r="AI216">
            <v>0</v>
          </cell>
          <cell r="AJ216">
            <v>0</v>
          </cell>
          <cell r="AK216">
            <v>0</v>
          </cell>
          <cell r="AL216">
            <v>0</v>
          </cell>
        </row>
        <row r="217">
          <cell r="E217" t="str">
            <v>C-CBox4角中75mm</v>
          </cell>
          <cell r="F217" t="str">
            <v>個</v>
          </cell>
          <cell r="G217">
            <v>0</v>
          </cell>
          <cell r="H217">
            <v>319</v>
          </cell>
          <cell r="I217">
            <v>0</v>
          </cell>
          <cell r="J217">
            <v>319</v>
          </cell>
          <cell r="K217">
            <v>0</v>
          </cell>
          <cell r="L217">
            <v>319</v>
          </cell>
          <cell r="M217">
            <v>0</v>
          </cell>
          <cell r="N217">
            <v>319</v>
          </cell>
          <cell r="O217">
            <v>0</v>
          </cell>
          <cell r="P217">
            <v>319</v>
          </cell>
          <cell r="Q217">
            <v>0</v>
          </cell>
          <cell r="R217">
            <v>319</v>
          </cell>
          <cell r="S217">
            <v>0</v>
          </cell>
          <cell r="T217">
            <v>319</v>
          </cell>
          <cell r="U217">
            <v>0</v>
          </cell>
          <cell r="V217">
            <v>319</v>
          </cell>
          <cell r="W217">
            <v>0</v>
          </cell>
          <cell r="X217">
            <v>319</v>
          </cell>
          <cell r="Y217">
            <v>0</v>
          </cell>
          <cell r="Z217">
            <v>319</v>
          </cell>
          <cell r="AA217">
            <v>0</v>
          </cell>
          <cell r="AB217">
            <v>0</v>
          </cell>
          <cell r="AC217">
            <v>0</v>
          </cell>
          <cell r="AD217">
            <v>0.1</v>
          </cell>
          <cell r="AE217">
            <v>0</v>
          </cell>
          <cell r="AF217">
            <v>0</v>
          </cell>
          <cell r="AG217">
            <v>0</v>
          </cell>
          <cell r="AH217">
            <v>0</v>
          </cell>
          <cell r="AI217">
            <v>0</v>
          </cell>
          <cell r="AJ217">
            <v>0</v>
          </cell>
          <cell r="AK217">
            <v>0</v>
          </cell>
          <cell r="AL217">
            <v>0</v>
          </cell>
        </row>
        <row r="218">
          <cell r="E218" t="str">
            <v>C-CBox4角中90mm</v>
          </cell>
          <cell r="F218" t="str">
            <v>個</v>
          </cell>
          <cell r="G218">
            <v>0</v>
          </cell>
          <cell r="H218">
            <v>412</v>
          </cell>
          <cell r="I218">
            <v>0</v>
          </cell>
          <cell r="J218">
            <v>412</v>
          </cell>
          <cell r="K218">
            <v>0</v>
          </cell>
          <cell r="L218">
            <v>412</v>
          </cell>
          <cell r="M218">
            <v>0</v>
          </cell>
          <cell r="N218">
            <v>412</v>
          </cell>
          <cell r="O218">
            <v>0</v>
          </cell>
          <cell r="P218">
            <v>412</v>
          </cell>
          <cell r="Q218">
            <v>0</v>
          </cell>
          <cell r="R218">
            <v>412</v>
          </cell>
          <cell r="S218">
            <v>0</v>
          </cell>
          <cell r="T218">
            <v>412</v>
          </cell>
          <cell r="U218">
            <v>0</v>
          </cell>
          <cell r="V218">
            <v>412</v>
          </cell>
          <cell r="W218">
            <v>0</v>
          </cell>
          <cell r="X218">
            <v>412</v>
          </cell>
          <cell r="Y218">
            <v>0</v>
          </cell>
          <cell r="Z218">
            <v>412</v>
          </cell>
          <cell r="AA218">
            <v>0</v>
          </cell>
          <cell r="AB218">
            <v>0</v>
          </cell>
          <cell r="AC218">
            <v>0</v>
          </cell>
          <cell r="AD218">
            <v>0.1</v>
          </cell>
          <cell r="AE218">
            <v>0</v>
          </cell>
          <cell r="AF218">
            <v>0</v>
          </cell>
          <cell r="AG218">
            <v>0</v>
          </cell>
          <cell r="AH218">
            <v>0</v>
          </cell>
          <cell r="AI218">
            <v>0</v>
          </cell>
          <cell r="AJ218">
            <v>0</v>
          </cell>
          <cell r="AK218">
            <v>0</v>
          </cell>
          <cell r="AL218">
            <v>0</v>
          </cell>
        </row>
        <row r="219">
          <cell r="E219" t="str">
            <v>C-CBox4角中100mm</v>
          </cell>
          <cell r="F219" t="str">
            <v>個</v>
          </cell>
          <cell r="G219">
            <v>0</v>
          </cell>
          <cell r="H219">
            <v>484</v>
          </cell>
          <cell r="I219">
            <v>0</v>
          </cell>
          <cell r="J219">
            <v>484</v>
          </cell>
          <cell r="K219">
            <v>0</v>
          </cell>
          <cell r="L219">
            <v>484</v>
          </cell>
          <cell r="M219">
            <v>0</v>
          </cell>
          <cell r="N219">
            <v>484</v>
          </cell>
          <cell r="O219">
            <v>0</v>
          </cell>
          <cell r="P219">
            <v>484</v>
          </cell>
          <cell r="Q219">
            <v>0</v>
          </cell>
          <cell r="R219">
            <v>484</v>
          </cell>
          <cell r="S219">
            <v>0</v>
          </cell>
          <cell r="T219">
            <v>484</v>
          </cell>
          <cell r="U219">
            <v>0</v>
          </cell>
          <cell r="V219">
            <v>484</v>
          </cell>
          <cell r="W219">
            <v>0</v>
          </cell>
          <cell r="X219">
            <v>484</v>
          </cell>
          <cell r="Y219">
            <v>0</v>
          </cell>
          <cell r="Z219">
            <v>484</v>
          </cell>
          <cell r="AA219">
            <v>0</v>
          </cell>
          <cell r="AB219">
            <v>0</v>
          </cell>
          <cell r="AC219">
            <v>0</v>
          </cell>
          <cell r="AD219">
            <v>0.1</v>
          </cell>
          <cell r="AE219">
            <v>0</v>
          </cell>
          <cell r="AF219">
            <v>0</v>
          </cell>
          <cell r="AG219">
            <v>0</v>
          </cell>
          <cell r="AH219">
            <v>0</v>
          </cell>
          <cell r="AI219">
            <v>0</v>
          </cell>
          <cell r="AJ219">
            <v>0</v>
          </cell>
          <cell r="AK219">
            <v>0</v>
          </cell>
          <cell r="AL219">
            <v>0</v>
          </cell>
        </row>
        <row r="220">
          <cell r="E220" t="str">
            <v>C-CBox4角大44mm</v>
          </cell>
          <cell r="F220" t="str">
            <v>個</v>
          </cell>
          <cell r="G220">
            <v>0</v>
          </cell>
          <cell r="H220">
            <v>396</v>
          </cell>
          <cell r="I220">
            <v>0</v>
          </cell>
          <cell r="J220">
            <v>396</v>
          </cell>
          <cell r="K220">
            <v>0</v>
          </cell>
          <cell r="L220">
            <v>396</v>
          </cell>
          <cell r="M220">
            <v>0</v>
          </cell>
          <cell r="N220">
            <v>396</v>
          </cell>
          <cell r="O220">
            <v>0</v>
          </cell>
          <cell r="P220">
            <v>396</v>
          </cell>
          <cell r="Q220">
            <v>0</v>
          </cell>
          <cell r="R220">
            <v>396</v>
          </cell>
          <cell r="S220">
            <v>0</v>
          </cell>
          <cell r="T220">
            <v>396</v>
          </cell>
          <cell r="U220">
            <v>0</v>
          </cell>
          <cell r="V220">
            <v>396</v>
          </cell>
          <cell r="W220">
            <v>0</v>
          </cell>
          <cell r="X220">
            <v>396</v>
          </cell>
          <cell r="Y220">
            <v>0</v>
          </cell>
          <cell r="Z220">
            <v>396</v>
          </cell>
          <cell r="AA220">
            <v>0</v>
          </cell>
          <cell r="AB220">
            <v>0</v>
          </cell>
          <cell r="AC220">
            <v>0</v>
          </cell>
          <cell r="AD220">
            <v>0.1</v>
          </cell>
          <cell r="AE220">
            <v>0</v>
          </cell>
          <cell r="AF220">
            <v>0</v>
          </cell>
          <cell r="AG220">
            <v>0</v>
          </cell>
          <cell r="AH220">
            <v>0</v>
          </cell>
          <cell r="AI220">
            <v>0</v>
          </cell>
          <cell r="AJ220">
            <v>0</v>
          </cell>
          <cell r="AK220">
            <v>0</v>
          </cell>
          <cell r="AL220">
            <v>0</v>
          </cell>
        </row>
        <row r="221">
          <cell r="E221" t="str">
            <v>C-CBox4角大54mm</v>
          </cell>
          <cell r="F221" t="str">
            <v>個</v>
          </cell>
          <cell r="G221">
            <v>0</v>
          </cell>
          <cell r="H221">
            <v>412</v>
          </cell>
          <cell r="I221">
            <v>0</v>
          </cell>
          <cell r="J221">
            <v>412</v>
          </cell>
          <cell r="K221">
            <v>0</v>
          </cell>
          <cell r="L221">
            <v>412</v>
          </cell>
          <cell r="M221">
            <v>0</v>
          </cell>
          <cell r="N221">
            <v>412</v>
          </cell>
          <cell r="O221">
            <v>0</v>
          </cell>
          <cell r="P221">
            <v>412</v>
          </cell>
          <cell r="Q221">
            <v>0</v>
          </cell>
          <cell r="R221">
            <v>412</v>
          </cell>
          <cell r="S221">
            <v>0</v>
          </cell>
          <cell r="T221">
            <v>412</v>
          </cell>
          <cell r="U221">
            <v>0</v>
          </cell>
          <cell r="V221">
            <v>412</v>
          </cell>
          <cell r="W221">
            <v>0</v>
          </cell>
          <cell r="X221">
            <v>412</v>
          </cell>
          <cell r="Y221">
            <v>0</v>
          </cell>
          <cell r="Z221">
            <v>412</v>
          </cell>
          <cell r="AA221">
            <v>0</v>
          </cell>
          <cell r="AB221">
            <v>0</v>
          </cell>
          <cell r="AC221">
            <v>0</v>
          </cell>
          <cell r="AD221">
            <v>0.1</v>
          </cell>
          <cell r="AE221">
            <v>0</v>
          </cell>
          <cell r="AF221">
            <v>0</v>
          </cell>
          <cell r="AG221">
            <v>0</v>
          </cell>
          <cell r="AH221">
            <v>0</v>
          </cell>
          <cell r="AI221">
            <v>0</v>
          </cell>
          <cell r="AJ221">
            <v>0</v>
          </cell>
          <cell r="AK221">
            <v>0</v>
          </cell>
          <cell r="AL221">
            <v>0</v>
          </cell>
        </row>
        <row r="222">
          <cell r="E222" t="str">
            <v>C-CBox4角大75mm</v>
          </cell>
          <cell r="F222" t="str">
            <v>個</v>
          </cell>
          <cell r="G222">
            <v>0</v>
          </cell>
          <cell r="H222">
            <v>445</v>
          </cell>
          <cell r="I222">
            <v>0</v>
          </cell>
          <cell r="J222">
            <v>445</v>
          </cell>
          <cell r="K222">
            <v>0</v>
          </cell>
          <cell r="L222">
            <v>445</v>
          </cell>
          <cell r="M222">
            <v>0</v>
          </cell>
          <cell r="N222">
            <v>445</v>
          </cell>
          <cell r="O222">
            <v>0</v>
          </cell>
          <cell r="P222">
            <v>445</v>
          </cell>
          <cell r="Q222">
            <v>0</v>
          </cell>
          <cell r="R222">
            <v>445</v>
          </cell>
          <cell r="S222">
            <v>0</v>
          </cell>
          <cell r="T222">
            <v>445</v>
          </cell>
          <cell r="U222">
            <v>0</v>
          </cell>
          <cell r="V222">
            <v>445</v>
          </cell>
          <cell r="W222">
            <v>0</v>
          </cell>
          <cell r="X222">
            <v>445</v>
          </cell>
          <cell r="Y222">
            <v>0</v>
          </cell>
          <cell r="Z222">
            <v>445</v>
          </cell>
          <cell r="AA222">
            <v>0</v>
          </cell>
          <cell r="AB222">
            <v>0</v>
          </cell>
          <cell r="AC222">
            <v>0</v>
          </cell>
          <cell r="AD222">
            <v>0.1</v>
          </cell>
          <cell r="AE222">
            <v>0</v>
          </cell>
          <cell r="AF222">
            <v>0</v>
          </cell>
          <cell r="AG222">
            <v>0</v>
          </cell>
          <cell r="AH222">
            <v>0</v>
          </cell>
          <cell r="AI222">
            <v>0</v>
          </cell>
          <cell r="AJ222">
            <v>0</v>
          </cell>
          <cell r="AK222">
            <v>0</v>
          </cell>
          <cell r="AL222">
            <v>0</v>
          </cell>
        </row>
        <row r="223">
          <cell r="E223" t="str">
            <v>C-CBox4角大90mm</v>
          </cell>
          <cell r="F223" t="str">
            <v>個</v>
          </cell>
          <cell r="G223">
            <v>0</v>
          </cell>
          <cell r="H223">
            <v>539</v>
          </cell>
          <cell r="I223">
            <v>0</v>
          </cell>
          <cell r="J223">
            <v>539</v>
          </cell>
          <cell r="K223">
            <v>0</v>
          </cell>
          <cell r="L223">
            <v>539</v>
          </cell>
          <cell r="M223">
            <v>0</v>
          </cell>
          <cell r="N223">
            <v>539</v>
          </cell>
          <cell r="O223">
            <v>0</v>
          </cell>
          <cell r="P223">
            <v>539</v>
          </cell>
          <cell r="Q223">
            <v>0</v>
          </cell>
          <cell r="R223">
            <v>539</v>
          </cell>
          <cell r="S223">
            <v>0</v>
          </cell>
          <cell r="T223">
            <v>539</v>
          </cell>
          <cell r="U223">
            <v>0</v>
          </cell>
          <cell r="V223">
            <v>539</v>
          </cell>
          <cell r="W223">
            <v>0</v>
          </cell>
          <cell r="X223">
            <v>539</v>
          </cell>
          <cell r="Y223">
            <v>0</v>
          </cell>
          <cell r="Z223">
            <v>539</v>
          </cell>
          <cell r="AA223">
            <v>0</v>
          </cell>
          <cell r="AB223">
            <v>0</v>
          </cell>
          <cell r="AC223">
            <v>0</v>
          </cell>
          <cell r="AD223">
            <v>0.1</v>
          </cell>
          <cell r="AE223">
            <v>0</v>
          </cell>
          <cell r="AF223">
            <v>0</v>
          </cell>
          <cell r="AG223">
            <v>0</v>
          </cell>
          <cell r="AH223">
            <v>0</v>
          </cell>
          <cell r="AI223">
            <v>0</v>
          </cell>
          <cell r="AJ223">
            <v>0</v>
          </cell>
          <cell r="AK223">
            <v>0</v>
          </cell>
          <cell r="AL223">
            <v>0</v>
          </cell>
        </row>
        <row r="224">
          <cell r="E224" t="str">
            <v>C-CBox4角大100mm</v>
          </cell>
          <cell r="F224" t="str">
            <v>個</v>
          </cell>
          <cell r="G224">
            <v>0</v>
          </cell>
          <cell r="H224">
            <v>577</v>
          </cell>
          <cell r="I224">
            <v>0</v>
          </cell>
          <cell r="J224">
            <v>577</v>
          </cell>
          <cell r="K224">
            <v>0</v>
          </cell>
          <cell r="L224">
            <v>577</v>
          </cell>
          <cell r="M224">
            <v>0</v>
          </cell>
          <cell r="N224">
            <v>577</v>
          </cell>
          <cell r="O224">
            <v>0</v>
          </cell>
          <cell r="P224">
            <v>577</v>
          </cell>
          <cell r="Q224">
            <v>0</v>
          </cell>
          <cell r="R224">
            <v>577</v>
          </cell>
          <cell r="S224">
            <v>0</v>
          </cell>
          <cell r="T224">
            <v>577</v>
          </cell>
          <cell r="U224">
            <v>0</v>
          </cell>
          <cell r="V224">
            <v>577</v>
          </cell>
          <cell r="W224">
            <v>0</v>
          </cell>
          <cell r="X224">
            <v>577</v>
          </cell>
          <cell r="Y224">
            <v>0</v>
          </cell>
          <cell r="Z224">
            <v>577</v>
          </cell>
          <cell r="AA224">
            <v>0</v>
          </cell>
          <cell r="AB224">
            <v>0</v>
          </cell>
          <cell r="AC224">
            <v>0</v>
          </cell>
          <cell r="AD224">
            <v>0.1</v>
          </cell>
          <cell r="AE224">
            <v>0</v>
          </cell>
          <cell r="AF224">
            <v>0</v>
          </cell>
          <cell r="AG224">
            <v>0</v>
          </cell>
          <cell r="AH224">
            <v>0</v>
          </cell>
          <cell r="AI224">
            <v>0</v>
          </cell>
          <cell r="AJ224">
            <v>0</v>
          </cell>
          <cell r="AK224">
            <v>0</v>
          </cell>
          <cell r="AL224">
            <v>0</v>
          </cell>
        </row>
        <row r="225">
          <cell r="E225" t="str">
            <v>C-CBox8角44mm</v>
          </cell>
          <cell r="F225" t="str">
            <v>個</v>
          </cell>
          <cell r="G225">
            <v>0</v>
          </cell>
          <cell r="H225">
            <v>220</v>
          </cell>
          <cell r="I225">
            <v>0</v>
          </cell>
          <cell r="J225">
            <v>220</v>
          </cell>
          <cell r="K225">
            <v>0</v>
          </cell>
          <cell r="L225">
            <v>220</v>
          </cell>
          <cell r="M225">
            <v>0</v>
          </cell>
          <cell r="N225">
            <v>220</v>
          </cell>
          <cell r="O225">
            <v>0</v>
          </cell>
          <cell r="P225">
            <v>220</v>
          </cell>
          <cell r="Q225">
            <v>0</v>
          </cell>
          <cell r="R225">
            <v>220</v>
          </cell>
          <cell r="S225">
            <v>0</v>
          </cell>
          <cell r="T225">
            <v>220</v>
          </cell>
          <cell r="U225">
            <v>0</v>
          </cell>
          <cell r="V225">
            <v>220</v>
          </cell>
          <cell r="W225">
            <v>0</v>
          </cell>
          <cell r="X225">
            <v>220</v>
          </cell>
          <cell r="Y225">
            <v>0</v>
          </cell>
          <cell r="Z225">
            <v>220</v>
          </cell>
          <cell r="AA225">
            <v>0</v>
          </cell>
          <cell r="AB225">
            <v>0</v>
          </cell>
          <cell r="AC225">
            <v>0</v>
          </cell>
          <cell r="AD225">
            <v>0.1</v>
          </cell>
          <cell r="AE225">
            <v>0</v>
          </cell>
          <cell r="AF225">
            <v>0</v>
          </cell>
          <cell r="AG225">
            <v>0</v>
          </cell>
          <cell r="AH225">
            <v>0</v>
          </cell>
          <cell r="AI225">
            <v>0</v>
          </cell>
          <cell r="AJ225">
            <v>0</v>
          </cell>
          <cell r="AK225">
            <v>0</v>
          </cell>
          <cell r="AL225">
            <v>0</v>
          </cell>
        </row>
        <row r="226">
          <cell r="E226" t="str">
            <v>C-CBox8角54mm</v>
          </cell>
          <cell r="F226" t="str">
            <v>個</v>
          </cell>
          <cell r="G226">
            <v>0</v>
          </cell>
          <cell r="H226">
            <v>242</v>
          </cell>
          <cell r="I226">
            <v>0</v>
          </cell>
          <cell r="J226">
            <v>242</v>
          </cell>
          <cell r="K226">
            <v>0</v>
          </cell>
          <cell r="L226">
            <v>242</v>
          </cell>
          <cell r="M226">
            <v>0</v>
          </cell>
          <cell r="N226">
            <v>242</v>
          </cell>
          <cell r="O226">
            <v>0</v>
          </cell>
          <cell r="P226">
            <v>242</v>
          </cell>
          <cell r="Q226">
            <v>0</v>
          </cell>
          <cell r="R226">
            <v>242</v>
          </cell>
          <cell r="S226">
            <v>0</v>
          </cell>
          <cell r="T226">
            <v>242</v>
          </cell>
          <cell r="U226">
            <v>0</v>
          </cell>
          <cell r="V226">
            <v>242</v>
          </cell>
          <cell r="W226">
            <v>0</v>
          </cell>
          <cell r="X226">
            <v>242</v>
          </cell>
          <cell r="Y226">
            <v>0</v>
          </cell>
          <cell r="Z226">
            <v>242</v>
          </cell>
          <cell r="AA226">
            <v>0</v>
          </cell>
          <cell r="AB226">
            <v>0</v>
          </cell>
          <cell r="AC226">
            <v>0</v>
          </cell>
          <cell r="AD226">
            <v>0.1</v>
          </cell>
          <cell r="AE226">
            <v>0</v>
          </cell>
          <cell r="AF226">
            <v>0</v>
          </cell>
          <cell r="AG226">
            <v>0</v>
          </cell>
          <cell r="AH226">
            <v>0</v>
          </cell>
          <cell r="AI226">
            <v>0</v>
          </cell>
          <cell r="AJ226">
            <v>0</v>
          </cell>
          <cell r="AK226">
            <v>0</v>
          </cell>
          <cell r="AL226">
            <v>0</v>
          </cell>
        </row>
        <row r="227">
          <cell r="E227" t="str">
            <v>C-CBox8角75mm</v>
          </cell>
          <cell r="F227" t="str">
            <v>個</v>
          </cell>
          <cell r="G227">
            <v>0</v>
          </cell>
          <cell r="H227">
            <v>275</v>
          </cell>
          <cell r="I227">
            <v>0</v>
          </cell>
          <cell r="J227">
            <v>275</v>
          </cell>
          <cell r="K227">
            <v>0</v>
          </cell>
          <cell r="L227">
            <v>275</v>
          </cell>
          <cell r="M227">
            <v>0</v>
          </cell>
          <cell r="N227">
            <v>275</v>
          </cell>
          <cell r="O227">
            <v>0</v>
          </cell>
          <cell r="P227">
            <v>275</v>
          </cell>
          <cell r="Q227">
            <v>0</v>
          </cell>
          <cell r="R227">
            <v>275</v>
          </cell>
          <cell r="S227">
            <v>0</v>
          </cell>
          <cell r="T227">
            <v>275</v>
          </cell>
          <cell r="U227">
            <v>0</v>
          </cell>
          <cell r="V227">
            <v>275</v>
          </cell>
          <cell r="W227">
            <v>0</v>
          </cell>
          <cell r="X227">
            <v>275</v>
          </cell>
          <cell r="Y227">
            <v>0</v>
          </cell>
          <cell r="Z227">
            <v>275</v>
          </cell>
          <cell r="AA227">
            <v>0</v>
          </cell>
          <cell r="AB227">
            <v>0</v>
          </cell>
          <cell r="AC227">
            <v>0</v>
          </cell>
          <cell r="AD227">
            <v>0.1</v>
          </cell>
          <cell r="AE227">
            <v>0</v>
          </cell>
          <cell r="AF227">
            <v>0</v>
          </cell>
          <cell r="AG227">
            <v>0</v>
          </cell>
          <cell r="AH227">
            <v>0</v>
          </cell>
          <cell r="AI227">
            <v>0</v>
          </cell>
          <cell r="AJ227">
            <v>0</v>
          </cell>
          <cell r="AK227">
            <v>0</v>
          </cell>
          <cell r="AL227">
            <v>0</v>
          </cell>
        </row>
        <row r="228">
          <cell r="E228" t="str">
            <v>C-CBox8角90mm</v>
          </cell>
          <cell r="F228" t="str">
            <v>個</v>
          </cell>
          <cell r="G228">
            <v>0</v>
          </cell>
          <cell r="H228">
            <v>363</v>
          </cell>
          <cell r="I228">
            <v>0</v>
          </cell>
          <cell r="J228">
            <v>363</v>
          </cell>
          <cell r="K228">
            <v>0</v>
          </cell>
          <cell r="L228">
            <v>363</v>
          </cell>
          <cell r="M228">
            <v>0</v>
          </cell>
          <cell r="N228">
            <v>363</v>
          </cell>
          <cell r="O228">
            <v>0</v>
          </cell>
          <cell r="P228">
            <v>363</v>
          </cell>
          <cell r="Q228">
            <v>0</v>
          </cell>
          <cell r="R228">
            <v>363</v>
          </cell>
          <cell r="S228">
            <v>0</v>
          </cell>
          <cell r="T228">
            <v>363</v>
          </cell>
          <cell r="U228">
            <v>0</v>
          </cell>
          <cell r="V228">
            <v>363</v>
          </cell>
          <cell r="W228">
            <v>0</v>
          </cell>
          <cell r="X228">
            <v>363</v>
          </cell>
          <cell r="Y228">
            <v>0</v>
          </cell>
          <cell r="Z228">
            <v>363</v>
          </cell>
          <cell r="AA228">
            <v>0</v>
          </cell>
          <cell r="AB228">
            <v>0</v>
          </cell>
          <cell r="AC228">
            <v>0</v>
          </cell>
          <cell r="AD228">
            <v>0.1</v>
          </cell>
          <cell r="AE228">
            <v>0</v>
          </cell>
          <cell r="AF228">
            <v>0</v>
          </cell>
          <cell r="AG228">
            <v>0</v>
          </cell>
          <cell r="AH228">
            <v>0</v>
          </cell>
          <cell r="AI228">
            <v>0</v>
          </cell>
          <cell r="AJ228">
            <v>0</v>
          </cell>
          <cell r="AK228">
            <v>0</v>
          </cell>
          <cell r="AL228">
            <v>0</v>
          </cell>
        </row>
        <row r="229">
          <cell r="E229" t="str">
            <v>C-CBox8角100mm</v>
          </cell>
          <cell r="F229" t="str">
            <v>個</v>
          </cell>
          <cell r="G229">
            <v>0</v>
          </cell>
          <cell r="H229">
            <v>440</v>
          </cell>
          <cell r="I229">
            <v>0</v>
          </cell>
          <cell r="J229">
            <v>440</v>
          </cell>
          <cell r="K229">
            <v>0</v>
          </cell>
          <cell r="L229">
            <v>440</v>
          </cell>
          <cell r="M229">
            <v>0</v>
          </cell>
          <cell r="N229">
            <v>440</v>
          </cell>
          <cell r="O229">
            <v>0</v>
          </cell>
          <cell r="P229">
            <v>440</v>
          </cell>
          <cell r="Q229">
            <v>0</v>
          </cell>
          <cell r="R229">
            <v>440</v>
          </cell>
          <cell r="S229">
            <v>0</v>
          </cell>
          <cell r="T229">
            <v>440</v>
          </cell>
          <cell r="U229">
            <v>0</v>
          </cell>
          <cell r="V229">
            <v>440</v>
          </cell>
          <cell r="W229">
            <v>0</v>
          </cell>
          <cell r="X229">
            <v>440</v>
          </cell>
          <cell r="Y229">
            <v>0</v>
          </cell>
          <cell r="Z229">
            <v>440</v>
          </cell>
          <cell r="AA229">
            <v>0</v>
          </cell>
          <cell r="AB229">
            <v>0</v>
          </cell>
          <cell r="AC229">
            <v>0</v>
          </cell>
          <cell r="AD229">
            <v>0.1</v>
          </cell>
          <cell r="AE229">
            <v>0</v>
          </cell>
          <cell r="AF229">
            <v>0</v>
          </cell>
          <cell r="AG229">
            <v>0</v>
          </cell>
          <cell r="AH229">
            <v>0</v>
          </cell>
          <cell r="AI229">
            <v>0</v>
          </cell>
          <cell r="AJ229">
            <v>0</v>
          </cell>
          <cell r="AK229">
            <v>0</v>
          </cell>
          <cell r="AL229">
            <v>0</v>
          </cell>
        </row>
        <row r="230">
          <cell r="E230" t="str">
            <v>C-丸Box1方出19mm</v>
          </cell>
          <cell r="F230" t="str">
            <v>個</v>
          </cell>
          <cell r="G230">
            <v>0</v>
          </cell>
          <cell r="H230">
            <v>338</v>
          </cell>
          <cell r="I230">
            <v>0</v>
          </cell>
          <cell r="J230">
            <v>338</v>
          </cell>
          <cell r="K230">
            <v>0</v>
          </cell>
          <cell r="L230">
            <v>338</v>
          </cell>
          <cell r="M230">
            <v>0</v>
          </cell>
          <cell r="N230">
            <v>338</v>
          </cell>
          <cell r="O230">
            <v>0</v>
          </cell>
          <cell r="P230">
            <v>338</v>
          </cell>
          <cell r="Q230">
            <v>0</v>
          </cell>
          <cell r="R230">
            <v>338</v>
          </cell>
          <cell r="S230">
            <v>0</v>
          </cell>
          <cell r="T230">
            <v>338</v>
          </cell>
          <cell r="U230">
            <v>0</v>
          </cell>
          <cell r="V230">
            <v>338</v>
          </cell>
          <cell r="W230">
            <v>0</v>
          </cell>
          <cell r="X230">
            <v>338</v>
          </cell>
          <cell r="Y230">
            <v>0</v>
          </cell>
          <cell r="Z230">
            <v>338</v>
          </cell>
          <cell r="AA230">
            <v>0</v>
          </cell>
          <cell r="AB230">
            <v>0</v>
          </cell>
          <cell r="AC230">
            <v>0</v>
          </cell>
          <cell r="AD230">
            <v>0.1</v>
          </cell>
          <cell r="AE230">
            <v>0</v>
          </cell>
          <cell r="AF230">
            <v>0</v>
          </cell>
          <cell r="AG230">
            <v>0</v>
          </cell>
          <cell r="AH230">
            <v>0</v>
          </cell>
          <cell r="AI230">
            <v>0</v>
          </cell>
          <cell r="AJ230">
            <v>0</v>
          </cell>
          <cell r="AK230">
            <v>0</v>
          </cell>
          <cell r="AL230">
            <v>0</v>
          </cell>
        </row>
        <row r="231">
          <cell r="E231" t="str">
            <v>C-丸Box2方出19mm</v>
          </cell>
          <cell r="F231" t="str">
            <v>個</v>
          </cell>
          <cell r="G231">
            <v>0</v>
          </cell>
          <cell r="H231">
            <v>377</v>
          </cell>
          <cell r="I231">
            <v>0</v>
          </cell>
          <cell r="J231">
            <v>377</v>
          </cell>
          <cell r="K231">
            <v>0</v>
          </cell>
          <cell r="L231">
            <v>377</v>
          </cell>
          <cell r="M231">
            <v>0</v>
          </cell>
          <cell r="N231">
            <v>377</v>
          </cell>
          <cell r="O231">
            <v>0</v>
          </cell>
          <cell r="P231">
            <v>377</v>
          </cell>
          <cell r="Q231">
            <v>0</v>
          </cell>
          <cell r="R231">
            <v>377</v>
          </cell>
          <cell r="S231">
            <v>0</v>
          </cell>
          <cell r="T231">
            <v>377</v>
          </cell>
          <cell r="U231">
            <v>0</v>
          </cell>
          <cell r="V231">
            <v>377</v>
          </cell>
          <cell r="W231">
            <v>0</v>
          </cell>
          <cell r="X231">
            <v>377</v>
          </cell>
          <cell r="Y231">
            <v>0</v>
          </cell>
          <cell r="Z231">
            <v>377</v>
          </cell>
          <cell r="AA231">
            <v>0</v>
          </cell>
          <cell r="AB231">
            <v>0</v>
          </cell>
          <cell r="AC231">
            <v>0</v>
          </cell>
          <cell r="AD231">
            <v>0.1</v>
          </cell>
          <cell r="AE231">
            <v>0</v>
          </cell>
          <cell r="AF231">
            <v>0</v>
          </cell>
          <cell r="AG231">
            <v>0</v>
          </cell>
          <cell r="AH231">
            <v>0</v>
          </cell>
          <cell r="AI231">
            <v>0</v>
          </cell>
          <cell r="AJ231">
            <v>0</v>
          </cell>
          <cell r="AK231">
            <v>0</v>
          </cell>
          <cell r="AL231">
            <v>0</v>
          </cell>
        </row>
        <row r="232">
          <cell r="E232" t="str">
            <v>C-丸Box3方出19mm</v>
          </cell>
          <cell r="F232" t="str">
            <v>個</v>
          </cell>
          <cell r="G232">
            <v>0</v>
          </cell>
          <cell r="H232">
            <v>392</v>
          </cell>
          <cell r="I232">
            <v>0</v>
          </cell>
          <cell r="J232">
            <v>392</v>
          </cell>
          <cell r="K232">
            <v>0</v>
          </cell>
          <cell r="L232">
            <v>392</v>
          </cell>
          <cell r="M232">
            <v>0</v>
          </cell>
          <cell r="N232">
            <v>392</v>
          </cell>
          <cell r="O232">
            <v>0</v>
          </cell>
          <cell r="P232">
            <v>392</v>
          </cell>
          <cell r="Q232">
            <v>0</v>
          </cell>
          <cell r="R232">
            <v>392</v>
          </cell>
          <cell r="S232">
            <v>0</v>
          </cell>
          <cell r="T232">
            <v>392</v>
          </cell>
          <cell r="U232">
            <v>0</v>
          </cell>
          <cell r="V232">
            <v>392</v>
          </cell>
          <cell r="W232">
            <v>0</v>
          </cell>
          <cell r="X232">
            <v>392</v>
          </cell>
          <cell r="Y232">
            <v>0</v>
          </cell>
          <cell r="Z232">
            <v>392</v>
          </cell>
          <cell r="AA232">
            <v>0</v>
          </cell>
          <cell r="AB232">
            <v>0</v>
          </cell>
          <cell r="AC232">
            <v>0</v>
          </cell>
          <cell r="AD232">
            <v>0.1</v>
          </cell>
          <cell r="AE232">
            <v>0</v>
          </cell>
          <cell r="AF232">
            <v>0</v>
          </cell>
          <cell r="AG232">
            <v>0</v>
          </cell>
          <cell r="AH232">
            <v>0</v>
          </cell>
          <cell r="AI232">
            <v>0</v>
          </cell>
          <cell r="AJ232">
            <v>0</v>
          </cell>
          <cell r="AK232">
            <v>0</v>
          </cell>
          <cell r="AL232">
            <v>0</v>
          </cell>
        </row>
        <row r="233">
          <cell r="E233" t="str">
            <v>C-丸Box4方出19mm</v>
          </cell>
          <cell r="F233" t="str">
            <v>個</v>
          </cell>
          <cell r="G233">
            <v>0</v>
          </cell>
          <cell r="H233">
            <v>453</v>
          </cell>
          <cell r="I233">
            <v>0</v>
          </cell>
          <cell r="J233">
            <v>453</v>
          </cell>
          <cell r="K233">
            <v>0</v>
          </cell>
          <cell r="L233">
            <v>453</v>
          </cell>
          <cell r="M233">
            <v>0</v>
          </cell>
          <cell r="N233">
            <v>453</v>
          </cell>
          <cell r="O233">
            <v>0</v>
          </cell>
          <cell r="P233">
            <v>453</v>
          </cell>
          <cell r="Q233">
            <v>0</v>
          </cell>
          <cell r="R233">
            <v>453</v>
          </cell>
          <cell r="S233">
            <v>0</v>
          </cell>
          <cell r="T233">
            <v>453</v>
          </cell>
          <cell r="U233">
            <v>0</v>
          </cell>
          <cell r="V233">
            <v>453</v>
          </cell>
          <cell r="W233">
            <v>0</v>
          </cell>
          <cell r="X233">
            <v>453</v>
          </cell>
          <cell r="Y233">
            <v>0</v>
          </cell>
          <cell r="Z233">
            <v>453</v>
          </cell>
          <cell r="AA233">
            <v>0</v>
          </cell>
          <cell r="AB233">
            <v>0</v>
          </cell>
          <cell r="AC233">
            <v>0</v>
          </cell>
          <cell r="AD233">
            <v>0.1</v>
          </cell>
          <cell r="AE233">
            <v>0</v>
          </cell>
          <cell r="AF233">
            <v>0</v>
          </cell>
          <cell r="AG233">
            <v>0</v>
          </cell>
          <cell r="AH233">
            <v>0</v>
          </cell>
          <cell r="AI233">
            <v>0</v>
          </cell>
          <cell r="AJ233">
            <v>0</v>
          </cell>
          <cell r="AK233">
            <v>0</v>
          </cell>
          <cell r="AL233">
            <v>0</v>
          </cell>
        </row>
        <row r="234">
          <cell r="E234" t="str">
            <v>C-丸Box1方出25mm</v>
          </cell>
          <cell r="F234" t="str">
            <v>個</v>
          </cell>
          <cell r="G234">
            <v>0</v>
          </cell>
          <cell r="H234">
            <v>404</v>
          </cell>
          <cell r="I234">
            <v>0</v>
          </cell>
          <cell r="J234">
            <v>404</v>
          </cell>
          <cell r="K234">
            <v>0</v>
          </cell>
          <cell r="L234">
            <v>404</v>
          </cell>
          <cell r="M234">
            <v>0</v>
          </cell>
          <cell r="N234">
            <v>404</v>
          </cell>
          <cell r="O234">
            <v>0</v>
          </cell>
          <cell r="P234">
            <v>404</v>
          </cell>
          <cell r="Q234">
            <v>0</v>
          </cell>
          <cell r="R234">
            <v>404</v>
          </cell>
          <cell r="S234">
            <v>0</v>
          </cell>
          <cell r="T234">
            <v>404</v>
          </cell>
          <cell r="U234">
            <v>0</v>
          </cell>
          <cell r="V234">
            <v>404</v>
          </cell>
          <cell r="W234">
            <v>0</v>
          </cell>
          <cell r="X234">
            <v>404</v>
          </cell>
          <cell r="Y234">
            <v>0</v>
          </cell>
          <cell r="Z234">
            <v>404</v>
          </cell>
          <cell r="AA234">
            <v>0</v>
          </cell>
          <cell r="AB234">
            <v>0</v>
          </cell>
          <cell r="AC234">
            <v>0</v>
          </cell>
          <cell r="AD234">
            <v>0.1</v>
          </cell>
          <cell r="AE234">
            <v>0</v>
          </cell>
          <cell r="AF234">
            <v>0</v>
          </cell>
          <cell r="AG234">
            <v>0</v>
          </cell>
          <cell r="AH234">
            <v>0</v>
          </cell>
          <cell r="AI234">
            <v>0</v>
          </cell>
          <cell r="AJ234">
            <v>0</v>
          </cell>
          <cell r="AK234">
            <v>0</v>
          </cell>
          <cell r="AL234">
            <v>0</v>
          </cell>
        </row>
        <row r="235">
          <cell r="E235" t="str">
            <v>C-丸Box2方出25mm</v>
          </cell>
          <cell r="F235" t="str">
            <v>個</v>
          </cell>
          <cell r="G235">
            <v>0</v>
          </cell>
          <cell r="H235">
            <v>453</v>
          </cell>
          <cell r="I235">
            <v>0</v>
          </cell>
          <cell r="J235">
            <v>453</v>
          </cell>
          <cell r="K235">
            <v>0</v>
          </cell>
          <cell r="L235">
            <v>453</v>
          </cell>
          <cell r="M235">
            <v>0</v>
          </cell>
          <cell r="N235">
            <v>453</v>
          </cell>
          <cell r="O235">
            <v>0</v>
          </cell>
          <cell r="P235">
            <v>453</v>
          </cell>
          <cell r="Q235">
            <v>0</v>
          </cell>
          <cell r="R235">
            <v>453</v>
          </cell>
          <cell r="S235">
            <v>0</v>
          </cell>
          <cell r="T235">
            <v>453</v>
          </cell>
          <cell r="U235">
            <v>0</v>
          </cell>
          <cell r="V235">
            <v>453</v>
          </cell>
          <cell r="W235">
            <v>0</v>
          </cell>
          <cell r="X235">
            <v>453</v>
          </cell>
          <cell r="Y235">
            <v>0</v>
          </cell>
          <cell r="Z235">
            <v>453</v>
          </cell>
          <cell r="AA235">
            <v>0</v>
          </cell>
          <cell r="AB235">
            <v>0</v>
          </cell>
          <cell r="AC235">
            <v>0</v>
          </cell>
          <cell r="AD235">
            <v>0.1</v>
          </cell>
          <cell r="AE235">
            <v>0</v>
          </cell>
          <cell r="AF235">
            <v>0</v>
          </cell>
          <cell r="AG235">
            <v>0</v>
          </cell>
          <cell r="AH235">
            <v>0</v>
          </cell>
          <cell r="AI235">
            <v>0</v>
          </cell>
          <cell r="AJ235">
            <v>0</v>
          </cell>
          <cell r="AK235">
            <v>0</v>
          </cell>
          <cell r="AL235">
            <v>0</v>
          </cell>
        </row>
        <row r="236">
          <cell r="E236" t="str">
            <v>C-丸Box3方出25mm</v>
          </cell>
          <cell r="F236" t="str">
            <v>個</v>
          </cell>
          <cell r="G236">
            <v>0</v>
          </cell>
          <cell r="H236">
            <v>494</v>
          </cell>
          <cell r="I236">
            <v>0</v>
          </cell>
          <cell r="J236">
            <v>494</v>
          </cell>
          <cell r="K236">
            <v>0</v>
          </cell>
          <cell r="L236">
            <v>494</v>
          </cell>
          <cell r="M236">
            <v>0</v>
          </cell>
          <cell r="N236">
            <v>494</v>
          </cell>
          <cell r="O236">
            <v>0</v>
          </cell>
          <cell r="P236">
            <v>494</v>
          </cell>
          <cell r="Q236">
            <v>0</v>
          </cell>
          <cell r="R236">
            <v>494</v>
          </cell>
          <cell r="S236">
            <v>0</v>
          </cell>
          <cell r="T236">
            <v>494</v>
          </cell>
          <cell r="U236">
            <v>0</v>
          </cell>
          <cell r="V236">
            <v>494</v>
          </cell>
          <cell r="W236">
            <v>0</v>
          </cell>
          <cell r="X236">
            <v>494</v>
          </cell>
          <cell r="Y236">
            <v>0</v>
          </cell>
          <cell r="Z236">
            <v>494</v>
          </cell>
          <cell r="AA236">
            <v>0</v>
          </cell>
          <cell r="AB236">
            <v>0</v>
          </cell>
          <cell r="AC236">
            <v>0</v>
          </cell>
          <cell r="AD236">
            <v>0.1</v>
          </cell>
          <cell r="AE236">
            <v>0</v>
          </cell>
          <cell r="AF236">
            <v>0</v>
          </cell>
          <cell r="AG236">
            <v>0</v>
          </cell>
          <cell r="AH236">
            <v>0</v>
          </cell>
          <cell r="AI236">
            <v>0</v>
          </cell>
          <cell r="AJ236">
            <v>0</v>
          </cell>
          <cell r="AK236">
            <v>0</v>
          </cell>
          <cell r="AL236">
            <v>0</v>
          </cell>
        </row>
        <row r="237">
          <cell r="E237" t="str">
            <v>C-丸Box4方出25mm</v>
          </cell>
          <cell r="F237" t="str">
            <v>個</v>
          </cell>
          <cell r="G237">
            <v>0</v>
          </cell>
          <cell r="H237">
            <v>573</v>
          </cell>
          <cell r="I237">
            <v>0</v>
          </cell>
          <cell r="J237">
            <v>573</v>
          </cell>
          <cell r="K237">
            <v>0</v>
          </cell>
          <cell r="L237">
            <v>573</v>
          </cell>
          <cell r="M237">
            <v>0</v>
          </cell>
          <cell r="N237">
            <v>573</v>
          </cell>
          <cell r="O237">
            <v>0</v>
          </cell>
          <cell r="P237">
            <v>573</v>
          </cell>
          <cell r="Q237">
            <v>0</v>
          </cell>
          <cell r="R237">
            <v>573</v>
          </cell>
          <cell r="S237">
            <v>0</v>
          </cell>
          <cell r="T237">
            <v>573</v>
          </cell>
          <cell r="U237">
            <v>0</v>
          </cell>
          <cell r="V237">
            <v>573</v>
          </cell>
          <cell r="W237">
            <v>0</v>
          </cell>
          <cell r="X237">
            <v>573</v>
          </cell>
          <cell r="Y237">
            <v>0</v>
          </cell>
          <cell r="Z237">
            <v>573</v>
          </cell>
          <cell r="AA237">
            <v>0</v>
          </cell>
          <cell r="AB237">
            <v>0</v>
          </cell>
          <cell r="AC237">
            <v>0</v>
          </cell>
          <cell r="AD237">
            <v>0.1</v>
          </cell>
          <cell r="AE237">
            <v>0</v>
          </cell>
          <cell r="AF237">
            <v>0</v>
          </cell>
          <cell r="AG237">
            <v>0</v>
          </cell>
          <cell r="AH237">
            <v>0</v>
          </cell>
          <cell r="AI237">
            <v>0</v>
          </cell>
          <cell r="AJ237">
            <v>0</v>
          </cell>
          <cell r="AK237">
            <v>0</v>
          </cell>
          <cell r="AL237">
            <v>0</v>
          </cell>
        </row>
        <row r="238">
          <cell r="E238" t="str">
            <v>C-丸Box1方出31mm</v>
          </cell>
          <cell r="F238" t="str">
            <v>個</v>
          </cell>
          <cell r="G238">
            <v>0</v>
          </cell>
          <cell r="H238">
            <v>568</v>
          </cell>
          <cell r="I238">
            <v>0</v>
          </cell>
          <cell r="J238">
            <v>568</v>
          </cell>
          <cell r="K238">
            <v>0</v>
          </cell>
          <cell r="L238">
            <v>568</v>
          </cell>
          <cell r="M238">
            <v>0</v>
          </cell>
          <cell r="N238">
            <v>568</v>
          </cell>
          <cell r="O238">
            <v>0</v>
          </cell>
          <cell r="P238">
            <v>568</v>
          </cell>
          <cell r="Q238">
            <v>0</v>
          </cell>
          <cell r="R238">
            <v>568</v>
          </cell>
          <cell r="S238">
            <v>0</v>
          </cell>
          <cell r="T238">
            <v>568</v>
          </cell>
          <cell r="U238">
            <v>0</v>
          </cell>
          <cell r="V238">
            <v>568</v>
          </cell>
          <cell r="W238">
            <v>0</v>
          </cell>
          <cell r="X238">
            <v>568</v>
          </cell>
          <cell r="Y238">
            <v>0</v>
          </cell>
          <cell r="Z238">
            <v>568</v>
          </cell>
          <cell r="AA238">
            <v>0</v>
          </cell>
          <cell r="AB238">
            <v>0</v>
          </cell>
          <cell r="AC238">
            <v>0</v>
          </cell>
          <cell r="AD238">
            <v>0.1</v>
          </cell>
          <cell r="AE238">
            <v>0</v>
          </cell>
          <cell r="AF238">
            <v>0</v>
          </cell>
          <cell r="AG238">
            <v>0</v>
          </cell>
          <cell r="AH238">
            <v>0</v>
          </cell>
          <cell r="AI238">
            <v>0</v>
          </cell>
          <cell r="AJ238">
            <v>0</v>
          </cell>
          <cell r="AK238">
            <v>0</v>
          </cell>
          <cell r="AL238">
            <v>0</v>
          </cell>
        </row>
        <row r="239">
          <cell r="E239" t="str">
            <v>C-丸Box2方出31mm</v>
          </cell>
          <cell r="F239" t="str">
            <v>個</v>
          </cell>
          <cell r="G239">
            <v>0</v>
          </cell>
          <cell r="H239">
            <v>661</v>
          </cell>
          <cell r="I239">
            <v>0</v>
          </cell>
          <cell r="J239">
            <v>661</v>
          </cell>
          <cell r="K239">
            <v>0</v>
          </cell>
          <cell r="L239">
            <v>661</v>
          </cell>
          <cell r="M239">
            <v>0</v>
          </cell>
          <cell r="N239">
            <v>661</v>
          </cell>
          <cell r="O239">
            <v>0</v>
          </cell>
          <cell r="P239">
            <v>661</v>
          </cell>
          <cell r="Q239">
            <v>0</v>
          </cell>
          <cell r="R239">
            <v>661</v>
          </cell>
          <cell r="S239">
            <v>0</v>
          </cell>
          <cell r="T239">
            <v>661</v>
          </cell>
          <cell r="U239">
            <v>0</v>
          </cell>
          <cell r="V239">
            <v>661</v>
          </cell>
          <cell r="W239">
            <v>0</v>
          </cell>
          <cell r="X239">
            <v>661</v>
          </cell>
          <cell r="Y239">
            <v>0</v>
          </cell>
          <cell r="Z239">
            <v>661</v>
          </cell>
          <cell r="AA239">
            <v>0</v>
          </cell>
          <cell r="AB239">
            <v>0</v>
          </cell>
          <cell r="AC239">
            <v>0</v>
          </cell>
          <cell r="AD239">
            <v>0.1</v>
          </cell>
          <cell r="AE239">
            <v>0</v>
          </cell>
          <cell r="AF239">
            <v>0</v>
          </cell>
          <cell r="AG239">
            <v>0</v>
          </cell>
          <cell r="AH239">
            <v>0</v>
          </cell>
          <cell r="AI239">
            <v>0</v>
          </cell>
          <cell r="AJ239">
            <v>0</v>
          </cell>
          <cell r="AK239">
            <v>0</v>
          </cell>
          <cell r="AL239">
            <v>0</v>
          </cell>
        </row>
        <row r="240">
          <cell r="E240" t="str">
            <v>C-丸Box3方出31mm</v>
          </cell>
          <cell r="F240" t="str">
            <v>個</v>
          </cell>
          <cell r="G240">
            <v>0</v>
          </cell>
          <cell r="H240">
            <v>720</v>
          </cell>
          <cell r="I240">
            <v>0</v>
          </cell>
          <cell r="J240">
            <v>720</v>
          </cell>
          <cell r="K240">
            <v>0</v>
          </cell>
          <cell r="L240">
            <v>720</v>
          </cell>
          <cell r="M240">
            <v>0</v>
          </cell>
          <cell r="N240">
            <v>720</v>
          </cell>
          <cell r="O240">
            <v>0</v>
          </cell>
          <cell r="P240">
            <v>720</v>
          </cell>
          <cell r="Q240">
            <v>0</v>
          </cell>
          <cell r="R240">
            <v>720</v>
          </cell>
          <cell r="S240">
            <v>0</v>
          </cell>
          <cell r="T240">
            <v>720</v>
          </cell>
          <cell r="U240">
            <v>0</v>
          </cell>
          <cell r="V240">
            <v>720</v>
          </cell>
          <cell r="W240">
            <v>0</v>
          </cell>
          <cell r="X240">
            <v>720</v>
          </cell>
          <cell r="Y240">
            <v>0</v>
          </cell>
          <cell r="Z240">
            <v>720</v>
          </cell>
          <cell r="AA240">
            <v>0</v>
          </cell>
          <cell r="AB240">
            <v>0</v>
          </cell>
          <cell r="AC240">
            <v>0</v>
          </cell>
          <cell r="AD240">
            <v>0.1</v>
          </cell>
          <cell r="AE240">
            <v>0</v>
          </cell>
          <cell r="AF240">
            <v>0</v>
          </cell>
          <cell r="AG240">
            <v>0</v>
          </cell>
          <cell r="AH240">
            <v>0</v>
          </cell>
          <cell r="AI240">
            <v>0</v>
          </cell>
          <cell r="AJ240">
            <v>0</v>
          </cell>
          <cell r="AK240">
            <v>0</v>
          </cell>
          <cell r="AL240">
            <v>0</v>
          </cell>
        </row>
        <row r="241">
          <cell r="E241" t="str">
            <v>C-丸Box4方出31mm</v>
          </cell>
          <cell r="F241" t="str">
            <v>個</v>
          </cell>
          <cell r="G241">
            <v>0</v>
          </cell>
          <cell r="H241">
            <v>818</v>
          </cell>
          <cell r="I241">
            <v>0</v>
          </cell>
          <cell r="J241">
            <v>818</v>
          </cell>
          <cell r="K241">
            <v>0</v>
          </cell>
          <cell r="L241">
            <v>818</v>
          </cell>
          <cell r="M241">
            <v>0</v>
          </cell>
          <cell r="N241">
            <v>818</v>
          </cell>
          <cell r="O241">
            <v>0</v>
          </cell>
          <cell r="P241">
            <v>818</v>
          </cell>
          <cell r="Q241">
            <v>0</v>
          </cell>
          <cell r="R241">
            <v>818</v>
          </cell>
          <cell r="S241">
            <v>0</v>
          </cell>
          <cell r="T241">
            <v>818</v>
          </cell>
          <cell r="U241">
            <v>0</v>
          </cell>
          <cell r="V241">
            <v>818</v>
          </cell>
          <cell r="W241">
            <v>0</v>
          </cell>
          <cell r="X241">
            <v>818</v>
          </cell>
          <cell r="Y241">
            <v>0</v>
          </cell>
          <cell r="Z241">
            <v>818</v>
          </cell>
          <cell r="AA241">
            <v>0</v>
          </cell>
          <cell r="AB241">
            <v>0</v>
          </cell>
          <cell r="AC241">
            <v>0</v>
          </cell>
          <cell r="AD241">
            <v>0.1</v>
          </cell>
          <cell r="AE241">
            <v>0</v>
          </cell>
          <cell r="AF241">
            <v>0</v>
          </cell>
          <cell r="AG241">
            <v>0</v>
          </cell>
          <cell r="AH241">
            <v>0</v>
          </cell>
          <cell r="AI241">
            <v>0</v>
          </cell>
          <cell r="AJ241">
            <v>0</v>
          </cell>
          <cell r="AK241">
            <v>0</v>
          </cell>
          <cell r="AL241">
            <v>0</v>
          </cell>
        </row>
        <row r="242">
          <cell r="E242" t="str">
            <v>C-丸Box1方出39mm</v>
          </cell>
          <cell r="F242" t="str">
            <v>個</v>
          </cell>
          <cell r="G242">
            <v>0</v>
          </cell>
          <cell r="H242">
            <v>1080</v>
          </cell>
          <cell r="I242">
            <v>0</v>
          </cell>
          <cell r="J242">
            <v>1080</v>
          </cell>
          <cell r="K242">
            <v>0</v>
          </cell>
          <cell r="L242">
            <v>1080</v>
          </cell>
          <cell r="M242">
            <v>0</v>
          </cell>
          <cell r="N242">
            <v>1080</v>
          </cell>
          <cell r="O242">
            <v>0</v>
          </cell>
          <cell r="P242">
            <v>1080</v>
          </cell>
          <cell r="Q242">
            <v>0</v>
          </cell>
          <cell r="R242">
            <v>1080</v>
          </cell>
          <cell r="S242">
            <v>0</v>
          </cell>
          <cell r="T242">
            <v>1080</v>
          </cell>
          <cell r="U242">
            <v>0</v>
          </cell>
          <cell r="V242">
            <v>1080</v>
          </cell>
          <cell r="W242">
            <v>0</v>
          </cell>
          <cell r="X242">
            <v>1080</v>
          </cell>
          <cell r="Y242">
            <v>0</v>
          </cell>
          <cell r="Z242">
            <v>1080</v>
          </cell>
          <cell r="AA242">
            <v>0</v>
          </cell>
          <cell r="AB242">
            <v>0</v>
          </cell>
          <cell r="AC242">
            <v>0</v>
          </cell>
          <cell r="AD242">
            <v>0.1</v>
          </cell>
          <cell r="AE242">
            <v>0</v>
          </cell>
          <cell r="AF242">
            <v>0</v>
          </cell>
          <cell r="AG242">
            <v>0</v>
          </cell>
          <cell r="AH242">
            <v>0</v>
          </cell>
          <cell r="AI242">
            <v>0</v>
          </cell>
          <cell r="AJ242">
            <v>0</v>
          </cell>
          <cell r="AK242">
            <v>0</v>
          </cell>
          <cell r="AL242">
            <v>0</v>
          </cell>
        </row>
        <row r="243">
          <cell r="E243" t="str">
            <v>C-丸Box2方出39mm</v>
          </cell>
          <cell r="F243" t="str">
            <v>個</v>
          </cell>
          <cell r="G243">
            <v>0</v>
          </cell>
          <cell r="H243">
            <v>1180</v>
          </cell>
          <cell r="I243">
            <v>0</v>
          </cell>
          <cell r="J243">
            <v>1180</v>
          </cell>
          <cell r="K243">
            <v>0</v>
          </cell>
          <cell r="L243">
            <v>1180</v>
          </cell>
          <cell r="M243">
            <v>0</v>
          </cell>
          <cell r="N243">
            <v>1180</v>
          </cell>
          <cell r="O243">
            <v>0</v>
          </cell>
          <cell r="P243">
            <v>1180</v>
          </cell>
          <cell r="Q243">
            <v>0</v>
          </cell>
          <cell r="R243">
            <v>1180</v>
          </cell>
          <cell r="S243">
            <v>0</v>
          </cell>
          <cell r="T243">
            <v>1180</v>
          </cell>
          <cell r="U243">
            <v>0</v>
          </cell>
          <cell r="V243">
            <v>1180</v>
          </cell>
          <cell r="W243">
            <v>0</v>
          </cell>
          <cell r="X243">
            <v>1180</v>
          </cell>
          <cell r="Y243">
            <v>0</v>
          </cell>
          <cell r="Z243">
            <v>1180</v>
          </cell>
          <cell r="AA243">
            <v>0</v>
          </cell>
          <cell r="AB243">
            <v>0</v>
          </cell>
          <cell r="AC243">
            <v>0</v>
          </cell>
          <cell r="AD243">
            <v>0.1</v>
          </cell>
          <cell r="AE243">
            <v>0</v>
          </cell>
          <cell r="AF243">
            <v>0</v>
          </cell>
          <cell r="AG243">
            <v>0</v>
          </cell>
          <cell r="AH243">
            <v>0</v>
          </cell>
          <cell r="AI243">
            <v>0</v>
          </cell>
          <cell r="AJ243">
            <v>0</v>
          </cell>
          <cell r="AK243">
            <v>0</v>
          </cell>
          <cell r="AL243">
            <v>0</v>
          </cell>
        </row>
        <row r="244">
          <cell r="E244" t="str">
            <v>C-丸Box3方出39mm</v>
          </cell>
          <cell r="F244" t="str">
            <v>個</v>
          </cell>
          <cell r="G244">
            <v>0</v>
          </cell>
          <cell r="H244">
            <v>1260</v>
          </cell>
          <cell r="I244">
            <v>0</v>
          </cell>
          <cell r="J244">
            <v>1260</v>
          </cell>
          <cell r="K244">
            <v>0</v>
          </cell>
          <cell r="L244">
            <v>1260</v>
          </cell>
          <cell r="M244">
            <v>0</v>
          </cell>
          <cell r="N244">
            <v>1260</v>
          </cell>
          <cell r="O244">
            <v>0</v>
          </cell>
          <cell r="P244">
            <v>1260</v>
          </cell>
          <cell r="Q244">
            <v>0</v>
          </cell>
          <cell r="R244">
            <v>1260</v>
          </cell>
          <cell r="S244">
            <v>0</v>
          </cell>
          <cell r="T244">
            <v>1260</v>
          </cell>
          <cell r="U244">
            <v>0</v>
          </cell>
          <cell r="V244">
            <v>1260</v>
          </cell>
          <cell r="W244">
            <v>0</v>
          </cell>
          <cell r="X244">
            <v>1260</v>
          </cell>
          <cell r="Y244">
            <v>0</v>
          </cell>
          <cell r="Z244">
            <v>1260</v>
          </cell>
          <cell r="AA244">
            <v>0</v>
          </cell>
          <cell r="AB244">
            <v>0</v>
          </cell>
          <cell r="AC244">
            <v>0</v>
          </cell>
          <cell r="AD244">
            <v>0.1</v>
          </cell>
          <cell r="AE244">
            <v>0</v>
          </cell>
          <cell r="AF244">
            <v>0</v>
          </cell>
          <cell r="AG244">
            <v>0</v>
          </cell>
          <cell r="AH244">
            <v>0</v>
          </cell>
          <cell r="AI244">
            <v>0</v>
          </cell>
          <cell r="AJ244">
            <v>0</v>
          </cell>
          <cell r="AK244">
            <v>0</v>
          </cell>
          <cell r="AL244">
            <v>0</v>
          </cell>
        </row>
        <row r="245">
          <cell r="E245" t="str">
            <v>C-丸Box4方出39mm</v>
          </cell>
          <cell r="F245" t="str">
            <v>個</v>
          </cell>
          <cell r="G245">
            <v>0</v>
          </cell>
          <cell r="H245">
            <v>1450</v>
          </cell>
          <cell r="I245">
            <v>0</v>
          </cell>
          <cell r="J245">
            <v>1450</v>
          </cell>
          <cell r="K245">
            <v>0</v>
          </cell>
          <cell r="L245">
            <v>1450</v>
          </cell>
          <cell r="M245">
            <v>0</v>
          </cell>
          <cell r="N245">
            <v>1450</v>
          </cell>
          <cell r="O245">
            <v>0</v>
          </cell>
          <cell r="P245">
            <v>1450</v>
          </cell>
          <cell r="Q245">
            <v>0</v>
          </cell>
          <cell r="R245">
            <v>1450</v>
          </cell>
          <cell r="S245">
            <v>0</v>
          </cell>
          <cell r="T245">
            <v>1450</v>
          </cell>
          <cell r="U245">
            <v>0</v>
          </cell>
          <cell r="V245">
            <v>1450</v>
          </cell>
          <cell r="W245">
            <v>0</v>
          </cell>
          <cell r="X245">
            <v>1450</v>
          </cell>
          <cell r="Y245">
            <v>0</v>
          </cell>
          <cell r="Z245">
            <v>1450</v>
          </cell>
          <cell r="AA245">
            <v>0</v>
          </cell>
          <cell r="AB245">
            <v>0</v>
          </cell>
          <cell r="AC245">
            <v>0</v>
          </cell>
          <cell r="AD245">
            <v>0.1</v>
          </cell>
          <cell r="AE245">
            <v>0</v>
          </cell>
          <cell r="AF245">
            <v>0</v>
          </cell>
          <cell r="AG245">
            <v>0</v>
          </cell>
          <cell r="AH245">
            <v>0</v>
          </cell>
          <cell r="AI245">
            <v>0</v>
          </cell>
          <cell r="AJ245">
            <v>0</v>
          </cell>
          <cell r="AK245">
            <v>0</v>
          </cell>
          <cell r="AL245">
            <v>0</v>
          </cell>
        </row>
        <row r="246">
          <cell r="E246" t="str">
            <v>C-SWBox1-1方出19mm</v>
          </cell>
          <cell r="F246" t="str">
            <v>個</v>
          </cell>
          <cell r="G246">
            <v>0</v>
          </cell>
          <cell r="H246">
            <v>441</v>
          </cell>
          <cell r="I246">
            <v>0</v>
          </cell>
          <cell r="J246">
            <v>441</v>
          </cell>
          <cell r="K246">
            <v>0</v>
          </cell>
          <cell r="L246">
            <v>441</v>
          </cell>
          <cell r="M246">
            <v>0</v>
          </cell>
          <cell r="N246">
            <v>441</v>
          </cell>
          <cell r="O246">
            <v>0</v>
          </cell>
          <cell r="P246">
            <v>441</v>
          </cell>
          <cell r="Q246">
            <v>0</v>
          </cell>
          <cell r="R246">
            <v>441</v>
          </cell>
          <cell r="S246">
            <v>0</v>
          </cell>
          <cell r="T246">
            <v>441</v>
          </cell>
          <cell r="U246">
            <v>0</v>
          </cell>
          <cell r="V246">
            <v>441</v>
          </cell>
          <cell r="W246">
            <v>0</v>
          </cell>
          <cell r="X246">
            <v>441</v>
          </cell>
          <cell r="Y246">
            <v>0</v>
          </cell>
          <cell r="Z246">
            <v>441</v>
          </cell>
          <cell r="AA246">
            <v>0</v>
          </cell>
          <cell r="AB246">
            <v>0</v>
          </cell>
          <cell r="AC246">
            <v>0</v>
          </cell>
          <cell r="AD246">
            <v>0.1</v>
          </cell>
          <cell r="AE246">
            <v>0</v>
          </cell>
          <cell r="AF246">
            <v>0</v>
          </cell>
          <cell r="AG246">
            <v>0</v>
          </cell>
          <cell r="AH246">
            <v>0</v>
          </cell>
          <cell r="AI246">
            <v>0</v>
          </cell>
          <cell r="AJ246">
            <v>0</v>
          </cell>
          <cell r="AK246">
            <v>0</v>
          </cell>
          <cell r="AL246">
            <v>0</v>
          </cell>
        </row>
        <row r="247">
          <cell r="E247" t="str">
            <v>C-SWBox1-2方出19mm</v>
          </cell>
          <cell r="F247" t="str">
            <v>個</v>
          </cell>
          <cell r="G247">
            <v>0</v>
          </cell>
          <cell r="H247">
            <v>477</v>
          </cell>
          <cell r="I247">
            <v>0</v>
          </cell>
          <cell r="J247">
            <v>477</v>
          </cell>
          <cell r="K247">
            <v>0</v>
          </cell>
          <cell r="L247">
            <v>477</v>
          </cell>
          <cell r="M247">
            <v>0</v>
          </cell>
          <cell r="N247">
            <v>477</v>
          </cell>
          <cell r="O247">
            <v>0</v>
          </cell>
          <cell r="P247">
            <v>477</v>
          </cell>
          <cell r="Q247">
            <v>0</v>
          </cell>
          <cell r="R247">
            <v>477</v>
          </cell>
          <cell r="S247">
            <v>0</v>
          </cell>
          <cell r="T247">
            <v>477</v>
          </cell>
          <cell r="U247">
            <v>0</v>
          </cell>
          <cell r="V247">
            <v>477</v>
          </cell>
          <cell r="W247">
            <v>0</v>
          </cell>
          <cell r="X247">
            <v>477</v>
          </cell>
          <cell r="Y247">
            <v>0</v>
          </cell>
          <cell r="Z247">
            <v>477</v>
          </cell>
          <cell r="AA247">
            <v>0</v>
          </cell>
          <cell r="AB247">
            <v>0</v>
          </cell>
          <cell r="AC247">
            <v>0</v>
          </cell>
          <cell r="AD247">
            <v>0.1</v>
          </cell>
          <cell r="AE247">
            <v>0</v>
          </cell>
          <cell r="AF247">
            <v>0</v>
          </cell>
          <cell r="AG247">
            <v>0</v>
          </cell>
          <cell r="AH247">
            <v>0</v>
          </cell>
          <cell r="AI247">
            <v>0</v>
          </cell>
          <cell r="AJ247">
            <v>0</v>
          </cell>
          <cell r="AK247">
            <v>0</v>
          </cell>
          <cell r="AL247">
            <v>0</v>
          </cell>
        </row>
        <row r="248">
          <cell r="E248" t="str">
            <v>C-SWBox2-1方出19mm</v>
          </cell>
          <cell r="F248" t="str">
            <v>個</v>
          </cell>
          <cell r="G248">
            <v>0</v>
          </cell>
          <cell r="H248">
            <v>816</v>
          </cell>
          <cell r="I248">
            <v>0</v>
          </cell>
          <cell r="J248">
            <v>816</v>
          </cell>
          <cell r="K248">
            <v>0</v>
          </cell>
          <cell r="L248">
            <v>816</v>
          </cell>
          <cell r="M248">
            <v>0</v>
          </cell>
          <cell r="N248">
            <v>816</v>
          </cell>
          <cell r="O248">
            <v>0</v>
          </cell>
          <cell r="P248">
            <v>816</v>
          </cell>
          <cell r="Q248">
            <v>0</v>
          </cell>
          <cell r="R248">
            <v>816</v>
          </cell>
          <cell r="S248">
            <v>0</v>
          </cell>
          <cell r="T248">
            <v>816</v>
          </cell>
          <cell r="U248">
            <v>0</v>
          </cell>
          <cell r="V248">
            <v>816</v>
          </cell>
          <cell r="W248">
            <v>0</v>
          </cell>
          <cell r="X248">
            <v>816</v>
          </cell>
          <cell r="Y248">
            <v>0</v>
          </cell>
          <cell r="Z248">
            <v>816</v>
          </cell>
          <cell r="AA248">
            <v>0</v>
          </cell>
          <cell r="AB248">
            <v>0</v>
          </cell>
          <cell r="AC248">
            <v>0</v>
          </cell>
          <cell r="AD248">
            <v>0.1</v>
          </cell>
          <cell r="AE248">
            <v>0</v>
          </cell>
          <cell r="AF248">
            <v>0</v>
          </cell>
          <cell r="AG248">
            <v>0</v>
          </cell>
          <cell r="AH248">
            <v>0</v>
          </cell>
          <cell r="AI248">
            <v>0</v>
          </cell>
          <cell r="AJ248">
            <v>0</v>
          </cell>
          <cell r="AK248">
            <v>0</v>
          </cell>
          <cell r="AL248">
            <v>0</v>
          </cell>
        </row>
        <row r="249">
          <cell r="E249" t="str">
            <v>C-SWBox3-1方出19mm</v>
          </cell>
          <cell r="F249" t="str">
            <v>個</v>
          </cell>
          <cell r="G249">
            <v>0</v>
          </cell>
          <cell r="H249">
            <v>1410</v>
          </cell>
          <cell r="I249">
            <v>0</v>
          </cell>
          <cell r="J249">
            <v>1410</v>
          </cell>
          <cell r="K249">
            <v>0</v>
          </cell>
          <cell r="L249">
            <v>1410</v>
          </cell>
          <cell r="M249">
            <v>0</v>
          </cell>
          <cell r="N249">
            <v>1410</v>
          </cell>
          <cell r="O249">
            <v>0</v>
          </cell>
          <cell r="P249">
            <v>1410</v>
          </cell>
          <cell r="Q249">
            <v>0</v>
          </cell>
          <cell r="R249">
            <v>1410</v>
          </cell>
          <cell r="S249">
            <v>0</v>
          </cell>
          <cell r="T249">
            <v>1410</v>
          </cell>
          <cell r="U249">
            <v>0</v>
          </cell>
          <cell r="V249">
            <v>1410</v>
          </cell>
          <cell r="W249">
            <v>0</v>
          </cell>
          <cell r="X249">
            <v>1410</v>
          </cell>
          <cell r="Y249">
            <v>0</v>
          </cell>
          <cell r="Z249">
            <v>1410</v>
          </cell>
          <cell r="AA249">
            <v>0</v>
          </cell>
          <cell r="AB249">
            <v>0</v>
          </cell>
          <cell r="AC249">
            <v>0</v>
          </cell>
          <cell r="AD249">
            <v>0.1</v>
          </cell>
          <cell r="AE249">
            <v>0</v>
          </cell>
          <cell r="AF249">
            <v>0</v>
          </cell>
          <cell r="AG249">
            <v>0</v>
          </cell>
          <cell r="AH249">
            <v>0</v>
          </cell>
          <cell r="AI249">
            <v>0</v>
          </cell>
          <cell r="AJ249">
            <v>0</v>
          </cell>
          <cell r="AK249">
            <v>0</v>
          </cell>
          <cell r="AL249">
            <v>0</v>
          </cell>
        </row>
        <row r="250">
          <cell r="E250" t="str">
            <v>C-SWBox1-1方出25mm</v>
          </cell>
          <cell r="F250" t="str">
            <v>個</v>
          </cell>
          <cell r="G250">
            <v>0</v>
          </cell>
          <cell r="H250">
            <v>555</v>
          </cell>
          <cell r="I250">
            <v>0</v>
          </cell>
          <cell r="J250">
            <v>555</v>
          </cell>
          <cell r="K250">
            <v>0</v>
          </cell>
          <cell r="L250">
            <v>555</v>
          </cell>
          <cell r="M250">
            <v>0</v>
          </cell>
          <cell r="N250">
            <v>555</v>
          </cell>
          <cell r="O250">
            <v>0</v>
          </cell>
          <cell r="P250">
            <v>555</v>
          </cell>
          <cell r="Q250">
            <v>0</v>
          </cell>
          <cell r="R250">
            <v>555</v>
          </cell>
          <cell r="S250">
            <v>0</v>
          </cell>
          <cell r="T250">
            <v>555</v>
          </cell>
          <cell r="U250">
            <v>0</v>
          </cell>
          <cell r="V250">
            <v>555</v>
          </cell>
          <cell r="W250">
            <v>0</v>
          </cell>
          <cell r="X250">
            <v>555</v>
          </cell>
          <cell r="Y250">
            <v>0</v>
          </cell>
          <cell r="Z250">
            <v>555</v>
          </cell>
          <cell r="AA250">
            <v>0</v>
          </cell>
          <cell r="AB250">
            <v>0</v>
          </cell>
          <cell r="AC250">
            <v>0</v>
          </cell>
          <cell r="AD250">
            <v>0.1</v>
          </cell>
          <cell r="AE250">
            <v>0</v>
          </cell>
          <cell r="AF250">
            <v>0</v>
          </cell>
          <cell r="AG250">
            <v>0</v>
          </cell>
          <cell r="AH250">
            <v>0</v>
          </cell>
          <cell r="AI250">
            <v>0</v>
          </cell>
          <cell r="AJ250">
            <v>0</v>
          </cell>
          <cell r="AK250">
            <v>0</v>
          </cell>
          <cell r="AL250">
            <v>0</v>
          </cell>
        </row>
        <row r="251">
          <cell r="E251" t="str">
            <v>C-SWBox1-2方出25mm</v>
          </cell>
          <cell r="F251" t="str">
            <v>個</v>
          </cell>
          <cell r="G251">
            <v>0</v>
          </cell>
          <cell r="H251">
            <v>684</v>
          </cell>
          <cell r="I251">
            <v>0</v>
          </cell>
          <cell r="J251">
            <v>684</v>
          </cell>
          <cell r="K251">
            <v>0</v>
          </cell>
          <cell r="L251">
            <v>684</v>
          </cell>
          <cell r="M251">
            <v>0</v>
          </cell>
          <cell r="N251">
            <v>684</v>
          </cell>
          <cell r="O251">
            <v>0</v>
          </cell>
          <cell r="P251">
            <v>684</v>
          </cell>
          <cell r="Q251">
            <v>0</v>
          </cell>
          <cell r="R251">
            <v>684</v>
          </cell>
          <cell r="S251">
            <v>0</v>
          </cell>
          <cell r="T251">
            <v>684</v>
          </cell>
          <cell r="U251">
            <v>0</v>
          </cell>
          <cell r="V251">
            <v>684</v>
          </cell>
          <cell r="W251">
            <v>0</v>
          </cell>
          <cell r="X251">
            <v>684</v>
          </cell>
          <cell r="Y251">
            <v>0</v>
          </cell>
          <cell r="Z251">
            <v>684</v>
          </cell>
          <cell r="AA251">
            <v>0</v>
          </cell>
          <cell r="AB251">
            <v>0</v>
          </cell>
          <cell r="AC251">
            <v>0</v>
          </cell>
          <cell r="AD251">
            <v>0.1</v>
          </cell>
          <cell r="AE251">
            <v>0</v>
          </cell>
          <cell r="AF251">
            <v>0</v>
          </cell>
          <cell r="AG251">
            <v>0</v>
          </cell>
          <cell r="AH251">
            <v>0</v>
          </cell>
          <cell r="AI251">
            <v>0</v>
          </cell>
          <cell r="AJ251">
            <v>0</v>
          </cell>
          <cell r="AK251">
            <v>0</v>
          </cell>
          <cell r="AL251">
            <v>0</v>
          </cell>
        </row>
        <row r="252">
          <cell r="E252" t="str">
            <v>C-SWBox2-1方出25mm</v>
          </cell>
          <cell r="F252" t="str">
            <v>個</v>
          </cell>
          <cell r="G252">
            <v>0</v>
          </cell>
          <cell r="H252">
            <v>1020</v>
          </cell>
          <cell r="I252">
            <v>0</v>
          </cell>
          <cell r="J252">
            <v>1020</v>
          </cell>
          <cell r="K252">
            <v>0</v>
          </cell>
          <cell r="L252">
            <v>1020</v>
          </cell>
          <cell r="M252">
            <v>0</v>
          </cell>
          <cell r="N252">
            <v>1020</v>
          </cell>
          <cell r="O252">
            <v>0</v>
          </cell>
          <cell r="P252">
            <v>1020</v>
          </cell>
          <cell r="Q252">
            <v>0</v>
          </cell>
          <cell r="R252">
            <v>1020</v>
          </cell>
          <cell r="S252">
            <v>0</v>
          </cell>
          <cell r="T252">
            <v>1020</v>
          </cell>
          <cell r="U252">
            <v>0</v>
          </cell>
          <cell r="V252">
            <v>1020</v>
          </cell>
          <cell r="W252">
            <v>0</v>
          </cell>
          <cell r="X252">
            <v>1020</v>
          </cell>
          <cell r="Y252">
            <v>0</v>
          </cell>
          <cell r="Z252">
            <v>1020</v>
          </cell>
          <cell r="AA252">
            <v>0</v>
          </cell>
          <cell r="AB252">
            <v>0</v>
          </cell>
          <cell r="AC252">
            <v>0</v>
          </cell>
          <cell r="AD252">
            <v>0.1</v>
          </cell>
          <cell r="AE252">
            <v>0</v>
          </cell>
          <cell r="AF252">
            <v>0</v>
          </cell>
          <cell r="AG252">
            <v>0</v>
          </cell>
          <cell r="AH252">
            <v>0</v>
          </cell>
          <cell r="AI252">
            <v>0</v>
          </cell>
          <cell r="AJ252">
            <v>0</v>
          </cell>
          <cell r="AK252">
            <v>0</v>
          </cell>
          <cell r="AL252">
            <v>0</v>
          </cell>
        </row>
        <row r="253">
          <cell r="E253" t="str">
            <v>C-SWBox3-1方出25mm</v>
          </cell>
          <cell r="F253" t="str">
            <v>個</v>
          </cell>
          <cell r="G253">
            <v>0</v>
          </cell>
          <cell r="H253">
            <v>1610</v>
          </cell>
          <cell r="I253">
            <v>0</v>
          </cell>
          <cell r="J253">
            <v>1610</v>
          </cell>
          <cell r="K253">
            <v>0</v>
          </cell>
          <cell r="L253">
            <v>1610</v>
          </cell>
          <cell r="M253">
            <v>0</v>
          </cell>
          <cell r="N253">
            <v>1610</v>
          </cell>
          <cell r="O253">
            <v>0</v>
          </cell>
          <cell r="P253">
            <v>1610</v>
          </cell>
          <cell r="Q253">
            <v>0</v>
          </cell>
          <cell r="R253">
            <v>1610</v>
          </cell>
          <cell r="S253">
            <v>0</v>
          </cell>
          <cell r="T253">
            <v>1610</v>
          </cell>
          <cell r="U253">
            <v>0</v>
          </cell>
          <cell r="V253">
            <v>1610</v>
          </cell>
          <cell r="W253">
            <v>0</v>
          </cell>
          <cell r="X253">
            <v>1610</v>
          </cell>
          <cell r="Y253">
            <v>0</v>
          </cell>
          <cell r="Z253">
            <v>1610</v>
          </cell>
          <cell r="AA253">
            <v>0</v>
          </cell>
          <cell r="AB253">
            <v>0</v>
          </cell>
          <cell r="AC253">
            <v>0</v>
          </cell>
          <cell r="AD253">
            <v>0.1</v>
          </cell>
          <cell r="AE253">
            <v>0</v>
          </cell>
          <cell r="AF253">
            <v>0</v>
          </cell>
          <cell r="AG253">
            <v>0</v>
          </cell>
          <cell r="AH253">
            <v>0</v>
          </cell>
          <cell r="AI253">
            <v>0</v>
          </cell>
          <cell r="AJ253">
            <v>0</v>
          </cell>
          <cell r="AK253">
            <v>0</v>
          </cell>
          <cell r="AL253">
            <v>0</v>
          </cell>
        </row>
        <row r="254">
          <cell r="E254" t="str">
            <v>C-SWBox1-1方出31mm</v>
          </cell>
          <cell r="F254" t="str">
            <v>個</v>
          </cell>
          <cell r="G254">
            <v>0</v>
          </cell>
          <cell r="H254">
            <v>792</v>
          </cell>
          <cell r="I254">
            <v>0</v>
          </cell>
          <cell r="J254">
            <v>792</v>
          </cell>
          <cell r="K254">
            <v>0</v>
          </cell>
          <cell r="L254">
            <v>792</v>
          </cell>
          <cell r="M254">
            <v>0</v>
          </cell>
          <cell r="N254">
            <v>792</v>
          </cell>
          <cell r="O254">
            <v>0</v>
          </cell>
          <cell r="P254">
            <v>792</v>
          </cell>
          <cell r="Q254">
            <v>0</v>
          </cell>
          <cell r="R254">
            <v>792</v>
          </cell>
          <cell r="S254">
            <v>0</v>
          </cell>
          <cell r="T254">
            <v>792</v>
          </cell>
          <cell r="U254">
            <v>0</v>
          </cell>
          <cell r="V254">
            <v>792</v>
          </cell>
          <cell r="W254">
            <v>0</v>
          </cell>
          <cell r="X254">
            <v>792</v>
          </cell>
          <cell r="Y254">
            <v>0</v>
          </cell>
          <cell r="Z254">
            <v>792</v>
          </cell>
          <cell r="AA254">
            <v>0</v>
          </cell>
          <cell r="AB254">
            <v>0</v>
          </cell>
          <cell r="AC254">
            <v>0</v>
          </cell>
          <cell r="AD254">
            <v>0.1</v>
          </cell>
          <cell r="AE254">
            <v>0</v>
          </cell>
          <cell r="AF254">
            <v>0</v>
          </cell>
          <cell r="AG254">
            <v>0</v>
          </cell>
          <cell r="AH254">
            <v>0</v>
          </cell>
          <cell r="AI254">
            <v>0</v>
          </cell>
          <cell r="AJ254">
            <v>0</v>
          </cell>
          <cell r="AK254">
            <v>0</v>
          </cell>
          <cell r="AL254">
            <v>0</v>
          </cell>
        </row>
        <row r="255">
          <cell r="E255" t="str">
            <v>C-SWBox1-2方出31mm</v>
          </cell>
          <cell r="F255" t="str">
            <v>個</v>
          </cell>
          <cell r="G255">
            <v>0</v>
          </cell>
          <cell r="H255">
            <v>990</v>
          </cell>
          <cell r="I255">
            <v>0</v>
          </cell>
          <cell r="J255">
            <v>990</v>
          </cell>
          <cell r="K255">
            <v>0</v>
          </cell>
          <cell r="L255">
            <v>990</v>
          </cell>
          <cell r="M255">
            <v>0</v>
          </cell>
          <cell r="N255">
            <v>990</v>
          </cell>
          <cell r="O255">
            <v>0</v>
          </cell>
          <cell r="P255">
            <v>990</v>
          </cell>
          <cell r="Q255">
            <v>0</v>
          </cell>
          <cell r="R255">
            <v>990</v>
          </cell>
          <cell r="S255">
            <v>0</v>
          </cell>
          <cell r="T255">
            <v>990</v>
          </cell>
          <cell r="U255">
            <v>0</v>
          </cell>
          <cell r="V255">
            <v>990</v>
          </cell>
          <cell r="W255">
            <v>0</v>
          </cell>
          <cell r="X255">
            <v>990</v>
          </cell>
          <cell r="Y255">
            <v>0</v>
          </cell>
          <cell r="Z255">
            <v>990</v>
          </cell>
          <cell r="AA255">
            <v>0</v>
          </cell>
          <cell r="AB255">
            <v>0</v>
          </cell>
          <cell r="AC255">
            <v>0</v>
          </cell>
          <cell r="AD255">
            <v>0.1</v>
          </cell>
          <cell r="AE255">
            <v>0</v>
          </cell>
          <cell r="AF255">
            <v>0</v>
          </cell>
          <cell r="AG255">
            <v>0</v>
          </cell>
          <cell r="AH255">
            <v>0</v>
          </cell>
          <cell r="AI255">
            <v>0</v>
          </cell>
          <cell r="AJ255">
            <v>0</v>
          </cell>
          <cell r="AK255">
            <v>0</v>
          </cell>
          <cell r="AL255">
            <v>0</v>
          </cell>
        </row>
        <row r="256">
          <cell r="E256" t="str">
            <v>C-SWBox2-1方出31mm</v>
          </cell>
          <cell r="F256" t="str">
            <v>個</v>
          </cell>
          <cell r="G256">
            <v>0</v>
          </cell>
          <cell r="H256">
            <v>1680</v>
          </cell>
          <cell r="I256">
            <v>0</v>
          </cell>
          <cell r="J256">
            <v>1680</v>
          </cell>
          <cell r="K256">
            <v>0</v>
          </cell>
          <cell r="L256">
            <v>1680</v>
          </cell>
          <cell r="M256">
            <v>0</v>
          </cell>
          <cell r="N256">
            <v>1680</v>
          </cell>
          <cell r="O256">
            <v>0</v>
          </cell>
          <cell r="P256">
            <v>1680</v>
          </cell>
          <cell r="Q256">
            <v>0</v>
          </cell>
          <cell r="R256">
            <v>1680</v>
          </cell>
          <cell r="S256">
            <v>0</v>
          </cell>
          <cell r="T256">
            <v>1680</v>
          </cell>
          <cell r="U256">
            <v>0</v>
          </cell>
          <cell r="V256">
            <v>1680</v>
          </cell>
          <cell r="W256">
            <v>0</v>
          </cell>
          <cell r="X256">
            <v>1680</v>
          </cell>
          <cell r="Y256">
            <v>0</v>
          </cell>
          <cell r="Z256">
            <v>1680</v>
          </cell>
          <cell r="AA256">
            <v>0</v>
          </cell>
          <cell r="AB256">
            <v>0</v>
          </cell>
          <cell r="AC256">
            <v>0</v>
          </cell>
          <cell r="AD256">
            <v>0.1</v>
          </cell>
          <cell r="AE256">
            <v>0</v>
          </cell>
          <cell r="AF256">
            <v>0</v>
          </cell>
          <cell r="AG256">
            <v>0</v>
          </cell>
          <cell r="AH256">
            <v>0</v>
          </cell>
          <cell r="AI256">
            <v>0</v>
          </cell>
          <cell r="AJ256">
            <v>0</v>
          </cell>
          <cell r="AK256">
            <v>0</v>
          </cell>
          <cell r="AL256">
            <v>0</v>
          </cell>
        </row>
        <row r="257">
          <cell r="E257" t="str">
            <v>C-SWBox3-1方出31mm</v>
          </cell>
          <cell r="F257" t="str">
            <v>個</v>
          </cell>
          <cell r="G257">
            <v>0</v>
          </cell>
          <cell r="H257">
            <v>1810</v>
          </cell>
          <cell r="I257">
            <v>0</v>
          </cell>
          <cell r="J257">
            <v>1810</v>
          </cell>
          <cell r="K257">
            <v>0</v>
          </cell>
          <cell r="L257">
            <v>1810</v>
          </cell>
          <cell r="M257">
            <v>0</v>
          </cell>
          <cell r="N257">
            <v>1810</v>
          </cell>
          <cell r="O257">
            <v>0</v>
          </cell>
          <cell r="P257">
            <v>1810</v>
          </cell>
          <cell r="Q257">
            <v>0</v>
          </cell>
          <cell r="R257">
            <v>1810</v>
          </cell>
          <cell r="S257">
            <v>0</v>
          </cell>
          <cell r="T257">
            <v>1810</v>
          </cell>
          <cell r="U257">
            <v>0</v>
          </cell>
          <cell r="V257">
            <v>1810</v>
          </cell>
          <cell r="W257">
            <v>0</v>
          </cell>
          <cell r="X257">
            <v>1810</v>
          </cell>
          <cell r="Y257">
            <v>0</v>
          </cell>
          <cell r="Z257">
            <v>1810</v>
          </cell>
          <cell r="AA257">
            <v>0</v>
          </cell>
          <cell r="AB257">
            <v>0</v>
          </cell>
          <cell r="AC257">
            <v>0</v>
          </cell>
          <cell r="AD257">
            <v>0.1</v>
          </cell>
          <cell r="AE257">
            <v>0</v>
          </cell>
          <cell r="AF257">
            <v>0</v>
          </cell>
          <cell r="AG257">
            <v>0</v>
          </cell>
          <cell r="AH257">
            <v>0</v>
          </cell>
          <cell r="AI257">
            <v>0</v>
          </cell>
          <cell r="AJ257">
            <v>0</v>
          </cell>
          <cell r="AK257">
            <v>0</v>
          </cell>
          <cell r="AL257">
            <v>0</v>
          </cell>
        </row>
        <row r="258">
          <cell r="E258" t="str">
            <v>E-丸Box1方出19mm</v>
          </cell>
          <cell r="F258" t="str">
            <v>個</v>
          </cell>
          <cell r="G258">
            <v>0</v>
          </cell>
          <cell r="H258">
            <v>393</v>
          </cell>
          <cell r="I258">
            <v>0</v>
          </cell>
          <cell r="J258">
            <v>393</v>
          </cell>
          <cell r="K258">
            <v>0</v>
          </cell>
          <cell r="L258">
            <v>393</v>
          </cell>
          <cell r="M258">
            <v>0</v>
          </cell>
          <cell r="N258">
            <v>393</v>
          </cell>
          <cell r="O258">
            <v>0</v>
          </cell>
          <cell r="P258">
            <v>393</v>
          </cell>
          <cell r="Q258">
            <v>0</v>
          </cell>
          <cell r="R258">
            <v>393</v>
          </cell>
          <cell r="S258">
            <v>0</v>
          </cell>
          <cell r="T258">
            <v>393</v>
          </cell>
          <cell r="U258">
            <v>0</v>
          </cell>
          <cell r="V258">
            <v>393</v>
          </cell>
          <cell r="W258">
            <v>0</v>
          </cell>
          <cell r="X258">
            <v>393</v>
          </cell>
          <cell r="Y258">
            <v>0</v>
          </cell>
          <cell r="Z258">
            <v>393</v>
          </cell>
          <cell r="AA258">
            <v>0</v>
          </cell>
          <cell r="AB258">
            <v>0</v>
          </cell>
          <cell r="AC258">
            <v>0</v>
          </cell>
          <cell r="AD258">
            <v>0.1</v>
          </cell>
          <cell r="AE258">
            <v>0</v>
          </cell>
          <cell r="AF258">
            <v>0</v>
          </cell>
          <cell r="AG258">
            <v>0</v>
          </cell>
          <cell r="AH258">
            <v>0</v>
          </cell>
          <cell r="AI258">
            <v>0</v>
          </cell>
          <cell r="AJ258">
            <v>0</v>
          </cell>
          <cell r="AK258">
            <v>0</v>
          </cell>
          <cell r="AL258">
            <v>0</v>
          </cell>
        </row>
        <row r="259">
          <cell r="E259" t="str">
            <v>E-丸Box2方出19mm</v>
          </cell>
          <cell r="F259" t="str">
            <v>個</v>
          </cell>
          <cell r="G259">
            <v>0</v>
          </cell>
          <cell r="H259">
            <v>441</v>
          </cell>
          <cell r="I259">
            <v>0</v>
          </cell>
          <cell r="J259">
            <v>441</v>
          </cell>
          <cell r="K259">
            <v>0</v>
          </cell>
          <cell r="L259">
            <v>441</v>
          </cell>
          <cell r="M259">
            <v>0</v>
          </cell>
          <cell r="N259">
            <v>441</v>
          </cell>
          <cell r="O259">
            <v>0</v>
          </cell>
          <cell r="P259">
            <v>441</v>
          </cell>
          <cell r="Q259">
            <v>0</v>
          </cell>
          <cell r="R259">
            <v>441</v>
          </cell>
          <cell r="S259">
            <v>0</v>
          </cell>
          <cell r="T259">
            <v>441</v>
          </cell>
          <cell r="U259">
            <v>0</v>
          </cell>
          <cell r="V259">
            <v>441</v>
          </cell>
          <cell r="W259">
            <v>0</v>
          </cell>
          <cell r="X259">
            <v>441</v>
          </cell>
          <cell r="Y259">
            <v>0</v>
          </cell>
          <cell r="Z259">
            <v>441</v>
          </cell>
          <cell r="AA259">
            <v>0</v>
          </cell>
          <cell r="AB259">
            <v>0</v>
          </cell>
          <cell r="AC259">
            <v>0</v>
          </cell>
          <cell r="AD259">
            <v>0.1</v>
          </cell>
          <cell r="AE259">
            <v>0</v>
          </cell>
          <cell r="AF259">
            <v>0</v>
          </cell>
          <cell r="AG259">
            <v>0</v>
          </cell>
          <cell r="AH259">
            <v>0</v>
          </cell>
          <cell r="AI259">
            <v>0</v>
          </cell>
          <cell r="AJ259">
            <v>0</v>
          </cell>
          <cell r="AK259">
            <v>0</v>
          </cell>
          <cell r="AL259">
            <v>0</v>
          </cell>
        </row>
        <row r="260">
          <cell r="E260" t="str">
            <v>E-丸Box3方出19mm</v>
          </cell>
          <cell r="F260" t="str">
            <v>個</v>
          </cell>
          <cell r="G260">
            <v>0</v>
          </cell>
          <cell r="H260">
            <v>462</v>
          </cell>
          <cell r="I260">
            <v>0</v>
          </cell>
          <cell r="J260">
            <v>462</v>
          </cell>
          <cell r="K260">
            <v>0</v>
          </cell>
          <cell r="L260">
            <v>462</v>
          </cell>
          <cell r="M260">
            <v>0</v>
          </cell>
          <cell r="N260">
            <v>462</v>
          </cell>
          <cell r="O260">
            <v>0</v>
          </cell>
          <cell r="P260">
            <v>462</v>
          </cell>
          <cell r="Q260">
            <v>0</v>
          </cell>
          <cell r="R260">
            <v>462</v>
          </cell>
          <cell r="S260">
            <v>0</v>
          </cell>
          <cell r="T260">
            <v>462</v>
          </cell>
          <cell r="U260">
            <v>0</v>
          </cell>
          <cell r="V260">
            <v>462</v>
          </cell>
          <cell r="W260">
            <v>0</v>
          </cell>
          <cell r="X260">
            <v>462</v>
          </cell>
          <cell r="Y260">
            <v>0</v>
          </cell>
          <cell r="Z260">
            <v>462</v>
          </cell>
          <cell r="AA260">
            <v>0</v>
          </cell>
          <cell r="AB260">
            <v>0</v>
          </cell>
          <cell r="AC260">
            <v>0</v>
          </cell>
          <cell r="AD260">
            <v>0.1</v>
          </cell>
          <cell r="AE260">
            <v>0</v>
          </cell>
          <cell r="AF260">
            <v>0</v>
          </cell>
          <cell r="AG260">
            <v>0</v>
          </cell>
          <cell r="AH260">
            <v>0</v>
          </cell>
          <cell r="AI260">
            <v>0</v>
          </cell>
          <cell r="AJ260">
            <v>0</v>
          </cell>
          <cell r="AK260">
            <v>0</v>
          </cell>
          <cell r="AL260">
            <v>0</v>
          </cell>
        </row>
        <row r="261">
          <cell r="E261" t="str">
            <v>E-丸Box4方出19mm</v>
          </cell>
          <cell r="F261" t="str">
            <v>個</v>
          </cell>
          <cell r="G261">
            <v>0</v>
          </cell>
          <cell r="H261">
            <v>555</v>
          </cell>
          <cell r="I261">
            <v>0</v>
          </cell>
          <cell r="J261">
            <v>555</v>
          </cell>
          <cell r="K261">
            <v>0</v>
          </cell>
          <cell r="L261">
            <v>555</v>
          </cell>
          <cell r="M261">
            <v>0</v>
          </cell>
          <cell r="N261">
            <v>555</v>
          </cell>
          <cell r="O261">
            <v>0</v>
          </cell>
          <cell r="P261">
            <v>555</v>
          </cell>
          <cell r="Q261">
            <v>0</v>
          </cell>
          <cell r="R261">
            <v>555</v>
          </cell>
          <cell r="S261">
            <v>0</v>
          </cell>
          <cell r="T261">
            <v>555</v>
          </cell>
          <cell r="U261">
            <v>0</v>
          </cell>
          <cell r="V261">
            <v>555</v>
          </cell>
          <cell r="W261">
            <v>0</v>
          </cell>
          <cell r="X261">
            <v>555</v>
          </cell>
          <cell r="Y261">
            <v>0</v>
          </cell>
          <cell r="Z261">
            <v>555</v>
          </cell>
          <cell r="AA261">
            <v>0</v>
          </cell>
          <cell r="AB261">
            <v>0</v>
          </cell>
          <cell r="AC261">
            <v>0</v>
          </cell>
          <cell r="AD261">
            <v>0.1</v>
          </cell>
          <cell r="AE261">
            <v>0</v>
          </cell>
          <cell r="AF261">
            <v>0</v>
          </cell>
          <cell r="AG261">
            <v>0</v>
          </cell>
          <cell r="AH261">
            <v>0</v>
          </cell>
          <cell r="AI261">
            <v>0</v>
          </cell>
          <cell r="AJ261">
            <v>0</v>
          </cell>
          <cell r="AK261">
            <v>0</v>
          </cell>
          <cell r="AL261">
            <v>0</v>
          </cell>
        </row>
        <row r="262">
          <cell r="E262" t="str">
            <v>E-丸Box1方出25mm</v>
          </cell>
          <cell r="F262" t="str">
            <v>個</v>
          </cell>
          <cell r="G262">
            <v>0</v>
          </cell>
          <cell r="H262">
            <v>492</v>
          </cell>
          <cell r="I262">
            <v>0</v>
          </cell>
          <cell r="J262">
            <v>492</v>
          </cell>
          <cell r="K262">
            <v>0</v>
          </cell>
          <cell r="L262">
            <v>492</v>
          </cell>
          <cell r="M262">
            <v>0</v>
          </cell>
          <cell r="N262">
            <v>492</v>
          </cell>
          <cell r="O262">
            <v>0</v>
          </cell>
          <cell r="P262">
            <v>492</v>
          </cell>
          <cell r="Q262">
            <v>0</v>
          </cell>
          <cell r="R262">
            <v>492</v>
          </cell>
          <cell r="S262">
            <v>0</v>
          </cell>
          <cell r="T262">
            <v>492</v>
          </cell>
          <cell r="U262">
            <v>0</v>
          </cell>
          <cell r="V262">
            <v>492</v>
          </cell>
          <cell r="W262">
            <v>0</v>
          </cell>
          <cell r="X262">
            <v>492</v>
          </cell>
          <cell r="Y262">
            <v>0</v>
          </cell>
          <cell r="Z262">
            <v>492</v>
          </cell>
          <cell r="AA262">
            <v>0</v>
          </cell>
          <cell r="AB262">
            <v>0</v>
          </cell>
          <cell r="AC262">
            <v>0</v>
          </cell>
          <cell r="AD262">
            <v>0.1</v>
          </cell>
          <cell r="AE262">
            <v>0</v>
          </cell>
          <cell r="AF262">
            <v>0</v>
          </cell>
          <cell r="AG262">
            <v>0</v>
          </cell>
          <cell r="AH262">
            <v>0</v>
          </cell>
          <cell r="AI262">
            <v>0</v>
          </cell>
          <cell r="AJ262">
            <v>0</v>
          </cell>
          <cell r="AK262">
            <v>0</v>
          </cell>
          <cell r="AL262">
            <v>0</v>
          </cell>
        </row>
        <row r="263">
          <cell r="E263" t="str">
            <v>E-丸Box2方出25mm</v>
          </cell>
          <cell r="F263" t="str">
            <v>個</v>
          </cell>
          <cell r="G263">
            <v>0</v>
          </cell>
          <cell r="H263">
            <v>555</v>
          </cell>
          <cell r="I263">
            <v>0</v>
          </cell>
          <cell r="J263">
            <v>555</v>
          </cell>
          <cell r="K263">
            <v>0</v>
          </cell>
          <cell r="L263">
            <v>555</v>
          </cell>
          <cell r="M263">
            <v>0</v>
          </cell>
          <cell r="N263">
            <v>555</v>
          </cell>
          <cell r="O263">
            <v>0</v>
          </cell>
          <cell r="P263">
            <v>555</v>
          </cell>
          <cell r="Q263">
            <v>0</v>
          </cell>
          <cell r="R263">
            <v>555</v>
          </cell>
          <cell r="S263">
            <v>0</v>
          </cell>
          <cell r="T263">
            <v>555</v>
          </cell>
          <cell r="U263">
            <v>0</v>
          </cell>
          <cell r="V263">
            <v>555</v>
          </cell>
          <cell r="W263">
            <v>0</v>
          </cell>
          <cell r="X263">
            <v>555</v>
          </cell>
          <cell r="Y263">
            <v>0</v>
          </cell>
          <cell r="Z263">
            <v>555</v>
          </cell>
          <cell r="AA263">
            <v>0</v>
          </cell>
          <cell r="AB263">
            <v>0</v>
          </cell>
          <cell r="AC263">
            <v>0</v>
          </cell>
          <cell r="AD263">
            <v>0.1</v>
          </cell>
          <cell r="AE263">
            <v>0</v>
          </cell>
          <cell r="AF263">
            <v>0</v>
          </cell>
          <cell r="AG263">
            <v>0</v>
          </cell>
          <cell r="AH263">
            <v>0</v>
          </cell>
          <cell r="AI263">
            <v>0</v>
          </cell>
          <cell r="AJ263">
            <v>0</v>
          </cell>
          <cell r="AK263">
            <v>0</v>
          </cell>
          <cell r="AL263">
            <v>0</v>
          </cell>
        </row>
        <row r="264">
          <cell r="E264" t="str">
            <v>E-丸Box3方出25mm</v>
          </cell>
          <cell r="F264" t="str">
            <v>個</v>
          </cell>
          <cell r="G264">
            <v>0</v>
          </cell>
          <cell r="H264">
            <v>600</v>
          </cell>
          <cell r="I264">
            <v>0</v>
          </cell>
          <cell r="J264">
            <v>600</v>
          </cell>
          <cell r="K264">
            <v>0</v>
          </cell>
          <cell r="L264">
            <v>600</v>
          </cell>
          <cell r="M264">
            <v>0</v>
          </cell>
          <cell r="N264">
            <v>600</v>
          </cell>
          <cell r="O264">
            <v>0</v>
          </cell>
          <cell r="P264">
            <v>600</v>
          </cell>
          <cell r="Q264">
            <v>0</v>
          </cell>
          <cell r="R264">
            <v>600</v>
          </cell>
          <cell r="S264">
            <v>0</v>
          </cell>
          <cell r="T264">
            <v>600</v>
          </cell>
          <cell r="U264">
            <v>0</v>
          </cell>
          <cell r="V264">
            <v>600</v>
          </cell>
          <cell r="W264">
            <v>0</v>
          </cell>
          <cell r="X264">
            <v>600</v>
          </cell>
          <cell r="Y264">
            <v>0</v>
          </cell>
          <cell r="Z264">
            <v>600</v>
          </cell>
          <cell r="AA264">
            <v>0</v>
          </cell>
          <cell r="AB264">
            <v>0</v>
          </cell>
          <cell r="AC264">
            <v>0</v>
          </cell>
          <cell r="AD264">
            <v>0.1</v>
          </cell>
          <cell r="AE264">
            <v>0</v>
          </cell>
          <cell r="AF264">
            <v>0</v>
          </cell>
          <cell r="AG264">
            <v>0</v>
          </cell>
          <cell r="AH264">
            <v>0</v>
          </cell>
          <cell r="AI264">
            <v>0</v>
          </cell>
          <cell r="AJ264">
            <v>0</v>
          </cell>
          <cell r="AK264">
            <v>0</v>
          </cell>
          <cell r="AL264">
            <v>0</v>
          </cell>
        </row>
        <row r="265">
          <cell r="E265" t="str">
            <v>E-丸Box4方出25mm</v>
          </cell>
          <cell r="F265" t="str">
            <v>個</v>
          </cell>
          <cell r="G265">
            <v>0</v>
          </cell>
          <cell r="H265">
            <v>690</v>
          </cell>
          <cell r="I265">
            <v>0</v>
          </cell>
          <cell r="J265">
            <v>690</v>
          </cell>
          <cell r="K265">
            <v>0</v>
          </cell>
          <cell r="L265">
            <v>690</v>
          </cell>
          <cell r="M265">
            <v>0</v>
          </cell>
          <cell r="N265">
            <v>690</v>
          </cell>
          <cell r="O265">
            <v>0</v>
          </cell>
          <cell r="P265">
            <v>690</v>
          </cell>
          <cell r="Q265">
            <v>0</v>
          </cell>
          <cell r="R265">
            <v>690</v>
          </cell>
          <cell r="S265">
            <v>0</v>
          </cell>
          <cell r="T265">
            <v>690</v>
          </cell>
          <cell r="U265">
            <v>0</v>
          </cell>
          <cell r="V265">
            <v>690</v>
          </cell>
          <cell r="W265">
            <v>0</v>
          </cell>
          <cell r="X265">
            <v>690</v>
          </cell>
          <cell r="Y265">
            <v>0</v>
          </cell>
          <cell r="Z265">
            <v>690</v>
          </cell>
          <cell r="AA265">
            <v>0</v>
          </cell>
          <cell r="AB265">
            <v>0</v>
          </cell>
          <cell r="AC265">
            <v>0</v>
          </cell>
          <cell r="AD265">
            <v>0.1</v>
          </cell>
          <cell r="AE265">
            <v>0</v>
          </cell>
          <cell r="AF265">
            <v>0</v>
          </cell>
          <cell r="AG265">
            <v>0</v>
          </cell>
          <cell r="AH265">
            <v>0</v>
          </cell>
          <cell r="AI265">
            <v>0</v>
          </cell>
          <cell r="AJ265">
            <v>0</v>
          </cell>
          <cell r="AK265">
            <v>0</v>
          </cell>
          <cell r="AL265">
            <v>0</v>
          </cell>
        </row>
        <row r="266">
          <cell r="E266" t="str">
            <v>E-丸Box1方出31mm</v>
          </cell>
          <cell r="F266" t="str">
            <v>個</v>
          </cell>
          <cell r="G266">
            <v>0</v>
          </cell>
          <cell r="H266">
            <v>690</v>
          </cell>
          <cell r="I266">
            <v>0</v>
          </cell>
          <cell r="J266">
            <v>690</v>
          </cell>
          <cell r="K266">
            <v>0</v>
          </cell>
          <cell r="L266">
            <v>690</v>
          </cell>
          <cell r="M266">
            <v>0</v>
          </cell>
          <cell r="N266">
            <v>690</v>
          </cell>
          <cell r="O266">
            <v>0</v>
          </cell>
          <cell r="P266">
            <v>690</v>
          </cell>
          <cell r="Q266">
            <v>0</v>
          </cell>
          <cell r="R266">
            <v>690</v>
          </cell>
          <cell r="S266">
            <v>0</v>
          </cell>
          <cell r="T266">
            <v>690</v>
          </cell>
          <cell r="U266">
            <v>0</v>
          </cell>
          <cell r="V266">
            <v>690</v>
          </cell>
          <cell r="W266">
            <v>0</v>
          </cell>
          <cell r="X266">
            <v>690</v>
          </cell>
          <cell r="Y266">
            <v>0</v>
          </cell>
          <cell r="Z266">
            <v>690</v>
          </cell>
          <cell r="AA266">
            <v>0</v>
          </cell>
          <cell r="AB266">
            <v>0</v>
          </cell>
          <cell r="AC266">
            <v>0</v>
          </cell>
          <cell r="AD266">
            <v>0.1</v>
          </cell>
          <cell r="AE266">
            <v>0</v>
          </cell>
          <cell r="AF266">
            <v>0</v>
          </cell>
          <cell r="AG266">
            <v>0</v>
          </cell>
          <cell r="AH266">
            <v>0</v>
          </cell>
          <cell r="AI266">
            <v>0</v>
          </cell>
          <cell r="AJ266">
            <v>0</v>
          </cell>
          <cell r="AK266">
            <v>0</v>
          </cell>
          <cell r="AL266">
            <v>0</v>
          </cell>
        </row>
        <row r="267">
          <cell r="E267" t="str">
            <v>E-丸Box2方出31mm</v>
          </cell>
          <cell r="F267" t="str">
            <v>個</v>
          </cell>
          <cell r="G267">
            <v>0</v>
          </cell>
          <cell r="H267">
            <v>774</v>
          </cell>
          <cell r="I267">
            <v>0</v>
          </cell>
          <cell r="J267">
            <v>774</v>
          </cell>
          <cell r="K267">
            <v>0</v>
          </cell>
          <cell r="L267">
            <v>774</v>
          </cell>
          <cell r="M267">
            <v>0</v>
          </cell>
          <cell r="N267">
            <v>774</v>
          </cell>
          <cell r="O267">
            <v>0</v>
          </cell>
          <cell r="P267">
            <v>774</v>
          </cell>
          <cell r="Q267">
            <v>0</v>
          </cell>
          <cell r="R267">
            <v>774</v>
          </cell>
          <cell r="S267">
            <v>0</v>
          </cell>
          <cell r="T267">
            <v>774</v>
          </cell>
          <cell r="U267">
            <v>0</v>
          </cell>
          <cell r="V267">
            <v>774</v>
          </cell>
          <cell r="W267">
            <v>0</v>
          </cell>
          <cell r="X267">
            <v>774</v>
          </cell>
          <cell r="Y267">
            <v>0</v>
          </cell>
          <cell r="Z267">
            <v>774</v>
          </cell>
          <cell r="AA267">
            <v>0</v>
          </cell>
          <cell r="AB267">
            <v>0</v>
          </cell>
          <cell r="AC267">
            <v>0</v>
          </cell>
          <cell r="AD267">
            <v>0.1</v>
          </cell>
          <cell r="AE267">
            <v>0</v>
          </cell>
          <cell r="AF267">
            <v>0</v>
          </cell>
          <cell r="AG267">
            <v>0</v>
          </cell>
          <cell r="AH267">
            <v>0</v>
          </cell>
          <cell r="AI267">
            <v>0</v>
          </cell>
          <cell r="AJ267">
            <v>0</v>
          </cell>
          <cell r="AK267">
            <v>0</v>
          </cell>
          <cell r="AL267">
            <v>0</v>
          </cell>
        </row>
        <row r="268">
          <cell r="E268" t="str">
            <v>E-丸Box3方出31mm</v>
          </cell>
          <cell r="F268" t="str">
            <v>個</v>
          </cell>
          <cell r="G268">
            <v>0</v>
          </cell>
          <cell r="H268">
            <v>852</v>
          </cell>
          <cell r="I268">
            <v>0</v>
          </cell>
          <cell r="J268">
            <v>852</v>
          </cell>
          <cell r="K268">
            <v>0</v>
          </cell>
          <cell r="L268">
            <v>852</v>
          </cell>
          <cell r="M268">
            <v>0</v>
          </cell>
          <cell r="N268">
            <v>852</v>
          </cell>
          <cell r="O268">
            <v>0</v>
          </cell>
          <cell r="P268">
            <v>852</v>
          </cell>
          <cell r="Q268">
            <v>0</v>
          </cell>
          <cell r="R268">
            <v>852</v>
          </cell>
          <cell r="S268">
            <v>0</v>
          </cell>
          <cell r="T268">
            <v>852</v>
          </cell>
          <cell r="U268">
            <v>0</v>
          </cell>
          <cell r="V268">
            <v>852</v>
          </cell>
          <cell r="W268">
            <v>0</v>
          </cell>
          <cell r="X268">
            <v>852</v>
          </cell>
          <cell r="Y268">
            <v>0</v>
          </cell>
          <cell r="Z268">
            <v>852</v>
          </cell>
          <cell r="AA268">
            <v>0</v>
          </cell>
          <cell r="AB268">
            <v>0</v>
          </cell>
          <cell r="AC268">
            <v>0</v>
          </cell>
          <cell r="AD268">
            <v>0.1</v>
          </cell>
          <cell r="AE268">
            <v>0</v>
          </cell>
          <cell r="AF268">
            <v>0</v>
          </cell>
          <cell r="AG268">
            <v>0</v>
          </cell>
          <cell r="AH268">
            <v>0</v>
          </cell>
          <cell r="AI268">
            <v>0</v>
          </cell>
          <cell r="AJ268">
            <v>0</v>
          </cell>
          <cell r="AK268">
            <v>0</v>
          </cell>
          <cell r="AL268">
            <v>0</v>
          </cell>
        </row>
        <row r="269">
          <cell r="E269" t="str">
            <v>E-丸Box4方出31mm</v>
          </cell>
          <cell r="F269" t="str">
            <v>個</v>
          </cell>
          <cell r="G269">
            <v>0</v>
          </cell>
          <cell r="H269">
            <v>984</v>
          </cell>
          <cell r="I269">
            <v>0</v>
          </cell>
          <cell r="J269">
            <v>984</v>
          </cell>
          <cell r="K269">
            <v>0</v>
          </cell>
          <cell r="L269">
            <v>984</v>
          </cell>
          <cell r="M269">
            <v>0</v>
          </cell>
          <cell r="N269">
            <v>984</v>
          </cell>
          <cell r="O269">
            <v>0</v>
          </cell>
          <cell r="P269">
            <v>984</v>
          </cell>
          <cell r="Q269">
            <v>0</v>
          </cell>
          <cell r="R269">
            <v>984</v>
          </cell>
          <cell r="S269">
            <v>0</v>
          </cell>
          <cell r="T269">
            <v>984</v>
          </cell>
          <cell r="U269">
            <v>0</v>
          </cell>
          <cell r="V269">
            <v>984</v>
          </cell>
          <cell r="W269">
            <v>0</v>
          </cell>
          <cell r="X269">
            <v>984</v>
          </cell>
          <cell r="Y269">
            <v>0</v>
          </cell>
          <cell r="Z269">
            <v>984</v>
          </cell>
          <cell r="AA269">
            <v>0</v>
          </cell>
          <cell r="AB269">
            <v>0</v>
          </cell>
          <cell r="AC269">
            <v>0</v>
          </cell>
          <cell r="AD269">
            <v>0.1</v>
          </cell>
          <cell r="AE269">
            <v>0</v>
          </cell>
          <cell r="AF269">
            <v>0</v>
          </cell>
          <cell r="AG269">
            <v>0</v>
          </cell>
          <cell r="AH269">
            <v>0</v>
          </cell>
          <cell r="AI269">
            <v>0</v>
          </cell>
          <cell r="AJ269">
            <v>0</v>
          </cell>
          <cell r="AK269">
            <v>0</v>
          </cell>
          <cell r="AL269">
            <v>0</v>
          </cell>
        </row>
        <row r="270">
          <cell r="E270" t="str">
            <v>E-丸Box1方出39mm</v>
          </cell>
          <cell r="F270" t="str">
            <v>個</v>
          </cell>
          <cell r="G270">
            <v>0</v>
          </cell>
          <cell r="H270">
            <v>1050</v>
          </cell>
          <cell r="I270">
            <v>0</v>
          </cell>
          <cell r="J270">
            <v>1050</v>
          </cell>
          <cell r="K270">
            <v>0</v>
          </cell>
          <cell r="L270">
            <v>1050</v>
          </cell>
          <cell r="M270">
            <v>0</v>
          </cell>
          <cell r="N270">
            <v>1050</v>
          </cell>
          <cell r="O270">
            <v>0</v>
          </cell>
          <cell r="P270">
            <v>1050</v>
          </cell>
          <cell r="Q270">
            <v>0</v>
          </cell>
          <cell r="R270">
            <v>1050</v>
          </cell>
          <cell r="S270">
            <v>0</v>
          </cell>
          <cell r="T270">
            <v>1050</v>
          </cell>
          <cell r="U270">
            <v>0</v>
          </cell>
          <cell r="V270">
            <v>1050</v>
          </cell>
          <cell r="W270">
            <v>0</v>
          </cell>
          <cell r="X270">
            <v>1050</v>
          </cell>
          <cell r="Y270">
            <v>0</v>
          </cell>
          <cell r="Z270">
            <v>1050</v>
          </cell>
          <cell r="AA270">
            <v>0</v>
          </cell>
          <cell r="AB270">
            <v>0</v>
          </cell>
          <cell r="AC270">
            <v>0</v>
          </cell>
          <cell r="AD270">
            <v>0.1</v>
          </cell>
          <cell r="AE270">
            <v>0</v>
          </cell>
          <cell r="AF270">
            <v>0</v>
          </cell>
          <cell r="AG270">
            <v>0</v>
          </cell>
          <cell r="AH270">
            <v>0</v>
          </cell>
          <cell r="AI270">
            <v>0</v>
          </cell>
          <cell r="AJ270">
            <v>0</v>
          </cell>
          <cell r="AK270">
            <v>0</v>
          </cell>
          <cell r="AL270">
            <v>0</v>
          </cell>
        </row>
        <row r="271">
          <cell r="E271" t="str">
            <v>E-丸Box2方出39mm</v>
          </cell>
          <cell r="F271" t="str">
            <v>個</v>
          </cell>
          <cell r="G271">
            <v>0</v>
          </cell>
          <cell r="H271">
            <v>1240</v>
          </cell>
          <cell r="I271">
            <v>0</v>
          </cell>
          <cell r="J271">
            <v>1240</v>
          </cell>
          <cell r="K271">
            <v>0</v>
          </cell>
          <cell r="L271">
            <v>1240</v>
          </cell>
          <cell r="M271">
            <v>0</v>
          </cell>
          <cell r="N271">
            <v>1240</v>
          </cell>
          <cell r="O271">
            <v>0</v>
          </cell>
          <cell r="P271">
            <v>1240</v>
          </cell>
          <cell r="Q271">
            <v>0</v>
          </cell>
          <cell r="R271">
            <v>1240</v>
          </cell>
          <cell r="S271">
            <v>0</v>
          </cell>
          <cell r="T271">
            <v>1240</v>
          </cell>
          <cell r="U271">
            <v>0</v>
          </cell>
          <cell r="V271">
            <v>1240</v>
          </cell>
          <cell r="W271">
            <v>0</v>
          </cell>
          <cell r="X271">
            <v>1240</v>
          </cell>
          <cell r="Y271">
            <v>0</v>
          </cell>
          <cell r="Z271">
            <v>1240</v>
          </cell>
          <cell r="AA271">
            <v>0</v>
          </cell>
          <cell r="AB271">
            <v>0</v>
          </cell>
          <cell r="AC271">
            <v>0</v>
          </cell>
          <cell r="AD271">
            <v>0.1</v>
          </cell>
          <cell r="AE271">
            <v>0</v>
          </cell>
          <cell r="AF271">
            <v>0</v>
          </cell>
          <cell r="AG271">
            <v>0</v>
          </cell>
          <cell r="AH271">
            <v>0</v>
          </cell>
          <cell r="AI271">
            <v>0</v>
          </cell>
          <cell r="AJ271">
            <v>0</v>
          </cell>
          <cell r="AK271">
            <v>0</v>
          </cell>
          <cell r="AL271">
            <v>0</v>
          </cell>
        </row>
        <row r="272">
          <cell r="E272" t="str">
            <v>E-丸Box3方出39mm</v>
          </cell>
          <cell r="F272" t="str">
            <v>個</v>
          </cell>
          <cell r="G272">
            <v>0</v>
          </cell>
          <cell r="H272">
            <v>1410</v>
          </cell>
          <cell r="I272">
            <v>0</v>
          </cell>
          <cell r="J272">
            <v>1410</v>
          </cell>
          <cell r="K272">
            <v>0</v>
          </cell>
          <cell r="L272">
            <v>1410</v>
          </cell>
          <cell r="M272">
            <v>0</v>
          </cell>
          <cell r="N272">
            <v>1410</v>
          </cell>
          <cell r="O272">
            <v>0</v>
          </cell>
          <cell r="P272">
            <v>1410</v>
          </cell>
          <cell r="Q272">
            <v>0</v>
          </cell>
          <cell r="R272">
            <v>1410</v>
          </cell>
          <cell r="S272">
            <v>0</v>
          </cell>
          <cell r="T272">
            <v>1410</v>
          </cell>
          <cell r="U272">
            <v>0</v>
          </cell>
          <cell r="V272">
            <v>1410</v>
          </cell>
          <cell r="W272">
            <v>0</v>
          </cell>
          <cell r="X272">
            <v>1410</v>
          </cell>
          <cell r="Y272">
            <v>0</v>
          </cell>
          <cell r="Z272">
            <v>1410</v>
          </cell>
          <cell r="AA272">
            <v>0</v>
          </cell>
          <cell r="AB272">
            <v>0</v>
          </cell>
          <cell r="AC272">
            <v>0</v>
          </cell>
          <cell r="AD272">
            <v>0.1</v>
          </cell>
          <cell r="AE272">
            <v>0</v>
          </cell>
          <cell r="AF272">
            <v>0</v>
          </cell>
          <cell r="AG272">
            <v>0</v>
          </cell>
          <cell r="AH272">
            <v>0</v>
          </cell>
          <cell r="AI272">
            <v>0</v>
          </cell>
          <cell r="AJ272">
            <v>0</v>
          </cell>
          <cell r="AK272">
            <v>0</v>
          </cell>
          <cell r="AL272">
            <v>0</v>
          </cell>
        </row>
        <row r="273">
          <cell r="E273" t="str">
            <v>E-丸Box4方出39mm</v>
          </cell>
          <cell r="F273" t="str">
            <v>個</v>
          </cell>
          <cell r="G273">
            <v>0</v>
          </cell>
          <cell r="H273">
            <v>1580</v>
          </cell>
          <cell r="I273">
            <v>0</v>
          </cell>
          <cell r="J273">
            <v>1580</v>
          </cell>
          <cell r="K273">
            <v>0</v>
          </cell>
          <cell r="L273">
            <v>1580</v>
          </cell>
          <cell r="M273">
            <v>0</v>
          </cell>
          <cell r="N273">
            <v>1580</v>
          </cell>
          <cell r="O273">
            <v>0</v>
          </cell>
          <cell r="P273">
            <v>1580</v>
          </cell>
          <cell r="Q273">
            <v>0</v>
          </cell>
          <cell r="R273">
            <v>1580</v>
          </cell>
          <cell r="S273">
            <v>0</v>
          </cell>
          <cell r="T273">
            <v>1580</v>
          </cell>
          <cell r="U273">
            <v>0</v>
          </cell>
          <cell r="V273">
            <v>1580</v>
          </cell>
          <cell r="W273">
            <v>0</v>
          </cell>
          <cell r="X273">
            <v>1580</v>
          </cell>
          <cell r="Y273">
            <v>0</v>
          </cell>
          <cell r="Z273">
            <v>1580</v>
          </cell>
          <cell r="AA273">
            <v>0</v>
          </cell>
          <cell r="AB273">
            <v>0</v>
          </cell>
          <cell r="AC273">
            <v>0</v>
          </cell>
          <cell r="AD273">
            <v>0.1</v>
          </cell>
          <cell r="AE273">
            <v>0</v>
          </cell>
          <cell r="AF273">
            <v>0</v>
          </cell>
          <cell r="AG273">
            <v>0</v>
          </cell>
          <cell r="AH273">
            <v>0</v>
          </cell>
          <cell r="AI273">
            <v>0</v>
          </cell>
          <cell r="AJ273">
            <v>0</v>
          </cell>
          <cell r="AK273">
            <v>0</v>
          </cell>
          <cell r="AL273">
            <v>0</v>
          </cell>
        </row>
        <row r="274">
          <cell r="E274" t="str">
            <v>E-丸Box1方出51mm</v>
          </cell>
          <cell r="F274" t="str">
            <v>個</v>
          </cell>
          <cell r="G274">
            <v>0</v>
          </cell>
          <cell r="H274">
            <v>1550</v>
          </cell>
          <cell r="I274">
            <v>0</v>
          </cell>
          <cell r="J274">
            <v>1550</v>
          </cell>
          <cell r="K274">
            <v>0</v>
          </cell>
          <cell r="L274">
            <v>1550</v>
          </cell>
          <cell r="M274">
            <v>0</v>
          </cell>
          <cell r="N274">
            <v>1550</v>
          </cell>
          <cell r="O274">
            <v>0</v>
          </cell>
          <cell r="P274">
            <v>1550</v>
          </cell>
          <cell r="Q274">
            <v>0</v>
          </cell>
          <cell r="R274">
            <v>1550</v>
          </cell>
          <cell r="S274">
            <v>0</v>
          </cell>
          <cell r="T274">
            <v>1550</v>
          </cell>
          <cell r="U274">
            <v>0</v>
          </cell>
          <cell r="V274">
            <v>1550</v>
          </cell>
          <cell r="W274">
            <v>0</v>
          </cell>
          <cell r="X274">
            <v>1550</v>
          </cell>
          <cell r="Y274">
            <v>0</v>
          </cell>
          <cell r="Z274">
            <v>1550</v>
          </cell>
          <cell r="AA274">
            <v>0</v>
          </cell>
          <cell r="AB274">
            <v>0</v>
          </cell>
          <cell r="AC274">
            <v>0</v>
          </cell>
          <cell r="AD274">
            <v>0.1</v>
          </cell>
          <cell r="AE274">
            <v>0</v>
          </cell>
          <cell r="AF274">
            <v>0</v>
          </cell>
          <cell r="AG274">
            <v>0</v>
          </cell>
          <cell r="AH274">
            <v>0</v>
          </cell>
          <cell r="AI274">
            <v>0</v>
          </cell>
          <cell r="AJ274">
            <v>0</v>
          </cell>
          <cell r="AK274">
            <v>0</v>
          </cell>
          <cell r="AL274">
            <v>0</v>
          </cell>
        </row>
        <row r="275">
          <cell r="E275" t="str">
            <v>E-丸Box2方出51mm</v>
          </cell>
          <cell r="F275" t="str">
            <v>個</v>
          </cell>
          <cell r="G275">
            <v>0</v>
          </cell>
          <cell r="H275">
            <v>1800</v>
          </cell>
          <cell r="I275">
            <v>0</v>
          </cell>
          <cell r="J275">
            <v>1800</v>
          </cell>
          <cell r="K275">
            <v>0</v>
          </cell>
          <cell r="L275">
            <v>1800</v>
          </cell>
          <cell r="M275">
            <v>0</v>
          </cell>
          <cell r="N275">
            <v>1800</v>
          </cell>
          <cell r="O275">
            <v>0</v>
          </cell>
          <cell r="P275">
            <v>1800</v>
          </cell>
          <cell r="Q275">
            <v>0</v>
          </cell>
          <cell r="R275">
            <v>1800</v>
          </cell>
          <cell r="S275">
            <v>0</v>
          </cell>
          <cell r="T275">
            <v>1800</v>
          </cell>
          <cell r="U275">
            <v>0</v>
          </cell>
          <cell r="V275">
            <v>1800</v>
          </cell>
          <cell r="W275">
            <v>0</v>
          </cell>
          <cell r="X275">
            <v>1800</v>
          </cell>
          <cell r="Y275">
            <v>0</v>
          </cell>
          <cell r="Z275">
            <v>1800</v>
          </cell>
          <cell r="AA275">
            <v>0</v>
          </cell>
          <cell r="AB275">
            <v>0</v>
          </cell>
          <cell r="AC275">
            <v>0</v>
          </cell>
          <cell r="AD275">
            <v>0.1</v>
          </cell>
          <cell r="AE275">
            <v>0</v>
          </cell>
          <cell r="AF275">
            <v>0</v>
          </cell>
          <cell r="AG275">
            <v>0</v>
          </cell>
          <cell r="AH275">
            <v>0</v>
          </cell>
          <cell r="AI275">
            <v>0</v>
          </cell>
          <cell r="AJ275">
            <v>0</v>
          </cell>
          <cell r="AK275">
            <v>0</v>
          </cell>
          <cell r="AL275">
            <v>0</v>
          </cell>
        </row>
        <row r="276">
          <cell r="E276" t="str">
            <v>E-丸Box3方出51mm</v>
          </cell>
          <cell r="F276" t="str">
            <v>個</v>
          </cell>
          <cell r="G276">
            <v>0</v>
          </cell>
          <cell r="H276">
            <v>1890</v>
          </cell>
          <cell r="I276">
            <v>0</v>
          </cell>
          <cell r="J276">
            <v>1890</v>
          </cell>
          <cell r="K276">
            <v>0</v>
          </cell>
          <cell r="L276">
            <v>1890</v>
          </cell>
          <cell r="M276">
            <v>0</v>
          </cell>
          <cell r="N276">
            <v>1890</v>
          </cell>
          <cell r="O276">
            <v>0</v>
          </cell>
          <cell r="P276">
            <v>1890</v>
          </cell>
          <cell r="Q276">
            <v>0</v>
          </cell>
          <cell r="R276">
            <v>1890</v>
          </cell>
          <cell r="S276">
            <v>0</v>
          </cell>
          <cell r="T276">
            <v>1890</v>
          </cell>
          <cell r="U276">
            <v>0</v>
          </cell>
          <cell r="V276">
            <v>1890</v>
          </cell>
          <cell r="W276">
            <v>0</v>
          </cell>
          <cell r="X276">
            <v>1890</v>
          </cell>
          <cell r="Y276">
            <v>0</v>
          </cell>
          <cell r="Z276">
            <v>1890</v>
          </cell>
          <cell r="AA276">
            <v>0</v>
          </cell>
          <cell r="AB276">
            <v>0</v>
          </cell>
          <cell r="AC276">
            <v>0</v>
          </cell>
          <cell r="AD276">
            <v>0.1</v>
          </cell>
          <cell r="AE276">
            <v>0</v>
          </cell>
          <cell r="AF276">
            <v>0</v>
          </cell>
          <cell r="AG276">
            <v>0</v>
          </cell>
          <cell r="AH276">
            <v>0</v>
          </cell>
          <cell r="AI276">
            <v>0</v>
          </cell>
          <cell r="AJ276">
            <v>0</v>
          </cell>
          <cell r="AK276">
            <v>0</v>
          </cell>
          <cell r="AL276">
            <v>0</v>
          </cell>
        </row>
        <row r="277">
          <cell r="E277" t="str">
            <v>E-丸Box4方出51mm</v>
          </cell>
          <cell r="F277" t="str">
            <v>個</v>
          </cell>
          <cell r="G277">
            <v>0</v>
          </cell>
          <cell r="H277">
            <v>2050</v>
          </cell>
          <cell r="I277">
            <v>0</v>
          </cell>
          <cell r="J277">
            <v>2050</v>
          </cell>
          <cell r="K277">
            <v>0</v>
          </cell>
          <cell r="L277">
            <v>2050</v>
          </cell>
          <cell r="M277">
            <v>0</v>
          </cell>
          <cell r="N277">
            <v>2050</v>
          </cell>
          <cell r="O277">
            <v>0</v>
          </cell>
          <cell r="P277">
            <v>2050</v>
          </cell>
          <cell r="Q277">
            <v>0</v>
          </cell>
          <cell r="R277">
            <v>2050</v>
          </cell>
          <cell r="S277">
            <v>0</v>
          </cell>
          <cell r="T277">
            <v>2050</v>
          </cell>
          <cell r="U277">
            <v>0</v>
          </cell>
          <cell r="V277">
            <v>2050</v>
          </cell>
          <cell r="W277">
            <v>0</v>
          </cell>
          <cell r="X277">
            <v>2050</v>
          </cell>
          <cell r="Y277">
            <v>0</v>
          </cell>
          <cell r="Z277">
            <v>2050</v>
          </cell>
          <cell r="AA277">
            <v>0</v>
          </cell>
          <cell r="AB277">
            <v>0</v>
          </cell>
          <cell r="AC277">
            <v>0</v>
          </cell>
          <cell r="AD277">
            <v>0.1</v>
          </cell>
          <cell r="AE277">
            <v>0</v>
          </cell>
          <cell r="AF277">
            <v>0</v>
          </cell>
          <cell r="AG277">
            <v>0</v>
          </cell>
          <cell r="AH277">
            <v>0</v>
          </cell>
          <cell r="AI277">
            <v>0</v>
          </cell>
          <cell r="AJ277">
            <v>0</v>
          </cell>
          <cell r="AK277">
            <v>0</v>
          </cell>
          <cell r="AL277">
            <v>0</v>
          </cell>
        </row>
        <row r="278">
          <cell r="E278" t="str">
            <v>E-SWBox1-1方出19mm</v>
          </cell>
          <cell r="F278" t="str">
            <v>個</v>
          </cell>
          <cell r="G278">
            <v>0</v>
          </cell>
          <cell r="H278">
            <v>441</v>
          </cell>
          <cell r="I278">
            <v>0</v>
          </cell>
          <cell r="J278">
            <v>441</v>
          </cell>
          <cell r="K278">
            <v>0</v>
          </cell>
          <cell r="L278">
            <v>441</v>
          </cell>
          <cell r="M278">
            <v>0</v>
          </cell>
          <cell r="N278">
            <v>441</v>
          </cell>
          <cell r="O278">
            <v>0</v>
          </cell>
          <cell r="P278">
            <v>441</v>
          </cell>
          <cell r="Q278">
            <v>0</v>
          </cell>
          <cell r="R278">
            <v>441</v>
          </cell>
          <cell r="S278">
            <v>0</v>
          </cell>
          <cell r="T278">
            <v>441</v>
          </cell>
          <cell r="U278">
            <v>0</v>
          </cell>
          <cell r="V278">
            <v>441</v>
          </cell>
          <cell r="W278">
            <v>0</v>
          </cell>
          <cell r="X278">
            <v>441</v>
          </cell>
          <cell r="Y278">
            <v>0</v>
          </cell>
          <cell r="Z278">
            <v>441</v>
          </cell>
          <cell r="AA278">
            <v>0</v>
          </cell>
          <cell r="AB278">
            <v>0</v>
          </cell>
          <cell r="AC278">
            <v>0</v>
          </cell>
          <cell r="AD278">
            <v>0.1</v>
          </cell>
          <cell r="AE278">
            <v>0</v>
          </cell>
          <cell r="AF278">
            <v>0</v>
          </cell>
          <cell r="AG278">
            <v>0</v>
          </cell>
          <cell r="AH278">
            <v>0</v>
          </cell>
          <cell r="AI278">
            <v>0</v>
          </cell>
          <cell r="AJ278">
            <v>0</v>
          </cell>
          <cell r="AK278">
            <v>0</v>
          </cell>
          <cell r="AL278">
            <v>0</v>
          </cell>
        </row>
        <row r="279">
          <cell r="E279" t="str">
            <v>E-SWBox1-2方出19mm</v>
          </cell>
          <cell r="F279" t="str">
            <v>個</v>
          </cell>
          <cell r="G279">
            <v>0</v>
          </cell>
          <cell r="H279">
            <v>477</v>
          </cell>
          <cell r="I279">
            <v>0</v>
          </cell>
          <cell r="J279">
            <v>477</v>
          </cell>
          <cell r="K279">
            <v>0</v>
          </cell>
          <cell r="L279">
            <v>477</v>
          </cell>
          <cell r="M279">
            <v>0</v>
          </cell>
          <cell r="N279">
            <v>477</v>
          </cell>
          <cell r="O279">
            <v>0</v>
          </cell>
          <cell r="P279">
            <v>477</v>
          </cell>
          <cell r="Q279">
            <v>0</v>
          </cell>
          <cell r="R279">
            <v>477</v>
          </cell>
          <cell r="S279">
            <v>0</v>
          </cell>
          <cell r="T279">
            <v>477</v>
          </cell>
          <cell r="U279">
            <v>0</v>
          </cell>
          <cell r="V279">
            <v>477</v>
          </cell>
          <cell r="W279">
            <v>0</v>
          </cell>
          <cell r="X279">
            <v>477</v>
          </cell>
          <cell r="Y279">
            <v>0</v>
          </cell>
          <cell r="Z279">
            <v>477</v>
          </cell>
          <cell r="AA279">
            <v>0</v>
          </cell>
          <cell r="AB279">
            <v>0</v>
          </cell>
          <cell r="AC279">
            <v>0</v>
          </cell>
          <cell r="AD279">
            <v>0.1</v>
          </cell>
          <cell r="AE279">
            <v>0</v>
          </cell>
          <cell r="AF279">
            <v>0</v>
          </cell>
          <cell r="AG279">
            <v>0</v>
          </cell>
          <cell r="AH279">
            <v>0</v>
          </cell>
          <cell r="AI279">
            <v>0</v>
          </cell>
          <cell r="AJ279">
            <v>0</v>
          </cell>
          <cell r="AK279">
            <v>0</v>
          </cell>
          <cell r="AL279">
            <v>0</v>
          </cell>
        </row>
        <row r="280">
          <cell r="E280" t="str">
            <v>E-SWBox2-1方出19mm</v>
          </cell>
          <cell r="F280" t="str">
            <v>個</v>
          </cell>
          <cell r="G280">
            <v>0</v>
          </cell>
          <cell r="H280">
            <v>816</v>
          </cell>
          <cell r="I280">
            <v>0</v>
          </cell>
          <cell r="J280">
            <v>816</v>
          </cell>
          <cell r="K280">
            <v>0</v>
          </cell>
          <cell r="L280">
            <v>816</v>
          </cell>
          <cell r="M280">
            <v>0</v>
          </cell>
          <cell r="N280">
            <v>816</v>
          </cell>
          <cell r="O280">
            <v>0</v>
          </cell>
          <cell r="P280">
            <v>816</v>
          </cell>
          <cell r="Q280">
            <v>0</v>
          </cell>
          <cell r="R280">
            <v>816</v>
          </cell>
          <cell r="S280">
            <v>0</v>
          </cell>
          <cell r="T280">
            <v>816</v>
          </cell>
          <cell r="U280">
            <v>0</v>
          </cell>
          <cell r="V280">
            <v>816</v>
          </cell>
          <cell r="W280">
            <v>0</v>
          </cell>
          <cell r="X280">
            <v>816</v>
          </cell>
          <cell r="Y280">
            <v>0</v>
          </cell>
          <cell r="Z280">
            <v>816</v>
          </cell>
          <cell r="AA280">
            <v>0</v>
          </cell>
          <cell r="AB280">
            <v>0</v>
          </cell>
          <cell r="AC280">
            <v>0</v>
          </cell>
          <cell r="AD280">
            <v>0.1</v>
          </cell>
          <cell r="AE280">
            <v>0</v>
          </cell>
          <cell r="AF280">
            <v>0</v>
          </cell>
          <cell r="AG280">
            <v>0</v>
          </cell>
          <cell r="AH280">
            <v>0</v>
          </cell>
          <cell r="AI280">
            <v>0</v>
          </cell>
          <cell r="AJ280">
            <v>0</v>
          </cell>
          <cell r="AK280">
            <v>0</v>
          </cell>
          <cell r="AL280">
            <v>0</v>
          </cell>
        </row>
        <row r="281">
          <cell r="E281" t="str">
            <v>E-SWBox3-1方出19mm</v>
          </cell>
          <cell r="F281" t="str">
            <v>個</v>
          </cell>
          <cell r="G281">
            <v>0</v>
          </cell>
          <cell r="H281">
            <v>1410</v>
          </cell>
          <cell r="I281">
            <v>0</v>
          </cell>
          <cell r="J281">
            <v>1410</v>
          </cell>
          <cell r="K281">
            <v>0</v>
          </cell>
          <cell r="L281">
            <v>1410</v>
          </cell>
          <cell r="M281">
            <v>0</v>
          </cell>
          <cell r="N281">
            <v>1410</v>
          </cell>
          <cell r="O281">
            <v>0</v>
          </cell>
          <cell r="P281">
            <v>1410</v>
          </cell>
          <cell r="Q281">
            <v>0</v>
          </cell>
          <cell r="R281">
            <v>1410</v>
          </cell>
          <cell r="S281">
            <v>0</v>
          </cell>
          <cell r="T281">
            <v>1410</v>
          </cell>
          <cell r="U281">
            <v>0</v>
          </cell>
          <cell r="V281">
            <v>1410</v>
          </cell>
          <cell r="W281">
            <v>0</v>
          </cell>
          <cell r="X281">
            <v>1410</v>
          </cell>
          <cell r="Y281">
            <v>0</v>
          </cell>
          <cell r="Z281">
            <v>1410</v>
          </cell>
          <cell r="AA281">
            <v>0</v>
          </cell>
          <cell r="AB281">
            <v>0</v>
          </cell>
          <cell r="AC281">
            <v>0</v>
          </cell>
          <cell r="AD281">
            <v>0.1</v>
          </cell>
          <cell r="AE281">
            <v>0</v>
          </cell>
          <cell r="AF281">
            <v>0</v>
          </cell>
          <cell r="AG281">
            <v>0</v>
          </cell>
          <cell r="AH281">
            <v>0</v>
          </cell>
          <cell r="AI281">
            <v>0</v>
          </cell>
          <cell r="AJ281">
            <v>0</v>
          </cell>
          <cell r="AK281">
            <v>0</v>
          </cell>
          <cell r="AL281">
            <v>0</v>
          </cell>
        </row>
        <row r="282">
          <cell r="E282" t="str">
            <v>E-SWBox1-1方出25mm</v>
          </cell>
          <cell r="F282" t="str">
            <v>個</v>
          </cell>
          <cell r="G282">
            <v>0</v>
          </cell>
          <cell r="H282">
            <v>555</v>
          </cell>
          <cell r="I282">
            <v>0</v>
          </cell>
          <cell r="J282">
            <v>555</v>
          </cell>
          <cell r="K282">
            <v>0</v>
          </cell>
          <cell r="L282">
            <v>555</v>
          </cell>
          <cell r="M282">
            <v>0</v>
          </cell>
          <cell r="N282">
            <v>555</v>
          </cell>
          <cell r="O282">
            <v>0</v>
          </cell>
          <cell r="P282">
            <v>555</v>
          </cell>
          <cell r="Q282">
            <v>0</v>
          </cell>
          <cell r="R282">
            <v>555</v>
          </cell>
          <cell r="S282">
            <v>0</v>
          </cell>
          <cell r="T282">
            <v>555</v>
          </cell>
          <cell r="U282">
            <v>0</v>
          </cell>
          <cell r="V282">
            <v>555</v>
          </cell>
          <cell r="W282">
            <v>0</v>
          </cell>
          <cell r="X282">
            <v>555</v>
          </cell>
          <cell r="Y282">
            <v>0</v>
          </cell>
          <cell r="Z282">
            <v>555</v>
          </cell>
          <cell r="AA282">
            <v>0</v>
          </cell>
          <cell r="AB282">
            <v>0</v>
          </cell>
          <cell r="AC282">
            <v>0</v>
          </cell>
          <cell r="AD282">
            <v>0.1</v>
          </cell>
          <cell r="AE282">
            <v>0</v>
          </cell>
          <cell r="AF282">
            <v>0</v>
          </cell>
          <cell r="AG282">
            <v>0</v>
          </cell>
          <cell r="AH282">
            <v>0</v>
          </cell>
          <cell r="AI282">
            <v>0</v>
          </cell>
          <cell r="AJ282">
            <v>0</v>
          </cell>
          <cell r="AK282">
            <v>0</v>
          </cell>
          <cell r="AL282">
            <v>0</v>
          </cell>
        </row>
        <row r="283">
          <cell r="E283" t="str">
            <v>E-SWBox1-2方出25mm</v>
          </cell>
          <cell r="F283" t="str">
            <v>個</v>
          </cell>
          <cell r="G283">
            <v>0</v>
          </cell>
          <cell r="H283">
            <v>684</v>
          </cell>
          <cell r="I283">
            <v>0</v>
          </cell>
          <cell r="J283">
            <v>684</v>
          </cell>
          <cell r="K283">
            <v>0</v>
          </cell>
          <cell r="L283">
            <v>684</v>
          </cell>
          <cell r="M283">
            <v>0</v>
          </cell>
          <cell r="N283">
            <v>684</v>
          </cell>
          <cell r="O283">
            <v>0</v>
          </cell>
          <cell r="P283">
            <v>684</v>
          </cell>
          <cell r="Q283">
            <v>0</v>
          </cell>
          <cell r="R283">
            <v>684</v>
          </cell>
          <cell r="S283">
            <v>0</v>
          </cell>
          <cell r="T283">
            <v>684</v>
          </cell>
          <cell r="U283">
            <v>0</v>
          </cell>
          <cell r="V283">
            <v>684</v>
          </cell>
          <cell r="W283">
            <v>0</v>
          </cell>
          <cell r="X283">
            <v>684</v>
          </cell>
          <cell r="Y283">
            <v>0</v>
          </cell>
          <cell r="Z283">
            <v>684</v>
          </cell>
          <cell r="AA283">
            <v>0</v>
          </cell>
          <cell r="AB283">
            <v>0</v>
          </cell>
          <cell r="AC283">
            <v>0</v>
          </cell>
          <cell r="AD283">
            <v>0.1</v>
          </cell>
          <cell r="AE283">
            <v>0</v>
          </cell>
          <cell r="AF283">
            <v>0</v>
          </cell>
          <cell r="AG283">
            <v>0</v>
          </cell>
          <cell r="AH283">
            <v>0</v>
          </cell>
          <cell r="AI283">
            <v>0</v>
          </cell>
          <cell r="AJ283">
            <v>0</v>
          </cell>
          <cell r="AK283">
            <v>0</v>
          </cell>
          <cell r="AL283">
            <v>0</v>
          </cell>
        </row>
        <row r="284">
          <cell r="E284" t="str">
            <v>E-SWBox2-1方出25mm</v>
          </cell>
          <cell r="F284" t="str">
            <v>個</v>
          </cell>
          <cell r="G284">
            <v>0</v>
          </cell>
          <cell r="H284">
            <v>1020</v>
          </cell>
          <cell r="I284">
            <v>0</v>
          </cell>
          <cell r="J284">
            <v>1020</v>
          </cell>
          <cell r="K284">
            <v>0</v>
          </cell>
          <cell r="L284">
            <v>1020</v>
          </cell>
          <cell r="M284">
            <v>0</v>
          </cell>
          <cell r="N284">
            <v>1020</v>
          </cell>
          <cell r="O284">
            <v>0</v>
          </cell>
          <cell r="P284">
            <v>1020</v>
          </cell>
          <cell r="Q284">
            <v>0</v>
          </cell>
          <cell r="R284">
            <v>1020</v>
          </cell>
          <cell r="S284">
            <v>0</v>
          </cell>
          <cell r="T284">
            <v>1020</v>
          </cell>
          <cell r="U284">
            <v>0</v>
          </cell>
          <cell r="V284">
            <v>1020</v>
          </cell>
          <cell r="W284">
            <v>0</v>
          </cell>
          <cell r="X284">
            <v>1020</v>
          </cell>
          <cell r="Y284">
            <v>0</v>
          </cell>
          <cell r="Z284">
            <v>1020</v>
          </cell>
          <cell r="AA284">
            <v>0</v>
          </cell>
          <cell r="AB284">
            <v>0</v>
          </cell>
          <cell r="AC284">
            <v>0</v>
          </cell>
          <cell r="AD284">
            <v>0.1</v>
          </cell>
          <cell r="AE284">
            <v>0</v>
          </cell>
          <cell r="AF284">
            <v>0</v>
          </cell>
          <cell r="AG284">
            <v>0</v>
          </cell>
          <cell r="AH284">
            <v>0</v>
          </cell>
          <cell r="AI284">
            <v>0</v>
          </cell>
          <cell r="AJ284">
            <v>0</v>
          </cell>
          <cell r="AK284">
            <v>0</v>
          </cell>
          <cell r="AL284">
            <v>0</v>
          </cell>
        </row>
        <row r="285">
          <cell r="E285" t="str">
            <v>E-SWBox3-1方出25mm</v>
          </cell>
          <cell r="F285" t="str">
            <v>個</v>
          </cell>
          <cell r="G285">
            <v>0</v>
          </cell>
          <cell r="H285">
            <v>1610</v>
          </cell>
          <cell r="I285">
            <v>0</v>
          </cell>
          <cell r="J285">
            <v>1610</v>
          </cell>
          <cell r="K285">
            <v>0</v>
          </cell>
          <cell r="L285">
            <v>1610</v>
          </cell>
          <cell r="M285">
            <v>0</v>
          </cell>
          <cell r="N285">
            <v>1610</v>
          </cell>
          <cell r="O285">
            <v>0</v>
          </cell>
          <cell r="P285">
            <v>1610</v>
          </cell>
          <cell r="Q285">
            <v>0</v>
          </cell>
          <cell r="R285">
            <v>1610</v>
          </cell>
          <cell r="S285">
            <v>0</v>
          </cell>
          <cell r="T285">
            <v>1610</v>
          </cell>
          <cell r="U285">
            <v>0</v>
          </cell>
          <cell r="V285">
            <v>1610</v>
          </cell>
          <cell r="W285">
            <v>0</v>
          </cell>
          <cell r="X285">
            <v>1610</v>
          </cell>
          <cell r="Y285">
            <v>0</v>
          </cell>
          <cell r="Z285">
            <v>1610</v>
          </cell>
          <cell r="AA285">
            <v>0</v>
          </cell>
          <cell r="AB285">
            <v>0</v>
          </cell>
          <cell r="AC285">
            <v>0</v>
          </cell>
          <cell r="AD285">
            <v>0.1</v>
          </cell>
          <cell r="AE285">
            <v>0</v>
          </cell>
          <cell r="AF285">
            <v>0</v>
          </cell>
          <cell r="AG285">
            <v>0</v>
          </cell>
          <cell r="AH285">
            <v>0</v>
          </cell>
          <cell r="AI285">
            <v>0</v>
          </cell>
          <cell r="AJ285">
            <v>0</v>
          </cell>
          <cell r="AK285">
            <v>0</v>
          </cell>
          <cell r="AL285">
            <v>0</v>
          </cell>
        </row>
        <row r="286">
          <cell r="E286" t="str">
            <v>E-SWBox1-1方出31mm</v>
          </cell>
          <cell r="F286" t="str">
            <v>個</v>
          </cell>
          <cell r="G286">
            <v>0</v>
          </cell>
          <cell r="H286">
            <v>792</v>
          </cell>
          <cell r="I286">
            <v>0</v>
          </cell>
          <cell r="J286">
            <v>792</v>
          </cell>
          <cell r="K286">
            <v>0</v>
          </cell>
          <cell r="L286">
            <v>792</v>
          </cell>
          <cell r="M286">
            <v>0</v>
          </cell>
          <cell r="N286">
            <v>792</v>
          </cell>
          <cell r="O286">
            <v>0</v>
          </cell>
          <cell r="P286">
            <v>792</v>
          </cell>
          <cell r="Q286">
            <v>0</v>
          </cell>
          <cell r="R286">
            <v>792</v>
          </cell>
          <cell r="S286">
            <v>0</v>
          </cell>
          <cell r="T286">
            <v>792</v>
          </cell>
          <cell r="U286">
            <v>0</v>
          </cell>
          <cell r="V286">
            <v>792</v>
          </cell>
          <cell r="W286">
            <v>0</v>
          </cell>
          <cell r="X286">
            <v>792</v>
          </cell>
          <cell r="Y286">
            <v>0</v>
          </cell>
          <cell r="Z286">
            <v>792</v>
          </cell>
          <cell r="AA286">
            <v>0</v>
          </cell>
          <cell r="AB286">
            <v>0</v>
          </cell>
          <cell r="AC286">
            <v>0</v>
          </cell>
          <cell r="AD286">
            <v>0.1</v>
          </cell>
          <cell r="AE286">
            <v>0</v>
          </cell>
          <cell r="AF286">
            <v>0</v>
          </cell>
          <cell r="AG286">
            <v>0</v>
          </cell>
          <cell r="AH286">
            <v>0</v>
          </cell>
          <cell r="AI286">
            <v>0</v>
          </cell>
          <cell r="AJ286">
            <v>0</v>
          </cell>
          <cell r="AK286">
            <v>0</v>
          </cell>
          <cell r="AL286">
            <v>0</v>
          </cell>
        </row>
        <row r="287">
          <cell r="E287" t="str">
            <v>E-SWBox1-2方出31mm</v>
          </cell>
          <cell r="F287" t="str">
            <v>個</v>
          </cell>
          <cell r="G287">
            <v>0</v>
          </cell>
          <cell r="H287">
            <v>990</v>
          </cell>
          <cell r="I287">
            <v>0</v>
          </cell>
          <cell r="J287">
            <v>990</v>
          </cell>
          <cell r="K287">
            <v>0</v>
          </cell>
          <cell r="L287">
            <v>990</v>
          </cell>
          <cell r="M287">
            <v>0</v>
          </cell>
          <cell r="N287">
            <v>990</v>
          </cell>
          <cell r="O287">
            <v>0</v>
          </cell>
          <cell r="P287">
            <v>990</v>
          </cell>
          <cell r="Q287">
            <v>0</v>
          </cell>
          <cell r="R287">
            <v>990</v>
          </cell>
          <cell r="S287">
            <v>0</v>
          </cell>
          <cell r="T287">
            <v>990</v>
          </cell>
          <cell r="U287">
            <v>0</v>
          </cell>
          <cell r="V287">
            <v>990</v>
          </cell>
          <cell r="W287">
            <v>0</v>
          </cell>
          <cell r="X287">
            <v>990</v>
          </cell>
          <cell r="Y287">
            <v>0</v>
          </cell>
          <cell r="Z287">
            <v>990</v>
          </cell>
          <cell r="AA287">
            <v>0</v>
          </cell>
          <cell r="AB287">
            <v>0</v>
          </cell>
          <cell r="AC287">
            <v>0</v>
          </cell>
          <cell r="AD287">
            <v>0.1</v>
          </cell>
          <cell r="AE287">
            <v>0</v>
          </cell>
          <cell r="AF287">
            <v>0</v>
          </cell>
          <cell r="AG287">
            <v>0</v>
          </cell>
          <cell r="AH287">
            <v>0</v>
          </cell>
          <cell r="AI287">
            <v>0</v>
          </cell>
          <cell r="AJ287">
            <v>0</v>
          </cell>
          <cell r="AK287">
            <v>0</v>
          </cell>
          <cell r="AL287">
            <v>0</v>
          </cell>
        </row>
        <row r="288">
          <cell r="E288" t="str">
            <v>E-SWBox2-1方出31mm</v>
          </cell>
          <cell r="F288" t="str">
            <v>個</v>
          </cell>
          <cell r="G288">
            <v>0</v>
          </cell>
          <cell r="H288">
            <v>1680</v>
          </cell>
          <cell r="I288">
            <v>0</v>
          </cell>
          <cell r="J288">
            <v>1680</v>
          </cell>
          <cell r="K288">
            <v>0</v>
          </cell>
          <cell r="L288">
            <v>1680</v>
          </cell>
          <cell r="M288">
            <v>0</v>
          </cell>
          <cell r="N288">
            <v>1680</v>
          </cell>
          <cell r="O288">
            <v>0</v>
          </cell>
          <cell r="P288">
            <v>1680</v>
          </cell>
          <cell r="Q288">
            <v>0</v>
          </cell>
          <cell r="R288">
            <v>1680</v>
          </cell>
          <cell r="S288">
            <v>0</v>
          </cell>
          <cell r="T288">
            <v>1680</v>
          </cell>
          <cell r="U288">
            <v>0</v>
          </cell>
          <cell r="V288">
            <v>1680</v>
          </cell>
          <cell r="W288">
            <v>0</v>
          </cell>
          <cell r="X288">
            <v>1680</v>
          </cell>
          <cell r="Y288">
            <v>0</v>
          </cell>
          <cell r="Z288">
            <v>1680</v>
          </cell>
          <cell r="AA288">
            <v>0</v>
          </cell>
          <cell r="AB288">
            <v>0</v>
          </cell>
          <cell r="AC288">
            <v>0</v>
          </cell>
          <cell r="AD288">
            <v>0.1</v>
          </cell>
          <cell r="AE288">
            <v>0</v>
          </cell>
          <cell r="AF288">
            <v>0</v>
          </cell>
          <cell r="AG288">
            <v>0</v>
          </cell>
          <cell r="AH288">
            <v>0</v>
          </cell>
          <cell r="AI288">
            <v>0</v>
          </cell>
          <cell r="AJ288">
            <v>0</v>
          </cell>
          <cell r="AK288">
            <v>0</v>
          </cell>
          <cell r="AL288">
            <v>0</v>
          </cell>
        </row>
        <row r="289">
          <cell r="E289" t="str">
            <v>E-SWBox3-1方出31mm</v>
          </cell>
          <cell r="F289" t="str">
            <v>個</v>
          </cell>
          <cell r="G289">
            <v>0</v>
          </cell>
          <cell r="H289">
            <v>1810</v>
          </cell>
          <cell r="I289">
            <v>0</v>
          </cell>
          <cell r="J289">
            <v>1810</v>
          </cell>
          <cell r="K289">
            <v>0</v>
          </cell>
          <cell r="L289">
            <v>1810</v>
          </cell>
          <cell r="M289">
            <v>0</v>
          </cell>
          <cell r="N289">
            <v>1810</v>
          </cell>
          <cell r="O289">
            <v>0</v>
          </cell>
          <cell r="P289">
            <v>1810</v>
          </cell>
          <cell r="Q289">
            <v>0</v>
          </cell>
          <cell r="R289">
            <v>1810</v>
          </cell>
          <cell r="S289">
            <v>0</v>
          </cell>
          <cell r="T289">
            <v>1810</v>
          </cell>
          <cell r="U289">
            <v>0</v>
          </cell>
          <cell r="V289">
            <v>1810</v>
          </cell>
          <cell r="W289">
            <v>0</v>
          </cell>
          <cell r="X289">
            <v>1810</v>
          </cell>
          <cell r="Y289">
            <v>0</v>
          </cell>
          <cell r="Z289">
            <v>1810</v>
          </cell>
          <cell r="AA289">
            <v>0</v>
          </cell>
          <cell r="AB289">
            <v>0</v>
          </cell>
          <cell r="AC289">
            <v>0</v>
          </cell>
          <cell r="AD289">
            <v>0.1</v>
          </cell>
          <cell r="AE289">
            <v>0</v>
          </cell>
          <cell r="AF289">
            <v>0</v>
          </cell>
          <cell r="AG289">
            <v>0</v>
          </cell>
          <cell r="AH289">
            <v>0</v>
          </cell>
          <cell r="AI289">
            <v>0</v>
          </cell>
          <cell r="AJ289">
            <v>0</v>
          </cell>
          <cell r="AK289">
            <v>0</v>
          </cell>
          <cell r="AL289">
            <v>0</v>
          </cell>
        </row>
        <row r="290">
          <cell r="E290" t="str">
            <v>G-丸Box1方出16mm</v>
          </cell>
          <cell r="F290" t="str">
            <v>個</v>
          </cell>
          <cell r="G290">
            <v>0</v>
          </cell>
          <cell r="H290">
            <v>338</v>
          </cell>
          <cell r="I290">
            <v>0</v>
          </cell>
          <cell r="J290">
            <v>338</v>
          </cell>
          <cell r="K290">
            <v>0</v>
          </cell>
          <cell r="L290">
            <v>338</v>
          </cell>
          <cell r="M290">
            <v>0</v>
          </cell>
          <cell r="N290">
            <v>338</v>
          </cell>
          <cell r="O290">
            <v>0</v>
          </cell>
          <cell r="P290">
            <v>338</v>
          </cell>
          <cell r="Q290">
            <v>0</v>
          </cell>
          <cell r="R290">
            <v>338</v>
          </cell>
          <cell r="S290">
            <v>0</v>
          </cell>
          <cell r="T290">
            <v>338</v>
          </cell>
          <cell r="U290">
            <v>0</v>
          </cell>
          <cell r="V290">
            <v>338</v>
          </cell>
          <cell r="W290">
            <v>0</v>
          </cell>
          <cell r="X290">
            <v>338</v>
          </cell>
          <cell r="Y290">
            <v>0</v>
          </cell>
          <cell r="Z290">
            <v>338</v>
          </cell>
          <cell r="AA290">
            <v>0</v>
          </cell>
          <cell r="AB290">
            <v>0</v>
          </cell>
          <cell r="AC290">
            <v>0</v>
          </cell>
          <cell r="AD290">
            <v>0.1</v>
          </cell>
          <cell r="AE290">
            <v>0</v>
          </cell>
          <cell r="AF290">
            <v>0</v>
          </cell>
          <cell r="AG290">
            <v>0</v>
          </cell>
          <cell r="AH290">
            <v>0</v>
          </cell>
          <cell r="AI290">
            <v>0</v>
          </cell>
          <cell r="AJ290">
            <v>0</v>
          </cell>
          <cell r="AK290">
            <v>0</v>
          </cell>
          <cell r="AL290">
            <v>0</v>
          </cell>
        </row>
        <row r="291">
          <cell r="E291" t="str">
            <v>G-丸Box2方出16mm</v>
          </cell>
          <cell r="F291" t="str">
            <v>個</v>
          </cell>
          <cell r="G291">
            <v>0</v>
          </cell>
          <cell r="H291">
            <v>377</v>
          </cell>
          <cell r="I291">
            <v>0</v>
          </cell>
          <cell r="J291">
            <v>377</v>
          </cell>
          <cell r="K291">
            <v>0</v>
          </cell>
          <cell r="L291">
            <v>377</v>
          </cell>
          <cell r="M291">
            <v>0</v>
          </cell>
          <cell r="N291">
            <v>377</v>
          </cell>
          <cell r="O291">
            <v>0</v>
          </cell>
          <cell r="P291">
            <v>377</v>
          </cell>
          <cell r="Q291">
            <v>0</v>
          </cell>
          <cell r="R291">
            <v>377</v>
          </cell>
          <cell r="S291">
            <v>0</v>
          </cell>
          <cell r="T291">
            <v>377</v>
          </cell>
          <cell r="U291">
            <v>0</v>
          </cell>
          <cell r="V291">
            <v>377</v>
          </cell>
          <cell r="W291">
            <v>0</v>
          </cell>
          <cell r="X291">
            <v>377</v>
          </cell>
          <cell r="Y291">
            <v>0</v>
          </cell>
          <cell r="Z291">
            <v>377</v>
          </cell>
          <cell r="AA291">
            <v>0</v>
          </cell>
          <cell r="AB291">
            <v>0</v>
          </cell>
          <cell r="AC291">
            <v>0</v>
          </cell>
          <cell r="AD291">
            <v>0.1</v>
          </cell>
          <cell r="AE291">
            <v>0</v>
          </cell>
          <cell r="AF291">
            <v>0</v>
          </cell>
          <cell r="AG291">
            <v>0</v>
          </cell>
          <cell r="AH291">
            <v>0</v>
          </cell>
          <cell r="AI291">
            <v>0</v>
          </cell>
          <cell r="AJ291">
            <v>0</v>
          </cell>
          <cell r="AK291">
            <v>0</v>
          </cell>
          <cell r="AL291">
            <v>0</v>
          </cell>
        </row>
        <row r="292">
          <cell r="E292" t="str">
            <v>G丸Box3方出16mm</v>
          </cell>
          <cell r="F292" t="str">
            <v>個</v>
          </cell>
          <cell r="G292">
            <v>0</v>
          </cell>
          <cell r="H292">
            <v>392</v>
          </cell>
          <cell r="I292">
            <v>0</v>
          </cell>
          <cell r="J292">
            <v>392</v>
          </cell>
          <cell r="K292">
            <v>0</v>
          </cell>
          <cell r="L292">
            <v>392</v>
          </cell>
          <cell r="M292">
            <v>0</v>
          </cell>
          <cell r="N292">
            <v>392</v>
          </cell>
          <cell r="O292">
            <v>0</v>
          </cell>
          <cell r="P292">
            <v>392</v>
          </cell>
          <cell r="Q292">
            <v>0</v>
          </cell>
          <cell r="R292">
            <v>392</v>
          </cell>
          <cell r="S292">
            <v>0</v>
          </cell>
          <cell r="T292">
            <v>392</v>
          </cell>
          <cell r="U292">
            <v>0</v>
          </cell>
          <cell r="V292">
            <v>392</v>
          </cell>
          <cell r="W292">
            <v>0</v>
          </cell>
          <cell r="X292">
            <v>392</v>
          </cell>
          <cell r="Y292">
            <v>0</v>
          </cell>
          <cell r="Z292">
            <v>392</v>
          </cell>
          <cell r="AA292">
            <v>0</v>
          </cell>
          <cell r="AB292">
            <v>0</v>
          </cell>
          <cell r="AC292">
            <v>0</v>
          </cell>
          <cell r="AD292">
            <v>0.1</v>
          </cell>
          <cell r="AE292">
            <v>0</v>
          </cell>
          <cell r="AF292">
            <v>0</v>
          </cell>
          <cell r="AG292">
            <v>0</v>
          </cell>
          <cell r="AH292">
            <v>0</v>
          </cell>
          <cell r="AI292">
            <v>0</v>
          </cell>
          <cell r="AJ292">
            <v>0</v>
          </cell>
          <cell r="AK292">
            <v>0</v>
          </cell>
          <cell r="AL292">
            <v>0</v>
          </cell>
        </row>
        <row r="293">
          <cell r="E293" t="str">
            <v>G-丸Box4方出16mm</v>
          </cell>
          <cell r="F293" t="str">
            <v>個</v>
          </cell>
          <cell r="G293">
            <v>0</v>
          </cell>
          <cell r="H293">
            <v>453</v>
          </cell>
          <cell r="I293">
            <v>0</v>
          </cell>
          <cell r="J293">
            <v>453</v>
          </cell>
          <cell r="K293">
            <v>0</v>
          </cell>
          <cell r="L293">
            <v>453</v>
          </cell>
          <cell r="M293">
            <v>0</v>
          </cell>
          <cell r="N293">
            <v>453</v>
          </cell>
          <cell r="O293">
            <v>0</v>
          </cell>
          <cell r="P293">
            <v>453</v>
          </cell>
          <cell r="Q293">
            <v>0</v>
          </cell>
          <cell r="R293">
            <v>453</v>
          </cell>
          <cell r="S293">
            <v>0</v>
          </cell>
          <cell r="T293">
            <v>453</v>
          </cell>
          <cell r="U293">
            <v>0</v>
          </cell>
          <cell r="V293">
            <v>453</v>
          </cell>
          <cell r="W293">
            <v>0</v>
          </cell>
          <cell r="X293">
            <v>453</v>
          </cell>
          <cell r="Y293">
            <v>0</v>
          </cell>
          <cell r="Z293">
            <v>453</v>
          </cell>
          <cell r="AA293">
            <v>0</v>
          </cell>
          <cell r="AB293">
            <v>0</v>
          </cell>
          <cell r="AC293">
            <v>0</v>
          </cell>
          <cell r="AD293">
            <v>0.1</v>
          </cell>
          <cell r="AE293">
            <v>0</v>
          </cell>
          <cell r="AF293">
            <v>0</v>
          </cell>
          <cell r="AG293">
            <v>0</v>
          </cell>
          <cell r="AH293">
            <v>0</v>
          </cell>
          <cell r="AI293">
            <v>0</v>
          </cell>
          <cell r="AJ293">
            <v>0</v>
          </cell>
          <cell r="AK293">
            <v>0</v>
          </cell>
          <cell r="AL293">
            <v>0</v>
          </cell>
        </row>
        <row r="294">
          <cell r="E294" t="str">
            <v>G-丸Box1方出22mm</v>
          </cell>
          <cell r="F294" t="str">
            <v>個</v>
          </cell>
          <cell r="G294">
            <v>0</v>
          </cell>
          <cell r="H294">
            <v>404</v>
          </cell>
          <cell r="I294">
            <v>0</v>
          </cell>
          <cell r="J294">
            <v>404</v>
          </cell>
          <cell r="K294">
            <v>0</v>
          </cell>
          <cell r="L294">
            <v>404</v>
          </cell>
          <cell r="M294">
            <v>0</v>
          </cell>
          <cell r="N294">
            <v>404</v>
          </cell>
          <cell r="O294">
            <v>0</v>
          </cell>
          <cell r="P294">
            <v>404</v>
          </cell>
          <cell r="Q294">
            <v>0</v>
          </cell>
          <cell r="R294">
            <v>404</v>
          </cell>
          <cell r="S294">
            <v>0</v>
          </cell>
          <cell r="T294">
            <v>404</v>
          </cell>
          <cell r="U294">
            <v>0</v>
          </cell>
          <cell r="V294">
            <v>404</v>
          </cell>
          <cell r="W294">
            <v>0</v>
          </cell>
          <cell r="X294">
            <v>404</v>
          </cell>
          <cell r="Y294">
            <v>0</v>
          </cell>
          <cell r="Z294">
            <v>404</v>
          </cell>
          <cell r="AA294">
            <v>0</v>
          </cell>
          <cell r="AB294">
            <v>0</v>
          </cell>
          <cell r="AC294">
            <v>0</v>
          </cell>
          <cell r="AD294">
            <v>0.1</v>
          </cell>
          <cell r="AE294">
            <v>0</v>
          </cell>
          <cell r="AF294">
            <v>0</v>
          </cell>
          <cell r="AG294">
            <v>0</v>
          </cell>
          <cell r="AH294">
            <v>0</v>
          </cell>
          <cell r="AI294">
            <v>0</v>
          </cell>
          <cell r="AJ294">
            <v>0</v>
          </cell>
          <cell r="AK294">
            <v>0</v>
          </cell>
          <cell r="AL294">
            <v>0</v>
          </cell>
        </row>
        <row r="295">
          <cell r="E295" t="str">
            <v>G-丸Box2方出22mm</v>
          </cell>
          <cell r="F295" t="str">
            <v>個</v>
          </cell>
          <cell r="G295">
            <v>0</v>
          </cell>
          <cell r="H295">
            <v>453</v>
          </cell>
          <cell r="I295">
            <v>0</v>
          </cell>
          <cell r="J295">
            <v>453</v>
          </cell>
          <cell r="K295">
            <v>0</v>
          </cell>
          <cell r="L295">
            <v>453</v>
          </cell>
          <cell r="M295">
            <v>0</v>
          </cell>
          <cell r="N295">
            <v>453</v>
          </cell>
          <cell r="O295">
            <v>0</v>
          </cell>
          <cell r="P295">
            <v>453</v>
          </cell>
          <cell r="Q295">
            <v>0</v>
          </cell>
          <cell r="R295">
            <v>453</v>
          </cell>
          <cell r="S295">
            <v>0</v>
          </cell>
          <cell r="T295">
            <v>453</v>
          </cell>
          <cell r="U295">
            <v>0</v>
          </cell>
          <cell r="V295">
            <v>453</v>
          </cell>
          <cell r="W295">
            <v>0</v>
          </cell>
          <cell r="X295">
            <v>453</v>
          </cell>
          <cell r="Y295">
            <v>0</v>
          </cell>
          <cell r="Z295">
            <v>453</v>
          </cell>
          <cell r="AA295">
            <v>0</v>
          </cell>
          <cell r="AB295">
            <v>0</v>
          </cell>
          <cell r="AC295">
            <v>0</v>
          </cell>
          <cell r="AD295">
            <v>0.1</v>
          </cell>
          <cell r="AE295">
            <v>0</v>
          </cell>
          <cell r="AF295">
            <v>0</v>
          </cell>
          <cell r="AG295">
            <v>0</v>
          </cell>
          <cell r="AH295">
            <v>0</v>
          </cell>
          <cell r="AI295">
            <v>0</v>
          </cell>
          <cell r="AJ295">
            <v>0</v>
          </cell>
          <cell r="AK295">
            <v>0</v>
          </cell>
          <cell r="AL295">
            <v>0</v>
          </cell>
        </row>
        <row r="296">
          <cell r="E296" t="str">
            <v>G-丸Box3方出22mm</v>
          </cell>
          <cell r="F296" t="str">
            <v>個</v>
          </cell>
          <cell r="G296">
            <v>0</v>
          </cell>
          <cell r="H296">
            <v>494</v>
          </cell>
          <cell r="I296">
            <v>0</v>
          </cell>
          <cell r="J296">
            <v>494</v>
          </cell>
          <cell r="K296">
            <v>0</v>
          </cell>
          <cell r="L296">
            <v>494</v>
          </cell>
          <cell r="M296">
            <v>0</v>
          </cell>
          <cell r="N296">
            <v>494</v>
          </cell>
          <cell r="O296">
            <v>0</v>
          </cell>
          <cell r="P296">
            <v>494</v>
          </cell>
          <cell r="Q296">
            <v>0</v>
          </cell>
          <cell r="R296">
            <v>494</v>
          </cell>
          <cell r="S296">
            <v>0</v>
          </cell>
          <cell r="T296">
            <v>494</v>
          </cell>
          <cell r="U296">
            <v>0</v>
          </cell>
          <cell r="V296">
            <v>494</v>
          </cell>
          <cell r="W296">
            <v>0</v>
          </cell>
          <cell r="X296">
            <v>494</v>
          </cell>
          <cell r="Y296">
            <v>0</v>
          </cell>
          <cell r="Z296">
            <v>494</v>
          </cell>
          <cell r="AA296">
            <v>0</v>
          </cell>
          <cell r="AB296">
            <v>0</v>
          </cell>
          <cell r="AC296">
            <v>0</v>
          </cell>
          <cell r="AD296">
            <v>0.1</v>
          </cell>
          <cell r="AE296">
            <v>0</v>
          </cell>
          <cell r="AF296">
            <v>0</v>
          </cell>
          <cell r="AG296">
            <v>0</v>
          </cell>
          <cell r="AH296">
            <v>0</v>
          </cell>
          <cell r="AI296">
            <v>0</v>
          </cell>
          <cell r="AJ296">
            <v>0</v>
          </cell>
          <cell r="AK296">
            <v>0</v>
          </cell>
          <cell r="AL296">
            <v>0</v>
          </cell>
        </row>
        <row r="297">
          <cell r="E297" t="str">
            <v>G-丸Box4方出22mm</v>
          </cell>
          <cell r="F297" t="str">
            <v>個</v>
          </cell>
          <cell r="G297">
            <v>0</v>
          </cell>
          <cell r="H297">
            <v>573</v>
          </cell>
          <cell r="I297">
            <v>0</v>
          </cell>
          <cell r="J297">
            <v>573</v>
          </cell>
          <cell r="K297">
            <v>0</v>
          </cell>
          <cell r="L297">
            <v>573</v>
          </cell>
          <cell r="M297">
            <v>0</v>
          </cell>
          <cell r="N297">
            <v>573</v>
          </cell>
          <cell r="O297">
            <v>0</v>
          </cell>
          <cell r="P297">
            <v>573</v>
          </cell>
          <cell r="Q297">
            <v>0</v>
          </cell>
          <cell r="R297">
            <v>573</v>
          </cell>
          <cell r="S297">
            <v>0</v>
          </cell>
          <cell r="T297">
            <v>573</v>
          </cell>
          <cell r="U297">
            <v>0</v>
          </cell>
          <cell r="V297">
            <v>573</v>
          </cell>
          <cell r="W297">
            <v>0</v>
          </cell>
          <cell r="X297">
            <v>573</v>
          </cell>
          <cell r="Y297">
            <v>0</v>
          </cell>
          <cell r="Z297">
            <v>573</v>
          </cell>
          <cell r="AA297">
            <v>0</v>
          </cell>
          <cell r="AB297">
            <v>0</v>
          </cell>
          <cell r="AC297">
            <v>0</v>
          </cell>
          <cell r="AD297">
            <v>0.1</v>
          </cell>
          <cell r="AE297">
            <v>0</v>
          </cell>
          <cell r="AF297">
            <v>0</v>
          </cell>
          <cell r="AG297">
            <v>0</v>
          </cell>
          <cell r="AH297">
            <v>0</v>
          </cell>
          <cell r="AI297">
            <v>0</v>
          </cell>
          <cell r="AJ297">
            <v>0</v>
          </cell>
          <cell r="AK297">
            <v>0</v>
          </cell>
          <cell r="AL297">
            <v>0</v>
          </cell>
        </row>
        <row r="298">
          <cell r="E298" t="str">
            <v>G-丸Box1方出28mm</v>
          </cell>
          <cell r="F298" t="str">
            <v>個</v>
          </cell>
          <cell r="G298">
            <v>0</v>
          </cell>
          <cell r="H298">
            <v>568</v>
          </cell>
          <cell r="I298">
            <v>0</v>
          </cell>
          <cell r="J298">
            <v>568</v>
          </cell>
          <cell r="K298">
            <v>0</v>
          </cell>
          <cell r="L298">
            <v>568</v>
          </cell>
          <cell r="M298">
            <v>0</v>
          </cell>
          <cell r="N298">
            <v>568</v>
          </cell>
          <cell r="O298">
            <v>0</v>
          </cell>
          <cell r="P298">
            <v>568</v>
          </cell>
          <cell r="Q298">
            <v>0</v>
          </cell>
          <cell r="R298">
            <v>568</v>
          </cell>
          <cell r="S298">
            <v>0</v>
          </cell>
          <cell r="T298">
            <v>568</v>
          </cell>
          <cell r="U298">
            <v>0</v>
          </cell>
          <cell r="V298">
            <v>568</v>
          </cell>
          <cell r="W298">
            <v>0</v>
          </cell>
          <cell r="X298">
            <v>568</v>
          </cell>
          <cell r="Y298">
            <v>0</v>
          </cell>
          <cell r="Z298">
            <v>568</v>
          </cell>
          <cell r="AA298">
            <v>0</v>
          </cell>
          <cell r="AB298">
            <v>0</v>
          </cell>
          <cell r="AC298">
            <v>0</v>
          </cell>
          <cell r="AD298">
            <v>0.1</v>
          </cell>
          <cell r="AE298">
            <v>0</v>
          </cell>
          <cell r="AF298">
            <v>0</v>
          </cell>
          <cell r="AG298">
            <v>0</v>
          </cell>
          <cell r="AH298">
            <v>0</v>
          </cell>
          <cell r="AI298">
            <v>0</v>
          </cell>
          <cell r="AJ298">
            <v>0</v>
          </cell>
          <cell r="AK298">
            <v>0</v>
          </cell>
          <cell r="AL298">
            <v>0</v>
          </cell>
        </row>
        <row r="299">
          <cell r="E299" t="str">
            <v>G-丸Box2方出28mm</v>
          </cell>
          <cell r="F299" t="str">
            <v>個</v>
          </cell>
          <cell r="G299">
            <v>0</v>
          </cell>
          <cell r="H299">
            <v>661</v>
          </cell>
          <cell r="I299">
            <v>0</v>
          </cell>
          <cell r="J299">
            <v>661</v>
          </cell>
          <cell r="K299">
            <v>0</v>
          </cell>
          <cell r="L299">
            <v>661</v>
          </cell>
          <cell r="M299">
            <v>0</v>
          </cell>
          <cell r="N299">
            <v>661</v>
          </cell>
          <cell r="O299">
            <v>0</v>
          </cell>
          <cell r="P299">
            <v>661</v>
          </cell>
          <cell r="Q299">
            <v>0</v>
          </cell>
          <cell r="R299">
            <v>661</v>
          </cell>
          <cell r="S299">
            <v>0</v>
          </cell>
          <cell r="T299">
            <v>661</v>
          </cell>
          <cell r="U299">
            <v>0</v>
          </cell>
          <cell r="V299">
            <v>661</v>
          </cell>
          <cell r="W299">
            <v>0</v>
          </cell>
          <cell r="X299">
            <v>661</v>
          </cell>
          <cell r="Y299">
            <v>0</v>
          </cell>
          <cell r="Z299">
            <v>661</v>
          </cell>
          <cell r="AA299">
            <v>0</v>
          </cell>
          <cell r="AB299">
            <v>0</v>
          </cell>
          <cell r="AC299">
            <v>0</v>
          </cell>
          <cell r="AD299">
            <v>0.1</v>
          </cell>
          <cell r="AE299">
            <v>0</v>
          </cell>
          <cell r="AF299">
            <v>0</v>
          </cell>
          <cell r="AG299">
            <v>0</v>
          </cell>
          <cell r="AH299">
            <v>0</v>
          </cell>
          <cell r="AI299">
            <v>0</v>
          </cell>
          <cell r="AJ299">
            <v>0</v>
          </cell>
          <cell r="AK299">
            <v>0</v>
          </cell>
          <cell r="AL299">
            <v>0</v>
          </cell>
        </row>
        <row r="300">
          <cell r="E300" t="str">
            <v>G-丸Box3方出28mm</v>
          </cell>
          <cell r="F300" t="str">
            <v>個</v>
          </cell>
          <cell r="G300">
            <v>0</v>
          </cell>
          <cell r="H300">
            <v>720</v>
          </cell>
          <cell r="I300">
            <v>0</v>
          </cell>
          <cell r="J300">
            <v>720</v>
          </cell>
          <cell r="K300">
            <v>0</v>
          </cell>
          <cell r="L300">
            <v>720</v>
          </cell>
          <cell r="M300">
            <v>0</v>
          </cell>
          <cell r="N300">
            <v>720</v>
          </cell>
          <cell r="O300">
            <v>0</v>
          </cell>
          <cell r="P300">
            <v>720</v>
          </cell>
          <cell r="Q300">
            <v>0</v>
          </cell>
          <cell r="R300">
            <v>720</v>
          </cell>
          <cell r="S300">
            <v>0</v>
          </cell>
          <cell r="T300">
            <v>720</v>
          </cell>
          <cell r="U300">
            <v>0</v>
          </cell>
          <cell r="V300">
            <v>720</v>
          </cell>
          <cell r="W300">
            <v>0</v>
          </cell>
          <cell r="X300">
            <v>720</v>
          </cell>
          <cell r="Y300">
            <v>0</v>
          </cell>
          <cell r="Z300">
            <v>720</v>
          </cell>
          <cell r="AA300">
            <v>0</v>
          </cell>
          <cell r="AB300">
            <v>0</v>
          </cell>
          <cell r="AC300">
            <v>0</v>
          </cell>
          <cell r="AD300">
            <v>0.1</v>
          </cell>
          <cell r="AE300">
            <v>0</v>
          </cell>
          <cell r="AF300">
            <v>0</v>
          </cell>
          <cell r="AG300">
            <v>0</v>
          </cell>
          <cell r="AH300">
            <v>0</v>
          </cell>
          <cell r="AI300">
            <v>0</v>
          </cell>
          <cell r="AJ300">
            <v>0</v>
          </cell>
          <cell r="AK300">
            <v>0</v>
          </cell>
          <cell r="AL300">
            <v>0</v>
          </cell>
        </row>
        <row r="301">
          <cell r="E301" t="str">
            <v>G-丸Box4方出28mm</v>
          </cell>
          <cell r="F301" t="str">
            <v>個</v>
          </cell>
          <cell r="G301">
            <v>0</v>
          </cell>
          <cell r="H301">
            <v>818</v>
          </cell>
          <cell r="I301">
            <v>0</v>
          </cell>
          <cell r="J301">
            <v>818</v>
          </cell>
          <cell r="K301">
            <v>0</v>
          </cell>
          <cell r="L301">
            <v>818</v>
          </cell>
          <cell r="M301">
            <v>0</v>
          </cell>
          <cell r="N301">
            <v>818</v>
          </cell>
          <cell r="O301">
            <v>0</v>
          </cell>
          <cell r="P301">
            <v>818</v>
          </cell>
          <cell r="Q301">
            <v>0</v>
          </cell>
          <cell r="R301">
            <v>818</v>
          </cell>
          <cell r="S301">
            <v>0</v>
          </cell>
          <cell r="T301">
            <v>818</v>
          </cell>
          <cell r="U301">
            <v>0</v>
          </cell>
          <cell r="V301">
            <v>818</v>
          </cell>
          <cell r="W301">
            <v>0</v>
          </cell>
          <cell r="X301">
            <v>818</v>
          </cell>
          <cell r="Y301">
            <v>0</v>
          </cell>
          <cell r="Z301">
            <v>818</v>
          </cell>
          <cell r="AA301">
            <v>0</v>
          </cell>
          <cell r="AB301">
            <v>0</v>
          </cell>
          <cell r="AC301">
            <v>0</v>
          </cell>
          <cell r="AD301">
            <v>0.1</v>
          </cell>
          <cell r="AE301">
            <v>0</v>
          </cell>
          <cell r="AF301">
            <v>0</v>
          </cell>
          <cell r="AG301">
            <v>0</v>
          </cell>
          <cell r="AH301">
            <v>0</v>
          </cell>
          <cell r="AI301">
            <v>0</v>
          </cell>
          <cell r="AJ301">
            <v>0</v>
          </cell>
          <cell r="AK301">
            <v>0</v>
          </cell>
          <cell r="AL301">
            <v>0</v>
          </cell>
        </row>
        <row r="302">
          <cell r="E302" t="str">
            <v>G-丸Box1方出36mm</v>
          </cell>
          <cell r="F302" t="str">
            <v>個</v>
          </cell>
          <cell r="G302">
            <v>0</v>
          </cell>
          <cell r="H302">
            <v>1130</v>
          </cell>
          <cell r="I302">
            <v>0</v>
          </cell>
          <cell r="J302">
            <v>1130</v>
          </cell>
          <cell r="K302">
            <v>0</v>
          </cell>
          <cell r="L302">
            <v>1130</v>
          </cell>
          <cell r="M302">
            <v>0</v>
          </cell>
          <cell r="N302">
            <v>1130</v>
          </cell>
          <cell r="O302">
            <v>0</v>
          </cell>
          <cell r="P302">
            <v>1130</v>
          </cell>
          <cell r="Q302">
            <v>0</v>
          </cell>
          <cell r="R302">
            <v>1130</v>
          </cell>
          <cell r="S302">
            <v>0</v>
          </cell>
          <cell r="T302">
            <v>1130</v>
          </cell>
          <cell r="U302">
            <v>0</v>
          </cell>
          <cell r="V302">
            <v>1130</v>
          </cell>
          <cell r="W302">
            <v>0</v>
          </cell>
          <cell r="X302">
            <v>1130</v>
          </cell>
          <cell r="Y302">
            <v>0</v>
          </cell>
          <cell r="Z302">
            <v>1130</v>
          </cell>
          <cell r="AA302">
            <v>0</v>
          </cell>
          <cell r="AB302">
            <v>0</v>
          </cell>
          <cell r="AC302">
            <v>0</v>
          </cell>
          <cell r="AD302">
            <v>0.1</v>
          </cell>
          <cell r="AE302">
            <v>0</v>
          </cell>
          <cell r="AF302">
            <v>0</v>
          </cell>
          <cell r="AG302">
            <v>0</v>
          </cell>
          <cell r="AH302">
            <v>0</v>
          </cell>
          <cell r="AI302">
            <v>0</v>
          </cell>
          <cell r="AJ302">
            <v>0</v>
          </cell>
          <cell r="AK302">
            <v>0</v>
          </cell>
          <cell r="AL302">
            <v>0</v>
          </cell>
        </row>
        <row r="303">
          <cell r="E303" t="str">
            <v>G-丸Box2方出36mm</v>
          </cell>
          <cell r="F303" t="str">
            <v>個</v>
          </cell>
          <cell r="G303">
            <v>0</v>
          </cell>
          <cell r="H303">
            <v>1230</v>
          </cell>
          <cell r="I303">
            <v>0</v>
          </cell>
          <cell r="J303">
            <v>1230</v>
          </cell>
          <cell r="K303">
            <v>0</v>
          </cell>
          <cell r="L303">
            <v>1230</v>
          </cell>
          <cell r="M303">
            <v>0</v>
          </cell>
          <cell r="N303">
            <v>1230</v>
          </cell>
          <cell r="O303">
            <v>0</v>
          </cell>
          <cell r="P303">
            <v>1230</v>
          </cell>
          <cell r="Q303">
            <v>0</v>
          </cell>
          <cell r="R303">
            <v>1230</v>
          </cell>
          <cell r="S303">
            <v>0</v>
          </cell>
          <cell r="T303">
            <v>1230</v>
          </cell>
          <cell r="U303">
            <v>0</v>
          </cell>
          <cell r="V303">
            <v>1230</v>
          </cell>
          <cell r="W303">
            <v>0</v>
          </cell>
          <cell r="X303">
            <v>1230</v>
          </cell>
          <cell r="Y303">
            <v>0</v>
          </cell>
          <cell r="Z303">
            <v>1230</v>
          </cell>
          <cell r="AA303">
            <v>0</v>
          </cell>
          <cell r="AB303">
            <v>0</v>
          </cell>
          <cell r="AC303">
            <v>0</v>
          </cell>
          <cell r="AD303">
            <v>0.1</v>
          </cell>
          <cell r="AE303">
            <v>0</v>
          </cell>
          <cell r="AF303">
            <v>0</v>
          </cell>
          <cell r="AG303">
            <v>0</v>
          </cell>
          <cell r="AH303">
            <v>0</v>
          </cell>
          <cell r="AI303">
            <v>0</v>
          </cell>
          <cell r="AJ303">
            <v>0</v>
          </cell>
          <cell r="AK303">
            <v>0</v>
          </cell>
          <cell r="AL303">
            <v>0</v>
          </cell>
        </row>
        <row r="304">
          <cell r="E304" t="str">
            <v>G-丸Box3方出36mm</v>
          </cell>
          <cell r="F304" t="str">
            <v>個</v>
          </cell>
          <cell r="G304">
            <v>0</v>
          </cell>
          <cell r="H304">
            <v>1330</v>
          </cell>
          <cell r="I304">
            <v>0</v>
          </cell>
          <cell r="J304">
            <v>1330</v>
          </cell>
          <cell r="K304">
            <v>0</v>
          </cell>
          <cell r="L304">
            <v>1330</v>
          </cell>
          <cell r="M304">
            <v>0</v>
          </cell>
          <cell r="N304">
            <v>1330</v>
          </cell>
          <cell r="O304">
            <v>0</v>
          </cell>
          <cell r="P304">
            <v>1330</v>
          </cell>
          <cell r="Q304">
            <v>0</v>
          </cell>
          <cell r="R304">
            <v>1330</v>
          </cell>
          <cell r="S304">
            <v>0</v>
          </cell>
          <cell r="T304">
            <v>1330</v>
          </cell>
          <cell r="U304">
            <v>0</v>
          </cell>
          <cell r="V304">
            <v>1330</v>
          </cell>
          <cell r="W304">
            <v>0</v>
          </cell>
          <cell r="X304">
            <v>1330</v>
          </cell>
          <cell r="Y304">
            <v>0</v>
          </cell>
          <cell r="Z304">
            <v>1330</v>
          </cell>
          <cell r="AA304">
            <v>0</v>
          </cell>
          <cell r="AB304">
            <v>0</v>
          </cell>
          <cell r="AC304">
            <v>0</v>
          </cell>
          <cell r="AD304">
            <v>0.1</v>
          </cell>
          <cell r="AE304">
            <v>0</v>
          </cell>
          <cell r="AF304">
            <v>0</v>
          </cell>
          <cell r="AG304">
            <v>0</v>
          </cell>
          <cell r="AH304">
            <v>0</v>
          </cell>
          <cell r="AI304">
            <v>0</v>
          </cell>
          <cell r="AJ304">
            <v>0</v>
          </cell>
          <cell r="AK304">
            <v>0</v>
          </cell>
          <cell r="AL304">
            <v>0</v>
          </cell>
        </row>
        <row r="305">
          <cell r="E305" t="str">
            <v>G-丸Box4方出36mm</v>
          </cell>
          <cell r="F305" t="str">
            <v>個</v>
          </cell>
          <cell r="G305">
            <v>0</v>
          </cell>
          <cell r="H305">
            <v>1510</v>
          </cell>
          <cell r="I305">
            <v>0</v>
          </cell>
          <cell r="J305">
            <v>1510</v>
          </cell>
          <cell r="K305">
            <v>0</v>
          </cell>
          <cell r="L305">
            <v>1510</v>
          </cell>
          <cell r="M305">
            <v>0</v>
          </cell>
          <cell r="N305">
            <v>1510</v>
          </cell>
          <cell r="O305">
            <v>0</v>
          </cell>
          <cell r="P305">
            <v>1510</v>
          </cell>
          <cell r="Q305">
            <v>0</v>
          </cell>
          <cell r="R305">
            <v>1510</v>
          </cell>
          <cell r="S305">
            <v>0</v>
          </cell>
          <cell r="T305">
            <v>1510</v>
          </cell>
          <cell r="U305">
            <v>0</v>
          </cell>
          <cell r="V305">
            <v>1510</v>
          </cell>
          <cell r="W305">
            <v>0</v>
          </cell>
          <cell r="X305">
            <v>1510</v>
          </cell>
          <cell r="Y305">
            <v>0</v>
          </cell>
          <cell r="Z305">
            <v>1510</v>
          </cell>
          <cell r="AA305">
            <v>0</v>
          </cell>
          <cell r="AB305">
            <v>0</v>
          </cell>
          <cell r="AC305">
            <v>0</v>
          </cell>
          <cell r="AD305">
            <v>0.1</v>
          </cell>
          <cell r="AE305">
            <v>0</v>
          </cell>
          <cell r="AF305">
            <v>0</v>
          </cell>
          <cell r="AG305">
            <v>0</v>
          </cell>
          <cell r="AH305">
            <v>0</v>
          </cell>
          <cell r="AI305">
            <v>0</v>
          </cell>
          <cell r="AJ305">
            <v>0</v>
          </cell>
          <cell r="AK305">
            <v>0</v>
          </cell>
          <cell r="AL305">
            <v>0</v>
          </cell>
        </row>
        <row r="306">
          <cell r="E306" t="str">
            <v>G-丸Box1方出42mm</v>
          </cell>
          <cell r="F306" t="str">
            <v>個</v>
          </cell>
          <cell r="G306">
            <v>0</v>
          </cell>
          <cell r="H306">
            <v>1480</v>
          </cell>
          <cell r="I306">
            <v>0</v>
          </cell>
          <cell r="J306">
            <v>1480</v>
          </cell>
          <cell r="K306">
            <v>0</v>
          </cell>
          <cell r="L306">
            <v>1480</v>
          </cell>
          <cell r="M306">
            <v>0</v>
          </cell>
          <cell r="N306">
            <v>1480</v>
          </cell>
          <cell r="O306">
            <v>0</v>
          </cell>
          <cell r="P306">
            <v>1480</v>
          </cell>
          <cell r="Q306">
            <v>0</v>
          </cell>
          <cell r="R306">
            <v>1480</v>
          </cell>
          <cell r="S306">
            <v>0</v>
          </cell>
          <cell r="T306">
            <v>1480</v>
          </cell>
          <cell r="U306">
            <v>0</v>
          </cell>
          <cell r="V306">
            <v>1480</v>
          </cell>
          <cell r="W306">
            <v>0</v>
          </cell>
          <cell r="X306">
            <v>1480</v>
          </cell>
          <cell r="Y306">
            <v>0</v>
          </cell>
          <cell r="Z306">
            <v>1480</v>
          </cell>
          <cell r="AA306">
            <v>0</v>
          </cell>
          <cell r="AB306">
            <v>0</v>
          </cell>
          <cell r="AC306">
            <v>0</v>
          </cell>
          <cell r="AD306">
            <v>0.1</v>
          </cell>
          <cell r="AE306">
            <v>0</v>
          </cell>
          <cell r="AF306">
            <v>0</v>
          </cell>
          <cell r="AG306">
            <v>0</v>
          </cell>
          <cell r="AH306">
            <v>0</v>
          </cell>
          <cell r="AI306">
            <v>0</v>
          </cell>
          <cell r="AJ306">
            <v>0</v>
          </cell>
          <cell r="AK306">
            <v>0</v>
          </cell>
          <cell r="AL306">
            <v>0</v>
          </cell>
        </row>
        <row r="307">
          <cell r="E307" t="str">
            <v>G-丸Box2方出42mm</v>
          </cell>
          <cell r="F307" t="str">
            <v>個</v>
          </cell>
          <cell r="G307">
            <v>0</v>
          </cell>
          <cell r="H307">
            <v>1670</v>
          </cell>
          <cell r="I307">
            <v>0</v>
          </cell>
          <cell r="J307">
            <v>1670</v>
          </cell>
          <cell r="K307">
            <v>0</v>
          </cell>
          <cell r="L307">
            <v>1670</v>
          </cell>
          <cell r="M307">
            <v>0</v>
          </cell>
          <cell r="N307">
            <v>1670</v>
          </cell>
          <cell r="O307">
            <v>0</v>
          </cell>
          <cell r="P307">
            <v>1670</v>
          </cell>
          <cell r="Q307">
            <v>0</v>
          </cell>
          <cell r="R307">
            <v>1670</v>
          </cell>
          <cell r="S307">
            <v>0</v>
          </cell>
          <cell r="T307">
            <v>1670</v>
          </cell>
          <cell r="U307">
            <v>0</v>
          </cell>
          <cell r="V307">
            <v>1670</v>
          </cell>
          <cell r="W307">
            <v>0</v>
          </cell>
          <cell r="X307">
            <v>1670</v>
          </cell>
          <cell r="Y307">
            <v>0</v>
          </cell>
          <cell r="Z307">
            <v>1670</v>
          </cell>
          <cell r="AA307">
            <v>0</v>
          </cell>
          <cell r="AB307">
            <v>0</v>
          </cell>
          <cell r="AC307">
            <v>0</v>
          </cell>
          <cell r="AD307">
            <v>0.1</v>
          </cell>
          <cell r="AE307">
            <v>0</v>
          </cell>
          <cell r="AF307">
            <v>0</v>
          </cell>
          <cell r="AG307">
            <v>0</v>
          </cell>
          <cell r="AH307">
            <v>0</v>
          </cell>
          <cell r="AI307">
            <v>0</v>
          </cell>
          <cell r="AJ307">
            <v>0</v>
          </cell>
          <cell r="AK307">
            <v>0</v>
          </cell>
          <cell r="AL307">
            <v>0</v>
          </cell>
        </row>
        <row r="308">
          <cell r="E308" t="str">
            <v>G-丸Box3方出42mm</v>
          </cell>
          <cell r="F308" t="str">
            <v>個</v>
          </cell>
          <cell r="G308">
            <v>0</v>
          </cell>
          <cell r="H308">
            <v>2000</v>
          </cell>
          <cell r="I308">
            <v>0</v>
          </cell>
          <cell r="J308">
            <v>2000</v>
          </cell>
          <cell r="K308">
            <v>0</v>
          </cell>
          <cell r="L308">
            <v>2000</v>
          </cell>
          <cell r="M308">
            <v>0</v>
          </cell>
          <cell r="N308">
            <v>2000</v>
          </cell>
          <cell r="O308">
            <v>0</v>
          </cell>
          <cell r="P308">
            <v>2000</v>
          </cell>
          <cell r="Q308">
            <v>0</v>
          </cell>
          <cell r="R308">
            <v>2000</v>
          </cell>
          <cell r="S308">
            <v>0</v>
          </cell>
          <cell r="T308">
            <v>2000</v>
          </cell>
          <cell r="U308">
            <v>0</v>
          </cell>
          <cell r="V308">
            <v>2000</v>
          </cell>
          <cell r="W308">
            <v>0</v>
          </cell>
          <cell r="X308">
            <v>2000</v>
          </cell>
          <cell r="Y308">
            <v>0</v>
          </cell>
          <cell r="Z308">
            <v>2000</v>
          </cell>
          <cell r="AA308">
            <v>0</v>
          </cell>
          <cell r="AB308">
            <v>0</v>
          </cell>
          <cell r="AC308">
            <v>0</v>
          </cell>
          <cell r="AD308">
            <v>0.1</v>
          </cell>
          <cell r="AE308">
            <v>0</v>
          </cell>
          <cell r="AF308">
            <v>0</v>
          </cell>
          <cell r="AG308">
            <v>0</v>
          </cell>
          <cell r="AH308">
            <v>0</v>
          </cell>
          <cell r="AI308">
            <v>0</v>
          </cell>
          <cell r="AJ308">
            <v>0</v>
          </cell>
          <cell r="AK308">
            <v>0</v>
          </cell>
          <cell r="AL308">
            <v>0</v>
          </cell>
        </row>
        <row r="309">
          <cell r="E309" t="str">
            <v>G-丸Box4方出42mm</v>
          </cell>
          <cell r="F309" t="str">
            <v>個</v>
          </cell>
          <cell r="G309">
            <v>0</v>
          </cell>
          <cell r="H309">
            <v>2190</v>
          </cell>
          <cell r="I309">
            <v>0</v>
          </cell>
          <cell r="J309">
            <v>2190</v>
          </cell>
          <cell r="K309">
            <v>0</v>
          </cell>
          <cell r="L309">
            <v>2190</v>
          </cell>
          <cell r="M309">
            <v>0</v>
          </cell>
          <cell r="N309">
            <v>2190</v>
          </cell>
          <cell r="O309">
            <v>0</v>
          </cell>
          <cell r="P309">
            <v>2190</v>
          </cell>
          <cell r="Q309">
            <v>0</v>
          </cell>
          <cell r="R309">
            <v>2190</v>
          </cell>
          <cell r="S309">
            <v>0</v>
          </cell>
          <cell r="T309">
            <v>2190</v>
          </cell>
          <cell r="U309">
            <v>0</v>
          </cell>
          <cell r="V309">
            <v>2190</v>
          </cell>
          <cell r="W309">
            <v>0</v>
          </cell>
          <cell r="X309">
            <v>2190</v>
          </cell>
          <cell r="Y309">
            <v>0</v>
          </cell>
          <cell r="Z309">
            <v>2190</v>
          </cell>
          <cell r="AA309">
            <v>0</v>
          </cell>
          <cell r="AB309">
            <v>0</v>
          </cell>
          <cell r="AC309">
            <v>0</v>
          </cell>
          <cell r="AD309">
            <v>0.1</v>
          </cell>
          <cell r="AE309">
            <v>0</v>
          </cell>
          <cell r="AF309">
            <v>0</v>
          </cell>
          <cell r="AG309">
            <v>0</v>
          </cell>
          <cell r="AH309">
            <v>0</v>
          </cell>
          <cell r="AI309">
            <v>0</v>
          </cell>
          <cell r="AJ309">
            <v>0</v>
          </cell>
          <cell r="AK309">
            <v>0</v>
          </cell>
          <cell r="AL309">
            <v>0</v>
          </cell>
        </row>
        <row r="310">
          <cell r="E310" t="str">
            <v>G-SWBox1-1方出16mm</v>
          </cell>
          <cell r="F310" t="str">
            <v>個</v>
          </cell>
          <cell r="G310">
            <v>0</v>
          </cell>
          <cell r="H310">
            <v>372</v>
          </cell>
          <cell r="I310">
            <v>0</v>
          </cell>
          <cell r="J310">
            <v>372</v>
          </cell>
          <cell r="K310">
            <v>0</v>
          </cell>
          <cell r="L310">
            <v>372</v>
          </cell>
          <cell r="M310">
            <v>0</v>
          </cell>
          <cell r="N310">
            <v>372</v>
          </cell>
          <cell r="O310">
            <v>0</v>
          </cell>
          <cell r="P310">
            <v>372</v>
          </cell>
          <cell r="Q310">
            <v>0</v>
          </cell>
          <cell r="R310">
            <v>372</v>
          </cell>
          <cell r="S310">
            <v>0</v>
          </cell>
          <cell r="T310">
            <v>372</v>
          </cell>
          <cell r="U310">
            <v>0</v>
          </cell>
          <cell r="V310">
            <v>372</v>
          </cell>
          <cell r="W310">
            <v>0</v>
          </cell>
          <cell r="X310">
            <v>372</v>
          </cell>
          <cell r="Y310">
            <v>0</v>
          </cell>
          <cell r="Z310">
            <v>372</v>
          </cell>
          <cell r="AA310">
            <v>0</v>
          </cell>
          <cell r="AB310">
            <v>0</v>
          </cell>
          <cell r="AC310">
            <v>0</v>
          </cell>
          <cell r="AD310">
            <v>0.1</v>
          </cell>
          <cell r="AE310">
            <v>0</v>
          </cell>
          <cell r="AF310">
            <v>0</v>
          </cell>
          <cell r="AG310">
            <v>0</v>
          </cell>
          <cell r="AH310">
            <v>0</v>
          </cell>
          <cell r="AI310">
            <v>0</v>
          </cell>
          <cell r="AJ310">
            <v>0</v>
          </cell>
          <cell r="AK310">
            <v>0</v>
          </cell>
          <cell r="AL310">
            <v>0</v>
          </cell>
        </row>
        <row r="311">
          <cell r="E311" t="str">
            <v>G-SWBox1-2方出16mm</v>
          </cell>
          <cell r="F311" t="str">
            <v>個</v>
          </cell>
          <cell r="G311">
            <v>0</v>
          </cell>
          <cell r="H311">
            <v>448</v>
          </cell>
          <cell r="I311">
            <v>0</v>
          </cell>
          <cell r="J311">
            <v>448</v>
          </cell>
          <cell r="K311">
            <v>0</v>
          </cell>
          <cell r="L311">
            <v>448</v>
          </cell>
          <cell r="M311">
            <v>0</v>
          </cell>
          <cell r="N311">
            <v>448</v>
          </cell>
          <cell r="O311">
            <v>0</v>
          </cell>
          <cell r="P311">
            <v>448</v>
          </cell>
          <cell r="Q311">
            <v>0</v>
          </cell>
          <cell r="R311">
            <v>448</v>
          </cell>
          <cell r="S311">
            <v>0</v>
          </cell>
          <cell r="T311">
            <v>448</v>
          </cell>
          <cell r="U311">
            <v>0</v>
          </cell>
          <cell r="V311">
            <v>448</v>
          </cell>
          <cell r="W311">
            <v>0</v>
          </cell>
          <cell r="X311">
            <v>448</v>
          </cell>
          <cell r="Y311">
            <v>0</v>
          </cell>
          <cell r="Z311">
            <v>448</v>
          </cell>
          <cell r="AA311">
            <v>0</v>
          </cell>
          <cell r="AB311">
            <v>0</v>
          </cell>
          <cell r="AC311">
            <v>0</v>
          </cell>
          <cell r="AD311">
            <v>0.1</v>
          </cell>
          <cell r="AE311">
            <v>0</v>
          </cell>
          <cell r="AF311">
            <v>0</v>
          </cell>
          <cell r="AG311">
            <v>0</v>
          </cell>
          <cell r="AH311">
            <v>0</v>
          </cell>
          <cell r="AI311">
            <v>0</v>
          </cell>
          <cell r="AJ311">
            <v>0</v>
          </cell>
          <cell r="AK311">
            <v>0</v>
          </cell>
          <cell r="AL311">
            <v>0</v>
          </cell>
        </row>
        <row r="312">
          <cell r="E312" t="str">
            <v>G-SWBox2-1方出16mm</v>
          </cell>
          <cell r="F312" t="str">
            <v>個</v>
          </cell>
          <cell r="G312">
            <v>0</v>
          </cell>
          <cell r="H312">
            <v>730</v>
          </cell>
          <cell r="I312">
            <v>0</v>
          </cell>
          <cell r="J312">
            <v>730</v>
          </cell>
          <cell r="K312">
            <v>0</v>
          </cell>
          <cell r="L312">
            <v>730</v>
          </cell>
          <cell r="M312">
            <v>0</v>
          </cell>
          <cell r="N312">
            <v>730</v>
          </cell>
          <cell r="O312">
            <v>0</v>
          </cell>
          <cell r="P312">
            <v>730</v>
          </cell>
          <cell r="Q312">
            <v>0</v>
          </cell>
          <cell r="R312">
            <v>730</v>
          </cell>
          <cell r="S312">
            <v>0</v>
          </cell>
          <cell r="T312">
            <v>730</v>
          </cell>
          <cell r="U312">
            <v>0</v>
          </cell>
          <cell r="V312">
            <v>730</v>
          </cell>
          <cell r="W312">
            <v>0</v>
          </cell>
          <cell r="X312">
            <v>730</v>
          </cell>
          <cell r="Y312">
            <v>0</v>
          </cell>
          <cell r="Z312">
            <v>730</v>
          </cell>
          <cell r="AA312">
            <v>0</v>
          </cell>
          <cell r="AB312">
            <v>0</v>
          </cell>
          <cell r="AC312">
            <v>0</v>
          </cell>
          <cell r="AD312">
            <v>0.1</v>
          </cell>
          <cell r="AE312">
            <v>0</v>
          </cell>
          <cell r="AF312">
            <v>0</v>
          </cell>
          <cell r="AG312">
            <v>0</v>
          </cell>
          <cell r="AH312">
            <v>0</v>
          </cell>
          <cell r="AI312">
            <v>0</v>
          </cell>
          <cell r="AJ312">
            <v>0</v>
          </cell>
          <cell r="AK312">
            <v>0</v>
          </cell>
          <cell r="AL312">
            <v>0</v>
          </cell>
        </row>
        <row r="313">
          <cell r="E313" t="str">
            <v>G-SWBox3-1方出16mm</v>
          </cell>
          <cell r="F313" t="str">
            <v>個</v>
          </cell>
          <cell r="G313">
            <v>0</v>
          </cell>
          <cell r="H313">
            <v>1410</v>
          </cell>
          <cell r="I313">
            <v>0</v>
          </cell>
          <cell r="J313">
            <v>1410</v>
          </cell>
          <cell r="K313">
            <v>0</v>
          </cell>
          <cell r="L313">
            <v>1410</v>
          </cell>
          <cell r="M313">
            <v>0</v>
          </cell>
          <cell r="N313">
            <v>1410</v>
          </cell>
          <cell r="O313">
            <v>0</v>
          </cell>
          <cell r="P313">
            <v>1410</v>
          </cell>
          <cell r="Q313">
            <v>0</v>
          </cell>
          <cell r="R313">
            <v>1410</v>
          </cell>
          <cell r="S313">
            <v>0</v>
          </cell>
          <cell r="T313">
            <v>1410</v>
          </cell>
          <cell r="U313">
            <v>0</v>
          </cell>
          <cell r="V313">
            <v>1410</v>
          </cell>
          <cell r="W313">
            <v>0</v>
          </cell>
          <cell r="X313">
            <v>1410</v>
          </cell>
          <cell r="Y313">
            <v>0</v>
          </cell>
          <cell r="Z313">
            <v>1410</v>
          </cell>
          <cell r="AA313">
            <v>0</v>
          </cell>
          <cell r="AB313">
            <v>0</v>
          </cell>
          <cell r="AC313">
            <v>0</v>
          </cell>
          <cell r="AD313">
            <v>0.1</v>
          </cell>
          <cell r="AE313">
            <v>0</v>
          </cell>
          <cell r="AF313">
            <v>0</v>
          </cell>
          <cell r="AG313">
            <v>0</v>
          </cell>
          <cell r="AH313">
            <v>0</v>
          </cell>
          <cell r="AI313">
            <v>0</v>
          </cell>
          <cell r="AJ313">
            <v>0</v>
          </cell>
          <cell r="AK313">
            <v>0</v>
          </cell>
          <cell r="AL313">
            <v>0</v>
          </cell>
        </row>
        <row r="314">
          <cell r="E314" t="str">
            <v>G-SWBox1-1方出22mm</v>
          </cell>
          <cell r="F314" t="str">
            <v>個</v>
          </cell>
          <cell r="G314">
            <v>0</v>
          </cell>
          <cell r="H314">
            <v>460</v>
          </cell>
          <cell r="I314">
            <v>0</v>
          </cell>
          <cell r="J314">
            <v>460</v>
          </cell>
          <cell r="K314">
            <v>0</v>
          </cell>
          <cell r="L314">
            <v>460</v>
          </cell>
          <cell r="M314">
            <v>0</v>
          </cell>
          <cell r="N314">
            <v>460</v>
          </cell>
          <cell r="O314">
            <v>0</v>
          </cell>
          <cell r="P314">
            <v>460</v>
          </cell>
          <cell r="Q314">
            <v>0</v>
          </cell>
          <cell r="R314">
            <v>460</v>
          </cell>
          <cell r="S314">
            <v>0</v>
          </cell>
          <cell r="T314">
            <v>460</v>
          </cell>
          <cell r="U314">
            <v>0</v>
          </cell>
          <cell r="V314">
            <v>460</v>
          </cell>
          <cell r="W314">
            <v>0</v>
          </cell>
          <cell r="X314">
            <v>460</v>
          </cell>
          <cell r="Y314">
            <v>0</v>
          </cell>
          <cell r="Z314">
            <v>460</v>
          </cell>
          <cell r="AA314">
            <v>0</v>
          </cell>
          <cell r="AB314">
            <v>0</v>
          </cell>
          <cell r="AC314">
            <v>0</v>
          </cell>
          <cell r="AD314">
            <v>0.1</v>
          </cell>
          <cell r="AE314">
            <v>0</v>
          </cell>
          <cell r="AF314">
            <v>0</v>
          </cell>
          <cell r="AG314">
            <v>0</v>
          </cell>
          <cell r="AH314">
            <v>0</v>
          </cell>
          <cell r="AI314">
            <v>0</v>
          </cell>
          <cell r="AJ314">
            <v>0</v>
          </cell>
          <cell r="AK314">
            <v>0</v>
          </cell>
          <cell r="AL314">
            <v>0</v>
          </cell>
        </row>
        <row r="315">
          <cell r="E315" t="str">
            <v>G-SWBox1-2方出22mm</v>
          </cell>
          <cell r="F315" t="str">
            <v>個</v>
          </cell>
          <cell r="G315">
            <v>0</v>
          </cell>
          <cell r="H315">
            <v>568</v>
          </cell>
          <cell r="I315">
            <v>0</v>
          </cell>
          <cell r="J315">
            <v>568</v>
          </cell>
          <cell r="K315">
            <v>0</v>
          </cell>
          <cell r="L315">
            <v>568</v>
          </cell>
          <cell r="M315">
            <v>0</v>
          </cell>
          <cell r="N315">
            <v>568</v>
          </cell>
          <cell r="O315">
            <v>0</v>
          </cell>
          <cell r="P315">
            <v>568</v>
          </cell>
          <cell r="Q315">
            <v>0</v>
          </cell>
          <cell r="R315">
            <v>568</v>
          </cell>
          <cell r="S315">
            <v>0</v>
          </cell>
          <cell r="T315">
            <v>568</v>
          </cell>
          <cell r="U315">
            <v>0</v>
          </cell>
          <cell r="V315">
            <v>568</v>
          </cell>
          <cell r="W315">
            <v>0</v>
          </cell>
          <cell r="X315">
            <v>568</v>
          </cell>
          <cell r="Y315">
            <v>0</v>
          </cell>
          <cell r="Z315">
            <v>568</v>
          </cell>
          <cell r="AA315">
            <v>0</v>
          </cell>
          <cell r="AB315">
            <v>0</v>
          </cell>
          <cell r="AC315">
            <v>0</v>
          </cell>
          <cell r="AD315">
            <v>0.1</v>
          </cell>
          <cell r="AE315">
            <v>0</v>
          </cell>
          <cell r="AF315">
            <v>0</v>
          </cell>
          <cell r="AG315">
            <v>0</v>
          </cell>
          <cell r="AH315">
            <v>0</v>
          </cell>
          <cell r="AI315">
            <v>0</v>
          </cell>
          <cell r="AJ315">
            <v>0</v>
          </cell>
          <cell r="AK315">
            <v>0</v>
          </cell>
          <cell r="AL315">
            <v>0</v>
          </cell>
        </row>
        <row r="316">
          <cell r="E316" t="str">
            <v>G-SWBox2-1方出22mm</v>
          </cell>
          <cell r="F316" t="str">
            <v>個</v>
          </cell>
          <cell r="G316">
            <v>0</v>
          </cell>
          <cell r="H316">
            <v>921</v>
          </cell>
          <cell r="I316">
            <v>0</v>
          </cell>
          <cell r="J316">
            <v>921</v>
          </cell>
          <cell r="K316">
            <v>0</v>
          </cell>
          <cell r="L316">
            <v>921</v>
          </cell>
          <cell r="M316">
            <v>0</v>
          </cell>
          <cell r="N316">
            <v>921</v>
          </cell>
          <cell r="O316">
            <v>0</v>
          </cell>
          <cell r="P316">
            <v>921</v>
          </cell>
          <cell r="Q316">
            <v>0</v>
          </cell>
          <cell r="R316">
            <v>921</v>
          </cell>
          <cell r="S316">
            <v>0</v>
          </cell>
          <cell r="T316">
            <v>921</v>
          </cell>
          <cell r="U316">
            <v>0</v>
          </cell>
          <cell r="V316">
            <v>921</v>
          </cell>
          <cell r="W316">
            <v>0</v>
          </cell>
          <cell r="X316">
            <v>921</v>
          </cell>
          <cell r="Y316">
            <v>0</v>
          </cell>
          <cell r="Z316">
            <v>921</v>
          </cell>
          <cell r="AA316">
            <v>0</v>
          </cell>
          <cell r="AB316">
            <v>0</v>
          </cell>
          <cell r="AC316">
            <v>0</v>
          </cell>
          <cell r="AD316">
            <v>0.1</v>
          </cell>
          <cell r="AE316">
            <v>0</v>
          </cell>
          <cell r="AF316">
            <v>0</v>
          </cell>
          <cell r="AG316">
            <v>0</v>
          </cell>
          <cell r="AH316">
            <v>0</v>
          </cell>
          <cell r="AI316">
            <v>0</v>
          </cell>
          <cell r="AJ316">
            <v>0</v>
          </cell>
          <cell r="AK316">
            <v>0</v>
          </cell>
          <cell r="AL316">
            <v>0</v>
          </cell>
        </row>
        <row r="317">
          <cell r="E317" t="str">
            <v>G-SWBox3-1方出22mm</v>
          </cell>
          <cell r="F317" t="str">
            <v>個</v>
          </cell>
          <cell r="G317">
            <v>0</v>
          </cell>
          <cell r="H317">
            <v>1570</v>
          </cell>
          <cell r="I317">
            <v>0</v>
          </cell>
          <cell r="J317">
            <v>1570</v>
          </cell>
          <cell r="K317">
            <v>0</v>
          </cell>
          <cell r="L317">
            <v>1570</v>
          </cell>
          <cell r="M317">
            <v>0</v>
          </cell>
          <cell r="N317">
            <v>1570</v>
          </cell>
          <cell r="O317">
            <v>0</v>
          </cell>
          <cell r="P317">
            <v>1570</v>
          </cell>
          <cell r="Q317">
            <v>0</v>
          </cell>
          <cell r="R317">
            <v>1570</v>
          </cell>
          <cell r="S317">
            <v>0</v>
          </cell>
          <cell r="T317">
            <v>1570</v>
          </cell>
          <cell r="U317">
            <v>0</v>
          </cell>
          <cell r="V317">
            <v>1570</v>
          </cell>
          <cell r="W317">
            <v>0</v>
          </cell>
          <cell r="X317">
            <v>1570</v>
          </cell>
          <cell r="Y317">
            <v>0</v>
          </cell>
          <cell r="Z317">
            <v>1570</v>
          </cell>
          <cell r="AA317">
            <v>0</v>
          </cell>
          <cell r="AB317">
            <v>0</v>
          </cell>
          <cell r="AC317">
            <v>0</v>
          </cell>
          <cell r="AD317">
            <v>0.1</v>
          </cell>
          <cell r="AE317">
            <v>0</v>
          </cell>
          <cell r="AF317">
            <v>0</v>
          </cell>
          <cell r="AG317">
            <v>0</v>
          </cell>
          <cell r="AH317">
            <v>0</v>
          </cell>
          <cell r="AI317">
            <v>0</v>
          </cell>
          <cell r="AJ317">
            <v>0</v>
          </cell>
          <cell r="AK317">
            <v>0</v>
          </cell>
          <cell r="AL317">
            <v>0</v>
          </cell>
        </row>
        <row r="318">
          <cell r="E318" t="str">
            <v>G-SWBox1-1方出28mm</v>
          </cell>
          <cell r="F318" t="str">
            <v>個</v>
          </cell>
          <cell r="G318">
            <v>0</v>
          </cell>
          <cell r="H318">
            <v>842</v>
          </cell>
          <cell r="I318">
            <v>0</v>
          </cell>
          <cell r="J318">
            <v>842</v>
          </cell>
          <cell r="K318">
            <v>0</v>
          </cell>
          <cell r="L318">
            <v>842</v>
          </cell>
          <cell r="M318">
            <v>0</v>
          </cell>
          <cell r="N318">
            <v>842</v>
          </cell>
          <cell r="O318">
            <v>0</v>
          </cell>
          <cell r="P318">
            <v>842</v>
          </cell>
          <cell r="Q318">
            <v>0</v>
          </cell>
          <cell r="R318">
            <v>842</v>
          </cell>
          <cell r="S318">
            <v>0</v>
          </cell>
          <cell r="T318">
            <v>842</v>
          </cell>
          <cell r="U318">
            <v>0</v>
          </cell>
          <cell r="V318">
            <v>842</v>
          </cell>
          <cell r="W318">
            <v>0</v>
          </cell>
          <cell r="X318">
            <v>842</v>
          </cell>
          <cell r="Y318">
            <v>0</v>
          </cell>
          <cell r="Z318">
            <v>842</v>
          </cell>
          <cell r="AA318">
            <v>0</v>
          </cell>
          <cell r="AB318">
            <v>0</v>
          </cell>
          <cell r="AC318">
            <v>0</v>
          </cell>
          <cell r="AD318">
            <v>0.1</v>
          </cell>
          <cell r="AE318">
            <v>0</v>
          </cell>
          <cell r="AF318">
            <v>0</v>
          </cell>
          <cell r="AG318">
            <v>0</v>
          </cell>
          <cell r="AH318">
            <v>0</v>
          </cell>
          <cell r="AI318">
            <v>0</v>
          </cell>
          <cell r="AJ318">
            <v>0</v>
          </cell>
          <cell r="AK318">
            <v>0</v>
          </cell>
          <cell r="AL318">
            <v>0</v>
          </cell>
        </row>
        <row r="319">
          <cell r="E319" t="str">
            <v>G-SWBox1-2方出28mm</v>
          </cell>
          <cell r="F319" t="str">
            <v>個</v>
          </cell>
          <cell r="G319">
            <v>0</v>
          </cell>
          <cell r="H319">
            <v>1150</v>
          </cell>
          <cell r="I319">
            <v>0</v>
          </cell>
          <cell r="J319">
            <v>1150</v>
          </cell>
          <cell r="K319">
            <v>0</v>
          </cell>
          <cell r="L319">
            <v>1150</v>
          </cell>
          <cell r="M319">
            <v>0</v>
          </cell>
          <cell r="N319">
            <v>1150</v>
          </cell>
          <cell r="O319">
            <v>0</v>
          </cell>
          <cell r="P319">
            <v>1150</v>
          </cell>
          <cell r="Q319">
            <v>0</v>
          </cell>
          <cell r="R319">
            <v>1150</v>
          </cell>
          <cell r="S319">
            <v>0</v>
          </cell>
          <cell r="T319">
            <v>1150</v>
          </cell>
          <cell r="U319">
            <v>0</v>
          </cell>
          <cell r="V319">
            <v>1150</v>
          </cell>
          <cell r="W319">
            <v>0</v>
          </cell>
          <cell r="X319">
            <v>1150</v>
          </cell>
          <cell r="Y319">
            <v>0</v>
          </cell>
          <cell r="Z319">
            <v>1150</v>
          </cell>
          <cell r="AA319">
            <v>0</v>
          </cell>
          <cell r="AB319">
            <v>0</v>
          </cell>
          <cell r="AC319">
            <v>0</v>
          </cell>
          <cell r="AD319">
            <v>0.1</v>
          </cell>
          <cell r="AE319">
            <v>0</v>
          </cell>
          <cell r="AF319">
            <v>0</v>
          </cell>
          <cell r="AG319">
            <v>0</v>
          </cell>
          <cell r="AH319">
            <v>0</v>
          </cell>
          <cell r="AI319">
            <v>0</v>
          </cell>
          <cell r="AJ319">
            <v>0</v>
          </cell>
          <cell r="AK319">
            <v>0</v>
          </cell>
          <cell r="AL319">
            <v>0</v>
          </cell>
        </row>
        <row r="320">
          <cell r="E320" t="str">
            <v>G-SWBox2-1方出28mm</v>
          </cell>
          <cell r="F320" t="str">
            <v>個</v>
          </cell>
          <cell r="G320">
            <v>0</v>
          </cell>
          <cell r="H320">
            <v>1580</v>
          </cell>
          <cell r="I320">
            <v>0</v>
          </cell>
          <cell r="J320">
            <v>1580</v>
          </cell>
          <cell r="K320">
            <v>0</v>
          </cell>
          <cell r="L320">
            <v>1580</v>
          </cell>
          <cell r="M320">
            <v>0</v>
          </cell>
          <cell r="N320">
            <v>1580</v>
          </cell>
          <cell r="O320">
            <v>0</v>
          </cell>
          <cell r="P320">
            <v>1580</v>
          </cell>
          <cell r="Q320">
            <v>0</v>
          </cell>
          <cell r="R320">
            <v>1580</v>
          </cell>
          <cell r="S320">
            <v>0</v>
          </cell>
          <cell r="T320">
            <v>1580</v>
          </cell>
          <cell r="U320">
            <v>0</v>
          </cell>
          <cell r="V320">
            <v>1580</v>
          </cell>
          <cell r="W320">
            <v>0</v>
          </cell>
          <cell r="X320">
            <v>1580</v>
          </cell>
          <cell r="Y320">
            <v>0</v>
          </cell>
          <cell r="Z320">
            <v>1580</v>
          </cell>
          <cell r="AA320">
            <v>0</v>
          </cell>
          <cell r="AB320">
            <v>0</v>
          </cell>
          <cell r="AC320">
            <v>0</v>
          </cell>
          <cell r="AD320">
            <v>0.1</v>
          </cell>
          <cell r="AE320">
            <v>0</v>
          </cell>
          <cell r="AF320">
            <v>0</v>
          </cell>
          <cell r="AG320">
            <v>0</v>
          </cell>
          <cell r="AH320">
            <v>0</v>
          </cell>
          <cell r="AI320">
            <v>0</v>
          </cell>
          <cell r="AJ320">
            <v>0</v>
          </cell>
          <cell r="AK320">
            <v>0</v>
          </cell>
          <cell r="AL320">
            <v>0</v>
          </cell>
        </row>
        <row r="321">
          <cell r="E321" t="str">
            <v>G-SWBox3-1方出28mm</v>
          </cell>
          <cell r="F321" t="str">
            <v>個</v>
          </cell>
          <cell r="G321">
            <v>0</v>
          </cell>
          <cell r="H321">
            <v>1970</v>
          </cell>
          <cell r="I321">
            <v>0</v>
          </cell>
          <cell r="J321">
            <v>1970</v>
          </cell>
          <cell r="K321">
            <v>0</v>
          </cell>
          <cell r="L321">
            <v>1970</v>
          </cell>
          <cell r="M321">
            <v>0</v>
          </cell>
          <cell r="N321">
            <v>1970</v>
          </cell>
          <cell r="O321">
            <v>0</v>
          </cell>
          <cell r="P321">
            <v>1970</v>
          </cell>
          <cell r="Q321">
            <v>0</v>
          </cell>
          <cell r="R321">
            <v>1970</v>
          </cell>
          <cell r="S321">
            <v>0</v>
          </cell>
          <cell r="T321">
            <v>1970</v>
          </cell>
          <cell r="U321">
            <v>0</v>
          </cell>
          <cell r="V321">
            <v>1970</v>
          </cell>
          <cell r="W321">
            <v>0</v>
          </cell>
          <cell r="X321">
            <v>1970</v>
          </cell>
          <cell r="Y321">
            <v>0</v>
          </cell>
          <cell r="Z321">
            <v>1970</v>
          </cell>
          <cell r="AA321">
            <v>0</v>
          </cell>
          <cell r="AB321">
            <v>0</v>
          </cell>
          <cell r="AC321">
            <v>0</v>
          </cell>
          <cell r="AD321">
            <v>0.1</v>
          </cell>
          <cell r="AE321">
            <v>0</v>
          </cell>
          <cell r="AF321">
            <v>0</v>
          </cell>
          <cell r="AG321">
            <v>0</v>
          </cell>
          <cell r="AH321">
            <v>0</v>
          </cell>
          <cell r="AI321">
            <v>0</v>
          </cell>
          <cell r="AJ321">
            <v>0</v>
          </cell>
          <cell r="AK321">
            <v>0</v>
          </cell>
          <cell r="AL321">
            <v>0</v>
          </cell>
        </row>
        <row r="322">
          <cell r="E322" t="str">
            <v>VE-SBox1個用</v>
          </cell>
          <cell r="F322" t="str">
            <v>個</v>
          </cell>
          <cell r="G322">
            <v>0</v>
          </cell>
          <cell r="H322">
            <v>170</v>
          </cell>
          <cell r="I322">
            <v>0</v>
          </cell>
          <cell r="J322">
            <v>170</v>
          </cell>
          <cell r="K322">
            <v>0</v>
          </cell>
          <cell r="L322">
            <v>170</v>
          </cell>
          <cell r="M322">
            <v>0</v>
          </cell>
          <cell r="N322">
            <v>170</v>
          </cell>
          <cell r="O322">
            <v>0</v>
          </cell>
          <cell r="P322">
            <v>170</v>
          </cell>
          <cell r="Q322">
            <v>0</v>
          </cell>
          <cell r="R322">
            <v>170</v>
          </cell>
          <cell r="S322">
            <v>0</v>
          </cell>
          <cell r="T322">
            <v>170</v>
          </cell>
          <cell r="U322">
            <v>0</v>
          </cell>
          <cell r="V322">
            <v>170</v>
          </cell>
          <cell r="W322">
            <v>0</v>
          </cell>
          <cell r="X322">
            <v>170</v>
          </cell>
          <cell r="Y322">
            <v>0</v>
          </cell>
          <cell r="Z322">
            <v>170</v>
          </cell>
          <cell r="AA322">
            <v>0</v>
          </cell>
          <cell r="AB322">
            <v>0</v>
          </cell>
          <cell r="AC322">
            <v>0</v>
          </cell>
          <cell r="AD322">
            <v>0.1</v>
          </cell>
          <cell r="AE322">
            <v>0</v>
          </cell>
          <cell r="AF322">
            <v>0</v>
          </cell>
          <cell r="AG322">
            <v>0</v>
          </cell>
          <cell r="AH322">
            <v>0</v>
          </cell>
          <cell r="AI322">
            <v>0</v>
          </cell>
          <cell r="AJ322">
            <v>0</v>
          </cell>
          <cell r="AK322">
            <v>0</v>
          </cell>
          <cell r="AL322">
            <v>0</v>
          </cell>
        </row>
        <row r="323">
          <cell r="E323" t="str">
            <v>VE-SBox2個用</v>
          </cell>
          <cell r="F323" t="str">
            <v>個</v>
          </cell>
          <cell r="G323">
            <v>0</v>
          </cell>
          <cell r="H323">
            <v>352</v>
          </cell>
          <cell r="I323">
            <v>0</v>
          </cell>
          <cell r="J323">
            <v>352</v>
          </cell>
          <cell r="K323">
            <v>0</v>
          </cell>
          <cell r="L323">
            <v>352</v>
          </cell>
          <cell r="M323">
            <v>0</v>
          </cell>
          <cell r="N323">
            <v>352</v>
          </cell>
          <cell r="O323">
            <v>0</v>
          </cell>
          <cell r="P323">
            <v>352</v>
          </cell>
          <cell r="Q323">
            <v>0</v>
          </cell>
          <cell r="R323">
            <v>352</v>
          </cell>
          <cell r="S323">
            <v>0</v>
          </cell>
          <cell r="T323">
            <v>352</v>
          </cell>
          <cell r="U323">
            <v>0</v>
          </cell>
          <cell r="V323">
            <v>352</v>
          </cell>
          <cell r="W323">
            <v>0</v>
          </cell>
          <cell r="X323">
            <v>352</v>
          </cell>
          <cell r="Y323">
            <v>0</v>
          </cell>
          <cell r="Z323">
            <v>352</v>
          </cell>
          <cell r="AA323">
            <v>0</v>
          </cell>
          <cell r="AB323">
            <v>0</v>
          </cell>
          <cell r="AC323">
            <v>0</v>
          </cell>
          <cell r="AD323">
            <v>0.1</v>
          </cell>
          <cell r="AE323">
            <v>0</v>
          </cell>
          <cell r="AF323">
            <v>0</v>
          </cell>
          <cell r="AG323">
            <v>0</v>
          </cell>
          <cell r="AH323">
            <v>0</v>
          </cell>
          <cell r="AI323">
            <v>0</v>
          </cell>
          <cell r="AJ323">
            <v>0</v>
          </cell>
          <cell r="AK323">
            <v>0</v>
          </cell>
          <cell r="AL323">
            <v>0</v>
          </cell>
        </row>
        <row r="324">
          <cell r="E324" t="str">
            <v>VE-SBox3個用</v>
          </cell>
          <cell r="F324" t="str">
            <v>個</v>
          </cell>
          <cell r="G324">
            <v>0</v>
          </cell>
          <cell r="H324">
            <v>832</v>
          </cell>
          <cell r="I324">
            <v>0</v>
          </cell>
          <cell r="J324">
            <v>832</v>
          </cell>
          <cell r="K324">
            <v>0</v>
          </cell>
          <cell r="L324">
            <v>832</v>
          </cell>
          <cell r="M324">
            <v>0</v>
          </cell>
          <cell r="N324">
            <v>832</v>
          </cell>
          <cell r="O324">
            <v>0</v>
          </cell>
          <cell r="P324">
            <v>832</v>
          </cell>
          <cell r="Q324">
            <v>0</v>
          </cell>
          <cell r="R324">
            <v>832</v>
          </cell>
          <cell r="S324">
            <v>0</v>
          </cell>
          <cell r="T324">
            <v>832</v>
          </cell>
          <cell r="U324">
            <v>0</v>
          </cell>
          <cell r="V324">
            <v>832</v>
          </cell>
          <cell r="W324">
            <v>0</v>
          </cell>
          <cell r="X324">
            <v>832</v>
          </cell>
          <cell r="Y324">
            <v>0</v>
          </cell>
          <cell r="Z324">
            <v>832</v>
          </cell>
          <cell r="AA324">
            <v>0</v>
          </cell>
          <cell r="AB324">
            <v>0</v>
          </cell>
          <cell r="AC324">
            <v>0</v>
          </cell>
          <cell r="AD324">
            <v>0.1</v>
          </cell>
          <cell r="AE324">
            <v>0</v>
          </cell>
          <cell r="AF324">
            <v>0</v>
          </cell>
          <cell r="AG324">
            <v>0</v>
          </cell>
          <cell r="AH324">
            <v>0</v>
          </cell>
          <cell r="AI324">
            <v>0</v>
          </cell>
          <cell r="AJ324">
            <v>0</v>
          </cell>
          <cell r="AK324">
            <v>0</v>
          </cell>
          <cell r="AL324">
            <v>0</v>
          </cell>
        </row>
        <row r="325">
          <cell r="E325" t="str">
            <v>VE-SBox4個用</v>
          </cell>
          <cell r="F325" t="str">
            <v>個</v>
          </cell>
          <cell r="G325">
            <v>0</v>
          </cell>
          <cell r="H325">
            <v>1230</v>
          </cell>
          <cell r="I325">
            <v>0</v>
          </cell>
          <cell r="J325">
            <v>1230</v>
          </cell>
          <cell r="K325">
            <v>0</v>
          </cell>
          <cell r="L325">
            <v>1230</v>
          </cell>
          <cell r="M325">
            <v>0</v>
          </cell>
          <cell r="N325">
            <v>1230</v>
          </cell>
          <cell r="O325">
            <v>0</v>
          </cell>
          <cell r="P325">
            <v>1230</v>
          </cell>
          <cell r="Q325">
            <v>0</v>
          </cell>
          <cell r="R325">
            <v>1230</v>
          </cell>
          <cell r="S325">
            <v>0</v>
          </cell>
          <cell r="T325">
            <v>1230</v>
          </cell>
          <cell r="U325">
            <v>0</v>
          </cell>
          <cell r="V325">
            <v>1230</v>
          </cell>
          <cell r="W325">
            <v>0</v>
          </cell>
          <cell r="X325">
            <v>1230</v>
          </cell>
          <cell r="Y325">
            <v>0</v>
          </cell>
          <cell r="Z325">
            <v>1230</v>
          </cell>
          <cell r="AA325">
            <v>0</v>
          </cell>
          <cell r="AB325">
            <v>0</v>
          </cell>
          <cell r="AC325">
            <v>0</v>
          </cell>
          <cell r="AD325">
            <v>0.1</v>
          </cell>
          <cell r="AE325">
            <v>0</v>
          </cell>
          <cell r="AF325">
            <v>0</v>
          </cell>
          <cell r="AG325">
            <v>0</v>
          </cell>
          <cell r="AH325">
            <v>0</v>
          </cell>
          <cell r="AI325">
            <v>0</v>
          </cell>
          <cell r="AJ325">
            <v>0</v>
          </cell>
          <cell r="AK325">
            <v>0</v>
          </cell>
          <cell r="AL325">
            <v>0</v>
          </cell>
        </row>
        <row r="326">
          <cell r="E326" t="str">
            <v>VE-SBox5個用</v>
          </cell>
          <cell r="F326" t="str">
            <v>個</v>
          </cell>
          <cell r="G326">
            <v>0</v>
          </cell>
          <cell r="H326">
            <v>1390</v>
          </cell>
          <cell r="I326">
            <v>0</v>
          </cell>
          <cell r="J326">
            <v>1390</v>
          </cell>
          <cell r="K326">
            <v>0</v>
          </cell>
          <cell r="L326">
            <v>1390</v>
          </cell>
          <cell r="M326">
            <v>0</v>
          </cell>
          <cell r="N326">
            <v>1390</v>
          </cell>
          <cell r="O326">
            <v>0</v>
          </cell>
          <cell r="P326">
            <v>1390</v>
          </cell>
          <cell r="Q326">
            <v>0</v>
          </cell>
          <cell r="R326">
            <v>1390</v>
          </cell>
          <cell r="S326">
            <v>0</v>
          </cell>
          <cell r="T326">
            <v>1390</v>
          </cell>
          <cell r="U326">
            <v>0</v>
          </cell>
          <cell r="V326">
            <v>1390</v>
          </cell>
          <cell r="W326">
            <v>0</v>
          </cell>
          <cell r="X326">
            <v>1390</v>
          </cell>
          <cell r="Y326">
            <v>0</v>
          </cell>
          <cell r="Z326">
            <v>1390</v>
          </cell>
          <cell r="AA326">
            <v>0</v>
          </cell>
          <cell r="AB326">
            <v>0</v>
          </cell>
          <cell r="AC326">
            <v>0</v>
          </cell>
          <cell r="AD326">
            <v>0.1</v>
          </cell>
          <cell r="AE326">
            <v>0</v>
          </cell>
          <cell r="AF326">
            <v>0</v>
          </cell>
          <cell r="AG326">
            <v>0</v>
          </cell>
          <cell r="AH326">
            <v>0</v>
          </cell>
          <cell r="AI326">
            <v>0</v>
          </cell>
          <cell r="AJ326">
            <v>0</v>
          </cell>
          <cell r="AK326">
            <v>0</v>
          </cell>
          <cell r="AL326">
            <v>0</v>
          </cell>
        </row>
        <row r="327">
          <cell r="E327" t="str">
            <v>VE-OBox4角中44mm</v>
          </cell>
          <cell r="F327" t="str">
            <v>個</v>
          </cell>
          <cell r="G327">
            <v>0</v>
          </cell>
          <cell r="H327">
            <v>167</v>
          </cell>
          <cell r="I327">
            <v>0</v>
          </cell>
          <cell r="J327">
            <v>167</v>
          </cell>
          <cell r="K327">
            <v>0</v>
          </cell>
          <cell r="L327">
            <v>167</v>
          </cell>
          <cell r="M327">
            <v>0</v>
          </cell>
          <cell r="N327">
            <v>167</v>
          </cell>
          <cell r="O327">
            <v>0</v>
          </cell>
          <cell r="P327">
            <v>167</v>
          </cell>
          <cell r="Q327">
            <v>0</v>
          </cell>
          <cell r="R327">
            <v>167</v>
          </cell>
          <cell r="S327">
            <v>0</v>
          </cell>
          <cell r="T327">
            <v>167</v>
          </cell>
          <cell r="U327">
            <v>0</v>
          </cell>
          <cell r="V327">
            <v>167</v>
          </cell>
          <cell r="W327">
            <v>0</v>
          </cell>
          <cell r="X327">
            <v>167</v>
          </cell>
          <cell r="Y327">
            <v>0</v>
          </cell>
          <cell r="Z327">
            <v>167</v>
          </cell>
          <cell r="AA327">
            <v>0</v>
          </cell>
          <cell r="AB327">
            <v>0</v>
          </cell>
          <cell r="AC327">
            <v>0</v>
          </cell>
          <cell r="AD327">
            <v>0.1</v>
          </cell>
          <cell r="AE327">
            <v>0</v>
          </cell>
          <cell r="AF327">
            <v>0</v>
          </cell>
          <cell r="AG327">
            <v>0</v>
          </cell>
          <cell r="AH327">
            <v>0</v>
          </cell>
          <cell r="AI327">
            <v>0</v>
          </cell>
          <cell r="AJ327">
            <v>0</v>
          </cell>
          <cell r="AK327">
            <v>0</v>
          </cell>
          <cell r="AL327">
            <v>0</v>
          </cell>
        </row>
        <row r="328">
          <cell r="E328" t="str">
            <v>VE-OBox4角中54mm</v>
          </cell>
          <cell r="F328" t="str">
            <v>個</v>
          </cell>
          <cell r="G328">
            <v>0</v>
          </cell>
          <cell r="H328">
            <v>192</v>
          </cell>
          <cell r="I328">
            <v>0</v>
          </cell>
          <cell r="J328">
            <v>192</v>
          </cell>
          <cell r="K328">
            <v>0</v>
          </cell>
          <cell r="L328">
            <v>192</v>
          </cell>
          <cell r="M328">
            <v>0</v>
          </cell>
          <cell r="N328">
            <v>192</v>
          </cell>
          <cell r="O328">
            <v>0</v>
          </cell>
          <cell r="P328">
            <v>192</v>
          </cell>
          <cell r="Q328">
            <v>0</v>
          </cell>
          <cell r="R328">
            <v>192</v>
          </cell>
          <cell r="S328">
            <v>0</v>
          </cell>
          <cell r="T328">
            <v>192</v>
          </cell>
          <cell r="U328">
            <v>0</v>
          </cell>
          <cell r="V328">
            <v>192</v>
          </cell>
          <cell r="W328">
            <v>0</v>
          </cell>
          <cell r="X328">
            <v>192</v>
          </cell>
          <cell r="Y328">
            <v>0</v>
          </cell>
          <cell r="Z328">
            <v>192</v>
          </cell>
          <cell r="AA328">
            <v>0</v>
          </cell>
          <cell r="AB328">
            <v>0</v>
          </cell>
          <cell r="AC328">
            <v>0</v>
          </cell>
          <cell r="AD328">
            <v>0.1</v>
          </cell>
          <cell r="AE328">
            <v>0</v>
          </cell>
          <cell r="AF328">
            <v>0</v>
          </cell>
          <cell r="AG328">
            <v>0</v>
          </cell>
          <cell r="AH328">
            <v>0</v>
          </cell>
          <cell r="AI328">
            <v>0</v>
          </cell>
          <cell r="AJ328">
            <v>0</v>
          </cell>
          <cell r="AK328">
            <v>0</v>
          </cell>
          <cell r="AL328">
            <v>0</v>
          </cell>
        </row>
        <row r="329">
          <cell r="E329" t="str">
            <v>VE-OBox4角大44mm</v>
          </cell>
          <cell r="F329" t="str">
            <v>個</v>
          </cell>
          <cell r="G329">
            <v>0</v>
          </cell>
          <cell r="H329">
            <v>313</v>
          </cell>
          <cell r="I329">
            <v>0</v>
          </cell>
          <cell r="J329">
            <v>313</v>
          </cell>
          <cell r="K329">
            <v>0</v>
          </cell>
          <cell r="L329">
            <v>313</v>
          </cell>
          <cell r="M329">
            <v>0</v>
          </cell>
          <cell r="N329">
            <v>313</v>
          </cell>
          <cell r="O329">
            <v>0</v>
          </cell>
          <cell r="P329">
            <v>313</v>
          </cell>
          <cell r="Q329">
            <v>0</v>
          </cell>
          <cell r="R329">
            <v>313</v>
          </cell>
          <cell r="S329">
            <v>0</v>
          </cell>
          <cell r="T329">
            <v>313</v>
          </cell>
          <cell r="U329">
            <v>0</v>
          </cell>
          <cell r="V329">
            <v>313</v>
          </cell>
          <cell r="W329">
            <v>0</v>
          </cell>
          <cell r="X329">
            <v>313</v>
          </cell>
          <cell r="Y329">
            <v>0</v>
          </cell>
          <cell r="Z329">
            <v>313</v>
          </cell>
          <cell r="AA329">
            <v>0</v>
          </cell>
          <cell r="AB329">
            <v>0</v>
          </cell>
          <cell r="AC329">
            <v>0</v>
          </cell>
          <cell r="AD329">
            <v>0.1</v>
          </cell>
          <cell r="AE329">
            <v>0</v>
          </cell>
          <cell r="AF329">
            <v>0</v>
          </cell>
          <cell r="AG329">
            <v>0</v>
          </cell>
          <cell r="AH329">
            <v>0</v>
          </cell>
          <cell r="AI329">
            <v>0</v>
          </cell>
          <cell r="AJ329">
            <v>0</v>
          </cell>
          <cell r="AK329">
            <v>0</v>
          </cell>
          <cell r="AL329">
            <v>0</v>
          </cell>
        </row>
        <row r="330">
          <cell r="E330" t="str">
            <v>VE-OBox4角大54mm</v>
          </cell>
          <cell r="F330" t="str">
            <v>個</v>
          </cell>
          <cell r="G330">
            <v>0</v>
          </cell>
          <cell r="H330">
            <v>352</v>
          </cell>
          <cell r="I330">
            <v>0</v>
          </cell>
          <cell r="J330">
            <v>352</v>
          </cell>
          <cell r="K330">
            <v>0</v>
          </cell>
          <cell r="L330">
            <v>352</v>
          </cell>
          <cell r="M330">
            <v>0</v>
          </cell>
          <cell r="N330">
            <v>352</v>
          </cell>
          <cell r="O330">
            <v>0</v>
          </cell>
          <cell r="P330">
            <v>352</v>
          </cell>
          <cell r="Q330">
            <v>0</v>
          </cell>
          <cell r="R330">
            <v>352</v>
          </cell>
          <cell r="S330">
            <v>0</v>
          </cell>
          <cell r="T330">
            <v>352</v>
          </cell>
          <cell r="U330">
            <v>0</v>
          </cell>
          <cell r="V330">
            <v>352</v>
          </cell>
          <cell r="W330">
            <v>0</v>
          </cell>
          <cell r="X330">
            <v>352</v>
          </cell>
          <cell r="Y330">
            <v>0</v>
          </cell>
          <cell r="Z330">
            <v>352</v>
          </cell>
          <cell r="AA330">
            <v>0</v>
          </cell>
          <cell r="AB330">
            <v>0</v>
          </cell>
          <cell r="AC330">
            <v>0</v>
          </cell>
          <cell r="AD330">
            <v>0.1</v>
          </cell>
          <cell r="AE330">
            <v>0</v>
          </cell>
          <cell r="AF330">
            <v>0</v>
          </cell>
          <cell r="AG330">
            <v>0</v>
          </cell>
          <cell r="AH330">
            <v>0</v>
          </cell>
          <cell r="AI330">
            <v>0</v>
          </cell>
          <cell r="AJ330">
            <v>0</v>
          </cell>
          <cell r="AK330">
            <v>0</v>
          </cell>
          <cell r="AL330">
            <v>0</v>
          </cell>
        </row>
        <row r="331">
          <cell r="E331" t="str">
            <v>VE-OBox4角中50mm</v>
          </cell>
          <cell r="F331" t="str">
            <v>個</v>
          </cell>
          <cell r="G331">
            <v>0</v>
          </cell>
          <cell r="H331">
            <v>319</v>
          </cell>
          <cell r="I331">
            <v>0</v>
          </cell>
          <cell r="J331">
            <v>319</v>
          </cell>
          <cell r="K331">
            <v>0</v>
          </cell>
          <cell r="L331">
            <v>319</v>
          </cell>
          <cell r="M331">
            <v>0</v>
          </cell>
          <cell r="N331">
            <v>319</v>
          </cell>
          <cell r="O331">
            <v>0</v>
          </cell>
          <cell r="P331">
            <v>319</v>
          </cell>
          <cell r="Q331">
            <v>0</v>
          </cell>
          <cell r="R331">
            <v>319</v>
          </cell>
          <cell r="S331">
            <v>0</v>
          </cell>
          <cell r="T331">
            <v>319</v>
          </cell>
          <cell r="U331">
            <v>0</v>
          </cell>
          <cell r="V331">
            <v>319</v>
          </cell>
          <cell r="W331">
            <v>0</v>
          </cell>
          <cell r="X331">
            <v>319</v>
          </cell>
          <cell r="Y331">
            <v>0</v>
          </cell>
          <cell r="Z331">
            <v>319</v>
          </cell>
          <cell r="AA331">
            <v>0</v>
          </cell>
          <cell r="AB331">
            <v>0</v>
          </cell>
          <cell r="AC331">
            <v>0</v>
          </cell>
          <cell r="AD331">
            <v>0.1</v>
          </cell>
          <cell r="AE331">
            <v>0</v>
          </cell>
          <cell r="AF331">
            <v>0</v>
          </cell>
          <cell r="AG331">
            <v>0</v>
          </cell>
          <cell r="AH331">
            <v>0</v>
          </cell>
          <cell r="AI331">
            <v>0</v>
          </cell>
          <cell r="AJ331">
            <v>0</v>
          </cell>
          <cell r="AK331">
            <v>0</v>
          </cell>
          <cell r="AL331">
            <v>0</v>
          </cell>
        </row>
        <row r="332">
          <cell r="E332" t="str">
            <v>VE-OBox4角中60mm</v>
          </cell>
          <cell r="F332" t="str">
            <v>個</v>
          </cell>
          <cell r="G332">
            <v>0</v>
          </cell>
          <cell r="H332">
            <v>363</v>
          </cell>
          <cell r="I332">
            <v>0</v>
          </cell>
          <cell r="J332">
            <v>363</v>
          </cell>
          <cell r="K332">
            <v>0</v>
          </cell>
          <cell r="L332">
            <v>363</v>
          </cell>
          <cell r="M332">
            <v>0</v>
          </cell>
          <cell r="N332">
            <v>363</v>
          </cell>
          <cell r="O332">
            <v>0</v>
          </cell>
          <cell r="P332">
            <v>363</v>
          </cell>
          <cell r="Q332">
            <v>0</v>
          </cell>
          <cell r="R332">
            <v>363</v>
          </cell>
          <cell r="S332">
            <v>0</v>
          </cell>
          <cell r="T332">
            <v>363</v>
          </cell>
          <cell r="U332">
            <v>0</v>
          </cell>
          <cell r="V332">
            <v>363</v>
          </cell>
          <cell r="W332">
            <v>0</v>
          </cell>
          <cell r="X332">
            <v>363</v>
          </cell>
          <cell r="Y332">
            <v>0</v>
          </cell>
          <cell r="Z332">
            <v>363</v>
          </cell>
          <cell r="AA332">
            <v>0</v>
          </cell>
          <cell r="AB332">
            <v>0</v>
          </cell>
          <cell r="AC332">
            <v>0</v>
          </cell>
          <cell r="AD332">
            <v>0.1</v>
          </cell>
          <cell r="AE332">
            <v>0</v>
          </cell>
          <cell r="AF332">
            <v>0</v>
          </cell>
          <cell r="AG332">
            <v>0</v>
          </cell>
          <cell r="AH332">
            <v>0</v>
          </cell>
          <cell r="AI332">
            <v>0</v>
          </cell>
          <cell r="AJ332">
            <v>0</v>
          </cell>
          <cell r="AK332">
            <v>0</v>
          </cell>
          <cell r="AL332">
            <v>0</v>
          </cell>
        </row>
        <row r="333">
          <cell r="E333" t="str">
            <v>VE-CBox4角中44mm</v>
          </cell>
          <cell r="F333" t="str">
            <v>個</v>
          </cell>
          <cell r="G333">
            <v>0</v>
          </cell>
          <cell r="H333">
            <v>302</v>
          </cell>
          <cell r="I333">
            <v>0</v>
          </cell>
          <cell r="J333">
            <v>302</v>
          </cell>
          <cell r="K333">
            <v>0</v>
          </cell>
          <cell r="L333">
            <v>302</v>
          </cell>
          <cell r="M333">
            <v>0</v>
          </cell>
          <cell r="N333">
            <v>302</v>
          </cell>
          <cell r="O333">
            <v>0</v>
          </cell>
          <cell r="P333">
            <v>302</v>
          </cell>
          <cell r="Q333">
            <v>0</v>
          </cell>
          <cell r="R333">
            <v>302</v>
          </cell>
          <cell r="S333">
            <v>0</v>
          </cell>
          <cell r="T333">
            <v>302</v>
          </cell>
          <cell r="U333">
            <v>0</v>
          </cell>
          <cell r="V333">
            <v>302</v>
          </cell>
          <cell r="W333">
            <v>0</v>
          </cell>
          <cell r="X333">
            <v>302</v>
          </cell>
          <cell r="Y333">
            <v>0</v>
          </cell>
          <cell r="Z333">
            <v>302</v>
          </cell>
          <cell r="AA333">
            <v>0</v>
          </cell>
          <cell r="AB333">
            <v>0</v>
          </cell>
          <cell r="AC333">
            <v>0</v>
          </cell>
          <cell r="AD333">
            <v>0.1</v>
          </cell>
          <cell r="AE333">
            <v>0</v>
          </cell>
          <cell r="AF333">
            <v>0</v>
          </cell>
          <cell r="AG333">
            <v>0</v>
          </cell>
          <cell r="AH333">
            <v>0</v>
          </cell>
          <cell r="AI333">
            <v>0</v>
          </cell>
          <cell r="AJ333">
            <v>0</v>
          </cell>
          <cell r="AK333">
            <v>0</v>
          </cell>
          <cell r="AL333">
            <v>0</v>
          </cell>
        </row>
        <row r="334">
          <cell r="E334" t="str">
            <v>VE-CBox4角中54mm</v>
          </cell>
          <cell r="F334" t="str">
            <v>個</v>
          </cell>
          <cell r="G334">
            <v>0</v>
          </cell>
          <cell r="H334">
            <v>324</v>
          </cell>
          <cell r="I334">
            <v>0</v>
          </cell>
          <cell r="J334">
            <v>324</v>
          </cell>
          <cell r="K334">
            <v>0</v>
          </cell>
          <cell r="L334">
            <v>324</v>
          </cell>
          <cell r="M334">
            <v>0</v>
          </cell>
          <cell r="N334">
            <v>324</v>
          </cell>
          <cell r="O334">
            <v>0</v>
          </cell>
          <cell r="P334">
            <v>324</v>
          </cell>
          <cell r="Q334">
            <v>0</v>
          </cell>
          <cell r="R334">
            <v>324</v>
          </cell>
          <cell r="S334">
            <v>0</v>
          </cell>
          <cell r="T334">
            <v>324</v>
          </cell>
          <cell r="U334">
            <v>0</v>
          </cell>
          <cell r="V334">
            <v>324</v>
          </cell>
          <cell r="W334">
            <v>0</v>
          </cell>
          <cell r="X334">
            <v>324</v>
          </cell>
          <cell r="Y334">
            <v>0</v>
          </cell>
          <cell r="Z334">
            <v>324</v>
          </cell>
          <cell r="AA334">
            <v>0</v>
          </cell>
          <cell r="AB334">
            <v>0</v>
          </cell>
          <cell r="AC334">
            <v>0</v>
          </cell>
          <cell r="AD334">
            <v>0.1</v>
          </cell>
          <cell r="AE334">
            <v>0</v>
          </cell>
          <cell r="AF334">
            <v>0</v>
          </cell>
          <cell r="AG334">
            <v>0</v>
          </cell>
          <cell r="AH334">
            <v>0</v>
          </cell>
          <cell r="AI334">
            <v>0</v>
          </cell>
          <cell r="AJ334">
            <v>0</v>
          </cell>
          <cell r="AK334">
            <v>0</v>
          </cell>
          <cell r="AL334">
            <v>0</v>
          </cell>
        </row>
        <row r="335">
          <cell r="E335" t="str">
            <v>VE-CBox4角中75mm</v>
          </cell>
          <cell r="F335" t="str">
            <v>個</v>
          </cell>
          <cell r="G335">
            <v>0</v>
          </cell>
          <cell r="H335">
            <v>357</v>
          </cell>
          <cell r="I335">
            <v>0</v>
          </cell>
          <cell r="J335">
            <v>357</v>
          </cell>
          <cell r="K335">
            <v>0</v>
          </cell>
          <cell r="L335">
            <v>357</v>
          </cell>
          <cell r="M335">
            <v>0</v>
          </cell>
          <cell r="N335">
            <v>357</v>
          </cell>
          <cell r="O335">
            <v>0</v>
          </cell>
          <cell r="P335">
            <v>357</v>
          </cell>
          <cell r="Q335">
            <v>0</v>
          </cell>
          <cell r="R335">
            <v>357</v>
          </cell>
          <cell r="S335">
            <v>0</v>
          </cell>
          <cell r="T335">
            <v>357</v>
          </cell>
          <cell r="U335">
            <v>0</v>
          </cell>
          <cell r="V335">
            <v>357</v>
          </cell>
          <cell r="W335">
            <v>0</v>
          </cell>
          <cell r="X335">
            <v>357</v>
          </cell>
          <cell r="Y335">
            <v>0</v>
          </cell>
          <cell r="Z335">
            <v>357</v>
          </cell>
          <cell r="AA335">
            <v>0</v>
          </cell>
          <cell r="AB335">
            <v>0</v>
          </cell>
          <cell r="AC335">
            <v>0</v>
          </cell>
          <cell r="AD335">
            <v>0.1</v>
          </cell>
          <cell r="AE335">
            <v>0</v>
          </cell>
          <cell r="AF335">
            <v>0</v>
          </cell>
          <cell r="AG335">
            <v>0</v>
          </cell>
          <cell r="AH335">
            <v>0</v>
          </cell>
          <cell r="AI335">
            <v>0</v>
          </cell>
          <cell r="AJ335">
            <v>0</v>
          </cell>
          <cell r="AK335">
            <v>0</v>
          </cell>
          <cell r="AL335">
            <v>0</v>
          </cell>
        </row>
        <row r="336">
          <cell r="E336" t="str">
            <v>VE-CBox4角大44mm</v>
          </cell>
          <cell r="F336" t="str">
            <v>個</v>
          </cell>
          <cell r="G336">
            <v>0</v>
          </cell>
          <cell r="H336">
            <v>522</v>
          </cell>
          <cell r="I336">
            <v>0</v>
          </cell>
          <cell r="J336">
            <v>522</v>
          </cell>
          <cell r="K336">
            <v>0</v>
          </cell>
          <cell r="L336">
            <v>522</v>
          </cell>
          <cell r="M336">
            <v>0</v>
          </cell>
          <cell r="N336">
            <v>522</v>
          </cell>
          <cell r="O336">
            <v>0</v>
          </cell>
          <cell r="P336">
            <v>522</v>
          </cell>
          <cell r="Q336">
            <v>0</v>
          </cell>
          <cell r="R336">
            <v>522</v>
          </cell>
          <cell r="S336">
            <v>0</v>
          </cell>
          <cell r="T336">
            <v>522</v>
          </cell>
          <cell r="U336">
            <v>0</v>
          </cell>
          <cell r="V336">
            <v>522</v>
          </cell>
          <cell r="W336">
            <v>0</v>
          </cell>
          <cell r="X336">
            <v>522</v>
          </cell>
          <cell r="Y336">
            <v>0</v>
          </cell>
          <cell r="Z336">
            <v>522</v>
          </cell>
          <cell r="AA336">
            <v>0</v>
          </cell>
          <cell r="AB336">
            <v>0</v>
          </cell>
          <cell r="AC336">
            <v>0</v>
          </cell>
          <cell r="AD336">
            <v>0.1</v>
          </cell>
          <cell r="AE336">
            <v>0</v>
          </cell>
          <cell r="AF336">
            <v>0</v>
          </cell>
          <cell r="AG336">
            <v>0</v>
          </cell>
          <cell r="AH336">
            <v>0</v>
          </cell>
          <cell r="AI336">
            <v>0</v>
          </cell>
          <cell r="AJ336">
            <v>0</v>
          </cell>
          <cell r="AK336">
            <v>0</v>
          </cell>
          <cell r="AL336">
            <v>0</v>
          </cell>
        </row>
        <row r="337">
          <cell r="E337" t="str">
            <v>VE-CBox4角大54mm</v>
          </cell>
          <cell r="F337" t="str">
            <v>個</v>
          </cell>
          <cell r="G337">
            <v>0</v>
          </cell>
          <cell r="H337">
            <v>577</v>
          </cell>
          <cell r="I337">
            <v>0</v>
          </cell>
          <cell r="J337">
            <v>577</v>
          </cell>
          <cell r="K337">
            <v>0</v>
          </cell>
          <cell r="L337">
            <v>577</v>
          </cell>
          <cell r="M337">
            <v>0</v>
          </cell>
          <cell r="N337">
            <v>577</v>
          </cell>
          <cell r="O337">
            <v>0</v>
          </cell>
          <cell r="P337">
            <v>577</v>
          </cell>
          <cell r="Q337">
            <v>0</v>
          </cell>
          <cell r="R337">
            <v>577</v>
          </cell>
          <cell r="S337">
            <v>0</v>
          </cell>
          <cell r="T337">
            <v>577</v>
          </cell>
          <cell r="U337">
            <v>0</v>
          </cell>
          <cell r="V337">
            <v>577</v>
          </cell>
          <cell r="W337">
            <v>0</v>
          </cell>
          <cell r="X337">
            <v>577</v>
          </cell>
          <cell r="Y337">
            <v>0</v>
          </cell>
          <cell r="Z337">
            <v>577</v>
          </cell>
          <cell r="AA337">
            <v>0</v>
          </cell>
          <cell r="AB337">
            <v>0</v>
          </cell>
          <cell r="AC337">
            <v>0</v>
          </cell>
          <cell r="AD337">
            <v>0.1</v>
          </cell>
          <cell r="AE337">
            <v>0</v>
          </cell>
          <cell r="AF337">
            <v>0</v>
          </cell>
          <cell r="AG337">
            <v>0</v>
          </cell>
          <cell r="AH337">
            <v>0</v>
          </cell>
          <cell r="AI337">
            <v>0</v>
          </cell>
          <cell r="AJ337">
            <v>0</v>
          </cell>
          <cell r="AK337">
            <v>0</v>
          </cell>
          <cell r="AL337">
            <v>0</v>
          </cell>
        </row>
        <row r="338">
          <cell r="E338" t="str">
            <v>VE-CBox8角54mm</v>
          </cell>
          <cell r="F338" t="str">
            <v>個</v>
          </cell>
          <cell r="G338">
            <v>0</v>
          </cell>
          <cell r="H338">
            <v>302</v>
          </cell>
          <cell r="I338">
            <v>0</v>
          </cell>
          <cell r="J338">
            <v>302</v>
          </cell>
          <cell r="K338">
            <v>0</v>
          </cell>
          <cell r="L338">
            <v>302</v>
          </cell>
          <cell r="M338">
            <v>0</v>
          </cell>
          <cell r="N338">
            <v>302</v>
          </cell>
          <cell r="O338">
            <v>0</v>
          </cell>
          <cell r="P338">
            <v>302</v>
          </cell>
          <cell r="Q338">
            <v>0</v>
          </cell>
          <cell r="R338">
            <v>302</v>
          </cell>
          <cell r="S338">
            <v>0</v>
          </cell>
          <cell r="T338">
            <v>302</v>
          </cell>
          <cell r="U338">
            <v>0</v>
          </cell>
          <cell r="V338">
            <v>302</v>
          </cell>
          <cell r="W338">
            <v>0</v>
          </cell>
          <cell r="X338">
            <v>302</v>
          </cell>
          <cell r="Y338">
            <v>0</v>
          </cell>
          <cell r="Z338">
            <v>302</v>
          </cell>
          <cell r="AA338">
            <v>0</v>
          </cell>
          <cell r="AB338">
            <v>0</v>
          </cell>
          <cell r="AC338">
            <v>0</v>
          </cell>
          <cell r="AD338">
            <v>0.1</v>
          </cell>
          <cell r="AE338">
            <v>0</v>
          </cell>
          <cell r="AF338">
            <v>0</v>
          </cell>
          <cell r="AG338">
            <v>0</v>
          </cell>
          <cell r="AH338">
            <v>0</v>
          </cell>
          <cell r="AI338">
            <v>0</v>
          </cell>
          <cell r="AJ338">
            <v>0</v>
          </cell>
          <cell r="AK338">
            <v>0</v>
          </cell>
          <cell r="AL338">
            <v>0</v>
          </cell>
        </row>
        <row r="339">
          <cell r="E339" t="str">
            <v>VE-CBox8角75mm</v>
          </cell>
          <cell r="F339" t="str">
            <v>個</v>
          </cell>
          <cell r="G339">
            <v>0</v>
          </cell>
          <cell r="H339">
            <v>324</v>
          </cell>
          <cell r="I339">
            <v>0</v>
          </cell>
          <cell r="J339">
            <v>324</v>
          </cell>
          <cell r="K339">
            <v>0</v>
          </cell>
          <cell r="L339">
            <v>324</v>
          </cell>
          <cell r="M339">
            <v>0</v>
          </cell>
          <cell r="N339">
            <v>324</v>
          </cell>
          <cell r="O339">
            <v>0</v>
          </cell>
          <cell r="P339">
            <v>324</v>
          </cell>
          <cell r="Q339">
            <v>0</v>
          </cell>
          <cell r="R339">
            <v>324</v>
          </cell>
          <cell r="S339">
            <v>0</v>
          </cell>
          <cell r="T339">
            <v>324</v>
          </cell>
          <cell r="U339">
            <v>0</v>
          </cell>
          <cell r="V339">
            <v>324</v>
          </cell>
          <cell r="W339">
            <v>0</v>
          </cell>
          <cell r="X339">
            <v>324</v>
          </cell>
          <cell r="Y339">
            <v>0</v>
          </cell>
          <cell r="Z339">
            <v>324</v>
          </cell>
          <cell r="AA339">
            <v>0</v>
          </cell>
          <cell r="AB339">
            <v>0</v>
          </cell>
          <cell r="AC339">
            <v>0</v>
          </cell>
          <cell r="AD339">
            <v>0.1</v>
          </cell>
          <cell r="AE339">
            <v>0</v>
          </cell>
          <cell r="AF339">
            <v>0</v>
          </cell>
          <cell r="AG339">
            <v>0</v>
          </cell>
          <cell r="AH339">
            <v>0</v>
          </cell>
          <cell r="AI339">
            <v>0</v>
          </cell>
          <cell r="AJ339">
            <v>0</v>
          </cell>
          <cell r="AK339">
            <v>0</v>
          </cell>
          <cell r="AL339">
            <v>0</v>
          </cell>
        </row>
        <row r="340">
          <cell r="E340" t="str">
            <v>VE丸Box1方出14mm</v>
          </cell>
          <cell r="F340" t="str">
            <v>個</v>
          </cell>
          <cell r="G340">
            <v>0</v>
          </cell>
          <cell r="H340">
            <v>172</v>
          </cell>
          <cell r="I340">
            <v>0</v>
          </cell>
          <cell r="J340">
            <v>172</v>
          </cell>
          <cell r="K340">
            <v>0</v>
          </cell>
          <cell r="L340">
            <v>172</v>
          </cell>
          <cell r="M340">
            <v>0</v>
          </cell>
          <cell r="N340">
            <v>172</v>
          </cell>
          <cell r="O340">
            <v>0</v>
          </cell>
          <cell r="P340">
            <v>172</v>
          </cell>
          <cell r="Q340">
            <v>0</v>
          </cell>
          <cell r="R340">
            <v>172</v>
          </cell>
          <cell r="S340">
            <v>0</v>
          </cell>
          <cell r="T340">
            <v>172</v>
          </cell>
          <cell r="U340">
            <v>0</v>
          </cell>
          <cell r="V340">
            <v>172</v>
          </cell>
          <cell r="W340">
            <v>0</v>
          </cell>
          <cell r="X340">
            <v>172</v>
          </cell>
          <cell r="Y340">
            <v>0</v>
          </cell>
          <cell r="Z340">
            <v>172</v>
          </cell>
          <cell r="AA340">
            <v>0</v>
          </cell>
          <cell r="AB340">
            <v>0</v>
          </cell>
          <cell r="AC340">
            <v>0</v>
          </cell>
          <cell r="AD340">
            <v>0.1</v>
          </cell>
          <cell r="AE340">
            <v>0</v>
          </cell>
          <cell r="AF340">
            <v>0</v>
          </cell>
          <cell r="AG340">
            <v>0</v>
          </cell>
          <cell r="AH340">
            <v>0</v>
          </cell>
          <cell r="AI340">
            <v>0</v>
          </cell>
          <cell r="AJ340">
            <v>0</v>
          </cell>
          <cell r="AK340">
            <v>0</v>
          </cell>
          <cell r="AL340">
            <v>0</v>
          </cell>
        </row>
        <row r="341">
          <cell r="E341" t="str">
            <v>VE丸Box2方出14mm</v>
          </cell>
          <cell r="F341" t="str">
            <v>個</v>
          </cell>
          <cell r="G341">
            <v>0</v>
          </cell>
          <cell r="H341">
            <v>172</v>
          </cell>
          <cell r="I341">
            <v>0</v>
          </cell>
          <cell r="J341">
            <v>172</v>
          </cell>
          <cell r="K341">
            <v>0</v>
          </cell>
          <cell r="L341">
            <v>172</v>
          </cell>
          <cell r="M341">
            <v>0</v>
          </cell>
          <cell r="N341">
            <v>172</v>
          </cell>
          <cell r="O341">
            <v>0</v>
          </cell>
          <cell r="P341">
            <v>172</v>
          </cell>
          <cell r="Q341">
            <v>0</v>
          </cell>
          <cell r="R341">
            <v>172</v>
          </cell>
          <cell r="S341">
            <v>0</v>
          </cell>
          <cell r="T341">
            <v>172</v>
          </cell>
          <cell r="U341">
            <v>0</v>
          </cell>
          <cell r="V341">
            <v>172</v>
          </cell>
          <cell r="W341">
            <v>0</v>
          </cell>
          <cell r="X341">
            <v>172</v>
          </cell>
          <cell r="Y341">
            <v>0</v>
          </cell>
          <cell r="Z341">
            <v>172</v>
          </cell>
          <cell r="AA341">
            <v>0</v>
          </cell>
          <cell r="AB341">
            <v>0</v>
          </cell>
          <cell r="AC341">
            <v>0</v>
          </cell>
          <cell r="AD341">
            <v>0.1</v>
          </cell>
          <cell r="AE341">
            <v>0</v>
          </cell>
          <cell r="AF341">
            <v>0</v>
          </cell>
          <cell r="AG341">
            <v>0</v>
          </cell>
          <cell r="AH341">
            <v>0</v>
          </cell>
          <cell r="AI341">
            <v>0</v>
          </cell>
          <cell r="AJ341">
            <v>0</v>
          </cell>
          <cell r="AK341">
            <v>0</v>
          </cell>
          <cell r="AL341">
            <v>0</v>
          </cell>
        </row>
        <row r="342">
          <cell r="E342" t="str">
            <v>VE丸Box3方出14mm</v>
          </cell>
          <cell r="F342" t="str">
            <v>個</v>
          </cell>
          <cell r="G342">
            <v>0</v>
          </cell>
          <cell r="H342">
            <v>172</v>
          </cell>
          <cell r="I342">
            <v>0</v>
          </cell>
          <cell r="J342">
            <v>172</v>
          </cell>
          <cell r="K342">
            <v>0</v>
          </cell>
          <cell r="L342">
            <v>172</v>
          </cell>
          <cell r="M342">
            <v>0</v>
          </cell>
          <cell r="N342">
            <v>172</v>
          </cell>
          <cell r="O342">
            <v>0</v>
          </cell>
          <cell r="P342">
            <v>172</v>
          </cell>
          <cell r="Q342">
            <v>0</v>
          </cell>
          <cell r="R342">
            <v>172</v>
          </cell>
          <cell r="S342">
            <v>0</v>
          </cell>
          <cell r="T342">
            <v>172</v>
          </cell>
          <cell r="U342">
            <v>0</v>
          </cell>
          <cell r="V342">
            <v>172</v>
          </cell>
          <cell r="W342">
            <v>0</v>
          </cell>
          <cell r="X342">
            <v>172</v>
          </cell>
          <cell r="Y342">
            <v>0</v>
          </cell>
          <cell r="Z342">
            <v>172</v>
          </cell>
          <cell r="AA342">
            <v>0</v>
          </cell>
          <cell r="AB342">
            <v>0</v>
          </cell>
          <cell r="AC342">
            <v>0</v>
          </cell>
          <cell r="AD342">
            <v>0.1</v>
          </cell>
          <cell r="AE342">
            <v>0</v>
          </cell>
          <cell r="AF342">
            <v>0</v>
          </cell>
          <cell r="AG342">
            <v>0</v>
          </cell>
          <cell r="AH342">
            <v>0</v>
          </cell>
          <cell r="AI342">
            <v>0</v>
          </cell>
          <cell r="AJ342">
            <v>0</v>
          </cell>
          <cell r="AK342">
            <v>0</v>
          </cell>
          <cell r="AL342">
            <v>0</v>
          </cell>
        </row>
        <row r="343">
          <cell r="E343" t="str">
            <v>VE丸Box4方出14mm</v>
          </cell>
          <cell r="F343" t="str">
            <v>個</v>
          </cell>
          <cell r="G343">
            <v>0</v>
          </cell>
          <cell r="H343">
            <v>172</v>
          </cell>
          <cell r="I343">
            <v>0</v>
          </cell>
          <cell r="J343">
            <v>172</v>
          </cell>
          <cell r="K343">
            <v>0</v>
          </cell>
          <cell r="L343">
            <v>172</v>
          </cell>
          <cell r="M343">
            <v>0</v>
          </cell>
          <cell r="N343">
            <v>172</v>
          </cell>
          <cell r="O343">
            <v>0</v>
          </cell>
          <cell r="P343">
            <v>172</v>
          </cell>
          <cell r="Q343">
            <v>0</v>
          </cell>
          <cell r="R343">
            <v>172</v>
          </cell>
          <cell r="S343">
            <v>0</v>
          </cell>
          <cell r="T343">
            <v>172</v>
          </cell>
          <cell r="U343">
            <v>0</v>
          </cell>
          <cell r="V343">
            <v>172</v>
          </cell>
          <cell r="W343">
            <v>0</v>
          </cell>
          <cell r="X343">
            <v>172</v>
          </cell>
          <cell r="Y343">
            <v>0</v>
          </cell>
          <cell r="Z343">
            <v>172</v>
          </cell>
          <cell r="AA343">
            <v>0</v>
          </cell>
          <cell r="AB343">
            <v>0</v>
          </cell>
          <cell r="AC343">
            <v>0</v>
          </cell>
          <cell r="AD343">
            <v>0.1</v>
          </cell>
          <cell r="AE343">
            <v>0</v>
          </cell>
          <cell r="AF343">
            <v>0</v>
          </cell>
          <cell r="AG343">
            <v>0</v>
          </cell>
          <cell r="AH343">
            <v>0</v>
          </cell>
          <cell r="AI343">
            <v>0</v>
          </cell>
          <cell r="AJ343">
            <v>0</v>
          </cell>
          <cell r="AK343">
            <v>0</v>
          </cell>
          <cell r="AL343">
            <v>0</v>
          </cell>
        </row>
        <row r="344">
          <cell r="E344" t="str">
            <v>VE丸Box1方出16mm</v>
          </cell>
          <cell r="F344" t="str">
            <v>個</v>
          </cell>
          <cell r="G344">
            <v>0</v>
          </cell>
          <cell r="H344">
            <v>176</v>
          </cell>
          <cell r="I344">
            <v>0</v>
          </cell>
          <cell r="J344">
            <v>176</v>
          </cell>
          <cell r="K344">
            <v>0</v>
          </cell>
          <cell r="L344">
            <v>176</v>
          </cell>
          <cell r="M344">
            <v>0</v>
          </cell>
          <cell r="N344">
            <v>176</v>
          </cell>
          <cell r="O344">
            <v>0</v>
          </cell>
          <cell r="P344">
            <v>176</v>
          </cell>
          <cell r="Q344">
            <v>0</v>
          </cell>
          <cell r="R344">
            <v>176</v>
          </cell>
          <cell r="S344">
            <v>0</v>
          </cell>
          <cell r="T344">
            <v>176</v>
          </cell>
          <cell r="U344">
            <v>0</v>
          </cell>
          <cell r="V344">
            <v>176</v>
          </cell>
          <cell r="W344">
            <v>0</v>
          </cell>
          <cell r="X344">
            <v>176</v>
          </cell>
          <cell r="Y344">
            <v>0</v>
          </cell>
          <cell r="Z344">
            <v>176</v>
          </cell>
          <cell r="AA344">
            <v>0</v>
          </cell>
          <cell r="AB344">
            <v>0</v>
          </cell>
          <cell r="AC344">
            <v>0</v>
          </cell>
          <cell r="AD344">
            <v>0.1</v>
          </cell>
          <cell r="AE344">
            <v>0</v>
          </cell>
          <cell r="AF344">
            <v>0</v>
          </cell>
          <cell r="AG344">
            <v>0</v>
          </cell>
          <cell r="AH344">
            <v>0</v>
          </cell>
          <cell r="AI344">
            <v>0</v>
          </cell>
          <cell r="AJ344">
            <v>0</v>
          </cell>
          <cell r="AK344">
            <v>0</v>
          </cell>
          <cell r="AL344">
            <v>0</v>
          </cell>
        </row>
        <row r="345">
          <cell r="E345" t="str">
            <v>VE丸Box2方出16mm</v>
          </cell>
          <cell r="F345" t="str">
            <v>個</v>
          </cell>
          <cell r="G345">
            <v>0</v>
          </cell>
          <cell r="H345">
            <v>176</v>
          </cell>
          <cell r="I345">
            <v>0</v>
          </cell>
          <cell r="J345">
            <v>176</v>
          </cell>
          <cell r="K345">
            <v>0</v>
          </cell>
          <cell r="L345">
            <v>176</v>
          </cell>
          <cell r="M345">
            <v>0</v>
          </cell>
          <cell r="N345">
            <v>176</v>
          </cell>
          <cell r="O345">
            <v>0</v>
          </cell>
          <cell r="P345">
            <v>176</v>
          </cell>
          <cell r="Q345">
            <v>0</v>
          </cell>
          <cell r="R345">
            <v>176</v>
          </cell>
          <cell r="S345">
            <v>0</v>
          </cell>
          <cell r="T345">
            <v>176</v>
          </cell>
          <cell r="U345">
            <v>0</v>
          </cell>
          <cell r="V345">
            <v>176</v>
          </cell>
          <cell r="W345">
            <v>0</v>
          </cell>
          <cell r="X345">
            <v>176</v>
          </cell>
          <cell r="Y345">
            <v>0</v>
          </cell>
          <cell r="Z345">
            <v>176</v>
          </cell>
          <cell r="AA345">
            <v>0</v>
          </cell>
          <cell r="AB345">
            <v>0</v>
          </cell>
          <cell r="AC345">
            <v>0</v>
          </cell>
          <cell r="AD345">
            <v>0.1</v>
          </cell>
          <cell r="AE345">
            <v>0</v>
          </cell>
          <cell r="AF345">
            <v>0</v>
          </cell>
          <cell r="AG345">
            <v>0</v>
          </cell>
          <cell r="AH345">
            <v>0</v>
          </cell>
          <cell r="AI345">
            <v>0</v>
          </cell>
          <cell r="AJ345">
            <v>0</v>
          </cell>
          <cell r="AK345">
            <v>0</v>
          </cell>
          <cell r="AL345">
            <v>0</v>
          </cell>
        </row>
        <row r="346">
          <cell r="E346" t="str">
            <v>VE丸Box3方出16mm</v>
          </cell>
          <cell r="F346" t="str">
            <v>個</v>
          </cell>
          <cell r="G346">
            <v>0</v>
          </cell>
          <cell r="H346">
            <v>176</v>
          </cell>
          <cell r="I346">
            <v>0</v>
          </cell>
          <cell r="J346">
            <v>176</v>
          </cell>
          <cell r="K346">
            <v>0</v>
          </cell>
          <cell r="L346">
            <v>176</v>
          </cell>
          <cell r="M346">
            <v>0</v>
          </cell>
          <cell r="N346">
            <v>176</v>
          </cell>
          <cell r="O346">
            <v>0</v>
          </cell>
          <cell r="P346">
            <v>176</v>
          </cell>
          <cell r="Q346">
            <v>0</v>
          </cell>
          <cell r="R346">
            <v>176</v>
          </cell>
          <cell r="S346">
            <v>0</v>
          </cell>
          <cell r="T346">
            <v>176</v>
          </cell>
          <cell r="U346">
            <v>0</v>
          </cell>
          <cell r="V346">
            <v>176</v>
          </cell>
          <cell r="W346">
            <v>0</v>
          </cell>
          <cell r="X346">
            <v>176</v>
          </cell>
          <cell r="Y346">
            <v>0</v>
          </cell>
          <cell r="Z346">
            <v>176</v>
          </cell>
          <cell r="AA346">
            <v>0</v>
          </cell>
          <cell r="AB346">
            <v>0</v>
          </cell>
          <cell r="AC346">
            <v>0</v>
          </cell>
          <cell r="AD346">
            <v>0.1</v>
          </cell>
          <cell r="AE346">
            <v>0</v>
          </cell>
          <cell r="AF346">
            <v>0</v>
          </cell>
          <cell r="AG346">
            <v>0</v>
          </cell>
          <cell r="AH346">
            <v>0</v>
          </cell>
          <cell r="AI346">
            <v>0</v>
          </cell>
          <cell r="AJ346">
            <v>0</v>
          </cell>
          <cell r="AK346">
            <v>0</v>
          </cell>
          <cell r="AL346">
            <v>0</v>
          </cell>
        </row>
        <row r="347">
          <cell r="E347" t="str">
            <v>VE丸Box4方出16mm</v>
          </cell>
          <cell r="F347" t="str">
            <v>個</v>
          </cell>
          <cell r="G347">
            <v>0</v>
          </cell>
          <cell r="H347">
            <v>176</v>
          </cell>
          <cell r="I347">
            <v>0</v>
          </cell>
          <cell r="J347">
            <v>176</v>
          </cell>
          <cell r="K347">
            <v>0</v>
          </cell>
          <cell r="L347">
            <v>176</v>
          </cell>
          <cell r="M347">
            <v>0</v>
          </cell>
          <cell r="N347">
            <v>176</v>
          </cell>
          <cell r="O347">
            <v>0</v>
          </cell>
          <cell r="P347">
            <v>176</v>
          </cell>
          <cell r="Q347">
            <v>0</v>
          </cell>
          <cell r="R347">
            <v>176</v>
          </cell>
          <cell r="S347">
            <v>0</v>
          </cell>
          <cell r="T347">
            <v>176</v>
          </cell>
          <cell r="U347">
            <v>0</v>
          </cell>
          <cell r="V347">
            <v>176</v>
          </cell>
          <cell r="W347">
            <v>0</v>
          </cell>
          <cell r="X347">
            <v>176</v>
          </cell>
          <cell r="Y347">
            <v>0</v>
          </cell>
          <cell r="Z347">
            <v>176</v>
          </cell>
          <cell r="AA347">
            <v>0</v>
          </cell>
          <cell r="AB347">
            <v>0</v>
          </cell>
          <cell r="AC347">
            <v>0</v>
          </cell>
          <cell r="AD347">
            <v>0.1</v>
          </cell>
          <cell r="AE347">
            <v>0</v>
          </cell>
          <cell r="AF347">
            <v>0</v>
          </cell>
          <cell r="AG347">
            <v>0</v>
          </cell>
          <cell r="AH347">
            <v>0</v>
          </cell>
          <cell r="AI347">
            <v>0</v>
          </cell>
          <cell r="AJ347">
            <v>0</v>
          </cell>
          <cell r="AK347">
            <v>0</v>
          </cell>
          <cell r="AL347">
            <v>0</v>
          </cell>
        </row>
        <row r="348">
          <cell r="E348" t="str">
            <v>VE丸Box1方出22mm</v>
          </cell>
          <cell r="F348" t="str">
            <v>個</v>
          </cell>
          <cell r="G348">
            <v>0</v>
          </cell>
          <cell r="H348">
            <v>193</v>
          </cell>
          <cell r="I348">
            <v>0</v>
          </cell>
          <cell r="J348">
            <v>193</v>
          </cell>
          <cell r="K348">
            <v>0</v>
          </cell>
          <cell r="L348">
            <v>193</v>
          </cell>
          <cell r="M348">
            <v>0</v>
          </cell>
          <cell r="N348">
            <v>193</v>
          </cell>
          <cell r="O348">
            <v>0</v>
          </cell>
          <cell r="P348">
            <v>193</v>
          </cell>
          <cell r="Q348">
            <v>0</v>
          </cell>
          <cell r="R348">
            <v>193</v>
          </cell>
          <cell r="S348">
            <v>0</v>
          </cell>
          <cell r="T348">
            <v>193</v>
          </cell>
          <cell r="U348">
            <v>0</v>
          </cell>
          <cell r="V348">
            <v>193</v>
          </cell>
          <cell r="W348">
            <v>0</v>
          </cell>
          <cell r="X348">
            <v>193</v>
          </cell>
          <cell r="Y348">
            <v>0</v>
          </cell>
          <cell r="Z348">
            <v>193</v>
          </cell>
          <cell r="AA348">
            <v>0</v>
          </cell>
          <cell r="AB348">
            <v>0</v>
          </cell>
          <cell r="AC348">
            <v>0</v>
          </cell>
          <cell r="AD348">
            <v>0.1</v>
          </cell>
          <cell r="AE348">
            <v>0</v>
          </cell>
          <cell r="AF348">
            <v>0</v>
          </cell>
          <cell r="AG348">
            <v>0</v>
          </cell>
          <cell r="AH348">
            <v>0</v>
          </cell>
          <cell r="AI348">
            <v>0</v>
          </cell>
          <cell r="AJ348">
            <v>0</v>
          </cell>
          <cell r="AK348">
            <v>0</v>
          </cell>
          <cell r="AL348">
            <v>0</v>
          </cell>
        </row>
        <row r="349">
          <cell r="E349" t="str">
            <v>VE丸Box2方出22mm</v>
          </cell>
          <cell r="F349" t="str">
            <v>個</v>
          </cell>
          <cell r="G349">
            <v>0</v>
          </cell>
          <cell r="H349">
            <v>193</v>
          </cell>
          <cell r="I349">
            <v>0</v>
          </cell>
          <cell r="J349">
            <v>193</v>
          </cell>
          <cell r="K349">
            <v>0</v>
          </cell>
          <cell r="L349">
            <v>193</v>
          </cell>
          <cell r="M349">
            <v>0</v>
          </cell>
          <cell r="N349">
            <v>193</v>
          </cell>
          <cell r="O349">
            <v>0</v>
          </cell>
          <cell r="P349">
            <v>193</v>
          </cell>
          <cell r="Q349">
            <v>0</v>
          </cell>
          <cell r="R349">
            <v>193</v>
          </cell>
          <cell r="S349">
            <v>0</v>
          </cell>
          <cell r="T349">
            <v>193</v>
          </cell>
          <cell r="U349">
            <v>0</v>
          </cell>
          <cell r="V349">
            <v>193</v>
          </cell>
          <cell r="W349">
            <v>0</v>
          </cell>
          <cell r="X349">
            <v>193</v>
          </cell>
          <cell r="Y349">
            <v>0</v>
          </cell>
          <cell r="Z349">
            <v>193</v>
          </cell>
          <cell r="AA349">
            <v>0</v>
          </cell>
          <cell r="AB349">
            <v>0</v>
          </cell>
          <cell r="AC349">
            <v>0</v>
          </cell>
          <cell r="AD349">
            <v>0.1</v>
          </cell>
          <cell r="AE349">
            <v>0</v>
          </cell>
          <cell r="AF349">
            <v>0</v>
          </cell>
          <cell r="AG349">
            <v>0</v>
          </cell>
          <cell r="AH349">
            <v>0</v>
          </cell>
          <cell r="AI349">
            <v>0</v>
          </cell>
          <cell r="AJ349">
            <v>0</v>
          </cell>
          <cell r="AK349">
            <v>0</v>
          </cell>
          <cell r="AL349">
            <v>0</v>
          </cell>
        </row>
        <row r="350">
          <cell r="E350" t="str">
            <v>VE丸Box3方出22mm</v>
          </cell>
          <cell r="F350" t="str">
            <v>個</v>
          </cell>
          <cell r="G350">
            <v>0</v>
          </cell>
          <cell r="H350">
            <v>193</v>
          </cell>
          <cell r="I350">
            <v>0</v>
          </cell>
          <cell r="J350">
            <v>193</v>
          </cell>
          <cell r="K350">
            <v>0</v>
          </cell>
          <cell r="L350">
            <v>193</v>
          </cell>
          <cell r="M350">
            <v>0</v>
          </cell>
          <cell r="N350">
            <v>193</v>
          </cell>
          <cell r="O350">
            <v>0</v>
          </cell>
          <cell r="P350">
            <v>193</v>
          </cell>
          <cell r="Q350">
            <v>0</v>
          </cell>
          <cell r="R350">
            <v>193</v>
          </cell>
          <cell r="S350">
            <v>0</v>
          </cell>
          <cell r="T350">
            <v>193</v>
          </cell>
          <cell r="U350">
            <v>0</v>
          </cell>
          <cell r="V350">
            <v>193</v>
          </cell>
          <cell r="W350">
            <v>0</v>
          </cell>
          <cell r="X350">
            <v>193</v>
          </cell>
          <cell r="Y350">
            <v>0</v>
          </cell>
          <cell r="Z350">
            <v>193</v>
          </cell>
          <cell r="AA350">
            <v>0</v>
          </cell>
          <cell r="AB350">
            <v>0</v>
          </cell>
          <cell r="AC350">
            <v>0</v>
          </cell>
          <cell r="AD350">
            <v>0.1</v>
          </cell>
          <cell r="AE350">
            <v>0</v>
          </cell>
          <cell r="AF350">
            <v>0</v>
          </cell>
          <cell r="AG350">
            <v>0</v>
          </cell>
          <cell r="AH350">
            <v>0</v>
          </cell>
          <cell r="AI350">
            <v>0</v>
          </cell>
          <cell r="AJ350">
            <v>0</v>
          </cell>
          <cell r="AK350">
            <v>0</v>
          </cell>
          <cell r="AL350">
            <v>0</v>
          </cell>
        </row>
        <row r="351">
          <cell r="E351" t="str">
            <v>VE丸Box4方出22mm</v>
          </cell>
          <cell r="F351" t="str">
            <v>個</v>
          </cell>
          <cell r="G351">
            <v>0</v>
          </cell>
          <cell r="H351">
            <v>193</v>
          </cell>
          <cell r="I351">
            <v>0</v>
          </cell>
          <cell r="J351">
            <v>193</v>
          </cell>
          <cell r="K351">
            <v>0</v>
          </cell>
          <cell r="L351">
            <v>193</v>
          </cell>
          <cell r="M351">
            <v>0</v>
          </cell>
          <cell r="N351">
            <v>193</v>
          </cell>
          <cell r="O351">
            <v>0</v>
          </cell>
          <cell r="P351">
            <v>193</v>
          </cell>
          <cell r="Q351">
            <v>0</v>
          </cell>
          <cell r="R351">
            <v>193</v>
          </cell>
          <cell r="S351">
            <v>0</v>
          </cell>
          <cell r="T351">
            <v>193</v>
          </cell>
          <cell r="U351">
            <v>0</v>
          </cell>
          <cell r="V351">
            <v>193</v>
          </cell>
          <cell r="W351">
            <v>0</v>
          </cell>
          <cell r="X351">
            <v>193</v>
          </cell>
          <cell r="Y351">
            <v>0</v>
          </cell>
          <cell r="Z351">
            <v>193</v>
          </cell>
          <cell r="AA351">
            <v>0</v>
          </cell>
          <cell r="AB351">
            <v>0</v>
          </cell>
          <cell r="AC351">
            <v>0</v>
          </cell>
          <cell r="AD351">
            <v>0.1</v>
          </cell>
          <cell r="AE351">
            <v>0</v>
          </cell>
          <cell r="AF351">
            <v>0</v>
          </cell>
          <cell r="AG351">
            <v>0</v>
          </cell>
          <cell r="AH351">
            <v>0</v>
          </cell>
          <cell r="AI351">
            <v>0</v>
          </cell>
          <cell r="AJ351">
            <v>0</v>
          </cell>
          <cell r="AK351">
            <v>0</v>
          </cell>
          <cell r="AL351">
            <v>0</v>
          </cell>
        </row>
        <row r="352">
          <cell r="E352" t="str">
            <v>VE丸Box1方出28mm</v>
          </cell>
          <cell r="F352" t="str">
            <v>個</v>
          </cell>
          <cell r="G352">
            <v>0</v>
          </cell>
          <cell r="H352">
            <v>361</v>
          </cell>
          <cell r="I352">
            <v>0</v>
          </cell>
          <cell r="J352">
            <v>361</v>
          </cell>
          <cell r="K352">
            <v>0</v>
          </cell>
          <cell r="L352">
            <v>361</v>
          </cell>
          <cell r="M352">
            <v>0</v>
          </cell>
          <cell r="N352">
            <v>361</v>
          </cell>
          <cell r="O352">
            <v>0</v>
          </cell>
          <cell r="P352">
            <v>361</v>
          </cell>
          <cell r="Q352">
            <v>0</v>
          </cell>
          <cell r="R352">
            <v>361</v>
          </cell>
          <cell r="S352">
            <v>0</v>
          </cell>
          <cell r="T352">
            <v>361</v>
          </cell>
          <cell r="U352">
            <v>0</v>
          </cell>
          <cell r="V352">
            <v>361</v>
          </cell>
          <cell r="W352">
            <v>0</v>
          </cell>
          <cell r="X352">
            <v>361</v>
          </cell>
          <cell r="Y352">
            <v>0</v>
          </cell>
          <cell r="Z352">
            <v>361</v>
          </cell>
          <cell r="AA352">
            <v>0</v>
          </cell>
          <cell r="AB352">
            <v>0</v>
          </cell>
          <cell r="AC352">
            <v>0</v>
          </cell>
          <cell r="AD352">
            <v>0.1</v>
          </cell>
          <cell r="AE352">
            <v>0</v>
          </cell>
          <cell r="AF352">
            <v>0</v>
          </cell>
          <cell r="AG352">
            <v>0</v>
          </cell>
          <cell r="AH352">
            <v>0</v>
          </cell>
          <cell r="AI352">
            <v>0</v>
          </cell>
          <cell r="AJ352">
            <v>0</v>
          </cell>
          <cell r="AK352">
            <v>0</v>
          </cell>
          <cell r="AL352">
            <v>0</v>
          </cell>
        </row>
        <row r="353">
          <cell r="E353" t="str">
            <v>VE丸Box2方出28mm</v>
          </cell>
          <cell r="F353" t="str">
            <v>個</v>
          </cell>
          <cell r="G353">
            <v>0</v>
          </cell>
          <cell r="H353">
            <v>361</v>
          </cell>
          <cell r="I353">
            <v>0</v>
          </cell>
          <cell r="J353">
            <v>361</v>
          </cell>
          <cell r="K353">
            <v>0</v>
          </cell>
          <cell r="L353">
            <v>361</v>
          </cell>
          <cell r="M353">
            <v>0</v>
          </cell>
          <cell r="N353">
            <v>361</v>
          </cell>
          <cell r="O353">
            <v>0</v>
          </cell>
          <cell r="P353">
            <v>361</v>
          </cell>
          <cell r="Q353">
            <v>0</v>
          </cell>
          <cell r="R353">
            <v>361</v>
          </cell>
          <cell r="S353">
            <v>0</v>
          </cell>
          <cell r="T353">
            <v>361</v>
          </cell>
          <cell r="U353">
            <v>0</v>
          </cell>
          <cell r="V353">
            <v>361</v>
          </cell>
          <cell r="W353">
            <v>0</v>
          </cell>
          <cell r="X353">
            <v>361</v>
          </cell>
          <cell r="Y353">
            <v>0</v>
          </cell>
          <cell r="Z353">
            <v>361</v>
          </cell>
          <cell r="AA353">
            <v>0</v>
          </cell>
          <cell r="AB353">
            <v>0</v>
          </cell>
          <cell r="AC353">
            <v>0</v>
          </cell>
          <cell r="AD353">
            <v>0.1</v>
          </cell>
          <cell r="AE353">
            <v>0</v>
          </cell>
          <cell r="AF353">
            <v>0</v>
          </cell>
          <cell r="AG353">
            <v>0</v>
          </cell>
          <cell r="AH353">
            <v>0</v>
          </cell>
          <cell r="AI353">
            <v>0</v>
          </cell>
          <cell r="AJ353">
            <v>0</v>
          </cell>
          <cell r="AK353">
            <v>0</v>
          </cell>
          <cell r="AL353">
            <v>0</v>
          </cell>
        </row>
        <row r="354">
          <cell r="E354" t="str">
            <v>VE丸Box3方出28mm</v>
          </cell>
          <cell r="F354" t="str">
            <v>個</v>
          </cell>
          <cell r="G354">
            <v>0</v>
          </cell>
          <cell r="H354">
            <v>361</v>
          </cell>
          <cell r="I354">
            <v>0</v>
          </cell>
          <cell r="J354">
            <v>361</v>
          </cell>
          <cell r="K354">
            <v>0</v>
          </cell>
          <cell r="L354">
            <v>361</v>
          </cell>
          <cell r="M354">
            <v>0</v>
          </cell>
          <cell r="N354">
            <v>361</v>
          </cell>
          <cell r="O354">
            <v>0</v>
          </cell>
          <cell r="P354">
            <v>361</v>
          </cell>
          <cell r="Q354">
            <v>0</v>
          </cell>
          <cell r="R354">
            <v>361</v>
          </cell>
          <cell r="S354">
            <v>0</v>
          </cell>
          <cell r="T354">
            <v>361</v>
          </cell>
          <cell r="U354">
            <v>0</v>
          </cell>
          <cell r="V354">
            <v>361</v>
          </cell>
          <cell r="W354">
            <v>0</v>
          </cell>
          <cell r="X354">
            <v>361</v>
          </cell>
          <cell r="Y354">
            <v>0</v>
          </cell>
          <cell r="Z354">
            <v>361</v>
          </cell>
          <cell r="AA354">
            <v>0</v>
          </cell>
          <cell r="AB354">
            <v>0</v>
          </cell>
          <cell r="AC354">
            <v>0</v>
          </cell>
          <cell r="AD354">
            <v>0.1</v>
          </cell>
          <cell r="AE354">
            <v>0</v>
          </cell>
          <cell r="AF354">
            <v>0</v>
          </cell>
          <cell r="AG354">
            <v>0</v>
          </cell>
          <cell r="AH354">
            <v>0</v>
          </cell>
          <cell r="AI354">
            <v>0</v>
          </cell>
          <cell r="AJ354">
            <v>0</v>
          </cell>
          <cell r="AK354">
            <v>0</v>
          </cell>
          <cell r="AL354">
            <v>0</v>
          </cell>
        </row>
        <row r="355">
          <cell r="E355" t="str">
            <v>VE丸Box4方出28mm</v>
          </cell>
          <cell r="F355" t="str">
            <v>個</v>
          </cell>
          <cell r="G355">
            <v>0</v>
          </cell>
          <cell r="H355">
            <v>361</v>
          </cell>
          <cell r="I355">
            <v>0</v>
          </cell>
          <cell r="J355">
            <v>361</v>
          </cell>
          <cell r="K355">
            <v>0</v>
          </cell>
          <cell r="L355">
            <v>361</v>
          </cell>
          <cell r="M355">
            <v>0</v>
          </cell>
          <cell r="N355">
            <v>361</v>
          </cell>
          <cell r="O355">
            <v>0</v>
          </cell>
          <cell r="P355">
            <v>361</v>
          </cell>
          <cell r="Q355">
            <v>0</v>
          </cell>
          <cell r="R355">
            <v>361</v>
          </cell>
          <cell r="S355">
            <v>0</v>
          </cell>
          <cell r="T355">
            <v>361</v>
          </cell>
          <cell r="U355">
            <v>0</v>
          </cell>
          <cell r="V355">
            <v>361</v>
          </cell>
          <cell r="W355">
            <v>0</v>
          </cell>
          <cell r="X355">
            <v>361</v>
          </cell>
          <cell r="Y355">
            <v>0</v>
          </cell>
          <cell r="Z355">
            <v>361</v>
          </cell>
          <cell r="AA355">
            <v>0</v>
          </cell>
          <cell r="AB355">
            <v>0</v>
          </cell>
          <cell r="AC355">
            <v>0</v>
          </cell>
          <cell r="AD355">
            <v>0.1</v>
          </cell>
          <cell r="AE355">
            <v>0</v>
          </cell>
          <cell r="AF355">
            <v>0</v>
          </cell>
          <cell r="AG355">
            <v>0</v>
          </cell>
          <cell r="AH355">
            <v>0</v>
          </cell>
          <cell r="AI355">
            <v>0</v>
          </cell>
          <cell r="AJ355">
            <v>0</v>
          </cell>
          <cell r="AK355">
            <v>0</v>
          </cell>
          <cell r="AL355">
            <v>0</v>
          </cell>
        </row>
        <row r="356">
          <cell r="E356" t="str">
            <v>VE丸Box1方出36mm</v>
          </cell>
          <cell r="F356" t="str">
            <v>個</v>
          </cell>
          <cell r="G356">
            <v>0</v>
          </cell>
          <cell r="H356">
            <v>533</v>
          </cell>
          <cell r="I356">
            <v>0</v>
          </cell>
          <cell r="J356">
            <v>533</v>
          </cell>
          <cell r="K356">
            <v>0</v>
          </cell>
          <cell r="L356">
            <v>533</v>
          </cell>
          <cell r="M356">
            <v>0</v>
          </cell>
          <cell r="N356">
            <v>533</v>
          </cell>
          <cell r="O356">
            <v>0</v>
          </cell>
          <cell r="P356">
            <v>533</v>
          </cell>
          <cell r="Q356">
            <v>0</v>
          </cell>
          <cell r="R356">
            <v>533</v>
          </cell>
          <cell r="S356">
            <v>0</v>
          </cell>
          <cell r="T356">
            <v>533</v>
          </cell>
          <cell r="U356">
            <v>0</v>
          </cell>
          <cell r="V356">
            <v>533</v>
          </cell>
          <cell r="W356">
            <v>0</v>
          </cell>
          <cell r="X356">
            <v>533</v>
          </cell>
          <cell r="Y356">
            <v>0</v>
          </cell>
          <cell r="Z356">
            <v>533</v>
          </cell>
          <cell r="AA356">
            <v>0</v>
          </cell>
          <cell r="AB356">
            <v>0</v>
          </cell>
          <cell r="AC356">
            <v>0</v>
          </cell>
          <cell r="AD356">
            <v>0.1</v>
          </cell>
          <cell r="AE356">
            <v>0</v>
          </cell>
          <cell r="AF356">
            <v>0</v>
          </cell>
          <cell r="AG356">
            <v>0</v>
          </cell>
          <cell r="AH356">
            <v>0</v>
          </cell>
          <cell r="AI356">
            <v>0</v>
          </cell>
          <cell r="AJ356">
            <v>0</v>
          </cell>
          <cell r="AK356">
            <v>0</v>
          </cell>
          <cell r="AL356">
            <v>0</v>
          </cell>
        </row>
        <row r="357">
          <cell r="E357" t="str">
            <v>VE丸Box2方出36mm</v>
          </cell>
          <cell r="F357" t="str">
            <v>個</v>
          </cell>
          <cell r="G357">
            <v>0</v>
          </cell>
          <cell r="H357">
            <v>533</v>
          </cell>
          <cell r="I357">
            <v>0</v>
          </cell>
          <cell r="J357">
            <v>533</v>
          </cell>
          <cell r="K357">
            <v>0</v>
          </cell>
          <cell r="L357">
            <v>533</v>
          </cell>
          <cell r="M357">
            <v>0</v>
          </cell>
          <cell r="N357">
            <v>533</v>
          </cell>
          <cell r="O357">
            <v>0</v>
          </cell>
          <cell r="P357">
            <v>533</v>
          </cell>
          <cell r="Q357">
            <v>0</v>
          </cell>
          <cell r="R357">
            <v>533</v>
          </cell>
          <cell r="S357">
            <v>0</v>
          </cell>
          <cell r="T357">
            <v>533</v>
          </cell>
          <cell r="U357">
            <v>0</v>
          </cell>
          <cell r="V357">
            <v>533</v>
          </cell>
          <cell r="W357">
            <v>0</v>
          </cell>
          <cell r="X357">
            <v>533</v>
          </cell>
          <cell r="Y357">
            <v>0</v>
          </cell>
          <cell r="Z357">
            <v>533</v>
          </cell>
          <cell r="AA357">
            <v>0</v>
          </cell>
          <cell r="AB357">
            <v>0</v>
          </cell>
          <cell r="AC357">
            <v>0</v>
          </cell>
          <cell r="AD357">
            <v>0.1</v>
          </cell>
          <cell r="AE357">
            <v>0</v>
          </cell>
          <cell r="AF357">
            <v>0</v>
          </cell>
          <cell r="AG357">
            <v>0</v>
          </cell>
          <cell r="AH357">
            <v>0</v>
          </cell>
          <cell r="AI357">
            <v>0</v>
          </cell>
          <cell r="AJ357">
            <v>0</v>
          </cell>
          <cell r="AK357">
            <v>0</v>
          </cell>
          <cell r="AL357">
            <v>0</v>
          </cell>
        </row>
        <row r="358">
          <cell r="E358" t="str">
            <v>VE丸Box3方出36mm</v>
          </cell>
          <cell r="F358" t="str">
            <v>個</v>
          </cell>
          <cell r="G358">
            <v>0</v>
          </cell>
          <cell r="H358">
            <v>533</v>
          </cell>
          <cell r="I358">
            <v>0</v>
          </cell>
          <cell r="J358">
            <v>533</v>
          </cell>
          <cell r="K358">
            <v>0</v>
          </cell>
          <cell r="L358">
            <v>533</v>
          </cell>
          <cell r="M358">
            <v>0</v>
          </cell>
          <cell r="N358">
            <v>533</v>
          </cell>
          <cell r="O358">
            <v>0</v>
          </cell>
          <cell r="P358">
            <v>533</v>
          </cell>
          <cell r="Q358">
            <v>0</v>
          </cell>
          <cell r="R358">
            <v>533</v>
          </cell>
          <cell r="S358">
            <v>0</v>
          </cell>
          <cell r="T358">
            <v>533</v>
          </cell>
          <cell r="U358">
            <v>0</v>
          </cell>
          <cell r="V358">
            <v>533</v>
          </cell>
          <cell r="W358">
            <v>0</v>
          </cell>
          <cell r="X358">
            <v>533</v>
          </cell>
          <cell r="Y358">
            <v>0</v>
          </cell>
          <cell r="Z358">
            <v>533</v>
          </cell>
          <cell r="AA358">
            <v>0</v>
          </cell>
          <cell r="AB358">
            <v>0</v>
          </cell>
          <cell r="AC358">
            <v>0</v>
          </cell>
          <cell r="AD358">
            <v>0.1</v>
          </cell>
          <cell r="AE358">
            <v>0</v>
          </cell>
          <cell r="AF358">
            <v>0</v>
          </cell>
          <cell r="AG358">
            <v>0</v>
          </cell>
          <cell r="AH358">
            <v>0</v>
          </cell>
          <cell r="AI358">
            <v>0</v>
          </cell>
          <cell r="AJ358">
            <v>0</v>
          </cell>
          <cell r="AK358">
            <v>0</v>
          </cell>
          <cell r="AL358">
            <v>0</v>
          </cell>
        </row>
        <row r="359">
          <cell r="E359" t="str">
            <v>VE丸Box4方出36mm</v>
          </cell>
          <cell r="F359" t="str">
            <v>個</v>
          </cell>
          <cell r="G359">
            <v>0</v>
          </cell>
          <cell r="H359">
            <v>533</v>
          </cell>
          <cell r="I359">
            <v>0</v>
          </cell>
          <cell r="J359">
            <v>533</v>
          </cell>
          <cell r="K359">
            <v>0</v>
          </cell>
          <cell r="L359">
            <v>533</v>
          </cell>
          <cell r="M359">
            <v>0</v>
          </cell>
          <cell r="N359">
            <v>533</v>
          </cell>
          <cell r="O359">
            <v>0</v>
          </cell>
          <cell r="P359">
            <v>533</v>
          </cell>
          <cell r="Q359">
            <v>0</v>
          </cell>
          <cell r="R359">
            <v>533</v>
          </cell>
          <cell r="S359">
            <v>0</v>
          </cell>
          <cell r="T359">
            <v>533</v>
          </cell>
          <cell r="U359">
            <v>0</v>
          </cell>
          <cell r="V359">
            <v>533</v>
          </cell>
          <cell r="W359">
            <v>0</v>
          </cell>
          <cell r="X359">
            <v>533</v>
          </cell>
          <cell r="Y359">
            <v>0</v>
          </cell>
          <cell r="Z359">
            <v>533</v>
          </cell>
          <cell r="AA359">
            <v>0</v>
          </cell>
          <cell r="AB359">
            <v>0</v>
          </cell>
          <cell r="AC359">
            <v>0</v>
          </cell>
          <cell r="AD359">
            <v>0.1</v>
          </cell>
          <cell r="AE359">
            <v>0</v>
          </cell>
          <cell r="AF359">
            <v>0</v>
          </cell>
          <cell r="AG359">
            <v>0</v>
          </cell>
          <cell r="AH359">
            <v>0</v>
          </cell>
          <cell r="AI359">
            <v>0</v>
          </cell>
          <cell r="AJ359">
            <v>0</v>
          </cell>
          <cell r="AK359">
            <v>0</v>
          </cell>
          <cell r="AL359">
            <v>0</v>
          </cell>
        </row>
        <row r="360">
          <cell r="E360" t="str">
            <v>VE-SBox1-1方出14mm</v>
          </cell>
          <cell r="F360" t="str">
            <v>個</v>
          </cell>
          <cell r="G360">
            <v>0</v>
          </cell>
          <cell r="H360">
            <v>189</v>
          </cell>
          <cell r="I360">
            <v>0</v>
          </cell>
          <cell r="J360">
            <v>189</v>
          </cell>
          <cell r="K360">
            <v>0</v>
          </cell>
          <cell r="L360">
            <v>189</v>
          </cell>
          <cell r="M360">
            <v>0</v>
          </cell>
          <cell r="N360">
            <v>189</v>
          </cell>
          <cell r="O360">
            <v>0</v>
          </cell>
          <cell r="P360">
            <v>189</v>
          </cell>
          <cell r="Q360">
            <v>0</v>
          </cell>
          <cell r="R360">
            <v>189</v>
          </cell>
          <cell r="S360">
            <v>0</v>
          </cell>
          <cell r="T360">
            <v>189</v>
          </cell>
          <cell r="U360">
            <v>0</v>
          </cell>
          <cell r="V360">
            <v>189</v>
          </cell>
          <cell r="W360">
            <v>0</v>
          </cell>
          <cell r="X360">
            <v>189</v>
          </cell>
          <cell r="Y360">
            <v>0</v>
          </cell>
          <cell r="Z360">
            <v>189</v>
          </cell>
          <cell r="AA360">
            <v>0</v>
          </cell>
          <cell r="AB360">
            <v>0</v>
          </cell>
          <cell r="AC360">
            <v>0</v>
          </cell>
          <cell r="AD360">
            <v>0.1</v>
          </cell>
          <cell r="AE360">
            <v>0</v>
          </cell>
          <cell r="AF360">
            <v>0</v>
          </cell>
          <cell r="AG360">
            <v>0</v>
          </cell>
          <cell r="AH360">
            <v>0</v>
          </cell>
          <cell r="AI360">
            <v>0</v>
          </cell>
          <cell r="AJ360">
            <v>0</v>
          </cell>
          <cell r="AK360">
            <v>0</v>
          </cell>
          <cell r="AL360">
            <v>0</v>
          </cell>
        </row>
        <row r="361">
          <cell r="E361" t="str">
            <v>VE-SBox1-2方出14mm</v>
          </cell>
          <cell r="F361" t="str">
            <v>個</v>
          </cell>
          <cell r="G361">
            <v>0</v>
          </cell>
          <cell r="H361">
            <v>189</v>
          </cell>
          <cell r="I361">
            <v>0</v>
          </cell>
          <cell r="J361">
            <v>189</v>
          </cell>
          <cell r="K361">
            <v>0</v>
          </cell>
          <cell r="L361">
            <v>189</v>
          </cell>
          <cell r="M361">
            <v>0</v>
          </cell>
          <cell r="N361">
            <v>189</v>
          </cell>
          <cell r="O361">
            <v>0</v>
          </cell>
          <cell r="P361">
            <v>189</v>
          </cell>
          <cell r="Q361">
            <v>0</v>
          </cell>
          <cell r="R361">
            <v>189</v>
          </cell>
          <cell r="S361">
            <v>0</v>
          </cell>
          <cell r="T361">
            <v>189</v>
          </cell>
          <cell r="U361">
            <v>0</v>
          </cell>
          <cell r="V361">
            <v>189</v>
          </cell>
          <cell r="W361">
            <v>0</v>
          </cell>
          <cell r="X361">
            <v>189</v>
          </cell>
          <cell r="Y361">
            <v>0</v>
          </cell>
          <cell r="Z361">
            <v>189</v>
          </cell>
          <cell r="AA361">
            <v>0</v>
          </cell>
          <cell r="AB361">
            <v>0</v>
          </cell>
          <cell r="AC361">
            <v>0</v>
          </cell>
          <cell r="AD361">
            <v>0.1</v>
          </cell>
          <cell r="AE361">
            <v>0</v>
          </cell>
          <cell r="AF361">
            <v>0</v>
          </cell>
          <cell r="AG361">
            <v>0</v>
          </cell>
          <cell r="AH361">
            <v>0</v>
          </cell>
          <cell r="AI361">
            <v>0</v>
          </cell>
          <cell r="AJ361">
            <v>0</v>
          </cell>
          <cell r="AK361">
            <v>0</v>
          </cell>
          <cell r="AL361">
            <v>0</v>
          </cell>
        </row>
        <row r="362">
          <cell r="E362" t="str">
            <v>VE-SBox2-1方出14mm</v>
          </cell>
          <cell r="F362" t="str">
            <v>個</v>
          </cell>
          <cell r="G362">
            <v>0</v>
          </cell>
          <cell r="H362">
            <v>279</v>
          </cell>
          <cell r="I362">
            <v>0</v>
          </cell>
          <cell r="J362">
            <v>279</v>
          </cell>
          <cell r="K362">
            <v>0</v>
          </cell>
          <cell r="L362">
            <v>279</v>
          </cell>
          <cell r="M362">
            <v>0</v>
          </cell>
          <cell r="N362">
            <v>279</v>
          </cell>
          <cell r="O362">
            <v>0</v>
          </cell>
          <cell r="P362">
            <v>279</v>
          </cell>
          <cell r="Q362">
            <v>0</v>
          </cell>
          <cell r="R362">
            <v>279</v>
          </cell>
          <cell r="S362">
            <v>0</v>
          </cell>
          <cell r="T362">
            <v>279</v>
          </cell>
          <cell r="U362">
            <v>0</v>
          </cell>
          <cell r="V362">
            <v>279</v>
          </cell>
          <cell r="W362">
            <v>0</v>
          </cell>
          <cell r="X362">
            <v>279</v>
          </cell>
          <cell r="Y362">
            <v>0</v>
          </cell>
          <cell r="Z362">
            <v>279</v>
          </cell>
          <cell r="AA362">
            <v>0</v>
          </cell>
          <cell r="AB362">
            <v>0</v>
          </cell>
          <cell r="AC362">
            <v>0</v>
          </cell>
          <cell r="AD362">
            <v>0.1</v>
          </cell>
          <cell r="AE362">
            <v>0</v>
          </cell>
          <cell r="AF362">
            <v>0</v>
          </cell>
          <cell r="AG362">
            <v>0</v>
          </cell>
          <cell r="AH362">
            <v>0</v>
          </cell>
          <cell r="AI362">
            <v>0</v>
          </cell>
          <cell r="AJ362">
            <v>0</v>
          </cell>
          <cell r="AK362">
            <v>0</v>
          </cell>
          <cell r="AL362">
            <v>0</v>
          </cell>
        </row>
        <row r="363">
          <cell r="E363" t="str">
            <v>VE-SBox3-1方出14mm</v>
          </cell>
          <cell r="F363" t="str">
            <v>個</v>
          </cell>
          <cell r="G363">
            <v>0</v>
          </cell>
          <cell r="H363">
            <v>1370</v>
          </cell>
          <cell r="I363">
            <v>0</v>
          </cell>
          <cell r="J363">
            <v>1370</v>
          </cell>
          <cell r="K363">
            <v>0</v>
          </cell>
          <cell r="L363">
            <v>1370</v>
          </cell>
          <cell r="M363">
            <v>0</v>
          </cell>
          <cell r="N363">
            <v>1370</v>
          </cell>
          <cell r="O363">
            <v>0</v>
          </cell>
          <cell r="P363">
            <v>1370</v>
          </cell>
          <cell r="Q363">
            <v>0</v>
          </cell>
          <cell r="R363">
            <v>1370</v>
          </cell>
          <cell r="S363">
            <v>0</v>
          </cell>
          <cell r="T363">
            <v>1370</v>
          </cell>
          <cell r="U363">
            <v>0</v>
          </cell>
          <cell r="V363">
            <v>1370</v>
          </cell>
          <cell r="W363">
            <v>0</v>
          </cell>
          <cell r="X363">
            <v>1370</v>
          </cell>
          <cell r="Y363">
            <v>0</v>
          </cell>
          <cell r="Z363">
            <v>1370</v>
          </cell>
          <cell r="AA363">
            <v>0</v>
          </cell>
          <cell r="AB363">
            <v>0</v>
          </cell>
          <cell r="AC363">
            <v>0</v>
          </cell>
          <cell r="AD363">
            <v>0.1</v>
          </cell>
          <cell r="AE363">
            <v>0</v>
          </cell>
          <cell r="AF363">
            <v>0</v>
          </cell>
          <cell r="AG363">
            <v>0</v>
          </cell>
          <cell r="AH363">
            <v>0</v>
          </cell>
          <cell r="AI363">
            <v>0</v>
          </cell>
          <cell r="AJ363">
            <v>0</v>
          </cell>
          <cell r="AK363">
            <v>0</v>
          </cell>
          <cell r="AL363">
            <v>0</v>
          </cell>
        </row>
        <row r="364">
          <cell r="E364" t="str">
            <v>VE-SBox1-1方出16mm</v>
          </cell>
          <cell r="F364" t="str">
            <v>個</v>
          </cell>
          <cell r="G364">
            <v>0</v>
          </cell>
          <cell r="H364">
            <v>193</v>
          </cell>
          <cell r="I364">
            <v>0</v>
          </cell>
          <cell r="J364">
            <v>193</v>
          </cell>
          <cell r="K364">
            <v>0</v>
          </cell>
          <cell r="L364">
            <v>193</v>
          </cell>
          <cell r="M364">
            <v>0</v>
          </cell>
          <cell r="N364">
            <v>193</v>
          </cell>
          <cell r="O364">
            <v>0</v>
          </cell>
          <cell r="P364">
            <v>193</v>
          </cell>
          <cell r="Q364">
            <v>0</v>
          </cell>
          <cell r="R364">
            <v>193</v>
          </cell>
          <cell r="S364">
            <v>0</v>
          </cell>
          <cell r="T364">
            <v>193</v>
          </cell>
          <cell r="U364">
            <v>0</v>
          </cell>
          <cell r="V364">
            <v>193</v>
          </cell>
          <cell r="W364">
            <v>0</v>
          </cell>
          <cell r="X364">
            <v>193</v>
          </cell>
          <cell r="Y364">
            <v>0</v>
          </cell>
          <cell r="Z364">
            <v>193</v>
          </cell>
          <cell r="AA364">
            <v>0</v>
          </cell>
          <cell r="AB364">
            <v>0</v>
          </cell>
          <cell r="AC364">
            <v>0</v>
          </cell>
          <cell r="AD364">
            <v>0.1</v>
          </cell>
          <cell r="AE364">
            <v>0</v>
          </cell>
          <cell r="AF364">
            <v>0</v>
          </cell>
          <cell r="AG364">
            <v>0</v>
          </cell>
          <cell r="AH364">
            <v>0</v>
          </cell>
          <cell r="AI364">
            <v>0</v>
          </cell>
          <cell r="AJ364">
            <v>0</v>
          </cell>
          <cell r="AK364">
            <v>0</v>
          </cell>
          <cell r="AL364">
            <v>0</v>
          </cell>
        </row>
        <row r="365">
          <cell r="E365" t="str">
            <v>VE-SBox1-2方出16mm</v>
          </cell>
          <cell r="F365" t="str">
            <v>個</v>
          </cell>
          <cell r="G365">
            <v>0</v>
          </cell>
          <cell r="H365">
            <v>193</v>
          </cell>
          <cell r="I365">
            <v>0</v>
          </cell>
          <cell r="J365">
            <v>193</v>
          </cell>
          <cell r="K365">
            <v>0</v>
          </cell>
          <cell r="L365">
            <v>193</v>
          </cell>
          <cell r="M365">
            <v>0</v>
          </cell>
          <cell r="N365">
            <v>193</v>
          </cell>
          <cell r="O365">
            <v>0</v>
          </cell>
          <cell r="P365">
            <v>193</v>
          </cell>
          <cell r="Q365">
            <v>0</v>
          </cell>
          <cell r="R365">
            <v>193</v>
          </cell>
          <cell r="S365">
            <v>0</v>
          </cell>
          <cell r="T365">
            <v>193</v>
          </cell>
          <cell r="U365">
            <v>0</v>
          </cell>
          <cell r="V365">
            <v>193</v>
          </cell>
          <cell r="W365">
            <v>0</v>
          </cell>
          <cell r="X365">
            <v>193</v>
          </cell>
          <cell r="Y365">
            <v>0</v>
          </cell>
          <cell r="Z365">
            <v>193</v>
          </cell>
          <cell r="AA365">
            <v>0</v>
          </cell>
          <cell r="AB365">
            <v>0</v>
          </cell>
          <cell r="AC365">
            <v>0</v>
          </cell>
          <cell r="AD365">
            <v>0.1</v>
          </cell>
          <cell r="AE365">
            <v>0</v>
          </cell>
          <cell r="AF365">
            <v>0</v>
          </cell>
          <cell r="AG365">
            <v>0</v>
          </cell>
          <cell r="AH365">
            <v>0</v>
          </cell>
          <cell r="AI365">
            <v>0</v>
          </cell>
          <cell r="AJ365">
            <v>0</v>
          </cell>
          <cell r="AK365">
            <v>0</v>
          </cell>
          <cell r="AL365">
            <v>0</v>
          </cell>
        </row>
        <row r="366">
          <cell r="E366" t="str">
            <v>VE-SBox2-1方出16mm</v>
          </cell>
          <cell r="F366" t="str">
            <v>個</v>
          </cell>
          <cell r="G366">
            <v>0</v>
          </cell>
          <cell r="H366">
            <v>326</v>
          </cell>
          <cell r="I366">
            <v>0</v>
          </cell>
          <cell r="J366">
            <v>326</v>
          </cell>
          <cell r="K366">
            <v>0</v>
          </cell>
          <cell r="L366">
            <v>326</v>
          </cell>
          <cell r="M366">
            <v>0</v>
          </cell>
          <cell r="N366">
            <v>326</v>
          </cell>
          <cell r="O366">
            <v>0</v>
          </cell>
          <cell r="P366">
            <v>326</v>
          </cell>
          <cell r="Q366">
            <v>0</v>
          </cell>
          <cell r="R366">
            <v>326</v>
          </cell>
          <cell r="S366">
            <v>0</v>
          </cell>
          <cell r="T366">
            <v>326</v>
          </cell>
          <cell r="U366">
            <v>0</v>
          </cell>
          <cell r="V366">
            <v>326</v>
          </cell>
          <cell r="W366">
            <v>0</v>
          </cell>
          <cell r="X366">
            <v>326</v>
          </cell>
          <cell r="Y366">
            <v>0</v>
          </cell>
          <cell r="Z366">
            <v>326</v>
          </cell>
          <cell r="AA366">
            <v>0</v>
          </cell>
          <cell r="AB366">
            <v>0</v>
          </cell>
          <cell r="AC366">
            <v>0</v>
          </cell>
          <cell r="AD366">
            <v>0.1</v>
          </cell>
          <cell r="AE366">
            <v>0</v>
          </cell>
          <cell r="AF366">
            <v>0</v>
          </cell>
          <cell r="AG366">
            <v>0</v>
          </cell>
          <cell r="AH366">
            <v>0</v>
          </cell>
          <cell r="AI366">
            <v>0</v>
          </cell>
          <cell r="AJ366">
            <v>0</v>
          </cell>
          <cell r="AK366">
            <v>0</v>
          </cell>
          <cell r="AL366">
            <v>0</v>
          </cell>
        </row>
        <row r="367">
          <cell r="E367" t="str">
            <v>VE-SBox3-1方出16mm</v>
          </cell>
          <cell r="F367" t="str">
            <v>個</v>
          </cell>
          <cell r="G367">
            <v>0</v>
          </cell>
          <cell r="H367">
            <v>1410</v>
          </cell>
          <cell r="I367">
            <v>0</v>
          </cell>
          <cell r="J367">
            <v>1410</v>
          </cell>
          <cell r="K367">
            <v>0</v>
          </cell>
          <cell r="L367">
            <v>1410</v>
          </cell>
          <cell r="M367">
            <v>0</v>
          </cell>
          <cell r="N367">
            <v>1410</v>
          </cell>
          <cell r="O367">
            <v>0</v>
          </cell>
          <cell r="P367">
            <v>1410</v>
          </cell>
          <cell r="Q367">
            <v>0</v>
          </cell>
          <cell r="R367">
            <v>1410</v>
          </cell>
          <cell r="S367">
            <v>0</v>
          </cell>
          <cell r="T367">
            <v>1410</v>
          </cell>
          <cell r="U367">
            <v>0</v>
          </cell>
          <cell r="V367">
            <v>1410</v>
          </cell>
          <cell r="W367">
            <v>0</v>
          </cell>
          <cell r="X367">
            <v>1410</v>
          </cell>
          <cell r="Y367">
            <v>0</v>
          </cell>
          <cell r="Z367">
            <v>1410</v>
          </cell>
          <cell r="AA367">
            <v>0</v>
          </cell>
          <cell r="AB367">
            <v>0</v>
          </cell>
          <cell r="AC367">
            <v>0</v>
          </cell>
          <cell r="AD367">
            <v>0.1</v>
          </cell>
          <cell r="AE367">
            <v>0</v>
          </cell>
          <cell r="AF367">
            <v>0</v>
          </cell>
          <cell r="AG367">
            <v>0</v>
          </cell>
          <cell r="AH367">
            <v>0</v>
          </cell>
          <cell r="AI367">
            <v>0</v>
          </cell>
          <cell r="AJ367">
            <v>0</v>
          </cell>
          <cell r="AK367">
            <v>0</v>
          </cell>
          <cell r="AL367">
            <v>0</v>
          </cell>
        </row>
        <row r="368">
          <cell r="E368" t="str">
            <v>VE-SBox1-1方出22mm</v>
          </cell>
          <cell r="F368" t="str">
            <v>個</v>
          </cell>
          <cell r="G368">
            <v>0</v>
          </cell>
          <cell r="H368">
            <v>266</v>
          </cell>
          <cell r="I368">
            <v>0</v>
          </cell>
          <cell r="J368">
            <v>266</v>
          </cell>
          <cell r="K368">
            <v>0</v>
          </cell>
          <cell r="L368">
            <v>266</v>
          </cell>
          <cell r="M368">
            <v>0</v>
          </cell>
          <cell r="N368">
            <v>266</v>
          </cell>
          <cell r="O368">
            <v>0</v>
          </cell>
          <cell r="P368">
            <v>266</v>
          </cell>
          <cell r="Q368">
            <v>0</v>
          </cell>
          <cell r="R368">
            <v>266</v>
          </cell>
          <cell r="S368">
            <v>0</v>
          </cell>
          <cell r="T368">
            <v>266</v>
          </cell>
          <cell r="U368">
            <v>0</v>
          </cell>
          <cell r="V368">
            <v>266</v>
          </cell>
          <cell r="W368">
            <v>0</v>
          </cell>
          <cell r="X368">
            <v>266</v>
          </cell>
          <cell r="Y368">
            <v>0</v>
          </cell>
          <cell r="Z368">
            <v>266</v>
          </cell>
          <cell r="AA368">
            <v>0</v>
          </cell>
          <cell r="AB368">
            <v>0</v>
          </cell>
          <cell r="AC368">
            <v>0</v>
          </cell>
          <cell r="AD368">
            <v>0.1</v>
          </cell>
          <cell r="AE368">
            <v>0</v>
          </cell>
          <cell r="AF368">
            <v>0</v>
          </cell>
          <cell r="AG368">
            <v>0</v>
          </cell>
          <cell r="AH368">
            <v>0</v>
          </cell>
          <cell r="AI368">
            <v>0</v>
          </cell>
          <cell r="AJ368">
            <v>0</v>
          </cell>
          <cell r="AK368">
            <v>0</v>
          </cell>
          <cell r="AL368">
            <v>0</v>
          </cell>
        </row>
        <row r="369">
          <cell r="E369" t="str">
            <v>VE-SBox1-2方出22mm</v>
          </cell>
          <cell r="F369" t="str">
            <v>個</v>
          </cell>
          <cell r="G369">
            <v>0</v>
          </cell>
          <cell r="H369">
            <v>266</v>
          </cell>
          <cell r="I369">
            <v>0</v>
          </cell>
          <cell r="J369">
            <v>266</v>
          </cell>
          <cell r="K369">
            <v>0</v>
          </cell>
          <cell r="L369">
            <v>266</v>
          </cell>
          <cell r="M369">
            <v>0</v>
          </cell>
          <cell r="N369">
            <v>266</v>
          </cell>
          <cell r="O369">
            <v>0</v>
          </cell>
          <cell r="P369">
            <v>266</v>
          </cell>
          <cell r="Q369">
            <v>0</v>
          </cell>
          <cell r="R369">
            <v>266</v>
          </cell>
          <cell r="S369">
            <v>0</v>
          </cell>
          <cell r="T369">
            <v>266</v>
          </cell>
          <cell r="U369">
            <v>0</v>
          </cell>
          <cell r="V369">
            <v>266</v>
          </cell>
          <cell r="W369">
            <v>0</v>
          </cell>
          <cell r="X369">
            <v>266</v>
          </cell>
          <cell r="Y369">
            <v>0</v>
          </cell>
          <cell r="Z369">
            <v>266</v>
          </cell>
          <cell r="AA369">
            <v>0</v>
          </cell>
          <cell r="AB369">
            <v>0</v>
          </cell>
          <cell r="AC369">
            <v>0</v>
          </cell>
          <cell r="AD369">
            <v>0.1</v>
          </cell>
          <cell r="AE369">
            <v>0</v>
          </cell>
          <cell r="AF369">
            <v>0</v>
          </cell>
          <cell r="AG369">
            <v>0</v>
          </cell>
          <cell r="AH369">
            <v>0</v>
          </cell>
          <cell r="AI369">
            <v>0</v>
          </cell>
          <cell r="AJ369">
            <v>0</v>
          </cell>
          <cell r="AK369">
            <v>0</v>
          </cell>
          <cell r="AL369">
            <v>0</v>
          </cell>
        </row>
        <row r="370">
          <cell r="E370" t="str">
            <v>VE-SBox2-1方出22mm</v>
          </cell>
          <cell r="F370" t="str">
            <v>個</v>
          </cell>
          <cell r="G370">
            <v>0</v>
          </cell>
          <cell r="H370">
            <v>434</v>
          </cell>
          <cell r="I370">
            <v>0</v>
          </cell>
          <cell r="J370">
            <v>434</v>
          </cell>
          <cell r="K370">
            <v>0</v>
          </cell>
          <cell r="L370">
            <v>434</v>
          </cell>
          <cell r="M370">
            <v>0</v>
          </cell>
          <cell r="N370">
            <v>434</v>
          </cell>
          <cell r="O370">
            <v>0</v>
          </cell>
          <cell r="P370">
            <v>434</v>
          </cell>
          <cell r="Q370">
            <v>0</v>
          </cell>
          <cell r="R370">
            <v>434</v>
          </cell>
          <cell r="S370">
            <v>0</v>
          </cell>
          <cell r="T370">
            <v>434</v>
          </cell>
          <cell r="U370">
            <v>0</v>
          </cell>
          <cell r="V370">
            <v>434</v>
          </cell>
          <cell r="W370">
            <v>0</v>
          </cell>
          <cell r="X370">
            <v>434</v>
          </cell>
          <cell r="Y370">
            <v>0</v>
          </cell>
          <cell r="Z370">
            <v>434</v>
          </cell>
          <cell r="AA370">
            <v>0</v>
          </cell>
          <cell r="AB370">
            <v>0</v>
          </cell>
          <cell r="AC370">
            <v>0</v>
          </cell>
          <cell r="AD370">
            <v>0.1</v>
          </cell>
          <cell r="AE370">
            <v>0</v>
          </cell>
          <cell r="AF370">
            <v>0</v>
          </cell>
          <cell r="AG370">
            <v>0</v>
          </cell>
          <cell r="AH370">
            <v>0</v>
          </cell>
          <cell r="AI370">
            <v>0</v>
          </cell>
          <cell r="AJ370">
            <v>0</v>
          </cell>
          <cell r="AK370">
            <v>0</v>
          </cell>
          <cell r="AL370">
            <v>0</v>
          </cell>
        </row>
        <row r="371">
          <cell r="E371" t="str">
            <v>VE-SBox3-1方出22mm</v>
          </cell>
          <cell r="F371" t="str">
            <v>個</v>
          </cell>
          <cell r="G371">
            <v>0</v>
          </cell>
          <cell r="H371">
            <v>1460</v>
          </cell>
          <cell r="I371">
            <v>0</v>
          </cell>
          <cell r="J371">
            <v>1460</v>
          </cell>
          <cell r="K371">
            <v>0</v>
          </cell>
          <cell r="L371">
            <v>1460</v>
          </cell>
          <cell r="M371">
            <v>0</v>
          </cell>
          <cell r="N371">
            <v>1460</v>
          </cell>
          <cell r="O371">
            <v>0</v>
          </cell>
          <cell r="P371">
            <v>1460</v>
          </cell>
          <cell r="Q371">
            <v>0</v>
          </cell>
          <cell r="R371">
            <v>1460</v>
          </cell>
          <cell r="S371">
            <v>0</v>
          </cell>
          <cell r="T371">
            <v>1460</v>
          </cell>
          <cell r="U371">
            <v>0</v>
          </cell>
          <cell r="V371">
            <v>1460</v>
          </cell>
          <cell r="W371">
            <v>0</v>
          </cell>
          <cell r="X371">
            <v>1460</v>
          </cell>
          <cell r="Y371">
            <v>0</v>
          </cell>
          <cell r="Z371">
            <v>1460</v>
          </cell>
          <cell r="AA371">
            <v>0</v>
          </cell>
          <cell r="AB371">
            <v>0</v>
          </cell>
          <cell r="AC371">
            <v>0</v>
          </cell>
          <cell r="AD371">
            <v>0.1</v>
          </cell>
          <cell r="AE371">
            <v>0</v>
          </cell>
          <cell r="AF371">
            <v>0</v>
          </cell>
          <cell r="AG371">
            <v>0</v>
          </cell>
          <cell r="AH371">
            <v>0</v>
          </cell>
          <cell r="AI371">
            <v>0</v>
          </cell>
          <cell r="AJ371">
            <v>0</v>
          </cell>
          <cell r="AK371">
            <v>0</v>
          </cell>
          <cell r="AL371">
            <v>0</v>
          </cell>
        </row>
        <row r="372">
          <cell r="E372" t="str">
            <v>VE-SBox1-1方出28mm</v>
          </cell>
          <cell r="F372" t="str">
            <v>個</v>
          </cell>
          <cell r="G372">
            <v>0</v>
          </cell>
          <cell r="H372">
            <v>318</v>
          </cell>
          <cell r="I372">
            <v>0</v>
          </cell>
          <cell r="J372">
            <v>318</v>
          </cell>
          <cell r="K372">
            <v>0</v>
          </cell>
          <cell r="L372">
            <v>318</v>
          </cell>
          <cell r="M372">
            <v>0</v>
          </cell>
          <cell r="N372">
            <v>318</v>
          </cell>
          <cell r="O372">
            <v>0</v>
          </cell>
          <cell r="P372">
            <v>318</v>
          </cell>
          <cell r="Q372">
            <v>0</v>
          </cell>
          <cell r="R372">
            <v>318</v>
          </cell>
          <cell r="S372">
            <v>0</v>
          </cell>
          <cell r="T372">
            <v>318</v>
          </cell>
          <cell r="U372">
            <v>0</v>
          </cell>
          <cell r="V372">
            <v>318</v>
          </cell>
          <cell r="W372">
            <v>0</v>
          </cell>
          <cell r="X372">
            <v>318</v>
          </cell>
          <cell r="Y372">
            <v>0</v>
          </cell>
          <cell r="Z372">
            <v>318</v>
          </cell>
          <cell r="AA372">
            <v>0</v>
          </cell>
          <cell r="AB372">
            <v>0</v>
          </cell>
          <cell r="AC372">
            <v>0</v>
          </cell>
          <cell r="AD372">
            <v>0.1</v>
          </cell>
          <cell r="AE372">
            <v>0</v>
          </cell>
          <cell r="AF372">
            <v>0</v>
          </cell>
          <cell r="AG372">
            <v>0</v>
          </cell>
          <cell r="AH372">
            <v>0</v>
          </cell>
          <cell r="AI372">
            <v>0</v>
          </cell>
          <cell r="AJ372">
            <v>0</v>
          </cell>
          <cell r="AK372">
            <v>0</v>
          </cell>
          <cell r="AL372">
            <v>0</v>
          </cell>
        </row>
        <row r="373">
          <cell r="E373" t="str">
            <v>VE-SBox1-2方出28mm</v>
          </cell>
          <cell r="F373" t="str">
            <v>個</v>
          </cell>
          <cell r="G373">
            <v>0</v>
          </cell>
          <cell r="H373">
            <v>318</v>
          </cell>
          <cell r="I373">
            <v>0</v>
          </cell>
          <cell r="J373">
            <v>318</v>
          </cell>
          <cell r="K373">
            <v>0</v>
          </cell>
          <cell r="L373">
            <v>318</v>
          </cell>
          <cell r="M373">
            <v>0</v>
          </cell>
          <cell r="N373">
            <v>318</v>
          </cell>
          <cell r="O373">
            <v>0</v>
          </cell>
          <cell r="P373">
            <v>318</v>
          </cell>
          <cell r="Q373">
            <v>0</v>
          </cell>
          <cell r="R373">
            <v>318</v>
          </cell>
          <cell r="S373">
            <v>0</v>
          </cell>
          <cell r="T373">
            <v>318</v>
          </cell>
          <cell r="U373">
            <v>0</v>
          </cell>
          <cell r="V373">
            <v>318</v>
          </cell>
          <cell r="W373">
            <v>0</v>
          </cell>
          <cell r="X373">
            <v>318</v>
          </cell>
          <cell r="Y373">
            <v>0</v>
          </cell>
          <cell r="Z373">
            <v>318</v>
          </cell>
          <cell r="AA373">
            <v>0</v>
          </cell>
          <cell r="AB373">
            <v>0</v>
          </cell>
          <cell r="AC373">
            <v>0</v>
          </cell>
          <cell r="AD373">
            <v>0.1</v>
          </cell>
          <cell r="AE373">
            <v>0</v>
          </cell>
          <cell r="AF373">
            <v>0</v>
          </cell>
          <cell r="AG373">
            <v>0</v>
          </cell>
          <cell r="AH373">
            <v>0</v>
          </cell>
          <cell r="AI373">
            <v>0</v>
          </cell>
          <cell r="AJ373">
            <v>0</v>
          </cell>
          <cell r="AK373">
            <v>0</v>
          </cell>
          <cell r="AL373">
            <v>0</v>
          </cell>
        </row>
        <row r="374">
          <cell r="E374" t="str">
            <v>VE-SBox2-1方出28mm</v>
          </cell>
          <cell r="F374" t="str">
            <v>個</v>
          </cell>
          <cell r="G374">
            <v>0</v>
          </cell>
          <cell r="H374">
            <v>516</v>
          </cell>
          <cell r="I374">
            <v>0</v>
          </cell>
          <cell r="J374">
            <v>516</v>
          </cell>
          <cell r="K374">
            <v>0</v>
          </cell>
          <cell r="L374">
            <v>516</v>
          </cell>
          <cell r="M374">
            <v>0</v>
          </cell>
          <cell r="N374">
            <v>516</v>
          </cell>
          <cell r="O374">
            <v>0</v>
          </cell>
          <cell r="P374">
            <v>516</v>
          </cell>
          <cell r="Q374">
            <v>0</v>
          </cell>
          <cell r="R374">
            <v>516</v>
          </cell>
          <cell r="S374">
            <v>0</v>
          </cell>
          <cell r="T374">
            <v>516</v>
          </cell>
          <cell r="U374">
            <v>0</v>
          </cell>
          <cell r="V374">
            <v>516</v>
          </cell>
          <cell r="W374">
            <v>0</v>
          </cell>
          <cell r="X374">
            <v>516</v>
          </cell>
          <cell r="Y374">
            <v>0</v>
          </cell>
          <cell r="Z374">
            <v>516</v>
          </cell>
          <cell r="AA374">
            <v>0</v>
          </cell>
          <cell r="AB374">
            <v>0</v>
          </cell>
          <cell r="AC374">
            <v>0</v>
          </cell>
          <cell r="AD374">
            <v>0.1</v>
          </cell>
          <cell r="AE374">
            <v>0</v>
          </cell>
          <cell r="AF374">
            <v>0</v>
          </cell>
          <cell r="AG374">
            <v>0</v>
          </cell>
          <cell r="AH374">
            <v>0</v>
          </cell>
          <cell r="AI374">
            <v>0</v>
          </cell>
          <cell r="AJ374">
            <v>0</v>
          </cell>
          <cell r="AK374">
            <v>0</v>
          </cell>
          <cell r="AL374">
            <v>0</v>
          </cell>
        </row>
        <row r="375">
          <cell r="E375" t="str">
            <v>VE-SBox3-1方出28mm</v>
          </cell>
          <cell r="F375" t="str">
            <v>個</v>
          </cell>
          <cell r="G375">
            <v>0</v>
          </cell>
          <cell r="H375">
            <v>1500</v>
          </cell>
          <cell r="I375">
            <v>0</v>
          </cell>
          <cell r="J375">
            <v>1500</v>
          </cell>
          <cell r="K375">
            <v>0</v>
          </cell>
          <cell r="L375">
            <v>1500</v>
          </cell>
          <cell r="M375">
            <v>0</v>
          </cell>
          <cell r="N375">
            <v>1500</v>
          </cell>
          <cell r="O375">
            <v>0</v>
          </cell>
          <cell r="P375">
            <v>1500</v>
          </cell>
          <cell r="Q375">
            <v>0</v>
          </cell>
          <cell r="R375">
            <v>1500</v>
          </cell>
          <cell r="S375">
            <v>0</v>
          </cell>
          <cell r="T375">
            <v>1500</v>
          </cell>
          <cell r="U375">
            <v>0</v>
          </cell>
          <cell r="V375">
            <v>1500</v>
          </cell>
          <cell r="W375">
            <v>0</v>
          </cell>
          <cell r="X375">
            <v>1500</v>
          </cell>
          <cell r="Y375">
            <v>0</v>
          </cell>
          <cell r="Z375">
            <v>1500</v>
          </cell>
          <cell r="AA375">
            <v>0</v>
          </cell>
          <cell r="AB375">
            <v>0</v>
          </cell>
          <cell r="AC375">
            <v>0</v>
          </cell>
          <cell r="AD375">
            <v>0.1</v>
          </cell>
          <cell r="AE375">
            <v>0</v>
          </cell>
          <cell r="AF375">
            <v>0</v>
          </cell>
          <cell r="AG375">
            <v>0</v>
          </cell>
          <cell r="AH375">
            <v>0</v>
          </cell>
          <cell r="AI375">
            <v>0</v>
          </cell>
          <cell r="AJ375">
            <v>0</v>
          </cell>
          <cell r="AK375">
            <v>0</v>
          </cell>
          <cell r="AL375">
            <v>0</v>
          </cell>
        </row>
        <row r="376">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row>
        <row r="377">
          <cell r="E377" t="str">
            <v>PB-300×300×200</v>
          </cell>
          <cell r="F377" t="str">
            <v>個</v>
          </cell>
          <cell r="G377">
            <v>0</v>
          </cell>
          <cell r="H377">
            <v>3230</v>
          </cell>
          <cell r="I377">
            <v>0</v>
          </cell>
          <cell r="J377">
            <v>3230</v>
          </cell>
          <cell r="K377">
            <v>0</v>
          </cell>
          <cell r="L377">
            <v>3230</v>
          </cell>
          <cell r="M377">
            <v>0</v>
          </cell>
          <cell r="N377">
            <v>3230</v>
          </cell>
          <cell r="O377">
            <v>0</v>
          </cell>
          <cell r="P377">
            <v>3230</v>
          </cell>
          <cell r="Q377">
            <v>0</v>
          </cell>
          <cell r="R377">
            <v>3230</v>
          </cell>
          <cell r="S377">
            <v>0</v>
          </cell>
          <cell r="T377">
            <v>3230</v>
          </cell>
          <cell r="U377">
            <v>0</v>
          </cell>
          <cell r="V377">
            <v>3230</v>
          </cell>
          <cell r="W377">
            <v>0</v>
          </cell>
          <cell r="X377">
            <v>3230</v>
          </cell>
          <cell r="Y377">
            <v>0</v>
          </cell>
          <cell r="Z377">
            <v>3230</v>
          </cell>
          <cell r="AA377">
            <v>0</v>
          </cell>
          <cell r="AB377">
            <v>0</v>
          </cell>
          <cell r="AC377">
            <v>0</v>
          </cell>
          <cell r="AD377">
            <v>0.4</v>
          </cell>
          <cell r="AE377">
            <v>0</v>
          </cell>
          <cell r="AF377">
            <v>0</v>
          </cell>
          <cell r="AG377">
            <v>0</v>
          </cell>
          <cell r="AH377">
            <v>0</v>
          </cell>
          <cell r="AI377">
            <v>0</v>
          </cell>
          <cell r="AJ377">
            <v>0</v>
          </cell>
          <cell r="AK377">
            <v>0</v>
          </cell>
          <cell r="AL377">
            <v>0</v>
          </cell>
        </row>
        <row r="378">
          <cell r="E378" t="str">
            <v>PB-400×400×200</v>
          </cell>
          <cell r="F378" t="str">
            <v>個</v>
          </cell>
          <cell r="G378">
            <v>0</v>
          </cell>
          <cell r="H378">
            <v>4660</v>
          </cell>
          <cell r="I378">
            <v>0</v>
          </cell>
          <cell r="J378">
            <v>4660</v>
          </cell>
          <cell r="K378">
            <v>0</v>
          </cell>
          <cell r="L378">
            <v>4660</v>
          </cell>
          <cell r="M378">
            <v>0</v>
          </cell>
          <cell r="N378">
            <v>4660</v>
          </cell>
          <cell r="O378">
            <v>0</v>
          </cell>
          <cell r="P378">
            <v>4660</v>
          </cell>
          <cell r="Q378">
            <v>0</v>
          </cell>
          <cell r="R378">
            <v>4660</v>
          </cell>
          <cell r="S378">
            <v>0</v>
          </cell>
          <cell r="T378">
            <v>4660</v>
          </cell>
          <cell r="U378">
            <v>0</v>
          </cell>
          <cell r="V378">
            <v>4660</v>
          </cell>
          <cell r="W378">
            <v>0</v>
          </cell>
          <cell r="X378">
            <v>4660</v>
          </cell>
          <cell r="Y378">
            <v>0</v>
          </cell>
          <cell r="Z378">
            <v>4660</v>
          </cell>
          <cell r="AA378">
            <v>0</v>
          </cell>
          <cell r="AB378">
            <v>0</v>
          </cell>
          <cell r="AC378">
            <v>0</v>
          </cell>
          <cell r="AD378">
            <v>0.5</v>
          </cell>
          <cell r="AE378">
            <v>0</v>
          </cell>
          <cell r="AF378">
            <v>0</v>
          </cell>
          <cell r="AG378">
            <v>0</v>
          </cell>
          <cell r="AH378">
            <v>0</v>
          </cell>
          <cell r="AI378">
            <v>0</v>
          </cell>
          <cell r="AJ378">
            <v>0</v>
          </cell>
          <cell r="AK378">
            <v>0</v>
          </cell>
          <cell r="AL378">
            <v>0</v>
          </cell>
        </row>
        <row r="379">
          <cell r="E379" t="str">
            <v>PB-500×500×300</v>
          </cell>
          <cell r="F379" t="str">
            <v>個</v>
          </cell>
          <cell r="G379">
            <v>0</v>
          </cell>
          <cell r="H379">
            <v>7650</v>
          </cell>
          <cell r="I379">
            <v>0</v>
          </cell>
          <cell r="J379">
            <v>7650</v>
          </cell>
          <cell r="K379">
            <v>0</v>
          </cell>
          <cell r="L379">
            <v>7650</v>
          </cell>
          <cell r="M379">
            <v>0</v>
          </cell>
          <cell r="N379">
            <v>7650</v>
          </cell>
          <cell r="O379">
            <v>0</v>
          </cell>
          <cell r="P379">
            <v>7650</v>
          </cell>
          <cell r="Q379">
            <v>0</v>
          </cell>
          <cell r="R379">
            <v>7650</v>
          </cell>
          <cell r="S379">
            <v>0</v>
          </cell>
          <cell r="T379">
            <v>7650</v>
          </cell>
          <cell r="U379">
            <v>0</v>
          </cell>
          <cell r="V379">
            <v>7650</v>
          </cell>
          <cell r="W379">
            <v>0</v>
          </cell>
          <cell r="X379">
            <v>7650</v>
          </cell>
          <cell r="Y379">
            <v>0</v>
          </cell>
          <cell r="Z379">
            <v>7650</v>
          </cell>
          <cell r="AA379">
            <v>0</v>
          </cell>
          <cell r="AB379">
            <v>0</v>
          </cell>
          <cell r="AC379">
            <v>0</v>
          </cell>
          <cell r="AD379">
            <v>0.65</v>
          </cell>
          <cell r="AE379">
            <v>0</v>
          </cell>
          <cell r="AF379">
            <v>0</v>
          </cell>
          <cell r="AG379">
            <v>0</v>
          </cell>
          <cell r="AH379">
            <v>0</v>
          </cell>
          <cell r="AI379">
            <v>0</v>
          </cell>
          <cell r="AJ379">
            <v>0</v>
          </cell>
          <cell r="AK379">
            <v>0</v>
          </cell>
          <cell r="AL379">
            <v>0</v>
          </cell>
        </row>
        <row r="380">
          <cell r="E380" t="str">
            <v>PB-600×600×300</v>
          </cell>
          <cell r="F380" t="str">
            <v>個</v>
          </cell>
          <cell r="G380">
            <v>0</v>
          </cell>
          <cell r="H380">
            <v>9860</v>
          </cell>
          <cell r="I380">
            <v>0</v>
          </cell>
          <cell r="J380">
            <v>9860</v>
          </cell>
          <cell r="K380">
            <v>0</v>
          </cell>
          <cell r="L380">
            <v>9860</v>
          </cell>
          <cell r="M380">
            <v>0</v>
          </cell>
          <cell r="N380">
            <v>9860</v>
          </cell>
          <cell r="O380">
            <v>0</v>
          </cell>
          <cell r="P380">
            <v>9860</v>
          </cell>
          <cell r="Q380">
            <v>0</v>
          </cell>
          <cell r="R380">
            <v>9860</v>
          </cell>
          <cell r="S380">
            <v>0</v>
          </cell>
          <cell r="T380">
            <v>9860</v>
          </cell>
          <cell r="U380">
            <v>0</v>
          </cell>
          <cell r="V380">
            <v>9860</v>
          </cell>
          <cell r="W380">
            <v>0</v>
          </cell>
          <cell r="X380">
            <v>9860</v>
          </cell>
          <cell r="Y380">
            <v>0</v>
          </cell>
          <cell r="Z380">
            <v>9860</v>
          </cell>
          <cell r="AA380">
            <v>0</v>
          </cell>
          <cell r="AB380">
            <v>0</v>
          </cell>
          <cell r="AC380">
            <v>0</v>
          </cell>
          <cell r="AD380">
            <v>0.75</v>
          </cell>
          <cell r="AE380">
            <v>0</v>
          </cell>
          <cell r="AF380">
            <v>0</v>
          </cell>
          <cell r="AG380">
            <v>0</v>
          </cell>
          <cell r="AH380">
            <v>0</v>
          </cell>
          <cell r="AI380">
            <v>0</v>
          </cell>
          <cell r="AJ380">
            <v>0</v>
          </cell>
          <cell r="AK380">
            <v>0</v>
          </cell>
          <cell r="AL380">
            <v>0</v>
          </cell>
        </row>
        <row r="381">
          <cell r="E381" t="str">
            <v>PB-700×700×400</v>
          </cell>
          <cell r="F381" t="str">
            <v>個</v>
          </cell>
          <cell r="G381">
            <v>0</v>
          </cell>
          <cell r="H381">
            <v>14100</v>
          </cell>
          <cell r="I381">
            <v>0</v>
          </cell>
          <cell r="J381">
            <v>14100</v>
          </cell>
          <cell r="K381">
            <v>0</v>
          </cell>
          <cell r="L381">
            <v>14100</v>
          </cell>
          <cell r="M381">
            <v>0</v>
          </cell>
          <cell r="N381">
            <v>14100</v>
          </cell>
          <cell r="O381">
            <v>0</v>
          </cell>
          <cell r="P381">
            <v>14100</v>
          </cell>
          <cell r="Q381">
            <v>0</v>
          </cell>
          <cell r="R381">
            <v>14100</v>
          </cell>
          <cell r="S381">
            <v>0</v>
          </cell>
          <cell r="T381">
            <v>14100</v>
          </cell>
          <cell r="U381">
            <v>0</v>
          </cell>
          <cell r="V381">
            <v>14100</v>
          </cell>
          <cell r="W381">
            <v>0</v>
          </cell>
          <cell r="X381">
            <v>14100</v>
          </cell>
          <cell r="Y381">
            <v>0</v>
          </cell>
          <cell r="Z381">
            <v>14100</v>
          </cell>
          <cell r="AA381">
            <v>0</v>
          </cell>
          <cell r="AB381">
            <v>0</v>
          </cell>
          <cell r="AC381">
            <v>0</v>
          </cell>
          <cell r="AD381">
            <v>0.9</v>
          </cell>
          <cell r="AE381">
            <v>0</v>
          </cell>
          <cell r="AF381">
            <v>0</v>
          </cell>
          <cell r="AG381">
            <v>0</v>
          </cell>
          <cell r="AH381">
            <v>0</v>
          </cell>
          <cell r="AI381">
            <v>0</v>
          </cell>
          <cell r="AJ381">
            <v>0</v>
          </cell>
          <cell r="AK381">
            <v>0</v>
          </cell>
          <cell r="AL381">
            <v>0</v>
          </cell>
        </row>
        <row r="382">
          <cell r="E382" t="str">
            <v>PB-800×800×300</v>
          </cell>
          <cell r="F382" t="str">
            <v>個</v>
          </cell>
          <cell r="G382">
            <v>0</v>
          </cell>
          <cell r="H382">
            <v>20800</v>
          </cell>
          <cell r="I382">
            <v>0</v>
          </cell>
          <cell r="J382">
            <v>20800</v>
          </cell>
          <cell r="K382">
            <v>0</v>
          </cell>
          <cell r="L382">
            <v>20800</v>
          </cell>
          <cell r="M382">
            <v>0</v>
          </cell>
          <cell r="N382">
            <v>20800</v>
          </cell>
          <cell r="O382">
            <v>0</v>
          </cell>
          <cell r="P382">
            <v>20800</v>
          </cell>
          <cell r="Q382">
            <v>0</v>
          </cell>
          <cell r="R382">
            <v>20800</v>
          </cell>
          <cell r="S382">
            <v>0</v>
          </cell>
          <cell r="T382">
            <v>20800</v>
          </cell>
          <cell r="U382">
            <v>0</v>
          </cell>
          <cell r="V382">
            <v>20800</v>
          </cell>
          <cell r="W382">
            <v>0</v>
          </cell>
          <cell r="X382">
            <v>20800</v>
          </cell>
          <cell r="Y382">
            <v>0</v>
          </cell>
          <cell r="Z382">
            <v>20800</v>
          </cell>
          <cell r="AA382">
            <v>0</v>
          </cell>
          <cell r="AB382">
            <v>0</v>
          </cell>
          <cell r="AC382">
            <v>0</v>
          </cell>
          <cell r="AD382">
            <v>0.95</v>
          </cell>
          <cell r="AE382">
            <v>0</v>
          </cell>
          <cell r="AF382">
            <v>0</v>
          </cell>
          <cell r="AG382">
            <v>0</v>
          </cell>
          <cell r="AH382">
            <v>0</v>
          </cell>
          <cell r="AI382">
            <v>0</v>
          </cell>
          <cell r="AJ382">
            <v>0</v>
          </cell>
          <cell r="AK382">
            <v>0</v>
          </cell>
          <cell r="AL382">
            <v>0</v>
          </cell>
        </row>
        <row r="383">
          <cell r="E383" t="str">
            <v>PB-1000×1000×500</v>
          </cell>
          <cell r="F383" t="str">
            <v>個</v>
          </cell>
          <cell r="G383">
            <v>0</v>
          </cell>
          <cell r="H383">
            <v>36900</v>
          </cell>
          <cell r="I383">
            <v>0</v>
          </cell>
          <cell r="J383">
            <v>36900</v>
          </cell>
          <cell r="K383">
            <v>0</v>
          </cell>
          <cell r="L383">
            <v>36900</v>
          </cell>
          <cell r="M383">
            <v>0</v>
          </cell>
          <cell r="N383">
            <v>36900</v>
          </cell>
          <cell r="O383">
            <v>0</v>
          </cell>
          <cell r="P383">
            <v>36900</v>
          </cell>
          <cell r="Q383">
            <v>0</v>
          </cell>
          <cell r="R383">
            <v>36900</v>
          </cell>
          <cell r="S383">
            <v>0</v>
          </cell>
          <cell r="T383">
            <v>36900</v>
          </cell>
          <cell r="U383">
            <v>0</v>
          </cell>
          <cell r="V383">
            <v>36900</v>
          </cell>
          <cell r="W383">
            <v>0</v>
          </cell>
          <cell r="X383">
            <v>36900</v>
          </cell>
          <cell r="Y383">
            <v>0</v>
          </cell>
          <cell r="Z383">
            <v>36900</v>
          </cell>
          <cell r="AA383">
            <v>0</v>
          </cell>
          <cell r="AB383">
            <v>0</v>
          </cell>
          <cell r="AC383">
            <v>0</v>
          </cell>
          <cell r="AD383">
            <v>1.25</v>
          </cell>
          <cell r="AE383">
            <v>0</v>
          </cell>
          <cell r="AF383">
            <v>0</v>
          </cell>
          <cell r="AG383">
            <v>0</v>
          </cell>
          <cell r="AH383">
            <v>0</v>
          </cell>
          <cell r="AI383">
            <v>0</v>
          </cell>
          <cell r="AJ383">
            <v>0</v>
          </cell>
          <cell r="AK383">
            <v>0</v>
          </cell>
          <cell r="AL383">
            <v>0</v>
          </cell>
        </row>
        <row r="384">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row>
        <row r="385">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row>
        <row r="386">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row>
        <row r="387">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row>
        <row r="388">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row>
        <row r="389">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row>
        <row r="390">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row>
        <row r="391">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row>
        <row r="392">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row>
        <row r="397">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row>
        <row r="398">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row>
        <row r="403">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row>
        <row r="404">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row>
        <row r="405">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row>
        <row r="406">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row>
        <row r="407">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row>
        <row r="408">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row>
        <row r="409">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row>
        <row r="410">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row>
        <row r="411">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row>
        <row r="412">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row>
        <row r="413">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row>
        <row r="414">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row>
        <row r="415">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row>
        <row r="416">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row>
        <row r="417">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row>
        <row r="418">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row>
        <row r="419">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row>
        <row r="420">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row>
        <row r="421">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row>
        <row r="422">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row>
        <row r="424">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row>
        <row r="425">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row>
        <row r="426">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row>
        <row r="427">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row>
        <row r="428">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row>
        <row r="429">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row>
        <row r="430">
          <cell r="E430" t="str">
            <v>トラフ- 70-500L</v>
          </cell>
          <cell r="F430" t="str">
            <v>ｍ</v>
          </cell>
          <cell r="G430">
            <v>0</v>
          </cell>
          <cell r="H430">
            <v>900</v>
          </cell>
          <cell r="I430">
            <v>0</v>
          </cell>
          <cell r="J430">
            <v>750</v>
          </cell>
          <cell r="K430">
            <v>0</v>
          </cell>
          <cell r="L430">
            <v>735</v>
          </cell>
          <cell r="M430">
            <v>0</v>
          </cell>
          <cell r="N430">
            <v>750</v>
          </cell>
          <cell r="O430">
            <v>0</v>
          </cell>
          <cell r="P430">
            <v>730</v>
          </cell>
          <cell r="Q430">
            <v>0</v>
          </cell>
          <cell r="R430">
            <v>730</v>
          </cell>
          <cell r="S430">
            <v>0</v>
          </cell>
          <cell r="T430">
            <v>770</v>
          </cell>
          <cell r="U430">
            <v>0</v>
          </cell>
          <cell r="V430">
            <v>820</v>
          </cell>
          <cell r="W430">
            <v>0</v>
          </cell>
          <cell r="X430">
            <v>730</v>
          </cell>
          <cell r="Y430">
            <v>0</v>
          </cell>
          <cell r="Z430">
            <v>900</v>
          </cell>
          <cell r="AA430">
            <v>0</v>
          </cell>
          <cell r="AB430">
            <v>0</v>
          </cell>
          <cell r="AC430">
            <v>0</v>
          </cell>
          <cell r="AD430">
            <v>0</v>
          </cell>
          <cell r="AE430">
            <v>0</v>
          </cell>
          <cell r="AF430">
            <v>0</v>
          </cell>
          <cell r="AG430">
            <v>0</v>
          </cell>
          <cell r="AH430">
            <v>0</v>
          </cell>
          <cell r="AI430">
            <v>0</v>
          </cell>
          <cell r="AJ430">
            <v>0</v>
          </cell>
          <cell r="AK430">
            <v>0</v>
          </cell>
          <cell r="AL430">
            <v>0</v>
          </cell>
        </row>
        <row r="431">
          <cell r="E431" t="str">
            <v>トラフ-120-500L</v>
          </cell>
          <cell r="F431" t="str">
            <v>ｍ</v>
          </cell>
          <cell r="G431">
            <v>0</v>
          </cell>
          <cell r="H431">
            <v>1190</v>
          </cell>
          <cell r="I431">
            <v>0</v>
          </cell>
          <cell r="J431">
            <v>1050</v>
          </cell>
          <cell r="K431">
            <v>0</v>
          </cell>
          <cell r="L431">
            <v>1170</v>
          </cell>
          <cell r="M431">
            <v>0</v>
          </cell>
          <cell r="N431">
            <v>1100</v>
          </cell>
          <cell r="O431">
            <v>0</v>
          </cell>
          <cell r="P431">
            <v>1070</v>
          </cell>
          <cell r="Q431">
            <v>0</v>
          </cell>
          <cell r="R431">
            <v>1100</v>
          </cell>
          <cell r="S431">
            <v>0</v>
          </cell>
          <cell r="T431">
            <v>1130</v>
          </cell>
          <cell r="U431">
            <v>0</v>
          </cell>
          <cell r="V431">
            <v>1120</v>
          </cell>
          <cell r="W431">
            <v>0</v>
          </cell>
          <cell r="X431">
            <v>1070</v>
          </cell>
          <cell r="Y431">
            <v>0</v>
          </cell>
          <cell r="Z431">
            <v>1190</v>
          </cell>
          <cell r="AA431">
            <v>0</v>
          </cell>
          <cell r="AB431">
            <v>0</v>
          </cell>
          <cell r="AC431">
            <v>0</v>
          </cell>
          <cell r="AD431">
            <v>0</v>
          </cell>
          <cell r="AE431">
            <v>0</v>
          </cell>
          <cell r="AF431">
            <v>0</v>
          </cell>
          <cell r="AG431">
            <v>0</v>
          </cell>
          <cell r="AH431">
            <v>0</v>
          </cell>
          <cell r="AI431">
            <v>0</v>
          </cell>
          <cell r="AJ431">
            <v>0</v>
          </cell>
          <cell r="AK431">
            <v>0</v>
          </cell>
          <cell r="AL431">
            <v>0</v>
          </cell>
        </row>
        <row r="432">
          <cell r="E432" t="str">
            <v>トラフ-150A-500L</v>
          </cell>
          <cell r="F432" t="str">
            <v>ｍ</v>
          </cell>
          <cell r="G432">
            <v>0</v>
          </cell>
          <cell r="H432">
            <v>1450</v>
          </cell>
          <cell r="I432">
            <v>0</v>
          </cell>
          <cell r="J432">
            <v>1300</v>
          </cell>
          <cell r="K432">
            <v>0</v>
          </cell>
          <cell r="L432">
            <v>1460</v>
          </cell>
          <cell r="M432">
            <v>0</v>
          </cell>
          <cell r="N432">
            <v>1450</v>
          </cell>
          <cell r="O432">
            <v>0</v>
          </cell>
          <cell r="P432">
            <v>1400</v>
          </cell>
          <cell r="Q432">
            <v>0</v>
          </cell>
          <cell r="R432">
            <v>1450</v>
          </cell>
          <cell r="S432">
            <v>0</v>
          </cell>
          <cell r="T432">
            <v>1490</v>
          </cell>
          <cell r="U432">
            <v>0</v>
          </cell>
          <cell r="V432">
            <v>1440</v>
          </cell>
          <cell r="W432">
            <v>0</v>
          </cell>
          <cell r="X432">
            <v>1480</v>
          </cell>
          <cell r="Y432">
            <v>0</v>
          </cell>
          <cell r="Z432">
            <v>1450</v>
          </cell>
          <cell r="AA432">
            <v>0</v>
          </cell>
          <cell r="AB432">
            <v>0</v>
          </cell>
          <cell r="AC432">
            <v>0</v>
          </cell>
          <cell r="AD432">
            <v>0</v>
          </cell>
          <cell r="AE432">
            <v>0</v>
          </cell>
          <cell r="AF432">
            <v>0</v>
          </cell>
          <cell r="AG432">
            <v>0</v>
          </cell>
          <cell r="AH432">
            <v>0</v>
          </cell>
          <cell r="AI432">
            <v>0</v>
          </cell>
          <cell r="AJ432">
            <v>0</v>
          </cell>
          <cell r="AK432">
            <v>0</v>
          </cell>
          <cell r="AL432">
            <v>0</v>
          </cell>
        </row>
        <row r="433">
          <cell r="E433" t="str">
            <v>トラフ-150B-500L</v>
          </cell>
          <cell r="F433" t="str">
            <v>ｍ</v>
          </cell>
          <cell r="G433">
            <v>0</v>
          </cell>
          <cell r="H433">
            <v>1580</v>
          </cell>
          <cell r="I433">
            <v>0</v>
          </cell>
          <cell r="J433">
            <v>1440</v>
          </cell>
          <cell r="K433">
            <v>0</v>
          </cell>
          <cell r="L433">
            <v>1620</v>
          </cell>
          <cell r="M433">
            <v>0</v>
          </cell>
          <cell r="N433">
            <v>1510</v>
          </cell>
          <cell r="O433">
            <v>0</v>
          </cell>
          <cell r="P433">
            <v>1470</v>
          </cell>
          <cell r="Q433">
            <v>0</v>
          </cell>
          <cell r="R433">
            <v>1510</v>
          </cell>
          <cell r="S433">
            <v>0</v>
          </cell>
          <cell r="T433">
            <v>1550</v>
          </cell>
          <cell r="U433">
            <v>0</v>
          </cell>
          <cell r="V433">
            <v>1530</v>
          </cell>
          <cell r="W433">
            <v>0</v>
          </cell>
          <cell r="X433">
            <v>1520</v>
          </cell>
          <cell r="Y433">
            <v>0</v>
          </cell>
          <cell r="Z433">
            <v>1580</v>
          </cell>
          <cell r="AA433">
            <v>0</v>
          </cell>
          <cell r="AB433">
            <v>0</v>
          </cell>
          <cell r="AC433">
            <v>0</v>
          </cell>
          <cell r="AD433">
            <v>0</v>
          </cell>
          <cell r="AE433">
            <v>0</v>
          </cell>
          <cell r="AF433">
            <v>0</v>
          </cell>
          <cell r="AG433">
            <v>0</v>
          </cell>
          <cell r="AH433">
            <v>0</v>
          </cell>
          <cell r="AI433">
            <v>0</v>
          </cell>
          <cell r="AJ433">
            <v>0</v>
          </cell>
          <cell r="AK433">
            <v>0</v>
          </cell>
          <cell r="AL433">
            <v>0</v>
          </cell>
        </row>
        <row r="434">
          <cell r="E434" t="str">
            <v>トラフ-200A-500L</v>
          </cell>
          <cell r="F434" t="str">
            <v>ｍ</v>
          </cell>
          <cell r="G434">
            <v>0</v>
          </cell>
          <cell r="H434">
            <v>1950</v>
          </cell>
          <cell r="I434">
            <v>0</v>
          </cell>
          <cell r="J434">
            <v>1690</v>
          </cell>
          <cell r="K434">
            <v>0</v>
          </cell>
          <cell r="L434">
            <v>1990</v>
          </cell>
          <cell r="M434">
            <v>0</v>
          </cell>
          <cell r="N434">
            <v>1870</v>
          </cell>
          <cell r="O434">
            <v>0</v>
          </cell>
          <cell r="P434">
            <v>1810</v>
          </cell>
          <cell r="Q434">
            <v>0</v>
          </cell>
          <cell r="R434">
            <v>1870</v>
          </cell>
          <cell r="S434">
            <v>0</v>
          </cell>
          <cell r="T434">
            <v>1910</v>
          </cell>
          <cell r="U434">
            <v>0</v>
          </cell>
          <cell r="V434">
            <v>2010</v>
          </cell>
          <cell r="W434">
            <v>0</v>
          </cell>
          <cell r="X434">
            <v>1810</v>
          </cell>
          <cell r="Y434">
            <v>0</v>
          </cell>
          <cell r="Z434">
            <v>1950</v>
          </cell>
          <cell r="AA434">
            <v>0</v>
          </cell>
          <cell r="AB434">
            <v>0</v>
          </cell>
          <cell r="AC434">
            <v>0</v>
          </cell>
          <cell r="AD434">
            <v>0</v>
          </cell>
          <cell r="AE434">
            <v>0</v>
          </cell>
          <cell r="AF434">
            <v>0</v>
          </cell>
          <cell r="AG434">
            <v>0</v>
          </cell>
          <cell r="AH434">
            <v>0</v>
          </cell>
          <cell r="AI434">
            <v>0</v>
          </cell>
          <cell r="AJ434">
            <v>0</v>
          </cell>
          <cell r="AK434">
            <v>0</v>
          </cell>
          <cell r="AL434">
            <v>0</v>
          </cell>
        </row>
        <row r="435">
          <cell r="E435" t="str">
            <v>トラフ-200B-500L</v>
          </cell>
          <cell r="F435" t="str">
            <v>ｍ</v>
          </cell>
          <cell r="G435">
            <v>0</v>
          </cell>
          <cell r="H435">
            <v>2170</v>
          </cell>
          <cell r="I435">
            <v>0</v>
          </cell>
          <cell r="J435">
            <v>1890</v>
          </cell>
          <cell r="K435">
            <v>0</v>
          </cell>
          <cell r="L435">
            <v>2340</v>
          </cell>
          <cell r="M435">
            <v>0</v>
          </cell>
          <cell r="N435">
            <v>2190</v>
          </cell>
          <cell r="O435">
            <v>0</v>
          </cell>
          <cell r="P435">
            <v>2100</v>
          </cell>
          <cell r="Q435">
            <v>0</v>
          </cell>
          <cell r="R435">
            <v>2190</v>
          </cell>
          <cell r="S435">
            <v>0</v>
          </cell>
          <cell r="T435">
            <v>2220</v>
          </cell>
          <cell r="U435">
            <v>0</v>
          </cell>
          <cell r="V435">
            <v>2110</v>
          </cell>
          <cell r="W435">
            <v>0</v>
          </cell>
          <cell r="X435">
            <v>2110</v>
          </cell>
          <cell r="Y435">
            <v>0</v>
          </cell>
          <cell r="Z435">
            <v>2170</v>
          </cell>
          <cell r="AA435">
            <v>0</v>
          </cell>
          <cell r="AB435">
            <v>0</v>
          </cell>
          <cell r="AC435">
            <v>0</v>
          </cell>
          <cell r="AD435">
            <v>0</v>
          </cell>
          <cell r="AE435">
            <v>0</v>
          </cell>
          <cell r="AF435">
            <v>0</v>
          </cell>
          <cell r="AG435">
            <v>0</v>
          </cell>
          <cell r="AH435">
            <v>0</v>
          </cell>
          <cell r="AI435">
            <v>0</v>
          </cell>
          <cell r="AJ435">
            <v>0</v>
          </cell>
          <cell r="AK435">
            <v>0</v>
          </cell>
          <cell r="AL435">
            <v>0</v>
          </cell>
        </row>
        <row r="436">
          <cell r="E436" t="str">
            <v>トラフ-250-500L</v>
          </cell>
          <cell r="F436" t="str">
            <v>ｍ</v>
          </cell>
          <cell r="G436">
            <v>0</v>
          </cell>
          <cell r="H436">
            <v>2800</v>
          </cell>
          <cell r="I436">
            <v>0</v>
          </cell>
          <cell r="J436">
            <v>2340</v>
          </cell>
          <cell r="K436">
            <v>0</v>
          </cell>
          <cell r="L436">
            <v>2620</v>
          </cell>
          <cell r="M436">
            <v>0</v>
          </cell>
          <cell r="N436">
            <v>2570</v>
          </cell>
          <cell r="O436">
            <v>0</v>
          </cell>
          <cell r="P436">
            <v>2470</v>
          </cell>
          <cell r="Q436">
            <v>0</v>
          </cell>
          <cell r="R436">
            <v>2570</v>
          </cell>
          <cell r="S436">
            <v>0</v>
          </cell>
          <cell r="T436">
            <v>2620</v>
          </cell>
          <cell r="U436">
            <v>0</v>
          </cell>
          <cell r="V436">
            <v>2530</v>
          </cell>
          <cell r="W436">
            <v>0</v>
          </cell>
          <cell r="X436">
            <v>2520</v>
          </cell>
          <cell r="Y436">
            <v>0</v>
          </cell>
          <cell r="Z436">
            <v>2800</v>
          </cell>
          <cell r="AA436">
            <v>0</v>
          </cell>
          <cell r="AB436">
            <v>0</v>
          </cell>
          <cell r="AC436">
            <v>0</v>
          </cell>
          <cell r="AD436">
            <v>0</v>
          </cell>
          <cell r="AE436">
            <v>0</v>
          </cell>
          <cell r="AF436">
            <v>0</v>
          </cell>
          <cell r="AG436">
            <v>0</v>
          </cell>
          <cell r="AH436">
            <v>0</v>
          </cell>
          <cell r="AI436">
            <v>0</v>
          </cell>
          <cell r="AJ436">
            <v>0</v>
          </cell>
          <cell r="AK436">
            <v>0</v>
          </cell>
          <cell r="AL436">
            <v>0</v>
          </cell>
        </row>
        <row r="437">
          <cell r="E437" t="str">
            <v>トラフ-300-500L</v>
          </cell>
          <cell r="F437" t="str">
            <v>ｍ</v>
          </cell>
          <cell r="G437">
            <v>0</v>
          </cell>
          <cell r="H437">
            <v>3100</v>
          </cell>
          <cell r="I437">
            <v>0</v>
          </cell>
          <cell r="J437">
            <v>2950</v>
          </cell>
          <cell r="K437">
            <v>0</v>
          </cell>
          <cell r="L437">
            <v>3130</v>
          </cell>
          <cell r="M437">
            <v>0</v>
          </cell>
          <cell r="N437">
            <v>3070</v>
          </cell>
          <cell r="O437">
            <v>0</v>
          </cell>
          <cell r="P437">
            <v>2950</v>
          </cell>
          <cell r="Q437">
            <v>0</v>
          </cell>
          <cell r="R437">
            <v>3070</v>
          </cell>
          <cell r="S437">
            <v>0</v>
          </cell>
          <cell r="T437">
            <v>3130</v>
          </cell>
          <cell r="U437">
            <v>0</v>
          </cell>
          <cell r="V437">
            <v>3070</v>
          </cell>
          <cell r="W437">
            <v>0</v>
          </cell>
          <cell r="X437">
            <v>3010</v>
          </cell>
          <cell r="Y437">
            <v>0</v>
          </cell>
          <cell r="Z437">
            <v>3100</v>
          </cell>
          <cell r="AA437">
            <v>0</v>
          </cell>
          <cell r="AB437">
            <v>0</v>
          </cell>
          <cell r="AC437">
            <v>0</v>
          </cell>
          <cell r="AD437">
            <v>0</v>
          </cell>
          <cell r="AE437">
            <v>0</v>
          </cell>
          <cell r="AF437">
            <v>0</v>
          </cell>
          <cell r="AG437">
            <v>0</v>
          </cell>
          <cell r="AH437">
            <v>0</v>
          </cell>
          <cell r="AI437">
            <v>0</v>
          </cell>
          <cell r="AJ437">
            <v>0</v>
          </cell>
          <cell r="AK437">
            <v>0</v>
          </cell>
          <cell r="AL437">
            <v>0</v>
          </cell>
        </row>
        <row r="438">
          <cell r="E438" t="str">
            <v>トラフ-400-500L</v>
          </cell>
          <cell r="F438" t="str">
            <v>ｍ</v>
          </cell>
          <cell r="G438">
            <v>0</v>
          </cell>
          <cell r="H438">
            <v>4400</v>
          </cell>
          <cell r="I438">
            <v>0</v>
          </cell>
          <cell r="J438">
            <v>4090</v>
          </cell>
          <cell r="K438">
            <v>0</v>
          </cell>
          <cell r="L438">
            <v>4540</v>
          </cell>
          <cell r="M438">
            <v>0</v>
          </cell>
          <cell r="N438">
            <v>4460</v>
          </cell>
          <cell r="O438">
            <v>0</v>
          </cell>
          <cell r="P438">
            <v>4270</v>
          </cell>
          <cell r="Q438">
            <v>0</v>
          </cell>
          <cell r="R438">
            <v>4460</v>
          </cell>
          <cell r="S438">
            <v>0</v>
          </cell>
          <cell r="T438">
            <v>4540</v>
          </cell>
          <cell r="U438">
            <v>0</v>
          </cell>
          <cell r="V438">
            <v>4600</v>
          </cell>
          <cell r="W438">
            <v>0</v>
          </cell>
          <cell r="X438">
            <v>4450</v>
          </cell>
          <cell r="Y438">
            <v>0</v>
          </cell>
          <cell r="Z438">
            <v>4400</v>
          </cell>
          <cell r="AA438">
            <v>0</v>
          </cell>
          <cell r="AB438">
            <v>0</v>
          </cell>
          <cell r="AC438">
            <v>0</v>
          </cell>
          <cell r="AD438">
            <v>0</v>
          </cell>
          <cell r="AE438">
            <v>0</v>
          </cell>
          <cell r="AF438">
            <v>0</v>
          </cell>
          <cell r="AG438">
            <v>0</v>
          </cell>
          <cell r="AH438">
            <v>0</v>
          </cell>
          <cell r="AI438">
            <v>0</v>
          </cell>
          <cell r="AJ438">
            <v>0</v>
          </cell>
          <cell r="AK438">
            <v>0</v>
          </cell>
          <cell r="AL438">
            <v>0</v>
          </cell>
        </row>
        <row r="439">
          <cell r="E439" t="str">
            <v>トラフ- K100-500L</v>
          </cell>
          <cell r="F439" t="str">
            <v>ｍ</v>
          </cell>
          <cell r="G439">
            <v>0</v>
          </cell>
          <cell r="H439">
            <v>980</v>
          </cell>
          <cell r="I439">
            <v>0</v>
          </cell>
          <cell r="J439">
            <v>980</v>
          </cell>
          <cell r="K439">
            <v>0</v>
          </cell>
          <cell r="L439">
            <v>980</v>
          </cell>
          <cell r="M439">
            <v>0</v>
          </cell>
          <cell r="N439">
            <v>980</v>
          </cell>
          <cell r="O439">
            <v>0</v>
          </cell>
          <cell r="P439">
            <v>980</v>
          </cell>
          <cell r="Q439">
            <v>0</v>
          </cell>
          <cell r="R439">
            <v>980</v>
          </cell>
          <cell r="S439">
            <v>0</v>
          </cell>
          <cell r="T439">
            <v>1180</v>
          </cell>
          <cell r="U439">
            <v>0</v>
          </cell>
          <cell r="V439">
            <v>980</v>
          </cell>
          <cell r="W439">
            <v>0</v>
          </cell>
          <cell r="X439">
            <v>1140</v>
          </cell>
          <cell r="Y439">
            <v>0</v>
          </cell>
          <cell r="Z439">
            <v>980</v>
          </cell>
          <cell r="AA439">
            <v>0</v>
          </cell>
          <cell r="AB439">
            <v>0</v>
          </cell>
          <cell r="AC439">
            <v>0</v>
          </cell>
          <cell r="AD439">
            <v>0</v>
          </cell>
          <cell r="AE439">
            <v>0</v>
          </cell>
          <cell r="AF439">
            <v>0</v>
          </cell>
          <cell r="AG439">
            <v>0</v>
          </cell>
          <cell r="AH439">
            <v>0</v>
          </cell>
          <cell r="AI439">
            <v>0</v>
          </cell>
          <cell r="AJ439">
            <v>0</v>
          </cell>
          <cell r="AK439">
            <v>0</v>
          </cell>
          <cell r="AL439">
            <v>0</v>
          </cell>
        </row>
        <row r="440">
          <cell r="E440" t="str">
            <v>トラフ- K130-500L</v>
          </cell>
          <cell r="F440" t="str">
            <v>ｍ</v>
          </cell>
          <cell r="G440">
            <v>0</v>
          </cell>
          <cell r="H440">
            <v>1050</v>
          </cell>
          <cell r="I440">
            <v>0</v>
          </cell>
          <cell r="J440">
            <v>1050</v>
          </cell>
          <cell r="K440">
            <v>0</v>
          </cell>
          <cell r="L440">
            <v>1050</v>
          </cell>
          <cell r="M440">
            <v>0</v>
          </cell>
          <cell r="N440">
            <v>1050</v>
          </cell>
          <cell r="O440">
            <v>0</v>
          </cell>
          <cell r="P440">
            <v>1050</v>
          </cell>
          <cell r="Q440">
            <v>0</v>
          </cell>
          <cell r="R440">
            <v>1050</v>
          </cell>
          <cell r="S440">
            <v>0</v>
          </cell>
          <cell r="T440">
            <v>1290</v>
          </cell>
          <cell r="U440">
            <v>0</v>
          </cell>
          <cell r="V440">
            <v>1050</v>
          </cell>
          <cell r="W440">
            <v>0</v>
          </cell>
          <cell r="X440">
            <v>1230</v>
          </cell>
          <cell r="Y440">
            <v>0</v>
          </cell>
          <cell r="Z440">
            <v>1050</v>
          </cell>
          <cell r="AA440">
            <v>0</v>
          </cell>
          <cell r="AB440">
            <v>0</v>
          </cell>
          <cell r="AC440">
            <v>0</v>
          </cell>
          <cell r="AD440">
            <v>0</v>
          </cell>
          <cell r="AE440">
            <v>0</v>
          </cell>
          <cell r="AF440">
            <v>0</v>
          </cell>
          <cell r="AG440">
            <v>0</v>
          </cell>
          <cell r="AH440">
            <v>0</v>
          </cell>
          <cell r="AI440">
            <v>0</v>
          </cell>
          <cell r="AJ440">
            <v>0</v>
          </cell>
          <cell r="AK440">
            <v>0</v>
          </cell>
          <cell r="AL440">
            <v>0</v>
          </cell>
        </row>
        <row r="441">
          <cell r="E441" t="str">
            <v>トラフ- K164-500L</v>
          </cell>
          <cell r="F441" t="str">
            <v>ｍ</v>
          </cell>
          <cell r="G441">
            <v>0</v>
          </cell>
          <cell r="H441">
            <v>1450</v>
          </cell>
          <cell r="I441">
            <v>0</v>
          </cell>
          <cell r="J441">
            <v>1450</v>
          </cell>
          <cell r="K441">
            <v>0</v>
          </cell>
          <cell r="L441">
            <v>1450</v>
          </cell>
          <cell r="M441">
            <v>0</v>
          </cell>
          <cell r="N441">
            <v>1450</v>
          </cell>
          <cell r="O441">
            <v>0</v>
          </cell>
          <cell r="P441">
            <v>1450</v>
          </cell>
          <cell r="Q441">
            <v>0</v>
          </cell>
          <cell r="R441">
            <v>1450</v>
          </cell>
          <cell r="S441">
            <v>0</v>
          </cell>
          <cell r="T441">
            <v>1830</v>
          </cell>
          <cell r="U441">
            <v>0</v>
          </cell>
          <cell r="V441">
            <v>1450</v>
          </cell>
          <cell r="W441">
            <v>0</v>
          </cell>
          <cell r="X441">
            <v>1740</v>
          </cell>
          <cell r="Y441">
            <v>0</v>
          </cell>
          <cell r="Z441">
            <v>1450</v>
          </cell>
          <cell r="AA441">
            <v>0</v>
          </cell>
          <cell r="AB441">
            <v>0</v>
          </cell>
          <cell r="AC441">
            <v>0</v>
          </cell>
          <cell r="AD441">
            <v>0</v>
          </cell>
          <cell r="AE441">
            <v>0</v>
          </cell>
          <cell r="AF441">
            <v>0</v>
          </cell>
          <cell r="AG441">
            <v>0</v>
          </cell>
          <cell r="AH441">
            <v>0</v>
          </cell>
          <cell r="AI441">
            <v>0</v>
          </cell>
          <cell r="AJ441">
            <v>0</v>
          </cell>
          <cell r="AK441">
            <v>0</v>
          </cell>
          <cell r="AL441">
            <v>0</v>
          </cell>
        </row>
        <row r="442">
          <cell r="E442" t="str">
            <v>トラフ- K164C-500L</v>
          </cell>
          <cell r="F442" t="str">
            <v>ｍ</v>
          </cell>
          <cell r="G442">
            <v>0</v>
          </cell>
          <cell r="H442">
            <v>2160</v>
          </cell>
          <cell r="I442">
            <v>0</v>
          </cell>
          <cell r="J442">
            <v>2160</v>
          </cell>
          <cell r="K442">
            <v>0</v>
          </cell>
          <cell r="L442">
            <v>2160</v>
          </cell>
          <cell r="M442">
            <v>0</v>
          </cell>
          <cell r="N442">
            <v>2160</v>
          </cell>
          <cell r="O442">
            <v>0</v>
          </cell>
          <cell r="P442">
            <v>2160</v>
          </cell>
          <cell r="Q442">
            <v>0</v>
          </cell>
          <cell r="R442">
            <v>2160</v>
          </cell>
          <cell r="S442">
            <v>0</v>
          </cell>
          <cell r="T442">
            <v>2160</v>
          </cell>
          <cell r="U442">
            <v>0</v>
          </cell>
          <cell r="V442">
            <v>2160</v>
          </cell>
          <cell r="W442">
            <v>0</v>
          </cell>
          <cell r="X442">
            <v>2160</v>
          </cell>
          <cell r="Y442">
            <v>0</v>
          </cell>
          <cell r="Z442">
            <v>2160</v>
          </cell>
          <cell r="AA442">
            <v>0</v>
          </cell>
          <cell r="AB442">
            <v>0</v>
          </cell>
          <cell r="AC442">
            <v>0</v>
          </cell>
          <cell r="AD442">
            <v>0</v>
          </cell>
          <cell r="AE442">
            <v>0</v>
          </cell>
          <cell r="AF442">
            <v>0</v>
          </cell>
          <cell r="AG442">
            <v>0</v>
          </cell>
          <cell r="AH442">
            <v>0</v>
          </cell>
          <cell r="AI442">
            <v>0</v>
          </cell>
          <cell r="AJ442">
            <v>0</v>
          </cell>
          <cell r="AK442">
            <v>0</v>
          </cell>
          <cell r="AL442">
            <v>0</v>
          </cell>
        </row>
        <row r="443">
          <cell r="E443" t="str">
            <v>トラフ- K220-500L</v>
          </cell>
          <cell r="F443" t="str">
            <v>ｍ</v>
          </cell>
          <cell r="G443">
            <v>0</v>
          </cell>
          <cell r="H443">
            <v>2180</v>
          </cell>
          <cell r="I443">
            <v>0</v>
          </cell>
          <cell r="J443">
            <v>2180</v>
          </cell>
          <cell r="K443">
            <v>0</v>
          </cell>
          <cell r="L443">
            <v>2180</v>
          </cell>
          <cell r="M443">
            <v>0</v>
          </cell>
          <cell r="N443">
            <v>2180</v>
          </cell>
          <cell r="O443">
            <v>0</v>
          </cell>
          <cell r="P443">
            <v>2180</v>
          </cell>
          <cell r="Q443">
            <v>0</v>
          </cell>
          <cell r="R443">
            <v>2180</v>
          </cell>
          <cell r="S443">
            <v>0</v>
          </cell>
          <cell r="T443">
            <v>2510</v>
          </cell>
          <cell r="U443">
            <v>0</v>
          </cell>
          <cell r="V443">
            <v>2180</v>
          </cell>
          <cell r="W443">
            <v>0</v>
          </cell>
          <cell r="X443">
            <v>2370</v>
          </cell>
          <cell r="Y443">
            <v>0</v>
          </cell>
          <cell r="Z443">
            <v>2180</v>
          </cell>
          <cell r="AA443">
            <v>0</v>
          </cell>
          <cell r="AB443">
            <v>0</v>
          </cell>
          <cell r="AC443">
            <v>0</v>
          </cell>
          <cell r="AD443">
            <v>0</v>
          </cell>
          <cell r="AE443">
            <v>0</v>
          </cell>
          <cell r="AF443">
            <v>0</v>
          </cell>
          <cell r="AG443">
            <v>0</v>
          </cell>
          <cell r="AH443">
            <v>0</v>
          </cell>
          <cell r="AI443">
            <v>0</v>
          </cell>
          <cell r="AJ443">
            <v>0</v>
          </cell>
          <cell r="AK443">
            <v>0</v>
          </cell>
          <cell r="AL443">
            <v>0</v>
          </cell>
        </row>
        <row r="444">
          <cell r="E444" t="str">
            <v>トラフ- K220C-500L</v>
          </cell>
          <cell r="F444" t="str">
            <v>ｍ</v>
          </cell>
          <cell r="G444">
            <v>0</v>
          </cell>
          <cell r="H444">
            <v>2840</v>
          </cell>
          <cell r="I444">
            <v>0</v>
          </cell>
          <cell r="J444">
            <v>2840</v>
          </cell>
          <cell r="K444">
            <v>0</v>
          </cell>
          <cell r="L444">
            <v>2840</v>
          </cell>
          <cell r="M444">
            <v>0</v>
          </cell>
          <cell r="N444">
            <v>2840</v>
          </cell>
          <cell r="O444">
            <v>0</v>
          </cell>
          <cell r="P444">
            <v>2840</v>
          </cell>
          <cell r="Q444">
            <v>0</v>
          </cell>
          <cell r="R444">
            <v>2840</v>
          </cell>
          <cell r="S444">
            <v>0</v>
          </cell>
          <cell r="T444">
            <v>2840</v>
          </cell>
          <cell r="U444">
            <v>0</v>
          </cell>
          <cell r="V444">
            <v>2840</v>
          </cell>
          <cell r="W444">
            <v>0</v>
          </cell>
          <cell r="X444">
            <v>2840</v>
          </cell>
          <cell r="Y444">
            <v>0</v>
          </cell>
          <cell r="Z444">
            <v>2840</v>
          </cell>
          <cell r="AA444">
            <v>0</v>
          </cell>
          <cell r="AB444">
            <v>0</v>
          </cell>
          <cell r="AC444">
            <v>0</v>
          </cell>
          <cell r="AD444">
            <v>0</v>
          </cell>
          <cell r="AE444">
            <v>0</v>
          </cell>
          <cell r="AF444">
            <v>0</v>
          </cell>
          <cell r="AG444">
            <v>0</v>
          </cell>
          <cell r="AH444">
            <v>0</v>
          </cell>
          <cell r="AI444">
            <v>0</v>
          </cell>
          <cell r="AJ444">
            <v>0</v>
          </cell>
          <cell r="AK444">
            <v>0</v>
          </cell>
          <cell r="AL444">
            <v>0</v>
          </cell>
        </row>
        <row r="445">
          <cell r="E445" t="str">
            <v>トラフ- 280-500L</v>
          </cell>
          <cell r="F445" t="str">
            <v>ｍ</v>
          </cell>
          <cell r="G445">
            <v>0</v>
          </cell>
          <cell r="H445">
            <v>2780</v>
          </cell>
          <cell r="I445">
            <v>0</v>
          </cell>
          <cell r="J445">
            <v>2780</v>
          </cell>
          <cell r="K445">
            <v>0</v>
          </cell>
          <cell r="L445">
            <v>2780</v>
          </cell>
          <cell r="M445">
            <v>0</v>
          </cell>
          <cell r="N445">
            <v>2780</v>
          </cell>
          <cell r="O445">
            <v>0</v>
          </cell>
          <cell r="P445">
            <v>2780</v>
          </cell>
          <cell r="Q445">
            <v>0</v>
          </cell>
          <cell r="R445">
            <v>2780</v>
          </cell>
          <cell r="S445">
            <v>0</v>
          </cell>
          <cell r="T445">
            <v>2920</v>
          </cell>
          <cell r="U445">
            <v>0</v>
          </cell>
          <cell r="V445">
            <v>2780</v>
          </cell>
          <cell r="W445">
            <v>0</v>
          </cell>
          <cell r="X445">
            <v>2760</v>
          </cell>
          <cell r="Y445">
            <v>0</v>
          </cell>
          <cell r="Z445">
            <v>2780</v>
          </cell>
          <cell r="AA445">
            <v>0</v>
          </cell>
          <cell r="AB445">
            <v>0</v>
          </cell>
          <cell r="AC445">
            <v>0</v>
          </cell>
          <cell r="AD445">
            <v>0</v>
          </cell>
          <cell r="AE445">
            <v>0</v>
          </cell>
          <cell r="AF445">
            <v>0</v>
          </cell>
          <cell r="AG445">
            <v>0</v>
          </cell>
          <cell r="AH445">
            <v>0</v>
          </cell>
          <cell r="AI445">
            <v>0</v>
          </cell>
          <cell r="AJ445">
            <v>0</v>
          </cell>
          <cell r="AK445">
            <v>0</v>
          </cell>
          <cell r="AL445">
            <v>0</v>
          </cell>
        </row>
        <row r="446">
          <cell r="E446" t="str">
            <v>トラフ- 280C-500L</v>
          </cell>
          <cell r="F446" t="str">
            <v>ｍ</v>
          </cell>
          <cell r="G446">
            <v>0</v>
          </cell>
          <cell r="H446">
            <v>3240</v>
          </cell>
          <cell r="I446">
            <v>0</v>
          </cell>
          <cell r="J446">
            <v>3240</v>
          </cell>
          <cell r="K446">
            <v>0</v>
          </cell>
          <cell r="L446">
            <v>3240</v>
          </cell>
          <cell r="M446">
            <v>0</v>
          </cell>
          <cell r="N446">
            <v>3240</v>
          </cell>
          <cell r="O446">
            <v>0</v>
          </cell>
          <cell r="P446">
            <v>3240</v>
          </cell>
          <cell r="Q446">
            <v>0</v>
          </cell>
          <cell r="R446">
            <v>3240</v>
          </cell>
          <cell r="S446">
            <v>0</v>
          </cell>
          <cell r="T446">
            <v>3240</v>
          </cell>
          <cell r="U446">
            <v>0</v>
          </cell>
          <cell r="V446">
            <v>3240</v>
          </cell>
          <cell r="W446">
            <v>0</v>
          </cell>
          <cell r="X446">
            <v>3240</v>
          </cell>
          <cell r="Y446">
            <v>0</v>
          </cell>
          <cell r="Z446">
            <v>3240</v>
          </cell>
          <cell r="AA446">
            <v>0</v>
          </cell>
          <cell r="AB446">
            <v>0</v>
          </cell>
          <cell r="AC446">
            <v>0</v>
          </cell>
          <cell r="AD446">
            <v>0</v>
          </cell>
          <cell r="AE446">
            <v>0</v>
          </cell>
          <cell r="AF446">
            <v>0</v>
          </cell>
          <cell r="AG446">
            <v>0</v>
          </cell>
          <cell r="AH446">
            <v>0</v>
          </cell>
          <cell r="AI446">
            <v>0</v>
          </cell>
          <cell r="AJ446">
            <v>0</v>
          </cell>
          <cell r="AK446">
            <v>0</v>
          </cell>
          <cell r="AL446">
            <v>0</v>
          </cell>
        </row>
        <row r="447">
          <cell r="E447" t="str">
            <v>トラフ- 330-500L</v>
          </cell>
          <cell r="F447" t="str">
            <v>ｍ</v>
          </cell>
          <cell r="G447">
            <v>0</v>
          </cell>
          <cell r="H447">
            <v>3100</v>
          </cell>
          <cell r="I447">
            <v>0</v>
          </cell>
          <cell r="J447">
            <v>3100</v>
          </cell>
          <cell r="K447">
            <v>0</v>
          </cell>
          <cell r="L447">
            <v>3100</v>
          </cell>
          <cell r="M447">
            <v>0</v>
          </cell>
          <cell r="N447">
            <v>3100</v>
          </cell>
          <cell r="O447">
            <v>0</v>
          </cell>
          <cell r="P447">
            <v>3100</v>
          </cell>
          <cell r="Q447">
            <v>0</v>
          </cell>
          <cell r="R447">
            <v>3100</v>
          </cell>
          <cell r="S447">
            <v>0</v>
          </cell>
          <cell r="T447">
            <v>3600</v>
          </cell>
          <cell r="U447">
            <v>0</v>
          </cell>
          <cell r="V447">
            <v>3100</v>
          </cell>
          <cell r="W447">
            <v>0</v>
          </cell>
          <cell r="X447">
            <v>3400</v>
          </cell>
          <cell r="Y447">
            <v>0</v>
          </cell>
          <cell r="Z447">
            <v>3100</v>
          </cell>
          <cell r="AA447">
            <v>0</v>
          </cell>
          <cell r="AB447">
            <v>0</v>
          </cell>
          <cell r="AC447">
            <v>0</v>
          </cell>
          <cell r="AD447">
            <v>0</v>
          </cell>
          <cell r="AE447">
            <v>0</v>
          </cell>
          <cell r="AF447">
            <v>0</v>
          </cell>
          <cell r="AG447">
            <v>0</v>
          </cell>
          <cell r="AH447">
            <v>0</v>
          </cell>
          <cell r="AI447">
            <v>0</v>
          </cell>
          <cell r="AJ447">
            <v>0</v>
          </cell>
          <cell r="AK447">
            <v>0</v>
          </cell>
          <cell r="AL447">
            <v>0</v>
          </cell>
        </row>
        <row r="448">
          <cell r="E448" t="str">
            <v>トラフ- 330C-500L</v>
          </cell>
          <cell r="F448" t="str">
            <v>ｍ</v>
          </cell>
          <cell r="G448">
            <v>0</v>
          </cell>
          <cell r="H448">
            <v>3840</v>
          </cell>
          <cell r="I448">
            <v>0</v>
          </cell>
          <cell r="J448">
            <v>3840</v>
          </cell>
          <cell r="K448">
            <v>0</v>
          </cell>
          <cell r="L448">
            <v>3840</v>
          </cell>
          <cell r="M448">
            <v>0</v>
          </cell>
          <cell r="N448">
            <v>3840</v>
          </cell>
          <cell r="O448">
            <v>0</v>
          </cell>
          <cell r="P448">
            <v>3840</v>
          </cell>
          <cell r="Q448">
            <v>0</v>
          </cell>
          <cell r="R448">
            <v>3840</v>
          </cell>
          <cell r="S448">
            <v>0</v>
          </cell>
          <cell r="T448">
            <v>3840</v>
          </cell>
          <cell r="U448">
            <v>0</v>
          </cell>
          <cell r="V448">
            <v>3840</v>
          </cell>
          <cell r="W448">
            <v>0</v>
          </cell>
          <cell r="X448">
            <v>3840</v>
          </cell>
          <cell r="Y448">
            <v>0</v>
          </cell>
          <cell r="Z448">
            <v>3840</v>
          </cell>
          <cell r="AA448">
            <v>0</v>
          </cell>
          <cell r="AB448">
            <v>0</v>
          </cell>
          <cell r="AC448">
            <v>0</v>
          </cell>
          <cell r="AD448">
            <v>0</v>
          </cell>
          <cell r="AE448">
            <v>0</v>
          </cell>
          <cell r="AF448">
            <v>0</v>
          </cell>
          <cell r="AG448">
            <v>0</v>
          </cell>
          <cell r="AH448">
            <v>0</v>
          </cell>
          <cell r="AI448">
            <v>0</v>
          </cell>
          <cell r="AJ448">
            <v>0</v>
          </cell>
          <cell r="AK448">
            <v>0</v>
          </cell>
          <cell r="AL448">
            <v>0</v>
          </cell>
        </row>
        <row r="449">
          <cell r="E449" t="str">
            <v>トラフ- 450-500L</v>
          </cell>
          <cell r="F449" t="str">
            <v>ｍ</v>
          </cell>
          <cell r="G449">
            <v>0</v>
          </cell>
          <cell r="H449">
            <v>4400</v>
          </cell>
          <cell r="I449">
            <v>0</v>
          </cell>
          <cell r="J449">
            <v>4400</v>
          </cell>
          <cell r="K449">
            <v>0</v>
          </cell>
          <cell r="L449">
            <v>4400</v>
          </cell>
          <cell r="M449">
            <v>0</v>
          </cell>
          <cell r="N449">
            <v>4400</v>
          </cell>
          <cell r="O449">
            <v>0</v>
          </cell>
          <cell r="P449">
            <v>4400</v>
          </cell>
          <cell r="Q449">
            <v>0</v>
          </cell>
          <cell r="R449">
            <v>4400</v>
          </cell>
          <cell r="S449">
            <v>0</v>
          </cell>
          <cell r="T449">
            <v>4750</v>
          </cell>
          <cell r="U449">
            <v>0</v>
          </cell>
          <cell r="V449">
            <v>4400</v>
          </cell>
          <cell r="W449">
            <v>0</v>
          </cell>
          <cell r="X449">
            <v>4490</v>
          </cell>
          <cell r="Y449">
            <v>0</v>
          </cell>
          <cell r="Z449">
            <v>4400</v>
          </cell>
          <cell r="AA449">
            <v>0</v>
          </cell>
          <cell r="AB449">
            <v>0</v>
          </cell>
          <cell r="AC449">
            <v>0</v>
          </cell>
          <cell r="AD449">
            <v>0</v>
          </cell>
          <cell r="AE449">
            <v>0</v>
          </cell>
          <cell r="AF449">
            <v>0</v>
          </cell>
          <cell r="AG449">
            <v>0</v>
          </cell>
          <cell r="AH449">
            <v>0</v>
          </cell>
          <cell r="AI449">
            <v>0</v>
          </cell>
          <cell r="AJ449">
            <v>0</v>
          </cell>
          <cell r="AK449">
            <v>0</v>
          </cell>
          <cell r="AL449">
            <v>0</v>
          </cell>
        </row>
        <row r="450">
          <cell r="E450" t="str">
            <v>トラフ- 470C-500L</v>
          </cell>
          <cell r="F450" t="str">
            <v>ｍ</v>
          </cell>
          <cell r="G450">
            <v>0</v>
          </cell>
          <cell r="H450">
            <v>5710</v>
          </cell>
          <cell r="I450">
            <v>0</v>
          </cell>
          <cell r="J450">
            <v>5710</v>
          </cell>
          <cell r="K450">
            <v>0</v>
          </cell>
          <cell r="L450">
            <v>5710</v>
          </cell>
          <cell r="M450">
            <v>0</v>
          </cell>
          <cell r="N450">
            <v>5710</v>
          </cell>
          <cell r="O450">
            <v>0</v>
          </cell>
          <cell r="P450">
            <v>5710</v>
          </cell>
          <cell r="Q450">
            <v>0</v>
          </cell>
          <cell r="R450">
            <v>5710</v>
          </cell>
          <cell r="S450">
            <v>0</v>
          </cell>
          <cell r="T450">
            <v>5710</v>
          </cell>
          <cell r="U450">
            <v>0</v>
          </cell>
          <cell r="V450">
            <v>5710</v>
          </cell>
          <cell r="W450">
            <v>0</v>
          </cell>
          <cell r="X450">
            <v>5710</v>
          </cell>
          <cell r="Y450">
            <v>0</v>
          </cell>
          <cell r="Z450">
            <v>5710</v>
          </cell>
          <cell r="AA450">
            <v>0</v>
          </cell>
          <cell r="AB450">
            <v>0</v>
          </cell>
          <cell r="AC450">
            <v>0</v>
          </cell>
          <cell r="AD450">
            <v>0</v>
          </cell>
          <cell r="AE450">
            <v>0</v>
          </cell>
          <cell r="AF450">
            <v>0</v>
          </cell>
          <cell r="AG450">
            <v>0</v>
          </cell>
          <cell r="AH450">
            <v>0</v>
          </cell>
          <cell r="AI450">
            <v>0</v>
          </cell>
          <cell r="AJ450">
            <v>0</v>
          </cell>
          <cell r="AK450">
            <v>0</v>
          </cell>
          <cell r="AL450">
            <v>0</v>
          </cell>
        </row>
        <row r="451">
          <cell r="E451" t="str">
            <v>メラミンCR-200mm</v>
          </cell>
          <cell r="F451" t="str">
            <v>ｍ</v>
          </cell>
          <cell r="G451">
            <v>6460</v>
          </cell>
          <cell r="H451">
            <v>2153</v>
          </cell>
          <cell r="I451">
            <v>6460</v>
          </cell>
          <cell r="J451">
            <v>2153</v>
          </cell>
          <cell r="K451">
            <v>6460</v>
          </cell>
          <cell r="L451">
            <v>2153</v>
          </cell>
          <cell r="M451">
            <v>6460</v>
          </cell>
          <cell r="N451">
            <v>2153</v>
          </cell>
          <cell r="O451">
            <v>6460</v>
          </cell>
          <cell r="P451">
            <v>2153</v>
          </cell>
          <cell r="Q451">
            <v>6460</v>
          </cell>
          <cell r="R451">
            <v>2153</v>
          </cell>
          <cell r="S451">
            <v>6460</v>
          </cell>
          <cell r="T451">
            <v>2153</v>
          </cell>
          <cell r="U451">
            <v>6460</v>
          </cell>
          <cell r="V451">
            <v>2153</v>
          </cell>
          <cell r="W451">
            <v>6460</v>
          </cell>
          <cell r="X451">
            <v>2153</v>
          </cell>
          <cell r="Y451">
            <v>6460</v>
          </cell>
          <cell r="Z451">
            <v>2153</v>
          </cell>
          <cell r="AA451">
            <v>0</v>
          </cell>
          <cell r="AB451">
            <v>0</v>
          </cell>
          <cell r="AC451">
            <v>0</v>
          </cell>
          <cell r="AD451">
            <v>0.183</v>
          </cell>
          <cell r="AE451">
            <v>0</v>
          </cell>
          <cell r="AF451">
            <v>0</v>
          </cell>
          <cell r="AG451">
            <v>0</v>
          </cell>
          <cell r="AH451">
            <v>0</v>
          </cell>
          <cell r="AI451">
            <v>0</v>
          </cell>
          <cell r="AJ451">
            <v>0</v>
          </cell>
          <cell r="AK451">
            <v>0</v>
          </cell>
          <cell r="AL451" t="str">
            <v>定尺=3.00m</v>
          </cell>
        </row>
        <row r="452">
          <cell r="E452" t="str">
            <v>メラミンCR-300mm</v>
          </cell>
          <cell r="F452" t="str">
            <v>ｍ</v>
          </cell>
          <cell r="G452">
            <v>6880</v>
          </cell>
          <cell r="H452">
            <v>2293</v>
          </cell>
          <cell r="I452">
            <v>6880</v>
          </cell>
          <cell r="J452">
            <v>2293</v>
          </cell>
          <cell r="K452">
            <v>6880</v>
          </cell>
          <cell r="L452">
            <v>2293</v>
          </cell>
          <cell r="M452">
            <v>6880</v>
          </cell>
          <cell r="N452">
            <v>2293</v>
          </cell>
          <cell r="O452">
            <v>6880</v>
          </cell>
          <cell r="P452">
            <v>2293</v>
          </cell>
          <cell r="Q452">
            <v>6880</v>
          </cell>
          <cell r="R452">
            <v>2293</v>
          </cell>
          <cell r="S452">
            <v>6880</v>
          </cell>
          <cell r="T452">
            <v>2293</v>
          </cell>
          <cell r="U452">
            <v>6880</v>
          </cell>
          <cell r="V452">
            <v>2293</v>
          </cell>
          <cell r="W452">
            <v>6880</v>
          </cell>
          <cell r="X452">
            <v>2293</v>
          </cell>
          <cell r="Y452">
            <v>6880</v>
          </cell>
          <cell r="Z452">
            <v>2293</v>
          </cell>
          <cell r="AA452">
            <v>0</v>
          </cell>
          <cell r="AB452">
            <v>0</v>
          </cell>
          <cell r="AC452">
            <v>0</v>
          </cell>
          <cell r="AD452">
            <v>0.24299999999999999</v>
          </cell>
          <cell r="AE452">
            <v>0</v>
          </cell>
          <cell r="AF452">
            <v>0</v>
          </cell>
          <cell r="AG452">
            <v>0</v>
          </cell>
          <cell r="AH452">
            <v>0</v>
          </cell>
          <cell r="AI452">
            <v>0</v>
          </cell>
          <cell r="AJ452">
            <v>0</v>
          </cell>
          <cell r="AK452">
            <v>0</v>
          </cell>
          <cell r="AL452" t="str">
            <v xml:space="preserve">     ↓</v>
          </cell>
        </row>
        <row r="453">
          <cell r="E453" t="str">
            <v>メラミンCR-400mm</v>
          </cell>
          <cell r="F453" t="str">
            <v>ｍ</v>
          </cell>
          <cell r="G453">
            <v>7380</v>
          </cell>
          <cell r="H453">
            <v>2460</v>
          </cell>
          <cell r="I453">
            <v>7380</v>
          </cell>
          <cell r="J453">
            <v>2460</v>
          </cell>
          <cell r="K453">
            <v>7380</v>
          </cell>
          <cell r="L453">
            <v>2460</v>
          </cell>
          <cell r="M453">
            <v>7380</v>
          </cell>
          <cell r="N453">
            <v>2460</v>
          </cell>
          <cell r="O453">
            <v>7380</v>
          </cell>
          <cell r="P453">
            <v>2460</v>
          </cell>
          <cell r="Q453">
            <v>7380</v>
          </cell>
          <cell r="R453">
            <v>2460</v>
          </cell>
          <cell r="S453">
            <v>7380</v>
          </cell>
          <cell r="T453">
            <v>2460</v>
          </cell>
          <cell r="U453">
            <v>7380</v>
          </cell>
          <cell r="V453">
            <v>2460</v>
          </cell>
          <cell r="W453">
            <v>7380</v>
          </cell>
          <cell r="X453">
            <v>2460</v>
          </cell>
          <cell r="Y453">
            <v>7380</v>
          </cell>
          <cell r="Z453">
            <v>2460</v>
          </cell>
          <cell r="AA453">
            <v>0</v>
          </cell>
          <cell r="AB453">
            <v>0</v>
          </cell>
          <cell r="AC453">
            <v>0</v>
          </cell>
          <cell r="AD453">
            <v>0.29599999999999999</v>
          </cell>
          <cell r="AE453">
            <v>0</v>
          </cell>
          <cell r="AF453">
            <v>0</v>
          </cell>
          <cell r="AG453">
            <v>0</v>
          </cell>
          <cell r="AH453">
            <v>0</v>
          </cell>
          <cell r="AI453">
            <v>0</v>
          </cell>
          <cell r="AJ453">
            <v>0</v>
          </cell>
          <cell r="AK453">
            <v>0</v>
          </cell>
          <cell r="AL453" t="str">
            <v xml:space="preserve">     ↓</v>
          </cell>
        </row>
        <row r="454">
          <cell r="E454" t="str">
            <v>メラミンCR-500mm</v>
          </cell>
          <cell r="F454" t="str">
            <v>ｍ</v>
          </cell>
          <cell r="G454">
            <v>7880</v>
          </cell>
          <cell r="H454">
            <v>2626</v>
          </cell>
          <cell r="I454">
            <v>7880</v>
          </cell>
          <cell r="J454">
            <v>2626</v>
          </cell>
          <cell r="K454">
            <v>7880</v>
          </cell>
          <cell r="L454">
            <v>2626</v>
          </cell>
          <cell r="M454">
            <v>7880</v>
          </cell>
          <cell r="N454">
            <v>2626</v>
          </cell>
          <cell r="O454">
            <v>7880</v>
          </cell>
          <cell r="P454">
            <v>2626</v>
          </cell>
          <cell r="Q454">
            <v>7880</v>
          </cell>
          <cell r="R454">
            <v>2626</v>
          </cell>
          <cell r="S454">
            <v>7880</v>
          </cell>
          <cell r="T454">
            <v>2626</v>
          </cell>
          <cell r="U454">
            <v>7880</v>
          </cell>
          <cell r="V454">
            <v>2626</v>
          </cell>
          <cell r="W454">
            <v>7880</v>
          </cell>
          <cell r="X454">
            <v>2626</v>
          </cell>
          <cell r="Y454">
            <v>7880</v>
          </cell>
          <cell r="Z454">
            <v>2626</v>
          </cell>
          <cell r="AA454">
            <v>0</v>
          </cell>
          <cell r="AB454">
            <v>0</v>
          </cell>
          <cell r="AC454">
            <v>0</v>
          </cell>
          <cell r="AD454">
            <v>0.33900000000000002</v>
          </cell>
          <cell r="AE454">
            <v>0</v>
          </cell>
          <cell r="AF454">
            <v>0</v>
          </cell>
          <cell r="AG454">
            <v>0</v>
          </cell>
          <cell r="AH454">
            <v>0</v>
          </cell>
          <cell r="AI454">
            <v>0</v>
          </cell>
          <cell r="AJ454">
            <v>0</v>
          </cell>
          <cell r="AK454">
            <v>0</v>
          </cell>
          <cell r="AL454" t="str">
            <v xml:space="preserve">     ↓</v>
          </cell>
        </row>
        <row r="455">
          <cell r="E455" t="str">
            <v>メラミンCR-600mm</v>
          </cell>
          <cell r="F455" t="str">
            <v>ｍ</v>
          </cell>
          <cell r="G455">
            <v>8520</v>
          </cell>
          <cell r="H455">
            <v>2840</v>
          </cell>
          <cell r="I455">
            <v>8520</v>
          </cell>
          <cell r="J455">
            <v>2840</v>
          </cell>
          <cell r="K455">
            <v>8520</v>
          </cell>
          <cell r="L455">
            <v>2840</v>
          </cell>
          <cell r="M455">
            <v>8520</v>
          </cell>
          <cell r="N455">
            <v>2840</v>
          </cell>
          <cell r="O455">
            <v>8520</v>
          </cell>
          <cell r="P455">
            <v>2840</v>
          </cell>
          <cell r="Q455">
            <v>8520</v>
          </cell>
          <cell r="R455">
            <v>2840</v>
          </cell>
          <cell r="S455">
            <v>8520</v>
          </cell>
          <cell r="T455">
            <v>2840</v>
          </cell>
          <cell r="U455">
            <v>8520</v>
          </cell>
          <cell r="V455">
            <v>2840</v>
          </cell>
          <cell r="W455">
            <v>8520</v>
          </cell>
          <cell r="X455">
            <v>2840</v>
          </cell>
          <cell r="Y455">
            <v>8520</v>
          </cell>
          <cell r="Z455">
            <v>2840</v>
          </cell>
          <cell r="AA455">
            <v>0</v>
          </cell>
          <cell r="AB455">
            <v>0</v>
          </cell>
          <cell r="AC455">
            <v>0</v>
          </cell>
          <cell r="AD455">
            <v>0.36499999999999999</v>
          </cell>
          <cell r="AE455">
            <v>0</v>
          </cell>
          <cell r="AF455">
            <v>0</v>
          </cell>
          <cell r="AG455">
            <v>0</v>
          </cell>
          <cell r="AH455">
            <v>0</v>
          </cell>
          <cell r="AI455">
            <v>0</v>
          </cell>
          <cell r="AJ455">
            <v>0</v>
          </cell>
          <cell r="AK455">
            <v>0</v>
          </cell>
          <cell r="AL455" t="str">
            <v xml:space="preserve">     ↓</v>
          </cell>
        </row>
        <row r="456">
          <cell r="E456" t="str">
            <v>メラミンCR-700mm</v>
          </cell>
          <cell r="F456" t="str">
            <v>ｍ</v>
          </cell>
          <cell r="G456">
            <v>9230</v>
          </cell>
          <cell r="H456">
            <v>3076</v>
          </cell>
          <cell r="I456">
            <v>9230</v>
          </cell>
          <cell r="J456">
            <v>3076</v>
          </cell>
          <cell r="K456">
            <v>9230</v>
          </cell>
          <cell r="L456">
            <v>3076</v>
          </cell>
          <cell r="M456">
            <v>9230</v>
          </cell>
          <cell r="N456">
            <v>3076</v>
          </cell>
          <cell r="O456">
            <v>9230</v>
          </cell>
          <cell r="P456">
            <v>3076</v>
          </cell>
          <cell r="Q456">
            <v>9230</v>
          </cell>
          <cell r="R456">
            <v>3076</v>
          </cell>
          <cell r="S456">
            <v>9230</v>
          </cell>
          <cell r="T456">
            <v>3076</v>
          </cell>
          <cell r="U456">
            <v>9230</v>
          </cell>
          <cell r="V456">
            <v>3076</v>
          </cell>
          <cell r="W456">
            <v>9230</v>
          </cell>
          <cell r="X456">
            <v>3076</v>
          </cell>
          <cell r="Y456">
            <v>9230</v>
          </cell>
          <cell r="Z456">
            <v>3076</v>
          </cell>
          <cell r="AA456">
            <v>0</v>
          </cell>
          <cell r="AB456">
            <v>0</v>
          </cell>
          <cell r="AC456">
            <v>0</v>
          </cell>
          <cell r="AD456">
            <v>0.42699999999999999</v>
          </cell>
          <cell r="AE456">
            <v>0</v>
          </cell>
          <cell r="AF456">
            <v>0</v>
          </cell>
          <cell r="AG456">
            <v>0</v>
          </cell>
          <cell r="AH456">
            <v>0</v>
          </cell>
          <cell r="AI456">
            <v>0</v>
          </cell>
          <cell r="AJ456">
            <v>0</v>
          </cell>
          <cell r="AK456">
            <v>0</v>
          </cell>
          <cell r="AL456" t="str">
            <v xml:space="preserve">     ↓</v>
          </cell>
        </row>
        <row r="457">
          <cell r="E457" t="str">
            <v>メラミンCR-800mm</v>
          </cell>
          <cell r="F457" t="str">
            <v>ｍ</v>
          </cell>
          <cell r="G457">
            <v>9940</v>
          </cell>
          <cell r="H457">
            <v>3313</v>
          </cell>
          <cell r="I457">
            <v>9940</v>
          </cell>
          <cell r="J457">
            <v>3313</v>
          </cell>
          <cell r="K457">
            <v>9940</v>
          </cell>
          <cell r="L457">
            <v>3313</v>
          </cell>
          <cell r="M457">
            <v>9940</v>
          </cell>
          <cell r="N457">
            <v>3313</v>
          </cell>
          <cell r="O457">
            <v>9940</v>
          </cell>
          <cell r="P457">
            <v>3313</v>
          </cell>
          <cell r="Q457">
            <v>9940</v>
          </cell>
          <cell r="R457">
            <v>3313</v>
          </cell>
          <cell r="S457">
            <v>9940</v>
          </cell>
          <cell r="T457">
            <v>3313</v>
          </cell>
          <cell r="U457">
            <v>9940</v>
          </cell>
          <cell r="V457">
            <v>3313</v>
          </cell>
          <cell r="W457">
            <v>9940</v>
          </cell>
          <cell r="X457">
            <v>3313</v>
          </cell>
          <cell r="Y457">
            <v>9940</v>
          </cell>
          <cell r="Z457">
            <v>3313</v>
          </cell>
          <cell r="AA457">
            <v>0</v>
          </cell>
          <cell r="AB457">
            <v>0</v>
          </cell>
          <cell r="AC457">
            <v>0</v>
          </cell>
          <cell r="AD457">
            <v>0.496</v>
          </cell>
          <cell r="AE457">
            <v>0</v>
          </cell>
          <cell r="AF457">
            <v>0</v>
          </cell>
          <cell r="AG457">
            <v>0</v>
          </cell>
          <cell r="AH457">
            <v>0</v>
          </cell>
          <cell r="AI457">
            <v>0</v>
          </cell>
          <cell r="AJ457">
            <v>0</v>
          </cell>
          <cell r="AK457">
            <v>0</v>
          </cell>
          <cell r="AL457" t="str">
            <v xml:space="preserve">     ↓</v>
          </cell>
        </row>
        <row r="458">
          <cell r="E458" t="str">
            <v>メラミンCR-900mm</v>
          </cell>
          <cell r="F458" t="str">
            <v>ｍ</v>
          </cell>
          <cell r="G458">
            <v>10500</v>
          </cell>
          <cell r="H458">
            <v>3500</v>
          </cell>
          <cell r="I458">
            <v>10500</v>
          </cell>
          <cell r="J458">
            <v>3500</v>
          </cell>
          <cell r="K458">
            <v>10500</v>
          </cell>
          <cell r="L458">
            <v>3500</v>
          </cell>
          <cell r="M458">
            <v>10500</v>
          </cell>
          <cell r="N458">
            <v>3500</v>
          </cell>
          <cell r="O458">
            <v>10500</v>
          </cell>
          <cell r="P458">
            <v>3500</v>
          </cell>
          <cell r="Q458">
            <v>10500</v>
          </cell>
          <cell r="R458">
            <v>3500</v>
          </cell>
          <cell r="S458">
            <v>10500</v>
          </cell>
          <cell r="T458">
            <v>3500</v>
          </cell>
          <cell r="U458">
            <v>10500</v>
          </cell>
          <cell r="V458">
            <v>3500</v>
          </cell>
          <cell r="W458">
            <v>10500</v>
          </cell>
          <cell r="X458">
            <v>3500</v>
          </cell>
          <cell r="Y458">
            <v>10500</v>
          </cell>
          <cell r="Z458">
            <v>3500</v>
          </cell>
          <cell r="AA458">
            <v>0</v>
          </cell>
          <cell r="AB458">
            <v>0</v>
          </cell>
          <cell r="AC458">
            <v>0</v>
          </cell>
          <cell r="AD458">
            <v>0.55400000000000005</v>
          </cell>
          <cell r="AE458">
            <v>0</v>
          </cell>
          <cell r="AF458">
            <v>0</v>
          </cell>
          <cell r="AG458">
            <v>0</v>
          </cell>
          <cell r="AH458">
            <v>0</v>
          </cell>
          <cell r="AI458">
            <v>0</v>
          </cell>
          <cell r="AJ458">
            <v>0</v>
          </cell>
          <cell r="AK458">
            <v>0</v>
          </cell>
          <cell r="AL458" t="str">
            <v xml:space="preserve">     ↓</v>
          </cell>
        </row>
        <row r="459">
          <cell r="E459" t="str">
            <v>メラミンCR-1000mm</v>
          </cell>
          <cell r="F459" t="str">
            <v>ｍ</v>
          </cell>
          <cell r="G459">
            <v>11200</v>
          </cell>
          <cell r="H459">
            <v>3733</v>
          </cell>
          <cell r="I459">
            <v>11200</v>
          </cell>
          <cell r="J459">
            <v>3733</v>
          </cell>
          <cell r="K459">
            <v>11200</v>
          </cell>
          <cell r="L459">
            <v>3733</v>
          </cell>
          <cell r="M459">
            <v>11200</v>
          </cell>
          <cell r="N459">
            <v>3733</v>
          </cell>
          <cell r="O459">
            <v>11200</v>
          </cell>
          <cell r="P459">
            <v>3733</v>
          </cell>
          <cell r="Q459">
            <v>11200</v>
          </cell>
          <cell r="R459">
            <v>3733</v>
          </cell>
          <cell r="S459">
            <v>11200</v>
          </cell>
          <cell r="T459">
            <v>3733</v>
          </cell>
          <cell r="U459">
            <v>11200</v>
          </cell>
          <cell r="V459">
            <v>3733</v>
          </cell>
          <cell r="W459">
            <v>11200</v>
          </cell>
          <cell r="X459">
            <v>3733</v>
          </cell>
          <cell r="Y459">
            <v>11200</v>
          </cell>
          <cell r="Z459">
            <v>3733</v>
          </cell>
          <cell r="AA459">
            <v>0</v>
          </cell>
          <cell r="AB459">
            <v>0</v>
          </cell>
          <cell r="AC459">
            <v>0</v>
          </cell>
          <cell r="AD459">
            <v>0.61699999999999999</v>
          </cell>
          <cell r="AE459">
            <v>0</v>
          </cell>
          <cell r="AF459">
            <v>0</v>
          </cell>
          <cell r="AG459">
            <v>0</v>
          </cell>
          <cell r="AH459">
            <v>0</v>
          </cell>
          <cell r="AI459">
            <v>0</v>
          </cell>
          <cell r="AJ459">
            <v>0</v>
          </cell>
          <cell r="AK459">
            <v>0</v>
          </cell>
          <cell r="AL459" t="str">
            <v xml:space="preserve">     ↓</v>
          </cell>
        </row>
        <row r="460">
          <cell r="E460" t="str">
            <v>メラミンCR-1200mm</v>
          </cell>
          <cell r="F460" t="str">
            <v>ｍ</v>
          </cell>
          <cell r="G460">
            <v>15600</v>
          </cell>
          <cell r="H460">
            <v>5200</v>
          </cell>
          <cell r="I460">
            <v>15600</v>
          </cell>
          <cell r="J460">
            <v>5200</v>
          </cell>
          <cell r="K460">
            <v>15600</v>
          </cell>
          <cell r="L460">
            <v>5200</v>
          </cell>
          <cell r="M460">
            <v>15600</v>
          </cell>
          <cell r="N460">
            <v>5200</v>
          </cell>
          <cell r="O460">
            <v>15600</v>
          </cell>
          <cell r="P460">
            <v>5200</v>
          </cell>
          <cell r="Q460">
            <v>15600</v>
          </cell>
          <cell r="R460">
            <v>5200</v>
          </cell>
          <cell r="S460">
            <v>15600</v>
          </cell>
          <cell r="T460">
            <v>5200</v>
          </cell>
          <cell r="U460">
            <v>15600</v>
          </cell>
          <cell r="V460">
            <v>5200</v>
          </cell>
          <cell r="W460">
            <v>15600</v>
          </cell>
          <cell r="X460">
            <v>5200</v>
          </cell>
          <cell r="Y460">
            <v>15600</v>
          </cell>
          <cell r="Z460">
            <v>5200</v>
          </cell>
          <cell r="AA460">
            <v>0</v>
          </cell>
          <cell r="AB460">
            <v>0</v>
          </cell>
          <cell r="AC460">
            <v>0</v>
          </cell>
          <cell r="AD460">
            <v>0.74</v>
          </cell>
          <cell r="AE460">
            <v>0</v>
          </cell>
          <cell r="AF460">
            <v>0</v>
          </cell>
          <cell r="AG460">
            <v>0</v>
          </cell>
          <cell r="AH460">
            <v>0</v>
          </cell>
          <cell r="AI460">
            <v>0</v>
          </cell>
          <cell r="AJ460">
            <v>0</v>
          </cell>
          <cell r="AK460">
            <v>0</v>
          </cell>
          <cell r="AL460" t="str">
            <v xml:space="preserve">     ↓</v>
          </cell>
        </row>
        <row r="461">
          <cell r="E461" t="str">
            <v>エポキシCR-200mm</v>
          </cell>
          <cell r="F461" t="str">
            <v>ｍ</v>
          </cell>
          <cell r="G461">
            <v>6630</v>
          </cell>
          <cell r="H461">
            <v>2210</v>
          </cell>
          <cell r="I461">
            <v>6630</v>
          </cell>
          <cell r="J461">
            <v>2210</v>
          </cell>
          <cell r="K461">
            <v>6630</v>
          </cell>
          <cell r="L461">
            <v>2210</v>
          </cell>
          <cell r="M461">
            <v>6630</v>
          </cell>
          <cell r="N461">
            <v>2210</v>
          </cell>
          <cell r="O461">
            <v>6630</v>
          </cell>
          <cell r="P461">
            <v>2210</v>
          </cell>
          <cell r="Q461">
            <v>6630</v>
          </cell>
          <cell r="R461">
            <v>2210</v>
          </cell>
          <cell r="S461">
            <v>6630</v>
          </cell>
          <cell r="T461">
            <v>2210</v>
          </cell>
          <cell r="U461">
            <v>6630</v>
          </cell>
          <cell r="V461">
            <v>2210</v>
          </cell>
          <cell r="W461">
            <v>6630</v>
          </cell>
          <cell r="X461">
            <v>2210</v>
          </cell>
          <cell r="Y461">
            <v>6630</v>
          </cell>
          <cell r="Z461">
            <v>2210</v>
          </cell>
          <cell r="AA461">
            <v>0</v>
          </cell>
          <cell r="AB461">
            <v>0</v>
          </cell>
          <cell r="AC461">
            <v>0</v>
          </cell>
          <cell r="AD461">
            <v>0.183</v>
          </cell>
          <cell r="AE461">
            <v>0</v>
          </cell>
          <cell r="AF461">
            <v>0</v>
          </cell>
          <cell r="AG461">
            <v>0</v>
          </cell>
          <cell r="AH461">
            <v>0</v>
          </cell>
          <cell r="AI461">
            <v>0</v>
          </cell>
          <cell r="AJ461">
            <v>0</v>
          </cell>
          <cell r="AK461">
            <v>0</v>
          </cell>
          <cell r="AL461" t="str">
            <v>定尺=3.00m</v>
          </cell>
        </row>
        <row r="462">
          <cell r="E462" t="str">
            <v>エポキシCR-300mm</v>
          </cell>
          <cell r="F462" t="str">
            <v>ｍ</v>
          </cell>
          <cell r="G462">
            <v>7100</v>
          </cell>
          <cell r="H462">
            <v>2366</v>
          </cell>
          <cell r="I462">
            <v>7100</v>
          </cell>
          <cell r="J462">
            <v>2366</v>
          </cell>
          <cell r="K462">
            <v>7100</v>
          </cell>
          <cell r="L462">
            <v>2366</v>
          </cell>
          <cell r="M462">
            <v>7100</v>
          </cell>
          <cell r="N462">
            <v>2366</v>
          </cell>
          <cell r="O462">
            <v>7100</v>
          </cell>
          <cell r="P462">
            <v>2366</v>
          </cell>
          <cell r="Q462">
            <v>7100</v>
          </cell>
          <cell r="R462">
            <v>2366</v>
          </cell>
          <cell r="S462">
            <v>7100</v>
          </cell>
          <cell r="T462">
            <v>2366</v>
          </cell>
          <cell r="U462">
            <v>7100</v>
          </cell>
          <cell r="V462">
            <v>2366</v>
          </cell>
          <cell r="W462">
            <v>7100</v>
          </cell>
          <cell r="X462">
            <v>2366</v>
          </cell>
          <cell r="Y462">
            <v>7100</v>
          </cell>
          <cell r="Z462">
            <v>2366</v>
          </cell>
          <cell r="AA462">
            <v>0</v>
          </cell>
          <cell r="AB462">
            <v>0</v>
          </cell>
          <cell r="AC462">
            <v>0</v>
          </cell>
          <cell r="AD462">
            <v>0.24299999999999999</v>
          </cell>
          <cell r="AE462">
            <v>0</v>
          </cell>
          <cell r="AF462">
            <v>0</v>
          </cell>
          <cell r="AG462">
            <v>0</v>
          </cell>
          <cell r="AH462">
            <v>0</v>
          </cell>
          <cell r="AI462">
            <v>0</v>
          </cell>
          <cell r="AJ462">
            <v>0</v>
          </cell>
          <cell r="AK462">
            <v>0</v>
          </cell>
          <cell r="AL462" t="str">
            <v xml:space="preserve">     ↓</v>
          </cell>
        </row>
        <row r="463">
          <cell r="E463" t="str">
            <v>エポキシCR-400mm</v>
          </cell>
          <cell r="F463" t="str">
            <v>ｍ</v>
          </cell>
          <cell r="G463">
            <v>7590</v>
          </cell>
          <cell r="H463">
            <v>2530</v>
          </cell>
          <cell r="I463">
            <v>7590</v>
          </cell>
          <cell r="J463">
            <v>2530</v>
          </cell>
          <cell r="K463">
            <v>7590</v>
          </cell>
          <cell r="L463">
            <v>2530</v>
          </cell>
          <cell r="M463">
            <v>7590</v>
          </cell>
          <cell r="N463">
            <v>2530</v>
          </cell>
          <cell r="O463">
            <v>7590</v>
          </cell>
          <cell r="P463">
            <v>2530</v>
          </cell>
          <cell r="Q463">
            <v>7590</v>
          </cell>
          <cell r="R463">
            <v>2530</v>
          </cell>
          <cell r="S463">
            <v>7590</v>
          </cell>
          <cell r="T463">
            <v>2530</v>
          </cell>
          <cell r="U463">
            <v>7590</v>
          </cell>
          <cell r="V463">
            <v>2530</v>
          </cell>
          <cell r="W463">
            <v>7590</v>
          </cell>
          <cell r="X463">
            <v>2530</v>
          </cell>
          <cell r="Y463">
            <v>7590</v>
          </cell>
          <cell r="Z463">
            <v>2530</v>
          </cell>
          <cell r="AA463">
            <v>0</v>
          </cell>
          <cell r="AB463">
            <v>0</v>
          </cell>
          <cell r="AC463">
            <v>0</v>
          </cell>
          <cell r="AD463">
            <v>0.29599999999999999</v>
          </cell>
          <cell r="AE463">
            <v>0</v>
          </cell>
          <cell r="AF463">
            <v>0</v>
          </cell>
          <cell r="AG463">
            <v>0</v>
          </cell>
          <cell r="AH463">
            <v>0</v>
          </cell>
          <cell r="AI463">
            <v>0</v>
          </cell>
          <cell r="AJ463">
            <v>0</v>
          </cell>
          <cell r="AK463">
            <v>0</v>
          </cell>
          <cell r="AL463" t="str">
            <v xml:space="preserve">     ↓</v>
          </cell>
        </row>
        <row r="464">
          <cell r="E464" t="str">
            <v>エポキシCR-500mm</v>
          </cell>
          <cell r="F464" t="str">
            <v>ｍ</v>
          </cell>
          <cell r="G464">
            <v>8020</v>
          </cell>
          <cell r="H464">
            <v>2673</v>
          </cell>
          <cell r="I464">
            <v>8020</v>
          </cell>
          <cell r="J464">
            <v>2673</v>
          </cell>
          <cell r="K464">
            <v>8020</v>
          </cell>
          <cell r="L464">
            <v>2673</v>
          </cell>
          <cell r="M464">
            <v>8020</v>
          </cell>
          <cell r="N464">
            <v>2673</v>
          </cell>
          <cell r="O464">
            <v>8020</v>
          </cell>
          <cell r="P464">
            <v>2673</v>
          </cell>
          <cell r="Q464">
            <v>8020</v>
          </cell>
          <cell r="R464">
            <v>2673</v>
          </cell>
          <cell r="S464">
            <v>8020</v>
          </cell>
          <cell r="T464">
            <v>2673</v>
          </cell>
          <cell r="U464">
            <v>8020</v>
          </cell>
          <cell r="V464">
            <v>2673</v>
          </cell>
          <cell r="W464">
            <v>8020</v>
          </cell>
          <cell r="X464">
            <v>2673</v>
          </cell>
          <cell r="Y464">
            <v>8020</v>
          </cell>
          <cell r="Z464">
            <v>2673</v>
          </cell>
          <cell r="AA464">
            <v>0</v>
          </cell>
          <cell r="AB464">
            <v>0</v>
          </cell>
          <cell r="AC464">
            <v>0</v>
          </cell>
          <cell r="AD464">
            <v>0.33900000000000002</v>
          </cell>
          <cell r="AE464">
            <v>0</v>
          </cell>
          <cell r="AF464">
            <v>0</v>
          </cell>
          <cell r="AG464">
            <v>0</v>
          </cell>
          <cell r="AH464">
            <v>0</v>
          </cell>
          <cell r="AI464">
            <v>0</v>
          </cell>
          <cell r="AJ464">
            <v>0</v>
          </cell>
          <cell r="AK464">
            <v>0</v>
          </cell>
          <cell r="AL464" t="str">
            <v xml:space="preserve">     ↓</v>
          </cell>
        </row>
        <row r="465">
          <cell r="E465" t="str">
            <v>エポキシCR-600mm</v>
          </cell>
          <cell r="F465" t="str">
            <v>ｍ</v>
          </cell>
          <cell r="G465">
            <v>8660</v>
          </cell>
          <cell r="H465">
            <v>2886</v>
          </cell>
          <cell r="I465">
            <v>8660</v>
          </cell>
          <cell r="J465">
            <v>2886</v>
          </cell>
          <cell r="K465">
            <v>8660</v>
          </cell>
          <cell r="L465">
            <v>2886</v>
          </cell>
          <cell r="M465">
            <v>8660</v>
          </cell>
          <cell r="N465">
            <v>2886</v>
          </cell>
          <cell r="O465">
            <v>8660</v>
          </cell>
          <cell r="P465">
            <v>2886</v>
          </cell>
          <cell r="Q465">
            <v>8660</v>
          </cell>
          <cell r="R465">
            <v>2886</v>
          </cell>
          <cell r="S465">
            <v>8660</v>
          </cell>
          <cell r="T465">
            <v>2886</v>
          </cell>
          <cell r="U465">
            <v>8660</v>
          </cell>
          <cell r="V465">
            <v>2886</v>
          </cell>
          <cell r="W465">
            <v>8660</v>
          </cell>
          <cell r="X465">
            <v>2886</v>
          </cell>
          <cell r="Y465">
            <v>8660</v>
          </cell>
          <cell r="Z465">
            <v>2886</v>
          </cell>
          <cell r="AA465">
            <v>0</v>
          </cell>
          <cell r="AB465">
            <v>0</v>
          </cell>
          <cell r="AC465">
            <v>0</v>
          </cell>
          <cell r="AD465">
            <v>0.36499999999999999</v>
          </cell>
          <cell r="AE465">
            <v>0</v>
          </cell>
          <cell r="AF465">
            <v>0</v>
          </cell>
          <cell r="AG465">
            <v>0</v>
          </cell>
          <cell r="AH465">
            <v>0</v>
          </cell>
          <cell r="AI465">
            <v>0</v>
          </cell>
          <cell r="AJ465">
            <v>0</v>
          </cell>
          <cell r="AK465">
            <v>0</v>
          </cell>
          <cell r="AL465" t="str">
            <v xml:space="preserve">     ↓</v>
          </cell>
        </row>
        <row r="466">
          <cell r="E466" t="str">
            <v>エポキシCR-700mm</v>
          </cell>
          <cell r="F466" t="str">
            <v>ｍ</v>
          </cell>
          <cell r="G466">
            <v>9300</v>
          </cell>
          <cell r="H466">
            <v>3100</v>
          </cell>
          <cell r="I466">
            <v>9300</v>
          </cell>
          <cell r="J466">
            <v>3100</v>
          </cell>
          <cell r="K466">
            <v>9300</v>
          </cell>
          <cell r="L466">
            <v>3100</v>
          </cell>
          <cell r="M466">
            <v>9300</v>
          </cell>
          <cell r="N466">
            <v>3100</v>
          </cell>
          <cell r="O466">
            <v>9300</v>
          </cell>
          <cell r="P466">
            <v>3100</v>
          </cell>
          <cell r="Q466">
            <v>9300</v>
          </cell>
          <cell r="R466">
            <v>3100</v>
          </cell>
          <cell r="S466">
            <v>9300</v>
          </cell>
          <cell r="T466">
            <v>3100</v>
          </cell>
          <cell r="U466">
            <v>9300</v>
          </cell>
          <cell r="V466">
            <v>3100</v>
          </cell>
          <cell r="W466">
            <v>9300</v>
          </cell>
          <cell r="X466">
            <v>3100</v>
          </cell>
          <cell r="Y466">
            <v>9300</v>
          </cell>
          <cell r="Z466">
            <v>3100</v>
          </cell>
          <cell r="AA466">
            <v>0</v>
          </cell>
          <cell r="AB466">
            <v>0</v>
          </cell>
          <cell r="AC466">
            <v>0</v>
          </cell>
          <cell r="AD466">
            <v>0.42699999999999999</v>
          </cell>
          <cell r="AE466">
            <v>0</v>
          </cell>
          <cell r="AF466">
            <v>0</v>
          </cell>
          <cell r="AG466">
            <v>0</v>
          </cell>
          <cell r="AH466">
            <v>0</v>
          </cell>
          <cell r="AI466">
            <v>0</v>
          </cell>
          <cell r="AJ466">
            <v>0</v>
          </cell>
          <cell r="AK466">
            <v>0</v>
          </cell>
          <cell r="AL466" t="str">
            <v xml:space="preserve">     ↓</v>
          </cell>
        </row>
        <row r="467">
          <cell r="E467" t="str">
            <v>エポキシCR-800mm</v>
          </cell>
          <cell r="F467" t="str">
            <v>ｍ</v>
          </cell>
          <cell r="G467">
            <v>9940</v>
          </cell>
          <cell r="H467">
            <v>3313</v>
          </cell>
          <cell r="I467">
            <v>9940</v>
          </cell>
          <cell r="J467">
            <v>3313</v>
          </cell>
          <cell r="K467">
            <v>9940</v>
          </cell>
          <cell r="L467">
            <v>3313</v>
          </cell>
          <cell r="M467">
            <v>9940</v>
          </cell>
          <cell r="N467">
            <v>3313</v>
          </cell>
          <cell r="O467">
            <v>9940</v>
          </cell>
          <cell r="P467">
            <v>3313</v>
          </cell>
          <cell r="Q467">
            <v>9940</v>
          </cell>
          <cell r="R467">
            <v>3313</v>
          </cell>
          <cell r="S467">
            <v>9940</v>
          </cell>
          <cell r="T467">
            <v>3313</v>
          </cell>
          <cell r="U467">
            <v>9940</v>
          </cell>
          <cell r="V467">
            <v>3313</v>
          </cell>
          <cell r="W467">
            <v>9940</v>
          </cell>
          <cell r="X467">
            <v>3313</v>
          </cell>
          <cell r="Y467">
            <v>9940</v>
          </cell>
          <cell r="Z467">
            <v>3313</v>
          </cell>
          <cell r="AA467">
            <v>0</v>
          </cell>
          <cell r="AB467">
            <v>0</v>
          </cell>
          <cell r="AC467">
            <v>0</v>
          </cell>
          <cell r="AD467">
            <v>0.496</v>
          </cell>
          <cell r="AE467">
            <v>0</v>
          </cell>
          <cell r="AF467">
            <v>0</v>
          </cell>
          <cell r="AG467">
            <v>0</v>
          </cell>
          <cell r="AH467">
            <v>0</v>
          </cell>
          <cell r="AI467">
            <v>0</v>
          </cell>
          <cell r="AJ467">
            <v>0</v>
          </cell>
          <cell r="AK467">
            <v>0</v>
          </cell>
          <cell r="AL467" t="str">
            <v xml:space="preserve">     ↓</v>
          </cell>
        </row>
        <row r="468">
          <cell r="E468" t="str">
            <v>エポキシCR-900mm</v>
          </cell>
          <cell r="F468" t="str">
            <v>ｍ</v>
          </cell>
          <cell r="G468">
            <v>10600</v>
          </cell>
          <cell r="H468">
            <v>3533</v>
          </cell>
          <cell r="I468">
            <v>10600</v>
          </cell>
          <cell r="J468">
            <v>3533</v>
          </cell>
          <cell r="K468">
            <v>10600</v>
          </cell>
          <cell r="L468">
            <v>3533</v>
          </cell>
          <cell r="M468">
            <v>10600</v>
          </cell>
          <cell r="N468">
            <v>3533</v>
          </cell>
          <cell r="O468">
            <v>10600</v>
          </cell>
          <cell r="P468">
            <v>3533</v>
          </cell>
          <cell r="Q468">
            <v>10600</v>
          </cell>
          <cell r="R468">
            <v>3533</v>
          </cell>
          <cell r="S468">
            <v>10600</v>
          </cell>
          <cell r="T468">
            <v>3533</v>
          </cell>
          <cell r="U468">
            <v>10600</v>
          </cell>
          <cell r="V468">
            <v>3533</v>
          </cell>
          <cell r="W468">
            <v>10600</v>
          </cell>
          <cell r="X468">
            <v>3533</v>
          </cell>
          <cell r="Y468">
            <v>10600</v>
          </cell>
          <cell r="Z468">
            <v>3533</v>
          </cell>
          <cell r="AA468">
            <v>0</v>
          </cell>
          <cell r="AB468">
            <v>0</v>
          </cell>
          <cell r="AC468">
            <v>0</v>
          </cell>
          <cell r="AD468">
            <v>0.55400000000000005</v>
          </cell>
          <cell r="AE468">
            <v>0</v>
          </cell>
          <cell r="AF468">
            <v>0</v>
          </cell>
          <cell r="AG468">
            <v>0</v>
          </cell>
          <cell r="AH468">
            <v>0</v>
          </cell>
          <cell r="AI468">
            <v>0</v>
          </cell>
          <cell r="AJ468">
            <v>0</v>
          </cell>
          <cell r="AK468">
            <v>0</v>
          </cell>
          <cell r="AL468" t="str">
            <v xml:space="preserve">     ↓</v>
          </cell>
        </row>
        <row r="469">
          <cell r="E469" t="str">
            <v>エポキシCR-1000mm</v>
          </cell>
          <cell r="F469" t="str">
            <v>ｍ</v>
          </cell>
          <cell r="G469">
            <v>11200</v>
          </cell>
          <cell r="H469">
            <v>3733</v>
          </cell>
          <cell r="I469">
            <v>11200</v>
          </cell>
          <cell r="J469">
            <v>3733</v>
          </cell>
          <cell r="K469">
            <v>11200</v>
          </cell>
          <cell r="L469">
            <v>3733</v>
          </cell>
          <cell r="M469">
            <v>11200</v>
          </cell>
          <cell r="N469">
            <v>3733</v>
          </cell>
          <cell r="O469">
            <v>11200</v>
          </cell>
          <cell r="P469">
            <v>3733</v>
          </cell>
          <cell r="Q469">
            <v>11200</v>
          </cell>
          <cell r="R469">
            <v>3733</v>
          </cell>
          <cell r="S469">
            <v>11200</v>
          </cell>
          <cell r="T469">
            <v>3733</v>
          </cell>
          <cell r="U469">
            <v>11200</v>
          </cell>
          <cell r="V469">
            <v>3733</v>
          </cell>
          <cell r="W469">
            <v>11200</v>
          </cell>
          <cell r="X469">
            <v>3733</v>
          </cell>
          <cell r="Y469">
            <v>11200</v>
          </cell>
          <cell r="Z469">
            <v>3733</v>
          </cell>
          <cell r="AA469">
            <v>0</v>
          </cell>
          <cell r="AB469">
            <v>0</v>
          </cell>
          <cell r="AC469">
            <v>0</v>
          </cell>
          <cell r="AD469">
            <v>0.61699999999999999</v>
          </cell>
          <cell r="AE469">
            <v>0</v>
          </cell>
          <cell r="AF469">
            <v>0</v>
          </cell>
          <cell r="AG469">
            <v>0</v>
          </cell>
          <cell r="AH469">
            <v>0</v>
          </cell>
          <cell r="AI469">
            <v>0</v>
          </cell>
          <cell r="AJ469">
            <v>0</v>
          </cell>
          <cell r="AK469">
            <v>0</v>
          </cell>
          <cell r="AL469" t="str">
            <v xml:space="preserve">     ↓</v>
          </cell>
        </row>
        <row r="470">
          <cell r="E470" t="str">
            <v>エポキシCR-1200mm</v>
          </cell>
          <cell r="F470" t="str">
            <v>ｍ</v>
          </cell>
          <cell r="G470">
            <v>15600</v>
          </cell>
          <cell r="H470">
            <v>5200</v>
          </cell>
          <cell r="I470">
            <v>15600</v>
          </cell>
          <cell r="J470">
            <v>5200</v>
          </cell>
          <cell r="K470">
            <v>15600</v>
          </cell>
          <cell r="L470">
            <v>5200</v>
          </cell>
          <cell r="M470">
            <v>15600</v>
          </cell>
          <cell r="N470">
            <v>5200</v>
          </cell>
          <cell r="O470">
            <v>15600</v>
          </cell>
          <cell r="P470">
            <v>5200</v>
          </cell>
          <cell r="Q470">
            <v>15600</v>
          </cell>
          <cell r="R470">
            <v>5200</v>
          </cell>
          <cell r="S470">
            <v>15600</v>
          </cell>
          <cell r="T470">
            <v>5200</v>
          </cell>
          <cell r="U470">
            <v>15600</v>
          </cell>
          <cell r="V470">
            <v>5200</v>
          </cell>
          <cell r="W470">
            <v>15600</v>
          </cell>
          <cell r="X470">
            <v>5200</v>
          </cell>
          <cell r="Y470">
            <v>15600</v>
          </cell>
          <cell r="Z470">
            <v>5200</v>
          </cell>
          <cell r="AA470">
            <v>0</v>
          </cell>
          <cell r="AB470">
            <v>0</v>
          </cell>
          <cell r="AC470">
            <v>0</v>
          </cell>
          <cell r="AD470">
            <v>0.74</v>
          </cell>
          <cell r="AE470">
            <v>0</v>
          </cell>
          <cell r="AF470">
            <v>0</v>
          </cell>
          <cell r="AG470">
            <v>0</v>
          </cell>
          <cell r="AH470">
            <v>0</v>
          </cell>
          <cell r="AI470">
            <v>0</v>
          </cell>
          <cell r="AJ470">
            <v>0</v>
          </cell>
          <cell r="AK470">
            <v>0</v>
          </cell>
          <cell r="AL470" t="str">
            <v xml:space="preserve">     ↓</v>
          </cell>
        </row>
        <row r="471">
          <cell r="E471" t="str">
            <v>溶融亜鉛CR-200mm</v>
          </cell>
          <cell r="F471" t="str">
            <v>ｍ</v>
          </cell>
          <cell r="G471">
            <v>8460</v>
          </cell>
          <cell r="H471">
            <v>2820</v>
          </cell>
          <cell r="I471">
            <v>8460</v>
          </cell>
          <cell r="J471">
            <v>2820</v>
          </cell>
          <cell r="K471">
            <v>8460</v>
          </cell>
          <cell r="L471">
            <v>2820</v>
          </cell>
          <cell r="M471">
            <v>8460</v>
          </cell>
          <cell r="N471">
            <v>2820</v>
          </cell>
          <cell r="O471">
            <v>8460</v>
          </cell>
          <cell r="P471">
            <v>2820</v>
          </cell>
          <cell r="Q471">
            <v>8460</v>
          </cell>
          <cell r="R471">
            <v>2820</v>
          </cell>
          <cell r="S471">
            <v>8460</v>
          </cell>
          <cell r="T471">
            <v>2820</v>
          </cell>
          <cell r="U471">
            <v>8460</v>
          </cell>
          <cell r="V471">
            <v>2820</v>
          </cell>
          <cell r="W471">
            <v>8460</v>
          </cell>
          <cell r="X471">
            <v>2820</v>
          </cell>
          <cell r="Y471">
            <v>8460</v>
          </cell>
          <cell r="Z471">
            <v>2820</v>
          </cell>
          <cell r="AA471">
            <v>0</v>
          </cell>
          <cell r="AB471">
            <v>0</v>
          </cell>
          <cell r="AC471">
            <v>0</v>
          </cell>
          <cell r="AD471">
            <v>0.183</v>
          </cell>
          <cell r="AE471">
            <v>0</v>
          </cell>
          <cell r="AF471">
            <v>0</v>
          </cell>
          <cell r="AG471">
            <v>0</v>
          </cell>
          <cell r="AH471">
            <v>0</v>
          </cell>
          <cell r="AI471">
            <v>0</v>
          </cell>
          <cell r="AJ471">
            <v>0</v>
          </cell>
          <cell r="AK471">
            <v>0</v>
          </cell>
          <cell r="AL471" t="str">
            <v>定尺=3.00m</v>
          </cell>
        </row>
        <row r="472">
          <cell r="E472" t="str">
            <v>溶融亜鉛CR-300mm</v>
          </cell>
          <cell r="F472" t="str">
            <v>ｍ</v>
          </cell>
          <cell r="G472">
            <v>8970</v>
          </cell>
          <cell r="H472">
            <v>2990</v>
          </cell>
          <cell r="I472">
            <v>8970</v>
          </cell>
          <cell r="J472">
            <v>2990</v>
          </cell>
          <cell r="K472">
            <v>8970</v>
          </cell>
          <cell r="L472">
            <v>2990</v>
          </cell>
          <cell r="M472">
            <v>8970</v>
          </cell>
          <cell r="N472">
            <v>2990</v>
          </cell>
          <cell r="O472">
            <v>8970</v>
          </cell>
          <cell r="P472">
            <v>2990</v>
          </cell>
          <cell r="Q472">
            <v>8970</v>
          </cell>
          <cell r="R472">
            <v>2990</v>
          </cell>
          <cell r="S472">
            <v>8970</v>
          </cell>
          <cell r="T472">
            <v>2990</v>
          </cell>
          <cell r="U472">
            <v>8970</v>
          </cell>
          <cell r="V472">
            <v>2990</v>
          </cell>
          <cell r="W472">
            <v>8970</v>
          </cell>
          <cell r="X472">
            <v>2990</v>
          </cell>
          <cell r="Y472">
            <v>8970</v>
          </cell>
          <cell r="Z472">
            <v>2990</v>
          </cell>
          <cell r="AA472">
            <v>0</v>
          </cell>
          <cell r="AB472">
            <v>0</v>
          </cell>
          <cell r="AC472">
            <v>0</v>
          </cell>
          <cell r="AD472">
            <v>0.24299999999999999</v>
          </cell>
          <cell r="AE472">
            <v>0</v>
          </cell>
          <cell r="AF472">
            <v>0</v>
          </cell>
          <cell r="AG472">
            <v>0</v>
          </cell>
          <cell r="AH472">
            <v>0</v>
          </cell>
          <cell r="AI472">
            <v>0</v>
          </cell>
          <cell r="AJ472">
            <v>0</v>
          </cell>
          <cell r="AK472">
            <v>0</v>
          </cell>
          <cell r="AL472" t="str">
            <v xml:space="preserve">     ↓</v>
          </cell>
        </row>
        <row r="473">
          <cell r="E473" t="str">
            <v>溶融亜鉛CR-400mm</v>
          </cell>
          <cell r="F473" t="str">
            <v>ｍ</v>
          </cell>
          <cell r="G473">
            <v>9490</v>
          </cell>
          <cell r="H473">
            <v>3163</v>
          </cell>
          <cell r="I473">
            <v>9490</v>
          </cell>
          <cell r="J473">
            <v>3163</v>
          </cell>
          <cell r="K473">
            <v>9490</v>
          </cell>
          <cell r="L473">
            <v>3163</v>
          </cell>
          <cell r="M473">
            <v>9490</v>
          </cell>
          <cell r="N473">
            <v>3163</v>
          </cell>
          <cell r="O473">
            <v>9490</v>
          </cell>
          <cell r="P473">
            <v>3163</v>
          </cell>
          <cell r="Q473">
            <v>9490</v>
          </cell>
          <cell r="R473">
            <v>3163</v>
          </cell>
          <cell r="S473">
            <v>9490</v>
          </cell>
          <cell r="T473">
            <v>3163</v>
          </cell>
          <cell r="U473">
            <v>9490</v>
          </cell>
          <cell r="V473">
            <v>3163</v>
          </cell>
          <cell r="W473">
            <v>9490</v>
          </cell>
          <cell r="X473">
            <v>3163</v>
          </cell>
          <cell r="Y473">
            <v>9490</v>
          </cell>
          <cell r="Z473">
            <v>3163</v>
          </cell>
          <cell r="AA473">
            <v>0</v>
          </cell>
          <cell r="AB473">
            <v>0</v>
          </cell>
          <cell r="AC473">
            <v>0</v>
          </cell>
          <cell r="AD473">
            <v>0.29599999999999999</v>
          </cell>
          <cell r="AE473">
            <v>0</v>
          </cell>
          <cell r="AF473">
            <v>0</v>
          </cell>
          <cell r="AG473">
            <v>0</v>
          </cell>
          <cell r="AH473">
            <v>0</v>
          </cell>
          <cell r="AI473">
            <v>0</v>
          </cell>
          <cell r="AJ473">
            <v>0</v>
          </cell>
          <cell r="AK473">
            <v>0</v>
          </cell>
          <cell r="AL473" t="str">
            <v xml:space="preserve">     ↓</v>
          </cell>
        </row>
        <row r="474">
          <cell r="E474" t="str">
            <v>溶融亜鉛CR-500mm</v>
          </cell>
          <cell r="F474" t="str">
            <v>ｍ</v>
          </cell>
          <cell r="G474">
            <v>10200</v>
          </cell>
          <cell r="H474">
            <v>3400</v>
          </cell>
          <cell r="I474">
            <v>10200</v>
          </cell>
          <cell r="J474">
            <v>3400</v>
          </cell>
          <cell r="K474">
            <v>10200</v>
          </cell>
          <cell r="L474">
            <v>3400</v>
          </cell>
          <cell r="M474">
            <v>10200</v>
          </cell>
          <cell r="N474">
            <v>3400</v>
          </cell>
          <cell r="O474">
            <v>10200</v>
          </cell>
          <cell r="P474">
            <v>3400</v>
          </cell>
          <cell r="Q474">
            <v>10200</v>
          </cell>
          <cell r="R474">
            <v>3400</v>
          </cell>
          <cell r="S474">
            <v>10200</v>
          </cell>
          <cell r="T474">
            <v>3400</v>
          </cell>
          <cell r="U474">
            <v>10200</v>
          </cell>
          <cell r="V474">
            <v>3400</v>
          </cell>
          <cell r="W474">
            <v>10200</v>
          </cell>
          <cell r="X474">
            <v>3400</v>
          </cell>
          <cell r="Y474">
            <v>10200</v>
          </cell>
          <cell r="Z474">
            <v>3400</v>
          </cell>
          <cell r="AA474">
            <v>0</v>
          </cell>
          <cell r="AB474">
            <v>0</v>
          </cell>
          <cell r="AC474">
            <v>0</v>
          </cell>
          <cell r="AD474">
            <v>0.33900000000000002</v>
          </cell>
          <cell r="AE474">
            <v>0</v>
          </cell>
          <cell r="AF474">
            <v>0</v>
          </cell>
          <cell r="AG474">
            <v>0</v>
          </cell>
          <cell r="AH474">
            <v>0</v>
          </cell>
          <cell r="AI474">
            <v>0</v>
          </cell>
          <cell r="AJ474">
            <v>0</v>
          </cell>
          <cell r="AK474">
            <v>0</v>
          </cell>
          <cell r="AL474" t="str">
            <v xml:space="preserve">     ↓</v>
          </cell>
        </row>
        <row r="475">
          <cell r="E475" t="str">
            <v>溶融亜鉛CR-600mm</v>
          </cell>
          <cell r="F475" t="str">
            <v>ｍ</v>
          </cell>
          <cell r="G475">
            <v>10800</v>
          </cell>
          <cell r="H475">
            <v>3600</v>
          </cell>
          <cell r="I475">
            <v>10800</v>
          </cell>
          <cell r="J475">
            <v>3600</v>
          </cell>
          <cell r="K475">
            <v>10800</v>
          </cell>
          <cell r="L475">
            <v>3600</v>
          </cell>
          <cell r="M475">
            <v>10800</v>
          </cell>
          <cell r="N475">
            <v>3600</v>
          </cell>
          <cell r="O475">
            <v>10800</v>
          </cell>
          <cell r="P475">
            <v>3600</v>
          </cell>
          <cell r="Q475">
            <v>10800</v>
          </cell>
          <cell r="R475">
            <v>3600</v>
          </cell>
          <cell r="S475">
            <v>10800</v>
          </cell>
          <cell r="T475">
            <v>3600</v>
          </cell>
          <cell r="U475">
            <v>10800</v>
          </cell>
          <cell r="V475">
            <v>3600</v>
          </cell>
          <cell r="W475">
            <v>10800</v>
          </cell>
          <cell r="X475">
            <v>3600</v>
          </cell>
          <cell r="Y475">
            <v>10800</v>
          </cell>
          <cell r="Z475">
            <v>3600</v>
          </cell>
          <cell r="AA475">
            <v>0</v>
          </cell>
          <cell r="AB475">
            <v>0</v>
          </cell>
          <cell r="AC475">
            <v>0</v>
          </cell>
          <cell r="AD475">
            <v>0.36499999999999999</v>
          </cell>
          <cell r="AE475">
            <v>0</v>
          </cell>
          <cell r="AF475">
            <v>0</v>
          </cell>
          <cell r="AG475">
            <v>0</v>
          </cell>
          <cell r="AH475">
            <v>0</v>
          </cell>
          <cell r="AI475">
            <v>0</v>
          </cell>
          <cell r="AJ475">
            <v>0</v>
          </cell>
          <cell r="AK475">
            <v>0</v>
          </cell>
          <cell r="AL475" t="str">
            <v xml:space="preserve">     ↓</v>
          </cell>
        </row>
        <row r="476">
          <cell r="E476" t="str">
            <v>溶融亜鉛CR-700mm</v>
          </cell>
          <cell r="F476" t="str">
            <v>ｍ</v>
          </cell>
          <cell r="G476">
            <v>11600</v>
          </cell>
          <cell r="H476">
            <v>3866</v>
          </cell>
          <cell r="I476">
            <v>11600</v>
          </cell>
          <cell r="J476">
            <v>3866</v>
          </cell>
          <cell r="K476">
            <v>11600</v>
          </cell>
          <cell r="L476">
            <v>3866</v>
          </cell>
          <cell r="M476">
            <v>11600</v>
          </cell>
          <cell r="N476">
            <v>3866</v>
          </cell>
          <cell r="O476">
            <v>11600</v>
          </cell>
          <cell r="P476">
            <v>3866</v>
          </cell>
          <cell r="Q476">
            <v>11600</v>
          </cell>
          <cell r="R476">
            <v>3866</v>
          </cell>
          <cell r="S476">
            <v>11600</v>
          </cell>
          <cell r="T476">
            <v>3866</v>
          </cell>
          <cell r="U476">
            <v>11600</v>
          </cell>
          <cell r="V476">
            <v>3866</v>
          </cell>
          <cell r="W476">
            <v>11600</v>
          </cell>
          <cell r="X476">
            <v>3866</v>
          </cell>
          <cell r="Y476">
            <v>11600</v>
          </cell>
          <cell r="Z476">
            <v>3866</v>
          </cell>
          <cell r="AA476">
            <v>0</v>
          </cell>
          <cell r="AB476">
            <v>0</v>
          </cell>
          <cell r="AC476">
            <v>0</v>
          </cell>
          <cell r="AD476">
            <v>0.42699999999999999</v>
          </cell>
          <cell r="AE476">
            <v>0</v>
          </cell>
          <cell r="AF476">
            <v>0</v>
          </cell>
          <cell r="AG476">
            <v>0</v>
          </cell>
          <cell r="AH476">
            <v>0</v>
          </cell>
          <cell r="AI476">
            <v>0</v>
          </cell>
          <cell r="AJ476">
            <v>0</v>
          </cell>
          <cell r="AK476">
            <v>0</v>
          </cell>
          <cell r="AL476" t="str">
            <v xml:space="preserve">     ↓</v>
          </cell>
        </row>
        <row r="477">
          <cell r="E477" t="str">
            <v>溶融亜鉛CR-800mm</v>
          </cell>
          <cell r="F477" t="str">
            <v>ｍ</v>
          </cell>
          <cell r="G477">
            <v>12300</v>
          </cell>
          <cell r="H477">
            <v>4100</v>
          </cell>
          <cell r="I477">
            <v>12300</v>
          </cell>
          <cell r="J477">
            <v>4100</v>
          </cell>
          <cell r="K477">
            <v>12300</v>
          </cell>
          <cell r="L477">
            <v>4100</v>
          </cell>
          <cell r="M477">
            <v>12300</v>
          </cell>
          <cell r="N477">
            <v>4100</v>
          </cell>
          <cell r="O477">
            <v>12300</v>
          </cell>
          <cell r="P477">
            <v>4100</v>
          </cell>
          <cell r="Q477">
            <v>12300</v>
          </cell>
          <cell r="R477">
            <v>4100</v>
          </cell>
          <cell r="S477">
            <v>12300</v>
          </cell>
          <cell r="T477">
            <v>4100</v>
          </cell>
          <cell r="U477">
            <v>12300</v>
          </cell>
          <cell r="V477">
            <v>4100</v>
          </cell>
          <cell r="W477">
            <v>12300</v>
          </cell>
          <cell r="X477">
            <v>4100</v>
          </cell>
          <cell r="Y477">
            <v>12300</v>
          </cell>
          <cell r="Z477">
            <v>4100</v>
          </cell>
          <cell r="AA477">
            <v>0</v>
          </cell>
          <cell r="AB477">
            <v>0</v>
          </cell>
          <cell r="AC477">
            <v>0</v>
          </cell>
          <cell r="AD477">
            <v>0.496</v>
          </cell>
          <cell r="AE477">
            <v>0</v>
          </cell>
          <cell r="AF477">
            <v>0</v>
          </cell>
          <cell r="AG477">
            <v>0</v>
          </cell>
          <cell r="AH477">
            <v>0</v>
          </cell>
          <cell r="AI477">
            <v>0</v>
          </cell>
          <cell r="AJ477">
            <v>0</v>
          </cell>
          <cell r="AK477">
            <v>0</v>
          </cell>
          <cell r="AL477" t="str">
            <v xml:space="preserve">     ↓</v>
          </cell>
        </row>
        <row r="478">
          <cell r="E478" t="str">
            <v>溶融亜鉛CR-900mm</v>
          </cell>
          <cell r="F478" t="str">
            <v>ｍ</v>
          </cell>
          <cell r="G478">
            <v>13000</v>
          </cell>
          <cell r="H478">
            <v>4333</v>
          </cell>
          <cell r="I478">
            <v>13000</v>
          </cell>
          <cell r="J478">
            <v>4333</v>
          </cell>
          <cell r="K478">
            <v>13000</v>
          </cell>
          <cell r="L478">
            <v>4333</v>
          </cell>
          <cell r="M478">
            <v>13000</v>
          </cell>
          <cell r="N478">
            <v>4333</v>
          </cell>
          <cell r="O478">
            <v>13000</v>
          </cell>
          <cell r="P478">
            <v>4333</v>
          </cell>
          <cell r="Q478">
            <v>13000</v>
          </cell>
          <cell r="R478">
            <v>4333</v>
          </cell>
          <cell r="S478">
            <v>13000</v>
          </cell>
          <cell r="T478">
            <v>4333</v>
          </cell>
          <cell r="U478">
            <v>13000</v>
          </cell>
          <cell r="V478">
            <v>4333</v>
          </cell>
          <cell r="W478">
            <v>13000</v>
          </cell>
          <cell r="X478">
            <v>4333</v>
          </cell>
          <cell r="Y478">
            <v>13000</v>
          </cell>
          <cell r="Z478">
            <v>4333</v>
          </cell>
          <cell r="AA478">
            <v>0</v>
          </cell>
          <cell r="AB478">
            <v>0</v>
          </cell>
          <cell r="AC478">
            <v>0</v>
          </cell>
          <cell r="AD478">
            <v>0.55400000000000005</v>
          </cell>
          <cell r="AE478">
            <v>0</v>
          </cell>
          <cell r="AF478">
            <v>0</v>
          </cell>
          <cell r="AG478">
            <v>0</v>
          </cell>
          <cell r="AH478">
            <v>0</v>
          </cell>
          <cell r="AI478">
            <v>0</v>
          </cell>
          <cell r="AJ478">
            <v>0</v>
          </cell>
          <cell r="AK478">
            <v>0</v>
          </cell>
          <cell r="AL478" t="str">
            <v xml:space="preserve">     ↓</v>
          </cell>
        </row>
        <row r="479">
          <cell r="E479" t="str">
            <v>溶融亜鉛CR-1000mm</v>
          </cell>
          <cell r="F479" t="str">
            <v>ｍ</v>
          </cell>
          <cell r="G479">
            <v>13700</v>
          </cell>
          <cell r="H479">
            <v>4566</v>
          </cell>
          <cell r="I479">
            <v>13700</v>
          </cell>
          <cell r="J479">
            <v>4566</v>
          </cell>
          <cell r="K479">
            <v>13700</v>
          </cell>
          <cell r="L479">
            <v>4566</v>
          </cell>
          <cell r="M479">
            <v>13700</v>
          </cell>
          <cell r="N479">
            <v>4566</v>
          </cell>
          <cell r="O479">
            <v>13700</v>
          </cell>
          <cell r="P479">
            <v>4566</v>
          </cell>
          <cell r="Q479">
            <v>13700</v>
          </cell>
          <cell r="R479">
            <v>4566</v>
          </cell>
          <cell r="S479">
            <v>13700</v>
          </cell>
          <cell r="T479">
            <v>4566</v>
          </cell>
          <cell r="U479">
            <v>13700</v>
          </cell>
          <cell r="V479">
            <v>4566</v>
          </cell>
          <cell r="W479">
            <v>13700</v>
          </cell>
          <cell r="X479">
            <v>4566</v>
          </cell>
          <cell r="Y479">
            <v>13700</v>
          </cell>
          <cell r="Z479">
            <v>4566</v>
          </cell>
          <cell r="AA479">
            <v>0</v>
          </cell>
          <cell r="AB479">
            <v>0</v>
          </cell>
          <cell r="AC479">
            <v>0</v>
          </cell>
          <cell r="AD479">
            <v>0.61699999999999999</v>
          </cell>
          <cell r="AE479">
            <v>0</v>
          </cell>
          <cell r="AF479">
            <v>0</v>
          </cell>
          <cell r="AG479">
            <v>0</v>
          </cell>
          <cell r="AH479">
            <v>0</v>
          </cell>
          <cell r="AI479">
            <v>0</v>
          </cell>
          <cell r="AJ479">
            <v>0</v>
          </cell>
          <cell r="AK479">
            <v>0</v>
          </cell>
          <cell r="AL479" t="str">
            <v xml:space="preserve">     ↓</v>
          </cell>
        </row>
        <row r="480">
          <cell r="E480" t="str">
            <v>溶融亜鉛CR-1200mm</v>
          </cell>
          <cell r="F480" t="str">
            <v>ｍ</v>
          </cell>
          <cell r="G480">
            <v>19700</v>
          </cell>
          <cell r="H480">
            <v>6566</v>
          </cell>
          <cell r="I480">
            <v>19700</v>
          </cell>
          <cell r="J480">
            <v>6566</v>
          </cell>
          <cell r="K480">
            <v>19700</v>
          </cell>
          <cell r="L480">
            <v>6566</v>
          </cell>
          <cell r="M480">
            <v>19700</v>
          </cell>
          <cell r="N480">
            <v>6566</v>
          </cell>
          <cell r="O480">
            <v>19700</v>
          </cell>
          <cell r="P480">
            <v>6566</v>
          </cell>
          <cell r="Q480">
            <v>19700</v>
          </cell>
          <cell r="R480">
            <v>6566</v>
          </cell>
          <cell r="S480">
            <v>19700</v>
          </cell>
          <cell r="T480">
            <v>6566</v>
          </cell>
          <cell r="U480">
            <v>19700</v>
          </cell>
          <cell r="V480">
            <v>6566</v>
          </cell>
          <cell r="W480">
            <v>19700</v>
          </cell>
          <cell r="X480">
            <v>6566</v>
          </cell>
          <cell r="Y480">
            <v>19700</v>
          </cell>
          <cell r="Z480">
            <v>6566</v>
          </cell>
          <cell r="AA480">
            <v>0</v>
          </cell>
          <cell r="AB480">
            <v>0</v>
          </cell>
          <cell r="AC480">
            <v>0</v>
          </cell>
          <cell r="AD480">
            <v>0.74</v>
          </cell>
          <cell r="AE480">
            <v>0</v>
          </cell>
          <cell r="AF480">
            <v>0</v>
          </cell>
          <cell r="AG480">
            <v>0</v>
          </cell>
          <cell r="AH480">
            <v>0</v>
          </cell>
          <cell r="AI480">
            <v>0</v>
          </cell>
          <cell r="AJ480">
            <v>0</v>
          </cell>
          <cell r="AK480">
            <v>0</v>
          </cell>
          <cell r="AL480" t="str">
            <v xml:space="preserve">     ↓</v>
          </cell>
        </row>
        <row r="481">
          <cell r="E481" t="str">
            <v>ZAM製CR-200mm</v>
          </cell>
          <cell r="F481" t="str">
            <v>ｍ</v>
          </cell>
          <cell r="G481">
            <v>6950</v>
          </cell>
          <cell r="H481">
            <v>2316</v>
          </cell>
          <cell r="I481">
            <v>6950</v>
          </cell>
          <cell r="J481">
            <v>2316</v>
          </cell>
          <cell r="K481">
            <v>6950</v>
          </cell>
          <cell r="L481">
            <v>2316</v>
          </cell>
          <cell r="M481">
            <v>6950</v>
          </cell>
          <cell r="N481">
            <v>2316</v>
          </cell>
          <cell r="O481">
            <v>6950</v>
          </cell>
          <cell r="P481">
            <v>2316</v>
          </cell>
          <cell r="Q481">
            <v>6950</v>
          </cell>
          <cell r="R481">
            <v>2316</v>
          </cell>
          <cell r="S481">
            <v>6950</v>
          </cell>
          <cell r="T481">
            <v>2316</v>
          </cell>
          <cell r="U481">
            <v>6950</v>
          </cell>
          <cell r="V481">
            <v>2316</v>
          </cell>
          <cell r="W481">
            <v>6950</v>
          </cell>
          <cell r="X481">
            <v>2316</v>
          </cell>
          <cell r="Y481">
            <v>6950</v>
          </cell>
          <cell r="Z481">
            <v>2316</v>
          </cell>
          <cell r="AA481">
            <v>0</v>
          </cell>
          <cell r="AB481">
            <v>0</v>
          </cell>
          <cell r="AC481">
            <v>0</v>
          </cell>
          <cell r="AD481">
            <v>0.183</v>
          </cell>
          <cell r="AE481">
            <v>0</v>
          </cell>
          <cell r="AF481">
            <v>0</v>
          </cell>
          <cell r="AG481">
            <v>0</v>
          </cell>
          <cell r="AH481">
            <v>0</v>
          </cell>
          <cell r="AI481">
            <v>0</v>
          </cell>
          <cell r="AJ481">
            <v>0</v>
          </cell>
          <cell r="AK481">
            <v>0</v>
          </cell>
          <cell r="AL481" t="str">
            <v>定尺=3.00m</v>
          </cell>
        </row>
        <row r="482">
          <cell r="E482" t="str">
            <v>ZAM製CR-300mm</v>
          </cell>
          <cell r="F482" t="str">
            <v>ｍ</v>
          </cell>
          <cell r="G482">
            <v>7590</v>
          </cell>
          <cell r="H482">
            <v>2530</v>
          </cell>
          <cell r="I482">
            <v>7590</v>
          </cell>
          <cell r="J482">
            <v>2530</v>
          </cell>
          <cell r="K482">
            <v>7590</v>
          </cell>
          <cell r="L482">
            <v>2530</v>
          </cell>
          <cell r="M482">
            <v>7590</v>
          </cell>
          <cell r="N482">
            <v>2530</v>
          </cell>
          <cell r="O482">
            <v>7590</v>
          </cell>
          <cell r="P482">
            <v>2530</v>
          </cell>
          <cell r="Q482">
            <v>7590</v>
          </cell>
          <cell r="R482">
            <v>2530</v>
          </cell>
          <cell r="S482">
            <v>7590</v>
          </cell>
          <cell r="T482">
            <v>2530</v>
          </cell>
          <cell r="U482">
            <v>7590</v>
          </cell>
          <cell r="V482">
            <v>2530</v>
          </cell>
          <cell r="W482">
            <v>7590</v>
          </cell>
          <cell r="X482">
            <v>2530</v>
          </cell>
          <cell r="Y482">
            <v>7590</v>
          </cell>
          <cell r="Z482">
            <v>2530</v>
          </cell>
          <cell r="AA482">
            <v>0</v>
          </cell>
          <cell r="AB482">
            <v>0</v>
          </cell>
          <cell r="AC482">
            <v>0</v>
          </cell>
          <cell r="AD482">
            <v>0.24299999999999999</v>
          </cell>
          <cell r="AE482">
            <v>0</v>
          </cell>
          <cell r="AF482">
            <v>0</v>
          </cell>
          <cell r="AG482">
            <v>0</v>
          </cell>
          <cell r="AH482">
            <v>0</v>
          </cell>
          <cell r="AI482">
            <v>0</v>
          </cell>
          <cell r="AJ482">
            <v>0</v>
          </cell>
          <cell r="AK482">
            <v>0</v>
          </cell>
          <cell r="AL482" t="str">
            <v xml:space="preserve">     ↓</v>
          </cell>
        </row>
        <row r="483">
          <cell r="E483" t="str">
            <v>ZAM製CR-400mm</v>
          </cell>
          <cell r="F483" t="str">
            <v>ｍ</v>
          </cell>
          <cell r="G483">
            <v>8240</v>
          </cell>
          <cell r="H483">
            <v>2746</v>
          </cell>
          <cell r="I483">
            <v>8240</v>
          </cell>
          <cell r="J483">
            <v>2746</v>
          </cell>
          <cell r="K483">
            <v>8240</v>
          </cell>
          <cell r="L483">
            <v>2746</v>
          </cell>
          <cell r="M483">
            <v>8240</v>
          </cell>
          <cell r="N483">
            <v>2746</v>
          </cell>
          <cell r="O483">
            <v>8240</v>
          </cell>
          <cell r="P483">
            <v>2746</v>
          </cell>
          <cell r="Q483">
            <v>8240</v>
          </cell>
          <cell r="R483">
            <v>2746</v>
          </cell>
          <cell r="S483">
            <v>8240</v>
          </cell>
          <cell r="T483">
            <v>2746</v>
          </cell>
          <cell r="U483">
            <v>8240</v>
          </cell>
          <cell r="V483">
            <v>2746</v>
          </cell>
          <cell r="W483">
            <v>8240</v>
          </cell>
          <cell r="X483">
            <v>2746</v>
          </cell>
          <cell r="Y483">
            <v>8240</v>
          </cell>
          <cell r="Z483">
            <v>2746</v>
          </cell>
          <cell r="AA483">
            <v>0</v>
          </cell>
          <cell r="AB483">
            <v>0</v>
          </cell>
          <cell r="AC483">
            <v>0</v>
          </cell>
          <cell r="AD483">
            <v>0.29599999999999999</v>
          </cell>
          <cell r="AE483">
            <v>0</v>
          </cell>
          <cell r="AF483">
            <v>0</v>
          </cell>
          <cell r="AG483">
            <v>0</v>
          </cell>
          <cell r="AH483">
            <v>0</v>
          </cell>
          <cell r="AI483">
            <v>0</v>
          </cell>
          <cell r="AJ483">
            <v>0</v>
          </cell>
          <cell r="AK483">
            <v>0</v>
          </cell>
          <cell r="AL483" t="str">
            <v xml:space="preserve">     ↓</v>
          </cell>
        </row>
        <row r="484">
          <cell r="E484" t="str">
            <v>ZAM製CR-500mm</v>
          </cell>
          <cell r="F484" t="str">
            <v>ｍ</v>
          </cell>
          <cell r="G484">
            <v>8900</v>
          </cell>
          <cell r="H484">
            <v>2966</v>
          </cell>
          <cell r="I484">
            <v>8900</v>
          </cell>
          <cell r="J484">
            <v>2966</v>
          </cell>
          <cell r="K484">
            <v>8900</v>
          </cell>
          <cell r="L484">
            <v>2966</v>
          </cell>
          <cell r="M484">
            <v>8900</v>
          </cell>
          <cell r="N484">
            <v>2966</v>
          </cell>
          <cell r="O484">
            <v>8900</v>
          </cell>
          <cell r="P484">
            <v>2966</v>
          </cell>
          <cell r="Q484">
            <v>8900</v>
          </cell>
          <cell r="R484">
            <v>2966</v>
          </cell>
          <cell r="S484">
            <v>8900</v>
          </cell>
          <cell r="T484">
            <v>2966</v>
          </cell>
          <cell r="U484">
            <v>8900</v>
          </cell>
          <cell r="V484">
            <v>2966</v>
          </cell>
          <cell r="W484">
            <v>8900</v>
          </cell>
          <cell r="X484">
            <v>2966</v>
          </cell>
          <cell r="Y484">
            <v>8900</v>
          </cell>
          <cell r="Z484">
            <v>2966</v>
          </cell>
          <cell r="AA484">
            <v>0</v>
          </cell>
          <cell r="AB484">
            <v>0</v>
          </cell>
          <cell r="AC484">
            <v>0</v>
          </cell>
          <cell r="AD484">
            <v>0.33900000000000002</v>
          </cell>
          <cell r="AE484">
            <v>0</v>
          </cell>
          <cell r="AF484">
            <v>0</v>
          </cell>
          <cell r="AG484">
            <v>0</v>
          </cell>
          <cell r="AH484">
            <v>0</v>
          </cell>
          <cell r="AI484">
            <v>0</v>
          </cell>
          <cell r="AJ484">
            <v>0</v>
          </cell>
          <cell r="AK484">
            <v>0</v>
          </cell>
          <cell r="AL484" t="str">
            <v xml:space="preserve">     ↓</v>
          </cell>
        </row>
        <row r="485">
          <cell r="E485" t="str">
            <v>ZAM製CR-600mm</v>
          </cell>
          <cell r="F485" t="str">
            <v>ｍ</v>
          </cell>
          <cell r="G485">
            <v>9560</v>
          </cell>
          <cell r="H485">
            <v>3186</v>
          </cell>
          <cell r="I485">
            <v>9560</v>
          </cell>
          <cell r="J485">
            <v>3186</v>
          </cell>
          <cell r="K485">
            <v>9560</v>
          </cell>
          <cell r="L485">
            <v>3186</v>
          </cell>
          <cell r="M485">
            <v>9560</v>
          </cell>
          <cell r="N485">
            <v>3186</v>
          </cell>
          <cell r="O485">
            <v>9560</v>
          </cell>
          <cell r="P485">
            <v>3186</v>
          </cell>
          <cell r="Q485">
            <v>9560</v>
          </cell>
          <cell r="R485">
            <v>3186</v>
          </cell>
          <cell r="S485">
            <v>9560</v>
          </cell>
          <cell r="T485">
            <v>3186</v>
          </cell>
          <cell r="U485">
            <v>9560</v>
          </cell>
          <cell r="V485">
            <v>3186</v>
          </cell>
          <cell r="W485">
            <v>9560</v>
          </cell>
          <cell r="X485">
            <v>3186</v>
          </cell>
          <cell r="Y485">
            <v>9560</v>
          </cell>
          <cell r="Z485">
            <v>3186</v>
          </cell>
          <cell r="AA485">
            <v>0</v>
          </cell>
          <cell r="AB485">
            <v>0</v>
          </cell>
          <cell r="AC485">
            <v>0</v>
          </cell>
          <cell r="AD485">
            <v>0.36499999999999999</v>
          </cell>
          <cell r="AE485">
            <v>0</v>
          </cell>
          <cell r="AF485">
            <v>0</v>
          </cell>
          <cell r="AG485">
            <v>0</v>
          </cell>
          <cell r="AH485">
            <v>0</v>
          </cell>
          <cell r="AI485">
            <v>0</v>
          </cell>
          <cell r="AJ485">
            <v>0</v>
          </cell>
          <cell r="AK485">
            <v>0</v>
          </cell>
          <cell r="AL485" t="str">
            <v xml:space="preserve">     ↓</v>
          </cell>
        </row>
        <row r="486">
          <cell r="E486" t="str">
            <v>ZAM製CR-700mm</v>
          </cell>
          <cell r="F486" t="str">
            <v>ｍ</v>
          </cell>
          <cell r="G486">
            <v>10200</v>
          </cell>
          <cell r="H486">
            <v>3400</v>
          </cell>
          <cell r="I486">
            <v>10200</v>
          </cell>
          <cell r="J486">
            <v>3400</v>
          </cell>
          <cell r="K486">
            <v>10200</v>
          </cell>
          <cell r="L486">
            <v>3400</v>
          </cell>
          <cell r="M486">
            <v>10200</v>
          </cell>
          <cell r="N486">
            <v>3400</v>
          </cell>
          <cell r="O486">
            <v>10200</v>
          </cell>
          <cell r="P486">
            <v>3400</v>
          </cell>
          <cell r="Q486">
            <v>10200</v>
          </cell>
          <cell r="R486">
            <v>3400</v>
          </cell>
          <cell r="S486">
            <v>10200</v>
          </cell>
          <cell r="T486">
            <v>3400</v>
          </cell>
          <cell r="U486">
            <v>10200</v>
          </cell>
          <cell r="V486">
            <v>3400</v>
          </cell>
          <cell r="W486">
            <v>10200</v>
          </cell>
          <cell r="X486">
            <v>3400</v>
          </cell>
          <cell r="Y486">
            <v>10200</v>
          </cell>
          <cell r="Z486">
            <v>3400</v>
          </cell>
          <cell r="AA486">
            <v>0</v>
          </cell>
          <cell r="AB486">
            <v>0</v>
          </cell>
          <cell r="AC486">
            <v>0</v>
          </cell>
          <cell r="AD486">
            <v>0.42699999999999999</v>
          </cell>
          <cell r="AE486">
            <v>0</v>
          </cell>
          <cell r="AF486">
            <v>0</v>
          </cell>
          <cell r="AG486">
            <v>0</v>
          </cell>
          <cell r="AH486">
            <v>0</v>
          </cell>
          <cell r="AI486">
            <v>0</v>
          </cell>
          <cell r="AJ486">
            <v>0</v>
          </cell>
          <cell r="AK486">
            <v>0</v>
          </cell>
          <cell r="AL486" t="str">
            <v xml:space="preserve">     ↓</v>
          </cell>
        </row>
        <row r="487">
          <cell r="E487" t="str">
            <v>ZAM製CR-800mm</v>
          </cell>
          <cell r="F487" t="str">
            <v>ｍ</v>
          </cell>
          <cell r="G487">
            <v>10900</v>
          </cell>
          <cell r="H487">
            <v>3633</v>
          </cell>
          <cell r="I487">
            <v>10900</v>
          </cell>
          <cell r="J487">
            <v>3633</v>
          </cell>
          <cell r="K487">
            <v>10900</v>
          </cell>
          <cell r="L487">
            <v>3633</v>
          </cell>
          <cell r="M487">
            <v>10900</v>
          </cell>
          <cell r="N487">
            <v>3633</v>
          </cell>
          <cell r="O487">
            <v>10900</v>
          </cell>
          <cell r="P487">
            <v>3633</v>
          </cell>
          <cell r="Q487">
            <v>10900</v>
          </cell>
          <cell r="R487">
            <v>3633</v>
          </cell>
          <cell r="S487">
            <v>10900</v>
          </cell>
          <cell r="T487">
            <v>3633</v>
          </cell>
          <cell r="U487">
            <v>10900</v>
          </cell>
          <cell r="V487">
            <v>3633</v>
          </cell>
          <cell r="W487">
            <v>10900</v>
          </cell>
          <cell r="X487">
            <v>3633</v>
          </cell>
          <cell r="Y487">
            <v>10900</v>
          </cell>
          <cell r="Z487">
            <v>3633</v>
          </cell>
          <cell r="AA487">
            <v>0</v>
          </cell>
          <cell r="AB487">
            <v>0</v>
          </cell>
          <cell r="AC487">
            <v>0</v>
          </cell>
          <cell r="AD487">
            <v>0.496</v>
          </cell>
          <cell r="AE487">
            <v>0</v>
          </cell>
          <cell r="AF487">
            <v>0</v>
          </cell>
          <cell r="AG487">
            <v>0</v>
          </cell>
          <cell r="AH487">
            <v>0</v>
          </cell>
          <cell r="AI487">
            <v>0</v>
          </cell>
          <cell r="AJ487">
            <v>0</v>
          </cell>
          <cell r="AK487">
            <v>0</v>
          </cell>
          <cell r="AL487" t="str">
            <v xml:space="preserve">     ↓</v>
          </cell>
        </row>
        <row r="488">
          <cell r="E488" t="str">
            <v>ZAM製CR-900mm</v>
          </cell>
          <cell r="F488" t="str">
            <v>ｍ</v>
          </cell>
          <cell r="G488">
            <v>11600</v>
          </cell>
          <cell r="H488">
            <v>3866</v>
          </cell>
          <cell r="I488">
            <v>11600</v>
          </cell>
          <cell r="J488">
            <v>3866</v>
          </cell>
          <cell r="K488">
            <v>11600</v>
          </cell>
          <cell r="L488">
            <v>3866</v>
          </cell>
          <cell r="M488">
            <v>11600</v>
          </cell>
          <cell r="N488">
            <v>3866</v>
          </cell>
          <cell r="O488">
            <v>11600</v>
          </cell>
          <cell r="P488">
            <v>3866</v>
          </cell>
          <cell r="Q488">
            <v>11600</v>
          </cell>
          <cell r="R488">
            <v>3866</v>
          </cell>
          <cell r="S488">
            <v>11600</v>
          </cell>
          <cell r="T488">
            <v>3866</v>
          </cell>
          <cell r="U488">
            <v>11600</v>
          </cell>
          <cell r="V488">
            <v>3866</v>
          </cell>
          <cell r="W488">
            <v>11600</v>
          </cell>
          <cell r="X488">
            <v>3866</v>
          </cell>
          <cell r="Y488">
            <v>11600</v>
          </cell>
          <cell r="Z488">
            <v>3866</v>
          </cell>
          <cell r="AA488">
            <v>0</v>
          </cell>
          <cell r="AB488">
            <v>0</v>
          </cell>
          <cell r="AC488">
            <v>0</v>
          </cell>
          <cell r="AD488">
            <v>0.55400000000000005</v>
          </cell>
          <cell r="AE488">
            <v>0</v>
          </cell>
          <cell r="AF488">
            <v>0</v>
          </cell>
          <cell r="AG488">
            <v>0</v>
          </cell>
          <cell r="AH488">
            <v>0</v>
          </cell>
          <cell r="AI488">
            <v>0</v>
          </cell>
          <cell r="AJ488">
            <v>0</v>
          </cell>
          <cell r="AK488">
            <v>0</v>
          </cell>
          <cell r="AL488" t="str">
            <v xml:space="preserve">     ↓</v>
          </cell>
        </row>
        <row r="489">
          <cell r="E489" t="str">
            <v>ZAM製CR-1000mm</v>
          </cell>
          <cell r="F489" t="str">
            <v>ｍ</v>
          </cell>
          <cell r="G489">
            <v>12500</v>
          </cell>
          <cell r="H489">
            <v>4166</v>
          </cell>
          <cell r="I489">
            <v>12500</v>
          </cell>
          <cell r="J489">
            <v>4166</v>
          </cell>
          <cell r="K489">
            <v>12500</v>
          </cell>
          <cell r="L489">
            <v>4166</v>
          </cell>
          <cell r="M489">
            <v>12500</v>
          </cell>
          <cell r="N489">
            <v>4166</v>
          </cell>
          <cell r="O489">
            <v>12500</v>
          </cell>
          <cell r="P489">
            <v>4166</v>
          </cell>
          <cell r="Q489">
            <v>12500</v>
          </cell>
          <cell r="R489">
            <v>4166</v>
          </cell>
          <cell r="S489">
            <v>12500</v>
          </cell>
          <cell r="T489">
            <v>4166</v>
          </cell>
          <cell r="U489">
            <v>12500</v>
          </cell>
          <cell r="V489">
            <v>4166</v>
          </cell>
          <cell r="W489">
            <v>12500</v>
          </cell>
          <cell r="X489">
            <v>4166</v>
          </cell>
          <cell r="Y489">
            <v>12500</v>
          </cell>
          <cell r="Z489">
            <v>4166</v>
          </cell>
          <cell r="AA489">
            <v>0</v>
          </cell>
          <cell r="AB489">
            <v>0</v>
          </cell>
          <cell r="AC489">
            <v>0</v>
          </cell>
          <cell r="AD489">
            <v>0.61699999999999999</v>
          </cell>
          <cell r="AE489">
            <v>0</v>
          </cell>
          <cell r="AF489">
            <v>0</v>
          </cell>
          <cell r="AG489">
            <v>0</v>
          </cell>
          <cell r="AH489">
            <v>0</v>
          </cell>
          <cell r="AI489">
            <v>0</v>
          </cell>
          <cell r="AJ489">
            <v>0</v>
          </cell>
          <cell r="AK489">
            <v>0</v>
          </cell>
          <cell r="AL489" t="str">
            <v xml:space="preserve">     ↓</v>
          </cell>
        </row>
        <row r="490">
          <cell r="E490" t="str">
            <v>ZAM製CR-1200mm</v>
          </cell>
          <cell r="F490" t="str">
            <v>ｍ</v>
          </cell>
          <cell r="G490">
            <v>16700</v>
          </cell>
          <cell r="H490">
            <v>5566</v>
          </cell>
          <cell r="I490">
            <v>16700</v>
          </cell>
          <cell r="J490">
            <v>5566</v>
          </cell>
          <cell r="K490">
            <v>16700</v>
          </cell>
          <cell r="L490">
            <v>5566</v>
          </cell>
          <cell r="M490">
            <v>16700</v>
          </cell>
          <cell r="N490">
            <v>5566</v>
          </cell>
          <cell r="O490">
            <v>16700</v>
          </cell>
          <cell r="P490">
            <v>5566</v>
          </cell>
          <cell r="Q490">
            <v>16700</v>
          </cell>
          <cell r="R490">
            <v>5566</v>
          </cell>
          <cell r="S490">
            <v>16700</v>
          </cell>
          <cell r="T490">
            <v>5566</v>
          </cell>
          <cell r="U490">
            <v>16700</v>
          </cell>
          <cell r="V490">
            <v>5566</v>
          </cell>
          <cell r="W490">
            <v>16700</v>
          </cell>
          <cell r="X490">
            <v>5566</v>
          </cell>
          <cell r="Y490">
            <v>16700</v>
          </cell>
          <cell r="Z490">
            <v>5566</v>
          </cell>
          <cell r="AA490">
            <v>0</v>
          </cell>
          <cell r="AB490">
            <v>0</v>
          </cell>
          <cell r="AC490">
            <v>0</v>
          </cell>
          <cell r="AD490">
            <v>0.74</v>
          </cell>
          <cell r="AE490">
            <v>0</v>
          </cell>
          <cell r="AF490">
            <v>0</v>
          </cell>
          <cell r="AG490">
            <v>0</v>
          </cell>
          <cell r="AH490">
            <v>0</v>
          </cell>
          <cell r="AI490">
            <v>0</v>
          </cell>
          <cell r="AJ490">
            <v>0</v>
          </cell>
          <cell r="AK490">
            <v>0</v>
          </cell>
          <cell r="AL490" t="str">
            <v xml:space="preserve">     ↓</v>
          </cell>
        </row>
        <row r="491">
          <cell r="E491" t="str">
            <v>G鋼板製CR-200mm</v>
          </cell>
          <cell r="F491" t="str">
            <v>ｍ</v>
          </cell>
          <cell r="G491">
            <v>7150</v>
          </cell>
          <cell r="H491">
            <v>2383</v>
          </cell>
          <cell r="I491">
            <v>7150</v>
          </cell>
          <cell r="J491">
            <v>2383</v>
          </cell>
          <cell r="K491">
            <v>7150</v>
          </cell>
          <cell r="L491">
            <v>2383</v>
          </cell>
          <cell r="M491">
            <v>7150</v>
          </cell>
          <cell r="N491">
            <v>2383</v>
          </cell>
          <cell r="O491">
            <v>7150</v>
          </cell>
          <cell r="P491">
            <v>2383</v>
          </cell>
          <cell r="Q491">
            <v>7150</v>
          </cell>
          <cell r="R491">
            <v>2383</v>
          </cell>
          <cell r="S491">
            <v>7150</v>
          </cell>
          <cell r="T491">
            <v>2383</v>
          </cell>
          <cell r="U491">
            <v>7150</v>
          </cell>
          <cell r="V491">
            <v>2383</v>
          </cell>
          <cell r="W491">
            <v>7150</v>
          </cell>
          <cell r="X491">
            <v>2383</v>
          </cell>
          <cell r="Y491">
            <v>7150</v>
          </cell>
          <cell r="Z491">
            <v>2383</v>
          </cell>
          <cell r="AA491">
            <v>0</v>
          </cell>
          <cell r="AB491">
            <v>0</v>
          </cell>
          <cell r="AC491">
            <v>0</v>
          </cell>
          <cell r="AD491">
            <v>0.183</v>
          </cell>
          <cell r="AE491">
            <v>0</v>
          </cell>
          <cell r="AF491">
            <v>0</v>
          </cell>
          <cell r="AG491">
            <v>0</v>
          </cell>
          <cell r="AH491">
            <v>0</v>
          </cell>
          <cell r="AI491">
            <v>0</v>
          </cell>
          <cell r="AJ491">
            <v>0</v>
          </cell>
          <cell r="AK491">
            <v>0</v>
          </cell>
          <cell r="AL491" t="str">
            <v>定尺=3.00m</v>
          </cell>
        </row>
        <row r="492">
          <cell r="E492" t="str">
            <v>G鋼板製CR-300mm</v>
          </cell>
          <cell r="F492" t="str">
            <v>ｍ</v>
          </cell>
          <cell r="G492">
            <v>7950</v>
          </cell>
          <cell r="H492">
            <v>2650</v>
          </cell>
          <cell r="I492">
            <v>7950</v>
          </cell>
          <cell r="J492">
            <v>2650</v>
          </cell>
          <cell r="K492">
            <v>7950</v>
          </cell>
          <cell r="L492">
            <v>2650</v>
          </cell>
          <cell r="M492">
            <v>7950</v>
          </cell>
          <cell r="N492">
            <v>2650</v>
          </cell>
          <cell r="O492">
            <v>7950</v>
          </cell>
          <cell r="P492">
            <v>2650</v>
          </cell>
          <cell r="Q492">
            <v>7950</v>
          </cell>
          <cell r="R492">
            <v>2650</v>
          </cell>
          <cell r="S492">
            <v>7950</v>
          </cell>
          <cell r="T492">
            <v>2650</v>
          </cell>
          <cell r="U492">
            <v>7950</v>
          </cell>
          <cell r="V492">
            <v>2650</v>
          </cell>
          <cell r="W492">
            <v>7950</v>
          </cell>
          <cell r="X492">
            <v>2650</v>
          </cell>
          <cell r="Y492">
            <v>7950</v>
          </cell>
          <cell r="Z492">
            <v>2650</v>
          </cell>
          <cell r="AA492">
            <v>0</v>
          </cell>
          <cell r="AB492">
            <v>0</v>
          </cell>
          <cell r="AC492">
            <v>0</v>
          </cell>
          <cell r="AD492">
            <v>0.24299999999999999</v>
          </cell>
          <cell r="AE492">
            <v>0</v>
          </cell>
          <cell r="AF492">
            <v>0</v>
          </cell>
          <cell r="AG492">
            <v>0</v>
          </cell>
          <cell r="AH492">
            <v>0</v>
          </cell>
          <cell r="AI492">
            <v>0</v>
          </cell>
          <cell r="AJ492">
            <v>0</v>
          </cell>
          <cell r="AK492">
            <v>0</v>
          </cell>
          <cell r="AL492" t="str">
            <v xml:space="preserve">     ↓</v>
          </cell>
        </row>
        <row r="493">
          <cell r="E493" t="str">
            <v>G鋼板製CR-400mm</v>
          </cell>
          <cell r="F493" t="str">
            <v>ｍ</v>
          </cell>
          <cell r="G493">
            <v>8440</v>
          </cell>
          <cell r="H493">
            <v>2813</v>
          </cell>
          <cell r="I493">
            <v>8440</v>
          </cell>
          <cell r="J493">
            <v>2813</v>
          </cell>
          <cell r="K493">
            <v>8440</v>
          </cell>
          <cell r="L493">
            <v>2813</v>
          </cell>
          <cell r="M493">
            <v>8440</v>
          </cell>
          <cell r="N493">
            <v>2813</v>
          </cell>
          <cell r="O493">
            <v>8440</v>
          </cell>
          <cell r="P493">
            <v>2813</v>
          </cell>
          <cell r="Q493">
            <v>8440</v>
          </cell>
          <cell r="R493">
            <v>2813</v>
          </cell>
          <cell r="S493">
            <v>8440</v>
          </cell>
          <cell r="T493">
            <v>2813</v>
          </cell>
          <cell r="U493">
            <v>8440</v>
          </cell>
          <cell r="V493">
            <v>2813</v>
          </cell>
          <cell r="W493">
            <v>8440</v>
          </cell>
          <cell r="X493">
            <v>2813</v>
          </cell>
          <cell r="Y493">
            <v>8440</v>
          </cell>
          <cell r="Z493">
            <v>2813</v>
          </cell>
          <cell r="AA493">
            <v>0</v>
          </cell>
          <cell r="AB493">
            <v>0</v>
          </cell>
          <cell r="AC493">
            <v>0</v>
          </cell>
          <cell r="AD493">
            <v>0.29599999999999999</v>
          </cell>
          <cell r="AE493">
            <v>0</v>
          </cell>
          <cell r="AF493">
            <v>0</v>
          </cell>
          <cell r="AG493">
            <v>0</v>
          </cell>
          <cell r="AH493">
            <v>0</v>
          </cell>
          <cell r="AI493">
            <v>0</v>
          </cell>
          <cell r="AJ493">
            <v>0</v>
          </cell>
          <cell r="AK493">
            <v>0</v>
          </cell>
          <cell r="AL493" t="str">
            <v xml:space="preserve">     ↓</v>
          </cell>
        </row>
        <row r="494">
          <cell r="E494" t="str">
            <v>G鋼板製CR-500mm</v>
          </cell>
          <cell r="F494" t="str">
            <v>ｍ</v>
          </cell>
          <cell r="G494">
            <v>8870</v>
          </cell>
          <cell r="H494">
            <v>2956</v>
          </cell>
          <cell r="I494">
            <v>8870</v>
          </cell>
          <cell r="J494">
            <v>2956</v>
          </cell>
          <cell r="K494">
            <v>8870</v>
          </cell>
          <cell r="L494">
            <v>2956</v>
          </cell>
          <cell r="M494">
            <v>8870</v>
          </cell>
          <cell r="N494">
            <v>2956</v>
          </cell>
          <cell r="O494">
            <v>8870</v>
          </cell>
          <cell r="P494">
            <v>2956</v>
          </cell>
          <cell r="Q494">
            <v>8870</v>
          </cell>
          <cell r="R494">
            <v>2956</v>
          </cell>
          <cell r="S494">
            <v>8870</v>
          </cell>
          <cell r="T494">
            <v>2956</v>
          </cell>
          <cell r="U494">
            <v>8870</v>
          </cell>
          <cell r="V494">
            <v>2956</v>
          </cell>
          <cell r="W494">
            <v>8870</v>
          </cell>
          <cell r="X494">
            <v>2956</v>
          </cell>
          <cell r="Y494">
            <v>8870</v>
          </cell>
          <cell r="Z494">
            <v>2956</v>
          </cell>
          <cell r="AA494">
            <v>0</v>
          </cell>
          <cell r="AB494">
            <v>0</v>
          </cell>
          <cell r="AC494">
            <v>0</v>
          </cell>
          <cell r="AD494">
            <v>0.33900000000000002</v>
          </cell>
          <cell r="AE494">
            <v>0</v>
          </cell>
          <cell r="AF494">
            <v>0</v>
          </cell>
          <cell r="AG494">
            <v>0</v>
          </cell>
          <cell r="AH494">
            <v>0</v>
          </cell>
          <cell r="AI494">
            <v>0</v>
          </cell>
          <cell r="AJ494">
            <v>0</v>
          </cell>
          <cell r="AK494">
            <v>0</v>
          </cell>
          <cell r="AL494" t="str">
            <v xml:space="preserve">     ↓</v>
          </cell>
        </row>
        <row r="495">
          <cell r="E495" t="str">
            <v>G鋼板製CR-600mm</v>
          </cell>
          <cell r="F495" t="str">
            <v>ｍ</v>
          </cell>
          <cell r="G495">
            <v>9320</v>
          </cell>
          <cell r="H495">
            <v>3106</v>
          </cell>
          <cell r="I495">
            <v>9320</v>
          </cell>
          <cell r="J495">
            <v>3106</v>
          </cell>
          <cell r="K495">
            <v>9320</v>
          </cell>
          <cell r="L495">
            <v>3106</v>
          </cell>
          <cell r="M495">
            <v>9320</v>
          </cell>
          <cell r="N495">
            <v>3106</v>
          </cell>
          <cell r="O495">
            <v>9320</v>
          </cell>
          <cell r="P495">
            <v>3106</v>
          </cell>
          <cell r="Q495">
            <v>9320</v>
          </cell>
          <cell r="R495">
            <v>3106</v>
          </cell>
          <cell r="S495">
            <v>9320</v>
          </cell>
          <cell r="T495">
            <v>3106</v>
          </cell>
          <cell r="U495">
            <v>9320</v>
          </cell>
          <cell r="V495">
            <v>3106</v>
          </cell>
          <cell r="W495">
            <v>9320</v>
          </cell>
          <cell r="X495">
            <v>3106</v>
          </cell>
          <cell r="Y495">
            <v>9320</v>
          </cell>
          <cell r="Z495">
            <v>3106</v>
          </cell>
          <cell r="AA495">
            <v>0</v>
          </cell>
          <cell r="AB495">
            <v>0</v>
          </cell>
          <cell r="AC495">
            <v>0</v>
          </cell>
          <cell r="AD495">
            <v>0.36499999999999999</v>
          </cell>
          <cell r="AE495">
            <v>0</v>
          </cell>
          <cell r="AF495">
            <v>0</v>
          </cell>
          <cell r="AG495">
            <v>0</v>
          </cell>
          <cell r="AH495">
            <v>0</v>
          </cell>
          <cell r="AI495">
            <v>0</v>
          </cell>
          <cell r="AJ495">
            <v>0</v>
          </cell>
          <cell r="AK495">
            <v>0</v>
          </cell>
          <cell r="AL495" t="str">
            <v xml:space="preserve">     ↓</v>
          </cell>
        </row>
        <row r="496">
          <cell r="E496" t="str">
            <v>G鋼板製CR-700mm</v>
          </cell>
          <cell r="F496" t="str">
            <v>ｍ</v>
          </cell>
          <cell r="G496">
            <v>9960</v>
          </cell>
          <cell r="H496">
            <v>3320</v>
          </cell>
          <cell r="I496">
            <v>9960</v>
          </cell>
          <cell r="J496">
            <v>3320</v>
          </cell>
          <cell r="K496">
            <v>9960</v>
          </cell>
          <cell r="L496">
            <v>3320</v>
          </cell>
          <cell r="M496">
            <v>9960</v>
          </cell>
          <cell r="N496">
            <v>3320</v>
          </cell>
          <cell r="O496">
            <v>9960</v>
          </cell>
          <cell r="P496">
            <v>3320</v>
          </cell>
          <cell r="Q496">
            <v>9960</v>
          </cell>
          <cell r="R496">
            <v>3320</v>
          </cell>
          <cell r="S496">
            <v>9960</v>
          </cell>
          <cell r="T496">
            <v>3320</v>
          </cell>
          <cell r="U496">
            <v>9960</v>
          </cell>
          <cell r="V496">
            <v>3320</v>
          </cell>
          <cell r="W496">
            <v>9960</v>
          </cell>
          <cell r="X496">
            <v>3320</v>
          </cell>
          <cell r="Y496">
            <v>9960</v>
          </cell>
          <cell r="Z496">
            <v>3320</v>
          </cell>
          <cell r="AA496">
            <v>0</v>
          </cell>
          <cell r="AB496">
            <v>0</v>
          </cell>
          <cell r="AC496">
            <v>0</v>
          </cell>
          <cell r="AD496">
            <v>0.42699999999999999</v>
          </cell>
          <cell r="AE496">
            <v>0</v>
          </cell>
          <cell r="AF496">
            <v>0</v>
          </cell>
          <cell r="AG496">
            <v>0</v>
          </cell>
          <cell r="AH496">
            <v>0</v>
          </cell>
          <cell r="AI496">
            <v>0</v>
          </cell>
          <cell r="AJ496">
            <v>0</v>
          </cell>
          <cell r="AK496">
            <v>0</v>
          </cell>
          <cell r="AL496" t="str">
            <v xml:space="preserve">     ↓</v>
          </cell>
        </row>
        <row r="497">
          <cell r="E497" t="str">
            <v>G鋼板製CR-800mm</v>
          </cell>
          <cell r="F497" t="str">
            <v>ｍ</v>
          </cell>
          <cell r="G497">
            <v>10600</v>
          </cell>
          <cell r="H497">
            <v>3533</v>
          </cell>
          <cell r="I497">
            <v>10600</v>
          </cell>
          <cell r="J497">
            <v>3533</v>
          </cell>
          <cell r="K497">
            <v>10600</v>
          </cell>
          <cell r="L497">
            <v>3533</v>
          </cell>
          <cell r="M497">
            <v>10600</v>
          </cell>
          <cell r="N497">
            <v>3533</v>
          </cell>
          <cell r="O497">
            <v>10600</v>
          </cell>
          <cell r="P497">
            <v>3533</v>
          </cell>
          <cell r="Q497">
            <v>10600</v>
          </cell>
          <cell r="R497">
            <v>3533</v>
          </cell>
          <cell r="S497">
            <v>10600</v>
          </cell>
          <cell r="T497">
            <v>3533</v>
          </cell>
          <cell r="U497">
            <v>10600</v>
          </cell>
          <cell r="V497">
            <v>3533</v>
          </cell>
          <cell r="W497">
            <v>10600</v>
          </cell>
          <cell r="X497">
            <v>3533</v>
          </cell>
          <cell r="Y497">
            <v>10600</v>
          </cell>
          <cell r="Z497">
            <v>3533</v>
          </cell>
          <cell r="AA497">
            <v>0</v>
          </cell>
          <cell r="AB497">
            <v>0</v>
          </cell>
          <cell r="AC497">
            <v>0</v>
          </cell>
          <cell r="AD497">
            <v>0.496</v>
          </cell>
          <cell r="AE497">
            <v>0</v>
          </cell>
          <cell r="AF497">
            <v>0</v>
          </cell>
          <cell r="AG497">
            <v>0</v>
          </cell>
          <cell r="AH497">
            <v>0</v>
          </cell>
          <cell r="AI497">
            <v>0</v>
          </cell>
          <cell r="AJ497">
            <v>0</v>
          </cell>
          <cell r="AK497">
            <v>0</v>
          </cell>
          <cell r="AL497" t="str">
            <v xml:space="preserve">     ↓</v>
          </cell>
        </row>
        <row r="498">
          <cell r="E498" t="str">
            <v>G鋼板製CR-1000mm</v>
          </cell>
          <cell r="F498" t="str">
            <v>ｍ</v>
          </cell>
          <cell r="G498">
            <v>12100</v>
          </cell>
          <cell r="H498">
            <v>4033</v>
          </cell>
          <cell r="I498">
            <v>12100</v>
          </cell>
          <cell r="J498">
            <v>4033</v>
          </cell>
          <cell r="K498">
            <v>12100</v>
          </cell>
          <cell r="L498">
            <v>4033</v>
          </cell>
          <cell r="M498">
            <v>12100</v>
          </cell>
          <cell r="N498">
            <v>4033</v>
          </cell>
          <cell r="O498">
            <v>12100</v>
          </cell>
          <cell r="P498">
            <v>4033</v>
          </cell>
          <cell r="Q498">
            <v>12100</v>
          </cell>
          <cell r="R498">
            <v>4033</v>
          </cell>
          <cell r="S498">
            <v>12100</v>
          </cell>
          <cell r="T498">
            <v>4033</v>
          </cell>
          <cell r="U498">
            <v>12100</v>
          </cell>
          <cell r="V498">
            <v>4033</v>
          </cell>
          <cell r="W498">
            <v>12100</v>
          </cell>
          <cell r="X498">
            <v>4033</v>
          </cell>
          <cell r="Y498">
            <v>12100</v>
          </cell>
          <cell r="Z498">
            <v>4033</v>
          </cell>
          <cell r="AA498">
            <v>0</v>
          </cell>
          <cell r="AB498">
            <v>0</v>
          </cell>
          <cell r="AC498">
            <v>0</v>
          </cell>
          <cell r="AD498">
            <v>0.61699999999999999</v>
          </cell>
          <cell r="AE498">
            <v>0</v>
          </cell>
          <cell r="AF498">
            <v>0</v>
          </cell>
          <cell r="AG498">
            <v>0</v>
          </cell>
          <cell r="AH498">
            <v>0</v>
          </cell>
          <cell r="AI498">
            <v>0</v>
          </cell>
          <cell r="AJ498">
            <v>0</v>
          </cell>
          <cell r="AK498">
            <v>0</v>
          </cell>
          <cell r="AL498" t="str">
            <v xml:space="preserve">     ↓</v>
          </cell>
        </row>
        <row r="499">
          <cell r="E499" t="str">
            <v>G鋼板製CR-1200mm</v>
          </cell>
          <cell r="F499" t="str">
            <v>ｍ</v>
          </cell>
          <cell r="G499">
            <v>17400</v>
          </cell>
          <cell r="H499">
            <v>5800</v>
          </cell>
          <cell r="I499">
            <v>17400</v>
          </cell>
          <cell r="J499">
            <v>5800</v>
          </cell>
          <cell r="K499">
            <v>17400</v>
          </cell>
          <cell r="L499">
            <v>5800</v>
          </cell>
          <cell r="M499">
            <v>17400</v>
          </cell>
          <cell r="N499">
            <v>5800</v>
          </cell>
          <cell r="O499">
            <v>17400</v>
          </cell>
          <cell r="P499">
            <v>5800</v>
          </cell>
          <cell r="Q499">
            <v>17400</v>
          </cell>
          <cell r="R499">
            <v>5800</v>
          </cell>
          <cell r="S499">
            <v>17400</v>
          </cell>
          <cell r="T499">
            <v>5800</v>
          </cell>
          <cell r="U499">
            <v>17400</v>
          </cell>
          <cell r="V499">
            <v>5800</v>
          </cell>
          <cell r="W499">
            <v>17400</v>
          </cell>
          <cell r="X499">
            <v>5800</v>
          </cell>
          <cell r="Y499">
            <v>17400</v>
          </cell>
          <cell r="Z499">
            <v>5800</v>
          </cell>
          <cell r="AA499">
            <v>0</v>
          </cell>
          <cell r="AB499">
            <v>0</v>
          </cell>
          <cell r="AC499">
            <v>0</v>
          </cell>
          <cell r="AD499">
            <v>0.74</v>
          </cell>
          <cell r="AE499">
            <v>0</v>
          </cell>
          <cell r="AF499">
            <v>0</v>
          </cell>
          <cell r="AG499">
            <v>0</v>
          </cell>
          <cell r="AH499">
            <v>0</v>
          </cell>
          <cell r="AI499">
            <v>0</v>
          </cell>
          <cell r="AJ499">
            <v>0</v>
          </cell>
          <cell r="AK499">
            <v>0</v>
          </cell>
          <cell r="AL499" t="str">
            <v xml:space="preserve">     ↓</v>
          </cell>
        </row>
        <row r="500">
          <cell r="E500" t="str">
            <v>SD製CR-200mm</v>
          </cell>
          <cell r="F500" t="str">
            <v>ｍ</v>
          </cell>
          <cell r="G500">
            <v>7300</v>
          </cell>
          <cell r="H500">
            <v>2433</v>
          </cell>
          <cell r="I500">
            <v>7300</v>
          </cell>
          <cell r="J500">
            <v>2433</v>
          </cell>
          <cell r="K500">
            <v>7300</v>
          </cell>
          <cell r="L500">
            <v>2433</v>
          </cell>
          <cell r="M500">
            <v>7300</v>
          </cell>
          <cell r="N500">
            <v>2433</v>
          </cell>
          <cell r="O500">
            <v>7300</v>
          </cell>
          <cell r="P500">
            <v>2433</v>
          </cell>
          <cell r="Q500">
            <v>7300</v>
          </cell>
          <cell r="R500">
            <v>2433</v>
          </cell>
          <cell r="S500">
            <v>7300</v>
          </cell>
          <cell r="T500">
            <v>2433</v>
          </cell>
          <cell r="U500">
            <v>7300</v>
          </cell>
          <cell r="V500">
            <v>2433</v>
          </cell>
          <cell r="W500">
            <v>7300</v>
          </cell>
          <cell r="X500">
            <v>2433</v>
          </cell>
          <cell r="Y500">
            <v>7300</v>
          </cell>
          <cell r="Z500">
            <v>2433</v>
          </cell>
          <cell r="AA500">
            <v>0</v>
          </cell>
          <cell r="AB500">
            <v>0</v>
          </cell>
          <cell r="AC500">
            <v>0</v>
          </cell>
          <cell r="AD500">
            <v>0.183</v>
          </cell>
          <cell r="AE500">
            <v>0</v>
          </cell>
          <cell r="AF500">
            <v>0</v>
          </cell>
          <cell r="AG500">
            <v>0</v>
          </cell>
          <cell r="AH500">
            <v>0</v>
          </cell>
          <cell r="AI500">
            <v>0</v>
          </cell>
          <cell r="AJ500">
            <v>0</v>
          </cell>
          <cell r="AK500">
            <v>0</v>
          </cell>
          <cell r="AL500" t="str">
            <v>定尺=3.00m</v>
          </cell>
        </row>
        <row r="501">
          <cell r="E501" t="str">
            <v>SD製CR-300mm</v>
          </cell>
          <cell r="F501" t="str">
            <v>ｍ</v>
          </cell>
          <cell r="G501">
            <v>8030</v>
          </cell>
          <cell r="H501">
            <v>2676</v>
          </cell>
          <cell r="I501">
            <v>8030</v>
          </cell>
          <cell r="J501">
            <v>2676</v>
          </cell>
          <cell r="K501">
            <v>8030</v>
          </cell>
          <cell r="L501">
            <v>2676</v>
          </cell>
          <cell r="M501">
            <v>8030</v>
          </cell>
          <cell r="N501">
            <v>2676</v>
          </cell>
          <cell r="O501">
            <v>8030</v>
          </cell>
          <cell r="P501">
            <v>2676</v>
          </cell>
          <cell r="Q501">
            <v>8030</v>
          </cell>
          <cell r="R501">
            <v>2676</v>
          </cell>
          <cell r="S501">
            <v>8030</v>
          </cell>
          <cell r="T501">
            <v>2676</v>
          </cell>
          <cell r="U501">
            <v>8030</v>
          </cell>
          <cell r="V501">
            <v>2676</v>
          </cell>
          <cell r="W501">
            <v>8030</v>
          </cell>
          <cell r="X501">
            <v>2676</v>
          </cell>
          <cell r="Y501">
            <v>8030</v>
          </cell>
          <cell r="Z501">
            <v>2676</v>
          </cell>
          <cell r="AA501">
            <v>0</v>
          </cell>
          <cell r="AB501">
            <v>0</v>
          </cell>
          <cell r="AC501">
            <v>0</v>
          </cell>
          <cell r="AD501">
            <v>0.24299999999999999</v>
          </cell>
          <cell r="AE501">
            <v>0</v>
          </cell>
          <cell r="AF501">
            <v>0</v>
          </cell>
          <cell r="AG501">
            <v>0</v>
          </cell>
          <cell r="AH501">
            <v>0</v>
          </cell>
          <cell r="AI501">
            <v>0</v>
          </cell>
          <cell r="AJ501">
            <v>0</v>
          </cell>
          <cell r="AK501">
            <v>0</v>
          </cell>
          <cell r="AL501" t="str">
            <v xml:space="preserve">     ↓</v>
          </cell>
        </row>
        <row r="502">
          <cell r="E502" t="str">
            <v>SD製CR-400mm</v>
          </cell>
          <cell r="F502" t="str">
            <v>ｍ</v>
          </cell>
          <cell r="G502">
            <v>8610</v>
          </cell>
          <cell r="H502">
            <v>2870</v>
          </cell>
          <cell r="I502">
            <v>8610</v>
          </cell>
          <cell r="J502">
            <v>2870</v>
          </cell>
          <cell r="K502">
            <v>8610</v>
          </cell>
          <cell r="L502">
            <v>2870</v>
          </cell>
          <cell r="M502">
            <v>8610</v>
          </cell>
          <cell r="N502">
            <v>2870</v>
          </cell>
          <cell r="O502">
            <v>8610</v>
          </cell>
          <cell r="P502">
            <v>2870</v>
          </cell>
          <cell r="Q502">
            <v>8610</v>
          </cell>
          <cell r="R502">
            <v>2870</v>
          </cell>
          <cell r="S502">
            <v>8610</v>
          </cell>
          <cell r="T502">
            <v>2870</v>
          </cell>
          <cell r="U502">
            <v>8610</v>
          </cell>
          <cell r="V502">
            <v>2870</v>
          </cell>
          <cell r="W502">
            <v>8610</v>
          </cell>
          <cell r="X502">
            <v>2870</v>
          </cell>
          <cell r="Y502">
            <v>8610</v>
          </cell>
          <cell r="Z502">
            <v>2870</v>
          </cell>
          <cell r="AA502">
            <v>0</v>
          </cell>
          <cell r="AB502">
            <v>0</v>
          </cell>
          <cell r="AC502">
            <v>0</v>
          </cell>
          <cell r="AD502">
            <v>0.29599999999999999</v>
          </cell>
          <cell r="AE502">
            <v>0</v>
          </cell>
          <cell r="AF502">
            <v>0</v>
          </cell>
          <cell r="AG502">
            <v>0</v>
          </cell>
          <cell r="AH502">
            <v>0</v>
          </cell>
          <cell r="AI502">
            <v>0</v>
          </cell>
          <cell r="AJ502">
            <v>0</v>
          </cell>
          <cell r="AK502">
            <v>0</v>
          </cell>
          <cell r="AL502" t="str">
            <v xml:space="preserve">     ↓</v>
          </cell>
        </row>
        <row r="503">
          <cell r="E503" t="str">
            <v>SD製CR-500mm</v>
          </cell>
          <cell r="F503" t="str">
            <v>ｍ</v>
          </cell>
          <cell r="G503">
            <v>9050</v>
          </cell>
          <cell r="H503">
            <v>3016</v>
          </cell>
          <cell r="I503">
            <v>9050</v>
          </cell>
          <cell r="J503">
            <v>3016</v>
          </cell>
          <cell r="K503">
            <v>9050</v>
          </cell>
          <cell r="L503">
            <v>3016</v>
          </cell>
          <cell r="M503">
            <v>9050</v>
          </cell>
          <cell r="N503">
            <v>3016</v>
          </cell>
          <cell r="O503">
            <v>9050</v>
          </cell>
          <cell r="P503">
            <v>3016</v>
          </cell>
          <cell r="Q503">
            <v>9050</v>
          </cell>
          <cell r="R503">
            <v>3016</v>
          </cell>
          <cell r="S503">
            <v>9050</v>
          </cell>
          <cell r="T503">
            <v>3016</v>
          </cell>
          <cell r="U503">
            <v>9050</v>
          </cell>
          <cell r="V503">
            <v>3016</v>
          </cell>
          <cell r="W503">
            <v>9050</v>
          </cell>
          <cell r="X503">
            <v>3016</v>
          </cell>
          <cell r="Y503">
            <v>9050</v>
          </cell>
          <cell r="Z503">
            <v>3016</v>
          </cell>
          <cell r="AA503">
            <v>0</v>
          </cell>
          <cell r="AB503">
            <v>0</v>
          </cell>
          <cell r="AC503">
            <v>0</v>
          </cell>
          <cell r="AD503">
            <v>0.33900000000000002</v>
          </cell>
          <cell r="AE503">
            <v>0</v>
          </cell>
          <cell r="AF503">
            <v>0</v>
          </cell>
          <cell r="AG503">
            <v>0</v>
          </cell>
          <cell r="AH503">
            <v>0</v>
          </cell>
          <cell r="AI503">
            <v>0</v>
          </cell>
          <cell r="AJ503">
            <v>0</v>
          </cell>
          <cell r="AK503">
            <v>0</v>
          </cell>
          <cell r="AL503" t="str">
            <v xml:space="preserve">     ↓</v>
          </cell>
        </row>
        <row r="504">
          <cell r="E504" t="str">
            <v>SD製CR-600mm</v>
          </cell>
          <cell r="F504" t="str">
            <v>ｍ</v>
          </cell>
          <cell r="G504">
            <v>9490</v>
          </cell>
          <cell r="H504">
            <v>3163</v>
          </cell>
          <cell r="I504">
            <v>9490</v>
          </cell>
          <cell r="J504">
            <v>3163</v>
          </cell>
          <cell r="K504">
            <v>9490</v>
          </cell>
          <cell r="L504">
            <v>3163</v>
          </cell>
          <cell r="M504">
            <v>9490</v>
          </cell>
          <cell r="N504">
            <v>3163</v>
          </cell>
          <cell r="O504">
            <v>9490</v>
          </cell>
          <cell r="P504">
            <v>3163</v>
          </cell>
          <cell r="Q504">
            <v>9490</v>
          </cell>
          <cell r="R504">
            <v>3163</v>
          </cell>
          <cell r="S504">
            <v>9490</v>
          </cell>
          <cell r="T504">
            <v>3163</v>
          </cell>
          <cell r="U504">
            <v>9490</v>
          </cell>
          <cell r="V504">
            <v>3163</v>
          </cell>
          <cell r="W504">
            <v>9490</v>
          </cell>
          <cell r="X504">
            <v>3163</v>
          </cell>
          <cell r="Y504">
            <v>9490</v>
          </cell>
          <cell r="Z504">
            <v>3163</v>
          </cell>
          <cell r="AA504">
            <v>0</v>
          </cell>
          <cell r="AB504">
            <v>0</v>
          </cell>
          <cell r="AC504">
            <v>0</v>
          </cell>
          <cell r="AD504">
            <v>0.36499999999999999</v>
          </cell>
          <cell r="AE504">
            <v>0</v>
          </cell>
          <cell r="AF504">
            <v>0</v>
          </cell>
          <cell r="AG504">
            <v>0</v>
          </cell>
          <cell r="AH504">
            <v>0</v>
          </cell>
          <cell r="AI504">
            <v>0</v>
          </cell>
          <cell r="AJ504">
            <v>0</v>
          </cell>
          <cell r="AK504">
            <v>0</v>
          </cell>
          <cell r="AL504" t="str">
            <v xml:space="preserve">     ↓</v>
          </cell>
        </row>
        <row r="505">
          <cell r="E505" t="str">
            <v>SD製CR-700mm</v>
          </cell>
          <cell r="F505" t="str">
            <v>ｍ</v>
          </cell>
          <cell r="G505">
            <v>10000</v>
          </cell>
          <cell r="H505">
            <v>3333</v>
          </cell>
          <cell r="I505">
            <v>10000</v>
          </cell>
          <cell r="J505">
            <v>3333</v>
          </cell>
          <cell r="K505">
            <v>10000</v>
          </cell>
          <cell r="L505">
            <v>3333</v>
          </cell>
          <cell r="M505">
            <v>10000</v>
          </cell>
          <cell r="N505">
            <v>3333</v>
          </cell>
          <cell r="O505">
            <v>10000</v>
          </cell>
          <cell r="P505">
            <v>3333</v>
          </cell>
          <cell r="Q505">
            <v>10000</v>
          </cell>
          <cell r="R505">
            <v>3333</v>
          </cell>
          <cell r="S505">
            <v>10000</v>
          </cell>
          <cell r="T505">
            <v>3333</v>
          </cell>
          <cell r="U505">
            <v>10000</v>
          </cell>
          <cell r="V505">
            <v>3333</v>
          </cell>
          <cell r="W505">
            <v>10000</v>
          </cell>
          <cell r="X505">
            <v>3333</v>
          </cell>
          <cell r="Y505">
            <v>10000</v>
          </cell>
          <cell r="Z505">
            <v>3333</v>
          </cell>
          <cell r="AA505">
            <v>0</v>
          </cell>
          <cell r="AB505">
            <v>0</v>
          </cell>
          <cell r="AC505">
            <v>0</v>
          </cell>
          <cell r="AD505">
            <v>0.42699999999999999</v>
          </cell>
          <cell r="AE505">
            <v>0</v>
          </cell>
          <cell r="AF505">
            <v>0</v>
          </cell>
          <cell r="AG505">
            <v>0</v>
          </cell>
          <cell r="AH505">
            <v>0</v>
          </cell>
          <cell r="AI505">
            <v>0</v>
          </cell>
          <cell r="AJ505">
            <v>0</v>
          </cell>
          <cell r="AK505">
            <v>0</v>
          </cell>
          <cell r="AL505" t="str">
            <v xml:space="preserve">     ↓</v>
          </cell>
        </row>
        <row r="506">
          <cell r="E506" t="str">
            <v>SD製CR-800mm</v>
          </cell>
          <cell r="F506" t="str">
            <v>ｍ</v>
          </cell>
          <cell r="G506">
            <v>10600</v>
          </cell>
          <cell r="H506">
            <v>3533</v>
          </cell>
          <cell r="I506">
            <v>10600</v>
          </cell>
          <cell r="J506">
            <v>3533</v>
          </cell>
          <cell r="K506">
            <v>10600</v>
          </cell>
          <cell r="L506">
            <v>3533</v>
          </cell>
          <cell r="M506">
            <v>10600</v>
          </cell>
          <cell r="N506">
            <v>3533</v>
          </cell>
          <cell r="O506">
            <v>10600</v>
          </cell>
          <cell r="P506">
            <v>3533</v>
          </cell>
          <cell r="Q506">
            <v>10600</v>
          </cell>
          <cell r="R506">
            <v>3533</v>
          </cell>
          <cell r="S506">
            <v>10600</v>
          </cell>
          <cell r="T506">
            <v>3533</v>
          </cell>
          <cell r="U506">
            <v>10600</v>
          </cell>
          <cell r="V506">
            <v>3533</v>
          </cell>
          <cell r="W506">
            <v>10600</v>
          </cell>
          <cell r="X506">
            <v>3533</v>
          </cell>
          <cell r="Y506">
            <v>10600</v>
          </cell>
          <cell r="Z506">
            <v>3533</v>
          </cell>
          <cell r="AA506">
            <v>0</v>
          </cell>
          <cell r="AB506">
            <v>0</v>
          </cell>
          <cell r="AC506">
            <v>0</v>
          </cell>
          <cell r="AD506">
            <v>0.496</v>
          </cell>
          <cell r="AE506">
            <v>0</v>
          </cell>
          <cell r="AF506">
            <v>0</v>
          </cell>
          <cell r="AG506">
            <v>0</v>
          </cell>
          <cell r="AH506">
            <v>0</v>
          </cell>
          <cell r="AI506">
            <v>0</v>
          </cell>
          <cell r="AJ506">
            <v>0</v>
          </cell>
          <cell r="AK506">
            <v>0</v>
          </cell>
          <cell r="AL506" t="str">
            <v xml:space="preserve">     ↓</v>
          </cell>
        </row>
        <row r="507">
          <cell r="E507" t="str">
            <v>SD製CR-900mm</v>
          </cell>
          <cell r="F507" t="str">
            <v>ｍ</v>
          </cell>
          <cell r="G507">
            <v>11200</v>
          </cell>
          <cell r="H507">
            <v>3733</v>
          </cell>
          <cell r="I507">
            <v>11200</v>
          </cell>
          <cell r="J507">
            <v>3733</v>
          </cell>
          <cell r="K507">
            <v>11200</v>
          </cell>
          <cell r="L507">
            <v>3733</v>
          </cell>
          <cell r="M507">
            <v>11200</v>
          </cell>
          <cell r="N507">
            <v>3733</v>
          </cell>
          <cell r="O507">
            <v>11200</v>
          </cell>
          <cell r="P507">
            <v>3733</v>
          </cell>
          <cell r="Q507">
            <v>11200</v>
          </cell>
          <cell r="R507">
            <v>3733</v>
          </cell>
          <cell r="S507">
            <v>11200</v>
          </cell>
          <cell r="T507">
            <v>3733</v>
          </cell>
          <cell r="U507">
            <v>11200</v>
          </cell>
          <cell r="V507">
            <v>3733</v>
          </cell>
          <cell r="W507">
            <v>11200</v>
          </cell>
          <cell r="X507">
            <v>3733</v>
          </cell>
          <cell r="Y507">
            <v>11200</v>
          </cell>
          <cell r="Z507">
            <v>3733</v>
          </cell>
          <cell r="AA507">
            <v>0</v>
          </cell>
          <cell r="AB507">
            <v>0</v>
          </cell>
          <cell r="AC507">
            <v>0</v>
          </cell>
          <cell r="AD507">
            <v>0.55400000000000005</v>
          </cell>
          <cell r="AE507">
            <v>0</v>
          </cell>
          <cell r="AF507">
            <v>0</v>
          </cell>
          <cell r="AG507">
            <v>0</v>
          </cell>
          <cell r="AH507">
            <v>0</v>
          </cell>
          <cell r="AI507">
            <v>0</v>
          </cell>
          <cell r="AJ507">
            <v>0</v>
          </cell>
          <cell r="AK507">
            <v>0</v>
          </cell>
          <cell r="AL507" t="str">
            <v xml:space="preserve">     ↓</v>
          </cell>
        </row>
        <row r="508">
          <cell r="E508" t="str">
            <v>SD製CR-1000mm</v>
          </cell>
          <cell r="F508" t="str">
            <v>ｍ</v>
          </cell>
          <cell r="G508">
            <v>11700</v>
          </cell>
          <cell r="H508">
            <v>3900</v>
          </cell>
          <cell r="I508">
            <v>11700</v>
          </cell>
          <cell r="J508">
            <v>3900</v>
          </cell>
          <cell r="K508">
            <v>11700</v>
          </cell>
          <cell r="L508">
            <v>3900</v>
          </cell>
          <cell r="M508">
            <v>11700</v>
          </cell>
          <cell r="N508">
            <v>3900</v>
          </cell>
          <cell r="O508">
            <v>11700</v>
          </cell>
          <cell r="P508">
            <v>3900</v>
          </cell>
          <cell r="Q508">
            <v>11700</v>
          </cell>
          <cell r="R508">
            <v>3900</v>
          </cell>
          <cell r="S508">
            <v>11700</v>
          </cell>
          <cell r="T508">
            <v>3900</v>
          </cell>
          <cell r="U508">
            <v>11700</v>
          </cell>
          <cell r="V508">
            <v>3900</v>
          </cell>
          <cell r="W508">
            <v>11700</v>
          </cell>
          <cell r="X508">
            <v>3900</v>
          </cell>
          <cell r="Y508">
            <v>11700</v>
          </cell>
          <cell r="Z508">
            <v>3900</v>
          </cell>
          <cell r="AA508">
            <v>0</v>
          </cell>
          <cell r="AB508">
            <v>0</v>
          </cell>
          <cell r="AC508">
            <v>0</v>
          </cell>
          <cell r="AD508">
            <v>0.61699999999999999</v>
          </cell>
          <cell r="AE508">
            <v>0</v>
          </cell>
          <cell r="AF508">
            <v>0</v>
          </cell>
          <cell r="AG508">
            <v>0</v>
          </cell>
          <cell r="AH508">
            <v>0</v>
          </cell>
          <cell r="AI508">
            <v>0</v>
          </cell>
          <cell r="AJ508">
            <v>0</v>
          </cell>
          <cell r="AK508">
            <v>0</v>
          </cell>
          <cell r="AL508" t="str">
            <v xml:space="preserve">     ↓</v>
          </cell>
        </row>
        <row r="509">
          <cell r="E509" t="str">
            <v>SD製CR-1200mm</v>
          </cell>
          <cell r="F509" t="str">
            <v>ｍ</v>
          </cell>
          <cell r="G509">
            <v>18900</v>
          </cell>
          <cell r="H509">
            <v>6300</v>
          </cell>
          <cell r="I509">
            <v>18900</v>
          </cell>
          <cell r="J509">
            <v>6300</v>
          </cell>
          <cell r="K509">
            <v>18900</v>
          </cell>
          <cell r="L509">
            <v>6300</v>
          </cell>
          <cell r="M509">
            <v>18900</v>
          </cell>
          <cell r="N509">
            <v>6300</v>
          </cell>
          <cell r="O509">
            <v>18900</v>
          </cell>
          <cell r="P509">
            <v>6300</v>
          </cell>
          <cell r="Q509">
            <v>18900</v>
          </cell>
          <cell r="R509">
            <v>6300</v>
          </cell>
          <cell r="S509">
            <v>18900</v>
          </cell>
          <cell r="T509">
            <v>6300</v>
          </cell>
          <cell r="U509">
            <v>18900</v>
          </cell>
          <cell r="V509">
            <v>6300</v>
          </cell>
          <cell r="W509">
            <v>18900</v>
          </cell>
          <cell r="X509">
            <v>6300</v>
          </cell>
          <cell r="Y509">
            <v>18900</v>
          </cell>
          <cell r="Z509">
            <v>6300</v>
          </cell>
          <cell r="AA509">
            <v>0</v>
          </cell>
          <cell r="AB509">
            <v>0</v>
          </cell>
          <cell r="AC509">
            <v>0</v>
          </cell>
          <cell r="AD509">
            <v>0.74</v>
          </cell>
          <cell r="AE509">
            <v>0</v>
          </cell>
          <cell r="AF509">
            <v>0</v>
          </cell>
          <cell r="AG509">
            <v>0</v>
          </cell>
          <cell r="AH509">
            <v>0</v>
          </cell>
          <cell r="AI509">
            <v>0</v>
          </cell>
          <cell r="AJ509">
            <v>0</v>
          </cell>
          <cell r="AK509">
            <v>0</v>
          </cell>
          <cell r="AL509" t="str">
            <v xml:space="preserve">     ↓</v>
          </cell>
        </row>
        <row r="510">
          <cell r="E510" t="str">
            <v>SUS製CR-200mm</v>
          </cell>
          <cell r="F510" t="str">
            <v>ｍ</v>
          </cell>
          <cell r="G510">
            <v>18200</v>
          </cell>
          <cell r="H510">
            <v>6066</v>
          </cell>
          <cell r="I510">
            <v>18200</v>
          </cell>
          <cell r="J510">
            <v>6066</v>
          </cell>
          <cell r="K510">
            <v>18200</v>
          </cell>
          <cell r="L510">
            <v>6066</v>
          </cell>
          <cell r="M510">
            <v>18200</v>
          </cell>
          <cell r="N510">
            <v>6066</v>
          </cell>
          <cell r="O510">
            <v>18200</v>
          </cell>
          <cell r="P510">
            <v>6066</v>
          </cell>
          <cell r="Q510">
            <v>18200</v>
          </cell>
          <cell r="R510">
            <v>6066</v>
          </cell>
          <cell r="S510">
            <v>18200</v>
          </cell>
          <cell r="T510">
            <v>6066</v>
          </cell>
          <cell r="U510">
            <v>18200</v>
          </cell>
          <cell r="V510">
            <v>6066</v>
          </cell>
          <cell r="W510">
            <v>18200</v>
          </cell>
          <cell r="X510">
            <v>6066</v>
          </cell>
          <cell r="Y510">
            <v>18200</v>
          </cell>
          <cell r="Z510">
            <v>6066</v>
          </cell>
          <cell r="AA510">
            <v>0</v>
          </cell>
          <cell r="AB510">
            <v>0</v>
          </cell>
          <cell r="AC510">
            <v>0</v>
          </cell>
          <cell r="AD510">
            <v>0.183</v>
          </cell>
          <cell r="AE510">
            <v>0</v>
          </cell>
          <cell r="AF510">
            <v>0</v>
          </cell>
          <cell r="AG510">
            <v>0</v>
          </cell>
          <cell r="AH510">
            <v>0</v>
          </cell>
          <cell r="AI510">
            <v>0</v>
          </cell>
          <cell r="AJ510">
            <v>0</v>
          </cell>
          <cell r="AK510">
            <v>0</v>
          </cell>
          <cell r="AL510" t="str">
            <v>定尺=3.00m</v>
          </cell>
        </row>
        <row r="511">
          <cell r="E511" t="str">
            <v>SUS製CR-300mm</v>
          </cell>
          <cell r="F511" t="str">
            <v>ｍ</v>
          </cell>
          <cell r="G511">
            <v>18900</v>
          </cell>
          <cell r="H511">
            <v>6300</v>
          </cell>
          <cell r="I511">
            <v>18900</v>
          </cell>
          <cell r="J511">
            <v>6300</v>
          </cell>
          <cell r="K511">
            <v>18900</v>
          </cell>
          <cell r="L511">
            <v>6300</v>
          </cell>
          <cell r="M511">
            <v>18900</v>
          </cell>
          <cell r="N511">
            <v>6300</v>
          </cell>
          <cell r="O511">
            <v>18900</v>
          </cell>
          <cell r="P511">
            <v>6300</v>
          </cell>
          <cell r="Q511">
            <v>18900</v>
          </cell>
          <cell r="R511">
            <v>6300</v>
          </cell>
          <cell r="S511">
            <v>18900</v>
          </cell>
          <cell r="T511">
            <v>6300</v>
          </cell>
          <cell r="U511">
            <v>18900</v>
          </cell>
          <cell r="V511">
            <v>6300</v>
          </cell>
          <cell r="W511">
            <v>18900</v>
          </cell>
          <cell r="X511">
            <v>6300</v>
          </cell>
          <cell r="Y511">
            <v>18900</v>
          </cell>
          <cell r="Z511">
            <v>6300</v>
          </cell>
          <cell r="AA511">
            <v>0</v>
          </cell>
          <cell r="AB511">
            <v>0</v>
          </cell>
          <cell r="AC511">
            <v>0</v>
          </cell>
          <cell r="AD511">
            <v>0.24299999999999999</v>
          </cell>
          <cell r="AE511">
            <v>0</v>
          </cell>
          <cell r="AF511">
            <v>0</v>
          </cell>
          <cell r="AG511">
            <v>0</v>
          </cell>
          <cell r="AH511">
            <v>0</v>
          </cell>
          <cell r="AI511">
            <v>0</v>
          </cell>
          <cell r="AJ511">
            <v>0</v>
          </cell>
          <cell r="AK511">
            <v>0</v>
          </cell>
          <cell r="AL511" t="str">
            <v xml:space="preserve">     ↓</v>
          </cell>
        </row>
        <row r="512">
          <cell r="E512" t="str">
            <v>SUS製CR-400mm</v>
          </cell>
          <cell r="F512" t="str">
            <v>ｍ</v>
          </cell>
          <cell r="G512">
            <v>19700</v>
          </cell>
          <cell r="H512">
            <v>6566</v>
          </cell>
          <cell r="I512">
            <v>19700</v>
          </cell>
          <cell r="J512">
            <v>6566</v>
          </cell>
          <cell r="K512">
            <v>19700</v>
          </cell>
          <cell r="L512">
            <v>6566</v>
          </cell>
          <cell r="M512">
            <v>19700</v>
          </cell>
          <cell r="N512">
            <v>6566</v>
          </cell>
          <cell r="O512">
            <v>19700</v>
          </cell>
          <cell r="P512">
            <v>6566</v>
          </cell>
          <cell r="Q512">
            <v>19700</v>
          </cell>
          <cell r="R512">
            <v>6566</v>
          </cell>
          <cell r="S512">
            <v>19700</v>
          </cell>
          <cell r="T512">
            <v>6566</v>
          </cell>
          <cell r="U512">
            <v>19700</v>
          </cell>
          <cell r="V512">
            <v>6566</v>
          </cell>
          <cell r="W512">
            <v>19700</v>
          </cell>
          <cell r="X512">
            <v>6566</v>
          </cell>
          <cell r="Y512">
            <v>19700</v>
          </cell>
          <cell r="Z512">
            <v>6566</v>
          </cell>
          <cell r="AA512">
            <v>0</v>
          </cell>
          <cell r="AB512">
            <v>0</v>
          </cell>
          <cell r="AC512">
            <v>0</v>
          </cell>
          <cell r="AD512">
            <v>0.29599999999999999</v>
          </cell>
          <cell r="AE512">
            <v>0</v>
          </cell>
          <cell r="AF512">
            <v>0</v>
          </cell>
          <cell r="AG512">
            <v>0</v>
          </cell>
          <cell r="AH512">
            <v>0</v>
          </cell>
          <cell r="AI512">
            <v>0</v>
          </cell>
          <cell r="AJ512">
            <v>0</v>
          </cell>
          <cell r="AK512">
            <v>0</v>
          </cell>
          <cell r="AL512" t="str">
            <v xml:space="preserve">     ↓</v>
          </cell>
        </row>
        <row r="513">
          <cell r="E513" t="str">
            <v>SUS製CR-500mm</v>
          </cell>
          <cell r="F513" t="str">
            <v>ｍ</v>
          </cell>
          <cell r="G513">
            <v>20300</v>
          </cell>
          <cell r="H513">
            <v>6766</v>
          </cell>
          <cell r="I513">
            <v>20300</v>
          </cell>
          <cell r="J513">
            <v>6766</v>
          </cell>
          <cell r="K513">
            <v>20300</v>
          </cell>
          <cell r="L513">
            <v>6766</v>
          </cell>
          <cell r="M513">
            <v>20300</v>
          </cell>
          <cell r="N513">
            <v>6766</v>
          </cell>
          <cell r="O513">
            <v>20300</v>
          </cell>
          <cell r="P513">
            <v>6766</v>
          </cell>
          <cell r="Q513">
            <v>20300</v>
          </cell>
          <cell r="R513">
            <v>6766</v>
          </cell>
          <cell r="S513">
            <v>20300</v>
          </cell>
          <cell r="T513">
            <v>6766</v>
          </cell>
          <cell r="U513">
            <v>20300</v>
          </cell>
          <cell r="V513">
            <v>6766</v>
          </cell>
          <cell r="W513">
            <v>20300</v>
          </cell>
          <cell r="X513">
            <v>6766</v>
          </cell>
          <cell r="Y513">
            <v>20300</v>
          </cell>
          <cell r="Z513">
            <v>6766</v>
          </cell>
          <cell r="AA513">
            <v>0</v>
          </cell>
          <cell r="AB513">
            <v>0</v>
          </cell>
          <cell r="AC513">
            <v>0</v>
          </cell>
          <cell r="AD513">
            <v>0.33900000000000002</v>
          </cell>
          <cell r="AE513">
            <v>0</v>
          </cell>
          <cell r="AF513">
            <v>0</v>
          </cell>
          <cell r="AG513">
            <v>0</v>
          </cell>
          <cell r="AH513">
            <v>0</v>
          </cell>
          <cell r="AI513">
            <v>0</v>
          </cell>
          <cell r="AJ513">
            <v>0</v>
          </cell>
          <cell r="AK513">
            <v>0</v>
          </cell>
          <cell r="AL513" t="str">
            <v xml:space="preserve">     ↓</v>
          </cell>
        </row>
        <row r="514">
          <cell r="E514" t="str">
            <v>SUS製CR-600mm</v>
          </cell>
          <cell r="F514" t="str">
            <v>ｍ</v>
          </cell>
          <cell r="G514">
            <v>21400</v>
          </cell>
          <cell r="H514">
            <v>7133</v>
          </cell>
          <cell r="I514">
            <v>21400</v>
          </cell>
          <cell r="J514">
            <v>7133</v>
          </cell>
          <cell r="K514">
            <v>21400</v>
          </cell>
          <cell r="L514">
            <v>7133</v>
          </cell>
          <cell r="M514">
            <v>21400</v>
          </cell>
          <cell r="N514">
            <v>7133</v>
          </cell>
          <cell r="O514">
            <v>21400</v>
          </cell>
          <cell r="P514">
            <v>7133</v>
          </cell>
          <cell r="Q514">
            <v>21400</v>
          </cell>
          <cell r="R514">
            <v>7133</v>
          </cell>
          <cell r="S514">
            <v>21400</v>
          </cell>
          <cell r="T514">
            <v>7133</v>
          </cell>
          <cell r="U514">
            <v>21400</v>
          </cell>
          <cell r="V514">
            <v>7133</v>
          </cell>
          <cell r="W514">
            <v>21400</v>
          </cell>
          <cell r="X514">
            <v>7133</v>
          </cell>
          <cell r="Y514">
            <v>21400</v>
          </cell>
          <cell r="Z514">
            <v>7133</v>
          </cell>
          <cell r="AA514">
            <v>0</v>
          </cell>
          <cell r="AB514">
            <v>0</v>
          </cell>
          <cell r="AC514">
            <v>0</v>
          </cell>
          <cell r="AD514">
            <v>0.36499999999999999</v>
          </cell>
          <cell r="AE514">
            <v>0</v>
          </cell>
          <cell r="AF514">
            <v>0</v>
          </cell>
          <cell r="AG514">
            <v>0</v>
          </cell>
          <cell r="AH514">
            <v>0</v>
          </cell>
          <cell r="AI514">
            <v>0</v>
          </cell>
          <cell r="AJ514">
            <v>0</v>
          </cell>
          <cell r="AK514">
            <v>0</v>
          </cell>
          <cell r="AL514" t="str">
            <v xml:space="preserve">     ↓</v>
          </cell>
        </row>
        <row r="515">
          <cell r="E515" t="str">
            <v>SUS製CR-700mm</v>
          </cell>
          <cell r="F515" t="str">
            <v>ｍ</v>
          </cell>
          <cell r="G515">
            <v>22600</v>
          </cell>
          <cell r="H515">
            <v>7533</v>
          </cell>
          <cell r="I515">
            <v>22600</v>
          </cell>
          <cell r="J515">
            <v>7533</v>
          </cell>
          <cell r="K515">
            <v>22600</v>
          </cell>
          <cell r="L515">
            <v>7533</v>
          </cell>
          <cell r="M515">
            <v>22600</v>
          </cell>
          <cell r="N515">
            <v>7533</v>
          </cell>
          <cell r="O515">
            <v>22600</v>
          </cell>
          <cell r="P515">
            <v>7533</v>
          </cell>
          <cell r="Q515">
            <v>22600</v>
          </cell>
          <cell r="R515">
            <v>7533</v>
          </cell>
          <cell r="S515">
            <v>22600</v>
          </cell>
          <cell r="T515">
            <v>7533</v>
          </cell>
          <cell r="U515">
            <v>22600</v>
          </cell>
          <cell r="V515">
            <v>7533</v>
          </cell>
          <cell r="W515">
            <v>22600</v>
          </cell>
          <cell r="X515">
            <v>7533</v>
          </cell>
          <cell r="Y515">
            <v>22600</v>
          </cell>
          <cell r="Z515">
            <v>7533</v>
          </cell>
          <cell r="AA515">
            <v>0</v>
          </cell>
          <cell r="AB515">
            <v>0</v>
          </cell>
          <cell r="AC515">
            <v>0</v>
          </cell>
          <cell r="AD515">
            <v>0.42699999999999999</v>
          </cell>
          <cell r="AE515">
            <v>0</v>
          </cell>
          <cell r="AF515">
            <v>0</v>
          </cell>
          <cell r="AG515">
            <v>0</v>
          </cell>
          <cell r="AH515">
            <v>0</v>
          </cell>
          <cell r="AI515">
            <v>0</v>
          </cell>
          <cell r="AJ515">
            <v>0</v>
          </cell>
          <cell r="AK515">
            <v>0</v>
          </cell>
          <cell r="AL515" t="str">
            <v xml:space="preserve">     ↓</v>
          </cell>
        </row>
        <row r="516">
          <cell r="E516" t="str">
            <v>SUS製CR-800mm</v>
          </cell>
          <cell r="F516" t="str">
            <v>ｍ</v>
          </cell>
          <cell r="G516">
            <v>26200</v>
          </cell>
          <cell r="H516">
            <v>8733</v>
          </cell>
          <cell r="I516">
            <v>26200</v>
          </cell>
          <cell r="J516">
            <v>8733</v>
          </cell>
          <cell r="K516">
            <v>26200</v>
          </cell>
          <cell r="L516">
            <v>8733</v>
          </cell>
          <cell r="M516">
            <v>26200</v>
          </cell>
          <cell r="N516">
            <v>8733</v>
          </cell>
          <cell r="O516">
            <v>26200</v>
          </cell>
          <cell r="P516">
            <v>8733</v>
          </cell>
          <cell r="Q516">
            <v>26200</v>
          </cell>
          <cell r="R516">
            <v>8733</v>
          </cell>
          <cell r="S516">
            <v>26200</v>
          </cell>
          <cell r="T516">
            <v>8733</v>
          </cell>
          <cell r="U516">
            <v>26200</v>
          </cell>
          <cell r="V516">
            <v>8733</v>
          </cell>
          <cell r="W516">
            <v>26200</v>
          </cell>
          <cell r="X516">
            <v>8733</v>
          </cell>
          <cell r="Y516">
            <v>26200</v>
          </cell>
          <cell r="Z516">
            <v>8733</v>
          </cell>
          <cell r="AA516">
            <v>0</v>
          </cell>
          <cell r="AB516">
            <v>0</v>
          </cell>
          <cell r="AC516">
            <v>0</v>
          </cell>
          <cell r="AD516">
            <v>0.496</v>
          </cell>
          <cell r="AE516">
            <v>0</v>
          </cell>
          <cell r="AF516">
            <v>0</v>
          </cell>
          <cell r="AG516">
            <v>0</v>
          </cell>
          <cell r="AH516">
            <v>0</v>
          </cell>
          <cell r="AI516">
            <v>0</v>
          </cell>
          <cell r="AJ516">
            <v>0</v>
          </cell>
          <cell r="AK516">
            <v>0</v>
          </cell>
          <cell r="AL516" t="str">
            <v xml:space="preserve">     ↓</v>
          </cell>
        </row>
        <row r="517">
          <cell r="E517" t="str">
            <v>SUS製CR-900mm</v>
          </cell>
          <cell r="F517" t="str">
            <v>ｍ</v>
          </cell>
          <cell r="G517">
            <v>27700</v>
          </cell>
          <cell r="H517">
            <v>9233</v>
          </cell>
          <cell r="I517">
            <v>27700</v>
          </cell>
          <cell r="J517">
            <v>9233</v>
          </cell>
          <cell r="K517">
            <v>27700</v>
          </cell>
          <cell r="L517">
            <v>9233</v>
          </cell>
          <cell r="M517">
            <v>27700</v>
          </cell>
          <cell r="N517">
            <v>9233</v>
          </cell>
          <cell r="O517">
            <v>27700</v>
          </cell>
          <cell r="P517">
            <v>9233</v>
          </cell>
          <cell r="Q517">
            <v>27700</v>
          </cell>
          <cell r="R517">
            <v>9233</v>
          </cell>
          <cell r="S517">
            <v>27700</v>
          </cell>
          <cell r="T517">
            <v>9233</v>
          </cell>
          <cell r="U517">
            <v>27700</v>
          </cell>
          <cell r="V517">
            <v>9233</v>
          </cell>
          <cell r="W517">
            <v>27700</v>
          </cell>
          <cell r="X517">
            <v>9233</v>
          </cell>
          <cell r="Y517">
            <v>27700</v>
          </cell>
          <cell r="Z517">
            <v>9233</v>
          </cell>
          <cell r="AA517">
            <v>0</v>
          </cell>
          <cell r="AB517">
            <v>0</v>
          </cell>
          <cell r="AC517">
            <v>0</v>
          </cell>
          <cell r="AD517">
            <v>0.55400000000000005</v>
          </cell>
          <cell r="AE517">
            <v>0</v>
          </cell>
          <cell r="AF517">
            <v>0</v>
          </cell>
          <cell r="AG517">
            <v>0</v>
          </cell>
          <cell r="AH517">
            <v>0</v>
          </cell>
          <cell r="AI517">
            <v>0</v>
          </cell>
          <cell r="AJ517">
            <v>0</v>
          </cell>
          <cell r="AK517">
            <v>0</v>
          </cell>
          <cell r="AL517" t="str">
            <v xml:space="preserve">     ↓</v>
          </cell>
        </row>
        <row r="518">
          <cell r="E518" t="str">
            <v>SUS製CR-1000mm</v>
          </cell>
          <cell r="F518" t="str">
            <v>ｍ</v>
          </cell>
          <cell r="G518">
            <v>29200</v>
          </cell>
          <cell r="H518">
            <v>9733</v>
          </cell>
          <cell r="I518">
            <v>29200</v>
          </cell>
          <cell r="J518">
            <v>9733</v>
          </cell>
          <cell r="K518">
            <v>29200</v>
          </cell>
          <cell r="L518">
            <v>9733</v>
          </cell>
          <cell r="M518">
            <v>29200</v>
          </cell>
          <cell r="N518">
            <v>9733</v>
          </cell>
          <cell r="O518">
            <v>29200</v>
          </cell>
          <cell r="P518">
            <v>9733</v>
          </cell>
          <cell r="Q518">
            <v>29200</v>
          </cell>
          <cell r="R518">
            <v>9733</v>
          </cell>
          <cell r="S518">
            <v>29200</v>
          </cell>
          <cell r="T518">
            <v>9733</v>
          </cell>
          <cell r="U518">
            <v>29200</v>
          </cell>
          <cell r="V518">
            <v>9733</v>
          </cell>
          <cell r="W518">
            <v>29200</v>
          </cell>
          <cell r="X518">
            <v>9733</v>
          </cell>
          <cell r="Y518">
            <v>29200</v>
          </cell>
          <cell r="Z518">
            <v>9733</v>
          </cell>
          <cell r="AA518">
            <v>0</v>
          </cell>
          <cell r="AB518">
            <v>0</v>
          </cell>
          <cell r="AC518">
            <v>0</v>
          </cell>
          <cell r="AD518">
            <v>0.61699999999999999</v>
          </cell>
          <cell r="AE518">
            <v>0</v>
          </cell>
          <cell r="AF518">
            <v>0</v>
          </cell>
          <cell r="AG518">
            <v>0</v>
          </cell>
          <cell r="AH518">
            <v>0</v>
          </cell>
          <cell r="AI518">
            <v>0</v>
          </cell>
          <cell r="AJ518">
            <v>0</v>
          </cell>
          <cell r="AK518">
            <v>0</v>
          </cell>
          <cell r="AL518" t="str">
            <v xml:space="preserve">     ↓</v>
          </cell>
        </row>
        <row r="519">
          <cell r="E519" t="str">
            <v>SUS製CR-1200mm</v>
          </cell>
          <cell r="F519" t="str">
            <v>ｍ</v>
          </cell>
          <cell r="G519">
            <v>32800</v>
          </cell>
          <cell r="H519">
            <v>10933</v>
          </cell>
          <cell r="I519">
            <v>32800</v>
          </cell>
          <cell r="J519">
            <v>10933</v>
          </cell>
          <cell r="K519">
            <v>32800</v>
          </cell>
          <cell r="L519">
            <v>10933</v>
          </cell>
          <cell r="M519">
            <v>32800</v>
          </cell>
          <cell r="N519">
            <v>10933</v>
          </cell>
          <cell r="O519">
            <v>32800</v>
          </cell>
          <cell r="P519">
            <v>10933</v>
          </cell>
          <cell r="Q519">
            <v>32800</v>
          </cell>
          <cell r="R519">
            <v>10933</v>
          </cell>
          <cell r="S519">
            <v>32800</v>
          </cell>
          <cell r="T519">
            <v>10933</v>
          </cell>
          <cell r="U519">
            <v>32800</v>
          </cell>
          <cell r="V519">
            <v>10933</v>
          </cell>
          <cell r="W519">
            <v>32800</v>
          </cell>
          <cell r="X519">
            <v>10933</v>
          </cell>
          <cell r="Y519">
            <v>32800</v>
          </cell>
          <cell r="Z519">
            <v>10933</v>
          </cell>
          <cell r="AA519">
            <v>0</v>
          </cell>
          <cell r="AB519">
            <v>0</v>
          </cell>
          <cell r="AC519">
            <v>0</v>
          </cell>
          <cell r="AD519">
            <v>0.74</v>
          </cell>
          <cell r="AE519">
            <v>0</v>
          </cell>
          <cell r="AF519">
            <v>0</v>
          </cell>
          <cell r="AG519">
            <v>0</v>
          </cell>
          <cell r="AH519">
            <v>0</v>
          </cell>
          <cell r="AI519">
            <v>0</v>
          </cell>
          <cell r="AJ519">
            <v>0</v>
          </cell>
          <cell r="AK519">
            <v>0</v>
          </cell>
          <cell r="AL519" t="str">
            <v xml:space="preserve">     ↓</v>
          </cell>
        </row>
        <row r="520">
          <cell r="E520" t="str">
            <v>アルミ製CR-200mm-H70</v>
          </cell>
          <cell r="F520" t="str">
            <v>ｍ</v>
          </cell>
          <cell r="G520">
            <v>7590</v>
          </cell>
          <cell r="H520">
            <v>2530</v>
          </cell>
          <cell r="I520">
            <v>7590</v>
          </cell>
          <cell r="J520">
            <v>2530</v>
          </cell>
          <cell r="K520">
            <v>7590</v>
          </cell>
          <cell r="L520">
            <v>2530</v>
          </cell>
          <cell r="M520">
            <v>7590</v>
          </cell>
          <cell r="N520">
            <v>2530</v>
          </cell>
          <cell r="O520">
            <v>7590</v>
          </cell>
          <cell r="P520">
            <v>2530</v>
          </cell>
          <cell r="Q520">
            <v>7590</v>
          </cell>
          <cell r="R520">
            <v>2530</v>
          </cell>
          <cell r="S520">
            <v>7590</v>
          </cell>
          <cell r="T520">
            <v>2530</v>
          </cell>
          <cell r="U520">
            <v>7590</v>
          </cell>
          <cell r="V520">
            <v>2530</v>
          </cell>
          <cell r="W520">
            <v>7590</v>
          </cell>
          <cell r="X520">
            <v>2530</v>
          </cell>
          <cell r="Y520">
            <v>7590</v>
          </cell>
          <cell r="Z520">
            <v>2530</v>
          </cell>
          <cell r="AA520">
            <v>0</v>
          </cell>
          <cell r="AB520">
            <v>0</v>
          </cell>
          <cell r="AC520">
            <v>0</v>
          </cell>
          <cell r="AD520">
            <v>0.183</v>
          </cell>
          <cell r="AE520">
            <v>0</v>
          </cell>
          <cell r="AF520">
            <v>0</v>
          </cell>
          <cell r="AG520">
            <v>0</v>
          </cell>
          <cell r="AH520">
            <v>0</v>
          </cell>
          <cell r="AI520">
            <v>0</v>
          </cell>
          <cell r="AJ520">
            <v>0</v>
          </cell>
          <cell r="AK520">
            <v>0</v>
          </cell>
          <cell r="AL520" t="str">
            <v>定尺=3.00m</v>
          </cell>
        </row>
        <row r="521">
          <cell r="E521" t="str">
            <v>アルミ製CR-300mm-H70</v>
          </cell>
          <cell r="F521" t="str">
            <v>ｍ</v>
          </cell>
          <cell r="G521">
            <v>8240</v>
          </cell>
          <cell r="H521">
            <v>2746</v>
          </cell>
          <cell r="I521">
            <v>8240</v>
          </cell>
          <cell r="J521">
            <v>2746</v>
          </cell>
          <cell r="K521">
            <v>8240</v>
          </cell>
          <cell r="L521">
            <v>2746</v>
          </cell>
          <cell r="M521">
            <v>8240</v>
          </cell>
          <cell r="N521">
            <v>2746</v>
          </cell>
          <cell r="O521">
            <v>8240</v>
          </cell>
          <cell r="P521">
            <v>2746</v>
          </cell>
          <cell r="Q521">
            <v>8240</v>
          </cell>
          <cell r="R521">
            <v>2746</v>
          </cell>
          <cell r="S521">
            <v>8240</v>
          </cell>
          <cell r="T521">
            <v>2746</v>
          </cell>
          <cell r="U521">
            <v>8240</v>
          </cell>
          <cell r="V521">
            <v>2746</v>
          </cell>
          <cell r="W521">
            <v>8240</v>
          </cell>
          <cell r="X521">
            <v>2746</v>
          </cell>
          <cell r="Y521">
            <v>8240</v>
          </cell>
          <cell r="Z521">
            <v>2746</v>
          </cell>
          <cell r="AA521">
            <v>0</v>
          </cell>
          <cell r="AB521">
            <v>0</v>
          </cell>
          <cell r="AC521">
            <v>0</v>
          </cell>
          <cell r="AD521">
            <v>0.24299999999999999</v>
          </cell>
          <cell r="AE521">
            <v>0</v>
          </cell>
          <cell r="AF521">
            <v>0</v>
          </cell>
          <cell r="AG521">
            <v>0</v>
          </cell>
          <cell r="AH521">
            <v>0</v>
          </cell>
          <cell r="AI521">
            <v>0</v>
          </cell>
          <cell r="AJ521">
            <v>0</v>
          </cell>
          <cell r="AK521">
            <v>0</v>
          </cell>
          <cell r="AL521" t="str">
            <v xml:space="preserve">     ↓</v>
          </cell>
        </row>
        <row r="522">
          <cell r="E522" t="str">
            <v>アルミ製CR-400mm-H70</v>
          </cell>
          <cell r="F522" t="str">
            <v>ｍ</v>
          </cell>
          <cell r="G522">
            <v>8830</v>
          </cell>
          <cell r="H522">
            <v>2943</v>
          </cell>
          <cell r="I522">
            <v>8830</v>
          </cell>
          <cell r="J522">
            <v>2943</v>
          </cell>
          <cell r="K522">
            <v>8830</v>
          </cell>
          <cell r="L522">
            <v>2943</v>
          </cell>
          <cell r="M522">
            <v>8830</v>
          </cell>
          <cell r="N522">
            <v>2943</v>
          </cell>
          <cell r="O522">
            <v>8830</v>
          </cell>
          <cell r="P522">
            <v>2943</v>
          </cell>
          <cell r="Q522">
            <v>8830</v>
          </cell>
          <cell r="R522">
            <v>2943</v>
          </cell>
          <cell r="S522">
            <v>8830</v>
          </cell>
          <cell r="T522">
            <v>2943</v>
          </cell>
          <cell r="U522">
            <v>8830</v>
          </cell>
          <cell r="V522">
            <v>2943</v>
          </cell>
          <cell r="W522">
            <v>8830</v>
          </cell>
          <cell r="X522">
            <v>2943</v>
          </cell>
          <cell r="Y522">
            <v>8830</v>
          </cell>
          <cell r="Z522">
            <v>2943</v>
          </cell>
          <cell r="AA522">
            <v>0</v>
          </cell>
          <cell r="AB522">
            <v>0</v>
          </cell>
          <cell r="AC522">
            <v>0</v>
          </cell>
          <cell r="AD522">
            <v>0.29599999999999999</v>
          </cell>
          <cell r="AE522">
            <v>0</v>
          </cell>
          <cell r="AF522">
            <v>0</v>
          </cell>
          <cell r="AG522">
            <v>0</v>
          </cell>
          <cell r="AH522">
            <v>0</v>
          </cell>
          <cell r="AI522">
            <v>0</v>
          </cell>
          <cell r="AJ522">
            <v>0</v>
          </cell>
          <cell r="AK522">
            <v>0</v>
          </cell>
          <cell r="AL522" t="str">
            <v xml:space="preserve">     ↓</v>
          </cell>
        </row>
        <row r="523">
          <cell r="E523" t="str">
            <v>アルミ製CR-500mm-H70</v>
          </cell>
          <cell r="F523" t="str">
            <v>ｍ</v>
          </cell>
          <cell r="G523">
            <v>9560</v>
          </cell>
          <cell r="H523">
            <v>3186</v>
          </cell>
          <cell r="I523">
            <v>9560</v>
          </cell>
          <cell r="J523">
            <v>3186</v>
          </cell>
          <cell r="K523">
            <v>9560</v>
          </cell>
          <cell r="L523">
            <v>3186</v>
          </cell>
          <cell r="M523">
            <v>9560</v>
          </cell>
          <cell r="N523">
            <v>3186</v>
          </cell>
          <cell r="O523">
            <v>9560</v>
          </cell>
          <cell r="P523">
            <v>3186</v>
          </cell>
          <cell r="Q523">
            <v>9560</v>
          </cell>
          <cell r="R523">
            <v>3186</v>
          </cell>
          <cell r="S523">
            <v>9560</v>
          </cell>
          <cell r="T523">
            <v>3186</v>
          </cell>
          <cell r="U523">
            <v>9560</v>
          </cell>
          <cell r="V523">
            <v>3186</v>
          </cell>
          <cell r="W523">
            <v>9560</v>
          </cell>
          <cell r="X523">
            <v>3186</v>
          </cell>
          <cell r="Y523">
            <v>9560</v>
          </cell>
          <cell r="Z523">
            <v>3186</v>
          </cell>
          <cell r="AA523">
            <v>0</v>
          </cell>
          <cell r="AB523">
            <v>0</v>
          </cell>
          <cell r="AC523">
            <v>0</v>
          </cell>
          <cell r="AD523">
            <v>0.33900000000000002</v>
          </cell>
          <cell r="AE523">
            <v>0</v>
          </cell>
          <cell r="AF523">
            <v>0</v>
          </cell>
          <cell r="AG523">
            <v>0</v>
          </cell>
          <cell r="AH523">
            <v>0</v>
          </cell>
          <cell r="AI523">
            <v>0</v>
          </cell>
          <cell r="AJ523">
            <v>0</v>
          </cell>
          <cell r="AK523">
            <v>0</v>
          </cell>
          <cell r="AL523" t="str">
            <v xml:space="preserve">     ↓</v>
          </cell>
        </row>
        <row r="524">
          <cell r="E524" t="str">
            <v>アルミ製CR-600mm-H70</v>
          </cell>
          <cell r="F524" t="str">
            <v>ｍ</v>
          </cell>
          <cell r="G524">
            <v>10200</v>
          </cell>
          <cell r="H524">
            <v>3400</v>
          </cell>
          <cell r="I524">
            <v>10200</v>
          </cell>
          <cell r="J524">
            <v>3400</v>
          </cell>
          <cell r="K524">
            <v>10200</v>
          </cell>
          <cell r="L524">
            <v>3400</v>
          </cell>
          <cell r="M524">
            <v>10200</v>
          </cell>
          <cell r="N524">
            <v>3400</v>
          </cell>
          <cell r="O524">
            <v>10200</v>
          </cell>
          <cell r="P524">
            <v>3400</v>
          </cell>
          <cell r="Q524">
            <v>10200</v>
          </cell>
          <cell r="R524">
            <v>3400</v>
          </cell>
          <cell r="S524">
            <v>10200</v>
          </cell>
          <cell r="T524">
            <v>3400</v>
          </cell>
          <cell r="U524">
            <v>10200</v>
          </cell>
          <cell r="V524">
            <v>3400</v>
          </cell>
          <cell r="W524">
            <v>10200</v>
          </cell>
          <cell r="X524">
            <v>3400</v>
          </cell>
          <cell r="Y524">
            <v>10200</v>
          </cell>
          <cell r="Z524">
            <v>3400</v>
          </cell>
          <cell r="AA524">
            <v>0</v>
          </cell>
          <cell r="AB524">
            <v>0</v>
          </cell>
          <cell r="AC524">
            <v>0</v>
          </cell>
          <cell r="AD524">
            <v>0.36499999999999999</v>
          </cell>
          <cell r="AE524">
            <v>0</v>
          </cell>
          <cell r="AF524">
            <v>0</v>
          </cell>
          <cell r="AG524">
            <v>0</v>
          </cell>
          <cell r="AH524">
            <v>0</v>
          </cell>
          <cell r="AI524">
            <v>0</v>
          </cell>
          <cell r="AJ524">
            <v>0</v>
          </cell>
          <cell r="AK524">
            <v>0</v>
          </cell>
          <cell r="AL524" t="str">
            <v xml:space="preserve">     ↓</v>
          </cell>
        </row>
        <row r="525">
          <cell r="E525" t="str">
            <v>アルミ製CR-800mm-H70</v>
          </cell>
          <cell r="F525" t="str">
            <v>ｍ</v>
          </cell>
          <cell r="G525">
            <v>11700</v>
          </cell>
          <cell r="H525">
            <v>3900</v>
          </cell>
          <cell r="I525">
            <v>11700</v>
          </cell>
          <cell r="J525">
            <v>3900</v>
          </cell>
          <cell r="K525">
            <v>11700</v>
          </cell>
          <cell r="L525">
            <v>3900</v>
          </cell>
          <cell r="M525">
            <v>11700</v>
          </cell>
          <cell r="N525">
            <v>3900</v>
          </cell>
          <cell r="O525">
            <v>11700</v>
          </cell>
          <cell r="P525">
            <v>3900</v>
          </cell>
          <cell r="Q525">
            <v>11700</v>
          </cell>
          <cell r="R525">
            <v>3900</v>
          </cell>
          <cell r="S525">
            <v>11700</v>
          </cell>
          <cell r="T525">
            <v>3900</v>
          </cell>
          <cell r="U525">
            <v>11700</v>
          </cell>
          <cell r="V525">
            <v>3900</v>
          </cell>
          <cell r="W525">
            <v>11700</v>
          </cell>
          <cell r="X525">
            <v>3900</v>
          </cell>
          <cell r="Y525">
            <v>11700</v>
          </cell>
          <cell r="Z525">
            <v>3900</v>
          </cell>
          <cell r="AA525">
            <v>0</v>
          </cell>
          <cell r="AB525">
            <v>0</v>
          </cell>
          <cell r="AC525">
            <v>0</v>
          </cell>
          <cell r="AD525">
            <v>0.496</v>
          </cell>
          <cell r="AE525">
            <v>0</v>
          </cell>
          <cell r="AF525">
            <v>0</v>
          </cell>
          <cell r="AG525">
            <v>0</v>
          </cell>
          <cell r="AH525">
            <v>0</v>
          </cell>
          <cell r="AI525">
            <v>0</v>
          </cell>
          <cell r="AJ525">
            <v>0</v>
          </cell>
          <cell r="AK525">
            <v>0</v>
          </cell>
          <cell r="AL525" t="str">
            <v xml:space="preserve">     ↓</v>
          </cell>
        </row>
        <row r="526">
          <cell r="E526" t="str">
            <v>アルミ製CR-1000mm-H70</v>
          </cell>
          <cell r="F526" t="str">
            <v>ｍ</v>
          </cell>
          <cell r="G526">
            <v>13200</v>
          </cell>
          <cell r="H526">
            <v>4400</v>
          </cell>
          <cell r="I526">
            <v>13200</v>
          </cell>
          <cell r="J526">
            <v>4400</v>
          </cell>
          <cell r="K526">
            <v>13200</v>
          </cell>
          <cell r="L526">
            <v>4400</v>
          </cell>
          <cell r="M526">
            <v>13200</v>
          </cell>
          <cell r="N526">
            <v>4400</v>
          </cell>
          <cell r="O526">
            <v>13200</v>
          </cell>
          <cell r="P526">
            <v>4400</v>
          </cell>
          <cell r="Q526">
            <v>13200</v>
          </cell>
          <cell r="R526">
            <v>4400</v>
          </cell>
          <cell r="S526">
            <v>13200</v>
          </cell>
          <cell r="T526">
            <v>4400</v>
          </cell>
          <cell r="U526">
            <v>13200</v>
          </cell>
          <cell r="V526">
            <v>4400</v>
          </cell>
          <cell r="W526">
            <v>13200</v>
          </cell>
          <cell r="X526">
            <v>4400</v>
          </cell>
          <cell r="Y526">
            <v>13200</v>
          </cell>
          <cell r="Z526">
            <v>4400</v>
          </cell>
          <cell r="AA526">
            <v>0</v>
          </cell>
          <cell r="AB526">
            <v>0</v>
          </cell>
          <cell r="AC526">
            <v>0</v>
          </cell>
          <cell r="AD526">
            <v>0.61699999999999999</v>
          </cell>
          <cell r="AE526">
            <v>0</v>
          </cell>
          <cell r="AF526">
            <v>0</v>
          </cell>
          <cell r="AG526">
            <v>0</v>
          </cell>
          <cell r="AH526">
            <v>0</v>
          </cell>
          <cell r="AI526">
            <v>0</v>
          </cell>
          <cell r="AJ526">
            <v>0</v>
          </cell>
          <cell r="AK526">
            <v>0</v>
          </cell>
          <cell r="AL526" t="str">
            <v xml:space="preserve">     ↓</v>
          </cell>
        </row>
        <row r="527">
          <cell r="E527" t="str">
            <v>アルミ製CR-200mm-H80</v>
          </cell>
          <cell r="F527" t="str">
            <v>ｍ</v>
          </cell>
          <cell r="G527">
            <v>7730</v>
          </cell>
          <cell r="H527">
            <v>2576</v>
          </cell>
          <cell r="I527">
            <v>7730</v>
          </cell>
          <cell r="J527">
            <v>2576</v>
          </cell>
          <cell r="K527">
            <v>7730</v>
          </cell>
          <cell r="L527">
            <v>2576</v>
          </cell>
          <cell r="M527">
            <v>7730</v>
          </cell>
          <cell r="N527">
            <v>2576</v>
          </cell>
          <cell r="O527">
            <v>7730</v>
          </cell>
          <cell r="P527">
            <v>2576</v>
          </cell>
          <cell r="Q527">
            <v>7730</v>
          </cell>
          <cell r="R527">
            <v>2576</v>
          </cell>
          <cell r="S527">
            <v>7730</v>
          </cell>
          <cell r="T527">
            <v>2576</v>
          </cell>
          <cell r="U527">
            <v>7730</v>
          </cell>
          <cell r="V527">
            <v>2576</v>
          </cell>
          <cell r="W527">
            <v>7730</v>
          </cell>
          <cell r="X527">
            <v>2576</v>
          </cell>
          <cell r="Y527">
            <v>7730</v>
          </cell>
          <cell r="Z527">
            <v>2576</v>
          </cell>
          <cell r="AA527">
            <v>0</v>
          </cell>
          <cell r="AB527">
            <v>0</v>
          </cell>
          <cell r="AC527">
            <v>0</v>
          </cell>
          <cell r="AD527">
            <v>0.183</v>
          </cell>
          <cell r="AE527">
            <v>0</v>
          </cell>
          <cell r="AF527">
            <v>0</v>
          </cell>
          <cell r="AG527">
            <v>0</v>
          </cell>
          <cell r="AH527">
            <v>0</v>
          </cell>
          <cell r="AI527">
            <v>0</v>
          </cell>
          <cell r="AJ527">
            <v>0</v>
          </cell>
          <cell r="AK527">
            <v>0</v>
          </cell>
          <cell r="AL527" t="str">
            <v>定尺=3.00m</v>
          </cell>
        </row>
        <row r="528">
          <cell r="E528" t="str">
            <v>アルミ製CR-300mm-H80</v>
          </cell>
          <cell r="F528" t="str">
            <v>ｍ</v>
          </cell>
          <cell r="G528">
            <v>8460</v>
          </cell>
          <cell r="H528">
            <v>2820</v>
          </cell>
          <cell r="I528">
            <v>8460</v>
          </cell>
          <cell r="J528">
            <v>2820</v>
          </cell>
          <cell r="K528">
            <v>8460</v>
          </cell>
          <cell r="L528">
            <v>2820</v>
          </cell>
          <cell r="M528">
            <v>8460</v>
          </cell>
          <cell r="N528">
            <v>2820</v>
          </cell>
          <cell r="O528">
            <v>8460</v>
          </cell>
          <cell r="P528">
            <v>2820</v>
          </cell>
          <cell r="Q528">
            <v>8460</v>
          </cell>
          <cell r="R528">
            <v>2820</v>
          </cell>
          <cell r="S528">
            <v>8460</v>
          </cell>
          <cell r="T528">
            <v>2820</v>
          </cell>
          <cell r="U528">
            <v>8460</v>
          </cell>
          <cell r="V528">
            <v>2820</v>
          </cell>
          <cell r="W528">
            <v>8460</v>
          </cell>
          <cell r="X528">
            <v>2820</v>
          </cell>
          <cell r="Y528">
            <v>8460</v>
          </cell>
          <cell r="Z528">
            <v>2820</v>
          </cell>
          <cell r="AA528">
            <v>0</v>
          </cell>
          <cell r="AB528">
            <v>0</v>
          </cell>
          <cell r="AC528">
            <v>0</v>
          </cell>
          <cell r="AD528">
            <v>0.24299999999999999</v>
          </cell>
          <cell r="AE528">
            <v>0</v>
          </cell>
          <cell r="AF528">
            <v>0</v>
          </cell>
          <cell r="AG528">
            <v>0</v>
          </cell>
          <cell r="AH528">
            <v>0</v>
          </cell>
          <cell r="AI528">
            <v>0</v>
          </cell>
          <cell r="AJ528">
            <v>0</v>
          </cell>
          <cell r="AK528">
            <v>0</v>
          </cell>
          <cell r="AL528" t="str">
            <v xml:space="preserve">     ↓</v>
          </cell>
        </row>
        <row r="529">
          <cell r="E529" t="str">
            <v>アルミ製CR-400mm-H80</v>
          </cell>
          <cell r="F529" t="str">
            <v>ｍ</v>
          </cell>
          <cell r="G529">
            <v>9050</v>
          </cell>
          <cell r="H529">
            <v>3016</v>
          </cell>
          <cell r="I529">
            <v>9050</v>
          </cell>
          <cell r="J529">
            <v>3016</v>
          </cell>
          <cell r="K529">
            <v>9050</v>
          </cell>
          <cell r="L529">
            <v>3016</v>
          </cell>
          <cell r="M529">
            <v>9050</v>
          </cell>
          <cell r="N529">
            <v>3016</v>
          </cell>
          <cell r="O529">
            <v>9050</v>
          </cell>
          <cell r="P529">
            <v>3016</v>
          </cell>
          <cell r="Q529">
            <v>9050</v>
          </cell>
          <cell r="R529">
            <v>3016</v>
          </cell>
          <cell r="S529">
            <v>9050</v>
          </cell>
          <cell r="T529">
            <v>3016</v>
          </cell>
          <cell r="U529">
            <v>9050</v>
          </cell>
          <cell r="V529">
            <v>3016</v>
          </cell>
          <cell r="W529">
            <v>9050</v>
          </cell>
          <cell r="X529">
            <v>3016</v>
          </cell>
          <cell r="Y529">
            <v>9050</v>
          </cell>
          <cell r="Z529">
            <v>3016</v>
          </cell>
          <cell r="AA529">
            <v>0</v>
          </cell>
          <cell r="AB529">
            <v>0</v>
          </cell>
          <cell r="AC529">
            <v>0</v>
          </cell>
          <cell r="AD529">
            <v>0.29599999999999999</v>
          </cell>
          <cell r="AE529">
            <v>0</v>
          </cell>
          <cell r="AF529">
            <v>0</v>
          </cell>
          <cell r="AG529">
            <v>0</v>
          </cell>
          <cell r="AH529">
            <v>0</v>
          </cell>
          <cell r="AI529">
            <v>0</v>
          </cell>
          <cell r="AJ529">
            <v>0</v>
          </cell>
          <cell r="AK529">
            <v>0</v>
          </cell>
          <cell r="AL529" t="str">
            <v xml:space="preserve">     ↓</v>
          </cell>
        </row>
        <row r="530">
          <cell r="E530" t="str">
            <v>アルミ製CR-500mm-H80</v>
          </cell>
          <cell r="F530" t="str">
            <v>ｍ</v>
          </cell>
          <cell r="G530">
            <v>9780</v>
          </cell>
          <cell r="H530">
            <v>3260</v>
          </cell>
          <cell r="I530">
            <v>9780</v>
          </cell>
          <cell r="J530">
            <v>3260</v>
          </cell>
          <cell r="K530">
            <v>9780</v>
          </cell>
          <cell r="L530">
            <v>3260</v>
          </cell>
          <cell r="M530">
            <v>9780</v>
          </cell>
          <cell r="N530">
            <v>3260</v>
          </cell>
          <cell r="O530">
            <v>9780</v>
          </cell>
          <cell r="P530">
            <v>3260</v>
          </cell>
          <cell r="Q530">
            <v>9780</v>
          </cell>
          <cell r="R530">
            <v>3260</v>
          </cell>
          <cell r="S530">
            <v>9780</v>
          </cell>
          <cell r="T530">
            <v>3260</v>
          </cell>
          <cell r="U530">
            <v>9780</v>
          </cell>
          <cell r="V530">
            <v>3260</v>
          </cell>
          <cell r="W530">
            <v>9780</v>
          </cell>
          <cell r="X530">
            <v>3260</v>
          </cell>
          <cell r="Y530">
            <v>9780</v>
          </cell>
          <cell r="Z530">
            <v>3260</v>
          </cell>
          <cell r="AA530">
            <v>0</v>
          </cell>
          <cell r="AB530">
            <v>0</v>
          </cell>
          <cell r="AC530">
            <v>0</v>
          </cell>
          <cell r="AD530">
            <v>0.33900000000000002</v>
          </cell>
          <cell r="AE530">
            <v>0</v>
          </cell>
          <cell r="AF530">
            <v>0</v>
          </cell>
          <cell r="AG530">
            <v>0</v>
          </cell>
          <cell r="AH530">
            <v>0</v>
          </cell>
          <cell r="AI530">
            <v>0</v>
          </cell>
          <cell r="AJ530">
            <v>0</v>
          </cell>
          <cell r="AK530">
            <v>0</v>
          </cell>
          <cell r="AL530" t="str">
            <v xml:space="preserve">     ↓</v>
          </cell>
        </row>
        <row r="531">
          <cell r="E531" t="str">
            <v>アルミ製CR-600mm-H80</v>
          </cell>
          <cell r="F531" t="str">
            <v>ｍ</v>
          </cell>
          <cell r="G531">
            <v>10300</v>
          </cell>
          <cell r="H531">
            <v>3433</v>
          </cell>
          <cell r="I531">
            <v>10300</v>
          </cell>
          <cell r="J531">
            <v>3433</v>
          </cell>
          <cell r="K531">
            <v>10300</v>
          </cell>
          <cell r="L531">
            <v>3433</v>
          </cell>
          <cell r="M531">
            <v>10300</v>
          </cell>
          <cell r="N531">
            <v>3433</v>
          </cell>
          <cell r="O531">
            <v>10300</v>
          </cell>
          <cell r="P531">
            <v>3433</v>
          </cell>
          <cell r="Q531">
            <v>10300</v>
          </cell>
          <cell r="R531">
            <v>3433</v>
          </cell>
          <cell r="S531">
            <v>10300</v>
          </cell>
          <cell r="T531">
            <v>3433</v>
          </cell>
          <cell r="U531">
            <v>10300</v>
          </cell>
          <cell r="V531">
            <v>3433</v>
          </cell>
          <cell r="W531">
            <v>10300</v>
          </cell>
          <cell r="X531">
            <v>3433</v>
          </cell>
          <cell r="Y531">
            <v>10300</v>
          </cell>
          <cell r="Z531">
            <v>3433</v>
          </cell>
          <cell r="AA531">
            <v>0</v>
          </cell>
          <cell r="AB531">
            <v>0</v>
          </cell>
          <cell r="AC531">
            <v>0</v>
          </cell>
          <cell r="AD531">
            <v>0.36499999999999999</v>
          </cell>
          <cell r="AE531">
            <v>0</v>
          </cell>
          <cell r="AF531">
            <v>0</v>
          </cell>
          <cell r="AG531">
            <v>0</v>
          </cell>
          <cell r="AH531">
            <v>0</v>
          </cell>
          <cell r="AI531">
            <v>0</v>
          </cell>
          <cell r="AJ531">
            <v>0</v>
          </cell>
          <cell r="AK531">
            <v>0</v>
          </cell>
          <cell r="AL531" t="str">
            <v xml:space="preserve">     ↓</v>
          </cell>
        </row>
        <row r="532">
          <cell r="E532" t="str">
            <v>アルミ製CR-800mm-H80</v>
          </cell>
          <cell r="F532" t="str">
            <v>ｍ</v>
          </cell>
          <cell r="G532">
            <v>12000</v>
          </cell>
          <cell r="H532">
            <v>4000</v>
          </cell>
          <cell r="I532">
            <v>12000</v>
          </cell>
          <cell r="J532">
            <v>4000</v>
          </cell>
          <cell r="K532">
            <v>12000</v>
          </cell>
          <cell r="L532">
            <v>4000</v>
          </cell>
          <cell r="M532">
            <v>12000</v>
          </cell>
          <cell r="N532">
            <v>4000</v>
          </cell>
          <cell r="O532">
            <v>12000</v>
          </cell>
          <cell r="P532">
            <v>4000</v>
          </cell>
          <cell r="Q532">
            <v>12000</v>
          </cell>
          <cell r="R532">
            <v>4000</v>
          </cell>
          <cell r="S532">
            <v>12000</v>
          </cell>
          <cell r="T532">
            <v>4000</v>
          </cell>
          <cell r="U532">
            <v>12000</v>
          </cell>
          <cell r="V532">
            <v>4000</v>
          </cell>
          <cell r="W532">
            <v>12000</v>
          </cell>
          <cell r="X532">
            <v>4000</v>
          </cell>
          <cell r="Y532">
            <v>12000</v>
          </cell>
          <cell r="Z532">
            <v>4000</v>
          </cell>
          <cell r="AA532">
            <v>0</v>
          </cell>
          <cell r="AB532">
            <v>0</v>
          </cell>
          <cell r="AC532">
            <v>0</v>
          </cell>
          <cell r="AD532">
            <v>0.496</v>
          </cell>
          <cell r="AE532">
            <v>0</v>
          </cell>
          <cell r="AF532">
            <v>0</v>
          </cell>
          <cell r="AG532">
            <v>0</v>
          </cell>
          <cell r="AH532">
            <v>0</v>
          </cell>
          <cell r="AI532">
            <v>0</v>
          </cell>
          <cell r="AJ532">
            <v>0</v>
          </cell>
          <cell r="AK532">
            <v>0</v>
          </cell>
          <cell r="AL532" t="str">
            <v xml:space="preserve">     ↓</v>
          </cell>
        </row>
        <row r="533">
          <cell r="E533" t="str">
            <v>アルミ製CR-1000mm-H80</v>
          </cell>
          <cell r="F533" t="str">
            <v>ｍ</v>
          </cell>
          <cell r="G533">
            <v>13500</v>
          </cell>
          <cell r="H533">
            <v>4500</v>
          </cell>
          <cell r="I533">
            <v>13500</v>
          </cell>
          <cell r="J533">
            <v>4500</v>
          </cell>
          <cell r="K533">
            <v>13500</v>
          </cell>
          <cell r="L533">
            <v>4500</v>
          </cell>
          <cell r="M533">
            <v>13500</v>
          </cell>
          <cell r="N533">
            <v>4500</v>
          </cell>
          <cell r="O533">
            <v>13500</v>
          </cell>
          <cell r="P533">
            <v>4500</v>
          </cell>
          <cell r="Q533">
            <v>13500</v>
          </cell>
          <cell r="R533">
            <v>4500</v>
          </cell>
          <cell r="S533">
            <v>13500</v>
          </cell>
          <cell r="T533">
            <v>4500</v>
          </cell>
          <cell r="U533">
            <v>13500</v>
          </cell>
          <cell r="V533">
            <v>4500</v>
          </cell>
          <cell r="W533">
            <v>13500</v>
          </cell>
          <cell r="X533">
            <v>4500</v>
          </cell>
          <cell r="Y533">
            <v>13500</v>
          </cell>
          <cell r="Z533">
            <v>4500</v>
          </cell>
          <cell r="AA533">
            <v>0</v>
          </cell>
          <cell r="AB533">
            <v>0</v>
          </cell>
          <cell r="AC533">
            <v>0</v>
          </cell>
          <cell r="AD533">
            <v>0.61699999999999999</v>
          </cell>
          <cell r="AE533">
            <v>0</v>
          </cell>
          <cell r="AF533">
            <v>0</v>
          </cell>
          <cell r="AG533">
            <v>0</v>
          </cell>
          <cell r="AH533">
            <v>0</v>
          </cell>
          <cell r="AI533">
            <v>0</v>
          </cell>
          <cell r="AJ533">
            <v>0</v>
          </cell>
          <cell r="AK533">
            <v>0</v>
          </cell>
          <cell r="AL533" t="str">
            <v xml:space="preserve">     ↓</v>
          </cell>
        </row>
        <row r="534">
          <cell r="E534" t="str">
            <v>アルミ製CR-200mm</v>
          </cell>
          <cell r="F534" t="str">
            <v>ｍ</v>
          </cell>
          <cell r="G534">
            <v>8760</v>
          </cell>
          <cell r="H534">
            <v>2920</v>
          </cell>
          <cell r="I534">
            <v>8760</v>
          </cell>
          <cell r="J534">
            <v>2920</v>
          </cell>
          <cell r="K534">
            <v>8760</v>
          </cell>
          <cell r="L534">
            <v>2920</v>
          </cell>
          <cell r="M534">
            <v>8760</v>
          </cell>
          <cell r="N534">
            <v>2920</v>
          </cell>
          <cell r="O534">
            <v>8760</v>
          </cell>
          <cell r="P534">
            <v>2920</v>
          </cell>
          <cell r="Q534">
            <v>8760</v>
          </cell>
          <cell r="R534">
            <v>2920</v>
          </cell>
          <cell r="S534">
            <v>8760</v>
          </cell>
          <cell r="T534">
            <v>2920</v>
          </cell>
          <cell r="U534">
            <v>8760</v>
          </cell>
          <cell r="V534">
            <v>2920</v>
          </cell>
          <cell r="W534">
            <v>8760</v>
          </cell>
          <cell r="X534">
            <v>2920</v>
          </cell>
          <cell r="Y534">
            <v>8760</v>
          </cell>
          <cell r="Z534">
            <v>2920</v>
          </cell>
          <cell r="AA534">
            <v>0</v>
          </cell>
          <cell r="AB534">
            <v>0</v>
          </cell>
          <cell r="AC534">
            <v>0</v>
          </cell>
          <cell r="AD534">
            <v>0.183</v>
          </cell>
          <cell r="AE534">
            <v>0</v>
          </cell>
          <cell r="AF534">
            <v>0</v>
          </cell>
          <cell r="AG534">
            <v>0</v>
          </cell>
          <cell r="AH534">
            <v>0</v>
          </cell>
          <cell r="AI534">
            <v>0</v>
          </cell>
          <cell r="AJ534">
            <v>0</v>
          </cell>
          <cell r="AK534">
            <v>0</v>
          </cell>
          <cell r="AL534" t="str">
            <v>定尺=3.00m</v>
          </cell>
        </row>
        <row r="535">
          <cell r="E535" t="str">
            <v>アルミ製CR-300mm</v>
          </cell>
          <cell r="F535" t="str">
            <v>ｍ</v>
          </cell>
          <cell r="G535">
            <v>9490</v>
          </cell>
          <cell r="H535">
            <v>3163</v>
          </cell>
          <cell r="I535">
            <v>9490</v>
          </cell>
          <cell r="J535">
            <v>3163</v>
          </cell>
          <cell r="K535">
            <v>9490</v>
          </cell>
          <cell r="L535">
            <v>3163</v>
          </cell>
          <cell r="M535">
            <v>9490</v>
          </cell>
          <cell r="N535">
            <v>3163</v>
          </cell>
          <cell r="O535">
            <v>9490</v>
          </cell>
          <cell r="P535">
            <v>3163</v>
          </cell>
          <cell r="Q535">
            <v>9490</v>
          </cell>
          <cell r="R535">
            <v>3163</v>
          </cell>
          <cell r="S535">
            <v>9490</v>
          </cell>
          <cell r="T535">
            <v>3163</v>
          </cell>
          <cell r="U535">
            <v>9490</v>
          </cell>
          <cell r="V535">
            <v>3163</v>
          </cell>
          <cell r="W535">
            <v>9490</v>
          </cell>
          <cell r="X535">
            <v>3163</v>
          </cell>
          <cell r="Y535">
            <v>9490</v>
          </cell>
          <cell r="Z535">
            <v>3163</v>
          </cell>
          <cell r="AA535">
            <v>0</v>
          </cell>
          <cell r="AB535">
            <v>0</v>
          </cell>
          <cell r="AC535">
            <v>0</v>
          </cell>
          <cell r="AD535">
            <v>0.24299999999999999</v>
          </cell>
          <cell r="AE535">
            <v>0</v>
          </cell>
          <cell r="AF535">
            <v>0</v>
          </cell>
          <cell r="AG535">
            <v>0</v>
          </cell>
          <cell r="AH535">
            <v>0</v>
          </cell>
          <cell r="AI535">
            <v>0</v>
          </cell>
          <cell r="AJ535">
            <v>0</v>
          </cell>
          <cell r="AK535">
            <v>0</v>
          </cell>
          <cell r="AL535" t="str">
            <v xml:space="preserve">     ↓</v>
          </cell>
        </row>
        <row r="536">
          <cell r="E536" t="str">
            <v>アルミ製CR-400mm</v>
          </cell>
          <cell r="F536" t="str">
            <v>ｍ</v>
          </cell>
          <cell r="G536">
            <v>10000</v>
          </cell>
          <cell r="H536">
            <v>3333</v>
          </cell>
          <cell r="I536">
            <v>10000</v>
          </cell>
          <cell r="J536">
            <v>3333</v>
          </cell>
          <cell r="K536">
            <v>10000</v>
          </cell>
          <cell r="L536">
            <v>3333</v>
          </cell>
          <cell r="M536">
            <v>10000</v>
          </cell>
          <cell r="N536">
            <v>3333</v>
          </cell>
          <cell r="O536">
            <v>10000</v>
          </cell>
          <cell r="P536">
            <v>3333</v>
          </cell>
          <cell r="Q536">
            <v>10000</v>
          </cell>
          <cell r="R536">
            <v>3333</v>
          </cell>
          <cell r="S536">
            <v>10000</v>
          </cell>
          <cell r="T536">
            <v>3333</v>
          </cell>
          <cell r="U536">
            <v>10000</v>
          </cell>
          <cell r="V536">
            <v>3333</v>
          </cell>
          <cell r="W536">
            <v>10000</v>
          </cell>
          <cell r="X536">
            <v>3333</v>
          </cell>
          <cell r="Y536">
            <v>10000</v>
          </cell>
          <cell r="Z536">
            <v>3333</v>
          </cell>
          <cell r="AA536">
            <v>0</v>
          </cell>
          <cell r="AB536">
            <v>0</v>
          </cell>
          <cell r="AC536">
            <v>0</v>
          </cell>
          <cell r="AD536">
            <v>0.29599999999999999</v>
          </cell>
          <cell r="AE536">
            <v>0</v>
          </cell>
          <cell r="AF536">
            <v>0</v>
          </cell>
          <cell r="AG536">
            <v>0</v>
          </cell>
          <cell r="AH536">
            <v>0</v>
          </cell>
          <cell r="AI536">
            <v>0</v>
          </cell>
          <cell r="AJ536">
            <v>0</v>
          </cell>
          <cell r="AK536">
            <v>0</v>
          </cell>
          <cell r="AL536" t="str">
            <v xml:space="preserve">     ↓</v>
          </cell>
        </row>
        <row r="537">
          <cell r="E537" t="str">
            <v>アルミ製CR-500mm</v>
          </cell>
          <cell r="F537" t="str">
            <v>ｍ</v>
          </cell>
          <cell r="G537">
            <v>10700</v>
          </cell>
          <cell r="H537">
            <v>3566</v>
          </cell>
          <cell r="I537">
            <v>10700</v>
          </cell>
          <cell r="J537">
            <v>3566</v>
          </cell>
          <cell r="K537">
            <v>10700</v>
          </cell>
          <cell r="L537">
            <v>3566</v>
          </cell>
          <cell r="M537">
            <v>10700</v>
          </cell>
          <cell r="N537">
            <v>3566</v>
          </cell>
          <cell r="O537">
            <v>10700</v>
          </cell>
          <cell r="P537">
            <v>3566</v>
          </cell>
          <cell r="Q537">
            <v>10700</v>
          </cell>
          <cell r="R537">
            <v>3566</v>
          </cell>
          <cell r="S537">
            <v>10700</v>
          </cell>
          <cell r="T537">
            <v>3566</v>
          </cell>
          <cell r="U537">
            <v>10700</v>
          </cell>
          <cell r="V537">
            <v>3566</v>
          </cell>
          <cell r="W537">
            <v>10700</v>
          </cell>
          <cell r="X537">
            <v>3566</v>
          </cell>
          <cell r="Y537">
            <v>10700</v>
          </cell>
          <cell r="Z537">
            <v>3566</v>
          </cell>
          <cell r="AA537">
            <v>0</v>
          </cell>
          <cell r="AB537">
            <v>0</v>
          </cell>
          <cell r="AC537">
            <v>0</v>
          </cell>
          <cell r="AD537">
            <v>0.33900000000000002</v>
          </cell>
          <cell r="AE537">
            <v>0</v>
          </cell>
          <cell r="AF537">
            <v>0</v>
          </cell>
          <cell r="AG537">
            <v>0</v>
          </cell>
          <cell r="AH537">
            <v>0</v>
          </cell>
          <cell r="AI537">
            <v>0</v>
          </cell>
          <cell r="AJ537">
            <v>0</v>
          </cell>
          <cell r="AK537">
            <v>0</v>
          </cell>
          <cell r="AL537" t="str">
            <v xml:space="preserve">     ↓</v>
          </cell>
        </row>
        <row r="538">
          <cell r="E538" t="str">
            <v>アルミ製CR-600mm</v>
          </cell>
          <cell r="F538" t="str">
            <v>ｍ</v>
          </cell>
          <cell r="G538">
            <v>11300</v>
          </cell>
          <cell r="H538">
            <v>3766</v>
          </cell>
          <cell r="I538">
            <v>11300</v>
          </cell>
          <cell r="J538">
            <v>3766</v>
          </cell>
          <cell r="K538">
            <v>11300</v>
          </cell>
          <cell r="L538">
            <v>3766</v>
          </cell>
          <cell r="M538">
            <v>11300</v>
          </cell>
          <cell r="N538">
            <v>3766</v>
          </cell>
          <cell r="O538">
            <v>11300</v>
          </cell>
          <cell r="P538">
            <v>3766</v>
          </cell>
          <cell r="Q538">
            <v>11300</v>
          </cell>
          <cell r="R538">
            <v>3766</v>
          </cell>
          <cell r="S538">
            <v>11300</v>
          </cell>
          <cell r="T538">
            <v>3766</v>
          </cell>
          <cell r="U538">
            <v>11300</v>
          </cell>
          <cell r="V538">
            <v>3766</v>
          </cell>
          <cell r="W538">
            <v>11300</v>
          </cell>
          <cell r="X538">
            <v>3766</v>
          </cell>
          <cell r="Y538">
            <v>11300</v>
          </cell>
          <cell r="Z538">
            <v>3766</v>
          </cell>
          <cell r="AA538">
            <v>0</v>
          </cell>
          <cell r="AB538">
            <v>0</v>
          </cell>
          <cell r="AC538">
            <v>0</v>
          </cell>
          <cell r="AD538">
            <v>0.36499999999999999</v>
          </cell>
          <cell r="AE538">
            <v>0</v>
          </cell>
          <cell r="AF538">
            <v>0</v>
          </cell>
          <cell r="AG538">
            <v>0</v>
          </cell>
          <cell r="AH538">
            <v>0</v>
          </cell>
          <cell r="AI538">
            <v>0</v>
          </cell>
          <cell r="AJ538">
            <v>0</v>
          </cell>
          <cell r="AK538">
            <v>0</v>
          </cell>
          <cell r="AL538" t="str">
            <v xml:space="preserve">     ↓</v>
          </cell>
        </row>
        <row r="539">
          <cell r="E539" t="str">
            <v>アルミ製CR-800mm</v>
          </cell>
          <cell r="F539" t="str">
            <v>ｍ</v>
          </cell>
          <cell r="G539">
            <v>14000</v>
          </cell>
          <cell r="H539">
            <v>4666</v>
          </cell>
          <cell r="I539">
            <v>14000</v>
          </cell>
          <cell r="J539">
            <v>4666</v>
          </cell>
          <cell r="K539">
            <v>14000</v>
          </cell>
          <cell r="L539">
            <v>4666</v>
          </cell>
          <cell r="M539">
            <v>14000</v>
          </cell>
          <cell r="N539">
            <v>4666</v>
          </cell>
          <cell r="O539">
            <v>14000</v>
          </cell>
          <cell r="P539">
            <v>4666</v>
          </cell>
          <cell r="Q539">
            <v>14000</v>
          </cell>
          <cell r="R539">
            <v>4666</v>
          </cell>
          <cell r="S539">
            <v>14000</v>
          </cell>
          <cell r="T539">
            <v>4666</v>
          </cell>
          <cell r="U539">
            <v>14000</v>
          </cell>
          <cell r="V539">
            <v>4666</v>
          </cell>
          <cell r="W539">
            <v>14000</v>
          </cell>
          <cell r="X539">
            <v>4666</v>
          </cell>
          <cell r="Y539">
            <v>14000</v>
          </cell>
          <cell r="Z539">
            <v>4666</v>
          </cell>
          <cell r="AA539">
            <v>0</v>
          </cell>
          <cell r="AB539">
            <v>0</v>
          </cell>
          <cell r="AC539">
            <v>0</v>
          </cell>
          <cell r="AD539">
            <v>0.496</v>
          </cell>
          <cell r="AE539">
            <v>0</v>
          </cell>
          <cell r="AF539">
            <v>0</v>
          </cell>
          <cell r="AG539">
            <v>0</v>
          </cell>
          <cell r="AH539">
            <v>0</v>
          </cell>
          <cell r="AI539">
            <v>0</v>
          </cell>
          <cell r="AJ539">
            <v>0</v>
          </cell>
          <cell r="AK539">
            <v>0</v>
          </cell>
          <cell r="AL539" t="str">
            <v xml:space="preserve">     ↓</v>
          </cell>
        </row>
        <row r="540">
          <cell r="E540" t="str">
            <v>アルミ製CR-1000mm</v>
          </cell>
          <cell r="F540" t="str">
            <v>ｍ</v>
          </cell>
          <cell r="G540">
            <v>15600</v>
          </cell>
          <cell r="H540">
            <v>5200</v>
          </cell>
          <cell r="I540">
            <v>15600</v>
          </cell>
          <cell r="J540">
            <v>5200</v>
          </cell>
          <cell r="K540">
            <v>15600</v>
          </cell>
          <cell r="L540">
            <v>5200</v>
          </cell>
          <cell r="M540">
            <v>15600</v>
          </cell>
          <cell r="N540">
            <v>5200</v>
          </cell>
          <cell r="O540">
            <v>15600</v>
          </cell>
          <cell r="P540">
            <v>5200</v>
          </cell>
          <cell r="Q540">
            <v>15600</v>
          </cell>
          <cell r="R540">
            <v>5200</v>
          </cell>
          <cell r="S540">
            <v>15600</v>
          </cell>
          <cell r="T540">
            <v>5200</v>
          </cell>
          <cell r="U540">
            <v>15600</v>
          </cell>
          <cell r="V540">
            <v>5200</v>
          </cell>
          <cell r="W540">
            <v>15600</v>
          </cell>
          <cell r="X540">
            <v>5200</v>
          </cell>
          <cell r="Y540">
            <v>15600</v>
          </cell>
          <cell r="Z540">
            <v>5200</v>
          </cell>
          <cell r="AA540">
            <v>0</v>
          </cell>
          <cell r="AB540">
            <v>0</v>
          </cell>
          <cell r="AC540">
            <v>0</v>
          </cell>
          <cell r="AD540">
            <v>0.61699999999999999</v>
          </cell>
          <cell r="AE540">
            <v>0</v>
          </cell>
          <cell r="AF540">
            <v>0</v>
          </cell>
          <cell r="AG540">
            <v>0</v>
          </cell>
          <cell r="AH540">
            <v>0</v>
          </cell>
          <cell r="AI540">
            <v>0</v>
          </cell>
          <cell r="AJ540">
            <v>0</v>
          </cell>
          <cell r="AK540">
            <v>0</v>
          </cell>
          <cell r="AL540" t="str">
            <v xml:space="preserve">     ↓</v>
          </cell>
        </row>
        <row r="541">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row>
        <row r="542">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row>
        <row r="543">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row>
        <row r="544">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row>
        <row r="545">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row>
        <row r="546">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row>
        <row r="548">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row>
        <row r="549">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row>
        <row r="550">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row>
        <row r="551">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row>
        <row r="552">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row>
        <row r="553">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row>
        <row r="554">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5">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row>
        <row r="556">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row>
        <row r="557">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row>
        <row r="558">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row>
        <row r="559">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row>
        <row r="560">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row>
        <row r="561">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row>
        <row r="562">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row>
        <row r="563">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row>
        <row r="564">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row>
        <row r="565">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row>
        <row r="566">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row>
        <row r="567">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row>
        <row r="568">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row>
        <row r="569">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row>
        <row r="570">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row>
        <row r="571">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row>
        <row r="572">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row>
        <row r="573">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row>
        <row r="574">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row>
        <row r="575">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row>
        <row r="576">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row>
        <row r="577">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row>
        <row r="578">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row>
        <row r="579">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row>
        <row r="580">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row>
        <row r="581">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row>
        <row r="582">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row>
        <row r="583">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row>
        <row r="584">
          <cell r="E584" t="str">
            <v>IV-1.0mm</v>
          </cell>
          <cell r="F584" t="str">
            <v>ｍ</v>
          </cell>
          <cell r="G584">
            <v>0</v>
          </cell>
          <cell r="H584">
            <v>11.4</v>
          </cell>
          <cell r="I584">
            <v>0</v>
          </cell>
          <cell r="J584">
            <v>11.4</v>
          </cell>
          <cell r="K584">
            <v>0</v>
          </cell>
          <cell r="L584">
            <v>12.3</v>
          </cell>
          <cell r="M584">
            <v>0</v>
          </cell>
          <cell r="N584">
            <v>11.7</v>
          </cell>
          <cell r="O584">
            <v>0</v>
          </cell>
          <cell r="P584">
            <v>11.5</v>
          </cell>
          <cell r="Q584">
            <v>0</v>
          </cell>
          <cell r="R584">
            <v>11.2</v>
          </cell>
          <cell r="S584">
            <v>0</v>
          </cell>
          <cell r="T584">
            <v>10.9</v>
          </cell>
          <cell r="U584">
            <v>0</v>
          </cell>
          <cell r="V584">
            <v>11.2</v>
          </cell>
          <cell r="W584">
            <v>0</v>
          </cell>
          <cell r="X584">
            <v>11.9</v>
          </cell>
          <cell r="Y584">
            <v>0</v>
          </cell>
          <cell r="Z584">
            <v>11.4</v>
          </cell>
          <cell r="AA584">
            <v>0</v>
          </cell>
          <cell r="AB584">
            <v>0</v>
          </cell>
          <cell r="AC584">
            <v>0</v>
          </cell>
          <cell r="AD584">
            <v>8.9999999999999993E-3</v>
          </cell>
          <cell r="AE584">
            <v>0</v>
          </cell>
          <cell r="AF584">
            <v>0</v>
          </cell>
          <cell r="AG584">
            <v>0</v>
          </cell>
          <cell r="AH584">
            <v>0</v>
          </cell>
          <cell r="AI584">
            <v>0</v>
          </cell>
          <cell r="AJ584">
            <v>0</v>
          </cell>
          <cell r="AK584">
            <v>0</v>
          </cell>
          <cell r="AL584">
            <v>0</v>
          </cell>
        </row>
        <row r="585">
          <cell r="E585" t="str">
            <v>IV-1.2mm</v>
          </cell>
          <cell r="F585" t="str">
            <v>ｍ</v>
          </cell>
          <cell r="G585">
            <v>0</v>
          </cell>
          <cell r="H585">
            <v>15.3</v>
          </cell>
          <cell r="I585">
            <v>0</v>
          </cell>
          <cell r="J585">
            <v>15.3</v>
          </cell>
          <cell r="K585">
            <v>0</v>
          </cell>
          <cell r="L585">
            <v>16.5</v>
          </cell>
          <cell r="M585">
            <v>0</v>
          </cell>
          <cell r="N585">
            <v>15.7</v>
          </cell>
          <cell r="O585">
            <v>0</v>
          </cell>
          <cell r="P585">
            <v>15.4</v>
          </cell>
          <cell r="Q585">
            <v>0</v>
          </cell>
          <cell r="R585">
            <v>15</v>
          </cell>
          <cell r="S585">
            <v>0</v>
          </cell>
          <cell r="T585">
            <v>14.6</v>
          </cell>
          <cell r="U585">
            <v>0</v>
          </cell>
          <cell r="V585">
            <v>15</v>
          </cell>
          <cell r="W585">
            <v>0</v>
          </cell>
          <cell r="X585">
            <v>14.6</v>
          </cell>
          <cell r="Y585">
            <v>0</v>
          </cell>
          <cell r="Z585">
            <v>15.3</v>
          </cell>
          <cell r="AA585">
            <v>0</v>
          </cell>
          <cell r="AB585">
            <v>0</v>
          </cell>
          <cell r="AC585">
            <v>0</v>
          </cell>
          <cell r="AD585">
            <v>0.01</v>
          </cell>
          <cell r="AE585">
            <v>0</v>
          </cell>
          <cell r="AF585">
            <v>0</v>
          </cell>
          <cell r="AG585">
            <v>0</v>
          </cell>
          <cell r="AH585">
            <v>0</v>
          </cell>
          <cell r="AI585">
            <v>0</v>
          </cell>
          <cell r="AJ585">
            <v>0</v>
          </cell>
          <cell r="AK585">
            <v>0</v>
          </cell>
          <cell r="AL585">
            <v>0</v>
          </cell>
        </row>
        <row r="586">
          <cell r="E586" t="str">
            <v>IV-1.6mm</v>
          </cell>
          <cell r="F586" t="str">
            <v>ｍ</v>
          </cell>
          <cell r="G586">
            <v>0</v>
          </cell>
          <cell r="H586">
            <v>25.2</v>
          </cell>
          <cell r="I586">
            <v>0</v>
          </cell>
          <cell r="J586">
            <v>25.2</v>
          </cell>
          <cell r="K586">
            <v>0</v>
          </cell>
          <cell r="L586">
            <v>27.1</v>
          </cell>
          <cell r="M586">
            <v>0</v>
          </cell>
          <cell r="N586">
            <v>25.9</v>
          </cell>
          <cell r="O586">
            <v>0</v>
          </cell>
          <cell r="P586">
            <v>25.3</v>
          </cell>
          <cell r="Q586">
            <v>0</v>
          </cell>
          <cell r="R586">
            <v>24.8</v>
          </cell>
          <cell r="S586">
            <v>0</v>
          </cell>
          <cell r="T586">
            <v>24</v>
          </cell>
          <cell r="U586">
            <v>0</v>
          </cell>
          <cell r="V586">
            <v>24.8</v>
          </cell>
          <cell r="W586">
            <v>0</v>
          </cell>
          <cell r="X586">
            <v>24</v>
          </cell>
          <cell r="Y586">
            <v>0</v>
          </cell>
          <cell r="Z586">
            <v>25.2</v>
          </cell>
          <cell r="AA586">
            <v>0</v>
          </cell>
          <cell r="AB586">
            <v>0</v>
          </cell>
          <cell r="AC586">
            <v>0</v>
          </cell>
          <cell r="AD586">
            <v>0.01</v>
          </cell>
          <cell r="AE586">
            <v>0</v>
          </cell>
          <cell r="AF586">
            <v>0</v>
          </cell>
          <cell r="AG586">
            <v>0</v>
          </cell>
          <cell r="AH586">
            <v>0</v>
          </cell>
          <cell r="AI586">
            <v>0</v>
          </cell>
          <cell r="AJ586">
            <v>0</v>
          </cell>
          <cell r="AK586">
            <v>0</v>
          </cell>
          <cell r="AL586">
            <v>0</v>
          </cell>
        </row>
        <row r="587">
          <cell r="E587" t="str">
            <v>IV-2.0mm</v>
          </cell>
          <cell r="F587" t="str">
            <v>ｍ</v>
          </cell>
          <cell r="G587">
            <v>0</v>
          </cell>
          <cell r="H587">
            <v>37.4</v>
          </cell>
          <cell r="I587">
            <v>0</v>
          </cell>
          <cell r="J587">
            <v>37.4</v>
          </cell>
          <cell r="K587">
            <v>0</v>
          </cell>
          <cell r="L587">
            <v>40.299999999999997</v>
          </cell>
          <cell r="M587">
            <v>0</v>
          </cell>
          <cell r="N587">
            <v>38.6</v>
          </cell>
          <cell r="O587">
            <v>0</v>
          </cell>
          <cell r="P587">
            <v>37.700000000000003</v>
          </cell>
          <cell r="Q587">
            <v>0</v>
          </cell>
          <cell r="R587">
            <v>36.9</v>
          </cell>
          <cell r="S587">
            <v>0</v>
          </cell>
          <cell r="T587">
            <v>35.700000000000003</v>
          </cell>
          <cell r="U587">
            <v>0</v>
          </cell>
          <cell r="V587">
            <v>36.9</v>
          </cell>
          <cell r="W587">
            <v>0</v>
          </cell>
          <cell r="X587">
            <v>35.700000000000003</v>
          </cell>
          <cell r="Y587">
            <v>0</v>
          </cell>
          <cell r="Z587">
            <v>37.4</v>
          </cell>
          <cell r="AA587">
            <v>0</v>
          </cell>
          <cell r="AB587">
            <v>0</v>
          </cell>
          <cell r="AC587">
            <v>0</v>
          </cell>
          <cell r="AD587">
            <v>1.0999999999999999E-2</v>
          </cell>
          <cell r="AE587">
            <v>0</v>
          </cell>
          <cell r="AF587">
            <v>0</v>
          </cell>
          <cell r="AG587">
            <v>0</v>
          </cell>
          <cell r="AH587">
            <v>0</v>
          </cell>
          <cell r="AI587">
            <v>0</v>
          </cell>
          <cell r="AJ587">
            <v>0</v>
          </cell>
          <cell r="AK587">
            <v>0</v>
          </cell>
          <cell r="AL587">
            <v>0</v>
          </cell>
        </row>
        <row r="588">
          <cell r="E588" t="str">
            <v>IV-2.6mm</v>
          </cell>
          <cell r="F588" t="str">
            <v>ｍ</v>
          </cell>
          <cell r="G588">
            <v>0</v>
          </cell>
          <cell r="H588">
            <v>59.6</v>
          </cell>
          <cell r="I588">
            <v>0</v>
          </cell>
          <cell r="J588">
            <v>59.6</v>
          </cell>
          <cell r="K588">
            <v>0</v>
          </cell>
          <cell r="L588">
            <v>64.2</v>
          </cell>
          <cell r="M588">
            <v>0</v>
          </cell>
          <cell r="N588">
            <v>61.4</v>
          </cell>
          <cell r="O588">
            <v>0</v>
          </cell>
          <cell r="P588">
            <v>60.1</v>
          </cell>
          <cell r="Q588">
            <v>0</v>
          </cell>
          <cell r="R588">
            <v>58.7</v>
          </cell>
          <cell r="S588">
            <v>0</v>
          </cell>
          <cell r="T588">
            <v>56.9</v>
          </cell>
          <cell r="U588">
            <v>0</v>
          </cell>
          <cell r="V588">
            <v>58.7</v>
          </cell>
          <cell r="W588">
            <v>0</v>
          </cell>
          <cell r="X588">
            <v>56.9</v>
          </cell>
          <cell r="Y588">
            <v>0</v>
          </cell>
          <cell r="Z588">
            <v>59.6</v>
          </cell>
          <cell r="AA588">
            <v>0</v>
          </cell>
          <cell r="AB588">
            <v>0</v>
          </cell>
          <cell r="AC588">
            <v>0</v>
          </cell>
          <cell r="AD588">
            <v>1.4E-2</v>
          </cell>
          <cell r="AE588">
            <v>0</v>
          </cell>
          <cell r="AF588">
            <v>0</v>
          </cell>
          <cell r="AG588">
            <v>0</v>
          </cell>
          <cell r="AH588">
            <v>0</v>
          </cell>
          <cell r="AI588">
            <v>0</v>
          </cell>
          <cell r="AJ588">
            <v>0</v>
          </cell>
          <cell r="AK588">
            <v>0</v>
          </cell>
          <cell r="AL588">
            <v>0</v>
          </cell>
        </row>
        <row r="589">
          <cell r="E589" t="str">
            <v>IV-3.2mm</v>
          </cell>
          <cell r="F589" t="str">
            <v>ｍ</v>
          </cell>
          <cell r="G589">
            <v>0</v>
          </cell>
          <cell r="H589">
            <v>88.4</v>
          </cell>
          <cell r="I589">
            <v>0</v>
          </cell>
          <cell r="J589">
            <v>88.4</v>
          </cell>
          <cell r="K589">
            <v>0</v>
          </cell>
          <cell r="L589">
            <v>95.2</v>
          </cell>
          <cell r="M589">
            <v>0</v>
          </cell>
          <cell r="N589">
            <v>91.1</v>
          </cell>
          <cell r="O589">
            <v>0</v>
          </cell>
          <cell r="P589">
            <v>89.1</v>
          </cell>
          <cell r="Q589">
            <v>0</v>
          </cell>
          <cell r="R589">
            <v>87</v>
          </cell>
          <cell r="S589">
            <v>0</v>
          </cell>
          <cell r="T589">
            <v>84.3</v>
          </cell>
          <cell r="U589">
            <v>0</v>
          </cell>
          <cell r="V589">
            <v>87</v>
          </cell>
          <cell r="W589">
            <v>0</v>
          </cell>
          <cell r="X589">
            <v>84.3</v>
          </cell>
          <cell r="Y589">
            <v>0</v>
          </cell>
          <cell r="Z589">
            <v>88.4</v>
          </cell>
          <cell r="AA589">
            <v>0</v>
          </cell>
          <cell r="AB589">
            <v>0</v>
          </cell>
          <cell r="AC589">
            <v>0</v>
          </cell>
          <cell r="AD589">
            <v>1.6E-2</v>
          </cell>
          <cell r="AE589">
            <v>0</v>
          </cell>
          <cell r="AF589">
            <v>0</v>
          </cell>
          <cell r="AG589">
            <v>0</v>
          </cell>
          <cell r="AH589">
            <v>0</v>
          </cell>
          <cell r="AI589">
            <v>0</v>
          </cell>
          <cell r="AJ589">
            <v>0</v>
          </cell>
          <cell r="AK589">
            <v>0</v>
          </cell>
          <cell r="AL589">
            <v>0</v>
          </cell>
        </row>
        <row r="590">
          <cell r="E590" t="str">
            <v>IV-4.0mm</v>
          </cell>
          <cell r="F590" t="str">
            <v>ｍ</v>
          </cell>
          <cell r="G590">
            <v>0</v>
          </cell>
          <cell r="H590">
            <v>137</v>
          </cell>
          <cell r="I590">
            <v>0</v>
          </cell>
          <cell r="J590">
            <v>137</v>
          </cell>
          <cell r="K590">
            <v>0</v>
          </cell>
          <cell r="L590">
            <v>148</v>
          </cell>
          <cell r="M590">
            <v>0</v>
          </cell>
          <cell r="N590">
            <v>141</v>
          </cell>
          <cell r="O590">
            <v>0</v>
          </cell>
          <cell r="P590">
            <v>138</v>
          </cell>
          <cell r="Q590">
            <v>0</v>
          </cell>
          <cell r="R590">
            <v>135</v>
          </cell>
          <cell r="S590">
            <v>0</v>
          </cell>
          <cell r="T590">
            <v>131</v>
          </cell>
          <cell r="U590">
            <v>0</v>
          </cell>
          <cell r="V590">
            <v>135</v>
          </cell>
          <cell r="W590">
            <v>0</v>
          </cell>
          <cell r="X590">
            <v>131</v>
          </cell>
          <cell r="Y590">
            <v>0</v>
          </cell>
          <cell r="Z590">
            <v>137</v>
          </cell>
          <cell r="AA590">
            <v>0</v>
          </cell>
          <cell r="AB590">
            <v>0</v>
          </cell>
          <cell r="AC590">
            <v>0</v>
          </cell>
          <cell r="AD590">
            <v>0.02</v>
          </cell>
          <cell r="AE590">
            <v>0</v>
          </cell>
          <cell r="AF590">
            <v>0</v>
          </cell>
          <cell r="AG590">
            <v>0</v>
          </cell>
          <cell r="AH590">
            <v>0</v>
          </cell>
          <cell r="AI590">
            <v>0</v>
          </cell>
          <cell r="AJ590">
            <v>0</v>
          </cell>
          <cell r="AK590">
            <v>0</v>
          </cell>
          <cell r="AL590">
            <v>0</v>
          </cell>
        </row>
        <row r="591">
          <cell r="E591" t="str">
            <v>IV-5.0mm</v>
          </cell>
          <cell r="F591" t="str">
            <v>ｍ</v>
          </cell>
          <cell r="G591">
            <v>0</v>
          </cell>
          <cell r="H591">
            <v>211</v>
          </cell>
          <cell r="I591">
            <v>0</v>
          </cell>
          <cell r="J591">
            <v>211</v>
          </cell>
          <cell r="K591">
            <v>0</v>
          </cell>
          <cell r="L591">
            <v>228</v>
          </cell>
          <cell r="M591">
            <v>0</v>
          </cell>
          <cell r="N591">
            <v>218</v>
          </cell>
          <cell r="O591">
            <v>0</v>
          </cell>
          <cell r="P591">
            <v>213</v>
          </cell>
          <cell r="Q591">
            <v>0</v>
          </cell>
          <cell r="R591">
            <v>208</v>
          </cell>
          <cell r="S591">
            <v>0</v>
          </cell>
          <cell r="T591">
            <v>202</v>
          </cell>
          <cell r="U591">
            <v>0</v>
          </cell>
          <cell r="V591">
            <v>208</v>
          </cell>
          <cell r="W591">
            <v>0</v>
          </cell>
          <cell r="X591">
            <v>202</v>
          </cell>
          <cell r="Y591">
            <v>0</v>
          </cell>
          <cell r="Z591">
            <v>211</v>
          </cell>
          <cell r="AA591">
            <v>0</v>
          </cell>
          <cell r="AB591">
            <v>0</v>
          </cell>
          <cell r="AC591">
            <v>0</v>
          </cell>
          <cell r="AD591">
            <v>2.4E-2</v>
          </cell>
          <cell r="AE591">
            <v>0</v>
          </cell>
          <cell r="AF591">
            <v>0</v>
          </cell>
          <cell r="AG591">
            <v>0</v>
          </cell>
          <cell r="AH591">
            <v>0</v>
          </cell>
          <cell r="AI591">
            <v>0</v>
          </cell>
          <cell r="AJ591">
            <v>0</v>
          </cell>
          <cell r="AK591">
            <v>0</v>
          </cell>
          <cell r="AL591">
            <v>0</v>
          </cell>
        </row>
        <row r="592">
          <cell r="E592" t="str">
            <v>IV-0.9sq</v>
          </cell>
          <cell r="F592" t="str">
            <v>ｍ</v>
          </cell>
          <cell r="G592">
            <v>0</v>
          </cell>
          <cell r="H592">
            <v>15.1</v>
          </cell>
          <cell r="I592">
            <v>0</v>
          </cell>
          <cell r="J592">
            <v>15.1</v>
          </cell>
          <cell r="K592">
            <v>0</v>
          </cell>
          <cell r="L592">
            <v>16.2</v>
          </cell>
          <cell r="M592">
            <v>0</v>
          </cell>
          <cell r="N592">
            <v>15.5</v>
          </cell>
          <cell r="O592">
            <v>0</v>
          </cell>
          <cell r="P592">
            <v>15.2</v>
          </cell>
          <cell r="Q592">
            <v>0</v>
          </cell>
          <cell r="R592">
            <v>14.8</v>
          </cell>
          <cell r="S592">
            <v>0</v>
          </cell>
          <cell r="T592">
            <v>14.4</v>
          </cell>
          <cell r="U592">
            <v>0</v>
          </cell>
          <cell r="V592">
            <v>14.8</v>
          </cell>
          <cell r="W592">
            <v>0</v>
          </cell>
          <cell r="X592">
            <v>14.4</v>
          </cell>
          <cell r="Y592">
            <v>0</v>
          </cell>
          <cell r="Z592">
            <v>15.1</v>
          </cell>
          <cell r="AA592">
            <v>0</v>
          </cell>
          <cell r="AB592">
            <v>0</v>
          </cell>
          <cell r="AC592">
            <v>0</v>
          </cell>
          <cell r="AD592">
            <v>8.9999999999999993E-3</v>
          </cell>
          <cell r="AE592">
            <v>0</v>
          </cell>
          <cell r="AF592">
            <v>0</v>
          </cell>
          <cell r="AG592">
            <v>0</v>
          </cell>
          <cell r="AH592">
            <v>0</v>
          </cell>
          <cell r="AI592">
            <v>0</v>
          </cell>
          <cell r="AJ592">
            <v>0</v>
          </cell>
          <cell r="AK592">
            <v>0</v>
          </cell>
          <cell r="AL592">
            <v>0</v>
          </cell>
        </row>
        <row r="593">
          <cell r="E593" t="str">
            <v>IV-1.25sq</v>
          </cell>
          <cell r="F593" t="str">
            <v>ｍ</v>
          </cell>
          <cell r="G593">
            <v>0</v>
          </cell>
          <cell r="H593">
            <v>18.100000000000001</v>
          </cell>
          <cell r="I593">
            <v>0</v>
          </cell>
          <cell r="J593">
            <v>18.100000000000001</v>
          </cell>
          <cell r="K593">
            <v>0</v>
          </cell>
          <cell r="L593">
            <v>19.5</v>
          </cell>
          <cell r="M593">
            <v>0</v>
          </cell>
          <cell r="N593">
            <v>18.600000000000001</v>
          </cell>
          <cell r="O593">
            <v>0</v>
          </cell>
          <cell r="P593">
            <v>18.2</v>
          </cell>
          <cell r="Q593">
            <v>0</v>
          </cell>
          <cell r="R593">
            <v>17.8</v>
          </cell>
          <cell r="S593">
            <v>0</v>
          </cell>
          <cell r="T593">
            <v>17.2</v>
          </cell>
          <cell r="U593">
            <v>0</v>
          </cell>
          <cell r="V593">
            <v>17.8</v>
          </cell>
          <cell r="W593">
            <v>0</v>
          </cell>
          <cell r="X593">
            <v>17.2</v>
          </cell>
          <cell r="Y593">
            <v>0</v>
          </cell>
          <cell r="Z593">
            <v>18.100000000000001</v>
          </cell>
          <cell r="AA593">
            <v>0</v>
          </cell>
          <cell r="AB593">
            <v>0</v>
          </cell>
          <cell r="AC593">
            <v>0</v>
          </cell>
          <cell r="AD593">
            <v>8.9999999999999993E-3</v>
          </cell>
          <cell r="AE593">
            <v>0</v>
          </cell>
          <cell r="AF593">
            <v>0</v>
          </cell>
          <cell r="AG593">
            <v>0</v>
          </cell>
          <cell r="AH593">
            <v>0</v>
          </cell>
          <cell r="AI593">
            <v>0</v>
          </cell>
          <cell r="AJ593">
            <v>0</v>
          </cell>
          <cell r="AK593">
            <v>0</v>
          </cell>
          <cell r="AL593">
            <v>0</v>
          </cell>
        </row>
        <row r="594">
          <cell r="E594" t="str">
            <v>IV-2.0sq</v>
          </cell>
          <cell r="F594" t="str">
            <v>ｍ</v>
          </cell>
          <cell r="G594">
            <v>0</v>
          </cell>
          <cell r="H594">
            <v>27.6</v>
          </cell>
          <cell r="I594">
            <v>0</v>
          </cell>
          <cell r="J594">
            <v>27.6</v>
          </cell>
          <cell r="K594">
            <v>0</v>
          </cell>
          <cell r="L594">
            <v>29.7</v>
          </cell>
          <cell r="M594">
            <v>0</v>
          </cell>
          <cell r="N594">
            <v>28.4</v>
          </cell>
          <cell r="O594">
            <v>0</v>
          </cell>
          <cell r="P594">
            <v>27.8</v>
          </cell>
          <cell r="Q594">
            <v>0</v>
          </cell>
          <cell r="R594">
            <v>27.1</v>
          </cell>
          <cell r="S594">
            <v>0</v>
          </cell>
          <cell r="T594">
            <v>26.3</v>
          </cell>
          <cell r="U594">
            <v>0</v>
          </cell>
          <cell r="V594">
            <v>27.1</v>
          </cell>
          <cell r="W594">
            <v>0</v>
          </cell>
          <cell r="X594">
            <v>26.3</v>
          </cell>
          <cell r="Y594">
            <v>0</v>
          </cell>
          <cell r="Z594">
            <v>27.6</v>
          </cell>
          <cell r="AA594">
            <v>0</v>
          </cell>
          <cell r="AB594">
            <v>0</v>
          </cell>
          <cell r="AC594">
            <v>0</v>
          </cell>
          <cell r="AD594">
            <v>0.01</v>
          </cell>
          <cell r="AE594">
            <v>0</v>
          </cell>
          <cell r="AF594">
            <v>0</v>
          </cell>
          <cell r="AG594">
            <v>0</v>
          </cell>
          <cell r="AH594">
            <v>0</v>
          </cell>
          <cell r="AI594">
            <v>0</v>
          </cell>
          <cell r="AJ594">
            <v>0</v>
          </cell>
          <cell r="AK594">
            <v>0</v>
          </cell>
          <cell r="AL594">
            <v>0</v>
          </cell>
        </row>
        <row r="595">
          <cell r="E595" t="str">
            <v>IV-3.5sq</v>
          </cell>
          <cell r="F595" t="str">
            <v>ｍ</v>
          </cell>
          <cell r="G595">
            <v>0</v>
          </cell>
          <cell r="H595">
            <v>44.5</v>
          </cell>
          <cell r="I595">
            <v>0</v>
          </cell>
          <cell r="J595">
            <v>44.5</v>
          </cell>
          <cell r="K595">
            <v>0</v>
          </cell>
          <cell r="L595">
            <v>48</v>
          </cell>
          <cell r="M595">
            <v>0</v>
          </cell>
          <cell r="N595">
            <v>45.9</v>
          </cell>
          <cell r="O595">
            <v>0</v>
          </cell>
          <cell r="P595">
            <v>44.9</v>
          </cell>
          <cell r="Q595">
            <v>0</v>
          </cell>
          <cell r="R595">
            <v>43.8</v>
          </cell>
          <cell r="S595">
            <v>0</v>
          </cell>
          <cell r="T595">
            <v>42.5</v>
          </cell>
          <cell r="U595">
            <v>0</v>
          </cell>
          <cell r="V595">
            <v>43.8</v>
          </cell>
          <cell r="W595">
            <v>0</v>
          </cell>
          <cell r="X595">
            <v>42.5</v>
          </cell>
          <cell r="Y595">
            <v>0</v>
          </cell>
          <cell r="Z595">
            <v>44.5</v>
          </cell>
          <cell r="AA595">
            <v>0</v>
          </cell>
          <cell r="AB595">
            <v>0</v>
          </cell>
          <cell r="AC595">
            <v>0</v>
          </cell>
          <cell r="AD595">
            <v>1.0999999999999999E-2</v>
          </cell>
          <cell r="AE595">
            <v>0</v>
          </cell>
          <cell r="AF595">
            <v>0</v>
          </cell>
          <cell r="AG595">
            <v>0</v>
          </cell>
          <cell r="AH595">
            <v>0</v>
          </cell>
          <cell r="AI595">
            <v>0</v>
          </cell>
          <cell r="AJ595">
            <v>0</v>
          </cell>
          <cell r="AK595">
            <v>0</v>
          </cell>
          <cell r="AL595">
            <v>0</v>
          </cell>
        </row>
        <row r="596">
          <cell r="E596" t="str">
            <v>IV-5.5sq</v>
          </cell>
          <cell r="F596" t="str">
            <v>ｍ</v>
          </cell>
          <cell r="G596">
            <v>0</v>
          </cell>
          <cell r="H596">
            <v>68.3</v>
          </cell>
          <cell r="I596">
            <v>0</v>
          </cell>
          <cell r="J596">
            <v>68.3</v>
          </cell>
          <cell r="K596">
            <v>0</v>
          </cell>
          <cell r="L596">
            <v>73.5</v>
          </cell>
          <cell r="M596">
            <v>0</v>
          </cell>
          <cell r="N596">
            <v>70.400000000000006</v>
          </cell>
          <cell r="O596">
            <v>0</v>
          </cell>
          <cell r="P596">
            <v>68.8</v>
          </cell>
          <cell r="Q596">
            <v>0</v>
          </cell>
          <cell r="R596">
            <v>67.2</v>
          </cell>
          <cell r="S596">
            <v>0</v>
          </cell>
          <cell r="T596">
            <v>65.099999999999994</v>
          </cell>
          <cell r="U596">
            <v>0</v>
          </cell>
          <cell r="V596">
            <v>67.2</v>
          </cell>
          <cell r="W596">
            <v>0</v>
          </cell>
          <cell r="X596">
            <v>65.099999999999994</v>
          </cell>
          <cell r="Y596">
            <v>0</v>
          </cell>
          <cell r="Z596">
            <v>68.3</v>
          </cell>
          <cell r="AA596">
            <v>0</v>
          </cell>
          <cell r="AB596">
            <v>0</v>
          </cell>
          <cell r="AC596">
            <v>0</v>
          </cell>
          <cell r="AD596">
            <v>1.4E-2</v>
          </cell>
          <cell r="AE596">
            <v>0</v>
          </cell>
          <cell r="AF596">
            <v>0</v>
          </cell>
          <cell r="AG596">
            <v>0</v>
          </cell>
          <cell r="AH596">
            <v>0</v>
          </cell>
          <cell r="AI596">
            <v>0</v>
          </cell>
          <cell r="AJ596">
            <v>0</v>
          </cell>
          <cell r="AK596">
            <v>0</v>
          </cell>
          <cell r="AL596">
            <v>0</v>
          </cell>
        </row>
        <row r="597">
          <cell r="E597" t="str">
            <v>IV-8sq</v>
          </cell>
          <cell r="F597" t="str">
            <v>ｍ</v>
          </cell>
          <cell r="G597">
            <v>0</v>
          </cell>
          <cell r="H597">
            <v>96.9</v>
          </cell>
          <cell r="I597">
            <v>0</v>
          </cell>
          <cell r="J597">
            <v>96.9</v>
          </cell>
          <cell r="K597">
            <v>0</v>
          </cell>
          <cell r="L597">
            <v>104</v>
          </cell>
          <cell r="M597">
            <v>0</v>
          </cell>
          <cell r="N597">
            <v>99.8</v>
          </cell>
          <cell r="O597">
            <v>0</v>
          </cell>
          <cell r="P597">
            <v>97.6</v>
          </cell>
          <cell r="Q597">
            <v>0</v>
          </cell>
          <cell r="R597">
            <v>95.4</v>
          </cell>
          <cell r="S597">
            <v>0</v>
          </cell>
          <cell r="T597">
            <v>92.4</v>
          </cell>
          <cell r="U597">
            <v>0</v>
          </cell>
          <cell r="V597">
            <v>95.4</v>
          </cell>
          <cell r="W597">
            <v>0</v>
          </cell>
          <cell r="X597">
            <v>92.4</v>
          </cell>
          <cell r="Y597">
            <v>0</v>
          </cell>
          <cell r="Z597">
            <v>96.9</v>
          </cell>
          <cell r="AA597">
            <v>0</v>
          </cell>
          <cell r="AB597">
            <v>0</v>
          </cell>
          <cell r="AC597">
            <v>0</v>
          </cell>
          <cell r="AD597">
            <v>1.6E-2</v>
          </cell>
          <cell r="AE597">
            <v>0</v>
          </cell>
          <cell r="AF597">
            <v>0</v>
          </cell>
          <cell r="AG597">
            <v>0</v>
          </cell>
          <cell r="AH597">
            <v>0</v>
          </cell>
          <cell r="AI597">
            <v>0</v>
          </cell>
          <cell r="AJ597">
            <v>0</v>
          </cell>
          <cell r="AK597">
            <v>0</v>
          </cell>
          <cell r="AL597">
            <v>0</v>
          </cell>
        </row>
        <row r="598">
          <cell r="E598" t="str">
            <v>IV-14sq</v>
          </cell>
          <cell r="F598" t="str">
            <v>ｍ</v>
          </cell>
          <cell r="G598">
            <v>0</v>
          </cell>
          <cell r="H598">
            <v>170</v>
          </cell>
          <cell r="I598">
            <v>0</v>
          </cell>
          <cell r="J598">
            <v>170</v>
          </cell>
          <cell r="K598">
            <v>0</v>
          </cell>
          <cell r="L598">
            <v>183</v>
          </cell>
          <cell r="M598">
            <v>0</v>
          </cell>
          <cell r="N598">
            <v>175</v>
          </cell>
          <cell r="O598">
            <v>0</v>
          </cell>
          <cell r="P598">
            <v>171</v>
          </cell>
          <cell r="Q598">
            <v>0</v>
          </cell>
          <cell r="R598">
            <v>167</v>
          </cell>
          <cell r="S598">
            <v>0</v>
          </cell>
          <cell r="T598">
            <v>162</v>
          </cell>
          <cell r="U598">
            <v>0</v>
          </cell>
          <cell r="V598">
            <v>167</v>
          </cell>
          <cell r="W598">
            <v>0</v>
          </cell>
          <cell r="X598">
            <v>162</v>
          </cell>
          <cell r="Y598">
            <v>0</v>
          </cell>
          <cell r="Z598">
            <v>170</v>
          </cell>
          <cell r="AA598">
            <v>0</v>
          </cell>
          <cell r="AB598">
            <v>0</v>
          </cell>
          <cell r="AC598">
            <v>0</v>
          </cell>
          <cell r="AD598">
            <v>0.02</v>
          </cell>
          <cell r="AE598">
            <v>0</v>
          </cell>
          <cell r="AF598">
            <v>0</v>
          </cell>
          <cell r="AG598">
            <v>0</v>
          </cell>
          <cell r="AH598">
            <v>0</v>
          </cell>
          <cell r="AI598">
            <v>0</v>
          </cell>
          <cell r="AJ598">
            <v>0</v>
          </cell>
          <cell r="AK598">
            <v>0</v>
          </cell>
          <cell r="AL598">
            <v>0</v>
          </cell>
        </row>
        <row r="599">
          <cell r="E599" t="str">
            <v>IV-22sq</v>
          </cell>
          <cell r="F599" t="str">
            <v>ｍ</v>
          </cell>
          <cell r="G599">
            <v>0</v>
          </cell>
          <cell r="H599">
            <v>259</v>
          </cell>
          <cell r="I599">
            <v>0</v>
          </cell>
          <cell r="J599">
            <v>259</v>
          </cell>
          <cell r="K599">
            <v>0</v>
          </cell>
          <cell r="L599">
            <v>279</v>
          </cell>
          <cell r="M599">
            <v>0</v>
          </cell>
          <cell r="N599">
            <v>267</v>
          </cell>
          <cell r="O599">
            <v>0</v>
          </cell>
          <cell r="P599">
            <v>261</v>
          </cell>
          <cell r="Q599">
            <v>0</v>
          </cell>
          <cell r="R599">
            <v>255</v>
          </cell>
          <cell r="S599">
            <v>0</v>
          </cell>
          <cell r="T599">
            <v>247</v>
          </cell>
          <cell r="U599">
            <v>0</v>
          </cell>
          <cell r="V599">
            <v>255</v>
          </cell>
          <cell r="W599">
            <v>0</v>
          </cell>
          <cell r="X599">
            <v>247</v>
          </cell>
          <cell r="Y599">
            <v>0</v>
          </cell>
          <cell r="Z599">
            <v>259</v>
          </cell>
          <cell r="AA599">
            <v>0</v>
          </cell>
          <cell r="AB599">
            <v>0</v>
          </cell>
          <cell r="AC599">
            <v>0</v>
          </cell>
          <cell r="AD599">
            <v>2.4E-2</v>
          </cell>
          <cell r="AE599">
            <v>0</v>
          </cell>
          <cell r="AF599">
            <v>0</v>
          </cell>
          <cell r="AG599">
            <v>0</v>
          </cell>
          <cell r="AH599">
            <v>0</v>
          </cell>
          <cell r="AI599">
            <v>0</v>
          </cell>
          <cell r="AJ599">
            <v>0</v>
          </cell>
          <cell r="AK599">
            <v>0</v>
          </cell>
          <cell r="AL599">
            <v>0</v>
          </cell>
        </row>
        <row r="600">
          <cell r="E600" t="str">
            <v>IV-38sq</v>
          </cell>
          <cell r="F600" t="str">
            <v>ｍ</v>
          </cell>
          <cell r="G600">
            <v>0</v>
          </cell>
          <cell r="H600">
            <v>430</v>
          </cell>
          <cell r="I600">
            <v>0</v>
          </cell>
          <cell r="J600">
            <v>430</v>
          </cell>
          <cell r="K600">
            <v>0</v>
          </cell>
          <cell r="L600">
            <v>463</v>
          </cell>
          <cell r="M600">
            <v>0</v>
          </cell>
          <cell r="N600">
            <v>443</v>
          </cell>
          <cell r="O600">
            <v>0</v>
          </cell>
          <cell r="P600">
            <v>433</v>
          </cell>
          <cell r="Q600">
            <v>0</v>
          </cell>
          <cell r="R600">
            <v>423</v>
          </cell>
          <cell r="S600">
            <v>0</v>
          </cell>
          <cell r="T600">
            <v>410</v>
          </cell>
          <cell r="U600">
            <v>0</v>
          </cell>
          <cell r="V600">
            <v>423</v>
          </cell>
          <cell r="W600">
            <v>0</v>
          </cell>
          <cell r="X600">
            <v>410</v>
          </cell>
          <cell r="Y600">
            <v>0</v>
          </cell>
          <cell r="Z600">
            <v>430</v>
          </cell>
          <cell r="AA600">
            <v>0</v>
          </cell>
          <cell r="AB600">
            <v>0</v>
          </cell>
          <cell r="AC600">
            <v>0</v>
          </cell>
          <cell r="AD600">
            <v>3.2000000000000001E-2</v>
          </cell>
          <cell r="AE600">
            <v>0</v>
          </cell>
          <cell r="AF600">
            <v>0</v>
          </cell>
          <cell r="AG600">
            <v>0</v>
          </cell>
          <cell r="AH600">
            <v>0</v>
          </cell>
          <cell r="AI600">
            <v>0</v>
          </cell>
          <cell r="AJ600">
            <v>0</v>
          </cell>
          <cell r="AK600">
            <v>0</v>
          </cell>
          <cell r="AL600">
            <v>0</v>
          </cell>
        </row>
        <row r="601">
          <cell r="E601" t="str">
            <v>IV-60sq</v>
          </cell>
          <cell r="F601" t="str">
            <v>ｍ</v>
          </cell>
          <cell r="G601">
            <v>0</v>
          </cell>
          <cell r="H601">
            <v>675</v>
          </cell>
          <cell r="I601">
            <v>0</v>
          </cell>
          <cell r="J601">
            <v>675</v>
          </cell>
          <cell r="K601">
            <v>0</v>
          </cell>
          <cell r="L601">
            <v>727</v>
          </cell>
          <cell r="M601">
            <v>0</v>
          </cell>
          <cell r="N601">
            <v>695</v>
          </cell>
          <cell r="O601">
            <v>0</v>
          </cell>
          <cell r="P601">
            <v>680</v>
          </cell>
          <cell r="Q601">
            <v>0</v>
          </cell>
          <cell r="R601">
            <v>664</v>
          </cell>
          <cell r="S601">
            <v>0</v>
          </cell>
          <cell r="T601">
            <v>644</v>
          </cell>
          <cell r="U601">
            <v>0</v>
          </cell>
          <cell r="V601">
            <v>664</v>
          </cell>
          <cell r="W601">
            <v>0</v>
          </cell>
          <cell r="X601">
            <v>644</v>
          </cell>
          <cell r="Y601">
            <v>0</v>
          </cell>
          <cell r="Z601">
            <v>675</v>
          </cell>
          <cell r="AA601">
            <v>0</v>
          </cell>
          <cell r="AB601">
            <v>0</v>
          </cell>
          <cell r="AC601">
            <v>0</v>
          </cell>
          <cell r="AD601">
            <v>4.2000000000000003E-2</v>
          </cell>
          <cell r="AE601">
            <v>0</v>
          </cell>
          <cell r="AF601">
            <v>0</v>
          </cell>
          <cell r="AG601">
            <v>0</v>
          </cell>
          <cell r="AH601">
            <v>0</v>
          </cell>
          <cell r="AI601">
            <v>0</v>
          </cell>
          <cell r="AJ601">
            <v>0</v>
          </cell>
          <cell r="AK601">
            <v>0</v>
          </cell>
          <cell r="AL601">
            <v>0</v>
          </cell>
        </row>
        <row r="602">
          <cell r="E602" t="str">
            <v>IV-100sq</v>
          </cell>
          <cell r="F602" t="str">
            <v>ｍ</v>
          </cell>
          <cell r="G602">
            <v>0</v>
          </cell>
          <cell r="H602">
            <v>1123</v>
          </cell>
          <cell r="I602">
            <v>0</v>
          </cell>
          <cell r="J602">
            <v>1123</v>
          </cell>
          <cell r="K602">
            <v>0</v>
          </cell>
          <cell r="L602">
            <v>1210</v>
          </cell>
          <cell r="M602">
            <v>0</v>
          </cell>
          <cell r="N602">
            <v>1158</v>
          </cell>
          <cell r="O602">
            <v>0</v>
          </cell>
          <cell r="P602">
            <v>1132</v>
          </cell>
          <cell r="Q602">
            <v>0</v>
          </cell>
          <cell r="R602">
            <v>1106</v>
          </cell>
          <cell r="S602">
            <v>0</v>
          </cell>
          <cell r="T602">
            <v>1071</v>
          </cell>
          <cell r="U602">
            <v>0</v>
          </cell>
          <cell r="V602">
            <v>1106</v>
          </cell>
          <cell r="W602">
            <v>0</v>
          </cell>
          <cell r="X602">
            <v>1071</v>
          </cell>
          <cell r="Y602">
            <v>0</v>
          </cell>
          <cell r="Z602">
            <v>1123</v>
          </cell>
          <cell r="AA602">
            <v>0</v>
          </cell>
          <cell r="AB602">
            <v>0</v>
          </cell>
          <cell r="AC602">
            <v>0</v>
          </cell>
          <cell r="AD602">
            <v>5.6000000000000001E-2</v>
          </cell>
          <cell r="AE602">
            <v>0</v>
          </cell>
          <cell r="AF602">
            <v>0</v>
          </cell>
          <cell r="AG602">
            <v>0</v>
          </cell>
          <cell r="AH602">
            <v>0</v>
          </cell>
          <cell r="AI602">
            <v>0</v>
          </cell>
          <cell r="AJ602">
            <v>0</v>
          </cell>
          <cell r="AK602">
            <v>0</v>
          </cell>
          <cell r="AL602">
            <v>0</v>
          </cell>
        </row>
        <row r="603">
          <cell r="E603" t="str">
            <v>IV-150sq</v>
          </cell>
          <cell r="F603" t="str">
            <v>ｍ</v>
          </cell>
          <cell r="G603">
            <v>0</v>
          </cell>
          <cell r="H603">
            <v>1698</v>
          </cell>
          <cell r="I603">
            <v>0</v>
          </cell>
          <cell r="J603">
            <v>1698</v>
          </cell>
          <cell r="K603">
            <v>0</v>
          </cell>
          <cell r="L603">
            <v>1829</v>
          </cell>
          <cell r="M603">
            <v>0</v>
          </cell>
          <cell r="N603">
            <v>1751</v>
          </cell>
          <cell r="O603">
            <v>0</v>
          </cell>
          <cell r="P603">
            <v>1712</v>
          </cell>
          <cell r="Q603">
            <v>0</v>
          </cell>
          <cell r="R603">
            <v>1672</v>
          </cell>
          <cell r="S603">
            <v>0</v>
          </cell>
          <cell r="T603">
            <v>1620</v>
          </cell>
          <cell r="U603">
            <v>0</v>
          </cell>
          <cell r="V603">
            <v>1672</v>
          </cell>
          <cell r="W603">
            <v>0</v>
          </cell>
          <cell r="X603">
            <v>1620</v>
          </cell>
          <cell r="Y603">
            <v>0</v>
          </cell>
          <cell r="Z603">
            <v>1698</v>
          </cell>
          <cell r="AA603">
            <v>0</v>
          </cell>
          <cell r="AB603">
            <v>0</v>
          </cell>
          <cell r="AC603">
            <v>0</v>
          </cell>
          <cell r="AD603">
            <v>7.2999999999999995E-2</v>
          </cell>
          <cell r="AE603">
            <v>0</v>
          </cell>
          <cell r="AF603">
            <v>0</v>
          </cell>
          <cell r="AG603">
            <v>0</v>
          </cell>
          <cell r="AH603">
            <v>0</v>
          </cell>
          <cell r="AI603">
            <v>0</v>
          </cell>
          <cell r="AJ603">
            <v>0</v>
          </cell>
          <cell r="AK603">
            <v>0</v>
          </cell>
          <cell r="AL603">
            <v>0</v>
          </cell>
        </row>
        <row r="604">
          <cell r="E604" t="str">
            <v>IV-200sq</v>
          </cell>
          <cell r="F604" t="str">
            <v>ｍ</v>
          </cell>
          <cell r="G604">
            <v>0</v>
          </cell>
          <cell r="H604">
            <v>2160</v>
          </cell>
          <cell r="I604">
            <v>0</v>
          </cell>
          <cell r="J604">
            <v>2160</v>
          </cell>
          <cell r="K604">
            <v>0</v>
          </cell>
          <cell r="L604">
            <v>2326</v>
          </cell>
          <cell r="M604">
            <v>0</v>
          </cell>
          <cell r="N604">
            <v>2226</v>
          </cell>
          <cell r="O604">
            <v>0</v>
          </cell>
          <cell r="P604">
            <v>2177</v>
          </cell>
          <cell r="Q604">
            <v>0</v>
          </cell>
          <cell r="R604">
            <v>127</v>
          </cell>
          <cell r="S604">
            <v>0</v>
          </cell>
          <cell r="T604">
            <v>2060</v>
          </cell>
          <cell r="U604">
            <v>0</v>
          </cell>
          <cell r="V604">
            <v>127</v>
          </cell>
          <cell r="W604">
            <v>0</v>
          </cell>
          <cell r="X604">
            <v>2060</v>
          </cell>
          <cell r="Y604">
            <v>0</v>
          </cell>
          <cell r="Z604">
            <v>2160</v>
          </cell>
          <cell r="AA604">
            <v>0</v>
          </cell>
          <cell r="AB604">
            <v>0</v>
          </cell>
          <cell r="AC604">
            <v>0</v>
          </cell>
          <cell r="AD604">
            <v>8.3000000000000004E-2</v>
          </cell>
          <cell r="AE604">
            <v>0</v>
          </cell>
          <cell r="AF604">
            <v>0</v>
          </cell>
          <cell r="AG604">
            <v>0</v>
          </cell>
          <cell r="AH604">
            <v>0</v>
          </cell>
          <cell r="AI604">
            <v>0</v>
          </cell>
          <cell r="AJ604">
            <v>0</v>
          </cell>
          <cell r="AK604">
            <v>0</v>
          </cell>
          <cell r="AL604">
            <v>0</v>
          </cell>
        </row>
        <row r="605">
          <cell r="E605" t="str">
            <v>IV-250sq</v>
          </cell>
          <cell r="F605" t="str">
            <v>ｍ</v>
          </cell>
          <cell r="G605">
            <v>0</v>
          </cell>
          <cell r="H605">
            <v>2809</v>
          </cell>
          <cell r="I605">
            <v>0</v>
          </cell>
          <cell r="J605">
            <v>2809</v>
          </cell>
          <cell r="K605">
            <v>0</v>
          </cell>
          <cell r="L605">
            <v>3025</v>
          </cell>
          <cell r="M605">
            <v>0</v>
          </cell>
          <cell r="N605">
            <v>2896</v>
          </cell>
          <cell r="O605">
            <v>0</v>
          </cell>
          <cell r="P605">
            <v>2831</v>
          </cell>
          <cell r="Q605">
            <v>0</v>
          </cell>
          <cell r="R605">
            <v>2766</v>
          </cell>
          <cell r="S605">
            <v>0</v>
          </cell>
          <cell r="T605">
            <v>2680</v>
          </cell>
          <cell r="U605">
            <v>0</v>
          </cell>
          <cell r="V605">
            <v>2766</v>
          </cell>
          <cell r="W605">
            <v>0</v>
          </cell>
          <cell r="X605">
            <v>2680</v>
          </cell>
          <cell r="Y605">
            <v>0</v>
          </cell>
          <cell r="Z605">
            <v>2809</v>
          </cell>
          <cell r="AA605">
            <v>0</v>
          </cell>
          <cell r="AB605">
            <v>0</v>
          </cell>
          <cell r="AC605">
            <v>0</v>
          </cell>
          <cell r="AD605">
            <v>9.8000000000000004E-2</v>
          </cell>
          <cell r="AE605">
            <v>0</v>
          </cell>
          <cell r="AF605">
            <v>0</v>
          </cell>
          <cell r="AG605">
            <v>0</v>
          </cell>
          <cell r="AH605">
            <v>0</v>
          </cell>
          <cell r="AI605">
            <v>0</v>
          </cell>
          <cell r="AJ605">
            <v>0</v>
          </cell>
          <cell r="AK605">
            <v>0</v>
          </cell>
          <cell r="AL605">
            <v>0</v>
          </cell>
        </row>
        <row r="606">
          <cell r="E606" t="str">
            <v>IV-325sq</v>
          </cell>
          <cell r="F606" t="str">
            <v>ｍ</v>
          </cell>
          <cell r="G606">
            <v>0</v>
          </cell>
          <cell r="H606">
            <v>3581</v>
          </cell>
          <cell r="I606">
            <v>0</v>
          </cell>
          <cell r="J606">
            <v>3581</v>
          </cell>
          <cell r="K606">
            <v>0</v>
          </cell>
          <cell r="L606">
            <v>3856</v>
          </cell>
          <cell r="M606">
            <v>0</v>
          </cell>
          <cell r="N606">
            <v>3691</v>
          </cell>
          <cell r="O606">
            <v>0</v>
          </cell>
          <cell r="P606">
            <v>3608</v>
          </cell>
          <cell r="Q606">
            <v>0</v>
          </cell>
          <cell r="R606">
            <v>3526</v>
          </cell>
          <cell r="S606">
            <v>0</v>
          </cell>
          <cell r="T606">
            <v>3416</v>
          </cell>
          <cell r="U606">
            <v>0</v>
          </cell>
          <cell r="V606">
            <v>3526</v>
          </cell>
          <cell r="W606">
            <v>0</v>
          </cell>
          <cell r="X606">
            <v>3416</v>
          </cell>
          <cell r="Y606">
            <v>0</v>
          </cell>
          <cell r="Z606">
            <v>3581</v>
          </cell>
          <cell r="AA606">
            <v>0</v>
          </cell>
          <cell r="AB606">
            <v>0</v>
          </cell>
          <cell r="AC606">
            <v>0</v>
          </cell>
          <cell r="AD606">
            <v>0.11700000000000001</v>
          </cell>
          <cell r="AE606">
            <v>0</v>
          </cell>
          <cell r="AF606">
            <v>0</v>
          </cell>
          <cell r="AG606">
            <v>0</v>
          </cell>
          <cell r="AH606">
            <v>0</v>
          </cell>
          <cell r="AI606">
            <v>0</v>
          </cell>
          <cell r="AJ606">
            <v>0</v>
          </cell>
          <cell r="AK606">
            <v>0</v>
          </cell>
          <cell r="AL606">
            <v>0</v>
          </cell>
        </row>
        <row r="607">
          <cell r="E607" t="str">
            <v>IE-1.0mm</v>
          </cell>
          <cell r="F607" t="str">
            <v>ｍ</v>
          </cell>
          <cell r="G607">
            <v>0</v>
          </cell>
          <cell r="H607">
            <v>19.399999999999999</v>
          </cell>
          <cell r="I607">
            <v>0</v>
          </cell>
          <cell r="J607">
            <v>19.399999999999999</v>
          </cell>
          <cell r="K607">
            <v>0</v>
          </cell>
          <cell r="L607">
            <v>19.399999999999999</v>
          </cell>
          <cell r="M607">
            <v>0</v>
          </cell>
          <cell r="N607">
            <v>18.8</v>
          </cell>
          <cell r="O607">
            <v>0</v>
          </cell>
          <cell r="P607">
            <v>18.3</v>
          </cell>
          <cell r="Q607">
            <v>0</v>
          </cell>
          <cell r="R607">
            <v>19.100000000000001</v>
          </cell>
          <cell r="S607">
            <v>0</v>
          </cell>
          <cell r="T607">
            <v>18.5</v>
          </cell>
          <cell r="U607">
            <v>0</v>
          </cell>
          <cell r="V607">
            <v>19.100000000000001</v>
          </cell>
          <cell r="W607">
            <v>0</v>
          </cell>
          <cell r="X607">
            <v>18.5</v>
          </cell>
          <cell r="Y607">
            <v>0</v>
          </cell>
          <cell r="Z607">
            <v>19.399999999999999</v>
          </cell>
          <cell r="AA607">
            <v>0</v>
          </cell>
          <cell r="AB607">
            <v>0</v>
          </cell>
          <cell r="AC607">
            <v>0</v>
          </cell>
          <cell r="AD607">
            <v>8.9999999999999993E-3</v>
          </cell>
          <cell r="AE607">
            <v>0</v>
          </cell>
          <cell r="AF607">
            <v>0</v>
          </cell>
          <cell r="AG607">
            <v>0</v>
          </cell>
          <cell r="AH607">
            <v>0</v>
          </cell>
          <cell r="AI607">
            <v>0</v>
          </cell>
          <cell r="AJ607">
            <v>0</v>
          </cell>
          <cell r="AK607">
            <v>0</v>
          </cell>
          <cell r="AL607">
            <v>0</v>
          </cell>
        </row>
        <row r="608">
          <cell r="E608" t="str">
            <v>IE-1.2mm</v>
          </cell>
          <cell r="F608" t="str">
            <v>ｍ</v>
          </cell>
          <cell r="G608">
            <v>0</v>
          </cell>
          <cell r="H608">
            <v>22.8</v>
          </cell>
          <cell r="I608">
            <v>0</v>
          </cell>
          <cell r="J608">
            <v>22.8</v>
          </cell>
          <cell r="K608">
            <v>0</v>
          </cell>
          <cell r="L608">
            <v>22.8</v>
          </cell>
          <cell r="M608">
            <v>0</v>
          </cell>
          <cell r="N608">
            <v>22.1</v>
          </cell>
          <cell r="O608">
            <v>0</v>
          </cell>
          <cell r="P608">
            <v>21.5</v>
          </cell>
          <cell r="Q608">
            <v>0</v>
          </cell>
          <cell r="R608">
            <v>22.4</v>
          </cell>
          <cell r="S608">
            <v>0</v>
          </cell>
          <cell r="T608">
            <v>21.7</v>
          </cell>
          <cell r="U608">
            <v>0</v>
          </cell>
          <cell r="V608">
            <v>22.4</v>
          </cell>
          <cell r="W608">
            <v>0</v>
          </cell>
          <cell r="X608">
            <v>21.7</v>
          </cell>
          <cell r="Y608">
            <v>0</v>
          </cell>
          <cell r="Z608">
            <v>22.8</v>
          </cell>
          <cell r="AA608">
            <v>0</v>
          </cell>
          <cell r="AB608">
            <v>0</v>
          </cell>
          <cell r="AC608">
            <v>0</v>
          </cell>
          <cell r="AD608">
            <v>0.01</v>
          </cell>
          <cell r="AE608">
            <v>0</v>
          </cell>
          <cell r="AF608">
            <v>0</v>
          </cell>
          <cell r="AG608">
            <v>0</v>
          </cell>
          <cell r="AH608">
            <v>0</v>
          </cell>
          <cell r="AI608">
            <v>0</v>
          </cell>
          <cell r="AJ608">
            <v>0</v>
          </cell>
          <cell r="AK608">
            <v>0</v>
          </cell>
          <cell r="AL608">
            <v>0</v>
          </cell>
        </row>
        <row r="609">
          <cell r="E609" t="str">
            <v>IE-1.6mm</v>
          </cell>
          <cell r="F609" t="str">
            <v>ｍ</v>
          </cell>
          <cell r="G609">
            <v>0</v>
          </cell>
          <cell r="H609">
            <v>33.200000000000003</v>
          </cell>
          <cell r="I609">
            <v>0</v>
          </cell>
          <cell r="J609">
            <v>33.200000000000003</v>
          </cell>
          <cell r="K609">
            <v>0</v>
          </cell>
          <cell r="L609">
            <v>33.200000000000003</v>
          </cell>
          <cell r="M609">
            <v>0</v>
          </cell>
          <cell r="N609">
            <v>32.1</v>
          </cell>
          <cell r="O609">
            <v>0</v>
          </cell>
          <cell r="P609">
            <v>31.4</v>
          </cell>
          <cell r="Q609">
            <v>0</v>
          </cell>
          <cell r="R609">
            <v>32.6</v>
          </cell>
          <cell r="S609">
            <v>0</v>
          </cell>
          <cell r="T609">
            <v>31.6</v>
          </cell>
          <cell r="U609">
            <v>0</v>
          </cell>
          <cell r="V609">
            <v>32.6</v>
          </cell>
          <cell r="W609">
            <v>0</v>
          </cell>
          <cell r="X609">
            <v>31.6</v>
          </cell>
          <cell r="Y609">
            <v>0</v>
          </cell>
          <cell r="Z609">
            <v>33.200000000000003</v>
          </cell>
          <cell r="AA609">
            <v>0</v>
          </cell>
          <cell r="AB609">
            <v>0</v>
          </cell>
          <cell r="AC609">
            <v>0</v>
          </cell>
          <cell r="AD609">
            <v>0.01</v>
          </cell>
          <cell r="AE609">
            <v>0</v>
          </cell>
          <cell r="AF609">
            <v>0</v>
          </cell>
          <cell r="AG609">
            <v>0</v>
          </cell>
          <cell r="AH609">
            <v>0</v>
          </cell>
          <cell r="AI609">
            <v>0</v>
          </cell>
          <cell r="AJ609">
            <v>0</v>
          </cell>
          <cell r="AK609">
            <v>0</v>
          </cell>
          <cell r="AL609">
            <v>0</v>
          </cell>
        </row>
        <row r="610">
          <cell r="E610" t="str">
            <v>IE-2.0mm</v>
          </cell>
          <cell r="F610" t="str">
            <v>ｍ</v>
          </cell>
          <cell r="G610">
            <v>0</v>
          </cell>
          <cell r="H610">
            <v>48.2</v>
          </cell>
          <cell r="I610">
            <v>0</v>
          </cell>
          <cell r="J610">
            <v>48.2</v>
          </cell>
          <cell r="K610">
            <v>0</v>
          </cell>
          <cell r="L610">
            <v>48.2</v>
          </cell>
          <cell r="M610">
            <v>0</v>
          </cell>
          <cell r="N610">
            <v>46.7</v>
          </cell>
          <cell r="O610">
            <v>0</v>
          </cell>
          <cell r="P610">
            <v>45.6</v>
          </cell>
          <cell r="Q610">
            <v>0</v>
          </cell>
          <cell r="R610">
            <v>47.4</v>
          </cell>
          <cell r="S610">
            <v>0</v>
          </cell>
          <cell r="T610">
            <v>45.9</v>
          </cell>
          <cell r="U610">
            <v>0</v>
          </cell>
          <cell r="V610">
            <v>47.4</v>
          </cell>
          <cell r="W610">
            <v>0</v>
          </cell>
          <cell r="X610">
            <v>45.9</v>
          </cell>
          <cell r="Y610">
            <v>0</v>
          </cell>
          <cell r="Z610">
            <v>48.2</v>
          </cell>
          <cell r="AA610">
            <v>0</v>
          </cell>
          <cell r="AB610">
            <v>0</v>
          </cell>
          <cell r="AC610">
            <v>0</v>
          </cell>
          <cell r="AD610">
            <v>1.0999999999999999E-2</v>
          </cell>
          <cell r="AE610">
            <v>0</v>
          </cell>
          <cell r="AF610">
            <v>0</v>
          </cell>
          <cell r="AG610">
            <v>0</v>
          </cell>
          <cell r="AH610">
            <v>0</v>
          </cell>
          <cell r="AI610">
            <v>0</v>
          </cell>
          <cell r="AJ610">
            <v>0</v>
          </cell>
          <cell r="AK610">
            <v>0</v>
          </cell>
          <cell r="AL610">
            <v>0</v>
          </cell>
        </row>
        <row r="611">
          <cell r="E611" t="str">
            <v>IE-2.6mm</v>
          </cell>
          <cell r="F611" t="str">
            <v>ｍ</v>
          </cell>
          <cell r="G611">
            <v>0</v>
          </cell>
          <cell r="H611">
            <v>75.599999999999994</v>
          </cell>
          <cell r="I611">
            <v>0</v>
          </cell>
          <cell r="J611">
            <v>75.599999999999994</v>
          </cell>
          <cell r="K611">
            <v>0</v>
          </cell>
          <cell r="L611">
            <v>75.599999999999994</v>
          </cell>
          <cell r="M611">
            <v>0</v>
          </cell>
          <cell r="N611">
            <v>73.3</v>
          </cell>
          <cell r="O611">
            <v>0</v>
          </cell>
          <cell r="P611">
            <v>71.5</v>
          </cell>
          <cell r="Q611">
            <v>0</v>
          </cell>
          <cell r="R611">
            <v>74.400000000000006</v>
          </cell>
          <cell r="S611">
            <v>0</v>
          </cell>
          <cell r="T611">
            <v>72.099999999999994</v>
          </cell>
          <cell r="U611">
            <v>0</v>
          </cell>
          <cell r="V611">
            <v>74.400000000000006</v>
          </cell>
          <cell r="W611">
            <v>0</v>
          </cell>
          <cell r="X611">
            <v>72.099999999999994</v>
          </cell>
          <cell r="Y611">
            <v>0</v>
          </cell>
          <cell r="Z611">
            <v>75.599999999999994</v>
          </cell>
          <cell r="AA611">
            <v>0</v>
          </cell>
          <cell r="AB611">
            <v>0</v>
          </cell>
          <cell r="AC611">
            <v>0</v>
          </cell>
          <cell r="AD611">
            <v>1.4E-2</v>
          </cell>
          <cell r="AE611">
            <v>0</v>
          </cell>
          <cell r="AF611">
            <v>0</v>
          </cell>
          <cell r="AG611">
            <v>0</v>
          </cell>
          <cell r="AH611">
            <v>0</v>
          </cell>
          <cell r="AI611">
            <v>0</v>
          </cell>
          <cell r="AJ611">
            <v>0</v>
          </cell>
          <cell r="AK611">
            <v>0</v>
          </cell>
          <cell r="AL611">
            <v>0</v>
          </cell>
        </row>
        <row r="612">
          <cell r="E612" t="str">
            <v>IE-0.9sq</v>
          </cell>
          <cell r="F612" t="str">
            <v>ｍ</v>
          </cell>
          <cell r="G612">
            <v>0</v>
          </cell>
          <cell r="H612">
            <v>23.4</v>
          </cell>
          <cell r="I612">
            <v>0</v>
          </cell>
          <cell r="J612">
            <v>23.4</v>
          </cell>
          <cell r="K612">
            <v>0</v>
          </cell>
          <cell r="L612">
            <v>23.4</v>
          </cell>
          <cell r="M612">
            <v>0</v>
          </cell>
          <cell r="N612">
            <v>22.7</v>
          </cell>
          <cell r="O612">
            <v>0</v>
          </cell>
          <cell r="P612">
            <v>22.1</v>
          </cell>
          <cell r="Q612">
            <v>0</v>
          </cell>
          <cell r="R612">
            <v>23</v>
          </cell>
          <cell r="S612">
            <v>0</v>
          </cell>
          <cell r="T612">
            <v>22.3</v>
          </cell>
          <cell r="U612">
            <v>0</v>
          </cell>
          <cell r="V612">
            <v>23</v>
          </cell>
          <cell r="W612">
            <v>0</v>
          </cell>
          <cell r="X612">
            <v>22.3</v>
          </cell>
          <cell r="Y612">
            <v>0</v>
          </cell>
          <cell r="Z612">
            <v>23.4</v>
          </cell>
          <cell r="AA612">
            <v>0</v>
          </cell>
          <cell r="AB612">
            <v>0</v>
          </cell>
          <cell r="AC612">
            <v>0</v>
          </cell>
          <cell r="AD612">
            <v>8.9999999999999993E-3</v>
          </cell>
          <cell r="AE612">
            <v>0</v>
          </cell>
          <cell r="AF612">
            <v>0</v>
          </cell>
          <cell r="AG612">
            <v>0</v>
          </cell>
          <cell r="AH612">
            <v>0</v>
          </cell>
          <cell r="AI612">
            <v>0</v>
          </cell>
          <cell r="AJ612">
            <v>0</v>
          </cell>
          <cell r="AK612">
            <v>0</v>
          </cell>
          <cell r="AL612">
            <v>0</v>
          </cell>
        </row>
        <row r="613">
          <cell r="E613" t="str">
            <v>IE-1.25sq</v>
          </cell>
          <cell r="F613" t="str">
            <v>ｍ</v>
          </cell>
          <cell r="G613">
            <v>0</v>
          </cell>
          <cell r="H613">
            <v>26.7</v>
          </cell>
          <cell r="I613">
            <v>0</v>
          </cell>
          <cell r="J613">
            <v>26.7</v>
          </cell>
          <cell r="K613">
            <v>0</v>
          </cell>
          <cell r="L613">
            <v>26.7</v>
          </cell>
          <cell r="M613">
            <v>0</v>
          </cell>
          <cell r="N613">
            <v>25.9</v>
          </cell>
          <cell r="O613">
            <v>0</v>
          </cell>
          <cell r="P613">
            <v>25.3</v>
          </cell>
          <cell r="Q613">
            <v>0</v>
          </cell>
          <cell r="R613">
            <v>26.3</v>
          </cell>
          <cell r="S613">
            <v>0</v>
          </cell>
          <cell r="T613">
            <v>25.5</v>
          </cell>
          <cell r="U613">
            <v>0</v>
          </cell>
          <cell r="V613">
            <v>26.3</v>
          </cell>
          <cell r="W613">
            <v>0</v>
          </cell>
          <cell r="X613">
            <v>25.5</v>
          </cell>
          <cell r="Y613">
            <v>0</v>
          </cell>
          <cell r="Z613">
            <v>26.7</v>
          </cell>
          <cell r="AA613">
            <v>0</v>
          </cell>
          <cell r="AB613">
            <v>0</v>
          </cell>
          <cell r="AC613">
            <v>0</v>
          </cell>
          <cell r="AD613">
            <v>8.9999999999999993E-3</v>
          </cell>
          <cell r="AE613">
            <v>0</v>
          </cell>
          <cell r="AF613">
            <v>0</v>
          </cell>
          <cell r="AG613">
            <v>0</v>
          </cell>
          <cell r="AH613">
            <v>0</v>
          </cell>
          <cell r="AI613">
            <v>0</v>
          </cell>
          <cell r="AJ613">
            <v>0</v>
          </cell>
          <cell r="AK613">
            <v>0</v>
          </cell>
          <cell r="AL613">
            <v>0</v>
          </cell>
        </row>
        <row r="614">
          <cell r="E614" t="str">
            <v>IE-2.0sq</v>
          </cell>
          <cell r="F614" t="str">
            <v>ｍ</v>
          </cell>
          <cell r="G614">
            <v>0</v>
          </cell>
          <cell r="H614">
            <v>36.5</v>
          </cell>
          <cell r="I614">
            <v>0</v>
          </cell>
          <cell r="J614">
            <v>36.5</v>
          </cell>
          <cell r="K614">
            <v>0</v>
          </cell>
          <cell r="L614">
            <v>36.5</v>
          </cell>
          <cell r="M614">
            <v>0</v>
          </cell>
          <cell r="N614">
            <v>35.4</v>
          </cell>
          <cell r="O614">
            <v>0</v>
          </cell>
          <cell r="P614">
            <v>34.6</v>
          </cell>
          <cell r="Q614">
            <v>0</v>
          </cell>
          <cell r="R614">
            <v>36</v>
          </cell>
          <cell r="S614">
            <v>0</v>
          </cell>
          <cell r="T614">
            <v>34.799999999999997</v>
          </cell>
          <cell r="U614">
            <v>0</v>
          </cell>
          <cell r="V614">
            <v>36</v>
          </cell>
          <cell r="W614">
            <v>0</v>
          </cell>
          <cell r="X614">
            <v>34.799999999999997</v>
          </cell>
          <cell r="Y614">
            <v>0</v>
          </cell>
          <cell r="Z614">
            <v>36.5</v>
          </cell>
          <cell r="AA614">
            <v>0</v>
          </cell>
          <cell r="AB614">
            <v>0</v>
          </cell>
          <cell r="AC614">
            <v>0</v>
          </cell>
          <cell r="AD614">
            <v>0.01</v>
          </cell>
          <cell r="AE614">
            <v>0</v>
          </cell>
          <cell r="AF614">
            <v>0</v>
          </cell>
          <cell r="AG614">
            <v>0</v>
          </cell>
          <cell r="AH614">
            <v>0</v>
          </cell>
          <cell r="AI614">
            <v>0</v>
          </cell>
          <cell r="AJ614">
            <v>0</v>
          </cell>
          <cell r="AK614">
            <v>0</v>
          </cell>
          <cell r="AL614">
            <v>0</v>
          </cell>
        </row>
        <row r="615">
          <cell r="E615" t="str">
            <v>IE-3.5sq</v>
          </cell>
          <cell r="F615" t="str">
            <v>ｍ</v>
          </cell>
          <cell r="G615">
            <v>0</v>
          </cell>
          <cell r="H615">
            <v>56.3</v>
          </cell>
          <cell r="I615">
            <v>0</v>
          </cell>
          <cell r="J615">
            <v>56.3</v>
          </cell>
          <cell r="K615">
            <v>0</v>
          </cell>
          <cell r="L615">
            <v>56.3</v>
          </cell>
          <cell r="M615">
            <v>0</v>
          </cell>
          <cell r="N615">
            <v>54.6</v>
          </cell>
          <cell r="O615">
            <v>0</v>
          </cell>
          <cell r="P615">
            <v>53.3</v>
          </cell>
          <cell r="Q615">
            <v>0</v>
          </cell>
          <cell r="R615">
            <v>55.4</v>
          </cell>
          <cell r="S615">
            <v>0</v>
          </cell>
          <cell r="T615">
            <v>53.7</v>
          </cell>
          <cell r="U615">
            <v>0</v>
          </cell>
          <cell r="V615">
            <v>55.4</v>
          </cell>
          <cell r="W615">
            <v>0</v>
          </cell>
          <cell r="X615">
            <v>53.7</v>
          </cell>
          <cell r="Y615">
            <v>0</v>
          </cell>
          <cell r="Z615">
            <v>56.3</v>
          </cell>
          <cell r="AA615">
            <v>0</v>
          </cell>
          <cell r="AB615">
            <v>0</v>
          </cell>
          <cell r="AC615">
            <v>0</v>
          </cell>
          <cell r="AD615">
            <v>1.0999999999999999E-2</v>
          </cell>
          <cell r="AE615">
            <v>0</v>
          </cell>
          <cell r="AF615">
            <v>0</v>
          </cell>
          <cell r="AG615">
            <v>0</v>
          </cell>
          <cell r="AH615">
            <v>0</v>
          </cell>
          <cell r="AI615">
            <v>0</v>
          </cell>
          <cell r="AJ615">
            <v>0</v>
          </cell>
          <cell r="AK615">
            <v>0</v>
          </cell>
          <cell r="AL615">
            <v>0</v>
          </cell>
        </row>
        <row r="616">
          <cell r="E616" t="str">
            <v>IE-5.5sq</v>
          </cell>
          <cell r="F616" t="str">
            <v>ｍ</v>
          </cell>
          <cell r="G616">
            <v>0</v>
          </cell>
          <cell r="H616">
            <v>85.2</v>
          </cell>
          <cell r="I616">
            <v>0</v>
          </cell>
          <cell r="J616">
            <v>85.2</v>
          </cell>
          <cell r="K616">
            <v>0</v>
          </cell>
          <cell r="L616">
            <v>85.2</v>
          </cell>
          <cell r="M616">
            <v>0</v>
          </cell>
          <cell r="N616">
            <v>82.5</v>
          </cell>
          <cell r="O616">
            <v>0</v>
          </cell>
          <cell r="P616">
            <v>80.599999999999994</v>
          </cell>
          <cell r="Q616">
            <v>0</v>
          </cell>
          <cell r="R616">
            <v>83.8</v>
          </cell>
          <cell r="S616">
            <v>0</v>
          </cell>
          <cell r="T616">
            <v>81.2</v>
          </cell>
          <cell r="U616">
            <v>0</v>
          </cell>
          <cell r="V616">
            <v>83.8</v>
          </cell>
          <cell r="W616">
            <v>0</v>
          </cell>
          <cell r="X616">
            <v>81.2</v>
          </cell>
          <cell r="Y616">
            <v>0</v>
          </cell>
          <cell r="Z616">
            <v>85.2</v>
          </cell>
          <cell r="AA616">
            <v>0</v>
          </cell>
          <cell r="AB616">
            <v>0</v>
          </cell>
          <cell r="AC616">
            <v>0</v>
          </cell>
          <cell r="AD616">
            <v>1.4E-2</v>
          </cell>
          <cell r="AE616">
            <v>0</v>
          </cell>
          <cell r="AF616">
            <v>0</v>
          </cell>
          <cell r="AG616">
            <v>0</v>
          </cell>
          <cell r="AH616">
            <v>0</v>
          </cell>
          <cell r="AI616">
            <v>0</v>
          </cell>
          <cell r="AJ616">
            <v>0</v>
          </cell>
          <cell r="AK616">
            <v>0</v>
          </cell>
          <cell r="AL616">
            <v>0</v>
          </cell>
        </row>
        <row r="617">
          <cell r="E617" t="str">
            <v>IE-8sq</v>
          </cell>
          <cell r="F617" t="str">
            <v>ｍ</v>
          </cell>
          <cell r="G617">
            <v>0</v>
          </cell>
          <cell r="H617">
            <v>116</v>
          </cell>
          <cell r="I617">
            <v>0</v>
          </cell>
          <cell r="J617">
            <v>116</v>
          </cell>
          <cell r="K617">
            <v>0</v>
          </cell>
          <cell r="L617">
            <v>116</v>
          </cell>
          <cell r="M617">
            <v>0</v>
          </cell>
          <cell r="N617">
            <v>113</v>
          </cell>
          <cell r="O617">
            <v>0</v>
          </cell>
          <cell r="P617">
            <v>110</v>
          </cell>
          <cell r="Q617">
            <v>0</v>
          </cell>
          <cell r="R617">
            <v>115</v>
          </cell>
          <cell r="S617">
            <v>0</v>
          </cell>
          <cell r="T617">
            <v>111</v>
          </cell>
          <cell r="U617">
            <v>0</v>
          </cell>
          <cell r="V617">
            <v>115</v>
          </cell>
          <cell r="W617">
            <v>0</v>
          </cell>
          <cell r="X617">
            <v>111</v>
          </cell>
          <cell r="Y617">
            <v>0</v>
          </cell>
          <cell r="Z617">
            <v>116</v>
          </cell>
          <cell r="AA617">
            <v>0</v>
          </cell>
          <cell r="AB617">
            <v>0</v>
          </cell>
          <cell r="AC617">
            <v>0</v>
          </cell>
          <cell r="AD617">
            <v>1.6E-2</v>
          </cell>
          <cell r="AE617">
            <v>0</v>
          </cell>
          <cell r="AF617">
            <v>0</v>
          </cell>
          <cell r="AG617">
            <v>0</v>
          </cell>
          <cell r="AH617">
            <v>0</v>
          </cell>
          <cell r="AI617">
            <v>0</v>
          </cell>
          <cell r="AJ617">
            <v>0</v>
          </cell>
          <cell r="AK617">
            <v>0</v>
          </cell>
          <cell r="AL617">
            <v>0</v>
          </cell>
        </row>
        <row r="618">
          <cell r="E618" t="str">
            <v>IE-14sq</v>
          </cell>
          <cell r="F618" t="str">
            <v>ｍ</v>
          </cell>
          <cell r="G618">
            <v>0</v>
          </cell>
          <cell r="H618">
            <v>199</v>
          </cell>
          <cell r="I618">
            <v>0</v>
          </cell>
          <cell r="J618">
            <v>199</v>
          </cell>
          <cell r="K618">
            <v>0</v>
          </cell>
          <cell r="L618">
            <v>199</v>
          </cell>
          <cell r="M618">
            <v>0</v>
          </cell>
          <cell r="N618">
            <v>193</v>
          </cell>
          <cell r="O618">
            <v>0</v>
          </cell>
          <cell r="P618">
            <v>188</v>
          </cell>
          <cell r="Q618">
            <v>0</v>
          </cell>
          <cell r="R618">
            <v>196</v>
          </cell>
          <cell r="S618">
            <v>0</v>
          </cell>
          <cell r="T618">
            <v>190</v>
          </cell>
          <cell r="U618">
            <v>0</v>
          </cell>
          <cell r="V618">
            <v>196</v>
          </cell>
          <cell r="W618">
            <v>0</v>
          </cell>
          <cell r="X618">
            <v>190</v>
          </cell>
          <cell r="Y618">
            <v>0</v>
          </cell>
          <cell r="Z618">
            <v>199</v>
          </cell>
          <cell r="AA618">
            <v>0</v>
          </cell>
          <cell r="AB618">
            <v>0</v>
          </cell>
          <cell r="AC618">
            <v>0</v>
          </cell>
          <cell r="AD618">
            <v>0.02</v>
          </cell>
          <cell r="AE618">
            <v>0</v>
          </cell>
          <cell r="AF618">
            <v>0</v>
          </cell>
          <cell r="AG618">
            <v>0</v>
          </cell>
          <cell r="AH618">
            <v>0</v>
          </cell>
          <cell r="AI618">
            <v>0</v>
          </cell>
          <cell r="AJ618">
            <v>0</v>
          </cell>
          <cell r="AK618">
            <v>0</v>
          </cell>
          <cell r="AL618">
            <v>0</v>
          </cell>
        </row>
        <row r="619">
          <cell r="E619" t="str">
            <v>IE-22sq</v>
          </cell>
          <cell r="F619" t="str">
            <v>ｍ</v>
          </cell>
          <cell r="G619">
            <v>0</v>
          </cell>
          <cell r="H619">
            <v>294</v>
          </cell>
          <cell r="I619">
            <v>0</v>
          </cell>
          <cell r="J619">
            <v>294</v>
          </cell>
          <cell r="K619">
            <v>0</v>
          </cell>
          <cell r="L619">
            <v>294</v>
          </cell>
          <cell r="M619">
            <v>0</v>
          </cell>
          <cell r="N619">
            <v>285</v>
          </cell>
          <cell r="O619">
            <v>0</v>
          </cell>
          <cell r="P619">
            <v>279</v>
          </cell>
          <cell r="Q619">
            <v>0</v>
          </cell>
          <cell r="R619">
            <v>290</v>
          </cell>
          <cell r="S619">
            <v>0</v>
          </cell>
          <cell r="T619">
            <v>281</v>
          </cell>
          <cell r="U619">
            <v>0</v>
          </cell>
          <cell r="V619">
            <v>290</v>
          </cell>
          <cell r="W619">
            <v>0</v>
          </cell>
          <cell r="X619">
            <v>281</v>
          </cell>
          <cell r="Y619">
            <v>0</v>
          </cell>
          <cell r="Z619">
            <v>294</v>
          </cell>
          <cell r="AA619">
            <v>0</v>
          </cell>
          <cell r="AB619">
            <v>0</v>
          </cell>
          <cell r="AC619">
            <v>0</v>
          </cell>
          <cell r="AD619">
            <v>2.4E-2</v>
          </cell>
          <cell r="AE619">
            <v>0</v>
          </cell>
          <cell r="AF619">
            <v>0</v>
          </cell>
          <cell r="AG619">
            <v>0</v>
          </cell>
          <cell r="AH619">
            <v>0</v>
          </cell>
          <cell r="AI619">
            <v>0</v>
          </cell>
          <cell r="AJ619">
            <v>0</v>
          </cell>
          <cell r="AK619">
            <v>0</v>
          </cell>
          <cell r="AL619">
            <v>0</v>
          </cell>
        </row>
        <row r="620">
          <cell r="E620" t="str">
            <v>IE-38sq</v>
          </cell>
          <cell r="F620" t="str">
            <v>ｍ</v>
          </cell>
          <cell r="G620">
            <v>0</v>
          </cell>
          <cell r="H620">
            <v>480</v>
          </cell>
          <cell r="I620">
            <v>0</v>
          </cell>
          <cell r="J620">
            <v>480</v>
          </cell>
          <cell r="K620">
            <v>0</v>
          </cell>
          <cell r="L620">
            <v>480</v>
          </cell>
          <cell r="M620">
            <v>0</v>
          </cell>
          <cell r="N620">
            <v>466</v>
          </cell>
          <cell r="O620">
            <v>0</v>
          </cell>
          <cell r="P620">
            <v>454</v>
          </cell>
          <cell r="Q620">
            <v>0</v>
          </cell>
          <cell r="R620">
            <v>473</v>
          </cell>
          <cell r="S620">
            <v>0</v>
          </cell>
          <cell r="T620">
            <v>458</v>
          </cell>
          <cell r="U620">
            <v>0</v>
          </cell>
          <cell r="V620">
            <v>473</v>
          </cell>
          <cell r="W620">
            <v>0</v>
          </cell>
          <cell r="X620">
            <v>458</v>
          </cell>
          <cell r="Y620">
            <v>0</v>
          </cell>
          <cell r="Z620">
            <v>480</v>
          </cell>
          <cell r="AA620">
            <v>0</v>
          </cell>
          <cell r="AB620">
            <v>0</v>
          </cell>
          <cell r="AC620">
            <v>0</v>
          </cell>
          <cell r="AD620">
            <v>3.2000000000000001E-2</v>
          </cell>
          <cell r="AE620">
            <v>0</v>
          </cell>
          <cell r="AF620">
            <v>0</v>
          </cell>
          <cell r="AG620">
            <v>0</v>
          </cell>
          <cell r="AH620">
            <v>0</v>
          </cell>
          <cell r="AI620">
            <v>0</v>
          </cell>
          <cell r="AJ620">
            <v>0</v>
          </cell>
          <cell r="AK620">
            <v>0</v>
          </cell>
          <cell r="AL620">
            <v>0</v>
          </cell>
        </row>
        <row r="621">
          <cell r="E621" t="str">
            <v>IE-60sq</v>
          </cell>
          <cell r="F621" t="str">
            <v>ｍ</v>
          </cell>
          <cell r="G621">
            <v>0</v>
          </cell>
          <cell r="H621">
            <v>740</v>
          </cell>
          <cell r="I621">
            <v>0</v>
          </cell>
          <cell r="J621">
            <v>740</v>
          </cell>
          <cell r="K621">
            <v>0</v>
          </cell>
          <cell r="L621">
            <v>740</v>
          </cell>
          <cell r="M621">
            <v>0</v>
          </cell>
          <cell r="N621">
            <v>717</v>
          </cell>
          <cell r="O621">
            <v>0</v>
          </cell>
          <cell r="P621">
            <v>700</v>
          </cell>
          <cell r="Q621">
            <v>0</v>
          </cell>
          <cell r="R621">
            <v>728</v>
          </cell>
          <cell r="S621">
            <v>0</v>
          </cell>
          <cell r="T621">
            <v>706</v>
          </cell>
          <cell r="U621">
            <v>0</v>
          </cell>
          <cell r="V621">
            <v>728</v>
          </cell>
          <cell r="W621">
            <v>0</v>
          </cell>
          <cell r="X621">
            <v>706</v>
          </cell>
          <cell r="Y621">
            <v>0</v>
          </cell>
          <cell r="Z621">
            <v>740</v>
          </cell>
          <cell r="AA621">
            <v>0</v>
          </cell>
          <cell r="AB621">
            <v>0</v>
          </cell>
          <cell r="AC621">
            <v>0</v>
          </cell>
          <cell r="AD621">
            <v>4.2000000000000003E-2</v>
          </cell>
          <cell r="AE621">
            <v>0</v>
          </cell>
          <cell r="AF621">
            <v>0</v>
          </cell>
          <cell r="AG621">
            <v>0</v>
          </cell>
          <cell r="AH621">
            <v>0</v>
          </cell>
          <cell r="AI621">
            <v>0</v>
          </cell>
          <cell r="AJ621">
            <v>0</v>
          </cell>
          <cell r="AK621">
            <v>0</v>
          </cell>
          <cell r="AL621">
            <v>0</v>
          </cell>
        </row>
        <row r="622">
          <cell r="E622" t="str">
            <v>IE-100sq</v>
          </cell>
          <cell r="F622" t="str">
            <v>ｍ</v>
          </cell>
          <cell r="G622">
            <v>0</v>
          </cell>
          <cell r="H622">
            <v>1210</v>
          </cell>
          <cell r="I622">
            <v>0</v>
          </cell>
          <cell r="J622">
            <v>1210</v>
          </cell>
          <cell r="K622">
            <v>0</v>
          </cell>
          <cell r="L622">
            <v>1210</v>
          </cell>
          <cell r="M622">
            <v>0</v>
          </cell>
          <cell r="N622">
            <v>1172</v>
          </cell>
          <cell r="O622">
            <v>0</v>
          </cell>
          <cell r="P622">
            <v>1145</v>
          </cell>
          <cell r="Q622">
            <v>0</v>
          </cell>
          <cell r="R622">
            <v>1191</v>
          </cell>
          <cell r="S622">
            <v>0</v>
          </cell>
          <cell r="T622">
            <v>1154</v>
          </cell>
          <cell r="U622">
            <v>0</v>
          </cell>
          <cell r="V622">
            <v>1191</v>
          </cell>
          <cell r="W622">
            <v>0</v>
          </cell>
          <cell r="X622">
            <v>1154</v>
          </cell>
          <cell r="Y622">
            <v>0</v>
          </cell>
          <cell r="Z622">
            <v>1210</v>
          </cell>
          <cell r="AA622">
            <v>0</v>
          </cell>
          <cell r="AB622">
            <v>0</v>
          </cell>
          <cell r="AC622">
            <v>0</v>
          </cell>
          <cell r="AD622">
            <v>5.6000000000000001E-2</v>
          </cell>
          <cell r="AE622">
            <v>0</v>
          </cell>
          <cell r="AF622">
            <v>0</v>
          </cell>
          <cell r="AG622">
            <v>0</v>
          </cell>
          <cell r="AH622">
            <v>0</v>
          </cell>
          <cell r="AI622">
            <v>0</v>
          </cell>
          <cell r="AJ622">
            <v>0</v>
          </cell>
          <cell r="AK622">
            <v>0</v>
          </cell>
          <cell r="AL622">
            <v>0</v>
          </cell>
        </row>
        <row r="623">
          <cell r="E623" t="str">
            <v>IE-150sq</v>
          </cell>
          <cell r="F623" t="str">
            <v>ｍ</v>
          </cell>
          <cell r="G623">
            <v>0</v>
          </cell>
          <cell r="H623">
            <v>1819</v>
          </cell>
          <cell r="I623">
            <v>0</v>
          </cell>
          <cell r="J623">
            <v>1819</v>
          </cell>
          <cell r="K623">
            <v>0</v>
          </cell>
          <cell r="L623">
            <v>1819</v>
          </cell>
          <cell r="M623">
            <v>0</v>
          </cell>
          <cell r="N623">
            <v>1763</v>
          </cell>
          <cell r="O623">
            <v>0</v>
          </cell>
          <cell r="P623">
            <v>1721</v>
          </cell>
          <cell r="Q623">
            <v>0</v>
          </cell>
          <cell r="R623">
            <v>1791</v>
          </cell>
          <cell r="S623">
            <v>0</v>
          </cell>
          <cell r="T623">
            <v>1735</v>
          </cell>
          <cell r="U623">
            <v>0</v>
          </cell>
          <cell r="V623">
            <v>1791</v>
          </cell>
          <cell r="W623">
            <v>0</v>
          </cell>
          <cell r="X623">
            <v>1735</v>
          </cell>
          <cell r="Y623">
            <v>0</v>
          </cell>
          <cell r="Z623">
            <v>1819</v>
          </cell>
          <cell r="AA623">
            <v>0</v>
          </cell>
          <cell r="AB623">
            <v>0</v>
          </cell>
          <cell r="AC623">
            <v>0</v>
          </cell>
          <cell r="AD623">
            <v>7.2999999999999995E-2</v>
          </cell>
          <cell r="AE623">
            <v>0</v>
          </cell>
          <cell r="AF623">
            <v>0</v>
          </cell>
          <cell r="AG623">
            <v>0</v>
          </cell>
          <cell r="AH623">
            <v>0</v>
          </cell>
          <cell r="AI623">
            <v>0</v>
          </cell>
          <cell r="AJ623">
            <v>0</v>
          </cell>
          <cell r="AK623">
            <v>0</v>
          </cell>
          <cell r="AL623">
            <v>0</v>
          </cell>
        </row>
        <row r="624">
          <cell r="E624" t="str">
            <v>IE-200sq</v>
          </cell>
          <cell r="F624" t="str">
            <v>ｍ</v>
          </cell>
          <cell r="G624">
            <v>0</v>
          </cell>
          <cell r="H624">
            <v>2307</v>
          </cell>
          <cell r="I624">
            <v>0</v>
          </cell>
          <cell r="J624">
            <v>2307</v>
          </cell>
          <cell r="K624">
            <v>0</v>
          </cell>
          <cell r="L624">
            <v>2307</v>
          </cell>
          <cell r="M624">
            <v>0</v>
          </cell>
          <cell r="N624">
            <v>2236</v>
          </cell>
          <cell r="O624">
            <v>0</v>
          </cell>
          <cell r="P624">
            <v>2183</v>
          </cell>
          <cell r="Q624">
            <v>0</v>
          </cell>
          <cell r="R624">
            <v>2271</v>
          </cell>
          <cell r="S624">
            <v>0</v>
          </cell>
          <cell r="T624">
            <v>2200</v>
          </cell>
          <cell r="U624">
            <v>0</v>
          </cell>
          <cell r="V624">
            <v>2271</v>
          </cell>
          <cell r="W624">
            <v>0</v>
          </cell>
          <cell r="X624">
            <v>2200</v>
          </cell>
          <cell r="Y624">
            <v>0</v>
          </cell>
          <cell r="Z624">
            <v>2307</v>
          </cell>
          <cell r="AA624">
            <v>0</v>
          </cell>
          <cell r="AB624">
            <v>0</v>
          </cell>
          <cell r="AC624">
            <v>0</v>
          </cell>
          <cell r="AD624">
            <v>8.3000000000000004E-2</v>
          </cell>
          <cell r="AE624">
            <v>0</v>
          </cell>
          <cell r="AF624">
            <v>0</v>
          </cell>
          <cell r="AG624">
            <v>0</v>
          </cell>
          <cell r="AH624">
            <v>0</v>
          </cell>
          <cell r="AI624">
            <v>0</v>
          </cell>
          <cell r="AJ624">
            <v>0</v>
          </cell>
          <cell r="AK624">
            <v>0</v>
          </cell>
          <cell r="AL624">
            <v>0</v>
          </cell>
        </row>
        <row r="625">
          <cell r="E625" t="str">
            <v>IE-250sq</v>
          </cell>
          <cell r="F625" t="str">
            <v>ｍ</v>
          </cell>
          <cell r="G625">
            <v>0</v>
          </cell>
          <cell r="H625">
            <v>2978</v>
          </cell>
          <cell r="I625">
            <v>0</v>
          </cell>
          <cell r="J625">
            <v>2978</v>
          </cell>
          <cell r="K625">
            <v>0</v>
          </cell>
          <cell r="L625">
            <v>2978</v>
          </cell>
          <cell r="M625">
            <v>0</v>
          </cell>
          <cell r="N625">
            <v>2886</v>
          </cell>
          <cell r="O625">
            <v>0</v>
          </cell>
          <cell r="P625">
            <v>2817</v>
          </cell>
          <cell r="Q625">
            <v>0</v>
          </cell>
          <cell r="R625">
            <v>2932</v>
          </cell>
          <cell r="S625">
            <v>0</v>
          </cell>
          <cell r="T625">
            <v>2840</v>
          </cell>
          <cell r="U625">
            <v>0</v>
          </cell>
          <cell r="V625">
            <v>2932</v>
          </cell>
          <cell r="W625">
            <v>0</v>
          </cell>
          <cell r="X625">
            <v>2840</v>
          </cell>
          <cell r="Y625">
            <v>0</v>
          </cell>
          <cell r="Z625">
            <v>2978</v>
          </cell>
          <cell r="AA625">
            <v>0</v>
          </cell>
          <cell r="AB625">
            <v>0</v>
          </cell>
          <cell r="AC625">
            <v>0</v>
          </cell>
          <cell r="AD625">
            <v>9.8000000000000004E-2</v>
          </cell>
          <cell r="AE625">
            <v>0</v>
          </cell>
          <cell r="AF625">
            <v>0</v>
          </cell>
          <cell r="AG625">
            <v>0</v>
          </cell>
          <cell r="AH625">
            <v>0</v>
          </cell>
          <cell r="AI625">
            <v>0</v>
          </cell>
          <cell r="AJ625">
            <v>0</v>
          </cell>
          <cell r="AK625">
            <v>0</v>
          </cell>
          <cell r="AL625">
            <v>0</v>
          </cell>
        </row>
        <row r="626">
          <cell r="E626" t="str">
            <v>IE-325sq</v>
          </cell>
          <cell r="F626" t="str">
            <v>ｍ</v>
          </cell>
          <cell r="G626">
            <v>0</v>
          </cell>
          <cell r="H626">
            <v>3784</v>
          </cell>
          <cell r="I626">
            <v>0</v>
          </cell>
          <cell r="J626">
            <v>3784</v>
          </cell>
          <cell r="K626">
            <v>0</v>
          </cell>
          <cell r="L626">
            <v>3784</v>
          </cell>
          <cell r="M626">
            <v>0</v>
          </cell>
          <cell r="N626">
            <v>3668</v>
          </cell>
          <cell r="O626">
            <v>0</v>
          </cell>
          <cell r="P626">
            <v>3581</v>
          </cell>
          <cell r="Q626">
            <v>0</v>
          </cell>
          <cell r="R626">
            <v>3726</v>
          </cell>
          <cell r="S626">
            <v>0</v>
          </cell>
          <cell r="T626">
            <v>3610</v>
          </cell>
          <cell r="U626">
            <v>0</v>
          </cell>
          <cell r="V626">
            <v>3726</v>
          </cell>
          <cell r="W626">
            <v>0</v>
          </cell>
          <cell r="X626">
            <v>3610</v>
          </cell>
          <cell r="Y626">
            <v>0</v>
          </cell>
          <cell r="Z626">
            <v>3784</v>
          </cell>
          <cell r="AA626">
            <v>0</v>
          </cell>
          <cell r="AB626">
            <v>0</v>
          </cell>
          <cell r="AC626">
            <v>0</v>
          </cell>
          <cell r="AD626">
            <v>0.11700000000000001</v>
          </cell>
          <cell r="AE626">
            <v>0</v>
          </cell>
          <cell r="AF626">
            <v>0</v>
          </cell>
          <cell r="AG626">
            <v>0</v>
          </cell>
          <cell r="AH626">
            <v>0</v>
          </cell>
          <cell r="AI626">
            <v>0</v>
          </cell>
          <cell r="AJ626">
            <v>0</v>
          </cell>
          <cell r="AK626">
            <v>0</v>
          </cell>
          <cell r="AL626">
            <v>0</v>
          </cell>
        </row>
        <row r="627">
          <cell r="E627" t="str">
            <v>14_Users</v>
          </cell>
          <cell r="F627" t="str">
            <v>ｍ</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row>
        <row r="628">
          <cell r="E628" t="str">
            <v>14_Users</v>
          </cell>
          <cell r="F628" t="str">
            <v>ｍ</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row>
        <row r="629">
          <cell r="E629" t="str">
            <v>14_Users</v>
          </cell>
          <cell r="F629" t="str">
            <v>ｍ</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row>
        <row r="630">
          <cell r="E630" t="str">
            <v>14_Users</v>
          </cell>
          <cell r="F630" t="str">
            <v>ｍ</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row>
        <row r="631">
          <cell r="E631" t="str">
            <v>14_Users</v>
          </cell>
          <cell r="F631" t="str">
            <v>ｍ</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row>
        <row r="632">
          <cell r="E632" t="str">
            <v>14_Users</v>
          </cell>
          <cell r="F632" t="str">
            <v>ｍ</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row>
        <row r="633">
          <cell r="E633" t="str">
            <v>14_Users</v>
          </cell>
          <cell r="F633" t="str">
            <v>ｍ</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row>
        <row r="634">
          <cell r="E634" t="str">
            <v>14_Users</v>
          </cell>
          <cell r="F634" t="str">
            <v>ｍ</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row>
        <row r="635">
          <cell r="E635" t="str">
            <v>HIV-1.2mm</v>
          </cell>
          <cell r="F635" t="str">
            <v>ｍ</v>
          </cell>
          <cell r="G635">
            <v>0</v>
          </cell>
          <cell r="H635">
            <v>21</v>
          </cell>
          <cell r="I635">
            <v>0</v>
          </cell>
          <cell r="J635">
            <v>21</v>
          </cell>
          <cell r="K635">
            <v>0</v>
          </cell>
          <cell r="L635">
            <v>21</v>
          </cell>
          <cell r="M635">
            <v>0</v>
          </cell>
          <cell r="N635">
            <v>20.3</v>
          </cell>
          <cell r="O635">
            <v>0</v>
          </cell>
          <cell r="P635">
            <v>19.899999999999999</v>
          </cell>
          <cell r="Q635">
            <v>0</v>
          </cell>
          <cell r="R635">
            <v>20.7</v>
          </cell>
          <cell r="S635">
            <v>0</v>
          </cell>
          <cell r="T635">
            <v>20</v>
          </cell>
          <cell r="U635">
            <v>0</v>
          </cell>
          <cell r="V635">
            <v>20.7</v>
          </cell>
          <cell r="W635">
            <v>0</v>
          </cell>
          <cell r="X635">
            <v>20</v>
          </cell>
          <cell r="Y635">
            <v>0</v>
          </cell>
          <cell r="Z635">
            <v>21</v>
          </cell>
          <cell r="AA635">
            <v>0</v>
          </cell>
          <cell r="AB635">
            <v>0</v>
          </cell>
          <cell r="AC635">
            <v>0</v>
          </cell>
          <cell r="AD635">
            <v>0.01</v>
          </cell>
          <cell r="AE635">
            <v>0</v>
          </cell>
          <cell r="AF635">
            <v>0</v>
          </cell>
          <cell r="AG635">
            <v>0</v>
          </cell>
          <cell r="AH635">
            <v>0</v>
          </cell>
          <cell r="AI635">
            <v>0</v>
          </cell>
          <cell r="AJ635">
            <v>0</v>
          </cell>
          <cell r="AK635">
            <v>0</v>
          </cell>
          <cell r="AL635">
            <v>0</v>
          </cell>
        </row>
        <row r="636">
          <cell r="E636" t="str">
            <v>HIV-1.6mm</v>
          </cell>
          <cell r="F636" t="str">
            <v>ｍ</v>
          </cell>
          <cell r="G636">
            <v>0</v>
          </cell>
          <cell r="H636">
            <v>32.799999999999997</v>
          </cell>
          <cell r="I636">
            <v>0</v>
          </cell>
          <cell r="J636">
            <v>32.799999999999997</v>
          </cell>
          <cell r="K636">
            <v>0</v>
          </cell>
          <cell r="L636">
            <v>32.799999999999997</v>
          </cell>
          <cell r="M636">
            <v>0</v>
          </cell>
          <cell r="N636">
            <v>31.8</v>
          </cell>
          <cell r="O636">
            <v>0</v>
          </cell>
          <cell r="P636">
            <v>31</v>
          </cell>
          <cell r="Q636">
            <v>0</v>
          </cell>
          <cell r="R636">
            <v>32.299999999999997</v>
          </cell>
          <cell r="S636">
            <v>0</v>
          </cell>
          <cell r="T636">
            <v>31.2</v>
          </cell>
          <cell r="U636">
            <v>0</v>
          </cell>
          <cell r="V636">
            <v>32.299999999999997</v>
          </cell>
          <cell r="W636">
            <v>0</v>
          </cell>
          <cell r="X636">
            <v>31.2</v>
          </cell>
          <cell r="Y636">
            <v>0</v>
          </cell>
          <cell r="Z636">
            <v>32.799999999999997</v>
          </cell>
          <cell r="AA636">
            <v>0</v>
          </cell>
          <cell r="AB636">
            <v>0</v>
          </cell>
          <cell r="AC636">
            <v>0</v>
          </cell>
          <cell r="AD636">
            <v>0.01</v>
          </cell>
          <cell r="AE636">
            <v>0</v>
          </cell>
          <cell r="AF636">
            <v>0</v>
          </cell>
          <cell r="AG636">
            <v>0</v>
          </cell>
          <cell r="AH636">
            <v>0</v>
          </cell>
          <cell r="AI636">
            <v>0</v>
          </cell>
          <cell r="AJ636">
            <v>0</v>
          </cell>
          <cell r="AK636">
            <v>0</v>
          </cell>
          <cell r="AL636">
            <v>0</v>
          </cell>
        </row>
        <row r="637">
          <cell r="E637" t="str">
            <v>HIV-2.0mm</v>
          </cell>
          <cell r="F637" t="str">
            <v>ｍ</v>
          </cell>
          <cell r="G637">
            <v>0</v>
          </cell>
          <cell r="H637">
            <v>46.1</v>
          </cell>
          <cell r="I637">
            <v>0</v>
          </cell>
          <cell r="J637">
            <v>46.1</v>
          </cell>
          <cell r="K637">
            <v>0</v>
          </cell>
          <cell r="L637">
            <v>46.1</v>
          </cell>
          <cell r="M637">
            <v>0</v>
          </cell>
          <cell r="N637">
            <v>44.7</v>
          </cell>
          <cell r="O637">
            <v>0</v>
          </cell>
          <cell r="P637">
            <v>43.6</v>
          </cell>
          <cell r="Q637">
            <v>0</v>
          </cell>
          <cell r="R637">
            <v>45.4</v>
          </cell>
          <cell r="S637">
            <v>0</v>
          </cell>
          <cell r="T637">
            <v>44</v>
          </cell>
          <cell r="U637">
            <v>0</v>
          </cell>
          <cell r="V637">
            <v>45.4</v>
          </cell>
          <cell r="W637">
            <v>0</v>
          </cell>
          <cell r="X637">
            <v>44</v>
          </cell>
          <cell r="Y637">
            <v>0</v>
          </cell>
          <cell r="Z637">
            <v>46.1</v>
          </cell>
          <cell r="AA637">
            <v>0</v>
          </cell>
          <cell r="AB637">
            <v>0</v>
          </cell>
          <cell r="AC637">
            <v>0</v>
          </cell>
          <cell r="AD637">
            <v>1.0999999999999999E-2</v>
          </cell>
          <cell r="AE637">
            <v>0</v>
          </cell>
          <cell r="AF637">
            <v>0</v>
          </cell>
          <cell r="AG637">
            <v>0</v>
          </cell>
          <cell r="AH637">
            <v>0</v>
          </cell>
          <cell r="AI637">
            <v>0</v>
          </cell>
          <cell r="AJ637">
            <v>0</v>
          </cell>
          <cell r="AK637">
            <v>0</v>
          </cell>
          <cell r="AL637">
            <v>0</v>
          </cell>
        </row>
        <row r="638">
          <cell r="E638" t="str">
            <v>HIV-2.6mm</v>
          </cell>
          <cell r="F638" t="str">
            <v>ｍ</v>
          </cell>
          <cell r="G638">
            <v>0</v>
          </cell>
          <cell r="H638">
            <v>72.2</v>
          </cell>
          <cell r="I638">
            <v>0</v>
          </cell>
          <cell r="J638">
            <v>72.2</v>
          </cell>
          <cell r="K638">
            <v>0</v>
          </cell>
          <cell r="L638">
            <v>72.2</v>
          </cell>
          <cell r="M638">
            <v>0</v>
          </cell>
          <cell r="N638">
            <v>69.900000000000006</v>
          </cell>
          <cell r="O638">
            <v>0</v>
          </cell>
          <cell r="P638">
            <v>68.3</v>
          </cell>
          <cell r="Q638">
            <v>0</v>
          </cell>
          <cell r="R638">
            <v>71</v>
          </cell>
          <cell r="S638">
            <v>0</v>
          </cell>
          <cell r="T638">
            <v>68.8</v>
          </cell>
          <cell r="U638">
            <v>0</v>
          </cell>
          <cell r="V638">
            <v>71</v>
          </cell>
          <cell r="W638">
            <v>0</v>
          </cell>
          <cell r="X638">
            <v>68.8</v>
          </cell>
          <cell r="Y638">
            <v>0</v>
          </cell>
          <cell r="Z638">
            <v>72.2</v>
          </cell>
          <cell r="AA638">
            <v>0</v>
          </cell>
          <cell r="AB638">
            <v>0</v>
          </cell>
          <cell r="AC638">
            <v>0</v>
          </cell>
          <cell r="AD638">
            <v>1.4E-2</v>
          </cell>
          <cell r="AE638">
            <v>0</v>
          </cell>
          <cell r="AF638">
            <v>0</v>
          </cell>
          <cell r="AG638">
            <v>0</v>
          </cell>
          <cell r="AH638">
            <v>0</v>
          </cell>
          <cell r="AI638">
            <v>0</v>
          </cell>
          <cell r="AJ638">
            <v>0</v>
          </cell>
          <cell r="AK638">
            <v>0</v>
          </cell>
          <cell r="AL638">
            <v>0</v>
          </cell>
        </row>
        <row r="639">
          <cell r="E639" t="str">
            <v>HIV-0.9sq</v>
          </cell>
          <cell r="F639" t="str">
            <v>ｍ</v>
          </cell>
          <cell r="G639">
            <v>0</v>
          </cell>
          <cell r="H639">
            <v>24.6</v>
          </cell>
          <cell r="I639">
            <v>0</v>
          </cell>
          <cell r="J639">
            <v>24.6</v>
          </cell>
          <cell r="K639">
            <v>0</v>
          </cell>
          <cell r="L639">
            <v>24.6</v>
          </cell>
          <cell r="M639">
            <v>0</v>
          </cell>
          <cell r="N639">
            <v>23.9</v>
          </cell>
          <cell r="O639">
            <v>0</v>
          </cell>
          <cell r="P639">
            <v>23.3</v>
          </cell>
          <cell r="Q639">
            <v>0</v>
          </cell>
          <cell r="R639">
            <v>24.3</v>
          </cell>
          <cell r="S639">
            <v>0</v>
          </cell>
          <cell r="T639">
            <v>23.5</v>
          </cell>
          <cell r="U639">
            <v>0</v>
          </cell>
          <cell r="V639">
            <v>24.3</v>
          </cell>
          <cell r="W639">
            <v>0</v>
          </cell>
          <cell r="X639">
            <v>23.5</v>
          </cell>
          <cell r="Y639">
            <v>0</v>
          </cell>
          <cell r="Z639">
            <v>24.6</v>
          </cell>
          <cell r="AA639">
            <v>0</v>
          </cell>
          <cell r="AB639">
            <v>0</v>
          </cell>
          <cell r="AC639">
            <v>0</v>
          </cell>
          <cell r="AD639">
            <v>8.9999999999999993E-3</v>
          </cell>
          <cell r="AE639">
            <v>0</v>
          </cell>
          <cell r="AF639">
            <v>0</v>
          </cell>
          <cell r="AG639">
            <v>0</v>
          </cell>
          <cell r="AH639">
            <v>0</v>
          </cell>
          <cell r="AI639">
            <v>0</v>
          </cell>
          <cell r="AJ639">
            <v>0</v>
          </cell>
          <cell r="AK639">
            <v>0</v>
          </cell>
          <cell r="AL639">
            <v>0</v>
          </cell>
        </row>
        <row r="640">
          <cell r="E640" t="str">
            <v>HIV-1.25sq</v>
          </cell>
          <cell r="F640" t="str">
            <v>ｍ</v>
          </cell>
          <cell r="G640">
            <v>0</v>
          </cell>
          <cell r="H640">
            <v>24.7</v>
          </cell>
          <cell r="I640">
            <v>0</v>
          </cell>
          <cell r="J640">
            <v>24.7</v>
          </cell>
          <cell r="K640">
            <v>0</v>
          </cell>
          <cell r="L640">
            <v>24.7</v>
          </cell>
          <cell r="M640">
            <v>0</v>
          </cell>
          <cell r="N640">
            <v>23.9</v>
          </cell>
          <cell r="O640">
            <v>0</v>
          </cell>
          <cell r="P640">
            <v>23.4</v>
          </cell>
          <cell r="Q640">
            <v>0</v>
          </cell>
          <cell r="R640">
            <v>24.3</v>
          </cell>
          <cell r="S640">
            <v>0</v>
          </cell>
          <cell r="T640">
            <v>23.6</v>
          </cell>
          <cell r="U640">
            <v>0</v>
          </cell>
          <cell r="V640">
            <v>24.3</v>
          </cell>
          <cell r="W640">
            <v>0</v>
          </cell>
          <cell r="X640">
            <v>23.6</v>
          </cell>
          <cell r="Y640">
            <v>0</v>
          </cell>
          <cell r="Z640">
            <v>24.7</v>
          </cell>
          <cell r="AA640">
            <v>0</v>
          </cell>
          <cell r="AB640">
            <v>0</v>
          </cell>
          <cell r="AC640">
            <v>0</v>
          </cell>
          <cell r="AD640">
            <v>8.9999999999999993E-3</v>
          </cell>
          <cell r="AE640">
            <v>0</v>
          </cell>
          <cell r="AF640">
            <v>0</v>
          </cell>
          <cell r="AG640">
            <v>0</v>
          </cell>
          <cell r="AH640">
            <v>0</v>
          </cell>
          <cell r="AI640">
            <v>0</v>
          </cell>
          <cell r="AJ640">
            <v>0</v>
          </cell>
          <cell r="AK640">
            <v>0</v>
          </cell>
          <cell r="AL640">
            <v>0</v>
          </cell>
        </row>
        <row r="641">
          <cell r="E641" t="str">
            <v>HIV-2.0sq</v>
          </cell>
          <cell r="F641" t="str">
            <v>ｍ</v>
          </cell>
          <cell r="G641">
            <v>0</v>
          </cell>
          <cell r="H641">
            <v>36.1</v>
          </cell>
          <cell r="I641">
            <v>0</v>
          </cell>
          <cell r="J641">
            <v>36.1</v>
          </cell>
          <cell r="K641">
            <v>0</v>
          </cell>
          <cell r="L641">
            <v>36.1</v>
          </cell>
          <cell r="M641">
            <v>0</v>
          </cell>
          <cell r="N641">
            <v>35</v>
          </cell>
          <cell r="O641">
            <v>0</v>
          </cell>
          <cell r="P641">
            <v>34.1</v>
          </cell>
          <cell r="Q641">
            <v>0</v>
          </cell>
          <cell r="R641">
            <v>35.5</v>
          </cell>
          <cell r="S641">
            <v>0</v>
          </cell>
          <cell r="T641">
            <v>34.4</v>
          </cell>
          <cell r="U641">
            <v>0</v>
          </cell>
          <cell r="V641">
            <v>35.5</v>
          </cell>
          <cell r="W641">
            <v>0</v>
          </cell>
          <cell r="X641">
            <v>34.4</v>
          </cell>
          <cell r="Y641">
            <v>0</v>
          </cell>
          <cell r="Z641">
            <v>36.1</v>
          </cell>
          <cell r="AA641">
            <v>0</v>
          </cell>
          <cell r="AB641">
            <v>0</v>
          </cell>
          <cell r="AC641">
            <v>0</v>
          </cell>
          <cell r="AD641">
            <v>0.01</v>
          </cell>
          <cell r="AE641">
            <v>0</v>
          </cell>
          <cell r="AF641">
            <v>0</v>
          </cell>
          <cell r="AG641">
            <v>0</v>
          </cell>
          <cell r="AH641">
            <v>0</v>
          </cell>
          <cell r="AI641">
            <v>0</v>
          </cell>
          <cell r="AJ641">
            <v>0</v>
          </cell>
          <cell r="AK641">
            <v>0</v>
          </cell>
          <cell r="AL641">
            <v>0</v>
          </cell>
        </row>
        <row r="642">
          <cell r="E642" t="str">
            <v>HIV-3.5sq</v>
          </cell>
          <cell r="F642" t="str">
            <v>ｍ</v>
          </cell>
          <cell r="G642">
            <v>0</v>
          </cell>
          <cell r="H642">
            <v>53.2</v>
          </cell>
          <cell r="I642">
            <v>0</v>
          </cell>
          <cell r="J642">
            <v>53.2</v>
          </cell>
          <cell r="K642">
            <v>0</v>
          </cell>
          <cell r="L642">
            <v>53.2</v>
          </cell>
          <cell r="M642">
            <v>0</v>
          </cell>
          <cell r="N642">
            <v>51.5</v>
          </cell>
          <cell r="O642">
            <v>0</v>
          </cell>
          <cell r="P642">
            <v>50.3</v>
          </cell>
          <cell r="Q642">
            <v>0</v>
          </cell>
          <cell r="R642">
            <v>52.4</v>
          </cell>
          <cell r="S642">
            <v>0</v>
          </cell>
          <cell r="T642">
            <v>50.7</v>
          </cell>
          <cell r="U642">
            <v>0</v>
          </cell>
          <cell r="V642">
            <v>52.4</v>
          </cell>
          <cell r="W642">
            <v>0</v>
          </cell>
          <cell r="X642">
            <v>50.7</v>
          </cell>
          <cell r="Y642">
            <v>0</v>
          </cell>
          <cell r="Z642">
            <v>53.2</v>
          </cell>
          <cell r="AA642">
            <v>0</v>
          </cell>
          <cell r="AB642">
            <v>0</v>
          </cell>
          <cell r="AC642">
            <v>0</v>
          </cell>
          <cell r="AD642">
            <v>1.0999999999999999E-2</v>
          </cell>
          <cell r="AE642">
            <v>0</v>
          </cell>
          <cell r="AF642">
            <v>0</v>
          </cell>
          <cell r="AG642">
            <v>0</v>
          </cell>
          <cell r="AH642">
            <v>0</v>
          </cell>
          <cell r="AI642">
            <v>0</v>
          </cell>
          <cell r="AJ642">
            <v>0</v>
          </cell>
          <cell r="AK642">
            <v>0</v>
          </cell>
          <cell r="AL642">
            <v>0</v>
          </cell>
        </row>
        <row r="643">
          <cell r="E643" t="str">
            <v>HIV-5.5sq</v>
          </cell>
          <cell r="F643" t="str">
            <v>ｍ</v>
          </cell>
          <cell r="G643">
            <v>0</v>
          </cell>
          <cell r="H643">
            <v>77.400000000000006</v>
          </cell>
          <cell r="I643">
            <v>0</v>
          </cell>
          <cell r="J643">
            <v>77.400000000000006</v>
          </cell>
          <cell r="K643">
            <v>0</v>
          </cell>
          <cell r="L643">
            <v>77.400000000000006</v>
          </cell>
          <cell r="M643">
            <v>0</v>
          </cell>
          <cell r="N643">
            <v>75</v>
          </cell>
          <cell r="O643">
            <v>0</v>
          </cell>
          <cell r="P643">
            <v>73.2</v>
          </cell>
          <cell r="Q643">
            <v>0</v>
          </cell>
          <cell r="R643">
            <v>76.2</v>
          </cell>
          <cell r="S643">
            <v>0</v>
          </cell>
          <cell r="T643">
            <v>73.8</v>
          </cell>
          <cell r="U643">
            <v>0</v>
          </cell>
          <cell r="V643">
            <v>76.2</v>
          </cell>
          <cell r="W643">
            <v>0</v>
          </cell>
          <cell r="X643">
            <v>73.8</v>
          </cell>
          <cell r="Y643">
            <v>0</v>
          </cell>
          <cell r="Z643">
            <v>77.400000000000006</v>
          </cell>
          <cell r="AA643">
            <v>0</v>
          </cell>
          <cell r="AB643">
            <v>0</v>
          </cell>
          <cell r="AC643">
            <v>0</v>
          </cell>
          <cell r="AD643">
            <v>1.4E-2</v>
          </cell>
          <cell r="AE643">
            <v>0</v>
          </cell>
          <cell r="AF643">
            <v>0</v>
          </cell>
          <cell r="AG643">
            <v>0</v>
          </cell>
          <cell r="AH643">
            <v>0</v>
          </cell>
          <cell r="AI643">
            <v>0</v>
          </cell>
          <cell r="AJ643">
            <v>0</v>
          </cell>
          <cell r="AK643">
            <v>0</v>
          </cell>
          <cell r="AL643">
            <v>0</v>
          </cell>
        </row>
        <row r="644">
          <cell r="E644" t="str">
            <v>HIV-8sq</v>
          </cell>
          <cell r="F644" t="str">
            <v>ｍ</v>
          </cell>
          <cell r="G644">
            <v>0</v>
          </cell>
          <cell r="H644">
            <v>108</v>
          </cell>
          <cell r="I644">
            <v>0</v>
          </cell>
          <cell r="J644">
            <v>108</v>
          </cell>
          <cell r="K644">
            <v>0</v>
          </cell>
          <cell r="L644">
            <v>108</v>
          </cell>
          <cell r="M644">
            <v>0</v>
          </cell>
          <cell r="N644">
            <v>105</v>
          </cell>
          <cell r="O644">
            <v>0</v>
          </cell>
          <cell r="P644">
            <v>102</v>
          </cell>
          <cell r="Q644">
            <v>0</v>
          </cell>
          <cell r="R644">
            <v>106</v>
          </cell>
          <cell r="S644">
            <v>0</v>
          </cell>
          <cell r="T644">
            <v>103</v>
          </cell>
          <cell r="U644">
            <v>0</v>
          </cell>
          <cell r="V644">
            <v>106</v>
          </cell>
          <cell r="W644">
            <v>0</v>
          </cell>
          <cell r="X644">
            <v>103</v>
          </cell>
          <cell r="Y644">
            <v>0</v>
          </cell>
          <cell r="Z644">
            <v>108</v>
          </cell>
          <cell r="AA644">
            <v>0</v>
          </cell>
          <cell r="AB644">
            <v>0</v>
          </cell>
          <cell r="AC644">
            <v>0</v>
          </cell>
          <cell r="AD644">
            <v>1.6E-2</v>
          </cell>
          <cell r="AE644">
            <v>0</v>
          </cell>
          <cell r="AF644">
            <v>0</v>
          </cell>
          <cell r="AG644">
            <v>0</v>
          </cell>
          <cell r="AH644">
            <v>0</v>
          </cell>
          <cell r="AI644">
            <v>0</v>
          </cell>
          <cell r="AJ644">
            <v>0</v>
          </cell>
          <cell r="AK644">
            <v>0</v>
          </cell>
          <cell r="AL644">
            <v>0</v>
          </cell>
        </row>
        <row r="645">
          <cell r="E645" t="str">
            <v>HIV-14sq</v>
          </cell>
          <cell r="F645" t="str">
            <v>ｍ</v>
          </cell>
          <cell r="G645">
            <v>0</v>
          </cell>
          <cell r="H645">
            <v>184</v>
          </cell>
          <cell r="I645">
            <v>0</v>
          </cell>
          <cell r="J645">
            <v>184</v>
          </cell>
          <cell r="K645">
            <v>0</v>
          </cell>
          <cell r="L645">
            <v>184</v>
          </cell>
          <cell r="M645">
            <v>0</v>
          </cell>
          <cell r="N645">
            <v>178</v>
          </cell>
          <cell r="O645">
            <v>0</v>
          </cell>
          <cell r="P645">
            <v>174</v>
          </cell>
          <cell r="Q645">
            <v>0</v>
          </cell>
          <cell r="R645">
            <v>181</v>
          </cell>
          <cell r="S645">
            <v>0</v>
          </cell>
          <cell r="T645">
            <v>175</v>
          </cell>
          <cell r="U645">
            <v>0</v>
          </cell>
          <cell r="V645">
            <v>181</v>
          </cell>
          <cell r="W645">
            <v>0</v>
          </cell>
          <cell r="X645">
            <v>175</v>
          </cell>
          <cell r="Y645">
            <v>0</v>
          </cell>
          <cell r="Z645">
            <v>184</v>
          </cell>
          <cell r="AA645">
            <v>0</v>
          </cell>
          <cell r="AB645">
            <v>0</v>
          </cell>
          <cell r="AC645">
            <v>0</v>
          </cell>
          <cell r="AD645">
            <v>0.02</v>
          </cell>
          <cell r="AE645">
            <v>0</v>
          </cell>
          <cell r="AF645">
            <v>0</v>
          </cell>
          <cell r="AG645">
            <v>0</v>
          </cell>
          <cell r="AH645">
            <v>0</v>
          </cell>
          <cell r="AI645">
            <v>0</v>
          </cell>
          <cell r="AJ645">
            <v>0</v>
          </cell>
          <cell r="AK645">
            <v>0</v>
          </cell>
          <cell r="AL645">
            <v>0</v>
          </cell>
        </row>
        <row r="646">
          <cell r="E646" t="str">
            <v>HIV-22sq</v>
          </cell>
          <cell r="F646" t="str">
            <v>ｍ</v>
          </cell>
          <cell r="G646">
            <v>0</v>
          </cell>
          <cell r="H646">
            <v>281</v>
          </cell>
          <cell r="I646">
            <v>0</v>
          </cell>
          <cell r="J646">
            <v>281</v>
          </cell>
          <cell r="K646">
            <v>0</v>
          </cell>
          <cell r="L646">
            <v>281</v>
          </cell>
          <cell r="M646">
            <v>0</v>
          </cell>
          <cell r="N646">
            <v>272</v>
          </cell>
          <cell r="O646">
            <v>0</v>
          </cell>
          <cell r="P646">
            <v>266</v>
          </cell>
          <cell r="Q646">
            <v>0</v>
          </cell>
          <cell r="R646">
            <v>276</v>
          </cell>
          <cell r="S646">
            <v>0</v>
          </cell>
          <cell r="T646">
            <v>268</v>
          </cell>
          <cell r="U646">
            <v>0</v>
          </cell>
          <cell r="V646">
            <v>276</v>
          </cell>
          <cell r="W646">
            <v>0</v>
          </cell>
          <cell r="X646">
            <v>268</v>
          </cell>
          <cell r="Y646">
            <v>0</v>
          </cell>
          <cell r="Z646">
            <v>281</v>
          </cell>
          <cell r="AA646">
            <v>0</v>
          </cell>
          <cell r="AB646">
            <v>0</v>
          </cell>
          <cell r="AC646">
            <v>0</v>
          </cell>
          <cell r="AD646">
            <v>2.4E-2</v>
          </cell>
          <cell r="AE646">
            <v>0</v>
          </cell>
          <cell r="AF646">
            <v>0</v>
          </cell>
          <cell r="AG646">
            <v>0</v>
          </cell>
          <cell r="AH646">
            <v>0</v>
          </cell>
          <cell r="AI646">
            <v>0</v>
          </cell>
          <cell r="AJ646">
            <v>0</v>
          </cell>
          <cell r="AK646">
            <v>0</v>
          </cell>
          <cell r="AL646">
            <v>0</v>
          </cell>
        </row>
        <row r="647">
          <cell r="E647" t="str">
            <v>HIV-38sq</v>
          </cell>
          <cell r="F647" t="str">
            <v>ｍ</v>
          </cell>
          <cell r="G647">
            <v>0</v>
          </cell>
          <cell r="H647">
            <v>458</v>
          </cell>
          <cell r="I647">
            <v>0</v>
          </cell>
          <cell r="J647">
            <v>458</v>
          </cell>
          <cell r="K647">
            <v>0</v>
          </cell>
          <cell r="L647">
            <v>458</v>
          </cell>
          <cell r="M647">
            <v>0</v>
          </cell>
          <cell r="N647">
            <v>444</v>
          </cell>
          <cell r="O647">
            <v>0</v>
          </cell>
          <cell r="P647">
            <v>433</v>
          </cell>
          <cell r="Q647">
            <v>0</v>
          </cell>
          <cell r="R647">
            <v>451</v>
          </cell>
          <cell r="S647">
            <v>0</v>
          </cell>
          <cell r="T647">
            <v>436</v>
          </cell>
          <cell r="U647">
            <v>0</v>
          </cell>
          <cell r="V647">
            <v>451</v>
          </cell>
          <cell r="W647">
            <v>0</v>
          </cell>
          <cell r="X647">
            <v>436</v>
          </cell>
          <cell r="Y647">
            <v>0</v>
          </cell>
          <cell r="Z647">
            <v>458</v>
          </cell>
          <cell r="AA647">
            <v>0</v>
          </cell>
          <cell r="AB647">
            <v>0</v>
          </cell>
          <cell r="AC647">
            <v>0</v>
          </cell>
          <cell r="AD647">
            <v>3.2000000000000001E-2</v>
          </cell>
          <cell r="AE647">
            <v>0</v>
          </cell>
          <cell r="AF647">
            <v>0</v>
          </cell>
          <cell r="AG647">
            <v>0</v>
          </cell>
          <cell r="AH647">
            <v>0</v>
          </cell>
          <cell r="AI647">
            <v>0</v>
          </cell>
          <cell r="AJ647">
            <v>0</v>
          </cell>
          <cell r="AK647">
            <v>0</v>
          </cell>
          <cell r="AL647">
            <v>0</v>
          </cell>
        </row>
        <row r="648">
          <cell r="E648" t="str">
            <v>HIV-60sq</v>
          </cell>
          <cell r="F648" t="str">
            <v>ｍ</v>
          </cell>
          <cell r="G648">
            <v>0</v>
          </cell>
          <cell r="H648">
            <v>711</v>
          </cell>
          <cell r="I648">
            <v>0</v>
          </cell>
          <cell r="J648">
            <v>711</v>
          </cell>
          <cell r="K648">
            <v>0</v>
          </cell>
          <cell r="L648">
            <v>711</v>
          </cell>
          <cell r="M648">
            <v>0</v>
          </cell>
          <cell r="N648">
            <v>689</v>
          </cell>
          <cell r="O648">
            <v>0</v>
          </cell>
          <cell r="P648">
            <v>673</v>
          </cell>
          <cell r="Q648">
            <v>0</v>
          </cell>
          <cell r="R648">
            <v>700</v>
          </cell>
          <cell r="S648">
            <v>0</v>
          </cell>
          <cell r="T648">
            <v>678</v>
          </cell>
          <cell r="U648">
            <v>0</v>
          </cell>
          <cell r="V648">
            <v>700</v>
          </cell>
          <cell r="W648">
            <v>0</v>
          </cell>
          <cell r="X648">
            <v>678</v>
          </cell>
          <cell r="Y648">
            <v>0</v>
          </cell>
          <cell r="Z648">
            <v>711</v>
          </cell>
          <cell r="AA648">
            <v>0</v>
          </cell>
          <cell r="AB648">
            <v>0</v>
          </cell>
          <cell r="AC648">
            <v>0</v>
          </cell>
          <cell r="AD648">
            <v>4.2000000000000003E-2</v>
          </cell>
          <cell r="AE648">
            <v>0</v>
          </cell>
          <cell r="AF648">
            <v>0</v>
          </cell>
          <cell r="AG648">
            <v>0</v>
          </cell>
          <cell r="AH648">
            <v>0</v>
          </cell>
          <cell r="AI648">
            <v>0</v>
          </cell>
          <cell r="AJ648">
            <v>0</v>
          </cell>
          <cell r="AK648">
            <v>0</v>
          </cell>
          <cell r="AL648">
            <v>0</v>
          </cell>
        </row>
        <row r="649">
          <cell r="E649" t="str">
            <v>HIV-100sq</v>
          </cell>
          <cell r="F649" t="str">
            <v>ｍ</v>
          </cell>
          <cell r="G649">
            <v>0</v>
          </cell>
          <cell r="H649">
            <v>1201</v>
          </cell>
          <cell r="I649">
            <v>0</v>
          </cell>
          <cell r="J649">
            <v>1201</v>
          </cell>
          <cell r="K649">
            <v>0</v>
          </cell>
          <cell r="L649">
            <v>1201</v>
          </cell>
          <cell r="M649">
            <v>0</v>
          </cell>
          <cell r="N649">
            <v>1164</v>
          </cell>
          <cell r="O649">
            <v>0</v>
          </cell>
          <cell r="P649">
            <v>1137</v>
          </cell>
          <cell r="Q649">
            <v>0</v>
          </cell>
          <cell r="R649">
            <v>1183</v>
          </cell>
          <cell r="S649">
            <v>0</v>
          </cell>
          <cell r="T649">
            <v>1146</v>
          </cell>
          <cell r="U649">
            <v>0</v>
          </cell>
          <cell r="V649">
            <v>1183</v>
          </cell>
          <cell r="W649">
            <v>0</v>
          </cell>
          <cell r="X649">
            <v>1146</v>
          </cell>
          <cell r="Y649">
            <v>0</v>
          </cell>
          <cell r="Z649">
            <v>1201</v>
          </cell>
          <cell r="AA649">
            <v>0</v>
          </cell>
          <cell r="AB649">
            <v>0</v>
          </cell>
          <cell r="AC649">
            <v>0</v>
          </cell>
          <cell r="AD649">
            <v>5.6000000000000001E-2</v>
          </cell>
          <cell r="AE649">
            <v>0</v>
          </cell>
          <cell r="AF649">
            <v>0</v>
          </cell>
          <cell r="AG649">
            <v>0</v>
          </cell>
          <cell r="AH649">
            <v>0</v>
          </cell>
          <cell r="AI649">
            <v>0</v>
          </cell>
          <cell r="AJ649">
            <v>0</v>
          </cell>
          <cell r="AK649">
            <v>0</v>
          </cell>
          <cell r="AL649">
            <v>0</v>
          </cell>
        </row>
        <row r="650">
          <cell r="E650" t="str">
            <v>HIV-150sq</v>
          </cell>
          <cell r="F650" t="str">
            <v>ｍ</v>
          </cell>
          <cell r="G650">
            <v>0</v>
          </cell>
          <cell r="H650">
            <v>1766</v>
          </cell>
          <cell r="I650">
            <v>0</v>
          </cell>
          <cell r="J650">
            <v>1766</v>
          </cell>
          <cell r="K650">
            <v>0</v>
          </cell>
          <cell r="L650">
            <v>1766</v>
          </cell>
          <cell r="M650">
            <v>0</v>
          </cell>
          <cell r="N650">
            <v>1712</v>
          </cell>
          <cell r="O650">
            <v>0</v>
          </cell>
          <cell r="P650">
            <v>1671</v>
          </cell>
          <cell r="Q650">
            <v>0</v>
          </cell>
          <cell r="R650">
            <v>1739</v>
          </cell>
          <cell r="S650">
            <v>0</v>
          </cell>
          <cell r="T650">
            <v>1685</v>
          </cell>
          <cell r="U650">
            <v>0</v>
          </cell>
          <cell r="V650">
            <v>1739</v>
          </cell>
          <cell r="W650">
            <v>0</v>
          </cell>
          <cell r="X650">
            <v>1685</v>
          </cell>
          <cell r="Y650">
            <v>0</v>
          </cell>
          <cell r="Z650">
            <v>1766</v>
          </cell>
          <cell r="AA650">
            <v>0</v>
          </cell>
          <cell r="AB650">
            <v>0</v>
          </cell>
          <cell r="AC650">
            <v>0</v>
          </cell>
          <cell r="AD650">
            <v>7.2999999999999995E-2</v>
          </cell>
          <cell r="AE650">
            <v>0</v>
          </cell>
          <cell r="AF650">
            <v>0</v>
          </cell>
          <cell r="AG650">
            <v>0</v>
          </cell>
          <cell r="AH650">
            <v>0</v>
          </cell>
          <cell r="AI650">
            <v>0</v>
          </cell>
          <cell r="AJ650">
            <v>0</v>
          </cell>
          <cell r="AK650">
            <v>0</v>
          </cell>
          <cell r="AL650">
            <v>0</v>
          </cell>
        </row>
        <row r="651">
          <cell r="E651" t="str">
            <v>HIV-200sq</v>
          </cell>
          <cell r="F651" t="str">
            <v>ｍ</v>
          </cell>
          <cell r="G651">
            <v>0</v>
          </cell>
          <cell r="H651">
            <v>2284</v>
          </cell>
          <cell r="I651">
            <v>0</v>
          </cell>
          <cell r="J651">
            <v>2284</v>
          </cell>
          <cell r="K651">
            <v>0</v>
          </cell>
          <cell r="L651">
            <v>2284</v>
          </cell>
          <cell r="M651">
            <v>0</v>
          </cell>
          <cell r="N651">
            <v>2214</v>
          </cell>
          <cell r="O651">
            <v>0</v>
          </cell>
          <cell r="P651">
            <v>2161</v>
          </cell>
          <cell r="Q651">
            <v>0</v>
          </cell>
          <cell r="R651">
            <v>2249</v>
          </cell>
          <cell r="S651">
            <v>0</v>
          </cell>
          <cell r="T651">
            <v>2179</v>
          </cell>
          <cell r="U651">
            <v>0</v>
          </cell>
          <cell r="V651">
            <v>2249</v>
          </cell>
          <cell r="W651">
            <v>0</v>
          </cell>
          <cell r="X651">
            <v>2179</v>
          </cell>
          <cell r="Y651">
            <v>0</v>
          </cell>
          <cell r="Z651">
            <v>2284</v>
          </cell>
          <cell r="AA651">
            <v>0</v>
          </cell>
          <cell r="AB651">
            <v>0</v>
          </cell>
          <cell r="AC651">
            <v>0</v>
          </cell>
          <cell r="AD651">
            <v>8.3000000000000004E-2</v>
          </cell>
          <cell r="AE651">
            <v>0</v>
          </cell>
          <cell r="AF651">
            <v>0</v>
          </cell>
          <cell r="AG651">
            <v>0</v>
          </cell>
          <cell r="AH651">
            <v>0</v>
          </cell>
          <cell r="AI651">
            <v>0</v>
          </cell>
          <cell r="AJ651">
            <v>0</v>
          </cell>
          <cell r="AK651">
            <v>0</v>
          </cell>
          <cell r="AL651">
            <v>0</v>
          </cell>
        </row>
        <row r="652">
          <cell r="E652" t="str">
            <v>HIV-250sq</v>
          </cell>
          <cell r="F652" t="str">
            <v>ｍ</v>
          </cell>
          <cell r="G652">
            <v>0</v>
          </cell>
          <cell r="H652">
            <v>2915</v>
          </cell>
          <cell r="I652">
            <v>0</v>
          </cell>
          <cell r="J652">
            <v>2915</v>
          </cell>
          <cell r="K652">
            <v>0</v>
          </cell>
          <cell r="L652">
            <v>2915</v>
          </cell>
          <cell r="M652">
            <v>0</v>
          </cell>
          <cell r="N652">
            <v>2826</v>
          </cell>
          <cell r="O652">
            <v>0</v>
          </cell>
          <cell r="P652">
            <v>2758</v>
          </cell>
          <cell r="Q652">
            <v>0</v>
          </cell>
          <cell r="R652">
            <v>2870</v>
          </cell>
          <cell r="S652">
            <v>0</v>
          </cell>
          <cell r="T652">
            <v>2781</v>
          </cell>
          <cell r="U652">
            <v>0</v>
          </cell>
          <cell r="V652">
            <v>2870</v>
          </cell>
          <cell r="W652">
            <v>0</v>
          </cell>
          <cell r="X652">
            <v>2781</v>
          </cell>
          <cell r="Y652">
            <v>0</v>
          </cell>
          <cell r="Z652">
            <v>2915</v>
          </cell>
          <cell r="AA652">
            <v>0</v>
          </cell>
          <cell r="AB652">
            <v>0</v>
          </cell>
          <cell r="AC652">
            <v>0</v>
          </cell>
          <cell r="AD652">
            <v>9.8000000000000004E-2</v>
          </cell>
          <cell r="AE652">
            <v>0</v>
          </cell>
          <cell r="AF652">
            <v>0</v>
          </cell>
          <cell r="AG652">
            <v>0</v>
          </cell>
          <cell r="AH652">
            <v>0</v>
          </cell>
          <cell r="AI652">
            <v>0</v>
          </cell>
          <cell r="AJ652">
            <v>0</v>
          </cell>
          <cell r="AK652">
            <v>0</v>
          </cell>
          <cell r="AL652">
            <v>0</v>
          </cell>
        </row>
        <row r="653">
          <cell r="E653" t="str">
            <v>HIV-325sq</v>
          </cell>
          <cell r="F653" t="str">
            <v>ｍ</v>
          </cell>
          <cell r="G653">
            <v>0</v>
          </cell>
          <cell r="H653">
            <v>3704</v>
          </cell>
          <cell r="I653">
            <v>0</v>
          </cell>
          <cell r="J653">
            <v>3704</v>
          </cell>
          <cell r="K653">
            <v>0</v>
          </cell>
          <cell r="L653">
            <v>3704</v>
          </cell>
          <cell r="M653">
            <v>0</v>
          </cell>
          <cell r="N653">
            <v>3590</v>
          </cell>
          <cell r="O653">
            <v>0</v>
          </cell>
          <cell r="P653">
            <v>3505</v>
          </cell>
          <cell r="Q653">
            <v>0</v>
          </cell>
          <cell r="R653">
            <v>3647</v>
          </cell>
          <cell r="S653">
            <v>0</v>
          </cell>
          <cell r="T653">
            <v>3533</v>
          </cell>
          <cell r="U653">
            <v>0</v>
          </cell>
          <cell r="V653">
            <v>3647</v>
          </cell>
          <cell r="W653">
            <v>0</v>
          </cell>
          <cell r="X653">
            <v>3533</v>
          </cell>
          <cell r="Y653">
            <v>0</v>
          </cell>
          <cell r="Z653">
            <v>3704</v>
          </cell>
          <cell r="AA653">
            <v>0</v>
          </cell>
          <cell r="AB653">
            <v>0</v>
          </cell>
          <cell r="AC653">
            <v>0</v>
          </cell>
          <cell r="AD653">
            <v>0.11700000000000001</v>
          </cell>
          <cell r="AE653">
            <v>0</v>
          </cell>
          <cell r="AF653">
            <v>0</v>
          </cell>
          <cell r="AG653">
            <v>0</v>
          </cell>
          <cell r="AH653">
            <v>0</v>
          </cell>
          <cell r="AI653">
            <v>0</v>
          </cell>
          <cell r="AJ653">
            <v>0</v>
          </cell>
          <cell r="AK653">
            <v>0</v>
          </cell>
          <cell r="AL653">
            <v>0</v>
          </cell>
        </row>
        <row r="654">
          <cell r="E654" t="str">
            <v>VV-F 1.6mm-2C</v>
          </cell>
          <cell r="F654" t="str">
            <v>ｍ</v>
          </cell>
          <cell r="G654">
            <v>0</v>
          </cell>
          <cell r="H654">
            <v>40.5</v>
          </cell>
          <cell r="I654">
            <v>0</v>
          </cell>
          <cell r="J654">
            <v>40</v>
          </cell>
          <cell r="K654">
            <v>0</v>
          </cell>
          <cell r="L654">
            <v>40</v>
          </cell>
          <cell r="M654">
            <v>0</v>
          </cell>
          <cell r="N654">
            <v>39.5</v>
          </cell>
          <cell r="O654">
            <v>0</v>
          </cell>
          <cell r="P654">
            <v>39</v>
          </cell>
          <cell r="Q654">
            <v>0</v>
          </cell>
          <cell r="R654">
            <v>40</v>
          </cell>
          <cell r="S654">
            <v>0</v>
          </cell>
          <cell r="T654">
            <v>41</v>
          </cell>
          <cell r="U654">
            <v>0</v>
          </cell>
          <cell r="V654">
            <v>41.5</v>
          </cell>
          <cell r="W654">
            <v>0</v>
          </cell>
          <cell r="X654">
            <v>40</v>
          </cell>
          <cell r="Y654">
            <v>0</v>
          </cell>
          <cell r="Z654">
            <v>42</v>
          </cell>
          <cell r="AA654">
            <v>0</v>
          </cell>
          <cell r="AB654">
            <v>0</v>
          </cell>
          <cell r="AC654">
            <v>0</v>
          </cell>
          <cell r="AD654">
            <v>1.2999999999999999E-2</v>
          </cell>
          <cell r="AE654">
            <v>0</v>
          </cell>
          <cell r="AF654">
            <v>0</v>
          </cell>
          <cell r="AG654">
            <v>0</v>
          </cell>
          <cell r="AH654">
            <v>0</v>
          </cell>
          <cell r="AI654">
            <v>0</v>
          </cell>
          <cell r="AJ654">
            <v>0</v>
          </cell>
          <cell r="AK654">
            <v>0</v>
          </cell>
          <cell r="AL654">
            <v>0</v>
          </cell>
        </row>
        <row r="655">
          <cell r="E655" t="str">
            <v>VV-F 2.0mm-2C</v>
          </cell>
          <cell r="F655" t="str">
            <v>ｍ</v>
          </cell>
          <cell r="G655">
            <v>0</v>
          </cell>
          <cell r="H655">
            <v>73</v>
          </cell>
          <cell r="I655">
            <v>0</v>
          </cell>
          <cell r="J655">
            <v>72</v>
          </cell>
          <cell r="K655">
            <v>0</v>
          </cell>
          <cell r="L655">
            <v>72</v>
          </cell>
          <cell r="M655">
            <v>0</v>
          </cell>
          <cell r="N655">
            <v>71</v>
          </cell>
          <cell r="O655">
            <v>0</v>
          </cell>
          <cell r="P655">
            <v>70</v>
          </cell>
          <cell r="Q655">
            <v>0</v>
          </cell>
          <cell r="R655">
            <v>72</v>
          </cell>
          <cell r="S655">
            <v>0</v>
          </cell>
          <cell r="T655">
            <v>74</v>
          </cell>
          <cell r="U655">
            <v>0</v>
          </cell>
          <cell r="V655">
            <v>74.5</v>
          </cell>
          <cell r="W655">
            <v>0</v>
          </cell>
          <cell r="X655">
            <v>72</v>
          </cell>
          <cell r="Y655">
            <v>0</v>
          </cell>
          <cell r="Z655">
            <v>75.5</v>
          </cell>
          <cell r="AA655">
            <v>0</v>
          </cell>
          <cell r="AB655">
            <v>0</v>
          </cell>
          <cell r="AC655">
            <v>0</v>
          </cell>
          <cell r="AD655">
            <v>1.7000000000000001E-2</v>
          </cell>
          <cell r="AE655">
            <v>0</v>
          </cell>
          <cell r="AF655">
            <v>0</v>
          </cell>
          <cell r="AG655">
            <v>0</v>
          </cell>
          <cell r="AH655">
            <v>0</v>
          </cell>
          <cell r="AI655">
            <v>0</v>
          </cell>
          <cell r="AJ655">
            <v>0</v>
          </cell>
          <cell r="AK655">
            <v>0</v>
          </cell>
          <cell r="AL655">
            <v>0</v>
          </cell>
        </row>
        <row r="656">
          <cell r="E656" t="str">
            <v>VV-F 2.6mm-2C</v>
          </cell>
          <cell r="F656" t="str">
            <v>ｍ</v>
          </cell>
          <cell r="G656">
            <v>0</v>
          </cell>
          <cell r="H656">
            <v>134</v>
          </cell>
          <cell r="I656">
            <v>0</v>
          </cell>
          <cell r="J656">
            <v>132</v>
          </cell>
          <cell r="K656">
            <v>0</v>
          </cell>
          <cell r="L656">
            <v>132</v>
          </cell>
          <cell r="M656">
            <v>0</v>
          </cell>
          <cell r="N656">
            <v>131</v>
          </cell>
          <cell r="O656">
            <v>0</v>
          </cell>
          <cell r="P656">
            <v>129</v>
          </cell>
          <cell r="Q656">
            <v>0</v>
          </cell>
          <cell r="R656">
            <v>132</v>
          </cell>
          <cell r="S656">
            <v>0</v>
          </cell>
          <cell r="T656">
            <v>136</v>
          </cell>
          <cell r="U656">
            <v>0</v>
          </cell>
          <cell r="V656">
            <v>137</v>
          </cell>
          <cell r="W656">
            <v>0</v>
          </cell>
          <cell r="X656">
            <v>132</v>
          </cell>
          <cell r="Y656">
            <v>0</v>
          </cell>
          <cell r="Z656">
            <v>139</v>
          </cell>
          <cell r="AA656">
            <v>0</v>
          </cell>
          <cell r="AB656">
            <v>0</v>
          </cell>
          <cell r="AC656">
            <v>0</v>
          </cell>
          <cell r="AD656">
            <v>2.1000000000000001E-2</v>
          </cell>
          <cell r="AE656">
            <v>0</v>
          </cell>
          <cell r="AF656">
            <v>0</v>
          </cell>
          <cell r="AG656">
            <v>0</v>
          </cell>
          <cell r="AH656">
            <v>0</v>
          </cell>
          <cell r="AI656">
            <v>0</v>
          </cell>
          <cell r="AJ656">
            <v>0</v>
          </cell>
          <cell r="AK656">
            <v>0</v>
          </cell>
          <cell r="AL656">
            <v>0</v>
          </cell>
        </row>
        <row r="657">
          <cell r="E657" t="str">
            <v>VV-F 1.6mm-3C</v>
          </cell>
          <cell r="F657" t="str">
            <v>ｍ</v>
          </cell>
          <cell r="G657">
            <v>0</v>
          </cell>
          <cell r="H657">
            <v>76</v>
          </cell>
          <cell r="I657">
            <v>0</v>
          </cell>
          <cell r="J657">
            <v>75</v>
          </cell>
          <cell r="K657">
            <v>0</v>
          </cell>
          <cell r="L657">
            <v>75</v>
          </cell>
          <cell r="M657">
            <v>0</v>
          </cell>
          <cell r="N657">
            <v>74.5</v>
          </cell>
          <cell r="O657">
            <v>0</v>
          </cell>
          <cell r="P657">
            <v>73.5</v>
          </cell>
          <cell r="Q657">
            <v>0</v>
          </cell>
          <cell r="R657">
            <v>75</v>
          </cell>
          <cell r="S657">
            <v>0</v>
          </cell>
          <cell r="T657">
            <v>77</v>
          </cell>
          <cell r="U657">
            <v>0</v>
          </cell>
          <cell r="V657">
            <v>78</v>
          </cell>
          <cell r="W657">
            <v>0</v>
          </cell>
          <cell r="X657">
            <v>75</v>
          </cell>
          <cell r="Y657">
            <v>0</v>
          </cell>
          <cell r="Z657">
            <v>79</v>
          </cell>
          <cell r="AA657">
            <v>0</v>
          </cell>
          <cell r="AB657">
            <v>0</v>
          </cell>
          <cell r="AC657">
            <v>0</v>
          </cell>
          <cell r="AD657">
            <v>1.7000000000000001E-2</v>
          </cell>
          <cell r="AE657">
            <v>0</v>
          </cell>
          <cell r="AF657">
            <v>0</v>
          </cell>
          <cell r="AG657">
            <v>0</v>
          </cell>
          <cell r="AH657">
            <v>0</v>
          </cell>
          <cell r="AI657">
            <v>0</v>
          </cell>
          <cell r="AJ657">
            <v>0</v>
          </cell>
          <cell r="AK657">
            <v>0</v>
          </cell>
          <cell r="AL657">
            <v>0</v>
          </cell>
        </row>
        <row r="658">
          <cell r="E658" t="str">
            <v>VV-F 2.0mm-3C</v>
          </cell>
          <cell r="F658" t="str">
            <v>ｍ</v>
          </cell>
          <cell r="G658">
            <v>0</v>
          </cell>
          <cell r="H658">
            <v>121</v>
          </cell>
          <cell r="I658">
            <v>0</v>
          </cell>
          <cell r="J658">
            <v>120</v>
          </cell>
          <cell r="K658">
            <v>0</v>
          </cell>
          <cell r="L658">
            <v>120</v>
          </cell>
          <cell r="M658">
            <v>0</v>
          </cell>
          <cell r="N658">
            <v>118</v>
          </cell>
          <cell r="O658">
            <v>0</v>
          </cell>
          <cell r="P658">
            <v>117</v>
          </cell>
          <cell r="Q658">
            <v>0</v>
          </cell>
          <cell r="R658">
            <v>120</v>
          </cell>
          <cell r="S658">
            <v>0</v>
          </cell>
          <cell r="T658">
            <v>123</v>
          </cell>
          <cell r="U658">
            <v>0</v>
          </cell>
          <cell r="V658">
            <v>124</v>
          </cell>
          <cell r="W658">
            <v>0</v>
          </cell>
          <cell r="X658">
            <v>120</v>
          </cell>
          <cell r="Y658">
            <v>0</v>
          </cell>
          <cell r="Z658">
            <v>128</v>
          </cell>
          <cell r="AA658">
            <v>0</v>
          </cell>
          <cell r="AB658">
            <v>0</v>
          </cell>
          <cell r="AC658">
            <v>0</v>
          </cell>
          <cell r="AD658">
            <v>2.1000000000000001E-2</v>
          </cell>
          <cell r="AE658">
            <v>0</v>
          </cell>
          <cell r="AF658">
            <v>0</v>
          </cell>
          <cell r="AG658">
            <v>0</v>
          </cell>
          <cell r="AH658">
            <v>0</v>
          </cell>
          <cell r="AI658">
            <v>0</v>
          </cell>
          <cell r="AJ658">
            <v>0</v>
          </cell>
          <cell r="AK658">
            <v>0</v>
          </cell>
          <cell r="AL658">
            <v>0</v>
          </cell>
        </row>
        <row r="659">
          <cell r="E659" t="str">
            <v>VV-F 2.6mm-3C</v>
          </cell>
          <cell r="F659" t="str">
            <v>ｍ</v>
          </cell>
          <cell r="G659">
            <v>0</v>
          </cell>
          <cell r="H659">
            <v>175</v>
          </cell>
          <cell r="I659">
            <v>0</v>
          </cell>
          <cell r="J659">
            <v>173</v>
          </cell>
          <cell r="K659">
            <v>0</v>
          </cell>
          <cell r="L659">
            <v>173</v>
          </cell>
          <cell r="M659">
            <v>0</v>
          </cell>
          <cell r="N659">
            <v>171</v>
          </cell>
          <cell r="O659">
            <v>0</v>
          </cell>
          <cell r="P659">
            <v>168</v>
          </cell>
          <cell r="Q659">
            <v>0</v>
          </cell>
          <cell r="R659">
            <v>173</v>
          </cell>
          <cell r="S659">
            <v>0</v>
          </cell>
          <cell r="T659">
            <v>177</v>
          </cell>
          <cell r="U659">
            <v>0</v>
          </cell>
          <cell r="V659">
            <v>179</v>
          </cell>
          <cell r="W659">
            <v>0</v>
          </cell>
          <cell r="X659">
            <v>173</v>
          </cell>
          <cell r="Y659">
            <v>0</v>
          </cell>
          <cell r="Z659">
            <v>181</v>
          </cell>
          <cell r="AA659">
            <v>0</v>
          </cell>
          <cell r="AB659">
            <v>0</v>
          </cell>
          <cell r="AC659">
            <v>0</v>
          </cell>
          <cell r="AD659">
            <v>2.5999999999999999E-2</v>
          </cell>
          <cell r="AE659">
            <v>0</v>
          </cell>
          <cell r="AF659">
            <v>0</v>
          </cell>
          <cell r="AG659">
            <v>0</v>
          </cell>
          <cell r="AH659">
            <v>0</v>
          </cell>
          <cell r="AI659">
            <v>0</v>
          </cell>
          <cell r="AJ659">
            <v>0</v>
          </cell>
          <cell r="AK659">
            <v>0</v>
          </cell>
          <cell r="AL659">
            <v>0</v>
          </cell>
        </row>
        <row r="660">
          <cell r="E660" t="str">
            <v>VV-F 1.6mm-4C</v>
          </cell>
          <cell r="F660" t="str">
            <v>ｍ</v>
          </cell>
          <cell r="G660">
            <v>0</v>
          </cell>
          <cell r="H660">
            <v>123</v>
          </cell>
          <cell r="I660">
            <v>0</v>
          </cell>
          <cell r="J660">
            <v>122</v>
          </cell>
          <cell r="K660">
            <v>0</v>
          </cell>
          <cell r="L660">
            <v>122</v>
          </cell>
          <cell r="M660">
            <v>0</v>
          </cell>
          <cell r="N660">
            <v>120</v>
          </cell>
          <cell r="O660">
            <v>0</v>
          </cell>
          <cell r="P660">
            <v>119</v>
          </cell>
          <cell r="Q660">
            <v>0</v>
          </cell>
          <cell r="R660">
            <v>122</v>
          </cell>
          <cell r="S660">
            <v>0</v>
          </cell>
          <cell r="T660">
            <v>125</v>
          </cell>
          <cell r="U660">
            <v>0</v>
          </cell>
          <cell r="V660">
            <v>126</v>
          </cell>
          <cell r="W660">
            <v>0</v>
          </cell>
          <cell r="X660">
            <v>122</v>
          </cell>
          <cell r="Y660">
            <v>0</v>
          </cell>
          <cell r="Z660">
            <v>123</v>
          </cell>
          <cell r="AA660">
            <v>0</v>
          </cell>
          <cell r="AB660">
            <v>0</v>
          </cell>
          <cell r="AC660">
            <v>0</v>
          </cell>
          <cell r="AD660">
            <v>0.02</v>
          </cell>
          <cell r="AE660">
            <v>0</v>
          </cell>
          <cell r="AF660">
            <v>0</v>
          </cell>
          <cell r="AG660">
            <v>0</v>
          </cell>
          <cell r="AH660">
            <v>0</v>
          </cell>
          <cell r="AI660">
            <v>0</v>
          </cell>
          <cell r="AJ660">
            <v>0</v>
          </cell>
          <cell r="AK660">
            <v>0</v>
          </cell>
          <cell r="AL660">
            <v>0</v>
          </cell>
        </row>
        <row r="661">
          <cell r="E661" t="str">
            <v>VV-F 2.0mm-4C</v>
          </cell>
          <cell r="F661" t="str">
            <v>ｍ</v>
          </cell>
          <cell r="G661">
            <v>0</v>
          </cell>
          <cell r="H661">
            <v>168</v>
          </cell>
          <cell r="I661">
            <v>0</v>
          </cell>
          <cell r="J661">
            <v>166</v>
          </cell>
          <cell r="K661">
            <v>0</v>
          </cell>
          <cell r="L661">
            <v>166</v>
          </cell>
          <cell r="M661">
            <v>0</v>
          </cell>
          <cell r="N661">
            <v>164</v>
          </cell>
          <cell r="O661">
            <v>0</v>
          </cell>
          <cell r="P661">
            <v>162</v>
          </cell>
          <cell r="Q661">
            <v>0</v>
          </cell>
          <cell r="R661">
            <v>166</v>
          </cell>
          <cell r="S661">
            <v>0</v>
          </cell>
          <cell r="T661">
            <v>171</v>
          </cell>
          <cell r="U661">
            <v>0</v>
          </cell>
          <cell r="V661">
            <v>173</v>
          </cell>
          <cell r="W661">
            <v>0</v>
          </cell>
          <cell r="X661">
            <v>166</v>
          </cell>
          <cell r="Y661">
            <v>0</v>
          </cell>
          <cell r="Z661">
            <v>168</v>
          </cell>
          <cell r="AA661">
            <v>0</v>
          </cell>
          <cell r="AB661">
            <v>0</v>
          </cell>
          <cell r="AC661">
            <v>0</v>
          </cell>
          <cell r="AD661">
            <v>2.4E-2</v>
          </cell>
          <cell r="AE661">
            <v>0</v>
          </cell>
          <cell r="AF661">
            <v>0</v>
          </cell>
          <cell r="AG661">
            <v>0</v>
          </cell>
          <cell r="AH661">
            <v>0</v>
          </cell>
          <cell r="AI661">
            <v>0</v>
          </cell>
          <cell r="AJ661">
            <v>0</v>
          </cell>
          <cell r="AK661">
            <v>0</v>
          </cell>
          <cell r="AL661">
            <v>0</v>
          </cell>
        </row>
        <row r="662">
          <cell r="E662" t="str">
            <v>EE-F 1.6mm-2C</v>
          </cell>
          <cell r="F662" t="str">
            <v>ｍ</v>
          </cell>
          <cell r="G662">
            <v>0</v>
          </cell>
          <cell r="H662">
            <v>84.5</v>
          </cell>
          <cell r="I662">
            <v>0</v>
          </cell>
          <cell r="J662">
            <v>84</v>
          </cell>
          <cell r="K662">
            <v>0</v>
          </cell>
          <cell r="L662">
            <v>84</v>
          </cell>
          <cell r="M662">
            <v>0</v>
          </cell>
          <cell r="N662">
            <v>85</v>
          </cell>
          <cell r="O662">
            <v>0</v>
          </cell>
          <cell r="P662">
            <v>83</v>
          </cell>
          <cell r="Q662">
            <v>0</v>
          </cell>
          <cell r="R662">
            <v>84</v>
          </cell>
          <cell r="S662">
            <v>0</v>
          </cell>
          <cell r="T662">
            <v>85</v>
          </cell>
          <cell r="U662">
            <v>0</v>
          </cell>
          <cell r="V662">
            <v>85.5</v>
          </cell>
          <cell r="W662">
            <v>0</v>
          </cell>
          <cell r="X662">
            <v>84</v>
          </cell>
          <cell r="Y662">
            <v>0</v>
          </cell>
          <cell r="Z662">
            <v>86</v>
          </cell>
          <cell r="AA662">
            <v>0</v>
          </cell>
          <cell r="AB662">
            <v>0</v>
          </cell>
          <cell r="AC662">
            <v>0</v>
          </cell>
          <cell r="AD662">
            <v>1.2999999999999999E-2</v>
          </cell>
          <cell r="AE662">
            <v>0</v>
          </cell>
          <cell r="AF662">
            <v>0</v>
          </cell>
          <cell r="AG662">
            <v>0</v>
          </cell>
          <cell r="AH662">
            <v>0</v>
          </cell>
          <cell r="AI662">
            <v>0</v>
          </cell>
          <cell r="AJ662">
            <v>0</v>
          </cell>
          <cell r="AK662">
            <v>0</v>
          </cell>
          <cell r="AL662">
            <v>0</v>
          </cell>
        </row>
        <row r="663">
          <cell r="E663" t="str">
            <v>EE-F 2.0mm-2C</v>
          </cell>
          <cell r="F663" t="str">
            <v>ｍ</v>
          </cell>
          <cell r="G663">
            <v>0</v>
          </cell>
          <cell r="H663">
            <v>117</v>
          </cell>
          <cell r="I663">
            <v>0</v>
          </cell>
          <cell r="J663">
            <v>116</v>
          </cell>
          <cell r="K663">
            <v>0</v>
          </cell>
          <cell r="L663">
            <v>116</v>
          </cell>
          <cell r="M663">
            <v>0</v>
          </cell>
          <cell r="N663">
            <v>118</v>
          </cell>
          <cell r="O663">
            <v>0</v>
          </cell>
          <cell r="P663">
            <v>114</v>
          </cell>
          <cell r="Q663">
            <v>0</v>
          </cell>
          <cell r="R663">
            <v>116</v>
          </cell>
          <cell r="S663">
            <v>0</v>
          </cell>
          <cell r="T663">
            <v>118</v>
          </cell>
          <cell r="U663">
            <v>0</v>
          </cell>
          <cell r="V663">
            <v>119</v>
          </cell>
          <cell r="W663">
            <v>0</v>
          </cell>
          <cell r="X663">
            <v>116</v>
          </cell>
          <cell r="Y663">
            <v>0</v>
          </cell>
          <cell r="Z663">
            <v>120</v>
          </cell>
          <cell r="AA663">
            <v>0</v>
          </cell>
          <cell r="AB663">
            <v>0</v>
          </cell>
          <cell r="AC663">
            <v>0</v>
          </cell>
          <cell r="AD663">
            <v>1.7000000000000001E-2</v>
          </cell>
          <cell r="AE663">
            <v>0</v>
          </cell>
          <cell r="AF663">
            <v>0</v>
          </cell>
          <cell r="AG663">
            <v>0</v>
          </cell>
          <cell r="AH663">
            <v>0</v>
          </cell>
          <cell r="AI663">
            <v>0</v>
          </cell>
          <cell r="AJ663">
            <v>0</v>
          </cell>
          <cell r="AK663">
            <v>0</v>
          </cell>
          <cell r="AL663">
            <v>0</v>
          </cell>
        </row>
        <row r="664">
          <cell r="E664" t="str">
            <v>EE-F 2.6mm-2C</v>
          </cell>
          <cell r="F664" t="str">
            <v>ｍ</v>
          </cell>
          <cell r="G664">
            <v>0</v>
          </cell>
          <cell r="H664">
            <v>180</v>
          </cell>
          <cell r="I664">
            <v>0</v>
          </cell>
          <cell r="J664">
            <v>178</v>
          </cell>
          <cell r="K664">
            <v>0</v>
          </cell>
          <cell r="L664">
            <v>178</v>
          </cell>
          <cell r="M664">
            <v>0</v>
          </cell>
          <cell r="N664">
            <v>182</v>
          </cell>
          <cell r="O664">
            <v>0</v>
          </cell>
          <cell r="P664">
            <v>175</v>
          </cell>
          <cell r="Q664">
            <v>0</v>
          </cell>
          <cell r="R664">
            <v>178</v>
          </cell>
          <cell r="S664">
            <v>0</v>
          </cell>
          <cell r="T664">
            <v>182</v>
          </cell>
          <cell r="U664">
            <v>0</v>
          </cell>
          <cell r="V664">
            <v>193</v>
          </cell>
          <cell r="W664">
            <v>0</v>
          </cell>
          <cell r="X664">
            <v>178</v>
          </cell>
          <cell r="Y664">
            <v>0</v>
          </cell>
          <cell r="Z664">
            <v>185</v>
          </cell>
          <cell r="AA664">
            <v>0</v>
          </cell>
          <cell r="AB664">
            <v>0</v>
          </cell>
          <cell r="AC664">
            <v>0</v>
          </cell>
          <cell r="AD664">
            <v>2.1000000000000001E-2</v>
          </cell>
          <cell r="AE664">
            <v>0</v>
          </cell>
          <cell r="AF664">
            <v>0</v>
          </cell>
          <cell r="AG664">
            <v>0</v>
          </cell>
          <cell r="AH664">
            <v>0</v>
          </cell>
          <cell r="AI664">
            <v>0</v>
          </cell>
          <cell r="AJ664">
            <v>0</v>
          </cell>
          <cell r="AK664">
            <v>0</v>
          </cell>
          <cell r="AL664">
            <v>0</v>
          </cell>
        </row>
        <row r="665">
          <cell r="E665" t="str">
            <v>EE-F 1.6mm-3C</v>
          </cell>
          <cell r="F665" t="str">
            <v>ｍ</v>
          </cell>
          <cell r="G665">
            <v>0</v>
          </cell>
          <cell r="H665">
            <v>124</v>
          </cell>
          <cell r="I665">
            <v>0</v>
          </cell>
          <cell r="J665">
            <v>123</v>
          </cell>
          <cell r="K665">
            <v>0</v>
          </cell>
          <cell r="L665">
            <v>123</v>
          </cell>
          <cell r="M665">
            <v>0</v>
          </cell>
          <cell r="N665">
            <v>125</v>
          </cell>
          <cell r="O665">
            <v>0</v>
          </cell>
          <cell r="P665">
            <v>122</v>
          </cell>
          <cell r="Q665">
            <v>0</v>
          </cell>
          <cell r="R665">
            <v>123</v>
          </cell>
          <cell r="S665">
            <v>0</v>
          </cell>
          <cell r="T665">
            <v>125</v>
          </cell>
          <cell r="U665">
            <v>0</v>
          </cell>
          <cell r="V665">
            <v>126</v>
          </cell>
          <cell r="W665">
            <v>0</v>
          </cell>
          <cell r="X665">
            <v>123</v>
          </cell>
          <cell r="Y665">
            <v>0</v>
          </cell>
          <cell r="Z665">
            <v>127</v>
          </cell>
          <cell r="AA665">
            <v>0</v>
          </cell>
          <cell r="AB665">
            <v>0</v>
          </cell>
          <cell r="AC665">
            <v>0</v>
          </cell>
          <cell r="AD665">
            <v>1.7000000000000001E-2</v>
          </cell>
          <cell r="AE665">
            <v>0</v>
          </cell>
          <cell r="AF665">
            <v>0</v>
          </cell>
          <cell r="AG665">
            <v>0</v>
          </cell>
          <cell r="AH665">
            <v>0</v>
          </cell>
          <cell r="AI665">
            <v>0</v>
          </cell>
          <cell r="AJ665">
            <v>0</v>
          </cell>
          <cell r="AK665">
            <v>0</v>
          </cell>
          <cell r="AL665">
            <v>0</v>
          </cell>
        </row>
        <row r="666">
          <cell r="E666" t="str">
            <v>EE-F 2.0mm-3C</v>
          </cell>
          <cell r="F666" t="str">
            <v>ｍ</v>
          </cell>
          <cell r="G666">
            <v>0</v>
          </cell>
          <cell r="H666">
            <v>169</v>
          </cell>
          <cell r="I666">
            <v>0</v>
          </cell>
          <cell r="J666">
            <v>168</v>
          </cell>
          <cell r="K666">
            <v>0</v>
          </cell>
          <cell r="L666">
            <v>168</v>
          </cell>
          <cell r="M666">
            <v>0</v>
          </cell>
          <cell r="N666">
            <v>171</v>
          </cell>
          <cell r="O666">
            <v>0</v>
          </cell>
          <cell r="P666">
            <v>165</v>
          </cell>
          <cell r="Q666">
            <v>0</v>
          </cell>
          <cell r="R666">
            <v>168</v>
          </cell>
          <cell r="S666">
            <v>0</v>
          </cell>
          <cell r="T666">
            <v>171</v>
          </cell>
          <cell r="U666">
            <v>0</v>
          </cell>
          <cell r="V666">
            <v>172</v>
          </cell>
          <cell r="W666">
            <v>0</v>
          </cell>
          <cell r="X666">
            <v>168</v>
          </cell>
          <cell r="Y666">
            <v>0</v>
          </cell>
          <cell r="Z666">
            <v>174</v>
          </cell>
          <cell r="AA666">
            <v>0</v>
          </cell>
          <cell r="AB666">
            <v>0</v>
          </cell>
          <cell r="AC666">
            <v>0</v>
          </cell>
          <cell r="AD666">
            <v>2.1000000000000001E-2</v>
          </cell>
          <cell r="AE666">
            <v>0</v>
          </cell>
          <cell r="AF666">
            <v>0</v>
          </cell>
          <cell r="AG666">
            <v>0</v>
          </cell>
          <cell r="AH666">
            <v>0</v>
          </cell>
          <cell r="AI666">
            <v>0</v>
          </cell>
          <cell r="AJ666">
            <v>0</v>
          </cell>
          <cell r="AK666">
            <v>0</v>
          </cell>
          <cell r="AL666">
            <v>0</v>
          </cell>
        </row>
        <row r="667">
          <cell r="E667" t="str">
            <v>EE-F 2.6mm-3C</v>
          </cell>
          <cell r="F667" t="str">
            <v>ｍ</v>
          </cell>
          <cell r="G667">
            <v>0</v>
          </cell>
          <cell r="H667">
            <v>240</v>
          </cell>
          <cell r="I667">
            <v>0</v>
          </cell>
          <cell r="J667">
            <v>238</v>
          </cell>
          <cell r="K667">
            <v>0</v>
          </cell>
          <cell r="L667">
            <v>238</v>
          </cell>
          <cell r="M667">
            <v>0</v>
          </cell>
          <cell r="N667">
            <v>242</v>
          </cell>
          <cell r="O667">
            <v>0</v>
          </cell>
          <cell r="P667">
            <v>233</v>
          </cell>
          <cell r="Q667">
            <v>0</v>
          </cell>
          <cell r="R667">
            <v>238</v>
          </cell>
          <cell r="S667">
            <v>0</v>
          </cell>
          <cell r="T667">
            <v>242</v>
          </cell>
          <cell r="U667">
            <v>0</v>
          </cell>
          <cell r="V667">
            <v>244</v>
          </cell>
          <cell r="W667">
            <v>0</v>
          </cell>
          <cell r="X667">
            <v>238</v>
          </cell>
          <cell r="Y667">
            <v>0</v>
          </cell>
          <cell r="Z667">
            <v>246</v>
          </cell>
          <cell r="AA667">
            <v>0</v>
          </cell>
          <cell r="AB667">
            <v>0</v>
          </cell>
          <cell r="AC667">
            <v>0</v>
          </cell>
          <cell r="AD667">
            <v>2.5999999999999999E-2</v>
          </cell>
          <cell r="AE667">
            <v>0</v>
          </cell>
          <cell r="AF667">
            <v>0</v>
          </cell>
          <cell r="AG667">
            <v>0</v>
          </cell>
          <cell r="AH667">
            <v>0</v>
          </cell>
          <cell r="AI667">
            <v>0</v>
          </cell>
          <cell r="AJ667">
            <v>0</v>
          </cell>
          <cell r="AK667">
            <v>0</v>
          </cell>
          <cell r="AL667">
            <v>0</v>
          </cell>
        </row>
        <row r="668">
          <cell r="E668" t="str">
            <v>VV-R 1.6mm-2C</v>
          </cell>
          <cell r="F668" t="str">
            <v>ｍ</v>
          </cell>
          <cell r="G668">
            <v>0</v>
          </cell>
          <cell r="H668">
            <v>94.1</v>
          </cell>
          <cell r="I668">
            <v>0</v>
          </cell>
          <cell r="J668">
            <v>93.3</v>
          </cell>
          <cell r="K668">
            <v>0</v>
          </cell>
          <cell r="L668">
            <v>91.6</v>
          </cell>
          <cell r="M668">
            <v>0</v>
          </cell>
          <cell r="N668">
            <v>91.6</v>
          </cell>
          <cell r="O668">
            <v>0</v>
          </cell>
          <cell r="P668">
            <v>90</v>
          </cell>
          <cell r="Q668">
            <v>0</v>
          </cell>
          <cell r="R668">
            <v>93.3</v>
          </cell>
          <cell r="S668">
            <v>0</v>
          </cell>
          <cell r="T668">
            <v>93.3</v>
          </cell>
          <cell r="U668">
            <v>0</v>
          </cell>
          <cell r="V668">
            <v>94.1</v>
          </cell>
          <cell r="W668">
            <v>0</v>
          </cell>
          <cell r="X668">
            <v>91.6</v>
          </cell>
          <cell r="Y668">
            <v>0</v>
          </cell>
          <cell r="Z668">
            <v>96.7</v>
          </cell>
          <cell r="AA668">
            <v>0</v>
          </cell>
          <cell r="AB668">
            <v>0</v>
          </cell>
          <cell r="AC668">
            <v>0</v>
          </cell>
          <cell r="AD668">
            <v>1.2999999999999999E-2</v>
          </cell>
          <cell r="AE668">
            <v>0</v>
          </cell>
          <cell r="AF668">
            <v>0</v>
          </cell>
          <cell r="AG668">
            <v>0</v>
          </cell>
          <cell r="AH668">
            <v>0</v>
          </cell>
          <cell r="AI668">
            <v>0</v>
          </cell>
          <cell r="AJ668">
            <v>0</v>
          </cell>
          <cell r="AK668">
            <v>0</v>
          </cell>
          <cell r="AL668">
            <v>0</v>
          </cell>
        </row>
        <row r="669">
          <cell r="E669" t="str">
            <v>VV-R 2.0mm-2C</v>
          </cell>
          <cell r="F669" t="str">
            <v>ｍ</v>
          </cell>
          <cell r="G669">
            <v>0</v>
          </cell>
          <cell r="H669">
            <v>116</v>
          </cell>
          <cell r="I669">
            <v>0</v>
          </cell>
          <cell r="J669">
            <v>115</v>
          </cell>
          <cell r="K669">
            <v>0</v>
          </cell>
          <cell r="L669">
            <v>113</v>
          </cell>
          <cell r="M669">
            <v>0</v>
          </cell>
          <cell r="N669">
            <v>113</v>
          </cell>
          <cell r="O669">
            <v>0</v>
          </cell>
          <cell r="P669">
            <v>111</v>
          </cell>
          <cell r="Q669">
            <v>0</v>
          </cell>
          <cell r="R669">
            <v>115</v>
          </cell>
          <cell r="S669">
            <v>0</v>
          </cell>
          <cell r="T669">
            <v>115</v>
          </cell>
          <cell r="U669">
            <v>0</v>
          </cell>
          <cell r="V669">
            <v>116</v>
          </cell>
          <cell r="W669">
            <v>0</v>
          </cell>
          <cell r="X669">
            <v>113</v>
          </cell>
          <cell r="Y669">
            <v>0</v>
          </cell>
          <cell r="Z669">
            <v>118</v>
          </cell>
          <cell r="AA669">
            <v>0</v>
          </cell>
          <cell r="AB669">
            <v>0</v>
          </cell>
          <cell r="AC669">
            <v>0</v>
          </cell>
          <cell r="AD669">
            <v>1.7000000000000001E-2</v>
          </cell>
          <cell r="AE669">
            <v>0</v>
          </cell>
          <cell r="AF669">
            <v>0</v>
          </cell>
          <cell r="AG669">
            <v>0</v>
          </cell>
          <cell r="AH669">
            <v>0</v>
          </cell>
          <cell r="AI669">
            <v>0</v>
          </cell>
          <cell r="AJ669">
            <v>0</v>
          </cell>
          <cell r="AK669">
            <v>0</v>
          </cell>
          <cell r="AL669">
            <v>0</v>
          </cell>
        </row>
        <row r="670">
          <cell r="E670" t="str">
            <v>VV-R 2.6mm-2C</v>
          </cell>
          <cell r="F670" t="str">
            <v>ｍ</v>
          </cell>
          <cell r="G670">
            <v>0</v>
          </cell>
          <cell r="H670">
            <v>169</v>
          </cell>
          <cell r="I670">
            <v>0</v>
          </cell>
          <cell r="J670">
            <v>167</v>
          </cell>
          <cell r="K670">
            <v>0</v>
          </cell>
          <cell r="L670">
            <v>164</v>
          </cell>
          <cell r="M670">
            <v>0</v>
          </cell>
          <cell r="N670">
            <v>164</v>
          </cell>
          <cell r="O670">
            <v>0</v>
          </cell>
          <cell r="P670">
            <v>161</v>
          </cell>
          <cell r="Q670">
            <v>0</v>
          </cell>
          <cell r="R670">
            <v>167</v>
          </cell>
          <cell r="S670">
            <v>0</v>
          </cell>
          <cell r="T670">
            <v>167</v>
          </cell>
          <cell r="U670">
            <v>0</v>
          </cell>
          <cell r="V670">
            <v>169</v>
          </cell>
          <cell r="W670">
            <v>0</v>
          </cell>
          <cell r="X670">
            <v>164</v>
          </cell>
          <cell r="Y670">
            <v>0</v>
          </cell>
          <cell r="Z670">
            <v>171</v>
          </cell>
          <cell r="AA670">
            <v>0</v>
          </cell>
          <cell r="AB670">
            <v>0</v>
          </cell>
          <cell r="AC670">
            <v>0</v>
          </cell>
          <cell r="AD670">
            <v>2.1000000000000001E-2</v>
          </cell>
          <cell r="AE670">
            <v>0</v>
          </cell>
          <cell r="AF670">
            <v>0</v>
          </cell>
          <cell r="AG670">
            <v>0</v>
          </cell>
          <cell r="AH670">
            <v>0</v>
          </cell>
          <cell r="AI670">
            <v>0</v>
          </cell>
          <cell r="AJ670">
            <v>0</v>
          </cell>
          <cell r="AK670">
            <v>0</v>
          </cell>
          <cell r="AL670">
            <v>0</v>
          </cell>
        </row>
        <row r="671">
          <cell r="E671" t="str">
            <v>VV-R 5.5sq-2C</v>
          </cell>
          <cell r="F671" t="str">
            <v>ｍ</v>
          </cell>
          <cell r="G671">
            <v>0</v>
          </cell>
          <cell r="H671">
            <v>175</v>
          </cell>
          <cell r="I671">
            <v>0</v>
          </cell>
          <cell r="J671">
            <v>174</v>
          </cell>
          <cell r="K671">
            <v>0</v>
          </cell>
          <cell r="L671">
            <v>171</v>
          </cell>
          <cell r="M671">
            <v>0</v>
          </cell>
          <cell r="N671">
            <v>171</v>
          </cell>
          <cell r="O671">
            <v>0</v>
          </cell>
          <cell r="P671">
            <v>168</v>
          </cell>
          <cell r="Q671">
            <v>0</v>
          </cell>
          <cell r="R671">
            <v>174</v>
          </cell>
          <cell r="S671">
            <v>0</v>
          </cell>
          <cell r="T671">
            <v>174</v>
          </cell>
          <cell r="U671">
            <v>0</v>
          </cell>
          <cell r="V671">
            <v>175</v>
          </cell>
          <cell r="W671">
            <v>0</v>
          </cell>
          <cell r="X671">
            <v>171</v>
          </cell>
          <cell r="Y671">
            <v>0</v>
          </cell>
          <cell r="Z671">
            <v>179</v>
          </cell>
          <cell r="AA671">
            <v>0</v>
          </cell>
          <cell r="AB671">
            <v>0</v>
          </cell>
          <cell r="AC671">
            <v>0</v>
          </cell>
          <cell r="AD671">
            <v>2.1000000000000001E-2</v>
          </cell>
          <cell r="AE671">
            <v>0</v>
          </cell>
          <cell r="AF671">
            <v>0</v>
          </cell>
          <cell r="AG671">
            <v>0</v>
          </cell>
          <cell r="AH671">
            <v>0</v>
          </cell>
          <cell r="AI671">
            <v>0</v>
          </cell>
          <cell r="AJ671">
            <v>0</v>
          </cell>
          <cell r="AK671">
            <v>0</v>
          </cell>
          <cell r="AL671">
            <v>0</v>
          </cell>
        </row>
        <row r="672">
          <cell r="E672" t="str">
            <v>VV-R 8sq-2C</v>
          </cell>
          <cell r="F672" t="str">
            <v>ｍ</v>
          </cell>
          <cell r="G672">
            <v>0</v>
          </cell>
          <cell r="H672">
            <v>227</v>
          </cell>
          <cell r="I672">
            <v>0</v>
          </cell>
          <cell r="J672">
            <v>225</v>
          </cell>
          <cell r="K672">
            <v>0</v>
          </cell>
          <cell r="L672">
            <v>221</v>
          </cell>
          <cell r="M672">
            <v>0</v>
          </cell>
          <cell r="N672">
            <v>221</v>
          </cell>
          <cell r="O672">
            <v>0</v>
          </cell>
          <cell r="P672">
            <v>217</v>
          </cell>
          <cell r="Q672">
            <v>0</v>
          </cell>
          <cell r="R672">
            <v>225</v>
          </cell>
          <cell r="S672">
            <v>0</v>
          </cell>
          <cell r="T672">
            <v>225</v>
          </cell>
          <cell r="U672">
            <v>0</v>
          </cell>
          <cell r="V672">
            <v>227</v>
          </cell>
          <cell r="W672">
            <v>0</v>
          </cell>
          <cell r="X672">
            <v>221</v>
          </cell>
          <cell r="Y672">
            <v>0</v>
          </cell>
          <cell r="Z672">
            <v>231</v>
          </cell>
          <cell r="AA672">
            <v>0</v>
          </cell>
          <cell r="AB672">
            <v>0</v>
          </cell>
          <cell r="AC672">
            <v>0</v>
          </cell>
          <cell r="AD672">
            <v>2.3E-2</v>
          </cell>
          <cell r="AE672">
            <v>0</v>
          </cell>
          <cell r="AF672">
            <v>0</v>
          </cell>
          <cell r="AG672">
            <v>0</v>
          </cell>
          <cell r="AH672">
            <v>0</v>
          </cell>
          <cell r="AI672">
            <v>0</v>
          </cell>
          <cell r="AJ672">
            <v>0</v>
          </cell>
          <cell r="AK672">
            <v>0</v>
          </cell>
          <cell r="AL672">
            <v>0</v>
          </cell>
        </row>
        <row r="673">
          <cell r="E673" t="str">
            <v>VV-R 14sq-2C</v>
          </cell>
          <cell r="F673" t="str">
            <v>ｍ</v>
          </cell>
          <cell r="G673">
            <v>0</v>
          </cell>
          <cell r="H673">
            <v>364</v>
          </cell>
          <cell r="I673">
            <v>0</v>
          </cell>
          <cell r="J673">
            <v>361</v>
          </cell>
          <cell r="K673">
            <v>0</v>
          </cell>
          <cell r="L673">
            <v>355</v>
          </cell>
          <cell r="M673">
            <v>0</v>
          </cell>
          <cell r="N673">
            <v>355</v>
          </cell>
          <cell r="O673">
            <v>0</v>
          </cell>
          <cell r="P673">
            <v>348</v>
          </cell>
          <cell r="Q673">
            <v>0</v>
          </cell>
          <cell r="R673">
            <v>361</v>
          </cell>
          <cell r="S673">
            <v>0</v>
          </cell>
          <cell r="T673">
            <v>361</v>
          </cell>
          <cell r="U673">
            <v>0</v>
          </cell>
          <cell r="V673">
            <v>364</v>
          </cell>
          <cell r="W673">
            <v>0</v>
          </cell>
          <cell r="X673">
            <v>355</v>
          </cell>
          <cell r="Y673">
            <v>0</v>
          </cell>
          <cell r="Z673">
            <v>370</v>
          </cell>
          <cell r="AA673">
            <v>0</v>
          </cell>
          <cell r="AB673">
            <v>0</v>
          </cell>
          <cell r="AC673">
            <v>0</v>
          </cell>
          <cell r="AD673">
            <v>2.9000000000000001E-2</v>
          </cell>
          <cell r="AE673">
            <v>0</v>
          </cell>
          <cell r="AF673">
            <v>0</v>
          </cell>
          <cell r="AG673">
            <v>0</v>
          </cell>
          <cell r="AH673">
            <v>0</v>
          </cell>
          <cell r="AI673">
            <v>0</v>
          </cell>
          <cell r="AJ673">
            <v>0</v>
          </cell>
          <cell r="AK673">
            <v>0</v>
          </cell>
          <cell r="AL673">
            <v>0</v>
          </cell>
        </row>
        <row r="674">
          <cell r="E674" t="str">
            <v>VV-R 22sq-2C</v>
          </cell>
          <cell r="F674" t="str">
            <v>ｍ</v>
          </cell>
          <cell r="G674">
            <v>0</v>
          </cell>
          <cell r="H674">
            <v>545</v>
          </cell>
          <cell r="I674">
            <v>0</v>
          </cell>
          <cell r="J674">
            <v>540</v>
          </cell>
          <cell r="K674">
            <v>0</v>
          </cell>
          <cell r="L674">
            <v>530</v>
          </cell>
          <cell r="M674">
            <v>0</v>
          </cell>
          <cell r="N674">
            <v>530</v>
          </cell>
          <cell r="O674">
            <v>0</v>
          </cell>
          <cell r="P674">
            <v>521</v>
          </cell>
          <cell r="Q674">
            <v>0</v>
          </cell>
          <cell r="R674">
            <v>540</v>
          </cell>
          <cell r="S674">
            <v>0</v>
          </cell>
          <cell r="T674">
            <v>540</v>
          </cell>
          <cell r="U674">
            <v>0</v>
          </cell>
          <cell r="V674">
            <v>545</v>
          </cell>
          <cell r="W674">
            <v>0</v>
          </cell>
          <cell r="X674">
            <v>530</v>
          </cell>
          <cell r="Y674">
            <v>0</v>
          </cell>
          <cell r="Z674">
            <v>554</v>
          </cell>
          <cell r="AA674">
            <v>0</v>
          </cell>
          <cell r="AB674">
            <v>0</v>
          </cell>
          <cell r="AC674">
            <v>0</v>
          </cell>
          <cell r="AD674">
            <v>3.6999999999999998E-2</v>
          </cell>
          <cell r="AE674">
            <v>0</v>
          </cell>
          <cell r="AF674">
            <v>0</v>
          </cell>
          <cell r="AG674">
            <v>0</v>
          </cell>
          <cell r="AH674">
            <v>0</v>
          </cell>
          <cell r="AI674">
            <v>0</v>
          </cell>
          <cell r="AJ674">
            <v>0</v>
          </cell>
          <cell r="AK674">
            <v>0</v>
          </cell>
          <cell r="AL674">
            <v>0</v>
          </cell>
        </row>
        <row r="675">
          <cell r="E675" t="str">
            <v>VV-R 38sq-2C</v>
          </cell>
          <cell r="F675" t="str">
            <v>ｍ</v>
          </cell>
          <cell r="G675">
            <v>0</v>
          </cell>
          <cell r="H675">
            <v>953</v>
          </cell>
          <cell r="I675">
            <v>0</v>
          </cell>
          <cell r="J675">
            <v>944</v>
          </cell>
          <cell r="K675">
            <v>0</v>
          </cell>
          <cell r="L675">
            <v>928</v>
          </cell>
          <cell r="M675">
            <v>0</v>
          </cell>
          <cell r="N675">
            <v>928</v>
          </cell>
          <cell r="O675">
            <v>0</v>
          </cell>
          <cell r="P675">
            <v>910</v>
          </cell>
          <cell r="Q675">
            <v>0</v>
          </cell>
          <cell r="R675">
            <v>944</v>
          </cell>
          <cell r="S675">
            <v>0</v>
          </cell>
          <cell r="T675">
            <v>944</v>
          </cell>
          <cell r="U675">
            <v>0</v>
          </cell>
          <cell r="V675">
            <v>953</v>
          </cell>
          <cell r="W675">
            <v>0</v>
          </cell>
          <cell r="X675">
            <v>928</v>
          </cell>
          <cell r="Y675">
            <v>0</v>
          </cell>
          <cell r="Z675">
            <v>969</v>
          </cell>
          <cell r="AA675">
            <v>0</v>
          </cell>
          <cell r="AB675">
            <v>0</v>
          </cell>
          <cell r="AC675">
            <v>0</v>
          </cell>
          <cell r="AD675">
            <v>0.05</v>
          </cell>
          <cell r="AE675">
            <v>0</v>
          </cell>
          <cell r="AF675">
            <v>0</v>
          </cell>
          <cell r="AG675">
            <v>0</v>
          </cell>
          <cell r="AH675">
            <v>0</v>
          </cell>
          <cell r="AI675">
            <v>0</v>
          </cell>
          <cell r="AJ675">
            <v>0</v>
          </cell>
          <cell r="AK675">
            <v>0</v>
          </cell>
          <cell r="AL675">
            <v>0</v>
          </cell>
        </row>
        <row r="676">
          <cell r="E676" t="str">
            <v>VV-R 60sq-2C</v>
          </cell>
          <cell r="F676" t="str">
            <v>ｍ</v>
          </cell>
          <cell r="G676">
            <v>0</v>
          </cell>
          <cell r="H676">
            <v>1502</v>
          </cell>
          <cell r="I676">
            <v>0</v>
          </cell>
          <cell r="J676">
            <v>1488</v>
          </cell>
          <cell r="K676">
            <v>0</v>
          </cell>
          <cell r="L676">
            <v>1462</v>
          </cell>
          <cell r="M676">
            <v>0</v>
          </cell>
          <cell r="N676">
            <v>1462</v>
          </cell>
          <cell r="O676">
            <v>0</v>
          </cell>
          <cell r="P676">
            <v>1436</v>
          </cell>
          <cell r="Q676">
            <v>0</v>
          </cell>
          <cell r="R676">
            <v>1488</v>
          </cell>
          <cell r="S676">
            <v>0</v>
          </cell>
          <cell r="T676">
            <v>1488</v>
          </cell>
          <cell r="U676">
            <v>0</v>
          </cell>
          <cell r="V676">
            <v>1502</v>
          </cell>
          <cell r="W676">
            <v>0</v>
          </cell>
          <cell r="X676">
            <v>1462</v>
          </cell>
          <cell r="Y676">
            <v>0</v>
          </cell>
          <cell r="Z676">
            <v>1527</v>
          </cell>
          <cell r="AA676">
            <v>0</v>
          </cell>
          <cell r="AB676">
            <v>0</v>
          </cell>
          <cell r="AC676">
            <v>0</v>
          </cell>
          <cell r="AD676">
            <v>6.5000000000000002E-2</v>
          </cell>
          <cell r="AE676">
            <v>0</v>
          </cell>
          <cell r="AF676">
            <v>0</v>
          </cell>
          <cell r="AG676">
            <v>0</v>
          </cell>
          <cell r="AH676">
            <v>0</v>
          </cell>
          <cell r="AI676">
            <v>0</v>
          </cell>
          <cell r="AJ676">
            <v>0</v>
          </cell>
          <cell r="AK676">
            <v>0</v>
          </cell>
          <cell r="AL676">
            <v>0</v>
          </cell>
        </row>
        <row r="677">
          <cell r="E677" t="str">
            <v>VV-R 100sq-2C</v>
          </cell>
          <cell r="F677" t="str">
            <v>ｍ</v>
          </cell>
          <cell r="G677">
            <v>0</v>
          </cell>
          <cell r="H677">
            <v>2567</v>
          </cell>
          <cell r="I677">
            <v>0</v>
          </cell>
          <cell r="J677">
            <v>2545</v>
          </cell>
          <cell r="K677">
            <v>0</v>
          </cell>
          <cell r="L677">
            <v>2500</v>
          </cell>
          <cell r="M677">
            <v>0</v>
          </cell>
          <cell r="N677">
            <v>2500</v>
          </cell>
          <cell r="O677">
            <v>0</v>
          </cell>
          <cell r="P677">
            <v>2455</v>
          </cell>
          <cell r="Q677">
            <v>0</v>
          </cell>
          <cell r="R677">
            <v>2545</v>
          </cell>
          <cell r="S677">
            <v>0</v>
          </cell>
          <cell r="T677">
            <v>2545</v>
          </cell>
          <cell r="U677">
            <v>0</v>
          </cell>
          <cell r="V677">
            <v>2567</v>
          </cell>
          <cell r="W677">
            <v>0</v>
          </cell>
          <cell r="X677">
            <v>2500</v>
          </cell>
          <cell r="Y677">
            <v>0</v>
          </cell>
          <cell r="Z677">
            <v>2612</v>
          </cell>
          <cell r="AA677">
            <v>0</v>
          </cell>
          <cell r="AB677">
            <v>0</v>
          </cell>
          <cell r="AC677">
            <v>0</v>
          </cell>
          <cell r="AD677">
            <v>0.09</v>
          </cell>
          <cell r="AE677">
            <v>0</v>
          </cell>
          <cell r="AF677">
            <v>0</v>
          </cell>
          <cell r="AG677">
            <v>0</v>
          </cell>
          <cell r="AH677">
            <v>0</v>
          </cell>
          <cell r="AI677">
            <v>0</v>
          </cell>
          <cell r="AJ677">
            <v>0</v>
          </cell>
          <cell r="AK677">
            <v>0</v>
          </cell>
          <cell r="AL677">
            <v>0</v>
          </cell>
        </row>
        <row r="678">
          <cell r="E678" t="str">
            <v>VV-R 150sq-2C</v>
          </cell>
          <cell r="F678" t="str">
            <v>ｍ</v>
          </cell>
          <cell r="G678">
            <v>0</v>
          </cell>
          <cell r="H678">
            <v>3896</v>
          </cell>
          <cell r="I678">
            <v>0</v>
          </cell>
          <cell r="J678">
            <v>3861</v>
          </cell>
          <cell r="K678">
            <v>0</v>
          </cell>
          <cell r="L678">
            <v>3794</v>
          </cell>
          <cell r="M678">
            <v>0</v>
          </cell>
          <cell r="N678">
            <v>3794</v>
          </cell>
          <cell r="O678">
            <v>0</v>
          </cell>
          <cell r="P678">
            <v>3726</v>
          </cell>
          <cell r="Q678">
            <v>0</v>
          </cell>
          <cell r="R678">
            <v>3861</v>
          </cell>
          <cell r="S678">
            <v>0</v>
          </cell>
          <cell r="T678">
            <v>3861</v>
          </cell>
          <cell r="U678">
            <v>0</v>
          </cell>
          <cell r="V678">
            <v>3896</v>
          </cell>
          <cell r="W678">
            <v>0</v>
          </cell>
          <cell r="X678">
            <v>3794</v>
          </cell>
          <cell r="Y678">
            <v>0</v>
          </cell>
          <cell r="Z678">
            <v>3963</v>
          </cell>
          <cell r="AA678">
            <v>0</v>
          </cell>
          <cell r="AB678">
            <v>0</v>
          </cell>
          <cell r="AC678">
            <v>0</v>
          </cell>
          <cell r="AD678">
            <v>0.11</v>
          </cell>
          <cell r="AE678">
            <v>0</v>
          </cell>
          <cell r="AF678">
            <v>0</v>
          </cell>
          <cell r="AG678">
            <v>0</v>
          </cell>
          <cell r="AH678">
            <v>0</v>
          </cell>
          <cell r="AI678">
            <v>0</v>
          </cell>
          <cell r="AJ678">
            <v>0</v>
          </cell>
          <cell r="AK678">
            <v>0</v>
          </cell>
          <cell r="AL678">
            <v>0</v>
          </cell>
        </row>
        <row r="679">
          <cell r="E679" t="str">
            <v>VV-R 200sq-2C</v>
          </cell>
          <cell r="F679" t="str">
            <v>ｍ</v>
          </cell>
          <cell r="G679">
            <v>0</v>
          </cell>
          <cell r="H679">
            <v>5194</v>
          </cell>
          <cell r="I679">
            <v>0</v>
          </cell>
          <cell r="J679">
            <v>5149</v>
          </cell>
          <cell r="K679">
            <v>0</v>
          </cell>
          <cell r="L679">
            <v>5059</v>
          </cell>
          <cell r="M679">
            <v>0</v>
          </cell>
          <cell r="N679">
            <v>5059</v>
          </cell>
          <cell r="O679">
            <v>0</v>
          </cell>
          <cell r="P679">
            <v>4968</v>
          </cell>
          <cell r="Q679">
            <v>0</v>
          </cell>
          <cell r="R679">
            <v>5149</v>
          </cell>
          <cell r="S679">
            <v>0</v>
          </cell>
          <cell r="T679">
            <v>5149</v>
          </cell>
          <cell r="U679">
            <v>0</v>
          </cell>
          <cell r="V679">
            <v>5194</v>
          </cell>
          <cell r="W679">
            <v>0</v>
          </cell>
          <cell r="X679">
            <v>5059</v>
          </cell>
          <cell r="Y679">
            <v>0</v>
          </cell>
          <cell r="Z679">
            <v>5285</v>
          </cell>
          <cell r="AA679">
            <v>0</v>
          </cell>
          <cell r="AB679">
            <v>0</v>
          </cell>
          <cell r="AC679">
            <v>0</v>
          </cell>
          <cell r="AD679">
            <v>0.13600000000000001</v>
          </cell>
          <cell r="AE679">
            <v>0</v>
          </cell>
          <cell r="AF679">
            <v>0</v>
          </cell>
          <cell r="AG679">
            <v>0</v>
          </cell>
          <cell r="AH679">
            <v>0</v>
          </cell>
          <cell r="AI679">
            <v>0</v>
          </cell>
          <cell r="AJ679">
            <v>0</v>
          </cell>
          <cell r="AK679">
            <v>0</v>
          </cell>
          <cell r="AL679">
            <v>0</v>
          </cell>
        </row>
        <row r="680">
          <cell r="E680" t="str">
            <v>VV-R 250sq-2C</v>
          </cell>
          <cell r="F680" t="str">
            <v>ｍ</v>
          </cell>
          <cell r="G680">
            <v>0</v>
          </cell>
          <cell r="H680">
            <v>6817</v>
          </cell>
          <cell r="I680">
            <v>0</v>
          </cell>
          <cell r="J680">
            <v>6757</v>
          </cell>
          <cell r="K680">
            <v>0</v>
          </cell>
          <cell r="L680">
            <v>6638</v>
          </cell>
          <cell r="M680">
            <v>0</v>
          </cell>
          <cell r="N680">
            <v>6638</v>
          </cell>
          <cell r="O680">
            <v>0</v>
          </cell>
          <cell r="P680">
            <v>6521</v>
          </cell>
          <cell r="Q680">
            <v>0</v>
          </cell>
          <cell r="R680">
            <v>6757</v>
          </cell>
          <cell r="S680">
            <v>0</v>
          </cell>
          <cell r="T680">
            <v>6757</v>
          </cell>
          <cell r="U680">
            <v>0</v>
          </cell>
          <cell r="V680">
            <v>6817</v>
          </cell>
          <cell r="W680">
            <v>0</v>
          </cell>
          <cell r="X680">
            <v>6638</v>
          </cell>
          <cell r="Y680">
            <v>0</v>
          </cell>
          <cell r="Z680">
            <v>6935</v>
          </cell>
          <cell r="AA680">
            <v>0</v>
          </cell>
          <cell r="AB680">
            <v>0</v>
          </cell>
          <cell r="AC680">
            <v>0</v>
          </cell>
          <cell r="AD680">
            <v>0.157</v>
          </cell>
          <cell r="AE680">
            <v>0</v>
          </cell>
          <cell r="AF680">
            <v>0</v>
          </cell>
          <cell r="AG680">
            <v>0</v>
          </cell>
          <cell r="AH680">
            <v>0</v>
          </cell>
          <cell r="AI680">
            <v>0</v>
          </cell>
          <cell r="AJ680">
            <v>0</v>
          </cell>
          <cell r="AK680">
            <v>0</v>
          </cell>
          <cell r="AL680">
            <v>0</v>
          </cell>
        </row>
        <row r="681">
          <cell r="E681" t="str">
            <v>VV-R 325sq-2C</v>
          </cell>
          <cell r="F681" t="str">
            <v>ｍ</v>
          </cell>
          <cell r="G681">
            <v>0</v>
          </cell>
          <cell r="H681">
            <v>9856</v>
          </cell>
          <cell r="I681">
            <v>0</v>
          </cell>
          <cell r="J681">
            <v>9771</v>
          </cell>
          <cell r="K681">
            <v>0</v>
          </cell>
          <cell r="L681">
            <v>9599</v>
          </cell>
          <cell r="M681">
            <v>0</v>
          </cell>
          <cell r="N681">
            <v>9599</v>
          </cell>
          <cell r="O681">
            <v>0</v>
          </cell>
          <cell r="P681">
            <v>9428</v>
          </cell>
          <cell r="Q681">
            <v>0</v>
          </cell>
          <cell r="R681">
            <v>9771</v>
          </cell>
          <cell r="S681">
            <v>0</v>
          </cell>
          <cell r="T681">
            <v>9771</v>
          </cell>
          <cell r="U681">
            <v>0</v>
          </cell>
          <cell r="V681">
            <v>9856</v>
          </cell>
          <cell r="W681">
            <v>0</v>
          </cell>
          <cell r="X681">
            <v>9599</v>
          </cell>
          <cell r="Y681">
            <v>0</v>
          </cell>
          <cell r="Z681">
            <v>10028</v>
          </cell>
          <cell r="AA681">
            <v>0</v>
          </cell>
          <cell r="AB681">
            <v>0</v>
          </cell>
          <cell r="AC681">
            <v>0</v>
          </cell>
          <cell r="AD681">
            <v>0.19800000000000001</v>
          </cell>
          <cell r="AE681">
            <v>0</v>
          </cell>
          <cell r="AF681">
            <v>0</v>
          </cell>
          <cell r="AG681">
            <v>0</v>
          </cell>
          <cell r="AH681">
            <v>0</v>
          </cell>
          <cell r="AI681">
            <v>0</v>
          </cell>
          <cell r="AJ681">
            <v>0</v>
          </cell>
          <cell r="AK681">
            <v>0</v>
          </cell>
          <cell r="AL681">
            <v>0</v>
          </cell>
        </row>
        <row r="682">
          <cell r="E682" t="str">
            <v>VV-R 1.6mm-3C</v>
          </cell>
          <cell r="F682" t="str">
            <v>ｍ</v>
          </cell>
          <cell r="G682">
            <v>0</v>
          </cell>
          <cell r="H682">
            <v>116</v>
          </cell>
          <cell r="I682">
            <v>0</v>
          </cell>
          <cell r="J682">
            <v>115</v>
          </cell>
          <cell r="K682">
            <v>0</v>
          </cell>
          <cell r="L682">
            <v>113</v>
          </cell>
          <cell r="M682">
            <v>0</v>
          </cell>
          <cell r="N682">
            <v>113</v>
          </cell>
          <cell r="O682">
            <v>0</v>
          </cell>
          <cell r="P682">
            <v>111</v>
          </cell>
          <cell r="Q682">
            <v>0</v>
          </cell>
          <cell r="R682">
            <v>115</v>
          </cell>
          <cell r="S682">
            <v>0</v>
          </cell>
          <cell r="T682">
            <v>115</v>
          </cell>
          <cell r="U682">
            <v>0</v>
          </cell>
          <cell r="V682">
            <v>116</v>
          </cell>
          <cell r="W682">
            <v>0</v>
          </cell>
          <cell r="X682">
            <v>113</v>
          </cell>
          <cell r="Y682">
            <v>0</v>
          </cell>
          <cell r="Z682">
            <v>118</v>
          </cell>
          <cell r="AA682">
            <v>0</v>
          </cell>
          <cell r="AB682">
            <v>0</v>
          </cell>
          <cell r="AC682">
            <v>0</v>
          </cell>
          <cell r="AD682">
            <v>1.7000000000000001E-2</v>
          </cell>
          <cell r="AE682">
            <v>0</v>
          </cell>
          <cell r="AF682">
            <v>0</v>
          </cell>
          <cell r="AG682">
            <v>0</v>
          </cell>
          <cell r="AH682">
            <v>0</v>
          </cell>
          <cell r="AI682">
            <v>0</v>
          </cell>
          <cell r="AJ682">
            <v>0</v>
          </cell>
          <cell r="AK682">
            <v>0</v>
          </cell>
          <cell r="AL682">
            <v>0</v>
          </cell>
        </row>
        <row r="683">
          <cell r="E683" t="str">
            <v>VV-R 2.0mm-3C</v>
          </cell>
          <cell r="F683" t="str">
            <v>ｍ</v>
          </cell>
          <cell r="G683">
            <v>0</v>
          </cell>
          <cell r="H683">
            <v>151</v>
          </cell>
          <cell r="I683">
            <v>0</v>
          </cell>
          <cell r="J683">
            <v>150</v>
          </cell>
          <cell r="K683">
            <v>0</v>
          </cell>
          <cell r="L683">
            <v>147</v>
          </cell>
          <cell r="M683">
            <v>0</v>
          </cell>
          <cell r="N683">
            <v>147</v>
          </cell>
          <cell r="O683">
            <v>0</v>
          </cell>
          <cell r="P683">
            <v>145</v>
          </cell>
          <cell r="Q683">
            <v>0</v>
          </cell>
          <cell r="R683">
            <v>150</v>
          </cell>
          <cell r="S683">
            <v>0</v>
          </cell>
          <cell r="T683">
            <v>150</v>
          </cell>
          <cell r="U683">
            <v>0</v>
          </cell>
          <cell r="V683">
            <v>151</v>
          </cell>
          <cell r="W683">
            <v>0</v>
          </cell>
          <cell r="X683">
            <v>147</v>
          </cell>
          <cell r="Y683">
            <v>0</v>
          </cell>
          <cell r="Z683">
            <v>154</v>
          </cell>
          <cell r="AA683">
            <v>0</v>
          </cell>
          <cell r="AB683">
            <v>0</v>
          </cell>
          <cell r="AC683">
            <v>0</v>
          </cell>
          <cell r="AD683">
            <v>2.1000000000000001E-2</v>
          </cell>
          <cell r="AE683">
            <v>0</v>
          </cell>
          <cell r="AF683">
            <v>0</v>
          </cell>
          <cell r="AG683">
            <v>0</v>
          </cell>
          <cell r="AH683">
            <v>0</v>
          </cell>
          <cell r="AI683">
            <v>0</v>
          </cell>
          <cell r="AJ683">
            <v>0</v>
          </cell>
          <cell r="AK683">
            <v>0</v>
          </cell>
          <cell r="AL683">
            <v>0</v>
          </cell>
        </row>
        <row r="684">
          <cell r="E684" t="str">
            <v>VV-R 2.6mm-3C</v>
          </cell>
          <cell r="F684" t="str">
            <v>ｍ</v>
          </cell>
          <cell r="G684">
            <v>0</v>
          </cell>
          <cell r="H684">
            <v>229</v>
          </cell>
          <cell r="I684">
            <v>0</v>
          </cell>
          <cell r="J684">
            <v>227</v>
          </cell>
          <cell r="K684">
            <v>0</v>
          </cell>
          <cell r="L684">
            <v>223</v>
          </cell>
          <cell r="M684">
            <v>0</v>
          </cell>
          <cell r="N684">
            <v>223</v>
          </cell>
          <cell r="O684">
            <v>0</v>
          </cell>
          <cell r="P684">
            <v>219</v>
          </cell>
          <cell r="Q684">
            <v>0</v>
          </cell>
          <cell r="R684">
            <v>227</v>
          </cell>
          <cell r="S684">
            <v>0</v>
          </cell>
          <cell r="T684">
            <v>227</v>
          </cell>
          <cell r="U684">
            <v>0</v>
          </cell>
          <cell r="V684">
            <v>229</v>
          </cell>
          <cell r="W684">
            <v>0</v>
          </cell>
          <cell r="X684">
            <v>223</v>
          </cell>
          <cell r="Y684">
            <v>0</v>
          </cell>
          <cell r="Z684">
            <v>233</v>
          </cell>
          <cell r="AA684">
            <v>0</v>
          </cell>
          <cell r="AB684">
            <v>0</v>
          </cell>
          <cell r="AC684">
            <v>0</v>
          </cell>
          <cell r="AD684">
            <v>2.5999999999999999E-2</v>
          </cell>
          <cell r="AE684">
            <v>0</v>
          </cell>
          <cell r="AF684">
            <v>0</v>
          </cell>
          <cell r="AG684">
            <v>0</v>
          </cell>
          <cell r="AH684">
            <v>0</v>
          </cell>
          <cell r="AI684">
            <v>0</v>
          </cell>
          <cell r="AJ684">
            <v>0</v>
          </cell>
          <cell r="AK684">
            <v>0</v>
          </cell>
          <cell r="AL684">
            <v>0</v>
          </cell>
        </row>
        <row r="685">
          <cell r="E685" t="str">
            <v>VV-R 5.5sq-3C</v>
          </cell>
          <cell r="F685" t="str">
            <v>ｍ</v>
          </cell>
          <cell r="G685">
            <v>0</v>
          </cell>
          <cell r="H685">
            <v>242</v>
          </cell>
          <cell r="I685">
            <v>0</v>
          </cell>
          <cell r="J685">
            <v>240</v>
          </cell>
          <cell r="K685">
            <v>0</v>
          </cell>
          <cell r="L685">
            <v>236</v>
          </cell>
          <cell r="M685">
            <v>0</v>
          </cell>
          <cell r="N685">
            <v>236</v>
          </cell>
          <cell r="O685">
            <v>0</v>
          </cell>
          <cell r="P685">
            <v>232</v>
          </cell>
          <cell r="Q685">
            <v>0</v>
          </cell>
          <cell r="R685">
            <v>240</v>
          </cell>
          <cell r="S685">
            <v>0</v>
          </cell>
          <cell r="T685">
            <v>240</v>
          </cell>
          <cell r="U685">
            <v>0</v>
          </cell>
          <cell r="V685">
            <v>242</v>
          </cell>
          <cell r="W685">
            <v>0</v>
          </cell>
          <cell r="X685">
            <v>236</v>
          </cell>
          <cell r="Y685">
            <v>0</v>
          </cell>
          <cell r="Z685">
            <v>246</v>
          </cell>
          <cell r="AA685">
            <v>0</v>
          </cell>
          <cell r="AB685">
            <v>0</v>
          </cell>
          <cell r="AC685">
            <v>0</v>
          </cell>
          <cell r="AD685">
            <v>2.5999999999999999E-2</v>
          </cell>
          <cell r="AE685">
            <v>0</v>
          </cell>
          <cell r="AF685">
            <v>0</v>
          </cell>
          <cell r="AG685">
            <v>0</v>
          </cell>
          <cell r="AH685">
            <v>0</v>
          </cell>
          <cell r="AI685">
            <v>0</v>
          </cell>
          <cell r="AJ685">
            <v>0</v>
          </cell>
          <cell r="AK685">
            <v>0</v>
          </cell>
          <cell r="AL685">
            <v>0</v>
          </cell>
        </row>
        <row r="686">
          <cell r="E686" t="str">
            <v>VV-R 8sq-3C</v>
          </cell>
          <cell r="F686" t="str">
            <v>ｍ</v>
          </cell>
          <cell r="G686">
            <v>0</v>
          </cell>
          <cell r="H686">
            <v>320</v>
          </cell>
          <cell r="I686">
            <v>0</v>
          </cell>
          <cell r="J686">
            <v>318</v>
          </cell>
          <cell r="K686">
            <v>0</v>
          </cell>
          <cell r="L686">
            <v>312</v>
          </cell>
          <cell r="M686">
            <v>0</v>
          </cell>
          <cell r="N686">
            <v>312</v>
          </cell>
          <cell r="O686">
            <v>0</v>
          </cell>
          <cell r="P686">
            <v>306</v>
          </cell>
          <cell r="Q686">
            <v>0</v>
          </cell>
          <cell r="R686">
            <v>318</v>
          </cell>
          <cell r="S686">
            <v>0</v>
          </cell>
          <cell r="T686">
            <v>318</v>
          </cell>
          <cell r="U686">
            <v>0</v>
          </cell>
          <cell r="V686">
            <v>320</v>
          </cell>
          <cell r="W686">
            <v>0</v>
          </cell>
          <cell r="X686">
            <v>312</v>
          </cell>
          <cell r="Y686">
            <v>0</v>
          </cell>
          <cell r="Z686">
            <v>326</v>
          </cell>
          <cell r="AA686">
            <v>0</v>
          </cell>
          <cell r="AB686">
            <v>0</v>
          </cell>
          <cell r="AC686">
            <v>0</v>
          </cell>
          <cell r="AD686">
            <v>2.9000000000000001E-2</v>
          </cell>
          <cell r="AE686">
            <v>0</v>
          </cell>
          <cell r="AF686">
            <v>0</v>
          </cell>
          <cell r="AG686">
            <v>0</v>
          </cell>
          <cell r="AH686">
            <v>0</v>
          </cell>
          <cell r="AI686">
            <v>0</v>
          </cell>
          <cell r="AJ686">
            <v>0</v>
          </cell>
          <cell r="AK686">
            <v>0</v>
          </cell>
          <cell r="AL686">
            <v>0</v>
          </cell>
        </row>
        <row r="687">
          <cell r="E687" t="str">
            <v>VV-R 14sq-3C</v>
          </cell>
          <cell r="F687" t="str">
            <v>ｍ</v>
          </cell>
          <cell r="G687">
            <v>0</v>
          </cell>
          <cell r="H687">
            <v>514</v>
          </cell>
          <cell r="I687">
            <v>0</v>
          </cell>
          <cell r="J687">
            <v>509</v>
          </cell>
          <cell r="K687">
            <v>0</v>
          </cell>
          <cell r="L687">
            <v>500</v>
          </cell>
          <cell r="M687">
            <v>0</v>
          </cell>
          <cell r="N687">
            <v>500</v>
          </cell>
          <cell r="O687">
            <v>0</v>
          </cell>
          <cell r="P687">
            <v>491</v>
          </cell>
          <cell r="Q687">
            <v>0</v>
          </cell>
          <cell r="R687">
            <v>509</v>
          </cell>
          <cell r="S687">
            <v>0</v>
          </cell>
          <cell r="T687">
            <v>509</v>
          </cell>
          <cell r="U687">
            <v>0</v>
          </cell>
          <cell r="V687">
            <v>514</v>
          </cell>
          <cell r="W687">
            <v>0</v>
          </cell>
          <cell r="X687">
            <v>500</v>
          </cell>
          <cell r="Y687">
            <v>0</v>
          </cell>
          <cell r="Z687">
            <v>522</v>
          </cell>
          <cell r="AA687">
            <v>0</v>
          </cell>
          <cell r="AB687">
            <v>0</v>
          </cell>
          <cell r="AC687">
            <v>0</v>
          </cell>
          <cell r="AD687">
            <v>3.6999999999999998E-2</v>
          </cell>
          <cell r="AE687">
            <v>0</v>
          </cell>
          <cell r="AF687">
            <v>0</v>
          </cell>
          <cell r="AG687">
            <v>0</v>
          </cell>
          <cell r="AH687">
            <v>0</v>
          </cell>
          <cell r="AI687">
            <v>0</v>
          </cell>
          <cell r="AJ687">
            <v>0</v>
          </cell>
          <cell r="AK687">
            <v>0</v>
          </cell>
          <cell r="AL687">
            <v>0</v>
          </cell>
        </row>
        <row r="688">
          <cell r="E688" t="str">
            <v>VV-R 22sq-3C</v>
          </cell>
          <cell r="F688" t="str">
            <v>ｍ</v>
          </cell>
          <cell r="G688">
            <v>0</v>
          </cell>
          <cell r="H688">
            <v>789</v>
          </cell>
          <cell r="I688">
            <v>0</v>
          </cell>
          <cell r="J688">
            <v>762</v>
          </cell>
          <cell r="K688">
            <v>0</v>
          </cell>
          <cell r="L688">
            <v>749</v>
          </cell>
          <cell r="M688">
            <v>0</v>
          </cell>
          <cell r="N688">
            <v>749</v>
          </cell>
          <cell r="O688">
            <v>0</v>
          </cell>
          <cell r="P688">
            <v>735</v>
          </cell>
          <cell r="Q688">
            <v>0</v>
          </cell>
          <cell r="R688">
            <v>762</v>
          </cell>
          <cell r="S688">
            <v>0</v>
          </cell>
          <cell r="T688">
            <v>762</v>
          </cell>
          <cell r="U688">
            <v>0</v>
          </cell>
          <cell r="V688">
            <v>789</v>
          </cell>
          <cell r="W688">
            <v>0</v>
          </cell>
          <cell r="X688">
            <v>749</v>
          </cell>
          <cell r="Y688">
            <v>0</v>
          </cell>
          <cell r="Z688">
            <v>782</v>
          </cell>
          <cell r="AA688">
            <v>0</v>
          </cell>
          <cell r="AB688">
            <v>0</v>
          </cell>
          <cell r="AC688">
            <v>0</v>
          </cell>
          <cell r="AD688">
            <v>4.7E-2</v>
          </cell>
          <cell r="AE688">
            <v>0</v>
          </cell>
          <cell r="AF688">
            <v>0</v>
          </cell>
          <cell r="AG688">
            <v>0</v>
          </cell>
          <cell r="AH688">
            <v>0</v>
          </cell>
          <cell r="AI688">
            <v>0</v>
          </cell>
          <cell r="AJ688">
            <v>0</v>
          </cell>
          <cell r="AK688">
            <v>0</v>
          </cell>
          <cell r="AL688">
            <v>0</v>
          </cell>
        </row>
        <row r="689">
          <cell r="E689" t="str">
            <v>VV-R 38sq-3C</v>
          </cell>
          <cell r="F689" t="str">
            <v>ｍ</v>
          </cell>
          <cell r="G689">
            <v>0</v>
          </cell>
          <cell r="H689">
            <v>1371</v>
          </cell>
          <cell r="I689">
            <v>0</v>
          </cell>
          <cell r="J689">
            <v>1359</v>
          </cell>
          <cell r="K689">
            <v>0</v>
          </cell>
          <cell r="L689">
            <v>1335</v>
          </cell>
          <cell r="M689">
            <v>0</v>
          </cell>
          <cell r="N689">
            <v>1335</v>
          </cell>
          <cell r="O689">
            <v>0</v>
          </cell>
          <cell r="P689">
            <v>1311</v>
          </cell>
          <cell r="Q689">
            <v>0</v>
          </cell>
          <cell r="R689">
            <v>1359</v>
          </cell>
          <cell r="S689">
            <v>0</v>
          </cell>
          <cell r="T689">
            <v>1359</v>
          </cell>
          <cell r="U689">
            <v>0</v>
          </cell>
          <cell r="V689">
            <v>1371</v>
          </cell>
          <cell r="W689">
            <v>0</v>
          </cell>
          <cell r="X689">
            <v>1335</v>
          </cell>
          <cell r="Y689">
            <v>0</v>
          </cell>
          <cell r="Z689">
            <v>1394</v>
          </cell>
          <cell r="AA689">
            <v>0</v>
          </cell>
          <cell r="AB689">
            <v>0</v>
          </cell>
          <cell r="AC689">
            <v>0</v>
          </cell>
          <cell r="AD689">
            <v>6.2E-2</v>
          </cell>
          <cell r="AE689">
            <v>0</v>
          </cell>
          <cell r="AF689">
            <v>0</v>
          </cell>
          <cell r="AG689">
            <v>0</v>
          </cell>
          <cell r="AH689">
            <v>0</v>
          </cell>
          <cell r="AI689">
            <v>0</v>
          </cell>
          <cell r="AJ689">
            <v>0</v>
          </cell>
          <cell r="AK689">
            <v>0</v>
          </cell>
          <cell r="AL689">
            <v>0</v>
          </cell>
        </row>
        <row r="690">
          <cell r="E690" t="str">
            <v>VV-R 60sq-3C</v>
          </cell>
          <cell r="F690" t="str">
            <v>ｍ</v>
          </cell>
          <cell r="G690">
            <v>0</v>
          </cell>
          <cell r="H690">
            <v>2170</v>
          </cell>
          <cell r="I690">
            <v>0</v>
          </cell>
          <cell r="J690">
            <v>2152</v>
          </cell>
          <cell r="K690">
            <v>0</v>
          </cell>
          <cell r="L690">
            <v>2113</v>
          </cell>
          <cell r="M690">
            <v>0</v>
          </cell>
          <cell r="N690">
            <v>2113</v>
          </cell>
          <cell r="O690">
            <v>0</v>
          </cell>
          <cell r="P690">
            <v>2076</v>
          </cell>
          <cell r="Q690">
            <v>0</v>
          </cell>
          <cell r="R690">
            <v>2152</v>
          </cell>
          <cell r="S690">
            <v>0</v>
          </cell>
          <cell r="T690">
            <v>2152</v>
          </cell>
          <cell r="U690">
            <v>0</v>
          </cell>
          <cell r="V690">
            <v>2170</v>
          </cell>
          <cell r="W690">
            <v>0</v>
          </cell>
          <cell r="X690">
            <v>2113</v>
          </cell>
          <cell r="Y690">
            <v>0</v>
          </cell>
          <cell r="Z690">
            <v>2208</v>
          </cell>
          <cell r="AA690">
            <v>0</v>
          </cell>
          <cell r="AB690">
            <v>0</v>
          </cell>
          <cell r="AC690">
            <v>0</v>
          </cell>
          <cell r="AD690">
            <v>8.2000000000000003E-2</v>
          </cell>
          <cell r="AE690">
            <v>0</v>
          </cell>
          <cell r="AF690">
            <v>0</v>
          </cell>
          <cell r="AG690">
            <v>0</v>
          </cell>
          <cell r="AH690">
            <v>0</v>
          </cell>
          <cell r="AI690">
            <v>0</v>
          </cell>
          <cell r="AJ690">
            <v>0</v>
          </cell>
          <cell r="AK690">
            <v>0</v>
          </cell>
          <cell r="AL690">
            <v>0</v>
          </cell>
        </row>
        <row r="691">
          <cell r="E691" t="str">
            <v>VV-R 100sq-3C</v>
          </cell>
          <cell r="F691" t="str">
            <v>ｍ</v>
          </cell>
          <cell r="G691">
            <v>0</v>
          </cell>
          <cell r="H691">
            <v>3589</v>
          </cell>
          <cell r="I691">
            <v>0</v>
          </cell>
          <cell r="J691">
            <v>3567</v>
          </cell>
          <cell r="K691">
            <v>0</v>
          </cell>
          <cell r="L691">
            <v>3504</v>
          </cell>
          <cell r="M691">
            <v>0</v>
          </cell>
          <cell r="N691">
            <v>3504</v>
          </cell>
          <cell r="O691">
            <v>0</v>
          </cell>
          <cell r="P691">
            <v>3442</v>
          </cell>
          <cell r="Q691">
            <v>0</v>
          </cell>
          <cell r="R691">
            <v>3567</v>
          </cell>
          <cell r="S691">
            <v>0</v>
          </cell>
          <cell r="T691">
            <v>3567</v>
          </cell>
          <cell r="U691">
            <v>0</v>
          </cell>
          <cell r="V691">
            <v>3589</v>
          </cell>
          <cell r="W691">
            <v>0</v>
          </cell>
          <cell r="X691">
            <v>3504</v>
          </cell>
          <cell r="Y691">
            <v>0</v>
          </cell>
          <cell r="Z691">
            <v>3660</v>
          </cell>
          <cell r="AA691">
            <v>0</v>
          </cell>
          <cell r="AB691">
            <v>0</v>
          </cell>
          <cell r="AC691">
            <v>0</v>
          </cell>
          <cell r="AD691">
            <v>0.112</v>
          </cell>
          <cell r="AE691">
            <v>0</v>
          </cell>
          <cell r="AF691">
            <v>0</v>
          </cell>
          <cell r="AG691">
            <v>0</v>
          </cell>
          <cell r="AH691">
            <v>0</v>
          </cell>
          <cell r="AI691">
            <v>0</v>
          </cell>
          <cell r="AJ691">
            <v>0</v>
          </cell>
          <cell r="AK691">
            <v>0</v>
          </cell>
          <cell r="AL691">
            <v>0</v>
          </cell>
        </row>
        <row r="692">
          <cell r="E692" t="str">
            <v>VV-R 150sq-3C</v>
          </cell>
          <cell r="F692" t="str">
            <v>ｍ</v>
          </cell>
          <cell r="G692">
            <v>0</v>
          </cell>
          <cell r="H692">
            <v>5530</v>
          </cell>
          <cell r="I692">
            <v>0</v>
          </cell>
          <cell r="J692">
            <v>5482</v>
          </cell>
          <cell r="K692">
            <v>0</v>
          </cell>
          <cell r="L692">
            <v>5387</v>
          </cell>
          <cell r="M692">
            <v>0</v>
          </cell>
          <cell r="N692">
            <v>5387</v>
          </cell>
          <cell r="O692">
            <v>0</v>
          </cell>
          <cell r="P692">
            <v>5290</v>
          </cell>
          <cell r="Q692">
            <v>0</v>
          </cell>
          <cell r="R692">
            <v>5482</v>
          </cell>
          <cell r="S692">
            <v>0</v>
          </cell>
          <cell r="T692">
            <v>5482</v>
          </cell>
          <cell r="U692">
            <v>0</v>
          </cell>
          <cell r="V692">
            <v>5530</v>
          </cell>
          <cell r="W692">
            <v>0</v>
          </cell>
          <cell r="X692">
            <v>5387</v>
          </cell>
          <cell r="Y692">
            <v>0</v>
          </cell>
          <cell r="Z692">
            <v>5627</v>
          </cell>
          <cell r="AA692">
            <v>0</v>
          </cell>
          <cell r="AB692">
            <v>0</v>
          </cell>
          <cell r="AC692">
            <v>0</v>
          </cell>
          <cell r="AD692">
            <v>0.13700000000000001</v>
          </cell>
          <cell r="AE692">
            <v>0</v>
          </cell>
          <cell r="AF692">
            <v>0</v>
          </cell>
          <cell r="AG692">
            <v>0</v>
          </cell>
          <cell r="AH692">
            <v>0</v>
          </cell>
          <cell r="AI692">
            <v>0</v>
          </cell>
          <cell r="AJ692">
            <v>0</v>
          </cell>
          <cell r="AK692">
            <v>0</v>
          </cell>
          <cell r="AL692">
            <v>0</v>
          </cell>
        </row>
        <row r="693">
          <cell r="E693" t="str">
            <v>VV-R 200sq-3C</v>
          </cell>
          <cell r="F693" t="str">
            <v>ｍ</v>
          </cell>
          <cell r="G693">
            <v>0</v>
          </cell>
          <cell r="H693">
            <v>7228</v>
          </cell>
          <cell r="I693">
            <v>0</v>
          </cell>
          <cell r="J693">
            <v>7165</v>
          </cell>
          <cell r="K693">
            <v>0</v>
          </cell>
          <cell r="L693">
            <v>7040</v>
          </cell>
          <cell r="M693">
            <v>0</v>
          </cell>
          <cell r="N693">
            <v>7040</v>
          </cell>
          <cell r="O693">
            <v>0</v>
          </cell>
          <cell r="P693">
            <v>6914</v>
          </cell>
          <cell r="Q693">
            <v>0</v>
          </cell>
          <cell r="R693">
            <v>7165</v>
          </cell>
          <cell r="S693">
            <v>0</v>
          </cell>
          <cell r="T693">
            <v>7165</v>
          </cell>
          <cell r="U693">
            <v>0</v>
          </cell>
          <cell r="V693">
            <v>7228</v>
          </cell>
          <cell r="W693">
            <v>0</v>
          </cell>
          <cell r="X693">
            <v>7040</v>
          </cell>
          <cell r="Y693">
            <v>0</v>
          </cell>
          <cell r="Z693">
            <v>7354</v>
          </cell>
          <cell r="AA693">
            <v>0</v>
          </cell>
          <cell r="AB693">
            <v>0</v>
          </cell>
          <cell r="AC693">
            <v>0</v>
          </cell>
          <cell r="AD693">
            <v>0.17</v>
          </cell>
          <cell r="AE693">
            <v>0</v>
          </cell>
          <cell r="AF693">
            <v>0</v>
          </cell>
          <cell r="AG693">
            <v>0</v>
          </cell>
          <cell r="AH693">
            <v>0</v>
          </cell>
          <cell r="AI693">
            <v>0</v>
          </cell>
          <cell r="AJ693">
            <v>0</v>
          </cell>
          <cell r="AK693">
            <v>0</v>
          </cell>
          <cell r="AL693">
            <v>0</v>
          </cell>
        </row>
        <row r="694">
          <cell r="E694" t="str">
            <v>VV-R 250sq-3C</v>
          </cell>
          <cell r="F694" t="str">
            <v>ｍ</v>
          </cell>
          <cell r="G694">
            <v>0</v>
          </cell>
          <cell r="H694">
            <v>9574</v>
          </cell>
          <cell r="I694">
            <v>0</v>
          </cell>
          <cell r="J694">
            <v>9491</v>
          </cell>
          <cell r="K694">
            <v>0</v>
          </cell>
          <cell r="L694">
            <v>9324</v>
          </cell>
          <cell r="M694">
            <v>0</v>
          </cell>
          <cell r="N694">
            <v>9324</v>
          </cell>
          <cell r="O694">
            <v>0</v>
          </cell>
          <cell r="P694">
            <v>9157</v>
          </cell>
          <cell r="Q694">
            <v>0</v>
          </cell>
          <cell r="R694">
            <v>9491</v>
          </cell>
          <cell r="S694">
            <v>0</v>
          </cell>
          <cell r="T694">
            <v>9491</v>
          </cell>
          <cell r="U694">
            <v>0</v>
          </cell>
          <cell r="V694">
            <v>9574</v>
          </cell>
          <cell r="W694">
            <v>0</v>
          </cell>
          <cell r="X694">
            <v>9324</v>
          </cell>
          <cell r="Y694">
            <v>0</v>
          </cell>
          <cell r="Z694">
            <v>9740</v>
          </cell>
          <cell r="AA694">
            <v>0</v>
          </cell>
          <cell r="AB694">
            <v>0</v>
          </cell>
          <cell r="AC694">
            <v>0</v>
          </cell>
          <cell r="AD694">
            <v>0.19600000000000001</v>
          </cell>
          <cell r="AE694">
            <v>0</v>
          </cell>
          <cell r="AF694">
            <v>0</v>
          </cell>
          <cell r="AG694">
            <v>0</v>
          </cell>
          <cell r="AH694">
            <v>0</v>
          </cell>
          <cell r="AI694">
            <v>0</v>
          </cell>
          <cell r="AJ694">
            <v>0</v>
          </cell>
          <cell r="AK694">
            <v>0</v>
          </cell>
          <cell r="AL694">
            <v>0</v>
          </cell>
        </row>
        <row r="695">
          <cell r="E695" t="str">
            <v>VV-R 325sq-3C</v>
          </cell>
          <cell r="F695" t="str">
            <v>ｍ</v>
          </cell>
          <cell r="G695">
            <v>0</v>
          </cell>
          <cell r="H695">
            <v>13823</v>
          </cell>
          <cell r="I695">
            <v>0</v>
          </cell>
          <cell r="J695">
            <v>13703</v>
          </cell>
          <cell r="K695">
            <v>0</v>
          </cell>
          <cell r="L695">
            <v>13463</v>
          </cell>
          <cell r="M695">
            <v>0</v>
          </cell>
          <cell r="N695">
            <v>13463</v>
          </cell>
          <cell r="O695">
            <v>0</v>
          </cell>
          <cell r="P695">
            <v>13222</v>
          </cell>
          <cell r="Q695">
            <v>0</v>
          </cell>
          <cell r="R695">
            <v>13703</v>
          </cell>
          <cell r="S695">
            <v>0</v>
          </cell>
          <cell r="T695">
            <v>13703</v>
          </cell>
          <cell r="U695">
            <v>0</v>
          </cell>
          <cell r="V695">
            <v>13823</v>
          </cell>
          <cell r="W695">
            <v>0</v>
          </cell>
          <cell r="X695">
            <v>13463</v>
          </cell>
          <cell r="Y695">
            <v>0</v>
          </cell>
          <cell r="Z695">
            <v>14063</v>
          </cell>
          <cell r="AA695">
            <v>0</v>
          </cell>
          <cell r="AB695">
            <v>0</v>
          </cell>
          <cell r="AC695">
            <v>0</v>
          </cell>
          <cell r="AD695">
            <v>0.248</v>
          </cell>
          <cell r="AE695">
            <v>0</v>
          </cell>
          <cell r="AF695">
            <v>0</v>
          </cell>
          <cell r="AG695">
            <v>0</v>
          </cell>
          <cell r="AH695">
            <v>0</v>
          </cell>
          <cell r="AI695">
            <v>0</v>
          </cell>
          <cell r="AJ695">
            <v>0</v>
          </cell>
          <cell r="AK695">
            <v>0</v>
          </cell>
          <cell r="AL695">
            <v>0</v>
          </cell>
        </row>
        <row r="696">
          <cell r="E696" t="str">
            <v>CV 2sq-1C</v>
          </cell>
          <cell r="F696" t="str">
            <v>ｍ</v>
          </cell>
          <cell r="G696">
            <v>0</v>
          </cell>
          <cell r="H696">
            <v>38.5</v>
          </cell>
          <cell r="I696">
            <v>0</v>
          </cell>
          <cell r="J696">
            <v>39.1</v>
          </cell>
          <cell r="K696">
            <v>0</v>
          </cell>
          <cell r="L696">
            <v>39.1</v>
          </cell>
          <cell r="M696">
            <v>0</v>
          </cell>
          <cell r="N696">
            <v>37.9</v>
          </cell>
          <cell r="O696">
            <v>0</v>
          </cell>
          <cell r="P696">
            <v>37</v>
          </cell>
          <cell r="Q696">
            <v>0</v>
          </cell>
          <cell r="R696">
            <v>38.5</v>
          </cell>
          <cell r="S696">
            <v>0</v>
          </cell>
          <cell r="T696">
            <v>38.5</v>
          </cell>
          <cell r="U696">
            <v>0</v>
          </cell>
          <cell r="V696">
            <v>39.1</v>
          </cell>
          <cell r="W696">
            <v>0</v>
          </cell>
          <cell r="X696">
            <v>39.700000000000003</v>
          </cell>
          <cell r="Y696">
            <v>0</v>
          </cell>
          <cell r="Z696">
            <v>39.1</v>
          </cell>
          <cell r="AA696">
            <v>0</v>
          </cell>
          <cell r="AB696">
            <v>0</v>
          </cell>
          <cell r="AC696">
            <v>0</v>
          </cell>
          <cell r="AD696">
            <v>0.01</v>
          </cell>
          <cell r="AE696">
            <v>0</v>
          </cell>
          <cell r="AF696">
            <v>0</v>
          </cell>
          <cell r="AG696">
            <v>0</v>
          </cell>
          <cell r="AH696">
            <v>0</v>
          </cell>
          <cell r="AI696">
            <v>0</v>
          </cell>
          <cell r="AJ696">
            <v>0</v>
          </cell>
          <cell r="AK696">
            <v>0</v>
          </cell>
          <cell r="AL696">
            <v>0</v>
          </cell>
        </row>
        <row r="697">
          <cell r="E697" t="str">
            <v>CV 3.5sq-1C</v>
          </cell>
          <cell r="F697" t="str">
            <v>ｍ</v>
          </cell>
          <cell r="G697">
            <v>0</v>
          </cell>
          <cell r="H697">
            <v>56.8</v>
          </cell>
          <cell r="I697">
            <v>0</v>
          </cell>
          <cell r="J697">
            <v>56.7</v>
          </cell>
          <cell r="K697">
            <v>0</v>
          </cell>
          <cell r="L697">
            <v>56.7</v>
          </cell>
          <cell r="M697">
            <v>0</v>
          </cell>
          <cell r="N697">
            <v>54.9</v>
          </cell>
          <cell r="O697">
            <v>0</v>
          </cell>
          <cell r="P697">
            <v>53.6</v>
          </cell>
          <cell r="Q697">
            <v>0</v>
          </cell>
          <cell r="R697">
            <v>56.8</v>
          </cell>
          <cell r="S697">
            <v>0</v>
          </cell>
          <cell r="T697">
            <v>56.8</v>
          </cell>
          <cell r="U697">
            <v>0</v>
          </cell>
          <cell r="V697">
            <v>56.7</v>
          </cell>
          <cell r="W697">
            <v>0</v>
          </cell>
          <cell r="X697">
            <v>54.9</v>
          </cell>
          <cell r="Y697">
            <v>0</v>
          </cell>
          <cell r="Z697">
            <v>56.7</v>
          </cell>
          <cell r="AA697">
            <v>0</v>
          </cell>
          <cell r="AB697">
            <v>0</v>
          </cell>
          <cell r="AC697">
            <v>0</v>
          </cell>
          <cell r="AD697">
            <v>1.2E-2</v>
          </cell>
          <cell r="AE697">
            <v>0</v>
          </cell>
          <cell r="AF697">
            <v>0</v>
          </cell>
          <cell r="AG697">
            <v>0</v>
          </cell>
          <cell r="AH697">
            <v>0</v>
          </cell>
          <cell r="AI697">
            <v>0</v>
          </cell>
          <cell r="AJ697">
            <v>0</v>
          </cell>
          <cell r="AK697">
            <v>0</v>
          </cell>
          <cell r="AL697">
            <v>0</v>
          </cell>
        </row>
        <row r="698">
          <cell r="E698" t="str">
            <v>CV 5.5sq-1C</v>
          </cell>
          <cell r="F698" t="str">
            <v>ｍ</v>
          </cell>
          <cell r="G698">
            <v>0</v>
          </cell>
          <cell r="H698">
            <v>76.8</v>
          </cell>
          <cell r="I698">
            <v>0</v>
          </cell>
          <cell r="J698">
            <v>78</v>
          </cell>
          <cell r="K698">
            <v>0</v>
          </cell>
          <cell r="L698">
            <v>78</v>
          </cell>
          <cell r="M698">
            <v>0</v>
          </cell>
          <cell r="N698">
            <v>75.599999999999994</v>
          </cell>
          <cell r="O698">
            <v>0</v>
          </cell>
          <cell r="P698">
            <v>73.8</v>
          </cell>
          <cell r="Q698">
            <v>0</v>
          </cell>
          <cell r="R698">
            <v>76.8</v>
          </cell>
          <cell r="S698">
            <v>0</v>
          </cell>
          <cell r="T698">
            <v>76.8</v>
          </cell>
          <cell r="U698">
            <v>0</v>
          </cell>
          <cell r="V698">
            <v>78</v>
          </cell>
          <cell r="W698">
            <v>0</v>
          </cell>
          <cell r="X698">
            <v>75.599999999999994</v>
          </cell>
          <cell r="Y698">
            <v>0</v>
          </cell>
          <cell r="Z698">
            <v>78</v>
          </cell>
          <cell r="AA698">
            <v>0</v>
          </cell>
          <cell r="AB698">
            <v>0</v>
          </cell>
          <cell r="AC698">
            <v>0</v>
          </cell>
          <cell r="AD698">
            <v>1.6E-2</v>
          </cell>
          <cell r="AE698">
            <v>0</v>
          </cell>
          <cell r="AF698">
            <v>0</v>
          </cell>
          <cell r="AG698">
            <v>0</v>
          </cell>
          <cell r="AH698">
            <v>0</v>
          </cell>
          <cell r="AI698">
            <v>0</v>
          </cell>
          <cell r="AJ698">
            <v>0</v>
          </cell>
          <cell r="AK698">
            <v>0</v>
          </cell>
          <cell r="AL698">
            <v>0</v>
          </cell>
        </row>
        <row r="699">
          <cell r="E699" t="str">
            <v>CV 8sq-1C</v>
          </cell>
          <cell r="F699" t="str">
            <v>ｍ</v>
          </cell>
          <cell r="G699">
            <v>0</v>
          </cell>
          <cell r="H699">
            <v>104</v>
          </cell>
          <cell r="I699">
            <v>0</v>
          </cell>
          <cell r="J699">
            <v>106</v>
          </cell>
          <cell r="K699">
            <v>0</v>
          </cell>
          <cell r="L699">
            <v>106</v>
          </cell>
          <cell r="M699">
            <v>0</v>
          </cell>
          <cell r="N699">
            <v>103</v>
          </cell>
          <cell r="O699">
            <v>0</v>
          </cell>
          <cell r="P699">
            <v>100</v>
          </cell>
          <cell r="Q699">
            <v>0</v>
          </cell>
          <cell r="R699">
            <v>104</v>
          </cell>
          <cell r="S699">
            <v>0</v>
          </cell>
          <cell r="T699">
            <v>104</v>
          </cell>
          <cell r="U699">
            <v>0</v>
          </cell>
          <cell r="V699">
            <v>106</v>
          </cell>
          <cell r="W699">
            <v>0</v>
          </cell>
          <cell r="X699">
            <v>103</v>
          </cell>
          <cell r="Y699">
            <v>0</v>
          </cell>
          <cell r="Z699">
            <v>106</v>
          </cell>
          <cell r="AA699">
            <v>0</v>
          </cell>
          <cell r="AB699">
            <v>0</v>
          </cell>
          <cell r="AC699">
            <v>0</v>
          </cell>
          <cell r="AD699">
            <v>1.7000000000000001E-2</v>
          </cell>
          <cell r="AE699">
            <v>0</v>
          </cell>
          <cell r="AF699">
            <v>0</v>
          </cell>
          <cell r="AG699">
            <v>0</v>
          </cell>
          <cell r="AH699">
            <v>0</v>
          </cell>
          <cell r="AI699">
            <v>0</v>
          </cell>
          <cell r="AJ699">
            <v>0</v>
          </cell>
          <cell r="AK699">
            <v>0</v>
          </cell>
          <cell r="AL699">
            <v>0</v>
          </cell>
        </row>
        <row r="700">
          <cell r="E700" t="str">
            <v>CV 14sq-1C</v>
          </cell>
          <cell r="F700" t="str">
            <v>ｍ</v>
          </cell>
          <cell r="G700">
            <v>0</v>
          </cell>
          <cell r="H700">
            <v>163</v>
          </cell>
          <cell r="I700">
            <v>0</v>
          </cell>
          <cell r="J700">
            <v>165</v>
          </cell>
          <cell r="K700">
            <v>0</v>
          </cell>
          <cell r="L700">
            <v>165</v>
          </cell>
          <cell r="M700">
            <v>0</v>
          </cell>
          <cell r="N700">
            <v>160</v>
          </cell>
          <cell r="O700">
            <v>0</v>
          </cell>
          <cell r="P700">
            <v>156</v>
          </cell>
          <cell r="Q700">
            <v>0</v>
          </cell>
          <cell r="R700">
            <v>163</v>
          </cell>
          <cell r="S700">
            <v>0</v>
          </cell>
          <cell r="T700">
            <v>163</v>
          </cell>
          <cell r="U700">
            <v>0</v>
          </cell>
          <cell r="V700">
            <v>165</v>
          </cell>
          <cell r="W700">
            <v>0</v>
          </cell>
          <cell r="X700">
            <v>160</v>
          </cell>
          <cell r="Y700">
            <v>0</v>
          </cell>
          <cell r="Z700">
            <v>165</v>
          </cell>
          <cell r="AA700">
            <v>0</v>
          </cell>
          <cell r="AB700">
            <v>0</v>
          </cell>
          <cell r="AC700">
            <v>0</v>
          </cell>
          <cell r="AD700">
            <v>2.1999999999999999E-2</v>
          </cell>
          <cell r="AE700">
            <v>0</v>
          </cell>
          <cell r="AF700">
            <v>0</v>
          </cell>
          <cell r="AG700">
            <v>0</v>
          </cell>
          <cell r="AH700">
            <v>0</v>
          </cell>
          <cell r="AI700">
            <v>0</v>
          </cell>
          <cell r="AJ700">
            <v>0</v>
          </cell>
          <cell r="AK700">
            <v>0</v>
          </cell>
          <cell r="AL700">
            <v>0</v>
          </cell>
        </row>
        <row r="701">
          <cell r="E701" t="str">
            <v>CV 22sq-1C</v>
          </cell>
          <cell r="F701" t="str">
            <v>ｍ</v>
          </cell>
          <cell r="G701">
            <v>0</v>
          </cell>
          <cell r="H701">
            <v>247</v>
          </cell>
          <cell r="I701">
            <v>0</v>
          </cell>
          <cell r="J701">
            <v>251</v>
          </cell>
          <cell r="K701">
            <v>0</v>
          </cell>
          <cell r="L701">
            <v>251</v>
          </cell>
          <cell r="M701">
            <v>0</v>
          </cell>
          <cell r="N701">
            <v>243</v>
          </cell>
          <cell r="O701">
            <v>0</v>
          </cell>
          <cell r="P701">
            <v>237</v>
          </cell>
          <cell r="Q701">
            <v>0</v>
          </cell>
          <cell r="R701">
            <v>247</v>
          </cell>
          <cell r="S701">
            <v>0</v>
          </cell>
          <cell r="T701">
            <v>247</v>
          </cell>
          <cell r="U701">
            <v>0</v>
          </cell>
          <cell r="V701">
            <v>251</v>
          </cell>
          <cell r="W701">
            <v>0</v>
          </cell>
          <cell r="X701">
            <v>243</v>
          </cell>
          <cell r="Y701">
            <v>0</v>
          </cell>
          <cell r="Z701">
            <v>251</v>
          </cell>
          <cell r="AA701">
            <v>0</v>
          </cell>
          <cell r="AB701">
            <v>0</v>
          </cell>
          <cell r="AC701">
            <v>0</v>
          </cell>
          <cell r="AD701">
            <v>2.9000000000000001E-2</v>
          </cell>
          <cell r="AE701">
            <v>0</v>
          </cell>
          <cell r="AF701">
            <v>0</v>
          </cell>
          <cell r="AG701">
            <v>0</v>
          </cell>
          <cell r="AH701">
            <v>0</v>
          </cell>
          <cell r="AI701">
            <v>0</v>
          </cell>
          <cell r="AJ701">
            <v>0</v>
          </cell>
          <cell r="AK701">
            <v>0</v>
          </cell>
          <cell r="AL701">
            <v>0</v>
          </cell>
        </row>
        <row r="702">
          <cell r="E702" t="str">
            <v>CV 38sq-1C</v>
          </cell>
          <cell r="F702" t="str">
            <v>ｍ</v>
          </cell>
          <cell r="G702">
            <v>0</v>
          </cell>
          <cell r="H702">
            <v>406</v>
          </cell>
          <cell r="I702">
            <v>0</v>
          </cell>
          <cell r="J702">
            <v>413</v>
          </cell>
          <cell r="K702">
            <v>0</v>
          </cell>
          <cell r="L702">
            <v>413</v>
          </cell>
          <cell r="M702">
            <v>0</v>
          </cell>
          <cell r="N702">
            <v>400</v>
          </cell>
          <cell r="O702">
            <v>0</v>
          </cell>
          <cell r="P702">
            <v>391</v>
          </cell>
          <cell r="Q702">
            <v>0</v>
          </cell>
          <cell r="R702">
            <v>406</v>
          </cell>
          <cell r="S702">
            <v>0</v>
          </cell>
          <cell r="T702">
            <v>406</v>
          </cell>
          <cell r="U702">
            <v>0</v>
          </cell>
          <cell r="V702">
            <v>413</v>
          </cell>
          <cell r="W702">
            <v>0</v>
          </cell>
          <cell r="X702">
            <v>400</v>
          </cell>
          <cell r="Y702">
            <v>0</v>
          </cell>
          <cell r="Z702">
            <v>413</v>
          </cell>
          <cell r="AA702">
            <v>0</v>
          </cell>
          <cell r="AB702">
            <v>0</v>
          </cell>
          <cell r="AC702">
            <v>0</v>
          </cell>
          <cell r="AD702">
            <v>3.6999999999999998E-2</v>
          </cell>
          <cell r="AE702">
            <v>0</v>
          </cell>
          <cell r="AF702">
            <v>0</v>
          </cell>
          <cell r="AG702">
            <v>0</v>
          </cell>
          <cell r="AH702">
            <v>0</v>
          </cell>
          <cell r="AI702">
            <v>0</v>
          </cell>
          <cell r="AJ702">
            <v>0</v>
          </cell>
          <cell r="AK702">
            <v>0</v>
          </cell>
          <cell r="AL702">
            <v>0</v>
          </cell>
        </row>
        <row r="703">
          <cell r="E703" t="str">
            <v>CV 60sq-1C</v>
          </cell>
          <cell r="F703" t="str">
            <v>ｍ</v>
          </cell>
          <cell r="G703">
            <v>0</v>
          </cell>
          <cell r="H703">
            <v>627</v>
          </cell>
          <cell r="I703">
            <v>0</v>
          </cell>
          <cell r="J703">
            <v>636</v>
          </cell>
          <cell r="K703">
            <v>0</v>
          </cell>
          <cell r="L703">
            <v>636</v>
          </cell>
          <cell r="M703">
            <v>0</v>
          </cell>
          <cell r="N703">
            <v>617</v>
          </cell>
          <cell r="O703">
            <v>0</v>
          </cell>
          <cell r="P703">
            <v>602</v>
          </cell>
          <cell r="Q703">
            <v>0</v>
          </cell>
          <cell r="R703">
            <v>627</v>
          </cell>
          <cell r="S703">
            <v>0</v>
          </cell>
          <cell r="T703">
            <v>627</v>
          </cell>
          <cell r="U703">
            <v>0</v>
          </cell>
          <cell r="V703">
            <v>636</v>
          </cell>
          <cell r="W703">
            <v>0</v>
          </cell>
          <cell r="X703">
            <v>617</v>
          </cell>
          <cell r="Y703">
            <v>0</v>
          </cell>
          <cell r="Z703">
            <v>636</v>
          </cell>
          <cell r="AA703">
            <v>0</v>
          </cell>
          <cell r="AB703">
            <v>0</v>
          </cell>
          <cell r="AC703">
            <v>0</v>
          </cell>
          <cell r="AD703">
            <v>4.9000000000000002E-2</v>
          </cell>
          <cell r="AE703">
            <v>0</v>
          </cell>
          <cell r="AF703">
            <v>0</v>
          </cell>
          <cell r="AG703">
            <v>0</v>
          </cell>
          <cell r="AH703">
            <v>0</v>
          </cell>
          <cell r="AI703">
            <v>0</v>
          </cell>
          <cell r="AJ703">
            <v>0</v>
          </cell>
          <cell r="AK703">
            <v>0</v>
          </cell>
          <cell r="AL703">
            <v>0</v>
          </cell>
        </row>
        <row r="704">
          <cell r="E704" t="str">
            <v>CV 100sq-1C</v>
          </cell>
          <cell r="F704" t="str">
            <v>ｍ</v>
          </cell>
          <cell r="G704">
            <v>0</v>
          </cell>
          <cell r="H704">
            <v>1048</v>
          </cell>
          <cell r="I704">
            <v>0</v>
          </cell>
          <cell r="J704">
            <v>1065</v>
          </cell>
          <cell r="K704">
            <v>0</v>
          </cell>
          <cell r="L704">
            <v>1065</v>
          </cell>
          <cell r="M704">
            <v>0</v>
          </cell>
          <cell r="N704">
            <v>1032</v>
          </cell>
          <cell r="O704">
            <v>0</v>
          </cell>
          <cell r="P704">
            <v>1007</v>
          </cell>
          <cell r="Q704">
            <v>0</v>
          </cell>
          <cell r="R704">
            <v>1048</v>
          </cell>
          <cell r="S704">
            <v>0</v>
          </cell>
          <cell r="T704">
            <v>48</v>
          </cell>
          <cell r="U704">
            <v>0</v>
          </cell>
          <cell r="V704">
            <v>1065</v>
          </cell>
          <cell r="W704">
            <v>0</v>
          </cell>
          <cell r="X704">
            <v>1032</v>
          </cell>
          <cell r="Y704">
            <v>0</v>
          </cell>
          <cell r="Z704">
            <v>1065</v>
          </cell>
          <cell r="AA704">
            <v>0</v>
          </cell>
          <cell r="AB704">
            <v>0</v>
          </cell>
          <cell r="AC704">
            <v>0</v>
          </cell>
          <cell r="AD704">
            <v>6.7000000000000004E-2</v>
          </cell>
          <cell r="AE704">
            <v>0</v>
          </cell>
          <cell r="AF704">
            <v>0</v>
          </cell>
          <cell r="AG704">
            <v>0</v>
          </cell>
          <cell r="AH704">
            <v>0</v>
          </cell>
          <cell r="AI704">
            <v>0</v>
          </cell>
          <cell r="AJ704">
            <v>0</v>
          </cell>
          <cell r="AK704">
            <v>0</v>
          </cell>
          <cell r="AL704">
            <v>0</v>
          </cell>
        </row>
        <row r="705">
          <cell r="E705" t="str">
            <v>CV 150sq-1C</v>
          </cell>
          <cell r="F705" t="str">
            <v>ｍ</v>
          </cell>
          <cell r="G705">
            <v>0</v>
          </cell>
          <cell r="H705">
            <v>1558</v>
          </cell>
          <cell r="I705">
            <v>0</v>
          </cell>
          <cell r="J705">
            <v>1582</v>
          </cell>
          <cell r="K705">
            <v>0</v>
          </cell>
          <cell r="L705">
            <v>1582</v>
          </cell>
          <cell r="M705">
            <v>0</v>
          </cell>
          <cell r="N705">
            <v>1533</v>
          </cell>
          <cell r="O705">
            <v>0</v>
          </cell>
          <cell r="P705">
            <v>1497</v>
          </cell>
          <cell r="Q705">
            <v>0</v>
          </cell>
          <cell r="R705">
            <v>1558</v>
          </cell>
          <cell r="S705">
            <v>0</v>
          </cell>
          <cell r="T705">
            <v>1558</v>
          </cell>
          <cell r="U705">
            <v>0</v>
          </cell>
          <cell r="V705">
            <v>1582</v>
          </cell>
          <cell r="W705">
            <v>0</v>
          </cell>
          <cell r="X705">
            <v>1533</v>
          </cell>
          <cell r="Y705">
            <v>0</v>
          </cell>
          <cell r="Z705">
            <v>1582</v>
          </cell>
          <cell r="AA705">
            <v>0</v>
          </cell>
          <cell r="AB705">
            <v>0</v>
          </cell>
          <cell r="AC705">
            <v>0</v>
          </cell>
          <cell r="AD705">
            <v>8.3000000000000004E-2</v>
          </cell>
          <cell r="AE705">
            <v>0</v>
          </cell>
          <cell r="AF705">
            <v>0</v>
          </cell>
          <cell r="AG705">
            <v>0</v>
          </cell>
          <cell r="AH705">
            <v>0</v>
          </cell>
          <cell r="AI705">
            <v>0</v>
          </cell>
          <cell r="AJ705">
            <v>0</v>
          </cell>
          <cell r="AK705">
            <v>0</v>
          </cell>
          <cell r="AL705">
            <v>0</v>
          </cell>
        </row>
        <row r="706">
          <cell r="E706" t="str">
            <v>CV 200sq-1C</v>
          </cell>
          <cell r="F706" t="str">
            <v>ｍ</v>
          </cell>
          <cell r="G706">
            <v>0</v>
          </cell>
          <cell r="H706">
            <v>2068</v>
          </cell>
          <cell r="I706">
            <v>0</v>
          </cell>
          <cell r="J706">
            <v>2101</v>
          </cell>
          <cell r="K706">
            <v>0</v>
          </cell>
          <cell r="L706">
            <v>2101</v>
          </cell>
          <cell r="M706">
            <v>0</v>
          </cell>
          <cell r="N706">
            <v>2036</v>
          </cell>
          <cell r="O706">
            <v>0</v>
          </cell>
          <cell r="P706">
            <v>1988</v>
          </cell>
          <cell r="Q706">
            <v>0</v>
          </cell>
          <cell r="R706">
            <v>2068</v>
          </cell>
          <cell r="S706">
            <v>0</v>
          </cell>
          <cell r="T706">
            <v>2068</v>
          </cell>
          <cell r="U706">
            <v>0</v>
          </cell>
          <cell r="V706">
            <v>2101</v>
          </cell>
          <cell r="W706">
            <v>0</v>
          </cell>
          <cell r="X706">
            <v>2036</v>
          </cell>
          <cell r="Y706">
            <v>0</v>
          </cell>
          <cell r="Z706">
            <v>2101</v>
          </cell>
          <cell r="AA706">
            <v>0</v>
          </cell>
          <cell r="AB706">
            <v>0</v>
          </cell>
          <cell r="AC706">
            <v>0</v>
          </cell>
          <cell r="AD706">
            <v>0.10199999999999999</v>
          </cell>
          <cell r="AE706">
            <v>0</v>
          </cell>
          <cell r="AF706">
            <v>0</v>
          </cell>
          <cell r="AG706">
            <v>0</v>
          </cell>
          <cell r="AH706">
            <v>0</v>
          </cell>
          <cell r="AI706">
            <v>0</v>
          </cell>
          <cell r="AJ706">
            <v>0</v>
          </cell>
          <cell r="AK706">
            <v>0</v>
          </cell>
          <cell r="AL706">
            <v>0</v>
          </cell>
        </row>
        <row r="707">
          <cell r="E707" t="str">
            <v>CV 250sq-1C</v>
          </cell>
          <cell r="F707" t="str">
            <v>ｍ</v>
          </cell>
          <cell r="G707">
            <v>0</v>
          </cell>
          <cell r="H707">
            <v>2602</v>
          </cell>
          <cell r="I707">
            <v>0</v>
          </cell>
          <cell r="J707">
            <v>2643</v>
          </cell>
          <cell r="K707">
            <v>0</v>
          </cell>
          <cell r="L707">
            <v>2643</v>
          </cell>
          <cell r="M707">
            <v>0</v>
          </cell>
          <cell r="N707">
            <v>2562</v>
          </cell>
          <cell r="O707">
            <v>0</v>
          </cell>
          <cell r="P707">
            <v>2501</v>
          </cell>
          <cell r="Q707">
            <v>0</v>
          </cell>
          <cell r="R707">
            <v>2602</v>
          </cell>
          <cell r="S707">
            <v>0</v>
          </cell>
          <cell r="T707">
            <v>2602</v>
          </cell>
          <cell r="U707">
            <v>0</v>
          </cell>
          <cell r="V707">
            <v>2643</v>
          </cell>
          <cell r="W707">
            <v>0</v>
          </cell>
          <cell r="X707">
            <v>2562</v>
          </cell>
          <cell r="Y707">
            <v>0</v>
          </cell>
          <cell r="Z707">
            <v>2643</v>
          </cell>
          <cell r="AA707">
            <v>0</v>
          </cell>
          <cell r="AB707">
            <v>0</v>
          </cell>
          <cell r="AC707">
            <v>0</v>
          </cell>
          <cell r="AD707">
            <v>0.11700000000000001</v>
          </cell>
          <cell r="AE707">
            <v>0</v>
          </cell>
          <cell r="AF707">
            <v>0</v>
          </cell>
          <cell r="AG707">
            <v>0</v>
          </cell>
          <cell r="AH707">
            <v>0</v>
          </cell>
          <cell r="AI707">
            <v>0</v>
          </cell>
          <cell r="AJ707">
            <v>0</v>
          </cell>
          <cell r="AK707">
            <v>0</v>
          </cell>
          <cell r="AL707">
            <v>0</v>
          </cell>
        </row>
        <row r="708">
          <cell r="E708" t="str">
            <v>CV 325sq-1C</v>
          </cell>
          <cell r="F708" t="str">
            <v>ｍ</v>
          </cell>
          <cell r="G708">
            <v>0</v>
          </cell>
          <cell r="H708">
            <v>3364</v>
          </cell>
          <cell r="I708">
            <v>0</v>
          </cell>
          <cell r="J708">
            <v>3416</v>
          </cell>
          <cell r="K708">
            <v>0</v>
          </cell>
          <cell r="L708">
            <v>3416</v>
          </cell>
          <cell r="M708">
            <v>0</v>
          </cell>
          <cell r="N708">
            <v>3311</v>
          </cell>
          <cell r="O708">
            <v>0</v>
          </cell>
          <cell r="P708">
            <v>3232</v>
          </cell>
          <cell r="Q708">
            <v>0</v>
          </cell>
          <cell r="R708">
            <v>3364</v>
          </cell>
          <cell r="S708">
            <v>0</v>
          </cell>
          <cell r="T708">
            <v>3364</v>
          </cell>
          <cell r="U708">
            <v>0</v>
          </cell>
          <cell r="V708">
            <v>3416</v>
          </cell>
          <cell r="W708">
            <v>0</v>
          </cell>
          <cell r="X708">
            <v>3311</v>
          </cell>
          <cell r="Y708">
            <v>0</v>
          </cell>
          <cell r="Z708">
            <v>3416</v>
          </cell>
          <cell r="AA708">
            <v>0</v>
          </cell>
          <cell r="AB708">
            <v>0</v>
          </cell>
          <cell r="AC708">
            <v>0</v>
          </cell>
          <cell r="AD708">
            <v>0.14899999999999999</v>
          </cell>
          <cell r="AE708">
            <v>0</v>
          </cell>
          <cell r="AF708">
            <v>0</v>
          </cell>
          <cell r="AG708">
            <v>0</v>
          </cell>
          <cell r="AH708">
            <v>0</v>
          </cell>
          <cell r="AI708">
            <v>0</v>
          </cell>
          <cell r="AJ708">
            <v>0</v>
          </cell>
          <cell r="AK708">
            <v>0</v>
          </cell>
          <cell r="AL708">
            <v>0</v>
          </cell>
        </row>
        <row r="709">
          <cell r="E709" t="str">
            <v>CV 2sq-2C</v>
          </cell>
          <cell r="F709" t="str">
            <v>ｍ</v>
          </cell>
          <cell r="G709">
            <v>0</v>
          </cell>
          <cell r="H709">
            <v>90.2</v>
          </cell>
          <cell r="I709">
            <v>0</v>
          </cell>
          <cell r="J709">
            <v>91.7</v>
          </cell>
          <cell r="K709">
            <v>0</v>
          </cell>
          <cell r="L709">
            <v>91.7</v>
          </cell>
          <cell r="M709">
            <v>0</v>
          </cell>
          <cell r="N709">
            <v>88.8</v>
          </cell>
          <cell r="O709">
            <v>0</v>
          </cell>
          <cell r="P709">
            <v>86.7</v>
          </cell>
          <cell r="Q709">
            <v>0</v>
          </cell>
          <cell r="R709">
            <v>90.2</v>
          </cell>
          <cell r="S709">
            <v>0</v>
          </cell>
          <cell r="T709">
            <v>90.2</v>
          </cell>
          <cell r="U709">
            <v>0</v>
          </cell>
          <cell r="V709">
            <v>91.7</v>
          </cell>
          <cell r="W709">
            <v>0</v>
          </cell>
          <cell r="X709">
            <v>88.8</v>
          </cell>
          <cell r="Y709">
            <v>0</v>
          </cell>
          <cell r="Z709">
            <v>91.7</v>
          </cell>
          <cell r="AA709">
            <v>0</v>
          </cell>
          <cell r="AB709">
            <v>0</v>
          </cell>
          <cell r="AC709">
            <v>0</v>
          </cell>
          <cell r="AD709">
            <v>1.2999999999999999E-2</v>
          </cell>
          <cell r="AE709">
            <v>0</v>
          </cell>
          <cell r="AF709">
            <v>0</v>
          </cell>
          <cell r="AG709">
            <v>0</v>
          </cell>
          <cell r="AH709">
            <v>0</v>
          </cell>
          <cell r="AI709">
            <v>0</v>
          </cell>
          <cell r="AJ709">
            <v>0</v>
          </cell>
          <cell r="AK709">
            <v>0</v>
          </cell>
          <cell r="AL709">
            <v>0</v>
          </cell>
        </row>
        <row r="710">
          <cell r="E710" t="str">
            <v>CV 3.5sq-2C</v>
          </cell>
          <cell r="F710" t="str">
            <v>ｍ</v>
          </cell>
          <cell r="G710">
            <v>0</v>
          </cell>
          <cell r="H710">
            <v>128</v>
          </cell>
          <cell r="I710">
            <v>0</v>
          </cell>
          <cell r="J710">
            <v>130</v>
          </cell>
          <cell r="K710">
            <v>0</v>
          </cell>
          <cell r="L710">
            <v>130</v>
          </cell>
          <cell r="M710">
            <v>0</v>
          </cell>
          <cell r="N710">
            <v>126</v>
          </cell>
          <cell r="O710">
            <v>0</v>
          </cell>
          <cell r="P710">
            <v>123</v>
          </cell>
          <cell r="Q710">
            <v>0</v>
          </cell>
          <cell r="R710">
            <v>128</v>
          </cell>
          <cell r="S710">
            <v>0</v>
          </cell>
          <cell r="T710">
            <v>128</v>
          </cell>
          <cell r="U710">
            <v>0</v>
          </cell>
          <cell r="V710">
            <v>130</v>
          </cell>
          <cell r="W710">
            <v>0</v>
          </cell>
          <cell r="X710">
            <v>126</v>
          </cell>
          <cell r="Y710">
            <v>0</v>
          </cell>
          <cell r="Z710">
            <v>130</v>
          </cell>
          <cell r="AA710">
            <v>0</v>
          </cell>
          <cell r="AB710">
            <v>0</v>
          </cell>
          <cell r="AC710">
            <v>0</v>
          </cell>
          <cell r="AD710">
            <v>1.7000000000000001E-2</v>
          </cell>
          <cell r="AE710">
            <v>0</v>
          </cell>
          <cell r="AF710">
            <v>0</v>
          </cell>
          <cell r="AG710">
            <v>0</v>
          </cell>
          <cell r="AH710">
            <v>0</v>
          </cell>
          <cell r="AI710">
            <v>0</v>
          </cell>
          <cell r="AJ710">
            <v>0</v>
          </cell>
          <cell r="AK710">
            <v>0</v>
          </cell>
          <cell r="AL710">
            <v>0</v>
          </cell>
        </row>
        <row r="711">
          <cell r="E711" t="str">
            <v>CV 5.5sq-2C</v>
          </cell>
          <cell r="F711" t="str">
            <v>ｍ</v>
          </cell>
          <cell r="G711">
            <v>0</v>
          </cell>
          <cell r="H711">
            <v>175</v>
          </cell>
          <cell r="I711">
            <v>0</v>
          </cell>
          <cell r="J711">
            <v>178</v>
          </cell>
          <cell r="K711">
            <v>0</v>
          </cell>
          <cell r="L711">
            <v>178</v>
          </cell>
          <cell r="M711">
            <v>0</v>
          </cell>
          <cell r="N711">
            <v>173</v>
          </cell>
          <cell r="O711">
            <v>0</v>
          </cell>
          <cell r="P711">
            <v>169</v>
          </cell>
          <cell r="Q711">
            <v>0</v>
          </cell>
          <cell r="R711">
            <v>175</v>
          </cell>
          <cell r="S711">
            <v>0</v>
          </cell>
          <cell r="T711">
            <v>175</v>
          </cell>
          <cell r="U711">
            <v>0</v>
          </cell>
          <cell r="V711">
            <v>178</v>
          </cell>
          <cell r="W711">
            <v>0</v>
          </cell>
          <cell r="X711">
            <v>173</v>
          </cell>
          <cell r="Y711">
            <v>0</v>
          </cell>
          <cell r="Z711">
            <v>178</v>
          </cell>
          <cell r="AA711">
            <v>0</v>
          </cell>
          <cell r="AB711">
            <v>0</v>
          </cell>
          <cell r="AC711">
            <v>0</v>
          </cell>
          <cell r="AD711">
            <v>2.1000000000000001E-2</v>
          </cell>
          <cell r="AE711">
            <v>0</v>
          </cell>
          <cell r="AF711">
            <v>0</v>
          </cell>
          <cell r="AG711">
            <v>0</v>
          </cell>
          <cell r="AH711">
            <v>0</v>
          </cell>
          <cell r="AI711">
            <v>0</v>
          </cell>
          <cell r="AJ711">
            <v>0</v>
          </cell>
          <cell r="AK711">
            <v>0</v>
          </cell>
          <cell r="AL711">
            <v>0</v>
          </cell>
        </row>
        <row r="712">
          <cell r="E712" t="str">
            <v>CV 8sq-2C</v>
          </cell>
          <cell r="F712" t="str">
            <v>ｍ</v>
          </cell>
          <cell r="G712">
            <v>0</v>
          </cell>
          <cell r="H712">
            <v>232</v>
          </cell>
          <cell r="I712">
            <v>0</v>
          </cell>
          <cell r="J712">
            <v>235</v>
          </cell>
          <cell r="K712">
            <v>0</v>
          </cell>
          <cell r="L712">
            <v>235</v>
          </cell>
          <cell r="M712">
            <v>0</v>
          </cell>
          <cell r="N712">
            <v>228</v>
          </cell>
          <cell r="O712">
            <v>0</v>
          </cell>
          <cell r="P712">
            <v>223</v>
          </cell>
          <cell r="Q712">
            <v>0</v>
          </cell>
          <cell r="R712">
            <v>232</v>
          </cell>
          <cell r="S712">
            <v>0</v>
          </cell>
          <cell r="T712">
            <v>232</v>
          </cell>
          <cell r="U712">
            <v>0</v>
          </cell>
          <cell r="V712">
            <v>235</v>
          </cell>
          <cell r="W712">
            <v>0</v>
          </cell>
          <cell r="X712">
            <v>228</v>
          </cell>
          <cell r="Y712">
            <v>0</v>
          </cell>
          <cell r="Z712">
            <v>235</v>
          </cell>
          <cell r="AA712">
            <v>0</v>
          </cell>
          <cell r="AB712">
            <v>0</v>
          </cell>
          <cell r="AC712">
            <v>0</v>
          </cell>
          <cell r="AD712">
            <v>2.3E-2</v>
          </cell>
          <cell r="AE712">
            <v>0</v>
          </cell>
          <cell r="AF712">
            <v>0</v>
          </cell>
          <cell r="AG712">
            <v>0</v>
          </cell>
          <cell r="AH712">
            <v>0</v>
          </cell>
          <cell r="AI712">
            <v>0</v>
          </cell>
          <cell r="AJ712">
            <v>0</v>
          </cell>
          <cell r="AK712">
            <v>0</v>
          </cell>
          <cell r="AL712">
            <v>0</v>
          </cell>
        </row>
        <row r="713">
          <cell r="E713" t="str">
            <v>CV 14sq-2C</v>
          </cell>
          <cell r="F713" t="str">
            <v>ｍ</v>
          </cell>
          <cell r="G713">
            <v>0</v>
          </cell>
          <cell r="H713">
            <v>355</v>
          </cell>
          <cell r="I713">
            <v>0</v>
          </cell>
          <cell r="J713">
            <v>360</v>
          </cell>
          <cell r="K713">
            <v>0</v>
          </cell>
          <cell r="L713">
            <v>360</v>
          </cell>
          <cell r="M713">
            <v>0</v>
          </cell>
          <cell r="N713">
            <v>349</v>
          </cell>
          <cell r="O713">
            <v>0</v>
          </cell>
          <cell r="P713">
            <v>341</v>
          </cell>
          <cell r="Q713">
            <v>0</v>
          </cell>
          <cell r="R713">
            <v>355</v>
          </cell>
          <cell r="S713">
            <v>0</v>
          </cell>
          <cell r="T713">
            <v>355</v>
          </cell>
          <cell r="U713">
            <v>0</v>
          </cell>
          <cell r="V713">
            <v>360</v>
          </cell>
          <cell r="W713">
            <v>0</v>
          </cell>
          <cell r="X713">
            <v>349</v>
          </cell>
          <cell r="Y713">
            <v>0</v>
          </cell>
          <cell r="Z713">
            <v>360</v>
          </cell>
          <cell r="AA713">
            <v>0</v>
          </cell>
          <cell r="AB713">
            <v>0</v>
          </cell>
          <cell r="AC713">
            <v>0</v>
          </cell>
          <cell r="AD713">
            <v>2.9000000000000001E-2</v>
          </cell>
          <cell r="AE713">
            <v>0</v>
          </cell>
          <cell r="AF713">
            <v>0</v>
          </cell>
          <cell r="AG713">
            <v>0</v>
          </cell>
          <cell r="AH713">
            <v>0</v>
          </cell>
          <cell r="AI713">
            <v>0</v>
          </cell>
          <cell r="AJ713">
            <v>0</v>
          </cell>
          <cell r="AK713">
            <v>0</v>
          </cell>
          <cell r="AL713">
            <v>0</v>
          </cell>
        </row>
        <row r="714">
          <cell r="E714" t="str">
            <v>CV 22sq-2C</v>
          </cell>
          <cell r="F714" t="str">
            <v>ｍ</v>
          </cell>
          <cell r="G714">
            <v>0</v>
          </cell>
          <cell r="H714">
            <v>529</v>
          </cell>
          <cell r="I714">
            <v>0</v>
          </cell>
          <cell r="J714">
            <v>538</v>
          </cell>
          <cell r="K714">
            <v>0</v>
          </cell>
          <cell r="L714">
            <v>538</v>
          </cell>
          <cell r="M714">
            <v>0</v>
          </cell>
          <cell r="N714">
            <v>521</v>
          </cell>
          <cell r="O714">
            <v>0</v>
          </cell>
          <cell r="P714">
            <v>509</v>
          </cell>
          <cell r="Q714">
            <v>0</v>
          </cell>
          <cell r="R714">
            <v>529</v>
          </cell>
          <cell r="S714">
            <v>0</v>
          </cell>
          <cell r="T714">
            <v>529</v>
          </cell>
          <cell r="U714">
            <v>0</v>
          </cell>
          <cell r="V714">
            <v>538</v>
          </cell>
          <cell r="W714">
            <v>0</v>
          </cell>
          <cell r="X714">
            <v>521</v>
          </cell>
          <cell r="Y714">
            <v>0</v>
          </cell>
          <cell r="Z714">
            <v>538</v>
          </cell>
          <cell r="AA714">
            <v>0</v>
          </cell>
          <cell r="AB714">
            <v>0</v>
          </cell>
          <cell r="AC714">
            <v>0</v>
          </cell>
          <cell r="AD714">
            <v>3.6999999999999998E-2</v>
          </cell>
          <cell r="AE714">
            <v>0</v>
          </cell>
          <cell r="AF714">
            <v>0</v>
          </cell>
          <cell r="AG714">
            <v>0</v>
          </cell>
          <cell r="AH714">
            <v>0</v>
          </cell>
          <cell r="AI714">
            <v>0</v>
          </cell>
          <cell r="AJ714">
            <v>0</v>
          </cell>
          <cell r="AK714">
            <v>0</v>
          </cell>
          <cell r="AL714">
            <v>0</v>
          </cell>
        </row>
        <row r="715">
          <cell r="E715" t="str">
            <v>CV 38sq-2C</v>
          </cell>
          <cell r="F715" t="str">
            <v>ｍ</v>
          </cell>
          <cell r="G715">
            <v>0</v>
          </cell>
          <cell r="H715">
            <v>857</v>
          </cell>
          <cell r="I715">
            <v>0</v>
          </cell>
          <cell r="J715">
            <v>870</v>
          </cell>
          <cell r="K715">
            <v>0</v>
          </cell>
          <cell r="L715">
            <v>870</v>
          </cell>
          <cell r="M715">
            <v>0</v>
          </cell>
          <cell r="N715">
            <v>944</v>
          </cell>
          <cell r="O715">
            <v>0</v>
          </cell>
          <cell r="P715">
            <v>823</v>
          </cell>
          <cell r="Q715">
            <v>0</v>
          </cell>
          <cell r="R715">
            <v>857</v>
          </cell>
          <cell r="S715">
            <v>0</v>
          </cell>
          <cell r="T715">
            <v>857</v>
          </cell>
          <cell r="U715">
            <v>0</v>
          </cell>
          <cell r="V715">
            <v>870</v>
          </cell>
          <cell r="W715">
            <v>0</v>
          </cell>
          <cell r="X715">
            <v>844</v>
          </cell>
          <cell r="Y715">
            <v>0</v>
          </cell>
          <cell r="Z715">
            <v>870</v>
          </cell>
          <cell r="AA715">
            <v>0</v>
          </cell>
          <cell r="AB715">
            <v>0</v>
          </cell>
          <cell r="AC715">
            <v>0</v>
          </cell>
          <cell r="AD715">
            <v>0.05</v>
          </cell>
          <cell r="AE715">
            <v>0</v>
          </cell>
          <cell r="AF715">
            <v>0</v>
          </cell>
          <cell r="AG715">
            <v>0</v>
          </cell>
          <cell r="AH715">
            <v>0</v>
          </cell>
          <cell r="AI715">
            <v>0</v>
          </cell>
          <cell r="AJ715">
            <v>0</v>
          </cell>
          <cell r="AK715">
            <v>0</v>
          </cell>
          <cell r="AL715">
            <v>0</v>
          </cell>
        </row>
        <row r="716">
          <cell r="E716" t="str">
            <v>CV 60sq-2C</v>
          </cell>
          <cell r="F716" t="str">
            <v>ｍ</v>
          </cell>
          <cell r="G716">
            <v>0</v>
          </cell>
          <cell r="H716">
            <v>1338</v>
          </cell>
          <cell r="I716">
            <v>0</v>
          </cell>
          <cell r="J716">
            <v>1359</v>
          </cell>
          <cell r="K716">
            <v>0</v>
          </cell>
          <cell r="L716">
            <v>1359</v>
          </cell>
          <cell r="M716">
            <v>0</v>
          </cell>
          <cell r="N716">
            <v>1317</v>
          </cell>
          <cell r="O716">
            <v>0</v>
          </cell>
          <cell r="P716">
            <v>1285</v>
          </cell>
          <cell r="Q716">
            <v>0</v>
          </cell>
          <cell r="R716">
            <v>1338</v>
          </cell>
          <cell r="S716">
            <v>0</v>
          </cell>
          <cell r="T716">
            <v>1338</v>
          </cell>
          <cell r="U716">
            <v>0</v>
          </cell>
          <cell r="V716">
            <v>1359</v>
          </cell>
          <cell r="W716">
            <v>0</v>
          </cell>
          <cell r="X716">
            <v>1317</v>
          </cell>
          <cell r="Y716">
            <v>0</v>
          </cell>
          <cell r="Z716">
            <v>1359</v>
          </cell>
          <cell r="AA716">
            <v>0</v>
          </cell>
          <cell r="AB716">
            <v>0</v>
          </cell>
          <cell r="AC716">
            <v>0</v>
          </cell>
          <cell r="AD716">
            <v>6.5000000000000002E-2</v>
          </cell>
          <cell r="AE716">
            <v>0</v>
          </cell>
          <cell r="AF716">
            <v>0</v>
          </cell>
          <cell r="AG716">
            <v>0</v>
          </cell>
          <cell r="AH716">
            <v>0</v>
          </cell>
          <cell r="AI716">
            <v>0</v>
          </cell>
          <cell r="AJ716">
            <v>0</v>
          </cell>
          <cell r="AK716">
            <v>0</v>
          </cell>
          <cell r="AL716">
            <v>0</v>
          </cell>
        </row>
        <row r="717">
          <cell r="E717" t="str">
            <v>CV 100sq-2C</v>
          </cell>
          <cell r="F717" t="str">
            <v>ｍ</v>
          </cell>
          <cell r="G717">
            <v>0</v>
          </cell>
          <cell r="H717">
            <v>2208</v>
          </cell>
          <cell r="I717">
            <v>0</v>
          </cell>
          <cell r="J717">
            <v>2243</v>
          </cell>
          <cell r="K717">
            <v>0</v>
          </cell>
          <cell r="L717">
            <v>2243</v>
          </cell>
          <cell r="M717">
            <v>0</v>
          </cell>
          <cell r="N717">
            <v>2174</v>
          </cell>
          <cell r="O717">
            <v>0</v>
          </cell>
          <cell r="P717">
            <v>2122</v>
          </cell>
          <cell r="Q717">
            <v>0</v>
          </cell>
          <cell r="R717">
            <v>2208</v>
          </cell>
          <cell r="S717">
            <v>0</v>
          </cell>
          <cell r="T717">
            <v>2208</v>
          </cell>
          <cell r="U717">
            <v>0</v>
          </cell>
          <cell r="V717">
            <v>2243</v>
          </cell>
          <cell r="W717">
            <v>0</v>
          </cell>
          <cell r="X717">
            <v>2174</v>
          </cell>
          <cell r="Y717">
            <v>0</v>
          </cell>
          <cell r="Z717">
            <v>2243</v>
          </cell>
          <cell r="AA717">
            <v>0</v>
          </cell>
          <cell r="AB717">
            <v>0</v>
          </cell>
          <cell r="AC717">
            <v>0</v>
          </cell>
          <cell r="AD717">
            <v>0.09</v>
          </cell>
          <cell r="AE717">
            <v>0</v>
          </cell>
          <cell r="AF717">
            <v>0</v>
          </cell>
          <cell r="AG717">
            <v>0</v>
          </cell>
          <cell r="AH717">
            <v>0</v>
          </cell>
          <cell r="AI717">
            <v>0</v>
          </cell>
          <cell r="AJ717">
            <v>0</v>
          </cell>
          <cell r="AK717">
            <v>0</v>
          </cell>
          <cell r="AL717">
            <v>0</v>
          </cell>
        </row>
        <row r="718">
          <cell r="E718" t="str">
            <v>CV 150sq-2C</v>
          </cell>
          <cell r="F718" t="str">
            <v>ｍ</v>
          </cell>
          <cell r="G718">
            <v>0</v>
          </cell>
          <cell r="H718">
            <v>3294</v>
          </cell>
          <cell r="I718">
            <v>0</v>
          </cell>
          <cell r="J718">
            <v>3346</v>
          </cell>
          <cell r="K718">
            <v>0</v>
          </cell>
          <cell r="L718">
            <v>3346</v>
          </cell>
          <cell r="M718">
            <v>0</v>
          </cell>
          <cell r="N718">
            <v>3243</v>
          </cell>
          <cell r="O718">
            <v>0</v>
          </cell>
          <cell r="P718">
            <v>3165</v>
          </cell>
          <cell r="Q718">
            <v>0</v>
          </cell>
          <cell r="R718">
            <v>3294</v>
          </cell>
          <cell r="S718">
            <v>0</v>
          </cell>
          <cell r="T718">
            <v>3294</v>
          </cell>
          <cell r="U718">
            <v>0</v>
          </cell>
          <cell r="V718">
            <v>3346</v>
          </cell>
          <cell r="W718">
            <v>0</v>
          </cell>
          <cell r="X718">
            <v>3243</v>
          </cell>
          <cell r="Y718">
            <v>0</v>
          </cell>
          <cell r="Z718">
            <v>3346</v>
          </cell>
          <cell r="AA718">
            <v>0</v>
          </cell>
          <cell r="AB718">
            <v>0</v>
          </cell>
          <cell r="AC718">
            <v>0</v>
          </cell>
          <cell r="AD718">
            <v>0.11</v>
          </cell>
          <cell r="AE718">
            <v>0</v>
          </cell>
          <cell r="AF718">
            <v>0</v>
          </cell>
          <cell r="AG718">
            <v>0</v>
          </cell>
          <cell r="AH718">
            <v>0</v>
          </cell>
          <cell r="AI718">
            <v>0</v>
          </cell>
          <cell r="AJ718">
            <v>0</v>
          </cell>
          <cell r="AK718">
            <v>0</v>
          </cell>
          <cell r="AL718">
            <v>0</v>
          </cell>
        </row>
        <row r="719">
          <cell r="E719" t="str">
            <v>CV 200sq-2C</v>
          </cell>
          <cell r="F719" t="str">
            <v>ｍ</v>
          </cell>
          <cell r="G719">
            <v>0</v>
          </cell>
          <cell r="H719">
            <v>4428</v>
          </cell>
          <cell r="I719">
            <v>0</v>
          </cell>
          <cell r="J719">
            <v>4497</v>
          </cell>
          <cell r="K719">
            <v>0</v>
          </cell>
          <cell r="L719">
            <v>4497</v>
          </cell>
          <cell r="M719">
            <v>0</v>
          </cell>
          <cell r="N719">
            <v>4358</v>
          </cell>
          <cell r="O719">
            <v>0</v>
          </cell>
          <cell r="P719">
            <v>4255</v>
          </cell>
          <cell r="Q719">
            <v>0</v>
          </cell>
          <cell r="R719">
            <v>4428</v>
          </cell>
          <cell r="S719">
            <v>0</v>
          </cell>
          <cell r="T719">
            <v>4428</v>
          </cell>
          <cell r="U719">
            <v>0</v>
          </cell>
          <cell r="V719">
            <v>4497</v>
          </cell>
          <cell r="W719">
            <v>0</v>
          </cell>
          <cell r="X719">
            <v>4358</v>
          </cell>
          <cell r="Y719">
            <v>0</v>
          </cell>
          <cell r="Z719">
            <v>4497</v>
          </cell>
          <cell r="AA719">
            <v>0</v>
          </cell>
          <cell r="AB719">
            <v>0</v>
          </cell>
          <cell r="AC719">
            <v>0</v>
          </cell>
          <cell r="AD719">
            <v>0.13600000000000001</v>
          </cell>
          <cell r="AE719">
            <v>0</v>
          </cell>
          <cell r="AF719">
            <v>0</v>
          </cell>
          <cell r="AG719">
            <v>0</v>
          </cell>
          <cell r="AH719">
            <v>0</v>
          </cell>
          <cell r="AI719">
            <v>0</v>
          </cell>
          <cell r="AJ719">
            <v>0</v>
          </cell>
          <cell r="AK719">
            <v>0</v>
          </cell>
          <cell r="AL719">
            <v>0</v>
          </cell>
        </row>
        <row r="720">
          <cell r="E720" t="str">
            <v>CV 250sq-2C</v>
          </cell>
          <cell r="F720" t="str">
            <v>ｍ</v>
          </cell>
          <cell r="G720">
            <v>0</v>
          </cell>
          <cell r="H720">
            <v>6132</v>
          </cell>
          <cell r="I720">
            <v>0</v>
          </cell>
          <cell r="J720">
            <v>6228</v>
          </cell>
          <cell r="K720">
            <v>0</v>
          </cell>
          <cell r="L720">
            <v>6228</v>
          </cell>
          <cell r="M720">
            <v>0</v>
          </cell>
          <cell r="N720">
            <v>6036</v>
          </cell>
          <cell r="O720">
            <v>0</v>
          </cell>
          <cell r="P720">
            <v>5892</v>
          </cell>
          <cell r="Q720">
            <v>0</v>
          </cell>
          <cell r="R720">
            <v>6132</v>
          </cell>
          <cell r="S720">
            <v>0</v>
          </cell>
          <cell r="T720">
            <v>6132</v>
          </cell>
          <cell r="U720">
            <v>0</v>
          </cell>
          <cell r="V720">
            <v>6228</v>
          </cell>
          <cell r="W720">
            <v>0</v>
          </cell>
          <cell r="X720">
            <v>6036</v>
          </cell>
          <cell r="Y720">
            <v>0</v>
          </cell>
          <cell r="Z720">
            <v>6228</v>
          </cell>
          <cell r="AA720">
            <v>0</v>
          </cell>
          <cell r="AB720">
            <v>0</v>
          </cell>
          <cell r="AC720">
            <v>0</v>
          </cell>
          <cell r="AD720">
            <v>0.157</v>
          </cell>
          <cell r="AE720">
            <v>0</v>
          </cell>
          <cell r="AF720">
            <v>0</v>
          </cell>
          <cell r="AG720">
            <v>0</v>
          </cell>
          <cell r="AH720">
            <v>0</v>
          </cell>
          <cell r="AI720">
            <v>0</v>
          </cell>
          <cell r="AJ720">
            <v>0</v>
          </cell>
          <cell r="AK720">
            <v>0</v>
          </cell>
          <cell r="AL720">
            <v>0</v>
          </cell>
        </row>
        <row r="721">
          <cell r="E721" t="str">
            <v>CV 325sq-2C</v>
          </cell>
          <cell r="F721" t="str">
            <v>ｍ</v>
          </cell>
          <cell r="G721">
            <v>0</v>
          </cell>
          <cell r="H721">
            <v>7827</v>
          </cell>
          <cell r="I721">
            <v>0</v>
          </cell>
          <cell r="J721">
            <v>7949</v>
          </cell>
          <cell r="K721">
            <v>0</v>
          </cell>
          <cell r="L721">
            <v>7949</v>
          </cell>
          <cell r="M721">
            <v>0</v>
          </cell>
          <cell r="N721">
            <v>7704</v>
          </cell>
          <cell r="O721">
            <v>0</v>
          </cell>
          <cell r="P721">
            <v>7521</v>
          </cell>
          <cell r="Q721">
            <v>0</v>
          </cell>
          <cell r="R721">
            <v>7827</v>
          </cell>
          <cell r="S721">
            <v>0</v>
          </cell>
          <cell r="T721">
            <v>7827</v>
          </cell>
          <cell r="U721">
            <v>0</v>
          </cell>
          <cell r="V721">
            <v>7949</v>
          </cell>
          <cell r="W721">
            <v>0</v>
          </cell>
          <cell r="X721">
            <v>7704</v>
          </cell>
          <cell r="Y721">
            <v>0</v>
          </cell>
          <cell r="Z721">
            <v>7949</v>
          </cell>
          <cell r="AA721">
            <v>0</v>
          </cell>
          <cell r="AB721">
            <v>0</v>
          </cell>
          <cell r="AC721">
            <v>0</v>
          </cell>
          <cell r="AD721">
            <v>0.19800000000000001</v>
          </cell>
          <cell r="AE721">
            <v>0</v>
          </cell>
          <cell r="AF721">
            <v>0</v>
          </cell>
          <cell r="AG721">
            <v>0</v>
          </cell>
          <cell r="AH721">
            <v>0</v>
          </cell>
          <cell r="AI721">
            <v>0</v>
          </cell>
          <cell r="AJ721">
            <v>0</v>
          </cell>
          <cell r="AK721">
            <v>0</v>
          </cell>
          <cell r="AL721">
            <v>0</v>
          </cell>
        </row>
        <row r="722">
          <cell r="E722" t="str">
            <v>CV  2sq-3C</v>
          </cell>
          <cell r="F722" t="str">
            <v>ｍ</v>
          </cell>
          <cell r="G722">
            <v>0</v>
          </cell>
          <cell r="H722">
            <v>116</v>
          </cell>
          <cell r="I722">
            <v>0</v>
          </cell>
          <cell r="J722">
            <v>118</v>
          </cell>
          <cell r="K722">
            <v>0</v>
          </cell>
          <cell r="L722">
            <v>118</v>
          </cell>
          <cell r="M722">
            <v>0</v>
          </cell>
          <cell r="N722">
            <v>115</v>
          </cell>
          <cell r="O722">
            <v>0</v>
          </cell>
          <cell r="P722">
            <v>112</v>
          </cell>
          <cell r="Q722">
            <v>0</v>
          </cell>
          <cell r="R722">
            <v>116</v>
          </cell>
          <cell r="S722">
            <v>0</v>
          </cell>
          <cell r="T722">
            <v>116</v>
          </cell>
          <cell r="U722">
            <v>0</v>
          </cell>
          <cell r="V722">
            <v>118</v>
          </cell>
          <cell r="W722">
            <v>0</v>
          </cell>
          <cell r="X722">
            <v>115</v>
          </cell>
          <cell r="Y722">
            <v>0</v>
          </cell>
          <cell r="Z722">
            <v>118</v>
          </cell>
          <cell r="AA722">
            <v>0</v>
          </cell>
          <cell r="AB722">
            <v>0</v>
          </cell>
          <cell r="AC722">
            <v>0</v>
          </cell>
          <cell r="AD722">
            <v>1.7000000000000001E-2</v>
          </cell>
          <cell r="AE722">
            <v>0</v>
          </cell>
          <cell r="AF722">
            <v>0</v>
          </cell>
          <cell r="AG722">
            <v>0</v>
          </cell>
          <cell r="AH722">
            <v>0</v>
          </cell>
          <cell r="AI722">
            <v>0</v>
          </cell>
          <cell r="AJ722">
            <v>0</v>
          </cell>
          <cell r="AK722">
            <v>0</v>
          </cell>
          <cell r="AL722">
            <v>0</v>
          </cell>
        </row>
        <row r="723">
          <cell r="E723" t="str">
            <v>CV3.5sq-3C</v>
          </cell>
          <cell r="F723" t="str">
            <v>ｍ</v>
          </cell>
          <cell r="G723">
            <v>0</v>
          </cell>
          <cell r="H723">
            <v>170</v>
          </cell>
          <cell r="I723">
            <v>0</v>
          </cell>
          <cell r="J723">
            <v>173</v>
          </cell>
          <cell r="K723">
            <v>0</v>
          </cell>
          <cell r="L723">
            <v>173</v>
          </cell>
          <cell r="M723">
            <v>0</v>
          </cell>
          <cell r="N723">
            <v>168</v>
          </cell>
          <cell r="O723">
            <v>0</v>
          </cell>
          <cell r="P723">
            <v>164</v>
          </cell>
          <cell r="Q723">
            <v>0</v>
          </cell>
          <cell r="R723">
            <v>170</v>
          </cell>
          <cell r="S723">
            <v>0</v>
          </cell>
          <cell r="T723">
            <v>170</v>
          </cell>
          <cell r="U723">
            <v>0</v>
          </cell>
          <cell r="V723">
            <v>173</v>
          </cell>
          <cell r="W723">
            <v>0</v>
          </cell>
          <cell r="X723">
            <v>168</v>
          </cell>
          <cell r="Y723">
            <v>0</v>
          </cell>
          <cell r="Z723">
            <v>173</v>
          </cell>
          <cell r="AA723">
            <v>0</v>
          </cell>
          <cell r="AB723">
            <v>0</v>
          </cell>
          <cell r="AC723">
            <v>0</v>
          </cell>
          <cell r="AD723">
            <v>2.1000000000000001E-2</v>
          </cell>
          <cell r="AE723">
            <v>0</v>
          </cell>
          <cell r="AF723">
            <v>0</v>
          </cell>
          <cell r="AG723">
            <v>0</v>
          </cell>
          <cell r="AH723">
            <v>0</v>
          </cell>
          <cell r="AI723">
            <v>0</v>
          </cell>
          <cell r="AJ723">
            <v>0</v>
          </cell>
          <cell r="AK723">
            <v>0</v>
          </cell>
          <cell r="AL723">
            <v>0</v>
          </cell>
        </row>
        <row r="724">
          <cell r="E724" t="str">
            <v>CV5.5sq-3C</v>
          </cell>
          <cell r="F724" t="str">
            <v>ｍ</v>
          </cell>
          <cell r="G724">
            <v>0</v>
          </cell>
          <cell r="H724">
            <v>239</v>
          </cell>
          <cell r="I724">
            <v>0</v>
          </cell>
          <cell r="J724">
            <v>243</v>
          </cell>
          <cell r="K724">
            <v>0</v>
          </cell>
          <cell r="L724">
            <v>243</v>
          </cell>
          <cell r="M724">
            <v>0</v>
          </cell>
          <cell r="N724">
            <v>236</v>
          </cell>
          <cell r="O724">
            <v>0</v>
          </cell>
          <cell r="P724">
            <v>230</v>
          </cell>
          <cell r="Q724">
            <v>0</v>
          </cell>
          <cell r="R724">
            <v>239</v>
          </cell>
          <cell r="S724">
            <v>0</v>
          </cell>
          <cell r="T724">
            <v>239</v>
          </cell>
          <cell r="U724">
            <v>0</v>
          </cell>
          <cell r="V724">
            <v>243</v>
          </cell>
          <cell r="W724">
            <v>0</v>
          </cell>
          <cell r="X724">
            <v>236</v>
          </cell>
          <cell r="Y724">
            <v>0</v>
          </cell>
          <cell r="Z724">
            <v>243</v>
          </cell>
          <cell r="AA724">
            <v>0</v>
          </cell>
          <cell r="AB724">
            <v>0</v>
          </cell>
          <cell r="AC724">
            <v>0</v>
          </cell>
          <cell r="AD724">
            <v>2.5999999999999999E-2</v>
          </cell>
          <cell r="AE724">
            <v>0</v>
          </cell>
          <cell r="AF724">
            <v>0</v>
          </cell>
          <cell r="AG724">
            <v>0</v>
          </cell>
          <cell r="AH724">
            <v>0</v>
          </cell>
          <cell r="AI724">
            <v>0</v>
          </cell>
          <cell r="AJ724">
            <v>0</v>
          </cell>
          <cell r="AK724">
            <v>0</v>
          </cell>
          <cell r="AL724">
            <v>0</v>
          </cell>
        </row>
        <row r="725">
          <cell r="E725" t="str">
            <v>CV  8sq-3C</v>
          </cell>
          <cell r="F725" t="str">
            <v>ｍ</v>
          </cell>
          <cell r="G725">
            <v>0</v>
          </cell>
          <cell r="H725">
            <v>319</v>
          </cell>
          <cell r="I725">
            <v>0</v>
          </cell>
          <cell r="J725">
            <v>324</v>
          </cell>
          <cell r="K725">
            <v>0</v>
          </cell>
          <cell r="L725">
            <v>324</v>
          </cell>
          <cell r="M725">
            <v>0</v>
          </cell>
          <cell r="N725">
            <v>314</v>
          </cell>
          <cell r="O725">
            <v>0</v>
          </cell>
          <cell r="P725">
            <v>307</v>
          </cell>
          <cell r="Q725">
            <v>0</v>
          </cell>
          <cell r="R725">
            <v>319</v>
          </cell>
          <cell r="S725">
            <v>0</v>
          </cell>
          <cell r="T725">
            <v>319</v>
          </cell>
          <cell r="U725">
            <v>0</v>
          </cell>
          <cell r="V725">
            <v>324</v>
          </cell>
          <cell r="W725">
            <v>0</v>
          </cell>
          <cell r="X725">
            <v>314</v>
          </cell>
          <cell r="Y725">
            <v>0</v>
          </cell>
          <cell r="Z725">
            <v>324</v>
          </cell>
          <cell r="AA725">
            <v>0</v>
          </cell>
          <cell r="AB725">
            <v>0</v>
          </cell>
          <cell r="AC725">
            <v>0</v>
          </cell>
          <cell r="AD725">
            <v>2.9000000000000001E-2</v>
          </cell>
          <cell r="AE725">
            <v>0</v>
          </cell>
          <cell r="AF725">
            <v>0</v>
          </cell>
          <cell r="AG725">
            <v>0</v>
          </cell>
          <cell r="AH725">
            <v>0</v>
          </cell>
          <cell r="AI725">
            <v>0</v>
          </cell>
          <cell r="AJ725">
            <v>0</v>
          </cell>
          <cell r="AK725">
            <v>0</v>
          </cell>
          <cell r="AL725">
            <v>0</v>
          </cell>
        </row>
        <row r="726">
          <cell r="E726" t="str">
            <v>CV 14sq-3C</v>
          </cell>
          <cell r="F726" t="str">
            <v>ｍ</v>
          </cell>
          <cell r="G726">
            <v>0</v>
          </cell>
          <cell r="H726">
            <v>500</v>
          </cell>
          <cell r="I726">
            <v>0</v>
          </cell>
          <cell r="J726">
            <v>508</v>
          </cell>
          <cell r="K726">
            <v>0</v>
          </cell>
          <cell r="L726">
            <v>508</v>
          </cell>
          <cell r="M726">
            <v>0</v>
          </cell>
          <cell r="N726">
            <v>492</v>
          </cell>
          <cell r="O726">
            <v>0</v>
          </cell>
          <cell r="P726">
            <v>480</v>
          </cell>
          <cell r="Q726">
            <v>0</v>
          </cell>
          <cell r="R726">
            <v>500</v>
          </cell>
          <cell r="S726">
            <v>0</v>
          </cell>
          <cell r="T726">
            <v>500</v>
          </cell>
          <cell r="U726">
            <v>0</v>
          </cell>
          <cell r="V726">
            <v>508</v>
          </cell>
          <cell r="W726">
            <v>0</v>
          </cell>
          <cell r="X726">
            <v>492</v>
          </cell>
          <cell r="Y726">
            <v>0</v>
          </cell>
          <cell r="Z726">
            <v>508</v>
          </cell>
          <cell r="AA726">
            <v>0</v>
          </cell>
          <cell r="AB726">
            <v>0</v>
          </cell>
          <cell r="AC726">
            <v>0</v>
          </cell>
          <cell r="AD726">
            <v>3.6999999999999998E-2</v>
          </cell>
          <cell r="AE726">
            <v>0</v>
          </cell>
          <cell r="AF726">
            <v>0</v>
          </cell>
          <cell r="AG726">
            <v>0</v>
          </cell>
          <cell r="AH726">
            <v>0</v>
          </cell>
          <cell r="AI726">
            <v>0</v>
          </cell>
          <cell r="AJ726">
            <v>0</v>
          </cell>
          <cell r="AK726">
            <v>0</v>
          </cell>
          <cell r="AL726">
            <v>0</v>
          </cell>
        </row>
        <row r="727">
          <cell r="E727" t="str">
            <v>CV 22sq-3C</v>
          </cell>
          <cell r="F727" t="str">
            <v>ｍ</v>
          </cell>
          <cell r="G727">
            <v>0</v>
          </cell>
          <cell r="H727">
            <v>754</v>
          </cell>
          <cell r="I727">
            <v>0</v>
          </cell>
          <cell r="J727">
            <v>766</v>
          </cell>
          <cell r="K727">
            <v>0</v>
          </cell>
          <cell r="L727">
            <v>766</v>
          </cell>
          <cell r="M727">
            <v>0</v>
          </cell>
          <cell r="N727">
            <v>742</v>
          </cell>
          <cell r="O727">
            <v>0</v>
          </cell>
          <cell r="P727">
            <v>724</v>
          </cell>
          <cell r="Q727">
            <v>0</v>
          </cell>
          <cell r="R727">
            <v>754</v>
          </cell>
          <cell r="S727">
            <v>0</v>
          </cell>
          <cell r="T727">
            <v>754</v>
          </cell>
          <cell r="U727">
            <v>0</v>
          </cell>
          <cell r="V727">
            <v>766</v>
          </cell>
          <cell r="W727">
            <v>0</v>
          </cell>
          <cell r="X727">
            <v>742</v>
          </cell>
          <cell r="Y727">
            <v>0</v>
          </cell>
          <cell r="Z727">
            <v>766</v>
          </cell>
          <cell r="AA727">
            <v>0</v>
          </cell>
          <cell r="AB727">
            <v>0</v>
          </cell>
          <cell r="AC727">
            <v>0</v>
          </cell>
          <cell r="AD727">
            <v>4.7E-2</v>
          </cell>
          <cell r="AE727">
            <v>0</v>
          </cell>
          <cell r="AF727">
            <v>0</v>
          </cell>
          <cell r="AG727">
            <v>0</v>
          </cell>
          <cell r="AH727">
            <v>0</v>
          </cell>
          <cell r="AI727">
            <v>0</v>
          </cell>
          <cell r="AJ727">
            <v>0</v>
          </cell>
          <cell r="AK727">
            <v>0</v>
          </cell>
          <cell r="AL727">
            <v>0</v>
          </cell>
        </row>
        <row r="728">
          <cell r="E728" t="str">
            <v>CV 38sq-3C</v>
          </cell>
          <cell r="F728" t="str">
            <v>ｍ</v>
          </cell>
          <cell r="G728">
            <v>0</v>
          </cell>
          <cell r="H728">
            <v>1246</v>
          </cell>
          <cell r="I728">
            <v>0</v>
          </cell>
          <cell r="J728">
            <v>1266</v>
          </cell>
          <cell r="K728">
            <v>0</v>
          </cell>
          <cell r="L728">
            <v>1266</v>
          </cell>
          <cell r="M728">
            <v>0</v>
          </cell>
          <cell r="N728">
            <v>1227</v>
          </cell>
          <cell r="O728">
            <v>0</v>
          </cell>
          <cell r="P728">
            <v>1197</v>
          </cell>
          <cell r="Q728">
            <v>0</v>
          </cell>
          <cell r="R728">
            <v>1246</v>
          </cell>
          <cell r="S728">
            <v>0</v>
          </cell>
          <cell r="T728">
            <v>1246</v>
          </cell>
          <cell r="U728">
            <v>0</v>
          </cell>
          <cell r="V728">
            <v>1266</v>
          </cell>
          <cell r="W728">
            <v>0</v>
          </cell>
          <cell r="X728">
            <v>1227</v>
          </cell>
          <cell r="Y728">
            <v>0</v>
          </cell>
          <cell r="Z728">
            <v>1266</v>
          </cell>
          <cell r="AA728">
            <v>0</v>
          </cell>
          <cell r="AB728">
            <v>0</v>
          </cell>
          <cell r="AC728">
            <v>0</v>
          </cell>
          <cell r="AD728">
            <v>6.2E-2</v>
          </cell>
          <cell r="AE728">
            <v>0</v>
          </cell>
          <cell r="AF728">
            <v>0</v>
          </cell>
          <cell r="AG728">
            <v>0</v>
          </cell>
          <cell r="AH728">
            <v>0</v>
          </cell>
          <cell r="AI728">
            <v>0</v>
          </cell>
          <cell r="AJ728">
            <v>0</v>
          </cell>
          <cell r="AK728">
            <v>0</v>
          </cell>
          <cell r="AL728">
            <v>0</v>
          </cell>
        </row>
        <row r="729">
          <cell r="E729" t="str">
            <v>CV 60sq-3C</v>
          </cell>
          <cell r="F729" t="str">
            <v>ｍ</v>
          </cell>
          <cell r="G729">
            <v>0</v>
          </cell>
          <cell r="H729">
            <v>1932</v>
          </cell>
          <cell r="I729">
            <v>0</v>
          </cell>
          <cell r="J729">
            <v>1962</v>
          </cell>
          <cell r="K729">
            <v>0</v>
          </cell>
          <cell r="L729">
            <v>1962</v>
          </cell>
          <cell r="M729">
            <v>0</v>
          </cell>
          <cell r="N729">
            <v>1902</v>
          </cell>
          <cell r="O729">
            <v>0</v>
          </cell>
          <cell r="P729">
            <v>1857</v>
          </cell>
          <cell r="Q729">
            <v>0</v>
          </cell>
          <cell r="R729">
            <v>1932</v>
          </cell>
          <cell r="S729">
            <v>0</v>
          </cell>
          <cell r="T729">
            <v>1932</v>
          </cell>
          <cell r="U729">
            <v>0</v>
          </cell>
          <cell r="V729">
            <v>1962</v>
          </cell>
          <cell r="W729">
            <v>0</v>
          </cell>
          <cell r="X729">
            <v>1902</v>
          </cell>
          <cell r="Y729">
            <v>0</v>
          </cell>
          <cell r="Z729">
            <v>1962</v>
          </cell>
          <cell r="AA729">
            <v>0</v>
          </cell>
          <cell r="AB729">
            <v>0</v>
          </cell>
          <cell r="AC729">
            <v>0</v>
          </cell>
          <cell r="AD729">
            <v>8.2000000000000003E-2</v>
          </cell>
          <cell r="AE729">
            <v>0</v>
          </cell>
          <cell r="AF729">
            <v>0</v>
          </cell>
          <cell r="AG729">
            <v>0</v>
          </cell>
          <cell r="AH729">
            <v>0</v>
          </cell>
          <cell r="AI729">
            <v>0</v>
          </cell>
          <cell r="AJ729">
            <v>0</v>
          </cell>
          <cell r="AK729">
            <v>0</v>
          </cell>
          <cell r="AL729">
            <v>0</v>
          </cell>
        </row>
        <row r="730">
          <cell r="E730" t="str">
            <v>CV100sq-3C</v>
          </cell>
          <cell r="F730" t="str">
            <v>ｍ</v>
          </cell>
          <cell r="G730">
            <v>0</v>
          </cell>
          <cell r="H730">
            <v>3239</v>
          </cell>
          <cell r="I730">
            <v>0</v>
          </cell>
          <cell r="J730">
            <v>3290</v>
          </cell>
          <cell r="K730">
            <v>0</v>
          </cell>
          <cell r="L730">
            <v>3290</v>
          </cell>
          <cell r="M730">
            <v>0</v>
          </cell>
          <cell r="N730">
            <v>3188</v>
          </cell>
          <cell r="O730">
            <v>0</v>
          </cell>
          <cell r="P730">
            <v>3113</v>
          </cell>
          <cell r="Q730">
            <v>0</v>
          </cell>
          <cell r="R730">
            <v>3239</v>
          </cell>
          <cell r="S730">
            <v>0</v>
          </cell>
          <cell r="T730">
            <v>3239</v>
          </cell>
          <cell r="U730">
            <v>0</v>
          </cell>
          <cell r="V730">
            <v>3290</v>
          </cell>
          <cell r="W730">
            <v>0</v>
          </cell>
          <cell r="X730">
            <v>3188</v>
          </cell>
          <cell r="Y730">
            <v>0</v>
          </cell>
          <cell r="Z730">
            <v>3290</v>
          </cell>
          <cell r="AA730">
            <v>0</v>
          </cell>
          <cell r="AB730">
            <v>0</v>
          </cell>
          <cell r="AC730">
            <v>0</v>
          </cell>
          <cell r="AD730">
            <v>0.112</v>
          </cell>
          <cell r="AE730">
            <v>0</v>
          </cell>
          <cell r="AF730">
            <v>0</v>
          </cell>
          <cell r="AG730">
            <v>0</v>
          </cell>
          <cell r="AH730">
            <v>0</v>
          </cell>
          <cell r="AI730">
            <v>0</v>
          </cell>
          <cell r="AJ730">
            <v>0</v>
          </cell>
          <cell r="AK730">
            <v>0</v>
          </cell>
          <cell r="AL730">
            <v>0</v>
          </cell>
        </row>
        <row r="731">
          <cell r="E731" t="str">
            <v>CV150sq-3C</v>
          </cell>
          <cell r="F731" t="str">
            <v>ｍ</v>
          </cell>
          <cell r="G731">
            <v>0</v>
          </cell>
          <cell r="H731">
            <v>4794</v>
          </cell>
          <cell r="I731">
            <v>0</v>
          </cell>
          <cell r="J731">
            <v>4869</v>
          </cell>
          <cell r="K731">
            <v>0</v>
          </cell>
          <cell r="L731">
            <v>4869</v>
          </cell>
          <cell r="M731">
            <v>0</v>
          </cell>
          <cell r="N731">
            <v>4719</v>
          </cell>
          <cell r="O731">
            <v>0</v>
          </cell>
          <cell r="P731">
            <v>4606</v>
          </cell>
          <cell r="Q731">
            <v>0</v>
          </cell>
          <cell r="R731">
            <v>4794</v>
          </cell>
          <cell r="S731">
            <v>0</v>
          </cell>
          <cell r="T731">
            <v>4794</v>
          </cell>
          <cell r="U731">
            <v>0</v>
          </cell>
          <cell r="V731">
            <v>4869</v>
          </cell>
          <cell r="W731">
            <v>0</v>
          </cell>
          <cell r="X731">
            <v>4719</v>
          </cell>
          <cell r="Y731">
            <v>0</v>
          </cell>
          <cell r="Z731">
            <v>4869</v>
          </cell>
          <cell r="AA731">
            <v>0</v>
          </cell>
          <cell r="AB731">
            <v>0</v>
          </cell>
          <cell r="AC731">
            <v>0</v>
          </cell>
          <cell r="AD731">
            <v>0.13700000000000001</v>
          </cell>
          <cell r="AE731">
            <v>0</v>
          </cell>
          <cell r="AF731">
            <v>0</v>
          </cell>
          <cell r="AG731">
            <v>0</v>
          </cell>
          <cell r="AH731">
            <v>0</v>
          </cell>
          <cell r="AI731">
            <v>0</v>
          </cell>
          <cell r="AJ731">
            <v>0</v>
          </cell>
          <cell r="AK731">
            <v>0</v>
          </cell>
          <cell r="AL731">
            <v>0</v>
          </cell>
        </row>
        <row r="732">
          <cell r="E732" t="str">
            <v>CV200sq-3C</v>
          </cell>
          <cell r="F732" t="str">
            <v>ｍ</v>
          </cell>
          <cell r="G732">
            <v>0</v>
          </cell>
          <cell r="H732">
            <v>6427</v>
          </cell>
          <cell r="I732">
            <v>0</v>
          </cell>
          <cell r="J732">
            <v>6527</v>
          </cell>
          <cell r="K732">
            <v>0</v>
          </cell>
          <cell r="L732">
            <v>6527</v>
          </cell>
          <cell r="M732">
            <v>0</v>
          </cell>
          <cell r="N732">
            <v>6326</v>
          </cell>
          <cell r="O732">
            <v>0</v>
          </cell>
          <cell r="P732">
            <v>6176</v>
          </cell>
          <cell r="Q732">
            <v>0</v>
          </cell>
          <cell r="R732">
            <v>6427</v>
          </cell>
          <cell r="S732">
            <v>0</v>
          </cell>
          <cell r="T732">
            <v>6427</v>
          </cell>
          <cell r="U732">
            <v>0</v>
          </cell>
          <cell r="V732">
            <v>6527</v>
          </cell>
          <cell r="W732">
            <v>0</v>
          </cell>
          <cell r="X732">
            <v>6326</v>
          </cell>
          <cell r="Y732">
            <v>0</v>
          </cell>
          <cell r="Z732">
            <v>6527</v>
          </cell>
          <cell r="AA732">
            <v>0</v>
          </cell>
          <cell r="AB732">
            <v>0</v>
          </cell>
          <cell r="AC732">
            <v>0</v>
          </cell>
          <cell r="AD732">
            <v>0.17</v>
          </cell>
          <cell r="AE732">
            <v>0</v>
          </cell>
          <cell r="AF732">
            <v>0</v>
          </cell>
          <cell r="AG732">
            <v>0</v>
          </cell>
          <cell r="AH732">
            <v>0</v>
          </cell>
          <cell r="AI732">
            <v>0</v>
          </cell>
          <cell r="AJ732">
            <v>0</v>
          </cell>
          <cell r="AK732">
            <v>0</v>
          </cell>
          <cell r="AL732">
            <v>0</v>
          </cell>
        </row>
        <row r="733">
          <cell r="E733" t="str">
            <v>CV250sq-3C</v>
          </cell>
          <cell r="F733" t="str">
            <v>ｍ</v>
          </cell>
          <cell r="G733">
            <v>0</v>
          </cell>
          <cell r="H733">
            <v>8076</v>
          </cell>
          <cell r="I733">
            <v>0</v>
          </cell>
          <cell r="J733">
            <v>8202</v>
          </cell>
          <cell r="K733">
            <v>0</v>
          </cell>
          <cell r="L733">
            <v>8202</v>
          </cell>
          <cell r="M733">
            <v>0</v>
          </cell>
          <cell r="N733">
            <v>7950</v>
          </cell>
          <cell r="O733">
            <v>0</v>
          </cell>
          <cell r="P733">
            <v>7761</v>
          </cell>
          <cell r="Q733">
            <v>0</v>
          </cell>
          <cell r="R733">
            <v>8076</v>
          </cell>
          <cell r="S733">
            <v>0</v>
          </cell>
          <cell r="T733">
            <v>8076</v>
          </cell>
          <cell r="U733">
            <v>0</v>
          </cell>
          <cell r="V733">
            <v>8202</v>
          </cell>
          <cell r="W733">
            <v>0</v>
          </cell>
          <cell r="X733">
            <v>7950</v>
          </cell>
          <cell r="Y733">
            <v>0</v>
          </cell>
          <cell r="Z733">
            <v>8202</v>
          </cell>
          <cell r="AA733">
            <v>0</v>
          </cell>
          <cell r="AB733">
            <v>0</v>
          </cell>
          <cell r="AC733">
            <v>0</v>
          </cell>
          <cell r="AD733">
            <v>0.19600000000000001</v>
          </cell>
          <cell r="AE733">
            <v>0</v>
          </cell>
          <cell r="AF733">
            <v>0</v>
          </cell>
          <cell r="AG733">
            <v>0</v>
          </cell>
          <cell r="AH733">
            <v>0</v>
          </cell>
          <cell r="AI733">
            <v>0</v>
          </cell>
          <cell r="AJ733">
            <v>0</v>
          </cell>
          <cell r="AK733">
            <v>0</v>
          </cell>
          <cell r="AL733">
            <v>0</v>
          </cell>
        </row>
        <row r="734">
          <cell r="E734" t="str">
            <v>CV325sq-3C</v>
          </cell>
          <cell r="F734" t="str">
            <v>ｍ</v>
          </cell>
          <cell r="G734">
            <v>0</v>
          </cell>
          <cell r="H734">
            <v>11469</v>
          </cell>
          <cell r="I734">
            <v>0</v>
          </cell>
          <cell r="J734">
            <v>11648</v>
          </cell>
          <cell r="K734">
            <v>0</v>
          </cell>
          <cell r="L734">
            <v>11648</v>
          </cell>
          <cell r="M734">
            <v>0</v>
          </cell>
          <cell r="N734">
            <v>11290</v>
          </cell>
          <cell r="O734">
            <v>0</v>
          </cell>
          <cell r="P734">
            <v>11021</v>
          </cell>
          <cell r="Q734">
            <v>0</v>
          </cell>
          <cell r="R734">
            <v>11469</v>
          </cell>
          <cell r="S734">
            <v>0</v>
          </cell>
          <cell r="T734">
            <v>11469</v>
          </cell>
          <cell r="U734">
            <v>0</v>
          </cell>
          <cell r="V734">
            <v>11648</v>
          </cell>
          <cell r="W734">
            <v>0</v>
          </cell>
          <cell r="X734">
            <v>11290</v>
          </cell>
          <cell r="Y734">
            <v>0</v>
          </cell>
          <cell r="Z734">
            <v>11648</v>
          </cell>
          <cell r="AA734">
            <v>0</v>
          </cell>
          <cell r="AB734">
            <v>0</v>
          </cell>
          <cell r="AC734">
            <v>0</v>
          </cell>
          <cell r="AD734">
            <v>0.248</v>
          </cell>
          <cell r="AE734">
            <v>0</v>
          </cell>
          <cell r="AF734">
            <v>0</v>
          </cell>
          <cell r="AG734">
            <v>0</v>
          </cell>
          <cell r="AH734">
            <v>0</v>
          </cell>
          <cell r="AI734">
            <v>0</v>
          </cell>
          <cell r="AJ734">
            <v>0</v>
          </cell>
          <cell r="AK734">
            <v>0</v>
          </cell>
          <cell r="AL734">
            <v>0</v>
          </cell>
        </row>
        <row r="735">
          <cell r="E735" t="str">
            <v>CV 2sq-4C</v>
          </cell>
          <cell r="F735" t="str">
            <v>ｍ</v>
          </cell>
          <cell r="G735">
            <v>0</v>
          </cell>
          <cell r="H735">
            <v>142</v>
          </cell>
          <cell r="I735">
            <v>0</v>
          </cell>
          <cell r="J735">
            <v>144</v>
          </cell>
          <cell r="K735">
            <v>0</v>
          </cell>
          <cell r="L735">
            <v>144</v>
          </cell>
          <cell r="M735">
            <v>0</v>
          </cell>
          <cell r="N735">
            <v>142</v>
          </cell>
          <cell r="O735">
            <v>0</v>
          </cell>
          <cell r="P735">
            <v>137</v>
          </cell>
          <cell r="Q735">
            <v>0</v>
          </cell>
          <cell r="R735">
            <v>142</v>
          </cell>
          <cell r="S735">
            <v>0</v>
          </cell>
          <cell r="T735">
            <v>142</v>
          </cell>
          <cell r="U735">
            <v>0</v>
          </cell>
          <cell r="V735">
            <v>144</v>
          </cell>
          <cell r="W735">
            <v>0</v>
          </cell>
          <cell r="X735">
            <v>140</v>
          </cell>
          <cell r="Y735">
            <v>0</v>
          </cell>
          <cell r="Z735">
            <v>144</v>
          </cell>
          <cell r="AA735">
            <v>0</v>
          </cell>
          <cell r="AB735">
            <v>0</v>
          </cell>
          <cell r="AC735">
            <v>0</v>
          </cell>
          <cell r="AD735">
            <v>0.02</v>
          </cell>
          <cell r="AE735">
            <v>0</v>
          </cell>
          <cell r="AF735">
            <v>0</v>
          </cell>
          <cell r="AG735">
            <v>0</v>
          </cell>
          <cell r="AH735">
            <v>0</v>
          </cell>
          <cell r="AI735">
            <v>0</v>
          </cell>
          <cell r="AJ735">
            <v>0</v>
          </cell>
          <cell r="AK735">
            <v>0</v>
          </cell>
          <cell r="AL735">
            <v>0</v>
          </cell>
        </row>
        <row r="736">
          <cell r="E736" t="str">
            <v>CV 3.5sq-4C</v>
          </cell>
          <cell r="F736" t="str">
            <v>ｍ</v>
          </cell>
          <cell r="G736">
            <v>0</v>
          </cell>
          <cell r="H736">
            <v>217</v>
          </cell>
          <cell r="I736">
            <v>0</v>
          </cell>
          <cell r="J736">
            <v>220</v>
          </cell>
          <cell r="K736">
            <v>0</v>
          </cell>
          <cell r="L736">
            <v>220</v>
          </cell>
          <cell r="M736">
            <v>0</v>
          </cell>
          <cell r="N736">
            <v>217</v>
          </cell>
          <cell r="O736">
            <v>0</v>
          </cell>
          <cell r="P736">
            <v>208</v>
          </cell>
          <cell r="Q736">
            <v>0</v>
          </cell>
          <cell r="R736">
            <v>217</v>
          </cell>
          <cell r="S736">
            <v>0</v>
          </cell>
          <cell r="T736">
            <v>217</v>
          </cell>
          <cell r="U736">
            <v>0</v>
          </cell>
          <cell r="V736">
            <v>220</v>
          </cell>
          <cell r="W736">
            <v>0</v>
          </cell>
          <cell r="X736">
            <v>214</v>
          </cell>
          <cell r="Y736">
            <v>0</v>
          </cell>
          <cell r="Z736">
            <v>220</v>
          </cell>
          <cell r="AA736">
            <v>0</v>
          </cell>
          <cell r="AB736">
            <v>0</v>
          </cell>
          <cell r="AC736">
            <v>0</v>
          </cell>
          <cell r="AD736">
            <v>2.4E-2</v>
          </cell>
          <cell r="AE736">
            <v>0</v>
          </cell>
          <cell r="AF736">
            <v>0</v>
          </cell>
          <cell r="AG736">
            <v>0</v>
          </cell>
          <cell r="AH736">
            <v>0</v>
          </cell>
          <cell r="AI736">
            <v>0</v>
          </cell>
          <cell r="AJ736">
            <v>0</v>
          </cell>
          <cell r="AK736">
            <v>0</v>
          </cell>
          <cell r="AL736">
            <v>0</v>
          </cell>
        </row>
        <row r="737">
          <cell r="E737" t="str">
            <v>CV 5.5sq-4C</v>
          </cell>
          <cell r="F737" t="str">
            <v>ｍ</v>
          </cell>
          <cell r="G737">
            <v>0</v>
          </cell>
          <cell r="H737">
            <v>308</v>
          </cell>
          <cell r="I737">
            <v>0</v>
          </cell>
          <cell r="J737">
            <v>313</v>
          </cell>
          <cell r="K737">
            <v>0</v>
          </cell>
          <cell r="L737">
            <v>313</v>
          </cell>
          <cell r="M737">
            <v>0</v>
          </cell>
          <cell r="N737">
            <v>308</v>
          </cell>
          <cell r="O737">
            <v>0</v>
          </cell>
          <cell r="P737">
            <v>296</v>
          </cell>
          <cell r="Q737">
            <v>0</v>
          </cell>
          <cell r="R737">
            <v>308</v>
          </cell>
          <cell r="S737">
            <v>0</v>
          </cell>
          <cell r="T737">
            <v>308</v>
          </cell>
          <cell r="U737">
            <v>0</v>
          </cell>
          <cell r="V737">
            <v>313</v>
          </cell>
          <cell r="W737">
            <v>0</v>
          </cell>
          <cell r="X737">
            <v>304</v>
          </cell>
          <cell r="Y737">
            <v>0</v>
          </cell>
          <cell r="Z737">
            <v>313</v>
          </cell>
          <cell r="AA737">
            <v>0</v>
          </cell>
          <cell r="AB737">
            <v>0</v>
          </cell>
          <cell r="AC737">
            <v>0</v>
          </cell>
          <cell r="AD737">
            <v>0.03</v>
          </cell>
          <cell r="AE737">
            <v>0</v>
          </cell>
          <cell r="AF737">
            <v>0</v>
          </cell>
          <cell r="AG737">
            <v>0</v>
          </cell>
          <cell r="AH737">
            <v>0</v>
          </cell>
          <cell r="AI737">
            <v>0</v>
          </cell>
          <cell r="AJ737">
            <v>0</v>
          </cell>
          <cell r="AK737">
            <v>0</v>
          </cell>
          <cell r="AL737">
            <v>0</v>
          </cell>
        </row>
        <row r="738">
          <cell r="E738" t="str">
            <v>CV 8sq-4C</v>
          </cell>
          <cell r="F738" t="str">
            <v>ｍ</v>
          </cell>
          <cell r="G738">
            <v>0</v>
          </cell>
          <cell r="H738">
            <v>421</v>
          </cell>
          <cell r="I738">
            <v>0</v>
          </cell>
          <cell r="J738">
            <v>428</v>
          </cell>
          <cell r="K738">
            <v>0</v>
          </cell>
          <cell r="L738">
            <v>428</v>
          </cell>
          <cell r="M738">
            <v>0</v>
          </cell>
          <cell r="N738">
            <v>421</v>
          </cell>
          <cell r="O738">
            <v>0</v>
          </cell>
          <cell r="P738">
            <v>405</v>
          </cell>
          <cell r="Q738">
            <v>0</v>
          </cell>
          <cell r="R738">
            <v>421</v>
          </cell>
          <cell r="S738">
            <v>0</v>
          </cell>
          <cell r="T738">
            <v>421</v>
          </cell>
          <cell r="U738">
            <v>0</v>
          </cell>
          <cell r="V738">
            <v>428</v>
          </cell>
          <cell r="W738">
            <v>0</v>
          </cell>
          <cell r="X738">
            <v>415</v>
          </cell>
          <cell r="Y738">
            <v>0</v>
          </cell>
          <cell r="Z738">
            <v>428</v>
          </cell>
          <cell r="AA738">
            <v>0</v>
          </cell>
          <cell r="AB738">
            <v>0</v>
          </cell>
          <cell r="AC738">
            <v>0</v>
          </cell>
          <cell r="AD738">
            <v>3.5000000000000003E-2</v>
          </cell>
          <cell r="AE738">
            <v>0</v>
          </cell>
          <cell r="AF738">
            <v>0</v>
          </cell>
          <cell r="AG738">
            <v>0</v>
          </cell>
          <cell r="AH738">
            <v>0</v>
          </cell>
          <cell r="AI738">
            <v>0</v>
          </cell>
          <cell r="AJ738">
            <v>0</v>
          </cell>
          <cell r="AK738">
            <v>0</v>
          </cell>
          <cell r="AL738">
            <v>0</v>
          </cell>
        </row>
        <row r="739">
          <cell r="E739" t="str">
            <v>CV 14sq-4C</v>
          </cell>
          <cell r="F739" t="str">
            <v>ｍ</v>
          </cell>
          <cell r="G739">
            <v>0</v>
          </cell>
          <cell r="H739">
            <v>657</v>
          </cell>
          <cell r="I739">
            <v>0</v>
          </cell>
          <cell r="J739">
            <v>668</v>
          </cell>
          <cell r="K739">
            <v>0</v>
          </cell>
          <cell r="L739">
            <v>668</v>
          </cell>
          <cell r="M739">
            <v>0</v>
          </cell>
          <cell r="N739">
            <v>657</v>
          </cell>
          <cell r="O739">
            <v>0</v>
          </cell>
          <cell r="P739">
            <v>632</v>
          </cell>
          <cell r="Q739">
            <v>0</v>
          </cell>
          <cell r="R739">
            <v>657</v>
          </cell>
          <cell r="S739">
            <v>0</v>
          </cell>
          <cell r="T739">
            <v>657</v>
          </cell>
          <cell r="U739">
            <v>0</v>
          </cell>
          <cell r="V739">
            <v>668</v>
          </cell>
          <cell r="W739">
            <v>0</v>
          </cell>
          <cell r="X739">
            <v>647</v>
          </cell>
          <cell r="Y739">
            <v>0</v>
          </cell>
          <cell r="Z739">
            <v>668</v>
          </cell>
          <cell r="AA739">
            <v>0</v>
          </cell>
          <cell r="AB739">
            <v>0</v>
          </cell>
          <cell r="AC739">
            <v>0</v>
          </cell>
          <cell r="AD739">
            <v>4.2999999999999997E-2</v>
          </cell>
          <cell r="AE739">
            <v>0</v>
          </cell>
          <cell r="AF739">
            <v>0</v>
          </cell>
          <cell r="AG739">
            <v>0</v>
          </cell>
          <cell r="AH739">
            <v>0</v>
          </cell>
          <cell r="AI739">
            <v>0</v>
          </cell>
          <cell r="AJ739">
            <v>0</v>
          </cell>
          <cell r="AK739">
            <v>0</v>
          </cell>
          <cell r="AL739">
            <v>0</v>
          </cell>
        </row>
        <row r="740">
          <cell r="E740" t="str">
            <v>CV 22sq-4C</v>
          </cell>
          <cell r="F740" t="str">
            <v>ｍ</v>
          </cell>
          <cell r="G740">
            <v>0</v>
          </cell>
          <cell r="H740">
            <v>1007</v>
          </cell>
          <cell r="I740">
            <v>0</v>
          </cell>
          <cell r="J740">
            <v>1022</v>
          </cell>
          <cell r="K740">
            <v>0</v>
          </cell>
          <cell r="L740">
            <v>1022</v>
          </cell>
          <cell r="M740">
            <v>0</v>
          </cell>
          <cell r="N740">
            <v>1007</v>
          </cell>
          <cell r="O740">
            <v>0</v>
          </cell>
          <cell r="P740">
            <v>967</v>
          </cell>
          <cell r="Q740">
            <v>0</v>
          </cell>
          <cell r="R740">
            <v>1007</v>
          </cell>
          <cell r="S740">
            <v>0</v>
          </cell>
          <cell r="T740">
            <v>1007</v>
          </cell>
          <cell r="U740">
            <v>0</v>
          </cell>
          <cell r="V740">
            <v>1022</v>
          </cell>
          <cell r="W740">
            <v>0</v>
          </cell>
          <cell r="X740">
            <v>961</v>
          </cell>
          <cell r="Y740">
            <v>0</v>
          </cell>
          <cell r="Z740">
            <v>1022</v>
          </cell>
          <cell r="AA740">
            <v>0</v>
          </cell>
          <cell r="AB740">
            <v>0</v>
          </cell>
          <cell r="AC740">
            <v>0</v>
          </cell>
          <cell r="AD740">
            <v>5.6000000000000001E-2</v>
          </cell>
          <cell r="AE740">
            <v>0</v>
          </cell>
          <cell r="AF740">
            <v>0</v>
          </cell>
          <cell r="AG740">
            <v>0</v>
          </cell>
          <cell r="AH740">
            <v>0</v>
          </cell>
          <cell r="AI740">
            <v>0</v>
          </cell>
          <cell r="AJ740">
            <v>0</v>
          </cell>
          <cell r="AK740">
            <v>0</v>
          </cell>
          <cell r="AL740">
            <v>0</v>
          </cell>
        </row>
        <row r="741">
          <cell r="E741" t="str">
            <v>CV 38sq-4C</v>
          </cell>
          <cell r="F741" t="str">
            <v>ｍ</v>
          </cell>
          <cell r="G741">
            <v>0</v>
          </cell>
          <cell r="H741">
            <v>1659</v>
          </cell>
          <cell r="I741">
            <v>0</v>
          </cell>
          <cell r="J741">
            <v>1685</v>
          </cell>
          <cell r="K741">
            <v>0</v>
          </cell>
          <cell r="L741">
            <v>1685</v>
          </cell>
          <cell r="M741">
            <v>0</v>
          </cell>
          <cell r="N741">
            <v>1659</v>
          </cell>
          <cell r="O741">
            <v>0</v>
          </cell>
          <cell r="P741">
            <v>1594</v>
          </cell>
          <cell r="Q741">
            <v>0</v>
          </cell>
          <cell r="R741">
            <v>1659</v>
          </cell>
          <cell r="S741">
            <v>0</v>
          </cell>
          <cell r="T741">
            <v>1659</v>
          </cell>
          <cell r="U741">
            <v>0</v>
          </cell>
          <cell r="V741">
            <v>1685</v>
          </cell>
          <cell r="W741">
            <v>0</v>
          </cell>
          <cell r="X741">
            <v>1633</v>
          </cell>
          <cell r="Y741">
            <v>0</v>
          </cell>
          <cell r="Z741">
            <v>1685</v>
          </cell>
          <cell r="AA741">
            <v>0</v>
          </cell>
          <cell r="AB741">
            <v>0</v>
          </cell>
          <cell r="AC741">
            <v>0</v>
          </cell>
          <cell r="AD741">
            <v>7.3999999999999996E-2</v>
          </cell>
          <cell r="AE741">
            <v>0</v>
          </cell>
          <cell r="AF741">
            <v>0</v>
          </cell>
          <cell r="AG741">
            <v>0</v>
          </cell>
          <cell r="AH741">
            <v>0</v>
          </cell>
          <cell r="AI741">
            <v>0</v>
          </cell>
          <cell r="AJ741">
            <v>0</v>
          </cell>
          <cell r="AK741">
            <v>0</v>
          </cell>
          <cell r="AL741">
            <v>0</v>
          </cell>
        </row>
        <row r="742">
          <cell r="E742" t="str">
            <v>CV 60sq-4C</v>
          </cell>
          <cell r="F742" t="str">
            <v>ｍ</v>
          </cell>
          <cell r="G742">
            <v>0</v>
          </cell>
          <cell r="H742">
            <v>2604</v>
          </cell>
          <cell r="I742">
            <v>0</v>
          </cell>
          <cell r="J742">
            <v>2645</v>
          </cell>
          <cell r="K742">
            <v>0</v>
          </cell>
          <cell r="L742">
            <v>2645</v>
          </cell>
          <cell r="M742">
            <v>0</v>
          </cell>
          <cell r="N742">
            <v>2604</v>
          </cell>
          <cell r="O742">
            <v>0</v>
          </cell>
          <cell r="P742">
            <v>2502</v>
          </cell>
          <cell r="Q742">
            <v>0</v>
          </cell>
          <cell r="R742">
            <v>2604</v>
          </cell>
          <cell r="S742">
            <v>0</v>
          </cell>
          <cell r="T742">
            <v>2604</v>
          </cell>
          <cell r="U742">
            <v>0</v>
          </cell>
          <cell r="V742">
            <v>2645</v>
          </cell>
          <cell r="W742">
            <v>0</v>
          </cell>
          <cell r="X742">
            <v>2563</v>
          </cell>
          <cell r="Y742">
            <v>0</v>
          </cell>
          <cell r="Z742">
            <v>2645</v>
          </cell>
          <cell r="AA742">
            <v>0</v>
          </cell>
          <cell r="AB742">
            <v>0</v>
          </cell>
          <cell r="AC742">
            <v>0</v>
          </cell>
          <cell r="AD742">
            <v>9.8000000000000004E-2</v>
          </cell>
          <cell r="AE742">
            <v>0</v>
          </cell>
          <cell r="AF742">
            <v>0</v>
          </cell>
          <cell r="AG742">
            <v>0</v>
          </cell>
          <cell r="AH742">
            <v>0</v>
          </cell>
          <cell r="AI742">
            <v>0</v>
          </cell>
          <cell r="AJ742">
            <v>0</v>
          </cell>
          <cell r="AK742">
            <v>0</v>
          </cell>
          <cell r="AL742">
            <v>0</v>
          </cell>
        </row>
        <row r="743">
          <cell r="E743" t="str">
            <v>CV 100sq-4C</v>
          </cell>
          <cell r="F743" t="str">
            <v>ｍ</v>
          </cell>
          <cell r="G743">
            <v>0</v>
          </cell>
          <cell r="H743">
            <v>4330</v>
          </cell>
          <cell r="I743">
            <v>0</v>
          </cell>
          <cell r="J743">
            <v>4398</v>
          </cell>
          <cell r="K743">
            <v>0</v>
          </cell>
          <cell r="L743">
            <v>4398</v>
          </cell>
          <cell r="M743">
            <v>0</v>
          </cell>
          <cell r="N743">
            <v>4330</v>
          </cell>
          <cell r="O743">
            <v>0</v>
          </cell>
          <cell r="P743">
            <v>4161</v>
          </cell>
          <cell r="Q743">
            <v>0</v>
          </cell>
          <cell r="R743">
            <v>4330</v>
          </cell>
          <cell r="S743">
            <v>0</v>
          </cell>
          <cell r="T743">
            <v>4330</v>
          </cell>
          <cell r="U743">
            <v>0</v>
          </cell>
          <cell r="V743">
            <v>4398</v>
          </cell>
          <cell r="W743">
            <v>0</v>
          </cell>
          <cell r="X743">
            <v>4263</v>
          </cell>
          <cell r="Y743">
            <v>0</v>
          </cell>
          <cell r="Z743">
            <v>4398</v>
          </cell>
          <cell r="AA743">
            <v>0</v>
          </cell>
          <cell r="AB743">
            <v>0</v>
          </cell>
          <cell r="AC743">
            <v>0</v>
          </cell>
          <cell r="AD743">
            <v>0.13400000000000001</v>
          </cell>
          <cell r="AE743">
            <v>0</v>
          </cell>
          <cell r="AF743">
            <v>0</v>
          </cell>
          <cell r="AG743">
            <v>0</v>
          </cell>
          <cell r="AH743">
            <v>0</v>
          </cell>
          <cell r="AI743">
            <v>0</v>
          </cell>
          <cell r="AJ743">
            <v>0</v>
          </cell>
          <cell r="AK743">
            <v>0</v>
          </cell>
          <cell r="AL743">
            <v>0</v>
          </cell>
        </row>
        <row r="744">
          <cell r="E744" t="str">
            <v>CV 150sq-4C</v>
          </cell>
          <cell r="F744" t="str">
            <v>ｍ</v>
          </cell>
          <cell r="G744">
            <v>0</v>
          </cell>
          <cell r="H744">
            <v>6401</v>
          </cell>
          <cell r="I744">
            <v>0</v>
          </cell>
          <cell r="J744">
            <v>6501</v>
          </cell>
          <cell r="K744">
            <v>0</v>
          </cell>
          <cell r="L744">
            <v>6501</v>
          </cell>
          <cell r="M744">
            <v>0</v>
          </cell>
          <cell r="N744">
            <v>6401</v>
          </cell>
          <cell r="O744">
            <v>0</v>
          </cell>
          <cell r="P744">
            <v>6151</v>
          </cell>
          <cell r="Q744">
            <v>0</v>
          </cell>
          <cell r="R744">
            <v>6401</v>
          </cell>
          <cell r="S744">
            <v>0</v>
          </cell>
          <cell r="T744">
            <v>6401</v>
          </cell>
          <cell r="U744">
            <v>0</v>
          </cell>
          <cell r="V744">
            <v>6501</v>
          </cell>
          <cell r="W744">
            <v>0</v>
          </cell>
          <cell r="X744">
            <v>6301</v>
          </cell>
          <cell r="Y744">
            <v>0</v>
          </cell>
          <cell r="Z744">
            <v>6501</v>
          </cell>
          <cell r="AA744">
            <v>0</v>
          </cell>
          <cell r="AB744">
            <v>0</v>
          </cell>
          <cell r="AC744">
            <v>0</v>
          </cell>
          <cell r="AD744">
            <v>0.16500000000000001</v>
          </cell>
          <cell r="AE744">
            <v>0</v>
          </cell>
          <cell r="AF744">
            <v>0</v>
          </cell>
          <cell r="AG744">
            <v>0</v>
          </cell>
          <cell r="AH744">
            <v>0</v>
          </cell>
          <cell r="AI744">
            <v>0</v>
          </cell>
          <cell r="AJ744">
            <v>0</v>
          </cell>
          <cell r="AK744">
            <v>0</v>
          </cell>
          <cell r="AL744">
            <v>0</v>
          </cell>
        </row>
        <row r="745">
          <cell r="E745" t="str">
            <v>CV 200sq-4C</v>
          </cell>
          <cell r="F745" t="str">
            <v>ｍ</v>
          </cell>
          <cell r="G745">
            <v>0</v>
          </cell>
          <cell r="H745">
            <v>9081</v>
          </cell>
          <cell r="I745">
            <v>0</v>
          </cell>
          <cell r="J745">
            <v>9223</v>
          </cell>
          <cell r="K745">
            <v>0</v>
          </cell>
          <cell r="L745">
            <v>9223</v>
          </cell>
          <cell r="M745">
            <v>0</v>
          </cell>
          <cell r="N745">
            <v>9081</v>
          </cell>
          <cell r="O745">
            <v>0</v>
          </cell>
          <cell r="P745">
            <v>6726</v>
          </cell>
          <cell r="Q745">
            <v>0</v>
          </cell>
          <cell r="R745">
            <v>9081</v>
          </cell>
          <cell r="S745">
            <v>0</v>
          </cell>
          <cell r="T745">
            <v>9081</v>
          </cell>
          <cell r="U745">
            <v>0</v>
          </cell>
          <cell r="V745">
            <v>9223</v>
          </cell>
          <cell r="W745">
            <v>0</v>
          </cell>
          <cell r="X745">
            <v>8939</v>
          </cell>
          <cell r="Y745">
            <v>0</v>
          </cell>
          <cell r="Z745">
            <v>9223</v>
          </cell>
          <cell r="AA745">
            <v>0</v>
          </cell>
          <cell r="AB745">
            <v>0</v>
          </cell>
          <cell r="AC745">
            <v>0</v>
          </cell>
          <cell r="AD745">
            <v>0.20399999999999999</v>
          </cell>
          <cell r="AE745">
            <v>0</v>
          </cell>
          <cell r="AF745">
            <v>0</v>
          </cell>
          <cell r="AG745">
            <v>0</v>
          </cell>
          <cell r="AH745">
            <v>0</v>
          </cell>
          <cell r="AI745">
            <v>0</v>
          </cell>
          <cell r="AJ745">
            <v>0</v>
          </cell>
          <cell r="AK745">
            <v>0</v>
          </cell>
          <cell r="AL745">
            <v>0</v>
          </cell>
        </row>
        <row r="746">
          <cell r="E746" t="str">
            <v>CV 250sq-4C</v>
          </cell>
          <cell r="F746" t="str">
            <v>ｍ</v>
          </cell>
          <cell r="G746">
            <v>0</v>
          </cell>
          <cell r="H746">
            <v>11537</v>
          </cell>
          <cell r="I746">
            <v>0</v>
          </cell>
          <cell r="J746">
            <v>11717</v>
          </cell>
          <cell r="K746">
            <v>0</v>
          </cell>
          <cell r="L746">
            <v>11717</v>
          </cell>
          <cell r="M746">
            <v>0</v>
          </cell>
          <cell r="N746">
            <v>11537</v>
          </cell>
          <cell r="O746">
            <v>0</v>
          </cell>
          <cell r="P746">
            <v>11066</v>
          </cell>
          <cell r="Q746">
            <v>0</v>
          </cell>
          <cell r="R746">
            <v>11537</v>
          </cell>
          <cell r="S746">
            <v>0</v>
          </cell>
          <cell r="T746">
            <v>11537</v>
          </cell>
          <cell r="U746">
            <v>0</v>
          </cell>
          <cell r="V746">
            <v>11717</v>
          </cell>
          <cell r="W746">
            <v>0</v>
          </cell>
          <cell r="X746">
            <v>11356</v>
          </cell>
          <cell r="Y746">
            <v>0</v>
          </cell>
          <cell r="Z746">
            <v>11717</v>
          </cell>
          <cell r="AA746">
            <v>0</v>
          </cell>
          <cell r="AB746">
            <v>0</v>
          </cell>
          <cell r="AC746">
            <v>0</v>
          </cell>
          <cell r="AD746">
            <v>0.23499999999999999</v>
          </cell>
          <cell r="AE746">
            <v>0</v>
          </cell>
          <cell r="AF746">
            <v>0</v>
          </cell>
          <cell r="AG746">
            <v>0</v>
          </cell>
          <cell r="AH746">
            <v>0</v>
          </cell>
          <cell r="AI746">
            <v>0</v>
          </cell>
          <cell r="AJ746">
            <v>0</v>
          </cell>
          <cell r="AK746">
            <v>0</v>
          </cell>
          <cell r="AL746">
            <v>0</v>
          </cell>
        </row>
        <row r="747">
          <cell r="E747" t="str">
            <v>CV 325sq-4C</v>
          </cell>
          <cell r="F747" t="str">
            <v>ｍ</v>
          </cell>
          <cell r="G747">
            <v>0</v>
          </cell>
          <cell r="H747">
            <v>14927</v>
          </cell>
          <cell r="I747">
            <v>0</v>
          </cell>
          <cell r="J747">
            <v>15160</v>
          </cell>
          <cell r="K747">
            <v>0</v>
          </cell>
          <cell r="L747">
            <v>15160</v>
          </cell>
          <cell r="M747">
            <v>0</v>
          </cell>
          <cell r="N747">
            <v>14927</v>
          </cell>
          <cell r="O747">
            <v>0</v>
          </cell>
          <cell r="P747">
            <v>14344</v>
          </cell>
          <cell r="Q747">
            <v>0</v>
          </cell>
          <cell r="R747">
            <v>14927</v>
          </cell>
          <cell r="S747">
            <v>0</v>
          </cell>
          <cell r="T747">
            <v>14927</v>
          </cell>
          <cell r="U747">
            <v>0</v>
          </cell>
          <cell r="V747">
            <v>15160</v>
          </cell>
          <cell r="W747">
            <v>0</v>
          </cell>
          <cell r="X747">
            <v>14693</v>
          </cell>
          <cell r="Y747">
            <v>0</v>
          </cell>
          <cell r="Z747">
            <v>15160</v>
          </cell>
          <cell r="AA747">
            <v>0</v>
          </cell>
          <cell r="AB747">
            <v>0</v>
          </cell>
          <cell r="AC747">
            <v>0</v>
          </cell>
          <cell r="AD747">
            <v>0.29699999999999999</v>
          </cell>
          <cell r="AE747">
            <v>0</v>
          </cell>
          <cell r="AF747">
            <v>0</v>
          </cell>
          <cell r="AG747">
            <v>0</v>
          </cell>
          <cell r="AH747">
            <v>0</v>
          </cell>
          <cell r="AI747">
            <v>0</v>
          </cell>
          <cell r="AJ747">
            <v>0</v>
          </cell>
          <cell r="AK747">
            <v>0</v>
          </cell>
          <cell r="AL747">
            <v>0</v>
          </cell>
        </row>
        <row r="748">
          <cell r="E748" t="str">
            <v>CE 2sq-1C</v>
          </cell>
          <cell r="F748" t="str">
            <v>ｍ</v>
          </cell>
          <cell r="G748">
            <v>0</v>
          </cell>
          <cell r="H748">
            <v>61.8</v>
          </cell>
          <cell r="I748">
            <v>0</v>
          </cell>
          <cell r="J748">
            <v>62.7</v>
          </cell>
          <cell r="K748">
            <v>0</v>
          </cell>
          <cell r="L748">
            <v>62.7</v>
          </cell>
          <cell r="M748">
            <v>0</v>
          </cell>
          <cell r="N748">
            <v>60.8</v>
          </cell>
          <cell r="O748">
            <v>0</v>
          </cell>
          <cell r="P748">
            <v>59.3</v>
          </cell>
          <cell r="Q748">
            <v>0</v>
          </cell>
          <cell r="R748">
            <v>61.8</v>
          </cell>
          <cell r="S748">
            <v>0</v>
          </cell>
          <cell r="T748">
            <v>61.8</v>
          </cell>
          <cell r="U748">
            <v>0</v>
          </cell>
          <cell r="V748">
            <v>62.7</v>
          </cell>
          <cell r="W748">
            <v>0</v>
          </cell>
          <cell r="X748">
            <v>60.8</v>
          </cell>
          <cell r="Y748">
            <v>0</v>
          </cell>
          <cell r="Z748">
            <v>62.7</v>
          </cell>
          <cell r="AA748">
            <v>0</v>
          </cell>
          <cell r="AB748">
            <v>0</v>
          </cell>
          <cell r="AC748">
            <v>0</v>
          </cell>
          <cell r="AD748">
            <v>0.01</v>
          </cell>
          <cell r="AE748">
            <v>0</v>
          </cell>
          <cell r="AF748">
            <v>0</v>
          </cell>
          <cell r="AG748">
            <v>0</v>
          </cell>
          <cell r="AH748">
            <v>0</v>
          </cell>
          <cell r="AI748">
            <v>0</v>
          </cell>
          <cell r="AJ748">
            <v>0</v>
          </cell>
          <cell r="AK748">
            <v>0</v>
          </cell>
          <cell r="AL748">
            <v>0</v>
          </cell>
        </row>
        <row r="749">
          <cell r="E749" t="str">
            <v>CE 3.5sq-1C</v>
          </cell>
          <cell r="F749" t="str">
            <v>ｍ</v>
          </cell>
          <cell r="G749">
            <v>0</v>
          </cell>
          <cell r="H749">
            <v>85.1</v>
          </cell>
          <cell r="I749">
            <v>0</v>
          </cell>
          <cell r="J749">
            <v>86.5</v>
          </cell>
          <cell r="K749">
            <v>0</v>
          </cell>
          <cell r="L749">
            <v>86.5</v>
          </cell>
          <cell r="M749">
            <v>0</v>
          </cell>
          <cell r="N749">
            <v>83.8</v>
          </cell>
          <cell r="O749">
            <v>0</v>
          </cell>
          <cell r="P749">
            <v>81.8</v>
          </cell>
          <cell r="Q749">
            <v>0</v>
          </cell>
          <cell r="R749">
            <v>85.1</v>
          </cell>
          <cell r="S749">
            <v>0</v>
          </cell>
          <cell r="T749">
            <v>85.1</v>
          </cell>
          <cell r="U749">
            <v>0</v>
          </cell>
          <cell r="V749">
            <v>86.5</v>
          </cell>
          <cell r="W749">
            <v>0</v>
          </cell>
          <cell r="X749">
            <v>83.8</v>
          </cell>
          <cell r="Y749">
            <v>0</v>
          </cell>
          <cell r="Z749">
            <v>86.5</v>
          </cell>
          <cell r="AA749">
            <v>0</v>
          </cell>
          <cell r="AB749">
            <v>0</v>
          </cell>
          <cell r="AC749">
            <v>0</v>
          </cell>
          <cell r="AD749">
            <v>1.2E-2</v>
          </cell>
          <cell r="AE749">
            <v>0</v>
          </cell>
          <cell r="AF749">
            <v>0</v>
          </cell>
          <cell r="AG749">
            <v>0</v>
          </cell>
          <cell r="AH749">
            <v>0</v>
          </cell>
          <cell r="AI749">
            <v>0</v>
          </cell>
          <cell r="AJ749">
            <v>0</v>
          </cell>
          <cell r="AK749">
            <v>0</v>
          </cell>
          <cell r="AL749">
            <v>0</v>
          </cell>
        </row>
        <row r="750">
          <cell r="E750" t="str">
            <v>CE 5.5sq-1C</v>
          </cell>
          <cell r="F750" t="str">
            <v>ｍ</v>
          </cell>
          <cell r="G750">
            <v>0</v>
          </cell>
          <cell r="H750">
            <v>106</v>
          </cell>
          <cell r="I750">
            <v>0</v>
          </cell>
          <cell r="J750">
            <v>107</v>
          </cell>
          <cell r="K750">
            <v>0</v>
          </cell>
          <cell r="L750">
            <v>107</v>
          </cell>
          <cell r="M750">
            <v>0</v>
          </cell>
          <cell r="N750">
            <v>104</v>
          </cell>
          <cell r="O750">
            <v>0</v>
          </cell>
          <cell r="P750">
            <v>101</v>
          </cell>
          <cell r="Q750">
            <v>0</v>
          </cell>
          <cell r="R750">
            <v>106</v>
          </cell>
          <cell r="S750">
            <v>0</v>
          </cell>
          <cell r="T750">
            <v>106</v>
          </cell>
          <cell r="U750">
            <v>0</v>
          </cell>
          <cell r="V750">
            <v>107</v>
          </cell>
          <cell r="W750">
            <v>0</v>
          </cell>
          <cell r="X750">
            <v>104</v>
          </cell>
          <cell r="Y750">
            <v>0</v>
          </cell>
          <cell r="Z750">
            <v>107</v>
          </cell>
          <cell r="AA750">
            <v>0</v>
          </cell>
          <cell r="AB750">
            <v>0</v>
          </cell>
          <cell r="AC750">
            <v>0</v>
          </cell>
          <cell r="AD750">
            <v>1.6E-2</v>
          </cell>
          <cell r="AE750">
            <v>0</v>
          </cell>
          <cell r="AF750">
            <v>0</v>
          </cell>
          <cell r="AG750">
            <v>0</v>
          </cell>
          <cell r="AH750">
            <v>0</v>
          </cell>
          <cell r="AI750">
            <v>0</v>
          </cell>
          <cell r="AJ750">
            <v>0</v>
          </cell>
          <cell r="AK750">
            <v>0</v>
          </cell>
          <cell r="AL750">
            <v>0</v>
          </cell>
        </row>
        <row r="751">
          <cell r="E751" t="str">
            <v>CE 8sq-1C</v>
          </cell>
          <cell r="F751" t="str">
            <v>ｍ</v>
          </cell>
          <cell r="G751">
            <v>0</v>
          </cell>
          <cell r="H751">
            <v>133</v>
          </cell>
          <cell r="I751">
            <v>0</v>
          </cell>
          <cell r="J751">
            <v>135</v>
          </cell>
          <cell r="K751">
            <v>0</v>
          </cell>
          <cell r="L751">
            <v>135</v>
          </cell>
          <cell r="M751">
            <v>0</v>
          </cell>
          <cell r="N751">
            <v>131</v>
          </cell>
          <cell r="O751">
            <v>0</v>
          </cell>
          <cell r="P751">
            <v>128</v>
          </cell>
          <cell r="Q751">
            <v>0</v>
          </cell>
          <cell r="R751">
            <v>133</v>
          </cell>
          <cell r="S751">
            <v>0</v>
          </cell>
          <cell r="T751">
            <v>133</v>
          </cell>
          <cell r="U751">
            <v>0</v>
          </cell>
          <cell r="V751">
            <v>135</v>
          </cell>
          <cell r="W751">
            <v>0</v>
          </cell>
          <cell r="X751">
            <v>131</v>
          </cell>
          <cell r="Y751">
            <v>0</v>
          </cell>
          <cell r="Z751">
            <v>135</v>
          </cell>
          <cell r="AA751">
            <v>0</v>
          </cell>
          <cell r="AB751">
            <v>0</v>
          </cell>
          <cell r="AC751">
            <v>0</v>
          </cell>
          <cell r="AD751">
            <v>1.7000000000000001E-2</v>
          </cell>
          <cell r="AE751">
            <v>0</v>
          </cell>
          <cell r="AF751">
            <v>0</v>
          </cell>
          <cell r="AG751">
            <v>0</v>
          </cell>
          <cell r="AH751">
            <v>0</v>
          </cell>
          <cell r="AI751">
            <v>0</v>
          </cell>
          <cell r="AJ751">
            <v>0</v>
          </cell>
          <cell r="AK751">
            <v>0</v>
          </cell>
          <cell r="AL751">
            <v>0</v>
          </cell>
        </row>
        <row r="752">
          <cell r="E752" t="str">
            <v>CE14sq-1C</v>
          </cell>
          <cell r="F752" t="str">
            <v>ｍ</v>
          </cell>
          <cell r="G752">
            <v>0</v>
          </cell>
          <cell r="H752">
            <v>198</v>
          </cell>
          <cell r="I752">
            <v>0</v>
          </cell>
          <cell r="J752">
            <v>202</v>
          </cell>
          <cell r="K752">
            <v>0</v>
          </cell>
          <cell r="L752">
            <v>202</v>
          </cell>
          <cell r="M752">
            <v>0</v>
          </cell>
          <cell r="N752">
            <v>195</v>
          </cell>
          <cell r="O752">
            <v>0</v>
          </cell>
          <cell r="P752">
            <v>191</v>
          </cell>
          <cell r="Q752">
            <v>0</v>
          </cell>
          <cell r="R752">
            <v>198</v>
          </cell>
          <cell r="S752">
            <v>0</v>
          </cell>
          <cell r="T752">
            <v>198</v>
          </cell>
          <cell r="U752">
            <v>0</v>
          </cell>
          <cell r="V752">
            <v>202</v>
          </cell>
          <cell r="W752">
            <v>0</v>
          </cell>
          <cell r="X752">
            <v>195</v>
          </cell>
          <cell r="Y752">
            <v>0</v>
          </cell>
          <cell r="Z752">
            <v>202</v>
          </cell>
          <cell r="AA752">
            <v>0</v>
          </cell>
          <cell r="AB752">
            <v>0</v>
          </cell>
          <cell r="AC752">
            <v>0</v>
          </cell>
          <cell r="AD752">
            <v>2.1999999999999999E-2</v>
          </cell>
          <cell r="AE752">
            <v>0</v>
          </cell>
          <cell r="AF752">
            <v>0</v>
          </cell>
          <cell r="AG752">
            <v>0</v>
          </cell>
          <cell r="AH752">
            <v>0</v>
          </cell>
          <cell r="AI752">
            <v>0</v>
          </cell>
          <cell r="AJ752">
            <v>0</v>
          </cell>
          <cell r="AK752">
            <v>0</v>
          </cell>
          <cell r="AL752">
            <v>0</v>
          </cell>
        </row>
        <row r="753">
          <cell r="E753" t="str">
            <v>CE22sq-1C</v>
          </cell>
          <cell r="F753" t="str">
            <v>ｍ</v>
          </cell>
          <cell r="G753">
            <v>0</v>
          </cell>
          <cell r="H753">
            <v>289</v>
          </cell>
          <cell r="I753">
            <v>0</v>
          </cell>
          <cell r="J753">
            <v>293</v>
          </cell>
          <cell r="K753">
            <v>0</v>
          </cell>
          <cell r="L753">
            <v>293</v>
          </cell>
          <cell r="M753">
            <v>0</v>
          </cell>
          <cell r="N753">
            <v>284</v>
          </cell>
          <cell r="O753">
            <v>0</v>
          </cell>
          <cell r="P753">
            <v>277</v>
          </cell>
          <cell r="Q753">
            <v>0</v>
          </cell>
          <cell r="R753">
            <v>289</v>
          </cell>
          <cell r="S753">
            <v>0</v>
          </cell>
          <cell r="T753">
            <v>289</v>
          </cell>
          <cell r="U753">
            <v>0</v>
          </cell>
          <cell r="V753">
            <v>293</v>
          </cell>
          <cell r="W753">
            <v>0</v>
          </cell>
          <cell r="X753">
            <v>284</v>
          </cell>
          <cell r="Y753">
            <v>0</v>
          </cell>
          <cell r="Z753">
            <v>293</v>
          </cell>
          <cell r="AA753">
            <v>0</v>
          </cell>
          <cell r="AB753">
            <v>0</v>
          </cell>
          <cell r="AC753">
            <v>0</v>
          </cell>
          <cell r="AD753">
            <v>2.9000000000000001E-2</v>
          </cell>
          <cell r="AE753">
            <v>0</v>
          </cell>
          <cell r="AF753">
            <v>0</v>
          </cell>
          <cell r="AG753">
            <v>0</v>
          </cell>
          <cell r="AH753">
            <v>0</v>
          </cell>
          <cell r="AI753">
            <v>0</v>
          </cell>
          <cell r="AJ753">
            <v>0</v>
          </cell>
          <cell r="AK753">
            <v>0</v>
          </cell>
          <cell r="AL753">
            <v>0</v>
          </cell>
        </row>
        <row r="754">
          <cell r="E754" t="str">
            <v>CE38sq-1C</v>
          </cell>
          <cell r="F754" t="str">
            <v>ｍ</v>
          </cell>
          <cell r="G754">
            <v>0</v>
          </cell>
          <cell r="H754">
            <v>459</v>
          </cell>
          <cell r="I754">
            <v>0</v>
          </cell>
          <cell r="J754">
            <v>466</v>
          </cell>
          <cell r="K754">
            <v>0</v>
          </cell>
          <cell r="L754">
            <v>466</v>
          </cell>
          <cell r="M754">
            <v>0</v>
          </cell>
          <cell r="N754">
            <v>452</v>
          </cell>
          <cell r="O754">
            <v>0</v>
          </cell>
          <cell r="P754">
            <v>441</v>
          </cell>
          <cell r="Q754">
            <v>0</v>
          </cell>
          <cell r="R754">
            <v>459</v>
          </cell>
          <cell r="S754">
            <v>0</v>
          </cell>
          <cell r="T754">
            <v>459</v>
          </cell>
          <cell r="U754">
            <v>0</v>
          </cell>
          <cell r="V754">
            <v>466</v>
          </cell>
          <cell r="W754">
            <v>0</v>
          </cell>
          <cell r="X754">
            <v>452</v>
          </cell>
          <cell r="Y754">
            <v>0</v>
          </cell>
          <cell r="Z754">
            <v>466</v>
          </cell>
          <cell r="AA754">
            <v>0</v>
          </cell>
          <cell r="AB754">
            <v>0</v>
          </cell>
          <cell r="AC754">
            <v>0</v>
          </cell>
          <cell r="AD754">
            <v>3.6999999999999998E-2</v>
          </cell>
          <cell r="AE754">
            <v>0</v>
          </cell>
          <cell r="AF754">
            <v>0</v>
          </cell>
          <cell r="AG754">
            <v>0</v>
          </cell>
          <cell r="AH754">
            <v>0</v>
          </cell>
          <cell r="AI754">
            <v>0</v>
          </cell>
          <cell r="AJ754">
            <v>0</v>
          </cell>
          <cell r="AK754">
            <v>0</v>
          </cell>
          <cell r="AL754">
            <v>0</v>
          </cell>
        </row>
        <row r="755">
          <cell r="E755" t="str">
            <v>CE60sq-1C</v>
          </cell>
          <cell r="F755" t="str">
            <v>ｍ</v>
          </cell>
          <cell r="G755">
            <v>0</v>
          </cell>
          <cell r="H755">
            <v>693</v>
          </cell>
          <cell r="I755">
            <v>0</v>
          </cell>
          <cell r="J755">
            <v>704</v>
          </cell>
          <cell r="K755">
            <v>0</v>
          </cell>
          <cell r="L755">
            <v>704</v>
          </cell>
          <cell r="M755">
            <v>0</v>
          </cell>
          <cell r="N755">
            <v>682</v>
          </cell>
          <cell r="O755">
            <v>0</v>
          </cell>
          <cell r="P755">
            <v>666</v>
          </cell>
          <cell r="Q755">
            <v>0</v>
          </cell>
          <cell r="R755">
            <v>693</v>
          </cell>
          <cell r="S755">
            <v>0</v>
          </cell>
          <cell r="T755">
            <v>693</v>
          </cell>
          <cell r="U755">
            <v>0</v>
          </cell>
          <cell r="V755">
            <v>704</v>
          </cell>
          <cell r="W755">
            <v>0</v>
          </cell>
          <cell r="X755">
            <v>682</v>
          </cell>
          <cell r="Y755">
            <v>0</v>
          </cell>
          <cell r="Z755">
            <v>704</v>
          </cell>
          <cell r="AA755">
            <v>0</v>
          </cell>
          <cell r="AB755">
            <v>0</v>
          </cell>
          <cell r="AC755">
            <v>0</v>
          </cell>
          <cell r="AD755">
            <v>4.9000000000000002E-2</v>
          </cell>
          <cell r="AE755">
            <v>0</v>
          </cell>
          <cell r="AF755">
            <v>0</v>
          </cell>
          <cell r="AG755">
            <v>0</v>
          </cell>
          <cell r="AH755">
            <v>0</v>
          </cell>
          <cell r="AI755">
            <v>0</v>
          </cell>
          <cell r="AJ755">
            <v>0</v>
          </cell>
          <cell r="AK755">
            <v>0</v>
          </cell>
          <cell r="AL755">
            <v>0</v>
          </cell>
        </row>
        <row r="756">
          <cell r="E756" t="str">
            <v>CE100sq-1C</v>
          </cell>
          <cell r="F756" t="str">
            <v>ｍ</v>
          </cell>
          <cell r="G756">
            <v>0</v>
          </cell>
          <cell r="H756">
            <v>1148</v>
          </cell>
          <cell r="I756">
            <v>0</v>
          </cell>
          <cell r="J756">
            <v>1166</v>
          </cell>
          <cell r="K756">
            <v>0</v>
          </cell>
          <cell r="L756">
            <v>1166</v>
          </cell>
          <cell r="M756">
            <v>0</v>
          </cell>
          <cell r="N756">
            <v>1130</v>
          </cell>
          <cell r="O756">
            <v>0</v>
          </cell>
          <cell r="P756">
            <v>1103</v>
          </cell>
          <cell r="Q756">
            <v>0</v>
          </cell>
          <cell r="R756">
            <v>1148</v>
          </cell>
          <cell r="S756">
            <v>0</v>
          </cell>
          <cell r="T756">
            <v>1148</v>
          </cell>
          <cell r="U756">
            <v>0</v>
          </cell>
          <cell r="V756">
            <v>1166</v>
          </cell>
          <cell r="W756">
            <v>0</v>
          </cell>
          <cell r="X756">
            <v>1130</v>
          </cell>
          <cell r="Y756">
            <v>0</v>
          </cell>
          <cell r="Z756">
            <v>1166</v>
          </cell>
          <cell r="AA756">
            <v>0</v>
          </cell>
          <cell r="AB756">
            <v>0</v>
          </cell>
          <cell r="AC756">
            <v>0</v>
          </cell>
          <cell r="AD756">
            <v>6.7000000000000004E-2</v>
          </cell>
          <cell r="AE756">
            <v>0</v>
          </cell>
          <cell r="AF756">
            <v>0</v>
          </cell>
          <cell r="AG756">
            <v>0</v>
          </cell>
          <cell r="AH756">
            <v>0</v>
          </cell>
          <cell r="AI756">
            <v>0</v>
          </cell>
          <cell r="AJ756">
            <v>0</v>
          </cell>
          <cell r="AK756">
            <v>0</v>
          </cell>
          <cell r="AL756">
            <v>0</v>
          </cell>
        </row>
        <row r="757">
          <cell r="E757" t="str">
            <v>CE150sq-1C</v>
          </cell>
          <cell r="F757" t="str">
            <v>ｍ</v>
          </cell>
          <cell r="G757">
            <v>0</v>
          </cell>
          <cell r="H757">
            <v>1688</v>
          </cell>
          <cell r="I757">
            <v>0</v>
          </cell>
          <cell r="J757">
            <v>1714</v>
          </cell>
          <cell r="K757">
            <v>0</v>
          </cell>
          <cell r="L757">
            <v>1714</v>
          </cell>
          <cell r="M757">
            <v>0</v>
          </cell>
          <cell r="N757">
            <v>1661</v>
          </cell>
          <cell r="O757">
            <v>0</v>
          </cell>
          <cell r="P757">
            <v>1622</v>
          </cell>
          <cell r="Q757">
            <v>0</v>
          </cell>
          <cell r="R757">
            <v>1688</v>
          </cell>
          <cell r="S757">
            <v>0</v>
          </cell>
          <cell r="T757">
            <v>1688</v>
          </cell>
          <cell r="U757">
            <v>0</v>
          </cell>
          <cell r="V757">
            <v>1714</v>
          </cell>
          <cell r="W757">
            <v>0</v>
          </cell>
          <cell r="X757">
            <v>1661</v>
          </cell>
          <cell r="Y757">
            <v>0</v>
          </cell>
          <cell r="Z757">
            <v>1714</v>
          </cell>
          <cell r="AA757">
            <v>0</v>
          </cell>
          <cell r="AB757">
            <v>0</v>
          </cell>
          <cell r="AC757">
            <v>0</v>
          </cell>
          <cell r="AD757">
            <v>8.3000000000000004E-2</v>
          </cell>
          <cell r="AE757">
            <v>0</v>
          </cell>
          <cell r="AF757">
            <v>0</v>
          </cell>
          <cell r="AG757">
            <v>0</v>
          </cell>
          <cell r="AH757">
            <v>0</v>
          </cell>
          <cell r="AI757">
            <v>0</v>
          </cell>
          <cell r="AJ757">
            <v>0</v>
          </cell>
          <cell r="AK757">
            <v>0</v>
          </cell>
          <cell r="AL757">
            <v>0</v>
          </cell>
        </row>
        <row r="758">
          <cell r="E758" t="str">
            <v>CE200sq-1C</v>
          </cell>
          <cell r="F758" t="str">
            <v>ｍ</v>
          </cell>
          <cell r="G758">
            <v>0</v>
          </cell>
          <cell r="H758">
            <v>2234</v>
          </cell>
          <cell r="I758">
            <v>0</v>
          </cell>
          <cell r="J758">
            <v>2269</v>
          </cell>
          <cell r="K758">
            <v>0</v>
          </cell>
          <cell r="L758">
            <v>2269</v>
          </cell>
          <cell r="M758">
            <v>0</v>
          </cell>
          <cell r="N758">
            <v>2199</v>
          </cell>
          <cell r="O758">
            <v>0</v>
          </cell>
          <cell r="P758">
            <v>2146</v>
          </cell>
          <cell r="Q758">
            <v>0</v>
          </cell>
          <cell r="R758">
            <v>2234</v>
          </cell>
          <cell r="S758">
            <v>0</v>
          </cell>
          <cell r="T758">
            <v>2234</v>
          </cell>
          <cell r="U758">
            <v>0</v>
          </cell>
          <cell r="V758">
            <v>2269</v>
          </cell>
          <cell r="W758">
            <v>0</v>
          </cell>
          <cell r="X758">
            <v>2199</v>
          </cell>
          <cell r="Y758">
            <v>0</v>
          </cell>
          <cell r="Z758">
            <v>2269</v>
          </cell>
          <cell r="AA758">
            <v>0</v>
          </cell>
          <cell r="AB758">
            <v>0</v>
          </cell>
          <cell r="AC758">
            <v>0</v>
          </cell>
          <cell r="AD758">
            <v>0.10199999999999999</v>
          </cell>
          <cell r="AE758">
            <v>0</v>
          </cell>
          <cell r="AF758">
            <v>0</v>
          </cell>
          <cell r="AG758">
            <v>0</v>
          </cell>
          <cell r="AH758">
            <v>0</v>
          </cell>
          <cell r="AI758">
            <v>0</v>
          </cell>
          <cell r="AJ758">
            <v>0</v>
          </cell>
          <cell r="AK758">
            <v>0</v>
          </cell>
          <cell r="AL758">
            <v>0</v>
          </cell>
        </row>
        <row r="759">
          <cell r="E759" t="str">
            <v>CE250sq-1C</v>
          </cell>
          <cell r="F759" t="str">
            <v>ｍ</v>
          </cell>
          <cell r="G759">
            <v>0</v>
          </cell>
          <cell r="H759">
            <v>2794</v>
          </cell>
          <cell r="I759">
            <v>0</v>
          </cell>
          <cell r="J759">
            <v>2837</v>
          </cell>
          <cell r="K759">
            <v>0</v>
          </cell>
          <cell r="L759">
            <v>2837</v>
          </cell>
          <cell r="M759">
            <v>0</v>
          </cell>
          <cell r="N759">
            <v>2750</v>
          </cell>
          <cell r="O759">
            <v>0</v>
          </cell>
          <cell r="P759">
            <v>2684</v>
          </cell>
          <cell r="Q759">
            <v>0</v>
          </cell>
          <cell r="R759">
            <v>2794</v>
          </cell>
          <cell r="S759">
            <v>0</v>
          </cell>
          <cell r="T759">
            <v>2794</v>
          </cell>
          <cell r="U759">
            <v>0</v>
          </cell>
          <cell r="V759">
            <v>2837</v>
          </cell>
          <cell r="W759">
            <v>0</v>
          </cell>
          <cell r="X759">
            <v>2750</v>
          </cell>
          <cell r="Y759">
            <v>0</v>
          </cell>
          <cell r="Z759">
            <v>2837</v>
          </cell>
          <cell r="AA759">
            <v>0</v>
          </cell>
          <cell r="AB759">
            <v>0</v>
          </cell>
          <cell r="AC759">
            <v>0</v>
          </cell>
          <cell r="AD759">
            <v>0.11700000000000001</v>
          </cell>
          <cell r="AE759">
            <v>0</v>
          </cell>
          <cell r="AF759">
            <v>0</v>
          </cell>
          <cell r="AG759">
            <v>0</v>
          </cell>
          <cell r="AH759">
            <v>0</v>
          </cell>
          <cell r="AI759">
            <v>0</v>
          </cell>
          <cell r="AJ759">
            <v>0</v>
          </cell>
          <cell r="AK759">
            <v>0</v>
          </cell>
          <cell r="AL759">
            <v>0</v>
          </cell>
        </row>
        <row r="760">
          <cell r="E760" t="str">
            <v>CE325sq-1C</v>
          </cell>
          <cell r="F760" t="str">
            <v>ｍ</v>
          </cell>
          <cell r="G760">
            <v>0</v>
          </cell>
          <cell r="H760">
            <v>3592</v>
          </cell>
          <cell r="I760">
            <v>0</v>
          </cell>
          <cell r="J760">
            <v>3648</v>
          </cell>
          <cell r="K760">
            <v>0</v>
          </cell>
          <cell r="L760">
            <v>3648</v>
          </cell>
          <cell r="M760">
            <v>0</v>
          </cell>
          <cell r="N760">
            <v>3536</v>
          </cell>
          <cell r="O760">
            <v>0</v>
          </cell>
          <cell r="P760">
            <v>3452</v>
          </cell>
          <cell r="Q760">
            <v>0</v>
          </cell>
          <cell r="R760">
            <v>3592</v>
          </cell>
          <cell r="S760">
            <v>0</v>
          </cell>
          <cell r="T760">
            <v>3592</v>
          </cell>
          <cell r="U760">
            <v>0</v>
          </cell>
          <cell r="V760">
            <v>3648</v>
          </cell>
          <cell r="W760">
            <v>0</v>
          </cell>
          <cell r="X760">
            <v>3536</v>
          </cell>
          <cell r="Y760">
            <v>0</v>
          </cell>
          <cell r="Z760">
            <v>3648</v>
          </cell>
          <cell r="AA760">
            <v>0</v>
          </cell>
          <cell r="AB760">
            <v>0</v>
          </cell>
          <cell r="AC760">
            <v>0</v>
          </cell>
          <cell r="AD760">
            <v>0.14899999999999999</v>
          </cell>
          <cell r="AE760">
            <v>0</v>
          </cell>
          <cell r="AF760">
            <v>0</v>
          </cell>
          <cell r="AG760">
            <v>0</v>
          </cell>
          <cell r="AH760">
            <v>0</v>
          </cell>
          <cell r="AI760">
            <v>0</v>
          </cell>
          <cell r="AJ760">
            <v>0</v>
          </cell>
          <cell r="AK760">
            <v>0</v>
          </cell>
          <cell r="AL760">
            <v>0</v>
          </cell>
        </row>
        <row r="761">
          <cell r="E761" t="str">
            <v>CE 2sq-2C</v>
          </cell>
          <cell r="F761" t="str">
            <v>ｍ</v>
          </cell>
          <cell r="G761">
            <v>0</v>
          </cell>
          <cell r="H761">
            <v>131</v>
          </cell>
          <cell r="I761">
            <v>0</v>
          </cell>
          <cell r="J761">
            <v>133</v>
          </cell>
          <cell r="K761">
            <v>0</v>
          </cell>
          <cell r="L761">
            <v>133</v>
          </cell>
          <cell r="M761">
            <v>0</v>
          </cell>
          <cell r="N761">
            <v>129</v>
          </cell>
          <cell r="O761">
            <v>0</v>
          </cell>
          <cell r="P761">
            <v>126</v>
          </cell>
          <cell r="Q761">
            <v>0</v>
          </cell>
          <cell r="R761">
            <v>131</v>
          </cell>
          <cell r="S761">
            <v>0</v>
          </cell>
          <cell r="T761">
            <v>131</v>
          </cell>
          <cell r="U761">
            <v>0</v>
          </cell>
          <cell r="V761">
            <v>133</v>
          </cell>
          <cell r="W761">
            <v>0</v>
          </cell>
          <cell r="X761">
            <v>129</v>
          </cell>
          <cell r="Y761">
            <v>0</v>
          </cell>
          <cell r="Z761">
            <v>133</v>
          </cell>
          <cell r="AA761">
            <v>0</v>
          </cell>
          <cell r="AB761">
            <v>0</v>
          </cell>
          <cell r="AC761">
            <v>0</v>
          </cell>
          <cell r="AD761">
            <v>1.2999999999999999E-2</v>
          </cell>
          <cell r="AE761">
            <v>0</v>
          </cell>
          <cell r="AF761">
            <v>0</v>
          </cell>
          <cell r="AG761">
            <v>0</v>
          </cell>
          <cell r="AH761">
            <v>0</v>
          </cell>
          <cell r="AI761">
            <v>0</v>
          </cell>
          <cell r="AJ761">
            <v>0</v>
          </cell>
          <cell r="AK761">
            <v>0</v>
          </cell>
          <cell r="AL761">
            <v>0</v>
          </cell>
        </row>
        <row r="762">
          <cell r="E762" t="str">
            <v>CE 3.5sq-2C</v>
          </cell>
          <cell r="F762" t="str">
            <v>ｍ</v>
          </cell>
          <cell r="G762">
            <v>0</v>
          </cell>
          <cell r="H762">
            <v>175</v>
          </cell>
          <cell r="I762">
            <v>0</v>
          </cell>
          <cell r="J762">
            <v>178</v>
          </cell>
          <cell r="K762">
            <v>0</v>
          </cell>
          <cell r="L762">
            <v>178</v>
          </cell>
          <cell r="M762">
            <v>0</v>
          </cell>
          <cell r="N762">
            <v>173</v>
          </cell>
          <cell r="O762">
            <v>0</v>
          </cell>
          <cell r="P762">
            <v>169</v>
          </cell>
          <cell r="Q762">
            <v>0</v>
          </cell>
          <cell r="R762">
            <v>175</v>
          </cell>
          <cell r="S762">
            <v>0</v>
          </cell>
          <cell r="T762">
            <v>175</v>
          </cell>
          <cell r="U762">
            <v>0</v>
          </cell>
          <cell r="V762">
            <v>178</v>
          </cell>
          <cell r="W762">
            <v>0</v>
          </cell>
          <cell r="X762">
            <v>173</v>
          </cell>
          <cell r="Y762">
            <v>0</v>
          </cell>
          <cell r="Z762">
            <v>178</v>
          </cell>
          <cell r="AA762">
            <v>0</v>
          </cell>
          <cell r="AB762">
            <v>0</v>
          </cell>
          <cell r="AC762">
            <v>0</v>
          </cell>
          <cell r="AD762">
            <v>1.7000000000000001E-2</v>
          </cell>
          <cell r="AE762">
            <v>0</v>
          </cell>
          <cell r="AF762">
            <v>0</v>
          </cell>
          <cell r="AG762">
            <v>0</v>
          </cell>
          <cell r="AH762">
            <v>0</v>
          </cell>
          <cell r="AI762">
            <v>0</v>
          </cell>
          <cell r="AJ762">
            <v>0</v>
          </cell>
          <cell r="AK762">
            <v>0</v>
          </cell>
          <cell r="AL762">
            <v>0</v>
          </cell>
        </row>
        <row r="763">
          <cell r="E763" t="str">
            <v>CE 5.5sq-2C</v>
          </cell>
          <cell r="F763" t="str">
            <v>ｍ</v>
          </cell>
          <cell r="G763">
            <v>0</v>
          </cell>
          <cell r="H763">
            <v>237</v>
          </cell>
          <cell r="I763">
            <v>0</v>
          </cell>
          <cell r="J763">
            <v>241</v>
          </cell>
          <cell r="K763">
            <v>0</v>
          </cell>
          <cell r="L763">
            <v>241</v>
          </cell>
          <cell r="M763">
            <v>0</v>
          </cell>
          <cell r="N763">
            <v>233</v>
          </cell>
          <cell r="O763">
            <v>0</v>
          </cell>
          <cell r="P763">
            <v>228</v>
          </cell>
          <cell r="Q763">
            <v>0</v>
          </cell>
          <cell r="R763">
            <v>237</v>
          </cell>
          <cell r="S763">
            <v>0</v>
          </cell>
          <cell r="T763">
            <v>237</v>
          </cell>
          <cell r="U763">
            <v>0</v>
          </cell>
          <cell r="V763">
            <v>241</v>
          </cell>
          <cell r="W763">
            <v>0</v>
          </cell>
          <cell r="X763">
            <v>233</v>
          </cell>
          <cell r="Y763">
            <v>0</v>
          </cell>
          <cell r="Z763">
            <v>241</v>
          </cell>
          <cell r="AA763">
            <v>0</v>
          </cell>
          <cell r="AB763">
            <v>0</v>
          </cell>
          <cell r="AC763">
            <v>0</v>
          </cell>
          <cell r="AD763">
            <v>2.1000000000000001E-2</v>
          </cell>
          <cell r="AE763">
            <v>0</v>
          </cell>
          <cell r="AF763">
            <v>0</v>
          </cell>
          <cell r="AG763">
            <v>0</v>
          </cell>
          <cell r="AH763">
            <v>0</v>
          </cell>
          <cell r="AI763">
            <v>0</v>
          </cell>
          <cell r="AJ763">
            <v>0</v>
          </cell>
          <cell r="AK763">
            <v>0</v>
          </cell>
          <cell r="AL763">
            <v>0</v>
          </cell>
        </row>
        <row r="764">
          <cell r="E764" t="str">
            <v>CE 8sq-2C</v>
          </cell>
          <cell r="F764" t="str">
            <v>ｍ</v>
          </cell>
          <cell r="G764">
            <v>0</v>
          </cell>
          <cell r="H764">
            <v>297</v>
          </cell>
          <cell r="I764">
            <v>0</v>
          </cell>
          <cell r="J764">
            <v>302</v>
          </cell>
          <cell r="K764">
            <v>0</v>
          </cell>
          <cell r="L764">
            <v>302</v>
          </cell>
          <cell r="M764">
            <v>0</v>
          </cell>
          <cell r="N764">
            <v>292</v>
          </cell>
          <cell r="O764">
            <v>0</v>
          </cell>
          <cell r="P764">
            <v>285</v>
          </cell>
          <cell r="Q764">
            <v>0</v>
          </cell>
          <cell r="R764">
            <v>297</v>
          </cell>
          <cell r="S764">
            <v>0</v>
          </cell>
          <cell r="T764">
            <v>297</v>
          </cell>
          <cell r="U764">
            <v>0</v>
          </cell>
          <cell r="V764">
            <v>302</v>
          </cell>
          <cell r="W764">
            <v>0</v>
          </cell>
          <cell r="X764">
            <v>292</v>
          </cell>
          <cell r="Y764">
            <v>0</v>
          </cell>
          <cell r="Z764">
            <v>302</v>
          </cell>
          <cell r="AA764">
            <v>0</v>
          </cell>
          <cell r="AB764">
            <v>0</v>
          </cell>
          <cell r="AC764">
            <v>0</v>
          </cell>
          <cell r="AD764">
            <v>2.3E-2</v>
          </cell>
          <cell r="AE764">
            <v>0</v>
          </cell>
          <cell r="AF764">
            <v>0</v>
          </cell>
          <cell r="AG764">
            <v>0</v>
          </cell>
          <cell r="AH764">
            <v>0</v>
          </cell>
          <cell r="AI764">
            <v>0</v>
          </cell>
          <cell r="AJ764">
            <v>0</v>
          </cell>
          <cell r="AK764">
            <v>0</v>
          </cell>
          <cell r="AL764">
            <v>0</v>
          </cell>
        </row>
        <row r="765">
          <cell r="E765" t="str">
            <v>CE 14sq-2C</v>
          </cell>
          <cell r="F765" t="str">
            <v>ｍ</v>
          </cell>
          <cell r="G765">
            <v>0</v>
          </cell>
          <cell r="H765">
            <v>433</v>
          </cell>
          <cell r="I765">
            <v>0</v>
          </cell>
          <cell r="J765">
            <v>440</v>
          </cell>
          <cell r="K765">
            <v>0</v>
          </cell>
          <cell r="L765">
            <v>440</v>
          </cell>
          <cell r="M765">
            <v>0</v>
          </cell>
          <cell r="N765">
            <v>427</v>
          </cell>
          <cell r="O765">
            <v>0</v>
          </cell>
          <cell r="P765">
            <v>416</v>
          </cell>
          <cell r="Q765">
            <v>0</v>
          </cell>
          <cell r="R765">
            <v>433</v>
          </cell>
          <cell r="S765">
            <v>0</v>
          </cell>
          <cell r="T765">
            <v>433</v>
          </cell>
          <cell r="U765">
            <v>0</v>
          </cell>
          <cell r="V765">
            <v>440</v>
          </cell>
          <cell r="W765">
            <v>0</v>
          </cell>
          <cell r="X765">
            <v>427</v>
          </cell>
          <cell r="Y765">
            <v>0</v>
          </cell>
          <cell r="Z765">
            <v>440</v>
          </cell>
          <cell r="AA765">
            <v>0</v>
          </cell>
          <cell r="AB765">
            <v>0</v>
          </cell>
          <cell r="AC765">
            <v>0</v>
          </cell>
          <cell r="AD765">
            <v>2.9000000000000001E-2</v>
          </cell>
          <cell r="AE765">
            <v>0</v>
          </cell>
          <cell r="AF765">
            <v>0</v>
          </cell>
          <cell r="AG765">
            <v>0</v>
          </cell>
          <cell r="AH765">
            <v>0</v>
          </cell>
          <cell r="AI765">
            <v>0</v>
          </cell>
          <cell r="AJ765">
            <v>0</v>
          </cell>
          <cell r="AK765">
            <v>0</v>
          </cell>
          <cell r="AL765">
            <v>0</v>
          </cell>
        </row>
        <row r="766">
          <cell r="E766" t="str">
            <v>CE 22sq-2C</v>
          </cell>
          <cell r="F766" t="str">
            <v>ｍ</v>
          </cell>
          <cell r="G766">
            <v>0</v>
          </cell>
          <cell r="H766">
            <v>637</v>
          </cell>
          <cell r="I766">
            <v>0</v>
          </cell>
          <cell r="J766">
            <v>647</v>
          </cell>
          <cell r="K766">
            <v>0</v>
          </cell>
          <cell r="L766">
            <v>647</v>
          </cell>
          <cell r="M766">
            <v>0</v>
          </cell>
          <cell r="N766">
            <v>627</v>
          </cell>
          <cell r="O766">
            <v>0</v>
          </cell>
          <cell r="P766">
            <v>612</v>
          </cell>
          <cell r="Q766">
            <v>0</v>
          </cell>
          <cell r="R766">
            <v>637</v>
          </cell>
          <cell r="S766">
            <v>0</v>
          </cell>
          <cell r="T766">
            <v>637</v>
          </cell>
          <cell r="U766">
            <v>0</v>
          </cell>
          <cell r="V766">
            <v>647</v>
          </cell>
          <cell r="W766">
            <v>0</v>
          </cell>
          <cell r="X766">
            <v>627</v>
          </cell>
          <cell r="Y766">
            <v>0</v>
          </cell>
          <cell r="Z766">
            <v>647</v>
          </cell>
          <cell r="AA766">
            <v>0</v>
          </cell>
          <cell r="AB766">
            <v>0</v>
          </cell>
          <cell r="AC766">
            <v>0</v>
          </cell>
          <cell r="AD766">
            <v>3.6999999999999998E-2</v>
          </cell>
          <cell r="AE766">
            <v>0</v>
          </cell>
          <cell r="AF766">
            <v>0</v>
          </cell>
          <cell r="AG766">
            <v>0</v>
          </cell>
          <cell r="AH766">
            <v>0</v>
          </cell>
          <cell r="AI766">
            <v>0</v>
          </cell>
          <cell r="AJ766">
            <v>0</v>
          </cell>
          <cell r="AK766">
            <v>0</v>
          </cell>
          <cell r="AL766">
            <v>0</v>
          </cell>
        </row>
        <row r="767">
          <cell r="E767" t="str">
            <v>CE 38sq-2C</v>
          </cell>
          <cell r="F767" t="str">
            <v>ｍ</v>
          </cell>
          <cell r="G767">
            <v>0</v>
          </cell>
          <cell r="H767">
            <v>998</v>
          </cell>
          <cell r="I767">
            <v>0</v>
          </cell>
          <cell r="J767">
            <v>1014</v>
          </cell>
          <cell r="K767">
            <v>0</v>
          </cell>
          <cell r="L767">
            <v>1014</v>
          </cell>
          <cell r="M767">
            <v>0</v>
          </cell>
          <cell r="N767">
            <v>983</v>
          </cell>
          <cell r="O767">
            <v>0</v>
          </cell>
          <cell r="P767">
            <v>959</v>
          </cell>
          <cell r="Q767">
            <v>0</v>
          </cell>
          <cell r="R767">
            <v>998</v>
          </cell>
          <cell r="S767">
            <v>0</v>
          </cell>
          <cell r="T767">
            <v>998</v>
          </cell>
          <cell r="U767">
            <v>0</v>
          </cell>
          <cell r="V767">
            <v>1014</v>
          </cell>
          <cell r="W767">
            <v>0</v>
          </cell>
          <cell r="X767">
            <v>983</v>
          </cell>
          <cell r="Y767">
            <v>0</v>
          </cell>
          <cell r="Z767">
            <v>1014</v>
          </cell>
          <cell r="AA767">
            <v>0</v>
          </cell>
          <cell r="AB767">
            <v>0</v>
          </cell>
          <cell r="AC767">
            <v>0</v>
          </cell>
          <cell r="AD767">
            <v>0.05</v>
          </cell>
          <cell r="AE767">
            <v>0</v>
          </cell>
          <cell r="AF767">
            <v>0</v>
          </cell>
          <cell r="AG767">
            <v>0</v>
          </cell>
          <cell r="AH767">
            <v>0</v>
          </cell>
          <cell r="AI767">
            <v>0</v>
          </cell>
          <cell r="AJ767">
            <v>0</v>
          </cell>
          <cell r="AK767">
            <v>0</v>
          </cell>
          <cell r="AL767">
            <v>0</v>
          </cell>
        </row>
        <row r="768">
          <cell r="E768" t="str">
            <v>CE 60sq-2C</v>
          </cell>
          <cell r="F768" t="str">
            <v>ｍ</v>
          </cell>
          <cell r="G768">
            <v>0</v>
          </cell>
          <cell r="H768">
            <v>1536</v>
          </cell>
          <cell r="I768">
            <v>0</v>
          </cell>
          <cell r="J768">
            <v>1562</v>
          </cell>
          <cell r="K768">
            <v>0</v>
          </cell>
          <cell r="L768">
            <v>1562</v>
          </cell>
          <cell r="M768">
            <v>0</v>
          </cell>
          <cell r="N768">
            <v>1514</v>
          </cell>
          <cell r="O768">
            <v>0</v>
          </cell>
          <cell r="P768">
            <v>1478</v>
          </cell>
          <cell r="Q768">
            <v>0</v>
          </cell>
          <cell r="R768">
            <v>1536</v>
          </cell>
          <cell r="S768">
            <v>0</v>
          </cell>
          <cell r="T768">
            <v>1536</v>
          </cell>
          <cell r="U768">
            <v>0</v>
          </cell>
          <cell r="V768">
            <v>1562</v>
          </cell>
          <cell r="W768">
            <v>0</v>
          </cell>
          <cell r="X768">
            <v>1514</v>
          </cell>
          <cell r="Y768">
            <v>0</v>
          </cell>
          <cell r="Z768">
            <v>1562</v>
          </cell>
          <cell r="AA768">
            <v>0</v>
          </cell>
          <cell r="AB768">
            <v>0</v>
          </cell>
          <cell r="AC768">
            <v>0</v>
          </cell>
          <cell r="AD768">
            <v>6.5000000000000002E-2</v>
          </cell>
          <cell r="AE768">
            <v>0</v>
          </cell>
          <cell r="AF768">
            <v>0</v>
          </cell>
          <cell r="AG768">
            <v>0</v>
          </cell>
          <cell r="AH768">
            <v>0</v>
          </cell>
          <cell r="AI768">
            <v>0</v>
          </cell>
          <cell r="AJ768">
            <v>0</v>
          </cell>
          <cell r="AK768">
            <v>0</v>
          </cell>
          <cell r="AL768">
            <v>0</v>
          </cell>
        </row>
        <row r="769">
          <cell r="E769" t="str">
            <v>CE 100sq-2C</v>
          </cell>
          <cell r="F769" t="str">
            <v>ｍ</v>
          </cell>
          <cell r="G769">
            <v>0</v>
          </cell>
          <cell r="H769">
            <v>2516</v>
          </cell>
          <cell r="I769">
            <v>0</v>
          </cell>
          <cell r="J769">
            <v>2555</v>
          </cell>
          <cell r="K769">
            <v>0</v>
          </cell>
          <cell r="L769">
            <v>2555</v>
          </cell>
          <cell r="M769">
            <v>0</v>
          </cell>
          <cell r="N769">
            <v>2477</v>
          </cell>
          <cell r="O769">
            <v>0</v>
          </cell>
          <cell r="P769">
            <v>2416</v>
          </cell>
          <cell r="Q769">
            <v>0</v>
          </cell>
          <cell r="R769">
            <v>2516</v>
          </cell>
          <cell r="S769">
            <v>0</v>
          </cell>
          <cell r="T769">
            <v>2516</v>
          </cell>
          <cell r="U769">
            <v>0</v>
          </cell>
          <cell r="V769">
            <v>2555</v>
          </cell>
          <cell r="W769">
            <v>0</v>
          </cell>
          <cell r="X769">
            <v>2477</v>
          </cell>
          <cell r="Y769">
            <v>0</v>
          </cell>
          <cell r="Z769">
            <v>2555</v>
          </cell>
          <cell r="AA769">
            <v>0</v>
          </cell>
          <cell r="AB769">
            <v>0</v>
          </cell>
          <cell r="AC769">
            <v>0</v>
          </cell>
          <cell r="AD769">
            <v>0.09</v>
          </cell>
          <cell r="AE769">
            <v>0</v>
          </cell>
          <cell r="AF769">
            <v>0</v>
          </cell>
          <cell r="AG769">
            <v>0</v>
          </cell>
          <cell r="AH769">
            <v>0</v>
          </cell>
          <cell r="AI769">
            <v>0</v>
          </cell>
          <cell r="AJ769">
            <v>0</v>
          </cell>
          <cell r="AK769">
            <v>0</v>
          </cell>
          <cell r="AL769">
            <v>0</v>
          </cell>
        </row>
        <row r="770">
          <cell r="E770" t="str">
            <v>CE 150sq-2C</v>
          </cell>
          <cell r="F770" t="str">
            <v>ｍ</v>
          </cell>
          <cell r="G770">
            <v>0</v>
          </cell>
          <cell r="H770">
            <v>4099</v>
          </cell>
          <cell r="I770">
            <v>0</v>
          </cell>
          <cell r="J770">
            <v>4163</v>
          </cell>
          <cell r="K770">
            <v>0</v>
          </cell>
          <cell r="L770">
            <v>4163</v>
          </cell>
          <cell r="M770">
            <v>0</v>
          </cell>
          <cell r="N770">
            <v>4035</v>
          </cell>
          <cell r="O770">
            <v>0</v>
          </cell>
          <cell r="P770">
            <v>3939</v>
          </cell>
          <cell r="Q770">
            <v>0</v>
          </cell>
          <cell r="R770">
            <v>4099</v>
          </cell>
          <cell r="S770">
            <v>0</v>
          </cell>
          <cell r="T770">
            <v>4099</v>
          </cell>
          <cell r="U770">
            <v>0</v>
          </cell>
          <cell r="V770">
            <v>4163</v>
          </cell>
          <cell r="W770">
            <v>0</v>
          </cell>
          <cell r="X770">
            <v>4035</v>
          </cell>
          <cell r="Y770">
            <v>0</v>
          </cell>
          <cell r="Z770">
            <v>4163</v>
          </cell>
          <cell r="AA770">
            <v>0</v>
          </cell>
          <cell r="AB770">
            <v>0</v>
          </cell>
          <cell r="AC770">
            <v>0</v>
          </cell>
          <cell r="AD770">
            <v>0.11</v>
          </cell>
          <cell r="AE770">
            <v>0</v>
          </cell>
          <cell r="AF770">
            <v>0</v>
          </cell>
          <cell r="AG770">
            <v>0</v>
          </cell>
          <cell r="AH770">
            <v>0</v>
          </cell>
          <cell r="AI770">
            <v>0</v>
          </cell>
          <cell r="AJ770">
            <v>0</v>
          </cell>
          <cell r="AK770">
            <v>0</v>
          </cell>
          <cell r="AL770">
            <v>0</v>
          </cell>
        </row>
        <row r="771">
          <cell r="E771" t="str">
            <v>CE 200sq-2C</v>
          </cell>
          <cell r="F771" t="str">
            <v>ｍ</v>
          </cell>
          <cell r="G771">
            <v>0</v>
          </cell>
          <cell r="H771">
            <v>5429</v>
          </cell>
          <cell r="I771">
            <v>0</v>
          </cell>
          <cell r="J771">
            <v>5514</v>
          </cell>
          <cell r="K771">
            <v>0</v>
          </cell>
          <cell r="L771">
            <v>5514</v>
          </cell>
          <cell r="M771">
            <v>0</v>
          </cell>
          <cell r="N771">
            <v>4344</v>
          </cell>
          <cell r="O771">
            <v>0</v>
          </cell>
          <cell r="P771">
            <v>5217</v>
          </cell>
          <cell r="Q771">
            <v>0</v>
          </cell>
          <cell r="R771">
            <v>5429</v>
          </cell>
          <cell r="S771">
            <v>0</v>
          </cell>
          <cell r="T771">
            <v>5429</v>
          </cell>
          <cell r="U771">
            <v>0</v>
          </cell>
          <cell r="V771">
            <v>5514</v>
          </cell>
          <cell r="W771">
            <v>0</v>
          </cell>
          <cell r="X771">
            <v>4344</v>
          </cell>
          <cell r="Y771">
            <v>0</v>
          </cell>
          <cell r="Z771">
            <v>5514</v>
          </cell>
          <cell r="AA771">
            <v>0</v>
          </cell>
          <cell r="AB771">
            <v>0</v>
          </cell>
          <cell r="AC771">
            <v>0</v>
          </cell>
          <cell r="AD771">
            <v>0.13600000000000001</v>
          </cell>
          <cell r="AE771">
            <v>0</v>
          </cell>
          <cell r="AF771">
            <v>0</v>
          </cell>
          <cell r="AG771">
            <v>0</v>
          </cell>
          <cell r="AH771">
            <v>0</v>
          </cell>
          <cell r="AI771">
            <v>0</v>
          </cell>
          <cell r="AJ771">
            <v>0</v>
          </cell>
          <cell r="AK771">
            <v>0</v>
          </cell>
          <cell r="AL771">
            <v>0</v>
          </cell>
        </row>
        <row r="772">
          <cell r="E772" t="str">
            <v>CE 250sq-2C</v>
          </cell>
          <cell r="F772" t="str">
            <v>ｍ</v>
          </cell>
          <cell r="G772">
            <v>0</v>
          </cell>
          <cell r="H772">
            <v>6779</v>
          </cell>
          <cell r="I772">
            <v>0</v>
          </cell>
          <cell r="J772">
            <v>6885</v>
          </cell>
          <cell r="K772">
            <v>0</v>
          </cell>
          <cell r="L772">
            <v>6885</v>
          </cell>
          <cell r="M772">
            <v>0</v>
          </cell>
          <cell r="N772">
            <v>6673</v>
          </cell>
          <cell r="O772">
            <v>0</v>
          </cell>
          <cell r="P772">
            <v>6514</v>
          </cell>
          <cell r="Q772">
            <v>0</v>
          </cell>
          <cell r="R772">
            <v>6779</v>
          </cell>
          <cell r="S772">
            <v>0</v>
          </cell>
          <cell r="T772">
            <v>6779</v>
          </cell>
          <cell r="U772">
            <v>0</v>
          </cell>
          <cell r="V772">
            <v>6885</v>
          </cell>
          <cell r="W772">
            <v>0</v>
          </cell>
          <cell r="X772">
            <v>6673</v>
          </cell>
          <cell r="Y772">
            <v>0</v>
          </cell>
          <cell r="Z772">
            <v>6885</v>
          </cell>
          <cell r="AA772">
            <v>0</v>
          </cell>
          <cell r="AB772">
            <v>0</v>
          </cell>
          <cell r="AC772">
            <v>0</v>
          </cell>
          <cell r="AD772">
            <v>0.157</v>
          </cell>
          <cell r="AE772">
            <v>0</v>
          </cell>
          <cell r="AF772">
            <v>0</v>
          </cell>
          <cell r="AG772">
            <v>0</v>
          </cell>
          <cell r="AH772">
            <v>0</v>
          </cell>
          <cell r="AI772">
            <v>0</v>
          </cell>
          <cell r="AJ772">
            <v>0</v>
          </cell>
          <cell r="AK772">
            <v>0</v>
          </cell>
          <cell r="AL772">
            <v>0</v>
          </cell>
        </row>
        <row r="773">
          <cell r="E773" t="str">
            <v>CE 325sq-2C</v>
          </cell>
          <cell r="F773" t="str">
            <v>ｍ</v>
          </cell>
          <cell r="G773">
            <v>0</v>
          </cell>
          <cell r="H773">
            <v>8605</v>
          </cell>
          <cell r="I773">
            <v>0</v>
          </cell>
          <cell r="J773">
            <v>8739</v>
          </cell>
          <cell r="K773">
            <v>0</v>
          </cell>
          <cell r="L773">
            <v>8739</v>
          </cell>
          <cell r="M773">
            <v>0</v>
          </cell>
          <cell r="N773">
            <v>8470</v>
          </cell>
          <cell r="O773">
            <v>0</v>
          </cell>
          <cell r="P773">
            <v>8269</v>
          </cell>
          <cell r="Q773">
            <v>0</v>
          </cell>
          <cell r="R773">
            <v>8605</v>
          </cell>
          <cell r="S773">
            <v>0</v>
          </cell>
          <cell r="T773">
            <v>8605</v>
          </cell>
          <cell r="U773">
            <v>0</v>
          </cell>
          <cell r="V773">
            <v>8739</v>
          </cell>
          <cell r="W773">
            <v>0</v>
          </cell>
          <cell r="X773">
            <v>8470</v>
          </cell>
          <cell r="Y773">
            <v>0</v>
          </cell>
          <cell r="Z773">
            <v>8739</v>
          </cell>
          <cell r="AA773">
            <v>0</v>
          </cell>
          <cell r="AB773">
            <v>0</v>
          </cell>
          <cell r="AC773">
            <v>0</v>
          </cell>
          <cell r="AD773">
            <v>0.19800000000000001</v>
          </cell>
          <cell r="AE773">
            <v>0</v>
          </cell>
          <cell r="AF773">
            <v>0</v>
          </cell>
          <cell r="AG773">
            <v>0</v>
          </cell>
          <cell r="AH773">
            <v>0</v>
          </cell>
          <cell r="AI773">
            <v>0</v>
          </cell>
          <cell r="AJ773">
            <v>0</v>
          </cell>
          <cell r="AK773">
            <v>0</v>
          </cell>
          <cell r="AL773">
            <v>0</v>
          </cell>
        </row>
        <row r="774">
          <cell r="E774" t="str">
            <v>CE  2sq-3C</v>
          </cell>
          <cell r="F774" t="str">
            <v>ｍ</v>
          </cell>
          <cell r="G774">
            <v>0</v>
          </cell>
          <cell r="H774">
            <v>160</v>
          </cell>
          <cell r="I774">
            <v>0</v>
          </cell>
          <cell r="J774">
            <v>163</v>
          </cell>
          <cell r="K774">
            <v>0</v>
          </cell>
          <cell r="L774">
            <v>163</v>
          </cell>
          <cell r="M774">
            <v>0</v>
          </cell>
          <cell r="N774">
            <v>158</v>
          </cell>
          <cell r="O774">
            <v>0</v>
          </cell>
          <cell r="P774">
            <v>154</v>
          </cell>
          <cell r="Q774">
            <v>0</v>
          </cell>
          <cell r="R774">
            <v>160</v>
          </cell>
          <cell r="S774">
            <v>0</v>
          </cell>
          <cell r="T774">
            <v>160</v>
          </cell>
          <cell r="U774">
            <v>0</v>
          </cell>
          <cell r="V774">
            <v>163</v>
          </cell>
          <cell r="W774">
            <v>0</v>
          </cell>
          <cell r="X774">
            <v>158</v>
          </cell>
          <cell r="Y774">
            <v>0</v>
          </cell>
          <cell r="Z774">
            <v>163</v>
          </cell>
          <cell r="AA774">
            <v>0</v>
          </cell>
          <cell r="AB774">
            <v>0</v>
          </cell>
          <cell r="AC774">
            <v>0</v>
          </cell>
          <cell r="AD774">
            <v>1.7000000000000001E-2</v>
          </cell>
          <cell r="AE774">
            <v>0</v>
          </cell>
          <cell r="AF774">
            <v>0</v>
          </cell>
          <cell r="AG774">
            <v>0</v>
          </cell>
          <cell r="AH774">
            <v>0</v>
          </cell>
          <cell r="AI774">
            <v>0</v>
          </cell>
          <cell r="AJ774">
            <v>0</v>
          </cell>
          <cell r="AK774">
            <v>0</v>
          </cell>
          <cell r="AL774">
            <v>0</v>
          </cell>
        </row>
        <row r="775">
          <cell r="E775" t="str">
            <v>CE3.5sq-3C</v>
          </cell>
          <cell r="F775" t="str">
            <v>ｍ</v>
          </cell>
          <cell r="G775">
            <v>0</v>
          </cell>
          <cell r="H775">
            <v>222</v>
          </cell>
          <cell r="I775">
            <v>0</v>
          </cell>
          <cell r="J775">
            <v>226</v>
          </cell>
          <cell r="K775">
            <v>0</v>
          </cell>
          <cell r="L775">
            <v>226</v>
          </cell>
          <cell r="M775">
            <v>0</v>
          </cell>
          <cell r="N775">
            <v>219</v>
          </cell>
          <cell r="O775">
            <v>0</v>
          </cell>
          <cell r="P775">
            <v>213</v>
          </cell>
          <cell r="Q775">
            <v>0</v>
          </cell>
          <cell r="R775">
            <v>222</v>
          </cell>
          <cell r="S775">
            <v>0</v>
          </cell>
          <cell r="T775">
            <v>222</v>
          </cell>
          <cell r="U775">
            <v>0</v>
          </cell>
          <cell r="V775">
            <v>226</v>
          </cell>
          <cell r="W775">
            <v>0</v>
          </cell>
          <cell r="X775">
            <v>219</v>
          </cell>
          <cell r="Y775">
            <v>0</v>
          </cell>
          <cell r="Z775">
            <v>226</v>
          </cell>
          <cell r="AA775">
            <v>0</v>
          </cell>
          <cell r="AB775">
            <v>0</v>
          </cell>
          <cell r="AC775">
            <v>0</v>
          </cell>
          <cell r="AD775">
            <v>2.1000000000000001E-2</v>
          </cell>
          <cell r="AE775">
            <v>0</v>
          </cell>
          <cell r="AF775">
            <v>0</v>
          </cell>
          <cell r="AG775">
            <v>0</v>
          </cell>
          <cell r="AH775">
            <v>0</v>
          </cell>
          <cell r="AI775">
            <v>0</v>
          </cell>
          <cell r="AJ775">
            <v>0</v>
          </cell>
          <cell r="AK775">
            <v>0</v>
          </cell>
          <cell r="AL775">
            <v>0</v>
          </cell>
        </row>
        <row r="776">
          <cell r="E776" t="str">
            <v>CE5.5sq-3C</v>
          </cell>
          <cell r="F776" t="str">
            <v>ｍ</v>
          </cell>
          <cell r="G776">
            <v>0</v>
          </cell>
          <cell r="H776">
            <v>306</v>
          </cell>
          <cell r="I776">
            <v>0</v>
          </cell>
          <cell r="J776">
            <v>311</v>
          </cell>
          <cell r="K776">
            <v>0</v>
          </cell>
          <cell r="L776">
            <v>311</v>
          </cell>
          <cell r="M776">
            <v>0</v>
          </cell>
          <cell r="N776">
            <v>301</v>
          </cell>
          <cell r="O776">
            <v>0</v>
          </cell>
          <cell r="P776">
            <v>294</v>
          </cell>
          <cell r="Q776">
            <v>0</v>
          </cell>
          <cell r="R776">
            <v>306</v>
          </cell>
          <cell r="S776">
            <v>0</v>
          </cell>
          <cell r="T776">
            <v>306</v>
          </cell>
          <cell r="U776">
            <v>0</v>
          </cell>
          <cell r="V776">
            <v>311</v>
          </cell>
          <cell r="W776">
            <v>0</v>
          </cell>
          <cell r="X776">
            <v>301</v>
          </cell>
          <cell r="Y776">
            <v>0</v>
          </cell>
          <cell r="Z776">
            <v>311</v>
          </cell>
          <cell r="AA776">
            <v>0</v>
          </cell>
          <cell r="AB776">
            <v>0</v>
          </cell>
          <cell r="AC776">
            <v>0</v>
          </cell>
          <cell r="AD776">
            <v>2.5999999999999999E-2</v>
          </cell>
          <cell r="AE776">
            <v>0</v>
          </cell>
          <cell r="AF776">
            <v>0</v>
          </cell>
          <cell r="AG776">
            <v>0</v>
          </cell>
          <cell r="AH776">
            <v>0</v>
          </cell>
          <cell r="AI776">
            <v>0</v>
          </cell>
          <cell r="AJ776">
            <v>0</v>
          </cell>
          <cell r="AK776">
            <v>0</v>
          </cell>
          <cell r="AL776">
            <v>0</v>
          </cell>
        </row>
        <row r="777">
          <cell r="E777" t="str">
            <v>CE  8sq-3C</v>
          </cell>
          <cell r="F777" t="str">
            <v>ｍ</v>
          </cell>
          <cell r="G777">
            <v>0</v>
          </cell>
          <cell r="H777">
            <v>392</v>
          </cell>
          <cell r="I777">
            <v>0</v>
          </cell>
          <cell r="J777">
            <v>398</v>
          </cell>
          <cell r="K777">
            <v>0</v>
          </cell>
          <cell r="L777">
            <v>398</v>
          </cell>
          <cell r="M777">
            <v>0</v>
          </cell>
          <cell r="N777">
            <v>386</v>
          </cell>
          <cell r="O777">
            <v>0</v>
          </cell>
          <cell r="P777">
            <v>377</v>
          </cell>
          <cell r="Q777">
            <v>0</v>
          </cell>
          <cell r="R777">
            <v>392</v>
          </cell>
          <cell r="S777">
            <v>0</v>
          </cell>
          <cell r="T777">
            <v>392</v>
          </cell>
          <cell r="U777">
            <v>0</v>
          </cell>
          <cell r="V777">
            <v>398</v>
          </cell>
          <cell r="W777">
            <v>0</v>
          </cell>
          <cell r="X777">
            <v>386</v>
          </cell>
          <cell r="Y777">
            <v>0</v>
          </cell>
          <cell r="Z777">
            <v>398</v>
          </cell>
          <cell r="AA777">
            <v>0</v>
          </cell>
          <cell r="AB777">
            <v>0</v>
          </cell>
          <cell r="AC777">
            <v>0</v>
          </cell>
          <cell r="AD777">
            <v>2.9000000000000001E-2</v>
          </cell>
          <cell r="AE777">
            <v>0</v>
          </cell>
          <cell r="AF777">
            <v>0</v>
          </cell>
          <cell r="AG777">
            <v>0</v>
          </cell>
          <cell r="AH777">
            <v>0</v>
          </cell>
          <cell r="AI777">
            <v>0</v>
          </cell>
          <cell r="AJ777">
            <v>0</v>
          </cell>
          <cell r="AK777">
            <v>0</v>
          </cell>
          <cell r="AL777">
            <v>0</v>
          </cell>
        </row>
        <row r="778">
          <cell r="E778" t="str">
            <v>CE 14sq-3C</v>
          </cell>
          <cell r="F778" t="str">
            <v>ｍ</v>
          </cell>
          <cell r="G778">
            <v>0</v>
          </cell>
          <cell r="H778">
            <v>585</v>
          </cell>
          <cell r="I778">
            <v>0</v>
          </cell>
          <cell r="J778">
            <v>594</v>
          </cell>
          <cell r="K778">
            <v>0</v>
          </cell>
          <cell r="L778">
            <v>594</v>
          </cell>
          <cell r="M778">
            <v>0</v>
          </cell>
          <cell r="N778">
            <v>576</v>
          </cell>
          <cell r="O778">
            <v>0</v>
          </cell>
          <cell r="P778">
            <v>562</v>
          </cell>
          <cell r="Q778">
            <v>0</v>
          </cell>
          <cell r="R778">
            <v>585</v>
          </cell>
          <cell r="S778">
            <v>0</v>
          </cell>
          <cell r="T778">
            <v>585</v>
          </cell>
          <cell r="U778">
            <v>0</v>
          </cell>
          <cell r="V778">
            <v>594</v>
          </cell>
          <cell r="W778">
            <v>0</v>
          </cell>
          <cell r="X778">
            <v>576</v>
          </cell>
          <cell r="Y778">
            <v>0</v>
          </cell>
          <cell r="Z778">
            <v>594</v>
          </cell>
          <cell r="AA778">
            <v>0</v>
          </cell>
          <cell r="AB778">
            <v>0</v>
          </cell>
          <cell r="AC778">
            <v>0</v>
          </cell>
          <cell r="AD778">
            <v>3.6999999999999998E-2</v>
          </cell>
          <cell r="AE778">
            <v>0</v>
          </cell>
          <cell r="AF778">
            <v>0</v>
          </cell>
          <cell r="AG778">
            <v>0</v>
          </cell>
          <cell r="AH778">
            <v>0</v>
          </cell>
          <cell r="AI778">
            <v>0</v>
          </cell>
          <cell r="AJ778">
            <v>0</v>
          </cell>
          <cell r="AK778">
            <v>0</v>
          </cell>
          <cell r="AL778">
            <v>0</v>
          </cell>
        </row>
        <row r="779">
          <cell r="E779" t="str">
            <v>CE 22sq-3C</v>
          </cell>
          <cell r="F779" t="str">
            <v>ｍ</v>
          </cell>
          <cell r="G779">
            <v>0</v>
          </cell>
          <cell r="H779">
            <v>872</v>
          </cell>
          <cell r="I779">
            <v>0</v>
          </cell>
          <cell r="J779">
            <v>885</v>
          </cell>
          <cell r="K779">
            <v>0</v>
          </cell>
          <cell r="L779">
            <v>885</v>
          </cell>
          <cell r="M779">
            <v>0</v>
          </cell>
          <cell r="N779">
            <v>858</v>
          </cell>
          <cell r="O779">
            <v>0</v>
          </cell>
          <cell r="P779">
            <v>838</v>
          </cell>
          <cell r="Q779">
            <v>0</v>
          </cell>
          <cell r="R779">
            <v>872</v>
          </cell>
          <cell r="S779">
            <v>0</v>
          </cell>
          <cell r="T779">
            <v>872</v>
          </cell>
          <cell r="U779">
            <v>0</v>
          </cell>
          <cell r="V779">
            <v>885</v>
          </cell>
          <cell r="W779">
            <v>0</v>
          </cell>
          <cell r="X779">
            <v>858</v>
          </cell>
          <cell r="Y779">
            <v>0</v>
          </cell>
          <cell r="Z779">
            <v>885</v>
          </cell>
          <cell r="AA779">
            <v>0</v>
          </cell>
          <cell r="AB779">
            <v>0</v>
          </cell>
          <cell r="AC779">
            <v>0</v>
          </cell>
          <cell r="AD779">
            <v>4.7E-2</v>
          </cell>
          <cell r="AE779">
            <v>0</v>
          </cell>
          <cell r="AF779">
            <v>0</v>
          </cell>
          <cell r="AG779">
            <v>0</v>
          </cell>
          <cell r="AH779">
            <v>0</v>
          </cell>
          <cell r="AI779">
            <v>0</v>
          </cell>
          <cell r="AJ779">
            <v>0</v>
          </cell>
          <cell r="AK779">
            <v>0</v>
          </cell>
          <cell r="AL779">
            <v>0</v>
          </cell>
        </row>
        <row r="780">
          <cell r="E780" t="str">
            <v>CE 38sq-3C</v>
          </cell>
          <cell r="F780" t="str">
            <v>ｍ</v>
          </cell>
          <cell r="G780">
            <v>0</v>
          </cell>
          <cell r="H780">
            <v>1399</v>
          </cell>
          <cell r="I780">
            <v>0</v>
          </cell>
          <cell r="J780">
            <v>1421</v>
          </cell>
          <cell r="K780">
            <v>0</v>
          </cell>
          <cell r="L780">
            <v>1421</v>
          </cell>
          <cell r="M780">
            <v>0</v>
          </cell>
          <cell r="N780">
            <v>1377</v>
          </cell>
          <cell r="O780">
            <v>0</v>
          </cell>
          <cell r="P780">
            <v>1344</v>
          </cell>
          <cell r="Q780">
            <v>0</v>
          </cell>
          <cell r="R780">
            <v>1399</v>
          </cell>
          <cell r="S780">
            <v>0</v>
          </cell>
          <cell r="T780">
            <v>1399</v>
          </cell>
          <cell r="U780">
            <v>0</v>
          </cell>
          <cell r="V780">
            <v>1421</v>
          </cell>
          <cell r="W780">
            <v>0</v>
          </cell>
          <cell r="X780">
            <v>1377</v>
          </cell>
          <cell r="Y780">
            <v>0</v>
          </cell>
          <cell r="Z780">
            <v>1421</v>
          </cell>
          <cell r="AA780">
            <v>0</v>
          </cell>
          <cell r="AB780">
            <v>0</v>
          </cell>
          <cell r="AC780">
            <v>0</v>
          </cell>
          <cell r="AD780">
            <v>6.2E-2</v>
          </cell>
          <cell r="AE780">
            <v>0</v>
          </cell>
          <cell r="AF780">
            <v>0</v>
          </cell>
          <cell r="AG780">
            <v>0</v>
          </cell>
          <cell r="AH780">
            <v>0</v>
          </cell>
          <cell r="AI780">
            <v>0</v>
          </cell>
          <cell r="AJ780">
            <v>0</v>
          </cell>
          <cell r="AK780">
            <v>0</v>
          </cell>
          <cell r="AL780">
            <v>0</v>
          </cell>
        </row>
        <row r="781">
          <cell r="E781" t="str">
            <v>CE 60sq-3C</v>
          </cell>
          <cell r="F781" t="str">
            <v>ｍ</v>
          </cell>
          <cell r="G781">
            <v>0</v>
          </cell>
          <cell r="H781">
            <v>2154</v>
          </cell>
          <cell r="I781">
            <v>0</v>
          </cell>
          <cell r="J781">
            <v>2188</v>
          </cell>
          <cell r="K781">
            <v>0</v>
          </cell>
          <cell r="L781">
            <v>2188</v>
          </cell>
          <cell r="M781">
            <v>0</v>
          </cell>
          <cell r="N781">
            <v>2121</v>
          </cell>
          <cell r="O781">
            <v>0</v>
          </cell>
          <cell r="P781">
            <v>2070</v>
          </cell>
          <cell r="Q781">
            <v>0</v>
          </cell>
          <cell r="R781">
            <v>2154</v>
          </cell>
          <cell r="S781">
            <v>0</v>
          </cell>
          <cell r="T781">
            <v>2154</v>
          </cell>
          <cell r="U781">
            <v>0</v>
          </cell>
          <cell r="V781">
            <v>2188</v>
          </cell>
          <cell r="W781">
            <v>0</v>
          </cell>
          <cell r="X781">
            <v>2121</v>
          </cell>
          <cell r="Y781">
            <v>0</v>
          </cell>
          <cell r="Z781">
            <v>2188</v>
          </cell>
          <cell r="AA781">
            <v>0</v>
          </cell>
          <cell r="AB781">
            <v>0</v>
          </cell>
          <cell r="AC781">
            <v>0</v>
          </cell>
          <cell r="AD781">
            <v>8.2000000000000003E-2</v>
          </cell>
          <cell r="AE781">
            <v>0</v>
          </cell>
          <cell r="AF781">
            <v>0</v>
          </cell>
          <cell r="AG781">
            <v>0</v>
          </cell>
          <cell r="AH781">
            <v>0</v>
          </cell>
          <cell r="AI781">
            <v>0</v>
          </cell>
          <cell r="AJ781">
            <v>0</v>
          </cell>
          <cell r="AK781">
            <v>0</v>
          </cell>
          <cell r="AL781">
            <v>0</v>
          </cell>
        </row>
        <row r="782">
          <cell r="E782" t="str">
            <v>CE100sq-3C</v>
          </cell>
          <cell r="F782" t="str">
            <v>ｍ</v>
          </cell>
          <cell r="G782">
            <v>0</v>
          </cell>
          <cell r="H782">
            <v>3592</v>
          </cell>
          <cell r="I782">
            <v>0</v>
          </cell>
          <cell r="J782">
            <v>3648</v>
          </cell>
          <cell r="K782">
            <v>0</v>
          </cell>
          <cell r="L782">
            <v>3648</v>
          </cell>
          <cell r="M782">
            <v>0</v>
          </cell>
          <cell r="N782">
            <v>3536</v>
          </cell>
          <cell r="O782">
            <v>0</v>
          </cell>
          <cell r="P782">
            <v>3452</v>
          </cell>
          <cell r="Q782">
            <v>0</v>
          </cell>
          <cell r="R782">
            <v>3592</v>
          </cell>
          <cell r="S782">
            <v>0</v>
          </cell>
          <cell r="T782">
            <v>3592</v>
          </cell>
          <cell r="U782">
            <v>0</v>
          </cell>
          <cell r="V782">
            <v>3648</v>
          </cell>
          <cell r="W782">
            <v>0</v>
          </cell>
          <cell r="X782">
            <v>3536</v>
          </cell>
          <cell r="Y782">
            <v>0</v>
          </cell>
          <cell r="Z782">
            <v>3648</v>
          </cell>
          <cell r="AA782">
            <v>0</v>
          </cell>
          <cell r="AB782">
            <v>0</v>
          </cell>
          <cell r="AC782">
            <v>0</v>
          </cell>
          <cell r="AD782">
            <v>0.112</v>
          </cell>
          <cell r="AE782">
            <v>0</v>
          </cell>
          <cell r="AF782">
            <v>0</v>
          </cell>
          <cell r="AG782">
            <v>0</v>
          </cell>
          <cell r="AH782">
            <v>0</v>
          </cell>
          <cell r="AI782">
            <v>0</v>
          </cell>
          <cell r="AJ782">
            <v>0</v>
          </cell>
          <cell r="AK782">
            <v>0</v>
          </cell>
          <cell r="AL782">
            <v>0</v>
          </cell>
        </row>
        <row r="783">
          <cell r="E783" t="str">
            <v>CE150sq-3C</v>
          </cell>
          <cell r="F783" t="str">
            <v>ｍ</v>
          </cell>
          <cell r="G783">
            <v>0</v>
          </cell>
          <cell r="H783">
            <v>5814</v>
          </cell>
          <cell r="I783">
            <v>0</v>
          </cell>
          <cell r="J783">
            <v>3905</v>
          </cell>
          <cell r="K783">
            <v>0</v>
          </cell>
          <cell r="L783">
            <v>3905</v>
          </cell>
          <cell r="M783">
            <v>0</v>
          </cell>
          <cell r="N783">
            <v>5724</v>
          </cell>
          <cell r="O783">
            <v>0</v>
          </cell>
          <cell r="P783">
            <v>5587</v>
          </cell>
          <cell r="Q783">
            <v>0</v>
          </cell>
          <cell r="R783">
            <v>5814</v>
          </cell>
          <cell r="S783">
            <v>0</v>
          </cell>
          <cell r="T783">
            <v>5814</v>
          </cell>
          <cell r="U783">
            <v>0</v>
          </cell>
          <cell r="V783">
            <v>3905</v>
          </cell>
          <cell r="W783">
            <v>0</v>
          </cell>
          <cell r="X783">
            <v>5724</v>
          </cell>
          <cell r="Y783">
            <v>0</v>
          </cell>
          <cell r="Z783">
            <v>3905</v>
          </cell>
          <cell r="AA783">
            <v>0</v>
          </cell>
          <cell r="AB783">
            <v>0</v>
          </cell>
          <cell r="AC783">
            <v>0</v>
          </cell>
          <cell r="AD783">
            <v>0.13700000000000001</v>
          </cell>
          <cell r="AE783">
            <v>0</v>
          </cell>
          <cell r="AF783">
            <v>0</v>
          </cell>
          <cell r="AG783">
            <v>0</v>
          </cell>
          <cell r="AH783">
            <v>0</v>
          </cell>
          <cell r="AI783">
            <v>0</v>
          </cell>
          <cell r="AJ783">
            <v>0</v>
          </cell>
          <cell r="AK783">
            <v>0</v>
          </cell>
          <cell r="AL783">
            <v>0</v>
          </cell>
        </row>
        <row r="784">
          <cell r="E784" t="str">
            <v>CE200sq-3C</v>
          </cell>
          <cell r="F784" t="str">
            <v>ｍ</v>
          </cell>
          <cell r="G784">
            <v>0</v>
          </cell>
          <cell r="H784">
            <v>7734</v>
          </cell>
          <cell r="I784">
            <v>0</v>
          </cell>
          <cell r="J784">
            <v>7855</v>
          </cell>
          <cell r="K784">
            <v>0</v>
          </cell>
          <cell r="L784">
            <v>7855</v>
          </cell>
          <cell r="M784">
            <v>0</v>
          </cell>
          <cell r="N784">
            <v>7614</v>
          </cell>
          <cell r="O784">
            <v>0</v>
          </cell>
          <cell r="P784">
            <v>7432</v>
          </cell>
          <cell r="Q784">
            <v>0</v>
          </cell>
          <cell r="R784">
            <v>7734</v>
          </cell>
          <cell r="S784">
            <v>0</v>
          </cell>
          <cell r="T784">
            <v>7734</v>
          </cell>
          <cell r="U784">
            <v>0</v>
          </cell>
          <cell r="V784">
            <v>7855</v>
          </cell>
          <cell r="W784">
            <v>0</v>
          </cell>
          <cell r="X784">
            <v>7614</v>
          </cell>
          <cell r="Y784">
            <v>0</v>
          </cell>
          <cell r="Z784">
            <v>7855</v>
          </cell>
          <cell r="AA784">
            <v>0</v>
          </cell>
          <cell r="AB784">
            <v>0</v>
          </cell>
          <cell r="AC784">
            <v>0</v>
          </cell>
          <cell r="AD784">
            <v>0.17</v>
          </cell>
          <cell r="AE784">
            <v>0</v>
          </cell>
          <cell r="AF784">
            <v>0</v>
          </cell>
          <cell r="AG784">
            <v>0</v>
          </cell>
          <cell r="AH784">
            <v>0</v>
          </cell>
          <cell r="AI784">
            <v>0</v>
          </cell>
          <cell r="AJ784">
            <v>0</v>
          </cell>
          <cell r="AK784">
            <v>0</v>
          </cell>
          <cell r="AL784">
            <v>0</v>
          </cell>
        </row>
        <row r="785">
          <cell r="E785" t="str">
            <v>CE250sq-3C</v>
          </cell>
          <cell r="F785" t="str">
            <v>ｍ</v>
          </cell>
          <cell r="G785">
            <v>0</v>
          </cell>
          <cell r="H785">
            <v>9704</v>
          </cell>
          <cell r="I785">
            <v>0</v>
          </cell>
          <cell r="J785">
            <v>9855</v>
          </cell>
          <cell r="K785">
            <v>0</v>
          </cell>
          <cell r="L785">
            <v>9855</v>
          </cell>
          <cell r="M785">
            <v>0</v>
          </cell>
          <cell r="N785">
            <v>9552</v>
          </cell>
          <cell r="O785">
            <v>0</v>
          </cell>
          <cell r="P785">
            <v>9325</v>
          </cell>
          <cell r="Q785">
            <v>0</v>
          </cell>
          <cell r="R785">
            <v>9704</v>
          </cell>
          <cell r="S785">
            <v>0</v>
          </cell>
          <cell r="T785">
            <v>9704</v>
          </cell>
          <cell r="U785">
            <v>0</v>
          </cell>
          <cell r="V785">
            <v>9855</v>
          </cell>
          <cell r="W785">
            <v>0</v>
          </cell>
          <cell r="X785">
            <v>9552</v>
          </cell>
          <cell r="Y785">
            <v>0</v>
          </cell>
          <cell r="Z785">
            <v>9855</v>
          </cell>
          <cell r="AA785">
            <v>0</v>
          </cell>
          <cell r="AB785">
            <v>0</v>
          </cell>
          <cell r="AC785">
            <v>0</v>
          </cell>
          <cell r="AD785">
            <v>0.19600000000000001</v>
          </cell>
          <cell r="AE785">
            <v>0</v>
          </cell>
          <cell r="AF785">
            <v>0</v>
          </cell>
          <cell r="AG785">
            <v>0</v>
          </cell>
          <cell r="AH785">
            <v>0</v>
          </cell>
          <cell r="AI785">
            <v>0</v>
          </cell>
          <cell r="AJ785">
            <v>0</v>
          </cell>
          <cell r="AK785">
            <v>0</v>
          </cell>
          <cell r="AL785">
            <v>0</v>
          </cell>
        </row>
        <row r="786">
          <cell r="E786" t="str">
            <v>CE325sq-3C</v>
          </cell>
          <cell r="F786" t="str">
            <v>ｍ</v>
          </cell>
          <cell r="G786">
            <v>0</v>
          </cell>
          <cell r="H786">
            <v>12384</v>
          </cell>
          <cell r="I786">
            <v>0</v>
          </cell>
          <cell r="J786">
            <v>12578</v>
          </cell>
          <cell r="K786">
            <v>0</v>
          </cell>
          <cell r="L786">
            <v>12578</v>
          </cell>
          <cell r="M786">
            <v>0</v>
          </cell>
          <cell r="N786">
            <v>12191</v>
          </cell>
          <cell r="O786">
            <v>0</v>
          </cell>
          <cell r="P786">
            <v>11900</v>
          </cell>
          <cell r="Q786">
            <v>0</v>
          </cell>
          <cell r="R786">
            <v>12384</v>
          </cell>
          <cell r="S786">
            <v>0</v>
          </cell>
          <cell r="T786">
            <v>12384</v>
          </cell>
          <cell r="U786">
            <v>0</v>
          </cell>
          <cell r="V786">
            <v>12578</v>
          </cell>
          <cell r="W786">
            <v>0</v>
          </cell>
          <cell r="X786">
            <v>12191</v>
          </cell>
          <cell r="Y786">
            <v>0</v>
          </cell>
          <cell r="Z786">
            <v>12578</v>
          </cell>
          <cell r="AA786">
            <v>0</v>
          </cell>
          <cell r="AB786">
            <v>0</v>
          </cell>
          <cell r="AC786">
            <v>0</v>
          </cell>
          <cell r="AD786">
            <v>0.248</v>
          </cell>
          <cell r="AE786">
            <v>0</v>
          </cell>
          <cell r="AF786">
            <v>0</v>
          </cell>
          <cell r="AG786">
            <v>0</v>
          </cell>
          <cell r="AH786">
            <v>0</v>
          </cell>
          <cell r="AI786">
            <v>0</v>
          </cell>
          <cell r="AJ786">
            <v>0</v>
          </cell>
          <cell r="AK786">
            <v>0</v>
          </cell>
          <cell r="AL786">
            <v>0</v>
          </cell>
        </row>
        <row r="787">
          <cell r="E787" t="str">
            <v>CE 2sq-4C</v>
          </cell>
          <cell r="F787" t="str">
            <v>ｍ</v>
          </cell>
          <cell r="G787">
            <v>0</v>
          </cell>
          <cell r="H787">
            <v>191</v>
          </cell>
          <cell r="I787">
            <v>0</v>
          </cell>
          <cell r="J787">
            <v>194</v>
          </cell>
          <cell r="K787">
            <v>0</v>
          </cell>
          <cell r="L787">
            <v>194</v>
          </cell>
          <cell r="M787">
            <v>0</v>
          </cell>
          <cell r="N787">
            <v>188</v>
          </cell>
          <cell r="O787">
            <v>0</v>
          </cell>
          <cell r="P787">
            <v>184</v>
          </cell>
          <cell r="Q787">
            <v>0</v>
          </cell>
          <cell r="R787">
            <v>191</v>
          </cell>
          <cell r="S787">
            <v>0</v>
          </cell>
          <cell r="T787">
            <v>191</v>
          </cell>
          <cell r="U787">
            <v>0</v>
          </cell>
          <cell r="V787">
            <v>194</v>
          </cell>
          <cell r="W787">
            <v>0</v>
          </cell>
          <cell r="X787">
            <v>188</v>
          </cell>
          <cell r="Y787">
            <v>0</v>
          </cell>
          <cell r="Z787">
            <v>194</v>
          </cell>
          <cell r="AA787">
            <v>0</v>
          </cell>
          <cell r="AB787">
            <v>0</v>
          </cell>
          <cell r="AC787">
            <v>0</v>
          </cell>
          <cell r="AD787">
            <v>0.02</v>
          </cell>
          <cell r="AE787">
            <v>0</v>
          </cell>
          <cell r="AF787">
            <v>0</v>
          </cell>
          <cell r="AG787">
            <v>0</v>
          </cell>
          <cell r="AH787">
            <v>0</v>
          </cell>
          <cell r="AI787">
            <v>0</v>
          </cell>
          <cell r="AJ787">
            <v>0</v>
          </cell>
          <cell r="AK787">
            <v>0</v>
          </cell>
          <cell r="AL787">
            <v>0</v>
          </cell>
        </row>
        <row r="788">
          <cell r="E788" t="str">
            <v>CE 3.5sq-4C</v>
          </cell>
          <cell r="F788" t="str">
            <v>ｍ</v>
          </cell>
          <cell r="G788">
            <v>0</v>
          </cell>
          <cell r="H788">
            <v>278</v>
          </cell>
          <cell r="I788">
            <v>0</v>
          </cell>
          <cell r="J788">
            <v>283</v>
          </cell>
          <cell r="K788">
            <v>0</v>
          </cell>
          <cell r="L788">
            <v>283</v>
          </cell>
          <cell r="M788">
            <v>0</v>
          </cell>
          <cell r="N788">
            <v>274</v>
          </cell>
          <cell r="O788">
            <v>0</v>
          </cell>
          <cell r="P788">
            <v>268</v>
          </cell>
          <cell r="Q788">
            <v>0</v>
          </cell>
          <cell r="R788">
            <v>278</v>
          </cell>
          <cell r="S788">
            <v>0</v>
          </cell>
          <cell r="T788">
            <v>278</v>
          </cell>
          <cell r="U788">
            <v>0</v>
          </cell>
          <cell r="V788">
            <v>283</v>
          </cell>
          <cell r="W788">
            <v>0</v>
          </cell>
          <cell r="X788">
            <v>274</v>
          </cell>
          <cell r="Y788">
            <v>0</v>
          </cell>
          <cell r="Z788">
            <v>283</v>
          </cell>
          <cell r="AA788">
            <v>0</v>
          </cell>
          <cell r="AB788">
            <v>0</v>
          </cell>
          <cell r="AC788">
            <v>0</v>
          </cell>
          <cell r="AD788">
            <v>2.4E-2</v>
          </cell>
          <cell r="AE788">
            <v>0</v>
          </cell>
          <cell r="AF788">
            <v>0</v>
          </cell>
          <cell r="AG788">
            <v>0</v>
          </cell>
          <cell r="AH788">
            <v>0</v>
          </cell>
          <cell r="AI788">
            <v>0</v>
          </cell>
          <cell r="AJ788">
            <v>0</v>
          </cell>
          <cell r="AK788">
            <v>0</v>
          </cell>
          <cell r="AL788">
            <v>0</v>
          </cell>
        </row>
        <row r="789">
          <cell r="E789" t="str">
            <v>CE 5.5sq-4C</v>
          </cell>
          <cell r="F789" t="str">
            <v>ｍ</v>
          </cell>
          <cell r="G789">
            <v>0</v>
          </cell>
          <cell r="H789">
            <v>383</v>
          </cell>
          <cell r="I789">
            <v>0</v>
          </cell>
          <cell r="J789">
            <v>389</v>
          </cell>
          <cell r="K789">
            <v>0</v>
          </cell>
          <cell r="L789">
            <v>389</v>
          </cell>
          <cell r="M789">
            <v>0</v>
          </cell>
          <cell r="N789">
            <v>377</v>
          </cell>
          <cell r="O789">
            <v>0</v>
          </cell>
          <cell r="P789">
            <v>368</v>
          </cell>
          <cell r="Q789">
            <v>0</v>
          </cell>
          <cell r="R789">
            <v>383</v>
          </cell>
          <cell r="S789">
            <v>0</v>
          </cell>
          <cell r="T789">
            <v>383</v>
          </cell>
          <cell r="U789">
            <v>0</v>
          </cell>
          <cell r="V789">
            <v>389</v>
          </cell>
          <cell r="W789">
            <v>0</v>
          </cell>
          <cell r="X789">
            <v>377</v>
          </cell>
          <cell r="Y789">
            <v>0</v>
          </cell>
          <cell r="Z789">
            <v>389</v>
          </cell>
          <cell r="AA789">
            <v>0</v>
          </cell>
          <cell r="AB789">
            <v>0</v>
          </cell>
          <cell r="AC789">
            <v>0</v>
          </cell>
          <cell r="AD789">
            <v>0.03</v>
          </cell>
          <cell r="AE789">
            <v>0</v>
          </cell>
          <cell r="AF789">
            <v>0</v>
          </cell>
          <cell r="AG789">
            <v>0</v>
          </cell>
          <cell r="AH789">
            <v>0</v>
          </cell>
          <cell r="AI789">
            <v>0</v>
          </cell>
          <cell r="AJ789">
            <v>0</v>
          </cell>
          <cell r="AK789">
            <v>0</v>
          </cell>
          <cell r="AL789">
            <v>0</v>
          </cell>
        </row>
        <row r="790">
          <cell r="E790" t="str">
            <v>CE 8sq-4C</v>
          </cell>
          <cell r="F790" t="str">
            <v>ｍ</v>
          </cell>
          <cell r="G790">
            <v>0</v>
          </cell>
          <cell r="H790">
            <v>504</v>
          </cell>
          <cell r="I790">
            <v>0</v>
          </cell>
          <cell r="J790">
            <v>512</v>
          </cell>
          <cell r="K790">
            <v>0</v>
          </cell>
          <cell r="L790">
            <v>512</v>
          </cell>
          <cell r="M790">
            <v>0</v>
          </cell>
          <cell r="N790">
            <v>496</v>
          </cell>
          <cell r="O790">
            <v>0</v>
          </cell>
          <cell r="P790">
            <v>484</v>
          </cell>
          <cell r="Q790">
            <v>0</v>
          </cell>
          <cell r="R790">
            <v>504</v>
          </cell>
          <cell r="S790">
            <v>0</v>
          </cell>
          <cell r="T790">
            <v>504</v>
          </cell>
          <cell r="U790">
            <v>0</v>
          </cell>
          <cell r="V790">
            <v>512</v>
          </cell>
          <cell r="W790">
            <v>0</v>
          </cell>
          <cell r="X790">
            <v>496</v>
          </cell>
          <cell r="Y790">
            <v>0</v>
          </cell>
          <cell r="Z790">
            <v>512</v>
          </cell>
          <cell r="AA790">
            <v>0</v>
          </cell>
          <cell r="AB790">
            <v>0</v>
          </cell>
          <cell r="AC790">
            <v>0</v>
          </cell>
          <cell r="AD790">
            <v>3.5000000000000003E-2</v>
          </cell>
          <cell r="AE790">
            <v>0</v>
          </cell>
          <cell r="AF790">
            <v>0</v>
          </cell>
          <cell r="AG790">
            <v>0</v>
          </cell>
          <cell r="AH790">
            <v>0</v>
          </cell>
          <cell r="AI790">
            <v>0</v>
          </cell>
          <cell r="AJ790">
            <v>0</v>
          </cell>
          <cell r="AK790">
            <v>0</v>
          </cell>
          <cell r="AL790">
            <v>0</v>
          </cell>
        </row>
        <row r="791">
          <cell r="E791" t="str">
            <v>CE 14sq-4C</v>
          </cell>
          <cell r="F791" t="str">
            <v>ｍ</v>
          </cell>
          <cell r="G791">
            <v>0</v>
          </cell>
          <cell r="H791">
            <v>769</v>
          </cell>
          <cell r="I791">
            <v>0</v>
          </cell>
          <cell r="J791">
            <v>781</v>
          </cell>
          <cell r="K791">
            <v>0</v>
          </cell>
          <cell r="L791">
            <v>781</v>
          </cell>
          <cell r="M791">
            <v>0</v>
          </cell>
          <cell r="N791">
            <v>757</v>
          </cell>
          <cell r="O791">
            <v>0</v>
          </cell>
          <cell r="P791">
            <v>739</v>
          </cell>
          <cell r="Q791">
            <v>0</v>
          </cell>
          <cell r="R791">
            <v>769</v>
          </cell>
          <cell r="S791">
            <v>0</v>
          </cell>
          <cell r="T791">
            <v>769</v>
          </cell>
          <cell r="U791">
            <v>0</v>
          </cell>
          <cell r="V791">
            <v>781</v>
          </cell>
          <cell r="W791">
            <v>0</v>
          </cell>
          <cell r="X791">
            <v>757</v>
          </cell>
          <cell r="Y791">
            <v>0</v>
          </cell>
          <cell r="Z791">
            <v>781</v>
          </cell>
          <cell r="AA791">
            <v>0</v>
          </cell>
          <cell r="AB791">
            <v>0</v>
          </cell>
          <cell r="AC791">
            <v>0</v>
          </cell>
          <cell r="AD791">
            <v>4.2999999999999997E-2</v>
          </cell>
          <cell r="AE791">
            <v>0</v>
          </cell>
          <cell r="AF791">
            <v>0</v>
          </cell>
          <cell r="AG791">
            <v>0</v>
          </cell>
          <cell r="AH791">
            <v>0</v>
          </cell>
          <cell r="AI791">
            <v>0</v>
          </cell>
          <cell r="AJ791">
            <v>0</v>
          </cell>
          <cell r="AK791">
            <v>0</v>
          </cell>
          <cell r="AL791">
            <v>0</v>
          </cell>
        </row>
        <row r="792">
          <cell r="E792" t="str">
            <v>CE 22sq-4C</v>
          </cell>
          <cell r="F792" t="str">
            <v>ｍ</v>
          </cell>
          <cell r="G792">
            <v>0</v>
          </cell>
          <cell r="H792">
            <v>1157</v>
          </cell>
          <cell r="I792">
            <v>0</v>
          </cell>
          <cell r="J792">
            <v>1175</v>
          </cell>
          <cell r="K792">
            <v>0</v>
          </cell>
          <cell r="L792">
            <v>1175</v>
          </cell>
          <cell r="M792">
            <v>0</v>
          </cell>
          <cell r="N792">
            <v>1139</v>
          </cell>
          <cell r="O792">
            <v>0</v>
          </cell>
          <cell r="P792">
            <v>1112</v>
          </cell>
          <cell r="Q792">
            <v>0</v>
          </cell>
          <cell r="R792">
            <v>1157</v>
          </cell>
          <cell r="S792">
            <v>0</v>
          </cell>
          <cell r="T792">
            <v>1157</v>
          </cell>
          <cell r="U792">
            <v>0</v>
          </cell>
          <cell r="V792">
            <v>1175</v>
          </cell>
          <cell r="W792">
            <v>0</v>
          </cell>
          <cell r="X792">
            <v>1139</v>
          </cell>
          <cell r="Y792">
            <v>0</v>
          </cell>
          <cell r="Z792">
            <v>1175</v>
          </cell>
          <cell r="AA792">
            <v>0</v>
          </cell>
          <cell r="AB792">
            <v>0</v>
          </cell>
          <cell r="AC792">
            <v>0</v>
          </cell>
          <cell r="AD792">
            <v>5.6000000000000001E-2</v>
          </cell>
          <cell r="AE792">
            <v>0</v>
          </cell>
          <cell r="AF792">
            <v>0</v>
          </cell>
          <cell r="AG792">
            <v>0</v>
          </cell>
          <cell r="AH792">
            <v>0</v>
          </cell>
          <cell r="AI792">
            <v>0</v>
          </cell>
          <cell r="AJ792">
            <v>0</v>
          </cell>
          <cell r="AK792">
            <v>0</v>
          </cell>
          <cell r="AL792">
            <v>0</v>
          </cell>
        </row>
        <row r="793">
          <cell r="E793" t="str">
            <v>CE 38sq-4C</v>
          </cell>
          <cell r="F793" t="str">
            <v>ｍ</v>
          </cell>
          <cell r="G793">
            <v>0</v>
          </cell>
          <cell r="H793">
            <v>1853</v>
          </cell>
          <cell r="I793">
            <v>0</v>
          </cell>
          <cell r="J793">
            <v>1882</v>
          </cell>
          <cell r="K793">
            <v>0</v>
          </cell>
          <cell r="L793">
            <v>1882</v>
          </cell>
          <cell r="M793">
            <v>0</v>
          </cell>
          <cell r="N793">
            <v>1824</v>
          </cell>
          <cell r="O793">
            <v>0</v>
          </cell>
          <cell r="P793">
            <v>1781</v>
          </cell>
          <cell r="Q793">
            <v>0</v>
          </cell>
          <cell r="R793">
            <v>1853</v>
          </cell>
          <cell r="S793">
            <v>0</v>
          </cell>
          <cell r="T793">
            <v>1853</v>
          </cell>
          <cell r="U793">
            <v>0</v>
          </cell>
          <cell r="V793">
            <v>1882</v>
          </cell>
          <cell r="W793">
            <v>0</v>
          </cell>
          <cell r="X793">
            <v>1824</v>
          </cell>
          <cell r="Y793">
            <v>0</v>
          </cell>
          <cell r="Z793">
            <v>1882</v>
          </cell>
          <cell r="AA793">
            <v>0</v>
          </cell>
          <cell r="AB793">
            <v>0</v>
          </cell>
          <cell r="AC793">
            <v>0</v>
          </cell>
          <cell r="AD793">
            <v>7.3999999999999996E-2</v>
          </cell>
          <cell r="AE793">
            <v>0</v>
          </cell>
          <cell r="AF793">
            <v>0</v>
          </cell>
          <cell r="AG793">
            <v>0</v>
          </cell>
          <cell r="AH793">
            <v>0</v>
          </cell>
          <cell r="AI793">
            <v>0</v>
          </cell>
          <cell r="AJ793">
            <v>0</v>
          </cell>
          <cell r="AK793">
            <v>0</v>
          </cell>
          <cell r="AL793">
            <v>0</v>
          </cell>
        </row>
        <row r="794">
          <cell r="E794" t="str">
            <v>CE 60sq-4C</v>
          </cell>
          <cell r="F794" t="str">
            <v>ｍ</v>
          </cell>
          <cell r="G794">
            <v>0</v>
          </cell>
          <cell r="H794">
            <v>3202</v>
          </cell>
          <cell r="I794">
            <v>0</v>
          </cell>
          <cell r="J794">
            <v>3252</v>
          </cell>
          <cell r="K794">
            <v>0</v>
          </cell>
          <cell r="L794">
            <v>3252</v>
          </cell>
          <cell r="M794">
            <v>0</v>
          </cell>
          <cell r="N794">
            <v>3152</v>
          </cell>
          <cell r="O794">
            <v>0</v>
          </cell>
          <cell r="P794">
            <v>3077</v>
          </cell>
          <cell r="Q794">
            <v>0</v>
          </cell>
          <cell r="R794">
            <v>3202</v>
          </cell>
          <cell r="S794">
            <v>0</v>
          </cell>
          <cell r="T794">
            <v>3202</v>
          </cell>
          <cell r="U794">
            <v>0</v>
          </cell>
          <cell r="V794">
            <v>3252</v>
          </cell>
          <cell r="W794">
            <v>0</v>
          </cell>
          <cell r="X794">
            <v>3152</v>
          </cell>
          <cell r="Y794">
            <v>0</v>
          </cell>
          <cell r="Z794">
            <v>3252</v>
          </cell>
          <cell r="AA794">
            <v>0</v>
          </cell>
          <cell r="AB794">
            <v>0</v>
          </cell>
          <cell r="AC794">
            <v>0</v>
          </cell>
          <cell r="AD794">
            <v>9.8000000000000004E-2</v>
          </cell>
          <cell r="AE794">
            <v>0</v>
          </cell>
          <cell r="AF794">
            <v>0</v>
          </cell>
          <cell r="AG794">
            <v>0</v>
          </cell>
          <cell r="AH794">
            <v>0</v>
          </cell>
          <cell r="AI794">
            <v>0</v>
          </cell>
          <cell r="AJ794">
            <v>0</v>
          </cell>
          <cell r="AK794">
            <v>0</v>
          </cell>
          <cell r="AL794">
            <v>0</v>
          </cell>
        </row>
        <row r="795">
          <cell r="E795" t="str">
            <v>CE 100sq-4C</v>
          </cell>
          <cell r="F795" t="str">
            <v>ｍ</v>
          </cell>
          <cell r="G795">
            <v>0</v>
          </cell>
          <cell r="H795">
            <v>5240</v>
          </cell>
          <cell r="I795">
            <v>0</v>
          </cell>
          <cell r="J795">
            <v>5322</v>
          </cell>
          <cell r="K795">
            <v>0</v>
          </cell>
          <cell r="L795">
            <v>5322</v>
          </cell>
          <cell r="M795">
            <v>0</v>
          </cell>
          <cell r="N795">
            <v>5158</v>
          </cell>
          <cell r="O795">
            <v>0</v>
          </cell>
          <cell r="P795">
            <v>5035</v>
          </cell>
          <cell r="Q795">
            <v>0</v>
          </cell>
          <cell r="R795">
            <v>5240</v>
          </cell>
          <cell r="S795">
            <v>0</v>
          </cell>
          <cell r="T795">
            <v>5240</v>
          </cell>
          <cell r="U795">
            <v>0</v>
          </cell>
          <cell r="V795">
            <v>5322</v>
          </cell>
          <cell r="W795">
            <v>0</v>
          </cell>
          <cell r="X795">
            <v>5158</v>
          </cell>
          <cell r="Y795">
            <v>0</v>
          </cell>
          <cell r="Z795">
            <v>5322</v>
          </cell>
          <cell r="AA795">
            <v>0</v>
          </cell>
          <cell r="AB795">
            <v>0</v>
          </cell>
          <cell r="AC795">
            <v>0</v>
          </cell>
          <cell r="AD795">
            <v>0.13400000000000001</v>
          </cell>
          <cell r="AE795">
            <v>0</v>
          </cell>
          <cell r="AF795">
            <v>0</v>
          </cell>
          <cell r="AG795">
            <v>0</v>
          </cell>
          <cell r="AH795">
            <v>0</v>
          </cell>
          <cell r="AI795">
            <v>0</v>
          </cell>
          <cell r="AJ795">
            <v>0</v>
          </cell>
          <cell r="AK795">
            <v>0</v>
          </cell>
          <cell r="AL795">
            <v>0</v>
          </cell>
        </row>
        <row r="796">
          <cell r="E796" t="str">
            <v>CE 150sq-4C</v>
          </cell>
          <cell r="F796" t="str">
            <v>ｍ</v>
          </cell>
          <cell r="G796">
            <v>0</v>
          </cell>
          <cell r="H796">
            <v>7651</v>
          </cell>
          <cell r="I796">
            <v>0</v>
          </cell>
          <cell r="J796">
            <v>7771</v>
          </cell>
          <cell r="K796">
            <v>0</v>
          </cell>
          <cell r="L796">
            <v>7771</v>
          </cell>
          <cell r="M796">
            <v>0</v>
          </cell>
          <cell r="N796">
            <v>7532</v>
          </cell>
          <cell r="O796">
            <v>0</v>
          </cell>
          <cell r="P796">
            <v>7352</v>
          </cell>
          <cell r="Q796">
            <v>0</v>
          </cell>
          <cell r="R796">
            <v>7651</v>
          </cell>
          <cell r="S796">
            <v>0</v>
          </cell>
          <cell r="T796">
            <v>7651</v>
          </cell>
          <cell r="U796">
            <v>0</v>
          </cell>
          <cell r="V796">
            <v>7771</v>
          </cell>
          <cell r="W796">
            <v>0</v>
          </cell>
          <cell r="X796">
            <v>7532</v>
          </cell>
          <cell r="Y796">
            <v>0</v>
          </cell>
          <cell r="Z796">
            <v>7771</v>
          </cell>
          <cell r="AA796">
            <v>0</v>
          </cell>
          <cell r="AB796">
            <v>0</v>
          </cell>
          <cell r="AC796">
            <v>0</v>
          </cell>
          <cell r="AD796">
            <v>0.16500000000000001</v>
          </cell>
          <cell r="AE796">
            <v>0</v>
          </cell>
          <cell r="AF796">
            <v>0</v>
          </cell>
          <cell r="AG796">
            <v>0</v>
          </cell>
          <cell r="AH796">
            <v>0</v>
          </cell>
          <cell r="AI796">
            <v>0</v>
          </cell>
          <cell r="AJ796">
            <v>0</v>
          </cell>
          <cell r="AK796">
            <v>0</v>
          </cell>
          <cell r="AL796">
            <v>0</v>
          </cell>
        </row>
        <row r="797">
          <cell r="E797" t="str">
            <v>CE 200sq-4C</v>
          </cell>
          <cell r="F797" t="str">
            <v>ｍ</v>
          </cell>
          <cell r="G797">
            <v>0</v>
          </cell>
          <cell r="H797">
            <v>9822</v>
          </cell>
          <cell r="I797">
            <v>0</v>
          </cell>
          <cell r="J797">
            <v>9976</v>
          </cell>
          <cell r="K797">
            <v>0</v>
          </cell>
          <cell r="L797">
            <v>9976</v>
          </cell>
          <cell r="M797">
            <v>0</v>
          </cell>
          <cell r="N797">
            <v>9669</v>
          </cell>
          <cell r="O797">
            <v>0</v>
          </cell>
          <cell r="P797">
            <v>9438</v>
          </cell>
          <cell r="Q797">
            <v>0</v>
          </cell>
          <cell r="R797">
            <v>9822</v>
          </cell>
          <cell r="S797">
            <v>0</v>
          </cell>
          <cell r="T797">
            <v>9822</v>
          </cell>
          <cell r="U797">
            <v>0</v>
          </cell>
          <cell r="V797">
            <v>9976</v>
          </cell>
          <cell r="W797">
            <v>0</v>
          </cell>
          <cell r="X797">
            <v>9669</v>
          </cell>
          <cell r="Y797">
            <v>0</v>
          </cell>
          <cell r="Z797">
            <v>9976</v>
          </cell>
          <cell r="AA797">
            <v>0</v>
          </cell>
          <cell r="AB797">
            <v>0</v>
          </cell>
          <cell r="AC797">
            <v>0</v>
          </cell>
          <cell r="AD797">
            <v>0.20399999999999999</v>
          </cell>
          <cell r="AE797">
            <v>0</v>
          </cell>
          <cell r="AF797">
            <v>0</v>
          </cell>
          <cell r="AG797">
            <v>0</v>
          </cell>
          <cell r="AH797">
            <v>0</v>
          </cell>
          <cell r="AI797">
            <v>0</v>
          </cell>
          <cell r="AJ797">
            <v>0</v>
          </cell>
          <cell r="AK797">
            <v>0</v>
          </cell>
          <cell r="AL797">
            <v>0</v>
          </cell>
        </row>
        <row r="798">
          <cell r="E798" t="str">
            <v>CE 250sq-4C</v>
          </cell>
          <cell r="F798" t="str">
            <v>ｍ</v>
          </cell>
          <cell r="G798">
            <v>0</v>
          </cell>
          <cell r="H798">
            <v>12472</v>
          </cell>
          <cell r="I798">
            <v>0</v>
          </cell>
          <cell r="J798">
            <v>12667</v>
          </cell>
          <cell r="K798">
            <v>0</v>
          </cell>
          <cell r="L798">
            <v>12667</v>
          </cell>
          <cell r="M798">
            <v>0</v>
          </cell>
          <cell r="N798">
            <v>12277</v>
          </cell>
          <cell r="O798">
            <v>0</v>
          </cell>
          <cell r="P798">
            <v>11985</v>
          </cell>
          <cell r="Q798">
            <v>0</v>
          </cell>
          <cell r="R798">
            <v>12472</v>
          </cell>
          <cell r="S798">
            <v>0</v>
          </cell>
          <cell r="T798">
            <v>12472</v>
          </cell>
          <cell r="U798">
            <v>0</v>
          </cell>
          <cell r="V798">
            <v>12667</v>
          </cell>
          <cell r="W798">
            <v>0</v>
          </cell>
          <cell r="X798">
            <v>12277</v>
          </cell>
          <cell r="Y798">
            <v>0</v>
          </cell>
          <cell r="Z798">
            <v>12667</v>
          </cell>
          <cell r="AA798">
            <v>0</v>
          </cell>
          <cell r="AB798">
            <v>0</v>
          </cell>
          <cell r="AC798">
            <v>0</v>
          </cell>
          <cell r="AD798">
            <v>0.23499999999999999</v>
          </cell>
          <cell r="AE798">
            <v>0</v>
          </cell>
          <cell r="AF798">
            <v>0</v>
          </cell>
          <cell r="AG798">
            <v>0</v>
          </cell>
          <cell r="AH798">
            <v>0</v>
          </cell>
          <cell r="AI798">
            <v>0</v>
          </cell>
          <cell r="AJ798">
            <v>0</v>
          </cell>
          <cell r="AK798">
            <v>0</v>
          </cell>
          <cell r="AL798">
            <v>0</v>
          </cell>
        </row>
        <row r="799">
          <cell r="E799" t="str">
            <v>CE 325sq-4C</v>
          </cell>
          <cell r="F799" t="str">
            <v>ｍ</v>
          </cell>
          <cell r="G799">
            <v>0</v>
          </cell>
          <cell r="H799">
            <v>16079</v>
          </cell>
          <cell r="I799">
            <v>0</v>
          </cell>
          <cell r="J799">
            <v>16330</v>
          </cell>
          <cell r="K799">
            <v>0</v>
          </cell>
          <cell r="L799">
            <v>16330</v>
          </cell>
          <cell r="M799">
            <v>0</v>
          </cell>
          <cell r="N799">
            <v>15827</v>
          </cell>
          <cell r="O799">
            <v>0</v>
          </cell>
          <cell r="P799">
            <v>15451</v>
          </cell>
          <cell r="Q799">
            <v>0</v>
          </cell>
          <cell r="R799">
            <v>16079</v>
          </cell>
          <cell r="S799">
            <v>0</v>
          </cell>
          <cell r="T799">
            <v>16079</v>
          </cell>
          <cell r="U799">
            <v>0</v>
          </cell>
          <cell r="V799">
            <v>16330</v>
          </cell>
          <cell r="W799">
            <v>0</v>
          </cell>
          <cell r="X799">
            <v>15827</v>
          </cell>
          <cell r="Y799">
            <v>0</v>
          </cell>
          <cell r="Z799">
            <v>16330</v>
          </cell>
          <cell r="AA799">
            <v>0</v>
          </cell>
          <cell r="AB799">
            <v>0</v>
          </cell>
          <cell r="AC799">
            <v>0</v>
          </cell>
          <cell r="AD799">
            <v>0.29699999999999999</v>
          </cell>
          <cell r="AE799">
            <v>0</v>
          </cell>
          <cell r="AF799">
            <v>0</v>
          </cell>
          <cell r="AG799">
            <v>0</v>
          </cell>
          <cell r="AH799">
            <v>0</v>
          </cell>
          <cell r="AI799">
            <v>0</v>
          </cell>
          <cell r="AJ799">
            <v>0</v>
          </cell>
          <cell r="AK799">
            <v>0</v>
          </cell>
          <cell r="AL799">
            <v>0</v>
          </cell>
        </row>
        <row r="800">
          <cell r="E800" t="str">
            <v>CVD 14sq</v>
          </cell>
          <cell r="F800" t="str">
            <v>ｍ</v>
          </cell>
          <cell r="G800">
            <v>0</v>
          </cell>
          <cell r="H800">
            <v>353</v>
          </cell>
          <cell r="I800">
            <v>0</v>
          </cell>
          <cell r="J800">
            <v>359</v>
          </cell>
          <cell r="K800">
            <v>0</v>
          </cell>
          <cell r="L800">
            <v>359</v>
          </cell>
          <cell r="M800">
            <v>0</v>
          </cell>
          <cell r="N800">
            <v>348</v>
          </cell>
          <cell r="O800">
            <v>0</v>
          </cell>
          <cell r="P800">
            <v>339</v>
          </cell>
          <cell r="Q800">
            <v>0</v>
          </cell>
          <cell r="R800">
            <v>353</v>
          </cell>
          <cell r="S800">
            <v>0</v>
          </cell>
          <cell r="T800">
            <v>353</v>
          </cell>
          <cell r="U800">
            <v>0</v>
          </cell>
          <cell r="V800">
            <v>359</v>
          </cell>
          <cell r="W800">
            <v>0</v>
          </cell>
          <cell r="X800">
            <v>348</v>
          </cell>
          <cell r="Y800">
            <v>0</v>
          </cell>
          <cell r="Z800">
            <v>359</v>
          </cell>
          <cell r="AA800">
            <v>0</v>
          </cell>
          <cell r="AB800">
            <v>0</v>
          </cell>
          <cell r="AC800">
            <v>0</v>
          </cell>
          <cell r="AD800">
            <v>2.9000000000000001E-2</v>
          </cell>
          <cell r="AE800">
            <v>0</v>
          </cell>
          <cell r="AF800">
            <v>0</v>
          </cell>
          <cell r="AG800">
            <v>0</v>
          </cell>
          <cell r="AH800">
            <v>0</v>
          </cell>
          <cell r="AI800">
            <v>0</v>
          </cell>
          <cell r="AJ800">
            <v>0</v>
          </cell>
          <cell r="AK800">
            <v>0</v>
          </cell>
          <cell r="AL800">
            <v>0</v>
          </cell>
        </row>
        <row r="801">
          <cell r="E801" t="str">
            <v>CVD 22sq</v>
          </cell>
          <cell r="F801" t="str">
            <v>ｍ</v>
          </cell>
          <cell r="G801">
            <v>0</v>
          </cell>
          <cell r="H801">
            <v>526</v>
          </cell>
          <cell r="I801">
            <v>0</v>
          </cell>
          <cell r="J801">
            <v>534</v>
          </cell>
          <cell r="K801">
            <v>0</v>
          </cell>
          <cell r="L801">
            <v>534</v>
          </cell>
          <cell r="M801">
            <v>0</v>
          </cell>
          <cell r="N801">
            <v>518</v>
          </cell>
          <cell r="O801">
            <v>0</v>
          </cell>
          <cell r="P801">
            <v>506</v>
          </cell>
          <cell r="Q801">
            <v>0</v>
          </cell>
          <cell r="R801">
            <v>526</v>
          </cell>
          <cell r="S801">
            <v>0</v>
          </cell>
          <cell r="T801">
            <v>526</v>
          </cell>
          <cell r="U801">
            <v>0</v>
          </cell>
          <cell r="V801">
            <v>534</v>
          </cell>
          <cell r="W801">
            <v>0</v>
          </cell>
          <cell r="X801">
            <v>518</v>
          </cell>
          <cell r="Y801">
            <v>0</v>
          </cell>
          <cell r="Z801">
            <v>534</v>
          </cell>
          <cell r="AA801">
            <v>0</v>
          </cell>
          <cell r="AB801">
            <v>0</v>
          </cell>
          <cell r="AC801">
            <v>0</v>
          </cell>
          <cell r="AD801">
            <v>3.6999999999999998E-2</v>
          </cell>
          <cell r="AE801">
            <v>0</v>
          </cell>
          <cell r="AF801">
            <v>0</v>
          </cell>
          <cell r="AG801">
            <v>0</v>
          </cell>
          <cell r="AH801">
            <v>0</v>
          </cell>
          <cell r="AI801">
            <v>0</v>
          </cell>
          <cell r="AJ801">
            <v>0</v>
          </cell>
          <cell r="AK801">
            <v>0</v>
          </cell>
          <cell r="AL801">
            <v>0</v>
          </cell>
        </row>
        <row r="802">
          <cell r="E802" t="str">
            <v>CVD 38sq</v>
          </cell>
          <cell r="F802" t="str">
            <v>ｍ</v>
          </cell>
          <cell r="G802">
            <v>0</v>
          </cell>
          <cell r="H802">
            <v>856</v>
          </cell>
          <cell r="I802">
            <v>0</v>
          </cell>
          <cell r="J802">
            <v>870</v>
          </cell>
          <cell r="K802">
            <v>0</v>
          </cell>
          <cell r="L802">
            <v>870</v>
          </cell>
          <cell r="M802">
            <v>0</v>
          </cell>
          <cell r="N802">
            <v>843</v>
          </cell>
          <cell r="O802">
            <v>0</v>
          </cell>
          <cell r="P802">
            <v>823</v>
          </cell>
          <cell r="Q802">
            <v>0</v>
          </cell>
          <cell r="R802">
            <v>856</v>
          </cell>
          <cell r="S802">
            <v>0</v>
          </cell>
          <cell r="T802">
            <v>856</v>
          </cell>
          <cell r="U802">
            <v>0</v>
          </cell>
          <cell r="V802">
            <v>870</v>
          </cell>
          <cell r="W802">
            <v>0</v>
          </cell>
          <cell r="X802">
            <v>843</v>
          </cell>
          <cell r="Y802">
            <v>0</v>
          </cell>
          <cell r="Z802">
            <v>870</v>
          </cell>
          <cell r="AA802">
            <v>0</v>
          </cell>
          <cell r="AB802">
            <v>0</v>
          </cell>
          <cell r="AC802">
            <v>0</v>
          </cell>
          <cell r="AD802">
            <v>0.05</v>
          </cell>
          <cell r="AE802">
            <v>0</v>
          </cell>
          <cell r="AF802">
            <v>0</v>
          </cell>
          <cell r="AG802">
            <v>0</v>
          </cell>
          <cell r="AH802">
            <v>0</v>
          </cell>
          <cell r="AI802">
            <v>0</v>
          </cell>
          <cell r="AJ802">
            <v>0</v>
          </cell>
          <cell r="AK802">
            <v>0</v>
          </cell>
          <cell r="AL802">
            <v>0</v>
          </cell>
        </row>
        <row r="803">
          <cell r="E803" t="str">
            <v>CVD 60sq</v>
          </cell>
          <cell r="F803" t="str">
            <v>ｍ</v>
          </cell>
          <cell r="G803">
            <v>0</v>
          </cell>
          <cell r="H803">
            <v>1309</v>
          </cell>
          <cell r="I803">
            <v>0</v>
          </cell>
          <cell r="J803">
            <v>1330</v>
          </cell>
          <cell r="K803">
            <v>0</v>
          </cell>
          <cell r="L803">
            <v>1330</v>
          </cell>
          <cell r="M803">
            <v>0</v>
          </cell>
          <cell r="N803">
            <v>1289</v>
          </cell>
          <cell r="O803">
            <v>0</v>
          </cell>
          <cell r="P803">
            <v>1258</v>
          </cell>
          <cell r="Q803">
            <v>0</v>
          </cell>
          <cell r="R803">
            <v>1309</v>
          </cell>
          <cell r="S803">
            <v>0</v>
          </cell>
          <cell r="T803">
            <v>1309</v>
          </cell>
          <cell r="U803">
            <v>0</v>
          </cell>
          <cell r="V803">
            <v>1330</v>
          </cell>
          <cell r="W803">
            <v>0</v>
          </cell>
          <cell r="X803">
            <v>1289</v>
          </cell>
          <cell r="Y803">
            <v>0</v>
          </cell>
          <cell r="Z803">
            <v>1330</v>
          </cell>
          <cell r="AA803">
            <v>0</v>
          </cell>
          <cell r="AB803">
            <v>0</v>
          </cell>
          <cell r="AC803">
            <v>0</v>
          </cell>
          <cell r="AD803">
            <v>6.5000000000000002E-2</v>
          </cell>
          <cell r="AE803">
            <v>0</v>
          </cell>
          <cell r="AF803">
            <v>0</v>
          </cell>
          <cell r="AG803">
            <v>0</v>
          </cell>
          <cell r="AH803">
            <v>0</v>
          </cell>
          <cell r="AI803">
            <v>0</v>
          </cell>
          <cell r="AJ803">
            <v>0</v>
          </cell>
          <cell r="AK803">
            <v>0</v>
          </cell>
          <cell r="AL803">
            <v>0</v>
          </cell>
        </row>
        <row r="804">
          <cell r="E804" t="str">
            <v>CVD 100sq</v>
          </cell>
          <cell r="F804" t="str">
            <v>ｍ</v>
          </cell>
          <cell r="G804">
            <v>0</v>
          </cell>
          <cell r="H804">
            <v>2193</v>
          </cell>
          <cell r="I804">
            <v>0</v>
          </cell>
          <cell r="J804">
            <v>2228</v>
          </cell>
          <cell r="K804">
            <v>0</v>
          </cell>
          <cell r="L804">
            <v>2228</v>
          </cell>
          <cell r="M804">
            <v>0</v>
          </cell>
          <cell r="N804">
            <v>2159</v>
          </cell>
          <cell r="O804">
            <v>0</v>
          </cell>
          <cell r="P804">
            <v>2108</v>
          </cell>
          <cell r="Q804">
            <v>0</v>
          </cell>
          <cell r="R804">
            <v>2193</v>
          </cell>
          <cell r="S804">
            <v>0</v>
          </cell>
          <cell r="T804">
            <v>2193</v>
          </cell>
          <cell r="U804">
            <v>0</v>
          </cell>
          <cell r="V804">
            <v>2228</v>
          </cell>
          <cell r="W804">
            <v>0</v>
          </cell>
          <cell r="X804">
            <v>2159</v>
          </cell>
          <cell r="Y804">
            <v>0</v>
          </cell>
          <cell r="Z804">
            <v>2228</v>
          </cell>
          <cell r="AA804">
            <v>0</v>
          </cell>
          <cell r="AB804">
            <v>0</v>
          </cell>
          <cell r="AC804">
            <v>0</v>
          </cell>
          <cell r="AD804">
            <v>0.09</v>
          </cell>
          <cell r="AE804">
            <v>0</v>
          </cell>
          <cell r="AF804">
            <v>0</v>
          </cell>
          <cell r="AG804">
            <v>0</v>
          </cell>
          <cell r="AH804">
            <v>0</v>
          </cell>
          <cell r="AI804">
            <v>0</v>
          </cell>
          <cell r="AJ804">
            <v>0</v>
          </cell>
          <cell r="AK804">
            <v>0</v>
          </cell>
          <cell r="AL804">
            <v>0</v>
          </cell>
        </row>
        <row r="805">
          <cell r="E805" t="str">
            <v>CVD 150sq</v>
          </cell>
          <cell r="F805" t="str">
            <v>ｍ</v>
          </cell>
          <cell r="G805">
            <v>0</v>
          </cell>
          <cell r="H805">
            <v>3250</v>
          </cell>
          <cell r="I805">
            <v>0</v>
          </cell>
          <cell r="J805">
            <v>3301</v>
          </cell>
          <cell r="K805">
            <v>0</v>
          </cell>
          <cell r="L805">
            <v>3301</v>
          </cell>
          <cell r="M805">
            <v>0</v>
          </cell>
          <cell r="N805">
            <v>3199</v>
          </cell>
          <cell r="O805">
            <v>0</v>
          </cell>
          <cell r="P805">
            <v>3123</v>
          </cell>
          <cell r="Q805">
            <v>0</v>
          </cell>
          <cell r="R805">
            <v>3250</v>
          </cell>
          <cell r="S805">
            <v>0</v>
          </cell>
          <cell r="T805">
            <v>3250</v>
          </cell>
          <cell r="U805">
            <v>0</v>
          </cell>
          <cell r="V805">
            <v>3301</v>
          </cell>
          <cell r="W805">
            <v>0</v>
          </cell>
          <cell r="X805">
            <v>3199</v>
          </cell>
          <cell r="Y805">
            <v>0</v>
          </cell>
          <cell r="Z805">
            <v>3301</v>
          </cell>
          <cell r="AA805">
            <v>0</v>
          </cell>
          <cell r="AB805">
            <v>0</v>
          </cell>
          <cell r="AC805">
            <v>0</v>
          </cell>
          <cell r="AD805">
            <v>0.11</v>
          </cell>
          <cell r="AE805">
            <v>0</v>
          </cell>
          <cell r="AF805">
            <v>0</v>
          </cell>
          <cell r="AG805">
            <v>0</v>
          </cell>
          <cell r="AH805">
            <v>0</v>
          </cell>
          <cell r="AI805">
            <v>0</v>
          </cell>
          <cell r="AJ805">
            <v>0</v>
          </cell>
          <cell r="AK805">
            <v>0</v>
          </cell>
          <cell r="AL805">
            <v>0</v>
          </cell>
        </row>
        <row r="806">
          <cell r="E806" t="str">
            <v>CVD 200sq</v>
          </cell>
          <cell r="F806" t="str">
            <v>ｍ</v>
          </cell>
          <cell r="G806">
            <v>0</v>
          </cell>
          <cell r="H806">
            <v>4335</v>
          </cell>
          <cell r="I806">
            <v>0</v>
          </cell>
          <cell r="J806">
            <v>4402</v>
          </cell>
          <cell r="K806">
            <v>0</v>
          </cell>
          <cell r="L806">
            <v>4402</v>
          </cell>
          <cell r="M806">
            <v>0</v>
          </cell>
          <cell r="N806">
            <v>4267</v>
          </cell>
          <cell r="O806">
            <v>0</v>
          </cell>
          <cell r="P806">
            <v>4165</v>
          </cell>
          <cell r="Q806">
            <v>0</v>
          </cell>
          <cell r="R806">
            <v>4335</v>
          </cell>
          <cell r="S806">
            <v>0</v>
          </cell>
          <cell r="T806">
            <v>4335</v>
          </cell>
          <cell r="U806">
            <v>0</v>
          </cell>
          <cell r="V806">
            <v>4402</v>
          </cell>
          <cell r="W806">
            <v>0</v>
          </cell>
          <cell r="X806">
            <v>4267</v>
          </cell>
          <cell r="Y806">
            <v>0</v>
          </cell>
          <cell r="Z806">
            <v>4402</v>
          </cell>
          <cell r="AA806">
            <v>0</v>
          </cell>
          <cell r="AB806">
            <v>0</v>
          </cell>
          <cell r="AC806">
            <v>0</v>
          </cell>
          <cell r="AD806">
            <v>0.13600000000000001</v>
          </cell>
          <cell r="AE806">
            <v>0</v>
          </cell>
          <cell r="AF806">
            <v>0</v>
          </cell>
          <cell r="AG806">
            <v>0</v>
          </cell>
          <cell r="AH806">
            <v>0</v>
          </cell>
          <cell r="AI806">
            <v>0</v>
          </cell>
          <cell r="AJ806">
            <v>0</v>
          </cell>
          <cell r="AK806">
            <v>0</v>
          </cell>
          <cell r="AL806">
            <v>0</v>
          </cell>
        </row>
        <row r="807">
          <cell r="E807" t="str">
            <v>CVD 250sq</v>
          </cell>
          <cell r="F807" t="str">
            <v>ｍ</v>
          </cell>
          <cell r="G807">
            <v>0</v>
          </cell>
          <cell r="H807">
            <v>5449</v>
          </cell>
          <cell r="I807">
            <v>0</v>
          </cell>
          <cell r="J807">
            <v>5534</v>
          </cell>
          <cell r="K807">
            <v>0</v>
          </cell>
          <cell r="L807">
            <v>5534</v>
          </cell>
          <cell r="M807">
            <v>0</v>
          </cell>
          <cell r="N807">
            <v>5364</v>
          </cell>
          <cell r="O807">
            <v>0</v>
          </cell>
          <cell r="P807">
            <v>5236</v>
          </cell>
          <cell r="Q807">
            <v>0</v>
          </cell>
          <cell r="R807">
            <v>5449</v>
          </cell>
          <cell r="S807">
            <v>0</v>
          </cell>
          <cell r="T807">
            <v>5449</v>
          </cell>
          <cell r="U807">
            <v>0</v>
          </cell>
          <cell r="V807">
            <v>5534</v>
          </cell>
          <cell r="W807">
            <v>0</v>
          </cell>
          <cell r="X807">
            <v>5364</v>
          </cell>
          <cell r="Y807">
            <v>0</v>
          </cell>
          <cell r="Z807">
            <v>5534</v>
          </cell>
          <cell r="AA807">
            <v>0</v>
          </cell>
          <cell r="AB807">
            <v>0</v>
          </cell>
          <cell r="AC807">
            <v>0</v>
          </cell>
          <cell r="AD807">
            <v>0.157</v>
          </cell>
          <cell r="AE807">
            <v>0</v>
          </cell>
          <cell r="AF807">
            <v>0</v>
          </cell>
          <cell r="AG807">
            <v>0</v>
          </cell>
          <cell r="AH807">
            <v>0</v>
          </cell>
          <cell r="AI807">
            <v>0</v>
          </cell>
          <cell r="AJ807">
            <v>0</v>
          </cell>
          <cell r="AK807">
            <v>0</v>
          </cell>
          <cell r="AL807">
            <v>0</v>
          </cell>
        </row>
        <row r="808">
          <cell r="E808" t="str">
            <v>CVT 14sq</v>
          </cell>
          <cell r="F808" t="str">
            <v>ｍ</v>
          </cell>
          <cell r="G808">
            <v>0</v>
          </cell>
          <cell r="H808">
            <v>508</v>
          </cell>
          <cell r="I808">
            <v>0</v>
          </cell>
          <cell r="J808">
            <v>516</v>
          </cell>
          <cell r="K808">
            <v>0</v>
          </cell>
          <cell r="L808">
            <v>516</v>
          </cell>
          <cell r="M808">
            <v>0</v>
          </cell>
          <cell r="N808">
            <v>500</v>
          </cell>
          <cell r="O808">
            <v>0</v>
          </cell>
          <cell r="P808">
            <v>488</v>
          </cell>
          <cell r="Q808">
            <v>0</v>
          </cell>
          <cell r="R808">
            <v>508</v>
          </cell>
          <cell r="S808">
            <v>0</v>
          </cell>
          <cell r="T808">
            <v>508</v>
          </cell>
          <cell r="U808">
            <v>0</v>
          </cell>
          <cell r="V808">
            <v>516</v>
          </cell>
          <cell r="W808">
            <v>0</v>
          </cell>
          <cell r="X808">
            <v>500</v>
          </cell>
          <cell r="Y808">
            <v>0</v>
          </cell>
          <cell r="Z808">
            <v>516</v>
          </cell>
          <cell r="AA808">
            <v>0</v>
          </cell>
          <cell r="AB808">
            <v>0</v>
          </cell>
          <cell r="AC808">
            <v>0</v>
          </cell>
          <cell r="AD808">
            <v>3.6999999999999998E-2</v>
          </cell>
          <cell r="AE808">
            <v>0</v>
          </cell>
          <cell r="AF808">
            <v>0</v>
          </cell>
          <cell r="AG808">
            <v>0</v>
          </cell>
          <cell r="AH808">
            <v>0</v>
          </cell>
          <cell r="AI808">
            <v>0</v>
          </cell>
          <cell r="AJ808">
            <v>0</v>
          </cell>
          <cell r="AK808">
            <v>0</v>
          </cell>
          <cell r="AL808">
            <v>0</v>
          </cell>
        </row>
        <row r="809">
          <cell r="E809" t="str">
            <v>CVT 22sq</v>
          </cell>
          <cell r="F809" t="str">
            <v>ｍ</v>
          </cell>
          <cell r="G809">
            <v>0</v>
          </cell>
          <cell r="H809">
            <v>763</v>
          </cell>
          <cell r="I809">
            <v>0</v>
          </cell>
          <cell r="J809">
            <v>775</v>
          </cell>
          <cell r="K809">
            <v>0</v>
          </cell>
          <cell r="L809">
            <v>775</v>
          </cell>
          <cell r="M809">
            <v>0</v>
          </cell>
          <cell r="N809">
            <v>751</v>
          </cell>
          <cell r="O809">
            <v>0</v>
          </cell>
          <cell r="P809">
            <v>733</v>
          </cell>
          <cell r="Q809">
            <v>0</v>
          </cell>
          <cell r="R809">
            <v>763</v>
          </cell>
          <cell r="S809">
            <v>0</v>
          </cell>
          <cell r="T809">
            <v>763</v>
          </cell>
          <cell r="U809">
            <v>0</v>
          </cell>
          <cell r="V809">
            <v>775</v>
          </cell>
          <cell r="W809">
            <v>0</v>
          </cell>
          <cell r="X809">
            <v>751</v>
          </cell>
          <cell r="Y809">
            <v>0</v>
          </cell>
          <cell r="Z809">
            <v>775</v>
          </cell>
          <cell r="AA809">
            <v>0</v>
          </cell>
          <cell r="AB809">
            <v>0</v>
          </cell>
          <cell r="AC809">
            <v>0</v>
          </cell>
          <cell r="AD809">
            <v>4.7E-2</v>
          </cell>
          <cell r="AE809">
            <v>0</v>
          </cell>
          <cell r="AF809">
            <v>0</v>
          </cell>
          <cell r="AG809">
            <v>0</v>
          </cell>
          <cell r="AH809">
            <v>0</v>
          </cell>
          <cell r="AI809">
            <v>0</v>
          </cell>
          <cell r="AJ809">
            <v>0</v>
          </cell>
          <cell r="AK809">
            <v>0</v>
          </cell>
          <cell r="AL809">
            <v>0</v>
          </cell>
        </row>
        <row r="810">
          <cell r="E810" t="str">
            <v>CVT 38sq</v>
          </cell>
          <cell r="F810" t="str">
            <v>ｍ</v>
          </cell>
          <cell r="G810">
            <v>0</v>
          </cell>
          <cell r="H810">
            <v>1256</v>
          </cell>
          <cell r="I810">
            <v>0</v>
          </cell>
          <cell r="J810">
            <v>1276</v>
          </cell>
          <cell r="K810">
            <v>0</v>
          </cell>
          <cell r="L810">
            <v>1276</v>
          </cell>
          <cell r="M810">
            <v>0</v>
          </cell>
          <cell r="N810">
            <v>1237</v>
          </cell>
          <cell r="O810">
            <v>0</v>
          </cell>
          <cell r="P810">
            <v>1207</v>
          </cell>
          <cell r="Q810">
            <v>0</v>
          </cell>
          <cell r="R810">
            <v>1256</v>
          </cell>
          <cell r="S810">
            <v>0</v>
          </cell>
          <cell r="T810">
            <v>1256</v>
          </cell>
          <cell r="U810">
            <v>0</v>
          </cell>
          <cell r="V810">
            <v>1276</v>
          </cell>
          <cell r="W810">
            <v>0</v>
          </cell>
          <cell r="X810">
            <v>1237</v>
          </cell>
          <cell r="Y810">
            <v>0</v>
          </cell>
          <cell r="Z810">
            <v>1276</v>
          </cell>
          <cell r="AA810">
            <v>0</v>
          </cell>
          <cell r="AB810">
            <v>0</v>
          </cell>
          <cell r="AC810">
            <v>0</v>
          </cell>
          <cell r="AD810">
            <v>6.2E-2</v>
          </cell>
          <cell r="AE810">
            <v>0</v>
          </cell>
          <cell r="AF810">
            <v>0</v>
          </cell>
          <cell r="AG810">
            <v>0</v>
          </cell>
          <cell r="AH810">
            <v>0</v>
          </cell>
          <cell r="AI810">
            <v>0</v>
          </cell>
          <cell r="AJ810">
            <v>0</v>
          </cell>
          <cell r="AK810">
            <v>0</v>
          </cell>
          <cell r="AL810">
            <v>0</v>
          </cell>
        </row>
        <row r="811">
          <cell r="E811" t="str">
            <v>CVT 60sq</v>
          </cell>
          <cell r="F811" t="str">
            <v>ｍ</v>
          </cell>
          <cell r="G811">
            <v>0</v>
          </cell>
          <cell r="H811">
            <v>1920</v>
          </cell>
          <cell r="I811">
            <v>0</v>
          </cell>
          <cell r="J811">
            <v>1950</v>
          </cell>
          <cell r="K811">
            <v>0</v>
          </cell>
          <cell r="L811">
            <v>1950</v>
          </cell>
          <cell r="M811">
            <v>0</v>
          </cell>
          <cell r="N811">
            <v>1890</v>
          </cell>
          <cell r="O811">
            <v>0</v>
          </cell>
          <cell r="P811">
            <v>1845</v>
          </cell>
          <cell r="Q811">
            <v>0</v>
          </cell>
          <cell r="R811">
            <v>1920</v>
          </cell>
          <cell r="S811">
            <v>0</v>
          </cell>
          <cell r="T811">
            <v>1920</v>
          </cell>
          <cell r="U811">
            <v>0</v>
          </cell>
          <cell r="V811">
            <v>1950</v>
          </cell>
          <cell r="W811">
            <v>0</v>
          </cell>
          <cell r="X811">
            <v>1890</v>
          </cell>
          <cell r="Y811">
            <v>0</v>
          </cell>
          <cell r="Z811">
            <v>1950</v>
          </cell>
          <cell r="AA811">
            <v>0</v>
          </cell>
          <cell r="AB811">
            <v>0</v>
          </cell>
          <cell r="AC811">
            <v>0</v>
          </cell>
          <cell r="AD811">
            <v>8.2000000000000003E-2</v>
          </cell>
          <cell r="AE811">
            <v>0</v>
          </cell>
          <cell r="AF811">
            <v>0</v>
          </cell>
          <cell r="AG811">
            <v>0</v>
          </cell>
          <cell r="AH811">
            <v>0</v>
          </cell>
          <cell r="AI811">
            <v>0</v>
          </cell>
          <cell r="AJ811">
            <v>0</v>
          </cell>
          <cell r="AK811">
            <v>0</v>
          </cell>
          <cell r="AL811">
            <v>0</v>
          </cell>
        </row>
        <row r="812">
          <cell r="E812" t="str">
            <v>CVT100sq</v>
          </cell>
          <cell r="F812" t="str">
            <v>ｍ</v>
          </cell>
          <cell r="G812">
            <v>0</v>
          </cell>
          <cell r="H812">
            <v>3233</v>
          </cell>
          <cell r="I812">
            <v>0</v>
          </cell>
          <cell r="J812">
            <v>3283</v>
          </cell>
          <cell r="K812">
            <v>0</v>
          </cell>
          <cell r="L812">
            <v>3283</v>
          </cell>
          <cell r="M812">
            <v>0</v>
          </cell>
          <cell r="N812">
            <v>3182</v>
          </cell>
          <cell r="O812">
            <v>0</v>
          </cell>
          <cell r="P812">
            <v>3106</v>
          </cell>
          <cell r="Q812">
            <v>0</v>
          </cell>
          <cell r="R812">
            <v>3233</v>
          </cell>
          <cell r="S812">
            <v>0</v>
          </cell>
          <cell r="T812">
            <v>3233</v>
          </cell>
          <cell r="U812">
            <v>0</v>
          </cell>
          <cell r="V812">
            <v>3283</v>
          </cell>
          <cell r="W812">
            <v>0</v>
          </cell>
          <cell r="X812">
            <v>3182</v>
          </cell>
          <cell r="Y812">
            <v>0</v>
          </cell>
          <cell r="Z812">
            <v>3283</v>
          </cell>
          <cell r="AA812">
            <v>0</v>
          </cell>
          <cell r="AB812">
            <v>0</v>
          </cell>
          <cell r="AC812">
            <v>0</v>
          </cell>
          <cell r="AD812">
            <v>0.112</v>
          </cell>
          <cell r="AE812">
            <v>0</v>
          </cell>
          <cell r="AF812">
            <v>0</v>
          </cell>
          <cell r="AG812">
            <v>0</v>
          </cell>
          <cell r="AH812">
            <v>0</v>
          </cell>
          <cell r="AI812">
            <v>0</v>
          </cell>
          <cell r="AJ812">
            <v>0</v>
          </cell>
          <cell r="AK812">
            <v>0</v>
          </cell>
          <cell r="AL812">
            <v>0</v>
          </cell>
        </row>
        <row r="813">
          <cell r="E813" t="str">
            <v>CVT150sq</v>
          </cell>
          <cell r="F813" t="str">
            <v>ｍ</v>
          </cell>
          <cell r="G813">
            <v>0</v>
          </cell>
          <cell r="H813">
            <v>4799</v>
          </cell>
          <cell r="I813">
            <v>0</v>
          </cell>
          <cell r="J813">
            <v>4874</v>
          </cell>
          <cell r="K813">
            <v>0</v>
          </cell>
          <cell r="L813">
            <v>4874</v>
          </cell>
          <cell r="M813">
            <v>0</v>
          </cell>
          <cell r="N813">
            <v>4724</v>
          </cell>
          <cell r="O813">
            <v>0</v>
          </cell>
          <cell r="P813">
            <v>4612</v>
          </cell>
          <cell r="Q813">
            <v>0</v>
          </cell>
          <cell r="R813">
            <v>4799</v>
          </cell>
          <cell r="S813">
            <v>0</v>
          </cell>
          <cell r="T813">
            <v>4799</v>
          </cell>
          <cell r="U813">
            <v>0</v>
          </cell>
          <cell r="V813">
            <v>4874</v>
          </cell>
          <cell r="W813">
            <v>0</v>
          </cell>
          <cell r="X813">
            <v>4724</v>
          </cell>
          <cell r="Y813">
            <v>0</v>
          </cell>
          <cell r="Z813">
            <v>4874</v>
          </cell>
          <cell r="AA813">
            <v>0</v>
          </cell>
          <cell r="AB813">
            <v>0</v>
          </cell>
          <cell r="AC813">
            <v>0</v>
          </cell>
          <cell r="AD813">
            <v>0.13700000000000001</v>
          </cell>
          <cell r="AE813">
            <v>0</v>
          </cell>
          <cell r="AF813">
            <v>0</v>
          </cell>
          <cell r="AG813">
            <v>0</v>
          </cell>
          <cell r="AH813">
            <v>0</v>
          </cell>
          <cell r="AI813">
            <v>0</v>
          </cell>
          <cell r="AJ813">
            <v>0</v>
          </cell>
          <cell r="AK813">
            <v>0</v>
          </cell>
          <cell r="AL813">
            <v>0</v>
          </cell>
        </row>
        <row r="814">
          <cell r="E814" t="str">
            <v>CVT200sq</v>
          </cell>
          <cell r="F814" t="str">
            <v>ｍ</v>
          </cell>
          <cell r="G814">
            <v>0</v>
          </cell>
          <cell r="H814">
            <v>6369</v>
          </cell>
          <cell r="I814">
            <v>0</v>
          </cell>
          <cell r="J814">
            <v>6469</v>
          </cell>
          <cell r="K814">
            <v>0</v>
          </cell>
          <cell r="L814">
            <v>6469</v>
          </cell>
          <cell r="M814">
            <v>0</v>
          </cell>
          <cell r="N814">
            <v>6270</v>
          </cell>
          <cell r="O814">
            <v>0</v>
          </cell>
          <cell r="P814">
            <v>6120</v>
          </cell>
          <cell r="Q814">
            <v>0</v>
          </cell>
          <cell r="R814">
            <v>6369</v>
          </cell>
          <cell r="S814">
            <v>0</v>
          </cell>
          <cell r="T814">
            <v>6369</v>
          </cell>
          <cell r="U814">
            <v>0</v>
          </cell>
          <cell r="V814">
            <v>6469</v>
          </cell>
          <cell r="W814">
            <v>0</v>
          </cell>
          <cell r="X814">
            <v>6270</v>
          </cell>
          <cell r="Y814">
            <v>0</v>
          </cell>
          <cell r="Z814">
            <v>6469</v>
          </cell>
          <cell r="AA814">
            <v>0</v>
          </cell>
          <cell r="AB814">
            <v>0</v>
          </cell>
          <cell r="AC814">
            <v>0</v>
          </cell>
          <cell r="AD814">
            <v>0.17</v>
          </cell>
          <cell r="AE814">
            <v>0</v>
          </cell>
          <cell r="AF814">
            <v>0</v>
          </cell>
          <cell r="AG814">
            <v>0</v>
          </cell>
          <cell r="AH814">
            <v>0</v>
          </cell>
          <cell r="AI814">
            <v>0</v>
          </cell>
          <cell r="AJ814">
            <v>0</v>
          </cell>
          <cell r="AK814">
            <v>0</v>
          </cell>
          <cell r="AL814">
            <v>0</v>
          </cell>
        </row>
        <row r="815">
          <cell r="E815" t="str">
            <v>CVT250sq</v>
          </cell>
          <cell r="F815" t="str">
            <v>ｍ</v>
          </cell>
          <cell r="G815">
            <v>0</v>
          </cell>
          <cell r="H815">
            <v>8013</v>
          </cell>
          <cell r="I815">
            <v>0</v>
          </cell>
          <cell r="J815">
            <v>8138</v>
          </cell>
          <cell r="K815">
            <v>0</v>
          </cell>
          <cell r="L815">
            <v>8138</v>
          </cell>
          <cell r="M815">
            <v>0</v>
          </cell>
          <cell r="N815">
            <v>7888</v>
          </cell>
          <cell r="O815">
            <v>0</v>
          </cell>
          <cell r="P815">
            <v>7700</v>
          </cell>
          <cell r="Q815">
            <v>0</v>
          </cell>
          <cell r="R815">
            <v>8013</v>
          </cell>
          <cell r="S815">
            <v>0</v>
          </cell>
          <cell r="T815">
            <v>8013</v>
          </cell>
          <cell r="U815">
            <v>0</v>
          </cell>
          <cell r="V815">
            <v>8138</v>
          </cell>
          <cell r="W815">
            <v>0</v>
          </cell>
          <cell r="X815">
            <v>7888</v>
          </cell>
          <cell r="Y815">
            <v>0</v>
          </cell>
          <cell r="Z815">
            <v>8138</v>
          </cell>
          <cell r="AA815">
            <v>0</v>
          </cell>
          <cell r="AB815">
            <v>0</v>
          </cell>
          <cell r="AC815">
            <v>0</v>
          </cell>
          <cell r="AD815">
            <v>0.19600000000000001</v>
          </cell>
          <cell r="AE815">
            <v>0</v>
          </cell>
          <cell r="AF815">
            <v>0</v>
          </cell>
          <cell r="AG815">
            <v>0</v>
          </cell>
          <cell r="AH815">
            <v>0</v>
          </cell>
          <cell r="AI815">
            <v>0</v>
          </cell>
          <cell r="AJ815">
            <v>0</v>
          </cell>
          <cell r="AK815">
            <v>0</v>
          </cell>
          <cell r="AL815">
            <v>0</v>
          </cell>
        </row>
        <row r="816">
          <cell r="E816" t="str">
            <v>CVT325sq</v>
          </cell>
          <cell r="F816" t="str">
            <v>ｍ</v>
          </cell>
          <cell r="G816">
            <v>0</v>
          </cell>
          <cell r="H816">
            <v>10349</v>
          </cell>
          <cell r="I816">
            <v>0</v>
          </cell>
          <cell r="J816">
            <v>10511</v>
          </cell>
          <cell r="K816">
            <v>0</v>
          </cell>
          <cell r="L816">
            <v>10511</v>
          </cell>
          <cell r="M816">
            <v>0</v>
          </cell>
          <cell r="N816">
            <v>10188</v>
          </cell>
          <cell r="O816">
            <v>0</v>
          </cell>
          <cell r="P816">
            <v>9945</v>
          </cell>
          <cell r="Q816">
            <v>0</v>
          </cell>
          <cell r="R816">
            <v>10349</v>
          </cell>
          <cell r="S816">
            <v>0</v>
          </cell>
          <cell r="T816">
            <v>10349</v>
          </cell>
          <cell r="U816">
            <v>0</v>
          </cell>
          <cell r="V816">
            <v>10511</v>
          </cell>
          <cell r="W816">
            <v>0</v>
          </cell>
          <cell r="X816">
            <v>10188</v>
          </cell>
          <cell r="Y816">
            <v>0</v>
          </cell>
          <cell r="Z816">
            <v>10511</v>
          </cell>
          <cell r="AA816">
            <v>0</v>
          </cell>
          <cell r="AB816">
            <v>0</v>
          </cell>
          <cell r="AC816">
            <v>0</v>
          </cell>
          <cell r="AD816">
            <v>0.248</v>
          </cell>
          <cell r="AE816">
            <v>0</v>
          </cell>
          <cell r="AF816">
            <v>0</v>
          </cell>
          <cell r="AG816">
            <v>0</v>
          </cell>
          <cell r="AH816">
            <v>0</v>
          </cell>
          <cell r="AI816">
            <v>0</v>
          </cell>
          <cell r="AJ816">
            <v>0</v>
          </cell>
          <cell r="AK816">
            <v>0</v>
          </cell>
          <cell r="AL816">
            <v>0</v>
          </cell>
        </row>
        <row r="817">
          <cell r="E817" t="str">
            <v>CVQ 14sq</v>
          </cell>
          <cell r="F817" t="str">
            <v>ｍ</v>
          </cell>
          <cell r="G817">
            <v>0</v>
          </cell>
          <cell r="H817">
            <v>673</v>
          </cell>
          <cell r="I817">
            <v>0</v>
          </cell>
          <cell r="J817">
            <v>683</v>
          </cell>
          <cell r="K817">
            <v>0</v>
          </cell>
          <cell r="L817">
            <v>683</v>
          </cell>
          <cell r="M817">
            <v>0</v>
          </cell>
          <cell r="N817">
            <v>662</v>
          </cell>
          <cell r="O817">
            <v>0</v>
          </cell>
          <cell r="P817">
            <v>646</v>
          </cell>
          <cell r="Q817">
            <v>0</v>
          </cell>
          <cell r="R817">
            <v>673</v>
          </cell>
          <cell r="S817">
            <v>0</v>
          </cell>
          <cell r="T817">
            <v>673</v>
          </cell>
          <cell r="U817">
            <v>0</v>
          </cell>
          <cell r="V817">
            <v>683</v>
          </cell>
          <cell r="W817">
            <v>0</v>
          </cell>
          <cell r="X817">
            <v>662</v>
          </cell>
          <cell r="Y817">
            <v>0</v>
          </cell>
          <cell r="Z817">
            <v>683</v>
          </cell>
          <cell r="AA817">
            <v>0</v>
          </cell>
          <cell r="AB817">
            <v>0</v>
          </cell>
          <cell r="AC817">
            <v>0</v>
          </cell>
          <cell r="AD817">
            <v>4.2999999999999997E-2</v>
          </cell>
          <cell r="AE817">
            <v>0</v>
          </cell>
          <cell r="AF817">
            <v>0</v>
          </cell>
          <cell r="AG817">
            <v>0</v>
          </cell>
          <cell r="AH817">
            <v>0</v>
          </cell>
          <cell r="AI817">
            <v>0</v>
          </cell>
          <cell r="AJ817">
            <v>0</v>
          </cell>
          <cell r="AK817">
            <v>0</v>
          </cell>
          <cell r="AL817">
            <v>0</v>
          </cell>
        </row>
        <row r="818">
          <cell r="E818" t="str">
            <v>CVQ 22sq</v>
          </cell>
          <cell r="F818" t="str">
            <v>ｍ</v>
          </cell>
          <cell r="G818">
            <v>0</v>
          </cell>
          <cell r="H818">
            <v>1010</v>
          </cell>
          <cell r="I818">
            <v>0</v>
          </cell>
          <cell r="J818">
            <v>1026</v>
          </cell>
          <cell r="K818">
            <v>0</v>
          </cell>
          <cell r="L818">
            <v>1026</v>
          </cell>
          <cell r="M818">
            <v>0</v>
          </cell>
          <cell r="N818">
            <v>994</v>
          </cell>
          <cell r="O818">
            <v>0</v>
          </cell>
          <cell r="P818">
            <v>970</v>
          </cell>
          <cell r="Q818">
            <v>0</v>
          </cell>
          <cell r="R818">
            <v>1010</v>
          </cell>
          <cell r="S818">
            <v>0</v>
          </cell>
          <cell r="T818">
            <v>1010</v>
          </cell>
          <cell r="U818">
            <v>0</v>
          </cell>
          <cell r="V818">
            <v>1026</v>
          </cell>
          <cell r="W818">
            <v>0</v>
          </cell>
          <cell r="X818">
            <v>994</v>
          </cell>
          <cell r="Y818">
            <v>0</v>
          </cell>
          <cell r="Z818">
            <v>1026</v>
          </cell>
          <cell r="AA818">
            <v>0</v>
          </cell>
          <cell r="AB818">
            <v>0</v>
          </cell>
          <cell r="AC818">
            <v>0</v>
          </cell>
          <cell r="AD818">
            <v>5.6000000000000001E-2</v>
          </cell>
          <cell r="AE818">
            <v>0</v>
          </cell>
          <cell r="AF818">
            <v>0</v>
          </cell>
          <cell r="AG818">
            <v>0</v>
          </cell>
          <cell r="AH818">
            <v>0</v>
          </cell>
          <cell r="AI818">
            <v>0</v>
          </cell>
          <cell r="AJ818">
            <v>0</v>
          </cell>
          <cell r="AK818">
            <v>0</v>
          </cell>
          <cell r="AL818">
            <v>0</v>
          </cell>
        </row>
        <row r="819">
          <cell r="E819" t="str">
            <v>CVQ 38sq</v>
          </cell>
          <cell r="F819" t="str">
            <v>ｍ</v>
          </cell>
          <cell r="G819">
            <v>0</v>
          </cell>
          <cell r="H819">
            <v>1667</v>
          </cell>
          <cell r="I819">
            <v>0</v>
          </cell>
          <cell r="J819">
            <v>1693</v>
          </cell>
          <cell r="K819">
            <v>0</v>
          </cell>
          <cell r="L819">
            <v>1693</v>
          </cell>
          <cell r="M819">
            <v>0</v>
          </cell>
          <cell r="N819">
            <v>1641</v>
          </cell>
          <cell r="O819">
            <v>0</v>
          </cell>
          <cell r="P819">
            <v>1602</v>
          </cell>
          <cell r="Q819">
            <v>0</v>
          </cell>
          <cell r="R819">
            <v>1667</v>
          </cell>
          <cell r="S819">
            <v>0</v>
          </cell>
          <cell r="T819">
            <v>1667</v>
          </cell>
          <cell r="U819">
            <v>0</v>
          </cell>
          <cell r="V819">
            <v>1693</v>
          </cell>
          <cell r="W819">
            <v>0</v>
          </cell>
          <cell r="X819">
            <v>1641</v>
          </cell>
          <cell r="Y819">
            <v>0</v>
          </cell>
          <cell r="Z819">
            <v>1693</v>
          </cell>
          <cell r="AA819">
            <v>0</v>
          </cell>
          <cell r="AB819">
            <v>0</v>
          </cell>
          <cell r="AC819">
            <v>0</v>
          </cell>
          <cell r="AD819">
            <v>7.3999999999999996E-2</v>
          </cell>
          <cell r="AE819">
            <v>0</v>
          </cell>
          <cell r="AF819">
            <v>0</v>
          </cell>
          <cell r="AG819">
            <v>0</v>
          </cell>
          <cell r="AH819">
            <v>0</v>
          </cell>
          <cell r="AI819">
            <v>0</v>
          </cell>
          <cell r="AJ819">
            <v>0</v>
          </cell>
          <cell r="AK819">
            <v>0</v>
          </cell>
          <cell r="AL819">
            <v>0</v>
          </cell>
        </row>
        <row r="820">
          <cell r="E820" t="str">
            <v>CVQ 60sq</v>
          </cell>
          <cell r="F820" t="str">
            <v>ｍ</v>
          </cell>
          <cell r="G820">
            <v>0</v>
          </cell>
          <cell r="H820">
            <v>2566</v>
          </cell>
          <cell r="I820">
            <v>0</v>
          </cell>
          <cell r="J820">
            <v>2607</v>
          </cell>
          <cell r="K820">
            <v>0</v>
          </cell>
          <cell r="L820">
            <v>2607</v>
          </cell>
          <cell r="M820">
            <v>0</v>
          </cell>
          <cell r="N820">
            <v>2526</v>
          </cell>
          <cell r="O820">
            <v>0</v>
          </cell>
          <cell r="P820">
            <v>2466</v>
          </cell>
          <cell r="Q820">
            <v>0</v>
          </cell>
          <cell r="R820">
            <v>2566</v>
          </cell>
          <cell r="S820">
            <v>0</v>
          </cell>
          <cell r="T820">
            <v>2566</v>
          </cell>
          <cell r="U820">
            <v>0</v>
          </cell>
          <cell r="V820">
            <v>2607</v>
          </cell>
          <cell r="W820">
            <v>0</v>
          </cell>
          <cell r="X820">
            <v>2526</v>
          </cell>
          <cell r="Y820">
            <v>0</v>
          </cell>
          <cell r="Z820">
            <v>2607</v>
          </cell>
          <cell r="AA820">
            <v>0</v>
          </cell>
          <cell r="AB820">
            <v>0</v>
          </cell>
          <cell r="AC820">
            <v>0</v>
          </cell>
          <cell r="AD820">
            <v>9.8000000000000004E-2</v>
          </cell>
          <cell r="AE820">
            <v>0</v>
          </cell>
          <cell r="AF820">
            <v>0</v>
          </cell>
          <cell r="AG820">
            <v>0</v>
          </cell>
          <cell r="AH820">
            <v>0</v>
          </cell>
          <cell r="AI820">
            <v>0</v>
          </cell>
          <cell r="AJ820">
            <v>0</v>
          </cell>
          <cell r="AK820">
            <v>0</v>
          </cell>
          <cell r="AL820">
            <v>0</v>
          </cell>
        </row>
        <row r="821">
          <cell r="E821" t="str">
            <v>CVQ 100sq</v>
          </cell>
          <cell r="F821" t="str">
            <v>ｍ</v>
          </cell>
          <cell r="G821">
            <v>0</v>
          </cell>
          <cell r="H821">
            <v>4292</v>
          </cell>
          <cell r="I821">
            <v>0</v>
          </cell>
          <cell r="J821">
            <v>4360</v>
          </cell>
          <cell r="K821">
            <v>0</v>
          </cell>
          <cell r="L821">
            <v>4360</v>
          </cell>
          <cell r="M821">
            <v>0</v>
          </cell>
          <cell r="N821">
            <v>4225</v>
          </cell>
          <cell r="O821">
            <v>0</v>
          </cell>
          <cell r="P821">
            <v>4125</v>
          </cell>
          <cell r="Q821">
            <v>0</v>
          </cell>
          <cell r="R821">
            <v>4292</v>
          </cell>
          <cell r="S821">
            <v>0</v>
          </cell>
          <cell r="T821">
            <v>4292</v>
          </cell>
          <cell r="U821">
            <v>0</v>
          </cell>
          <cell r="V821">
            <v>4360</v>
          </cell>
          <cell r="W821">
            <v>0</v>
          </cell>
          <cell r="X821">
            <v>4225</v>
          </cell>
          <cell r="Y821">
            <v>0</v>
          </cell>
          <cell r="Z821">
            <v>4360</v>
          </cell>
          <cell r="AA821">
            <v>0</v>
          </cell>
          <cell r="AB821">
            <v>0</v>
          </cell>
          <cell r="AC821">
            <v>0</v>
          </cell>
          <cell r="AD821">
            <v>0.13400000000000001</v>
          </cell>
          <cell r="AE821">
            <v>0</v>
          </cell>
          <cell r="AF821">
            <v>0</v>
          </cell>
          <cell r="AG821">
            <v>0</v>
          </cell>
          <cell r="AH821">
            <v>0</v>
          </cell>
          <cell r="AI821">
            <v>0</v>
          </cell>
          <cell r="AJ821">
            <v>0</v>
          </cell>
          <cell r="AK821">
            <v>0</v>
          </cell>
          <cell r="AL821">
            <v>0</v>
          </cell>
        </row>
        <row r="822">
          <cell r="E822" t="str">
            <v>CVQ 150sq</v>
          </cell>
          <cell r="F822" t="str">
            <v>ｍ</v>
          </cell>
          <cell r="G822">
            <v>0</v>
          </cell>
          <cell r="H822">
            <v>6376</v>
          </cell>
          <cell r="I822">
            <v>0</v>
          </cell>
          <cell r="J822">
            <v>6475</v>
          </cell>
          <cell r="K822">
            <v>0</v>
          </cell>
          <cell r="L822">
            <v>6475</v>
          </cell>
          <cell r="M822">
            <v>0</v>
          </cell>
          <cell r="N822">
            <v>6276</v>
          </cell>
          <cell r="O822">
            <v>0</v>
          </cell>
          <cell r="P822">
            <v>6127</v>
          </cell>
          <cell r="Q822">
            <v>0</v>
          </cell>
          <cell r="R822">
            <v>6376</v>
          </cell>
          <cell r="S822">
            <v>0</v>
          </cell>
          <cell r="T822">
            <v>6376</v>
          </cell>
          <cell r="U822">
            <v>0</v>
          </cell>
          <cell r="V822">
            <v>6475</v>
          </cell>
          <cell r="W822">
            <v>0</v>
          </cell>
          <cell r="X822">
            <v>6276</v>
          </cell>
          <cell r="Y822">
            <v>0</v>
          </cell>
          <cell r="Z822">
            <v>6475</v>
          </cell>
          <cell r="AA822">
            <v>0</v>
          </cell>
          <cell r="AB822">
            <v>0</v>
          </cell>
          <cell r="AC822">
            <v>0</v>
          </cell>
          <cell r="AD822">
            <v>0.16500000000000001</v>
          </cell>
          <cell r="AE822">
            <v>0</v>
          </cell>
          <cell r="AF822">
            <v>0</v>
          </cell>
          <cell r="AG822">
            <v>0</v>
          </cell>
          <cell r="AH822">
            <v>0</v>
          </cell>
          <cell r="AI822">
            <v>0</v>
          </cell>
          <cell r="AJ822">
            <v>0</v>
          </cell>
          <cell r="AK822">
            <v>0</v>
          </cell>
          <cell r="AL822">
            <v>0</v>
          </cell>
        </row>
        <row r="823">
          <cell r="E823" t="str">
            <v>CVQ 200sq</v>
          </cell>
          <cell r="F823" t="str">
            <v>ｍ</v>
          </cell>
          <cell r="G823">
            <v>0</v>
          </cell>
          <cell r="H823">
            <v>8467</v>
          </cell>
          <cell r="I823">
            <v>0</v>
          </cell>
          <cell r="J823">
            <v>8599</v>
          </cell>
          <cell r="K823">
            <v>0</v>
          </cell>
          <cell r="L823">
            <v>8599</v>
          </cell>
          <cell r="M823">
            <v>0</v>
          </cell>
          <cell r="N823">
            <v>8334</v>
          </cell>
          <cell r="O823">
            <v>0</v>
          </cell>
          <cell r="P823">
            <v>8136</v>
          </cell>
          <cell r="Q823">
            <v>0</v>
          </cell>
          <cell r="R823">
            <v>8467</v>
          </cell>
          <cell r="S823">
            <v>0</v>
          </cell>
          <cell r="T823">
            <v>8467</v>
          </cell>
          <cell r="U823">
            <v>0</v>
          </cell>
          <cell r="V823">
            <v>8599</v>
          </cell>
          <cell r="W823">
            <v>0</v>
          </cell>
          <cell r="X823">
            <v>8334</v>
          </cell>
          <cell r="Y823">
            <v>0</v>
          </cell>
          <cell r="Z823">
            <v>8599</v>
          </cell>
          <cell r="AA823">
            <v>0</v>
          </cell>
          <cell r="AB823">
            <v>0</v>
          </cell>
          <cell r="AC823">
            <v>0</v>
          </cell>
          <cell r="AD823">
            <v>0.20399999999999999</v>
          </cell>
          <cell r="AE823">
            <v>0</v>
          </cell>
          <cell r="AF823">
            <v>0</v>
          </cell>
          <cell r="AG823">
            <v>0</v>
          </cell>
          <cell r="AH823">
            <v>0</v>
          </cell>
          <cell r="AI823">
            <v>0</v>
          </cell>
          <cell r="AJ823">
            <v>0</v>
          </cell>
          <cell r="AK823">
            <v>0</v>
          </cell>
          <cell r="AL823">
            <v>0</v>
          </cell>
        </row>
        <row r="824">
          <cell r="E824" t="str">
            <v>CVQ 250sq</v>
          </cell>
          <cell r="F824" t="str">
            <v>ｍ</v>
          </cell>
          <cell r="G824">
            <v>0</v>
          </cell>
          <cell r="H824">
            <v>10652</v>
          </cell>
          <cell r="I824">
            <v>0</v>
          </cell>
          <cell r="J824">
            <v>10818</v>
          </cell>
          <cell r="K824">
            <v>0</v>
          </cell>
          <cell r="L824">
            <v>10818</v>
          </cell>
          <cell r="M824">
            <v>0</v>
          </cell>
          <cell r="N824">
            <v>10485</v>
          </cell>
          <cell r="O824">
            <v>0</v>
          </cell>
          <cell r="P824">
            <v>10235</v>
          </cell>
          <cell r="Q824">
            <v>0</v>
          </cell>
          <cell r="R824">
            <v>10652</v>
          </cell>
          <cell r="S824">
            <v>0</v>
          </cell>
          <cell r="T824">
            <v>10652</v>
          </cell>
          <cell r="U824">
            <v>0</v>
          </cell>
          <cell r="V824">
            <v>10818</v>
          </cell>
          <cell r="W824">
            <v>0</v>
          </cell>
          <cell r="X824">
            <v>10485</v>
          </cell>
          <cell r="Y824">
            <v>0</v>
          </cell>
          <cell r="Z824">
            <v>10818</v>
          </cell>
          <cell r="AA824">
            <v>0</v>
          </cell>
          <cell r="AB824">
            <v>0</v>
          </cell>
          <cell r="AC824">
            <v>0</v>
          </cell>
          <cell r="AD824">
            <v>0.23499999999999999</v>
          </cell>
          <cell r="AE824">
            <v>0</v>
          </cell>
          <cell r="AF824">
            <v>0</v>
          </cell>
          <cell r="AG824">
            <v>0</v>
          </cell>
          <cell r="AH824">
            <v>0</v>
          </cell>
          <cell r="AI824">
            <v>0</v>
          </cell>
          <cell r="AJ824">
            <v>0</v>
          </cell>
          <cell r="AK824">
            <v>0</v>
          </cell>
          <cell r="AL824">
            <v>0</v>
          </cell>
        </row>
        <row r="825">
          <cell r="E825" t="str">
            <v>CET 14sq</v>
          </cell>
          <cell r="F825" t="str">
            <v>ｍ</v>
          </cell>
          <cell r="G825">
            <v>0</v>
          </cell>
          <cell r="H825">
            <v>618</v>
          </cell>
          <cell r="I825">
            <v>0</v>
          </cell>
          <cell r="J825">
            <v>628</v>
          </cell>
          <cell r="K825">
            <v>0</v>
          </cell>
          <cell r="L825">
            <v>628</v>
          </cell>
          <cell r="M825">
            <v>0</v>
          </cell>
          <cell r="N825">
            <v>609</v>
          </cell>
          <cell r="O825">
            <v>0</v>
          </cell>
          <cell r="P825">
            <v>594</v>
          </cell>
          <cell r="Q825">
            <v>0</v>
          </cell>
          <cell r="R825">
            <v>618</v>
          </cell>
          <cell r="S825">
            <v>0</v>
          </cell>
          <cell r="T825">
            <v>618</v>
          </cell>
          <cell r="U825">
            <v>0</v>
          </cell>
          <cell r="V825">
            <v>628</v>
          </cell>
          <cell r="W825">
            <v>0</v>
          </cell>
          <cell r="X825">
            <v>609</v>
          </cell>
          <cell r="Y825">
            <v>0</v>
          </cell>
          <cell r="Z825">
            <v>628</v>
          </cell>
          <cell r="AA825">
            <v>0</v>
          </cell>
          <cell r="AB825">
            <v>0</v>
          </cell>
          <cell r="AC825">
            <v>0</v>
          </cell>
          <cell r="AD825">
            <v>3.6999999999999998E-2</v>
          </cell>
          <cell r="AE825">
            <v>0</v>
          </cell>
          <cell r="AF825">
            <v>0</v>
          </cell>
          <cell r="AG825">
            <v>0</v>
          </cell>
          <cell r="AH825">
            <v>0</v>
          </cell>
          <cell r="AI825">
            <v>0</v>
          </cell>
          <cell r="AJ825">
            <v>0</v>
          </cell>
          <cell r="AK825">
            <v>0</v>
          </cell>
          <cell r="AL825">
            <v>0</v>
          </cell>
        </row>
        <row r="826">
          <cell r="E826" t="str">
            <v>CET 22sq</v>
          </cell>
          <cell r="F826" t="str">
            <v>ｍ</v>
          </cell>
          <cell r="G826">
            <v>0</v>
          </cell>
          <cell r="H826">
            <v>891</v>
          </cell>
          <cell r="I826">
            <v>0</v>
          </cell>
          <cell r="J826">
            <v>905</v>
          </cell>
          <cell r="K826">
            <v>0</v>
          </cell>
          <cell r="L826">
            <v>905</v>
          </cell>
          <cell r="M826">
            <v>0</v>
          </cell>
          <cell r="N826">
            <v>877</v>
          </cell>
          <cell r="O826">
            <v>0</v>
          </cell>
          <cell r="P826">
            <v>856</v>
          </cell>
          <cell r="Q826">
            <v>0</v>
          </cell>
          <cell r="R826">
            <v>891</v>
          </cell>
          <cell r="S826">
            <v>0</v>
          </cell>
          <cell r="T826">
            <v>891</v>
          </cell>
          <cell r="U826">
            <v>0</v>
          </cell>
          <cell r="V826">
            <v>905</v>
          </cell>
          <cell r="W826">
            <v>0</v>
          </cell>
          <cell r="X826">
            <v>877</v>
          </cell>
          <cell r="Y826">
            <v>0</v>
          </cell>
          <cell r="Z826">
            <v>905</v>
          </cell>
          <cell r="AA826">
            <v>0</v>
          </cell>
          <cell r="AB826">
            <v>0</v>
          </cell>
          <cell r="AC826">
            <v>0</v>
          </cell>
          <cell r="AD826">
            <v>4.7E-2</v>
          </cell>
          <cell r="AE826">
            <v>0</v>
          </cell>
          <cell r="AF826">
            <v>0</v>
          </cell>
          <cell r="AG826">
            <v>0</v>
          </cell>
          <cell r="AH826">
            <v>0</v>
          </cell>
          <cell r="AI826">
            <v>0</v>
          </cell>
          <cell r="AJ826">
            <v>0</v>
          </cell>
          <cell r="AK826">
            <v>0</v>
          </cell>
          <cell r="AL826">
            <v>0</v>
          </cell>
        </row>
        <row r="827">
          <cell r="E827" t="str">
            <v>CET 38sq</v>
          </cell>
          <cell r="F827" t="str">
            <v>ｍ</v>
          </cell>
          <cell r="G827">
            <v>0</v>
          </cell>
          <cell r="H827">
            <v>1418</v>
          </cell>
          <cell r="I827">
            <v>0</v>
          </cell>
          <cell r="J827">
            <v>1440</v>
          </cell>
          <cell r="K827">
            <v>0</v>
          </cell>
          <cell r="L827">
            <v>1440</v>
          </cell>
          <cell r="M827">
            <v>0</v>
          </cell>
          <cell r="N827">
            <v>1396</v>
          </cell>
          <cell r="O827">
            <v>0</v>
          </cell>
          <cell r="P827">
            <v>1363</v>
          </cell>
          <cell r="Q827">
            <v>0</v>
          </cell>
          <cell r="R827">
            <v>1418</v>
          </cell>
          <cell r="S827">
            <v>0</v>
          </cell>
          <cell r="T827">
            <v>1418</v>
          </cell>
          <cell r="U827">
            <v>0</v>
          </cell>
          <cell r="V827">
            <v>1440</v>
          </cell>
          <cell r="W827">
            <v>0</v>
          </cell>
          <cell r="X827">
            <v>1396</v>
          </cell>
          <cell r="Y827">
            <v>0</v>
          </cell>
          <cell r="Z827">
            <v>1440</v>
          </cell>
          <cell r="AA827">
            <v>0</v>
          </cell>
          <cell r="AB827">
            <v>0</v>
          </cell>
          <cell r="AC827">
            <v>0</v>
          </cell>
          <cell r="AD827">
            <v>6.2E-2</v>
          </cell>
          <cell r="AE827">
            <v>0</v>
          </cell>
          <cell r="AF827">
            <v>0</v>
          </cell>
          <cell r="AG827">
            <v>0</v>
          </cell>
          <cell r="AH827">
            <v>0</v>
          </cell>
          <cell r="AI827">
            <v>0</v>
          </cell>
          <cell r="AJ827">
            <v>0</v>
          </cell>
          <cell r="AK827">
            <v>0</v>
          </cell>
          <cell r="AL827">
            <v>0</v>
          </cell>
        </row>
        <row r="828">
          <cell r="E828" t="str">
            <v>CET 60sq</v>
          </cell>
          <cell r="F828" t="str">
            <v>ｍ</v>
          </cell>
          <cell r="G828">
            <v>0</v>
          </cell>
          <cell r="H828">
            <v>2121</v>
          </cell>
          <cell r="I828">
            <v>0</v>
          </cell>
          <cell r="J828">
            <v>2154</v>
          </cell>
          <cell r="K828">
            <v>0</v>
          </cell>
          <cell r="L828">
            <v>2154</v>
          </cell>
          <cell r="M828">
            <v>0</v>
          </cell>
          <cell r="N828">
            <v>2088</v>
          </cell>
          <cell r="O828">
            <v>0</v>
          </cell>
          <cell r="P828">
            <v>2038</v>
          </cell>
          <cell r="Q828">
            <v>0</v>
          </cell>
          <cell r="R828">
            <v>2121</v>
          </cell>
          <cell r="S828">
            <v>0</v>
          </cell>
          <cell r="T828">
            <v>2121</v>
          </cell>
          <cell r="U828">
            <v>0</v>
          </cell>
          <cell r="V828">
            <v>2154</v>
          </cell>
          <cell r="W828">
            <v>0</v>
          </cell>
          <cell r="X828">
            <v>2088</v>
          </cell>
          <cell r="Y828">
            <v>0</v>
          </cell>
          <cell r="Z828">
            <v>2154</v>
          </cell>
          <cell r="AA828">
            <v>0</v>
          </cell>
          <cell r="AB828">
            <v>0</v>
          </cell>
          <cell r="AC828">
            <v>0</v>
          </cell>
          <cell r="AD828">
            <v>8.2000000000000003E-2</v>
          </cell>
          <cell r="AE828">
            <v>0</v>
          </cell>
          <cell r="AF828">
            <v>0</v>
          </cell>
          <cell r="AG828">
            <v>0</v>
          </cell>
          <cell r="AH828">
            <v>0</v>
          </cell>
          <cell r="AI828">
            <v>0</v>
          </cell>
          <cell r="AJ828">
            <v>0</v>
          </cell>
          <cell r="AK828">
            <v>0</v>
          </cell>
          <cell r="AL828">
            <v>0</v>
          </cell>
        </row>
        <row r="829">
          <cell r="E829" t="str">
            <v>CET100sq</v>
          </cell>
          <cell r="F829" t="str">
            <v>ｍ</v>
          </cell>
          <cell r="G829">
            <v>0</v>
          </cell>
          <cell r="H829">
            <v>3538</v>
          </cell>
          <cell r="I829">
            <v>0</v>
          </cell>
          <cell r="J829">
            <v>3593</v>
          </cell>
          <cell r="K829">
            <v>0</v>
          </cell>
          <cell r="L829">
            <v>3593</v>
          </cell>
          <cell r="M829">
            <v>0</v>
          </cell>
          <cell r="N829">
            <v>3483</v>
          </cell>
          <cell r="O829">
            <v>0</v>
          </cell>
          <cell r="P829">
            <v>3400</v>
          </cell>
          <cell r="Q829">
            <v>0</v>
          </cell>
          <cell r="R829">
            <v>3538</v>
          </cell>
          <cell r="S829">
            <v>0</v>
          </cell>
          <cell r="T829">
            <v>3538</v>
          </cell>
          <cell r="U829">
            <v>0</v>
          </cell>
          <cell r="V829">
            <v>3593</v>
          </cell>
          <cell r="W829">
            <v>0</v>
          </cell>
          <cell r="X829">
            <v>3483</v>
          </cell>
          <cell r="Y829">
            <v>0</v>
          </cell>
          <cell r="Z829">
            <v>3593</v>
          </cell>
          <cell r="AA829">
            <v>0</v>
          </cell>
          <cell r="AB829">
            <v>0</v>
          </cell>
          <cell r="AC829">
            <v>0</v>
          </cell>
          <cell r="AD829">
            <v>0.112</v>
          </cell>
          <cell r="AE829">
            <v>0</v>
          </cell>
          <cell r="AF829">
            <v>0</v>
          </cell>
          <cell r="AG829">
            <v>0</v>
          </cell>
          <cell r="AH829">
            <v>0</v>
          </cell>
          <cell r="AI829">
            <v>0</v>
          </cell>
          <cell r="AJ829">
            <v>0</v>
          </cell>
          <cell r="AK829">
            <v>0</v>
          </cell>
          <cell r="AL829">
            <v>0</v>
          </cell>
        </row>
        <row r="830">
          <cell r="E830" t="str">
            <v>CET150sq</v>
          </cell>
          <cell r="F830" t="str">
            <v>ｍ</v>
          </cell>
          <cell r="G830">
            <v>0</v>
          </cell>
          <cell r="H830">
            <v>5199</v>
          </cell>
          <cell r="I830">
            <v>0</v>
          </cell>
          <cell r="J830">
            <v>5280</v>
          </cell>
          <cell r="K830">
            <v>0</v>
          </cell>
          <cell r="L830">
            <v>5280</v>
          </cell>
          <cell r="M830">
            <v>0</v>
          </cell>
          <cell r="N830">
            <v>5117</v>
          </cell>
          <cell r="O830">
            <v>0</v>
          </cell>
          <cell r="P830">
            <v>4996</v>
          </cell>
          <cell r="Q830">
            <v>0</v>
          </cell>
          <cell r="R830">
            <v>5199</v>
          </cell>
          <cell r="S830">
            <v>0</v>
          </cell>
          <cell r="T830">
            <v>5199</v>
          </cell>
          <cell r="U830">
            <v>0</v>
          </cell>
          <cell r="V830">
            <v>5280</v>
          </cell>
          <cell r="W830">
            <v>0</v>
          </cell>
          <cell r="X830">
            <v>5117</v>
          </cell>
          <cell r="Y830">
            <v>0</v>
          </cell>
          <cell r="Z830">
            <v>5280</v>
          </cell>
          <cell r="AA830">
            <v>0</v>
          </cell>
          <cell r="AB830">
            <v>0</v>
          </cell>
          <cell r="AC830">
            <v>0</v>
          </cell>
          <cell r="AD830">
            <v>0.13700000000000001</v>
          </cell>
          <cell r="AE830">
            <v>0</v>
          </cell>
          <cell r="AF830">
            <v>0</v>
          </cell>
          <cell r="AG830">
            <v>0</v>
          </cell>
          <cell r="AH830">
            <v>0</v>
          </cell>
          <cell r="AI830">
            <v>0</v>
          </cell>
          <cell r="AJ830">
            <v>0</v>
          </cell>
          <cell r="AK830">
            <v>0</v>
          </cell>
          <cell r="AL830">
            <v>0</v>
          </cell>
        </row>
        <row r="831">
          <cell r="E831" t="str">
            <v>CET200sq</v>
          </cell>
          <cell r="F831" t="str">
            <v>ｍ</v>
          </cell>
          <cell r="G831">
            <v>0</v>
          </cell>
          <cell r="H831">
            <v>6880</v>
          </cell>
          <cell r="I831">
            <v>0</v>
          </cell>
          <cell r="J831">
            <v>6988</v>
          </cell>
          <cell r="K831">
            <v>0</v>
          </cell>
          <cell r="L831">
            <v>6988</v>
          </cell>
          <cell r="M831">
            <v>0</v>
          </cell>
          <cell r="N831">
            <v>6773</v>
          </cell>
          <cell r="O831">
            <v>0</v>
          </cell>
          <cell r="P831">
            <v>6611</v>
          </cell>
          <cell r="Q831">
            <v>0</v>
          </cell>
          <cell r="R831">
            <v>6880</v>
          </cell>
          <cell r="S831">
            <v>0</v>
          </cell>
          <cell r="T831">
            <v>6880</v>
          </cell>
          <cell r="U831">
            <v>0</v>
          </cell>
          <cell r="V831">
            <v>6988</v>
          </cell>
          <cell r="W831">
            <v>0</v>
          </cell>
          <cell r="X831">
            <v>6773</v>
          </cell>
          <cell r="Y831">
            <v>0</v>
          </cell>
          <cell r="Z831">
            <v>6988</v>
          </cell>
          <cell r="AA831">
            <v>0</v>
          </cell>
          <cell r="AB831">
            <v>0</v>
          </cell>
          <cell r="AC831">
            <v>0</v>
          </cell>
          <cell r="AD831">
            <v>0.17</v>
          </cell>
          <cell r="AE831">
            <v>0</v>
          </cell>
          <cell r="AF831">
            <v>0</v>
          </cell>
          <cell r="AG831">
            <v>0</v>
          </cell>
          <cell r="AH831">
            <v>0</v>
          </cell>
          <cell r="AI831">
            <v>0</v>
          </cell>
          <cell r="AJ831">
            <v>0</v>
          </cell>
          <cell r="AK831">
            <v>0</v>
          </cell>
          <cell r="AL831">
            <v>0</v>
          </cell>
        </row>
        <row r="832">
          <cell r="E832" t="str">
            <v>CET250sq</v>
          </cell>
          <cell r="F832" t="str">
            <v>ｍ</v>
          </cell>
          <cell r="G832">
            <v>0</v>
          </cell>
          <cell r="H832">
            <v>8603</v>
          </cell>
          <cell r="I832">
            <v>0</v>
          </cell>
          <cell r="J832">
            <v>8737</v>
          </cell>
          <cell r="K832">
            <v>0</v>
          </cell>
          <cell r="L832">
            <v>8737</v>
          </cell>
          <cell r="M832">
            <v>0</v>
          </cell>
          <cell r="N832">
            <v>8468</v>
          </cell>
          <cell r="O832">
            <v>0</v>
          </cell>
          <cell r="P832">
            <v>8267</v>
          </cell>
          <cell r="Q832">
            <v>0</v>
          </cell>
          <cell r="R832">
            <v>8603</v>
          </cell>
          <cell r="S832">
            <v>0</v>
          </cell>
          <cell r="T832">
            <v>8603</v>
          </cell>
          <cell r="U832">
            <v>0</v>
          </cell>
          <cell r="V832">
            <v>8737</v>
          </cell>
          <cell r="W832">
            <v>0</v>
          </cell>
          <cell r="X832">
            <v>8468</v>
          </cell>
          <cell r="Y832">
            <v>0</v>
          </cell>
          <cell r="Z832">
            <v>8737</v>
          </cell>
          <cell r="AA832">
            <v>0</v>
          </cell>
          <cell r="AB832">
            <v>0</v>
          </cell>
          <cell r="AC832">
            <v>0</v>
          </cell>
          <cell r="AD832">
            <v>0.19600000000000001</v>
          </cell>
          <cell r="AE832">
            <v>0</v>
          </cell>
          <cell r="AF832">
            <v>0</v>
          </cell>
          <cell r="AG832">
            <v>0</v>
          </cell>
          <cell r="AH832">
            <v>0</v>
          </cell>
          <cell r="AI832">
            <v>0</v>
          </cell>
          <cell r="AJ832">
            <v>0</v>
          </cell>
          <cell r="AK832">
            <v>0</v>
          </cell>
          <cell r="AL832">
            <v>0</v>
          </cell>
        </row>
        <row r="833">
          <cell r="E833" t="str">
            <v>CET325sq</v>
          </cell>
          <cell r="F833" t="str">
            <v>ｍ</v>
          </cell>
          <cell r="G833">
            <v>0</v>
          </cell>
          <cell r="H833">
            <v>11051</v>
          </cell>
          <cell r="I833">
            <v>0</v>
          </cell>
          <cell r="J833">
            <v>11224</v>
          </cell>
          <cell r="K833">
            <v>0</v>
          </cell>
          <cell r="L833">
            <v>11224</v>
          </cell>
          <cell r="M833">
            <v>0</v>
          </cell>
          <cell r="N833">
            <v>10878</v>
          </cell>
          <cell r="O833">
            <v>0</v>
          </cell>
          <cell r="P833">
            <v>10619</v>
          </cell>
          <cell r="Q833">
            <v>0</v>
          </cell>
          <cell r="R833">
            <v>11051</v>
          </cell>
          <cell r="S833">
            <v>0</v>
          </cell>
          <cell r="T833">
            <v>11051</v>
          </cell>
          <cell r="U833">
            <v>0</v>
          </cell>
          <cell r="V833">
            <v>11224</v>
          </cell>
          <cell r="W833">
            <v>0</v>
          </cell>
          <cell r="X833">
            <v>10878</v>
          </cell>
          <cell r="Y833">
            <v>0</v>
          </cell>
          <cell r="Z833">
            <v>11224</v>
          </cell>
          <cell r="AA833">
            <v>0</v>
          </cell>
          <cell r="AB833">
            <v>0</v>
          </cell>
          <cell r="AC833">
            <v>0</v>
          </cell>
          <cell r="AD833">
            <v>0.248</v>
          </cell>
          <cell r="AE833">
            <v>0</v>
          </cell>
          <cell r="AF833">
            <v>0</v>
          </cell>
          <cell r="AG833">
            <v>0</v>
          </cell>
          <cell r="AH833">
            <v>0</v>
          </cell>
          <cell r="AI833">
            <v>0</v>
          </cell>
          <cell r="AJ833">
            <v>0</v>
          </cell>
          <cell r="AK833">
            <v>0</v>
          </cell>
          <cell r="AL833">
            <v>0</v>
          </cell>
        </row>
        <row r="834">
          <cell r="E834" t="str">
            <v>FP 1.2mm-1C</v>
          </cell>
          <cell r="F834" t="str">
            <v>ｍ</v>
          </cell>
          <cell r="G834">
            <v>0</v>
          </cell>
          <cell r="H834">
            <v>94.9</v>
          </cell>
          <cell r="I834">
            <v>0</v>
          </cell>
          <cell r="J834">
            <v>94.9</v>
          </cell>
          <cell r="K834">
            <v>0</v>
          </cell>
          <cell r="L834">
            <v>94.9</v>
          </cell>
          <cell r="M834">
            <v>0</v>
          </cell>
          <cell r="N834">
            <v>94.9</v>
          </cell>
          <cell r="O834">
            <v>0</v>
          </cell>
          <cell r="P834">
            <v>94.9</v>
          </cell>
          <cell r="Q834">
            <v>0</v>
          </cell>
          <cell r="R834">
            <v>94.9</v>
          </cell>
          <cell r="S834">
            <v>0</v>
          </cell>
          <cell r="T834">
            <v>94.9</v>
          </cell>
          <cell r="U834">
            <v>0</v>
          </cell>
          <cell r="V834">
            <v>94.9</v>
          </cell>
          <cell r="W834">
            <v>0</v>
          </cell>
          <cell r="X834">
            <v>94.9</v>
          </cell>
          <cell r="Y834">
            <v>0</v>
          </cell>
          <cell r="Z834">
            <v>94.9</v>
          </cell>
          <cell r="AA834">
            <v>0</v>
          </cell>
          <cell r="AB834">
            <v>0</v>
          </cell>
          <cell r="AC834">
            <v>0</v>
          </cell>
          <cell r="AD834">
            <v>1.2E-2</v>
          </cell>
          <cell r="AE834">
            <v>0</v>
          </cell>
          <cell r="AF834">
            <v>0</v>
          </cell>
          <cell r="AG834">
            <v>0</v>
          </cell>
          <cell r="AH834">
            <v>0</v>
          </cell>
          <cell r="AI834">
            <v>0</v>
          </cell>
          <cell r="AJ834">
            <v>0</v>
          </cell>
          <cell r="AK834">
            <v>0</v>
          </cell>
          <cell r="AL834">
            <v>0</v>
          </cell>
        </row>
        <row r="835">
          <cell r="E835" t="str">
            <v>FP 1.6mm-1C</v>
          </cell>
          <cell r="F835" t="str">
            <v>ｍ</v>
          </cell>
          <cell r="G835">
            <v>0</v>
          </cell>
          <cell r="H835">
            <v>105</v>
          </cell>
          <cell r="I835">
            <v>0</v>
          </cell>
          <cell r="J835">
            <v>105</v>
          </cell>
          <cell r="K835">
            <v>0</v>
          </cell>
          <cell r="L835">
            <v>105</v>
          </cell>
          <cell r="M835">
            <v>0</v>
          </cell>
          <cell r="N835">
            <v>105</v>
          </cell>
          <cell r="O835">
            <v>0</v>
          </cell>
          <cell r="P835">
            <v>105</v>
          </cell>
          <cell r="Q835">
            <v>0</v>
          </cell>
          <cell r="R835">
            <v>105</v>
          </cell>
          <cell r="S835">
            <v>0</v>
          </cell>
          <cell r="T835">
            <v>105</v>
          </cell>
          <cell r="U835">
            <v>0</v>
          </cell>
          <cell r="V835">
            <v>105</v>
          </cell>
          <cell r="W835">
            <v>0</v>
          </cell>
          <cell r="X835">
            <v>105</v>
          </cell>
          <cell r="Y835">
            <v>0</v>
          </cell>
          <cell r="Z835">
            <v>105</v>
          </cell>
          <cell r="AA835">
            <v>0</v>
          </cell>
          <cell r="AB835">
            <v>0</v>
          </cell>
          <cell r="AC835">
            <v>0</v>
          </cell>
          <cell r="AD835">
            <v>1.2999999999999999E-2</v>
          </cell>
          <cell r="AE835">
            <v>0</v>
          </cell>
          <cell r="AF835">
            <v>0</v>
          </cell>
          <cell r="AG835">
            <v>0</v>
          </cell>
          <cell r="AH835">
            <v>0</v>
          </cell>
          <cell r="AI835">
            <v>0</v>
          </cell>
          <cell r="AJ835">
            <v>0</v>
          </cell>
          <cell r="AK835">
            <v>0</v>
          </cell>
          <cell r="AL835">
            <v>0</v>
          </cell>
        </row>
        <row r="836">
          <cell r="E836" t="str">
            <v>FP 2.0mm-1C</v>
          </cell>
          <cell r="F836" t="str">
            <v>ｍ</v>
          </cell>
          <cell r="G836">
            <v>0</v>
          </cell>
          <cell r="H836">
            <v>137</v>
          </cell>
          <cell r="I836">
            <v>0</v>
          </cell>
          <cell r="J836">
            <v>137</v>
          </cell>
          <cell r="K836">
            <v>0</v>
          </cell>
          <cell r="L836">
            <v>137</v>
          </cell>
          <cell r="M836">
            <v>0</v>
          </cell>
          <cell r="N836">
            <v>137</v>
          </cell>
          <cell r="O836">
            <v>0</v>
          </cell>
          <cell r="P836">
            <v>137</v>
          </cell>
          <cell r="Q836">
            <v>0</v>
          </cell>
          <cell r="R836">
            <v>137</v>
          </cell>
          <cell r="S836">
            <v>0</v>
          </cell>
          <cell r="T836">
            <v>137</v>
          </cell>
          <cell r="U836">
            <v>0</v>
          </cell>
          <cell r="V836">
            <v>137</v>
          </cell>
          <cell r="W836">
            <v>0</v>
          </cell>
          <cell r="X836">
            <v>137</v>
          </cell>
          <cell r="Y836">
            <v>0</v>
          </cell>
          <cell r="Z836">
            <v>137</v>
          </cell>
          <cell r="AA836">
            <v>0</v>
          </cell>
          <cell r="AB836">
            <v>0</v>
          </cell>
          <cell r="AC836">
            <v>0</v>
          </cell>
          <cell r="AD836">
            <v>1.4999999999999999E-2</v>
          </cell>
          <cell r="AE836">
            <v>0</v>
          </cell>
          <cell r="AF836">
            <v>0</v>
          </cell>
          <cell r="AG836">
            <v>0</v>
          </cell>
          <cell r="AH836">
            <v>0</v>
          </cell>
          <cell r="AI836">
            <v>0</v>
          </cell>
          <cell r="AJ836">
            <v>0</v>
          </cell>
          <cell r="AK836">
            <v>0</v>
          </cell>
          <cell r="AL836">
            <v>0</v>
          </cell>
        </row>
        <row r="837">
          <cell r="E837" t="str">
            <v>FP 2sq-1C</v>
          </cell>
          <cell r="F837" t="str">
            <v>ｍ</v>
          </cell>
          <cell r="G837">
            <v>0</v>
          </cell>
          <cell r="H837">
            <v>125</v>
          </cell>
          <cell r="I837">
            <v>0</v>
          </cell>
          <cell r="J837">
            <v>125</v>
          </cell>
          <cell r="K837">
            <v>0</v>
          </cell>
          <cell r="L837">
            <v>125</v>
          </cell>
          <cell r="M837">
            <v>0</v>
          </cell>
          <cell r="N837">
            <v>125</v>
          </cell>
          <cell r="O837">
            <v>0</v>
          </cell>
          <cell r="P837">
            <v>125</v>
          </cell>
          <cell r="Q837">
            <v>0</v>
          </cell>
          <cell r="R837">
            <v>125</v>
          </cell>
          <cell r="S837">
            <v>0</v>
          </cell>
          <cell r="T837">
            <v>125</v>
          </cell>
          <cell r="U837">
            <v>0</v>
          </cell>
          <cell r="V837">
            <v>125</v>
          </cell>
          <cell r="W837">
            <v>0</v>
          </cell>
          <cell r="X837">
            <v>125</v>
          </cell>
          <cell r="Y837">
            <v>0</v>
          </cell>
          <cell r="Z837">
            <v>125</v>
          </cell>
          <cell r="AA837">
            <v>0</v>
          </cell>
          <cell r="AB837">
            <v>0</v>
          </cell>
          <cell r="AC837">
            <v>0</v>
          </cell>
          <cell r="AD837">
            <v>1.0999999999999999E-2</v>
          </cell>
          <cell r="AE837">
            <v>0</v>
          </cell>
          <cell r="AF837">
            <v>0</v>
          </cell>
          <cell r="AG837">
            <v>0</v>
          </cell>
          <cell r="AH837">
            <v>0</v>
          </cell>
          <cell r="AI837">
            <v>0</v>
          </cell>
          <cell r="AJ837">
            <v>0</v>
          </cell>
          <cell r="AK837">
            <v>0</v>
          </cell>
          <cell r="AL837">
            <v>0</v>
          </cell>
        </row>
        <row r="838">
          <cell r="E838" t="str">
            <v>FP 3.5sq-1C</v>
          </cell>
          <cell r="F838" t="str">
            <v>ｍ</v>
          </cell>
          <cell r="G838">
            <v>0</v>
          </cell>
          <cell r="H838">
            <v>160</v>
          </cell>
          <cell r="I838">
            <v>0</v>
          </cell>
          <cell r="J838">
            <v>160</v>
          </cell>
          <cell r="K838">
            <v>0</v>
          </cell>
          <cell r="L838">
            <v>160</v>
          </cell>
          <cell r="M838">
            <v>0</v>
          </cell>
          <cell r="N838">
            <v>160</v>
          </cell>
          <cell r="O838">
            <v>0</v>
          </cell>
          <cell r="P838">
            <v>160</v>
          </cell>
          <cell r="Q838">
            <v>0</v>
          </cell>
          <cell r="R838">
            <v>160</v>
          </cell>
          <cell r="S838">
            <v>0</v>
          </cell>
          <cell r="T838">
            <v>160</v>
          </cell>
          <cell r="U838">
            <v>0</v>
          </cell>
          <cell r="V838">
            <v>160</v>
          </cell>
          <cell r="W838">
            <v>0</v>
          </cell>
          <cell r="X838">
            <v>160</v>
          </cell>
          <cell r="Y838">
            <v>0</v>
          </cell>
          <cell r="Z838">
            <v>160</v>
          </cell>
          <cell r="AA838">
            <v>0</v>
          </cell>
          <cell r="AB838">
            <v>0</v>
          </cell>
          <cell r="AC838">
            <v>0</v>
          </cell>
          <cell r="AD838">
            <v>1.4999999999999999E-2</v>
          </cell>
          <cell r="AE838">
            <v>0</v>
          </cell>
          <cell r="AF838">
            <v>0</v>
          </cell>
          <cell r="AG838">
            <v>0</v>
          </cell>
          <cell r="AH838">
            <v>0</v>
          </cell>
          <cell r="AI838">
            <v>0</v>
          </cell>
          <cell r="AJ838">
            <v>0</v>
          </cell>
          <cell r="AK838">
            <v>0</v>
          </cell>
          <cell r="AL838">
            <v>0</v>
          </cell>
        </row>
        <row r="839">
          <cell r="E839" t="str">
            <v>FP 5.5sq-1C</v>
          </cell>
          <cell r="F839" t="str">
            <v>ｍ</v>
          </cell>
          <cell r="G839">
            <v>0</v>
          </cell>
          <cell r="H839">
            <v>198</v>
          </cell>
          <cell r="I839">
            <v>0</v>
          </cell>
          <cell r="J839">
            <v>198</v>
          </cell>
          <cell r="K839">
            <v>0</v>
          </cell>
          <cell r="L839">
            <v>198</v>
          </cell>
          <cell r="M839">
            <v>0</v>
          </cell>
          <cell r="N839">
            <v>198</v>
          </cell>
          <cell r="O839">
            <v>0</v>
          </cell>
          <cell r="P839">
            <v>198</v>
          </cell>
          <cell r="Q839">
            <v>0</v>
          </cell>
          <cell r="R839">
            <v>198</v>
          </cell>
          <cell r="S839">
            <v>0</v>
          </cell>
          <cell r="T839">
            <v>198</v>
          </cell>
          <cell r="U839">
            <v>0</v>
          </cell>
          <cell r="V839">
            <v>198</v>
          </cell>
          <cell r="W839">
            <v>0</v>
          </cell>
          <cell r="X839">
            <v>198</v>
          </cell>
          <cell r="Y839">
            <v>0</v>
          </cell>
          <cell r="Z839">
            <v>198</v>
          </cell>
          <cell r="AA839">
            <v>0</v>
          </cell>
          <cell r="AB839">
            <v>0</v>
          </cell>
          <cell r="AC839">
            <v>0</v>
          </cell>
          <cell r="AD839">
            <v>0.19</v>
          </cell>
          <cell r="AE839">
            <v>0</v>
          </cell>
          <cell r="AF839">
            <v>0</v>
          </cell>
          <cell r="AG839">
            <v>0</v>
          </cell>
          <cell r="AH839">
            <v>0</v>
          </cell>
          <cell r="AI839">
            <v>0</v>
          </cell>
          <cell r="AJ839">
            <v>0</v>
          </cell>
          <cell r="AK839">
            <v>0</v>
          </cell>
          <cell r="AL839">
            <v>0</v>
          </cell>
        </row>
        <row r="840">
          <cell r="E840" t="str">
            <v>FP 8sq-1C</v>
          </cell>
          <cell r="F840" t="str">
            <v>ｍ</v>
          </cell>
          <cell r="G840">
            <v>0</v>
          </cell>
          <cell r="H840">
            <v>241</v>
          </cell>
          <cell r="I840">
            <v>0</v>
          </cell>
          <cell r="J840">
            <v>241</v>
          </cell>
          <cell r="K840">
            <v>0</v>
          </cell>
          <cell r="L840">
            <v>241</v>
          </cell>
          <cell r="M840">
            <v>0</v>
          </cell>
          <cell r="N840">
            <v>241</v>
          </cell>
          <cell r="O840">
            <v>0</v>
          </cell>
          <cell r="P840">
            <v>241</v>
          </cell>
          <cell r="Q840">
            <v>0</v>
          </cell>
          <cell r="R840">
            <v>241</v>
          </cell>
          <cell r="S840">
            <v>0</v>
          </cell>
          <cell r="T840">
            <v>241</v>
          </cell>
          <cell r="U840">
            <v>0</v>
          </cell>
          <cell r="V840">
            <v>241</v>
          </cell>
          <cell r="W840">
            <v>0</v>
          </cell>
          <cell r="X840">
            <v>241</v>
          </cell>
          <cell r="Y840">
            <v>0</v>
          </cell>
          <cell r="Z840">
            <v>241</v>
          </cell>
          <cell r="AA840">
            <v>0</v>
          </cell>
          <cell r="AB840">
            <v>0</v>
          </cell>
          <cell r="AC840">
            <v>0</v>
          </cell>
          <cell r="AD840">
            <v>2.1000000000000001E-2</v>
          </cell>
          <cell r="AE840">
            <v>0</v>
          </cell>
          <cell r="AF840">
            <v>0</v>
          </cell>
          <cell r="AG840">
            <v>0</v>
          </cell>
          <cell r="AH840">
            <v>0</v>
          </cell>
          <cell r="AI840">
            <v>0</v>
          </cell>
          <cell r="AJ840">
            <v>0</v>
          </cell>
          <cell r="AK840">
            <v>0</v>
          </cell>
          <cell r="AL840">
            <v>0</v>
          </cell>
        </row>
        <row r="841">
          <cell r="E841" t="str">
            <v>FP 14sq-1C</v>
          </cell>
          <cell r="F841" t="str">
            <v>ｍ</v>
          </cell>
          <cell r="G841">
            <v>0</v>
          </cell>
          <cell r="H841">
            <v>375</v>
          </cell>
          <cell r="I841">
            <v>0</v>
          </cell>
          <cell r="J841">
            <v>375</v>
          </cell>
          <cell r="K841">
            <v>0</v>
          </cell>
          <cell r="L841">
            <v>375</v>
          </cell>
          <cell r="M841">
            <v>0</v>
          </cell>
          <cell r="N841">
            <v>375</v>
          </cell>
          <cell r="O841">
            <v>0</v>
          </cell>
          <cell r="P841">
            <v>375</v>
          </cell>
          <cell r="Q841">
            <v>0</v>
          </cell>
          <cell r="R841">
            <v>375</v>
          </cell>
          <cell r="S841">
            <v>0</v>
          </cell>
          <cell r="T841">
            <v>375</v>
          </cell>
          <cell r="U841">
            <v>0</v>
          </cell>
          <cell r="V841">
            <v>375</v>
          </cell>
          <cell r="W841">
            <v>0</v>
          </cell>
          <cell r="X841">
            <v>375</v>
          </cell>
          <cell r="Y841">
            <v>0</v>
          </cell>
          <cell r="Z841">
            <v>375</v>
          </cell>
          <cell r="AA841">
            <v>0</v>
          </cell>
          <cell r="AB841">
            <v>0</v>
          </cell>
          <cell r="AC841">
            <v>0</v>
          </cell>
          <cell r="AD841">
            <v>2.5999999999999999E-2</v>
          </cell>
          <cell r="AE841">
            <v>0</v>
          </cell>
          <cell r="AF841">
            <v>0</v>
          </cell>
          <cell r="AG841">
            <v>0</v>
          </cell>
          <cell r="AH841">
            <v>0</v>
          </cell>
          <cell r="AI841">
            <v>0</v>
          </cell>
          <cell r="AJ841">
            <v>0</v>
          </cell>
          <cell r="AK841">
            <v>0</v>
          </cell>
          <cell r="AL841">
            <v>0</v>
          </cell>
        </row>
        <row r="842">
          <cell r="E842" t="str">
            <v>FP 22sq-1C</v>
          </cell>
          <cell r="F842" t="str">
            <v>ｍ</v>
          </cell>
          <cell r="G842">
            <v>0</v>
          </cell>
          <cell r="H842">
            <v>498</v>
          </cell>
          <cell r="I842">
            <v>0</v>
          </cell>
          <cell r="J842">
            <v>498</v>
          </cell>
          <cell r="K842">
            <v>0</v>
          </cell>
          <cell r="L842">
            <v>498</v>
          </cell>
          <cell r="M842">
            <v>0</v>
          </cell>
          <cell r="N842">
            <v>498</v>
          </cell>
          <cell r="O842">
            <v>0</v>
          </cell>
          <cell r="P842">
            <v>498</v>
          </cell>
          <cell r="Q842">
            <v>0</v>
          </cell>
          <cell r="R842">
            <v>498</v>
          </cell>
          <cell r="S842">
            <v>0</v>
          </cell>
          <cell r="T842">
            <v>498</v>
          </cell>
          <cell r="U842">
            <v>0</v>
          </cell>
          <cell r="V842">
            <v>498</v>
          </cell>
          <cell r="W842">
            <v>0</v>
          </cell>
          <cell r="X842">
            <v>498</v>
          </cell>
          <cell r="Y842">
            <v>0</v>
          </cell>
          <cell r="Z842">
            <v>498</v>
          </cell>
          <cell r="AA842">
            <v>0</v>
          </cell>
          <cell r="AB842">
            <v>0</v>
          </cell>
          <cell r="AC842">
            <v>0</v>
          </cell>
          <cell r="AD842">
            <v>3.3000000000000002E-2</v>
          </cell>
          <cell r="AE842">
            <v>0</v>
          </cell>
          <cell r="AF842">
            <v>0</v>
          </cell>
          <cell r="AG842">
            <v>0</v>
          </cell>
          <cell r="AH842">
            <v>0</v>
          </cell>
          <cell r="AI842">
            <v>0</v>
          </cell>
          <cell r="AJ842">
            <v>0</v>
          </cell>
          <cell r="AK842">
            <v>0</v>
          </cell>
          <cell r="AL842">
            <v>0</v>
          </cell>
        </row>
        <row r="843">
          <cell r="E843" t="str">
            <v>FP 38sq-1C</v>
          </cell>
          <cell r="F843" t="str">
            <v>ｍ</v>
          </cell>
          <cell r="G843">
            <v>0</v>
          </cell>
          <cell r="H843">
            <v>775</v>
          </cell>
          <cell r="I843">
            <v>0</v>
          </cell>
          <cell r="J843">
            <v>775</v>
          </cell>
          <cell r="K843">
            <v>0</v>
          </cell>
          <cell r="L843">
            <v>775</v>
          </cell>
          <cell r="M843">
            <v>0</v>
          </cell>
          <cell r="N843">
            <v>775</v>
          </cell>
          <cell r="O843">
            <v>0</v>
          </cell>
          <cell r="P843">
            <v>775</v>
          </cell>
          <cell r="Q843">
            <v>0</v>
          </cell>
          <cell r="R843">
            <v>775</v>
          </cell>
          <cell r="S843">
            <v>0</v>
          </cell>
          <cell r="T843">
            <v>775</v>
          </cell>
          <cell r="U843">
            <v>0</v>
          </cell>
          <cell r="V843">
            <v>775</v>
          </cell>
          <cell r="W843">
            <v>0</v>
          </cell>
          <cell r="X843">
            <v>775</v>
          </cell>
          <cell r="Y843">
            <v>0</v>
          </cell>
          <cell r="Z843">
            <v>775</v>
          </cell>
          <cell r="AA843">
            <v>0</v>
          </cell>
          <cell r="AB843">
            <v>0</v>
          </cell>
          <cell r="AC843">
            <v>0</v>
          </cell>
          <cell r="AD843">
            <v>4.4999999999999998E-2</v>
          </cell>
          <cell r="AE843">
            <v>0</v>
          </cell>
          <cell r="AF843">
            <v>0</v>
          </cell>
          <cell r="AG843">
            <v>0</v>
          </cell>
          <cell r="AH843">
            <v>0</v>
          </cell>
          <cell r="AI843">
            <v>0</v>
          </cell>
          <cell r="AJ843">
            <v>0</v>
          </cell>
          <cell r="AK843">
            <v>0</v>
          </cell>
          <cell r="AL843">
            <v>0</v>
          </cell>
        </row>
        <row r="844">
          <cell r="E844" t="str">
            <v>FP 60sq-1C</v>
          </cell>
          <cell r="F844" t="str">
            <v>ｍ</v>
          </cell>
          <cell r="G844">
            <v>0</v>
          </cell>
          <cell r="H844">
            <v>1202</v>
          </cell>
          <cell r="I844">
            <v>0</v>
          </cell>
          <cell r="J844">
            <v>1202</v>
          </cell>
          <cell r="K844">
            <v>0</v>
          </cell>
          <cell r="L844">
            <v>1202</v>
          </cell>
          <cell r="M844">
            <v>0</v>
          </cell>
          <cell r="N844">
            <v>1202</v>
          </cell>
          <cell r="O844">
            <v>0</v>
          </cell>
          <cell r="P844">
            <v>1202</v>
          </cell>
          <cell r="Q844">
            <v>0</v>
          </cell>
          <cell r="R844">
            <v>1202</v>
          </cell>
          <cell r="S844">
            <v>0</v>
          </cell>
          <cell r="T844">
            <v>1202</v>
          </cell>
          <cell r="U844">
            <v>0</v>
          </cell>
          <cell r="V844">
            <v>1202</v>
          </cell>
          <cell r="W844">
            <v>0</v>
          </cell>
          <cell r="X844">
            <v>1202</v>
          </cell>
          <cell r="Y844">
            <v>0</v>
          </cell>
          <cell r="Z844">
            <v>1202</v>
          </cell>
          <cell r="AA844">
            <v>0</v>
          </cell>
          <cell r="AB844">
            <v>0</v>
          </cell>
          <cell r="AC844">
            <v>0</v>
          </cell>
          <cell r="AD844">
            <v>5.8000000000000003E-2</v>
          </cell>
          <cell r="AE844">
            <v>0</v>
          </cell>
          <cell r="AF844">
            <v>0</v>
          </cell>
          <cell r="AG844">
            <v>0</v>
          </cell>
          <cell r="AH844">
            <v>0</v>
          </cell>
          <cell r="AI844">
            <v>0</v>
          </cell>
          <cell r="AJ844">
            <v>0</v>
          </cell>
          <cell r="AK844">
            <v>0</v>
          </cell>
          <cell r="AL844">
            <v>0</v>
          </cell>
        </row>
        <row r="845">
          <cell r="E845" t="str">
            <v>FP 100sq-1C</v>
          </cell>
          <cell r="F845" t="str">
            <v>ｍ</v>
          </cell>
          <cell r="G845">
            <v>0</v>
          </cell>
          <cell r="H845">
            <v>1796</v>
          </cell>
          <cell r="I845">
            <v>0</v>
          </cell>
          <cell r="J845">
            <v>1796</v>
          </cell>
          <cell r="K845">
            <v>0</v>
          </cell>
          <cell r="L845">
            <v>1796</v>
          </cell>
          <cell r="M845">
            <v>0</v>
          </cell>
          <cell r="N845">
            <v>1796</v>
          </cell>
          <cell r="O845">
            <v>0</v>
          </cell>
          <cell r="P845">
            <v>1796</v>
          </cell>
          <cell r="Q845">
            <v>0</v>
          </cell>
          <cell r="R845">
            <v>1796</v>
          </cell>
          <cell r="S845">
            <v>0</v>
          </cell>
          <cell r="T845">
            <v>1796</v>
          </cell>
          <cell r="U845">
            <v>0</v>
          </cell>
          <cell r="V845">
            <v>1796</v>
          </cell>
          <cell r="W845">
            <v>0</v>
          </cell>
          <cell r="X845">
            <v>1796</v>
          </cell>
          <cell r="Y845">
            <v>0</v>
          </cell>
          <cell r="Z845">
            <v>1796</v>
          </cell>
          <cell r="AA845">
            <v>0</v>
          </cell>
          <cell r="AB845">
            <v>0</v>
          </cell>
          <cell r="AC845">
            <v>0</v>
          </cell>
          <cell r="AD845">
            <v>0.08</v>
          </cell>
          <cell r="AE845">
            <v>0</v>
          </cell>
          <cell r="AF845">
            <v>0</v>
          </cell>
          <cell r="AG845">
            <v>0</v>
          </cell>
          <cell r="AH845">
            <v>0</v>
          </cell>
          <cell r="AI845">
            <v>0</v>
          </cell>
          <cell r="AJ845">
            <v>0</v>
          </cell>
          <cell r="AK845">
            <v>0</v>
          </cell>
          <cell r="AL845">
            <v>0</v>
          </cell>
        </row>
        <row r="846">
          <cell r="E846" t="str">
            <v>FP 150sq-1C</v>
          </cell>
          <cell r="F846" t="str">
            <v>ｍ</v>
          </cell>
          <cell r="G846">
            <v>0</v>
          </cell>
          <cell r="H846">
            <v>2502</v>
          </cell>
          <cell r="I846">
            <v>0</v>
          </cell>
          <cell r="J846">
            <v>2502</v>
          </cell>
          <cell r="K846">
            <v>0</v>
          </cell>
          <cell r="L846">
            <v>2502</v>
          </cell>
          <cell r="M846">
            <v>0</v>
          </cell>
          <cell r="N846">
            <v>2502</v>
          </cell>
          <cell r="O846">
            <v>0</v>
          </cell>
          <cell r="P846">
            <v>2502</v>
          </cell>
          <cell r="Q846">
            <v>0</v>
          </cell>
          <cell r="R846">
            <v>2502</v>
          </cell>
          <cell r="S846">
            <v>0</v>
          </cell>
          <cell r="T846">
            <v>2502</v>
          </cell>
          <cell r="U846">
            <v>0</v>
          </cell>
          <cell r="V846">
            <v>2502</v>
          </cell>
          <cell r="W846">
            <v>0</v>
          </cell>
          <cell r="X846">
            <v>2502</v>
          </cell>
          <cell r="Y846">
            <v>0</v>
          </cell>
          <cell r="Z846">
            <v>2502</v>
          </cell>
          <cell r="AA846">
            <v>0</v>
          </cell>
          <cell r="AB846">
            <v>0</v>
          </cell>
          <cell r="AC846">
            <v>0</v>
          </cell>
          <cell r="AD846">
            <v>9.9000000000000005E-2</v>
          </cell>
          <cell r="AE846">
            <v>0</v>
          </cell>
          <cell r="AF846">
            <v>0</v>
          </cell>
          <cell r="AG846">
            <v>0</v>
          </cell>
          <cell r="AH846">
            <v>0</v>
          </cell>
          <cell r="AI846">
            <v>0</v>
          </cell>
          <cell r="AJ846">
            <v>0</v>
          </cell>
          <cell r="AK846">
            <v>0</v>
          </cell>
          <cell r="AL846">
            <v>0</v>
          </cell>
        </row>
        <row r="847">
          <cell r="E847" t="str">
            <v>FP 200sq-1C</v>
          </cell>
          <cell r="F847" t="str">
            <v>ｍ</v>
          </cell>
          <cell r="G847">
            <v>0</v>
          </cell>
          <cell r="H847">
            <v>3083</v>
          </cell>
          <cell r="I847">
            <v>0</v>
          </cell>
          <cell r="J847">
            <v>3083</v>
          </cell>
          <cell r="K847">
            <v>0</v>
          </cell>
          <cell r="L847">
            <v>3083</v>
          </cell>
          <cell r="M847">
            <v>0</v>
          </cell>
          <cell r="N847">
            <v>3083</v>
          </cell>
          <cell r="O847">
            <v>0</v>
          </cell>
          <cell r="P847">
            <v>3083</v>
          </cell>
          <cell r="Q847">
            <v>0</v>
          </cell>
          <cell r="R847">
            <v>3083</v>
          </cell>
          <cell r="S847">
            <v>0</v>
          </cell>
          <cell r="T847">
            <v>3083</v>
          </cell>
          <cell r="U847">
            <v>0</v>
          </cell>
          <cell r="V847">
            <v>3083</v>
          </cell>
          <cell r="W847">
            <v>0</v>
          </cell>
          <cell r="X847">
            <v>3083</v>
          </cell>
          <cell r="Y847">
            <v>0</v>
          </cell>
          <cell r="Z847">
            <v>3083</v>
          </cell>
          <cell r="AA847">
            <v>0</v>
          </cell>
          <cell r="AB847">
            <v>0</v>
          </cell>
          <cell r="AC847">
            <v>0</v>
          </cell>
          <cell r="AD847">
            <v>0.122</v>
          </cell>
          <cell r="AE847">
            <v>0</v>
          </cell>
          <cell r="AF847">
            <v>0</v>
          </cell>
          <cell r="AG847">
            <v>0</v>
          </cell>
          <cell r="AH847">
            <v>0</v>
          </cell>
          <cell r="AI847">
            <v>0</v>
          </cell>
          <cell r="AJ847">
            <v>0</v>
          </cell>
          <cell r="AK847">
            <v>0</v>
          </cell>
          <cell r="AL847">
            <v>0</v>
          </cell>
        </row>
        <row r="848">
          <cell r="E848" t="str">
            <v>FP 250sq-1C</v>
          </cell>
          <cell r="F848" t="str">
            <v>ｍ</v>
          </cell>
          <cell r="G848">
            <v>0</v>
          </cell>
          <cell r="H848">
            <v>4096</v>
          </cell>
          <cell r="I848">
            <v>0</v>
          </cell>
          <cell r="J848">
            <v>4096</v>
          </cell>
          <cell r="K848">
            <v>0</v>
          </cell>
          <cell r="L848">
            <v>4096</v>
          </cell>
          <cell r="M848">
            <v>0</v>
          </cell>
          <cell r="N848">
            <v>4096</v>
          </cell>
          <cell r="O848">
            <v>0</v>
          </cell>
          <cell r="P848">
            <v>4096</v>
          </cell>
          <cell r="Q848">
            <v>0</v>
          </cell>
          <cell r="R848">
            <v>4096</v>
          </cell>
          <cell r="S848">
            <v>0</v>
          </cell>
          <cell r="T848">
            <v>4096</v>
          </cell>
          <cell r="U848">
            <v>0</v>
          </cell>
          <cell r="V848">
            <v>4096</v>
          </cell>
          <cell r="W848">
            <v>0</v>
          </cell>
          <cell r="X848">
            <v>4096</v>
          </cell>
          <cell r="Y848">
            <v>0</v>
          </cell>
          <cell r="Z848">
            <v>4096</v>
          </cell>
          <cell r="AA848">
            <v>0</v>
          </cell>
          <cell r="AB848">
            <v>0</v>
          </cell>
          <cell r="AC848">
            <v>0</v>
          </cell>
          <cell r="AD848">
            <v>0.15</v>
          </cell>
          <cell r="AE848">
            <v>0</v>
          </cell>
          <cell r="AF848">
            <v>0</v>
          </cell>
          <cell r="AG848">
            <v>0</v>
          </cell>
          <cell r="AH848">
            <v>0</v>
          </cell>
          <cell r="AI848">
            <v>0</v>
          </cell>
          <cell r="AJ848">
            <v>0</v>
          </cell>
          <cell r="AK848">
            <v>0</v>
          </cell>
          <cell r="AL848">
            <v>0</v>
          </cell>
        </row>
        <row r="849">
          <cell r="E849" t="str">
            <v>FP 325sq-1C</v>
          </cell>
          <cell r="F849" t="str">
            <v>ｍ</v>
          </cell>
          <cell r="G849">
            <v>0</v>
          </cell>
          <cell r="H849">
            <v>4941</v>
          </cell>
          <cell r="I849">
            <v>0</v>
          </cell>
          <cell r="J849">
            <v>4941</v>
          </cell>
          <cell r="K849">
            <v>0</v>
          </cell>
          <cell r="L849">
            <v>4941</v>
          </cell>
          <cell r="M849">
            <v>0</v>
          </cell>
          <cell r="N849">
            <v>4941</v>
          </cell>
          <cell r="O849">
            <v>0</v>
          </cell>
          <cell r="P849">
            <v>4941</v>
          </cell>
          <cell r="Q849">
            <v>0</v>
          </cell>
          <cell r="R849">
            <v>4941</v>
          </cell>
          <cell r="S849">
            <v>0</v>
          </cell>
          <cell r="T849">
            <v>4941</v>
          </cell>
          <cell r="U849">
            <v>0</v>
          </cell>
          <cell r="V849">
            <v>4941</v>
          </cell>
          <cell r="W849">
            <v>0</v>
          </cell>
          <cell r="X849">
            <v>4941</v>
          </cell>
          <cell r="Y849">
            <v>0</v>
          </cell>
          <cell r="Z849">
            <v>4941</v>
          </cell>
          <cell r="AA849">
            <v>0</v>
          </cell>
          <cell r="AB849">
            <v>0</v>
          </cell>
          <cell r="AC849">
            <v>0</v>
          </cell>
          <cell r="AD849">
            <v>0.19500000000000001</v>
          </cell>
          <cell r="AE849">
            <v>0</v>
          </cell>
          <cell r="AF849">
            <v>0</v>
          </cell>
          <cell r="AG849">
            <v>0</v>
          </cell>
          <cell r="AH849">
            <v>0</v>
          </cell>
          <cell r="AI849">
            <v>0</v>
          </cell>
          <cell r="AJ849">
            <v>0</v>
          </cell>
          <cell r="AK849">
            <v>0</v>
          </cell>
          <cell r="AL849">
            <v>0</v>
          </cell>
        </row>
        <row r="850">
          <cell r="E850" t="str">
            <v>FP 1.2mm-2C</v>
          </cell>
          <cell r="F850" t="str">
            <v>ｍ</v>
          </cell>
          <cell r="G850">
            <v>0</v>
          </cell>
          <cell r="H850">
            <v>182</v>
          </cell>
          <cell r="I850">
            <v>0</v>
          </cell>
          <cell r="J850">
            <v>182</v>
          </cell>
          <cell r="K850">
            <v>0</v>
          </cell>
          <cell r="L850">
            <v>182</v>
          </cell>
          <cell r="M850">
            <v>0</v>
          </cell>
          <cell r="N850">
            <v>182</v>
          </cell>
          <cell r="O850">
            <v>0</v>
          </cell>
          <cell r="P850">
            <v>182</v>
          </cell>
          <cell r="Q850">
            <v>0</v>
          </cell>
          <cell r="R850">
            <v>182</v>
          </cell>
          <cell r="S850">
            <v>0</v>
          </cell>
          <cell r="T850">
            <v>182</v>
          </cell>
          <cell r="U850">
            <v>0</v>
          </cell>
          <cell r="V850">
            <v>182</v>
          </cell>
          <cell r="W850">
            <v>0</v>
          </cell>
          <cell r="X850">
            <v>182</v>
          </cell>
          <cell r="Y850">
            <v>0</v>
          </cell>
          <cell r="Z850">
            <v>182</v>
          </cell>
          <cell r="AA850">
            <v>0</v>
          </cell>
          <cell r="AB850">
            <v>0</v>
          </cell>
          <cell r="AC850">
            <v>0</v>
          </cell>
          <cell r="AD850">
            <v>1.4999999999999999E-2</v>
          </cell>
          <cell r="AE850">
            <v>0</v>
          </cell>
          <cell r="AF850">
            <v>0</v>
          </cell>
          <cell r="AG850">
            <v>0</v>
          </cell>
          <cell r="AH850">
            <v>0</v>
          </cell>
          <cell r="AI850">
            <v>0</v>
          </cell>
          <cell r="AJ850">
            <v>0</v>
          </cell>
          <cell r="AK850">
            <v>0</v>
          </cell>
          <cell r="AL850">
            <v>0</v>
          </cell>
        </row>
        <row r="851">
          <cell r="E851" t="str">
            <v>FP 1.6mm-2C</v>
          </cell>
          <cell r="F851" t="str">
            <v>ｍ</v>
          </cell>
          <cell r="G851">
            <v>0</v>
          </cell>
          <cell r="H851">
            <v>206</v>
          </cell>
          <cell r="I851">
            <v>0</v>
          </cell>
          <cell r="J851">
            <v>206</v>
          </cell>
          <cell r="K851">
            <v>0</v>
          </cell>
          <cell r="L851">
            <v>206</v>
          </cell>
          <cell r="M851">
            <v>0</v>
          </cell>
          <cell r="N851">
            <v>206</v>
          </cell>
          <cell r="O851">
            <v>0</v>
          </cell>
          <cell r="P851">
            <v>206</v>
          </cell>
          <cell r="Q851">
            <v>0</v>
          </cell>
          <cell r="R851">
            <v>206</v>
          </cell>
          <cell r="S851">
            <v>0</v>
          </cell>
          <cell r="T851">
            <v>206</v>
          </cell>
          <cell r="U851">
            <v>0</v>
          </cell>
          <cell r="V851">
            <v>206</v>
          </cell>
          <cell r="W851">
            <v>0</v>
          </cell>
          <cell r="X851">
            <v>206</v>
          </cell>
          <cell r="Y851">
            <v>0</v>
          </cell>
          <cell r="Z851">
            <v>206</v>
          </cell>
          <cell r="AA851">
            <v>0</v>
          </cell>
          <cell r="AB851">
            <v>0</v>
          </cell>
          <cell r="AC851">
            <v>0</v>
          </cell>
          <cell r="AD851">
            <v>1.7000000000000001E-2</v>
          </cell>
          <cell r="AE851">
            <v>0</v>
          </cell>
          <cell r="AF851">
            <v>0</v>
          </cell>
          <cell r="AG851">
            <v>0</v>
          </cell>
          <cell r="AH851">
            <v>0</v>
          </cell>
          <cell r="AI851">
            <v>0</v>
          </cell>
          <cell r="AJ851">
            <v>0</v>
          </cell>
          <cell r="AK851">
            <v>0</v>
          </cell>
          <cell r="AL851">
            <v>0</v>
          </cell>
        </row>
        <row r="852">
          <cell r="E852" t="str">
            <v>FP 2.0mm-2C</v>
          </cell>
          <cell r="F852" t="str">
            <v>ｍ</v>
          </cell>
          <cell r="G852">
            <v>0</v>
          </cell>
          <cell r="H852">
            <v>254</v>
          </cell>
          <cell r="I852">
            <v>0</v>
          </cell>
          <cell r="J852">
            <v>254</v>
          </cell>
          <cell r="K852">
            <v>0</v>
          </cell>
          <cell r="L852">
            <v>254</v>
          </cell>
          <cell r="M852">
            <v>0</v>
          </cell>
          <cell r="N852">
            <v>254</v>
          </cell>
          <cell r="O852">
            <v>0</v>
          </cell>
          <cell r="P852">
            <v>254</v>
          </cell>
          <cell r="Q852">
            <v>0</v>
          </cell>
          <cell r="R852">
            <v>254</v>
          </cell>
          <cell r="S852">
            <v>0</v>
          </cell>
          <cell r="T852">
            <v>254</v>
          </cell>
          <cell r="U852">
            <v>0</v>
          </cell>
          <cell r="V852">
            <v>254</v>
          </cell>
          <cell r="W852">
            <v>0</v>
          </cell>
          <cell r="X852">
            <v>254</v>
          </cell>
          <cell r="Y852">
            <v>0</v>
          </cell>
          <cell r="Z852">
            <v>254</v>
          </cell>
          <cell r="AA852">
            <v>0</v>
          </cell>
          <cell r="AB852">
            <v>0</v>
          </cell>
          <cell r="AC852">
            <v>0</v>
          </cell>
          <cell r="AD852">
            <v>0.02</v>
          </cell>
          <cell r="AE852">
            <v>0</v>
          </cell>
          <cell r="AF852">
            <v>0</v>
          </cell>
          <cell r="AG852">
            <v>0</v>
          </cell>
          <cell r="AH852">
            <v>0</v>
          </cell>
          <cell r="AI852">
            <v>0</v>
          </cell>
          <cell r="AJ852">
            <v>0</v>
          </cell>
          <cell r="AK852">
            <v>0</v>
          </cell>
          <cell r="AL852">
            <v>0</v>
          </cell>
        </row>
        <row r="853">
          <cell r="E853" t="str">
            <v>FP 2.6mm-2C</v>
          </cell>
          <cell r="F853" t="str">
            <v>ｍ</v>
          </cell>
          <cell r="G853">
            <v>0</v>
          </cell>
          <cell r="H853">
            <v>366</v>
          </cell>
          <cell r="I853">
            <v>0</v>
          </cell>
          <cell r="J853">
            <v>366</v>
          </cell>
          <cell r="K853">
            <v>0</v>
          </cell>
          <cell r="L853">
            <v>366</v>
          </cell>
          <cell r="M853">
            <v>0</v>
          </cell>
          <cell r="N853">
            <v>366</v>
          </cell>
          <cell r="O853">
            <v>0</v>
          </cell>
          <cell r="P853">
            <v>366</v>
          </cell>
          <cell r="Q853">
            <v>0</v>
          </cell>
          <cell r="R853">
            <v>366</v>
          </cell>
          <cell r="S853">
            <v>0</v>
          </cell>
          <cell r="T853">
            <v>366</v>
          </cell>
          <cell r="U853">
            <v>0</v>
          </cell>
          <cell r="V853">
            <v>366</v>
          </cell>
          <cell r="W853">
            <v>0</v>
          </cell>
          <cell r="X853">
            <v>366</v>
          </cell>
          <cell r="Y853">
            <v>0</v>
          </cell>
          <cell r="Z853">
            <v>366</v>
          </cell>
          <cell r="AA853">
            <v>0</v>
          </cell>
          <cell r="AB853">
            <v>0</v>
          </cell>
          <cell r="AC853">
            <v>0</v>
          </cell>
          <cell r="AD853">
            <v>2.5000000000000001E-2</v>
          </cell>
          <cell r="AE853">
            <v>0</v>
          </cell>
          <cell r="AF853">
            <v>0</v>
          </cell>
          <cell r="AG853">
            <v>0</v>
          </cell>
          <cell r="AH853">
            <v>0</v>
          </cell>
          <cell r="AI853">
            <v>0</v>
          </cell>
          <cell r="AJ853">
            <v>0</v>
          </cell>
          <cell r="AK853">
            <v>0</v>
          </cell>
          <cell r="AL853">
            <v>0</v>
          </cell>
        </row>
        <row r="854">
          <cell r="E854" t="str">
            <v>FP 2sq-2C</v>
          </cell>
          <cell r="F854" t="str">
            <v>ｍ</v>
          </cell>
          <cell r="G854">
            <v>0</v>
          </cell>
          <cell r="H854">
            <v>225</v>
          </cell>
          <cell r="I854">
            <v>0</v>
          </cell>
          <cell r="J854">
            <v>225</v>
          </cell>
          <cell r="K854">
            <v>0</v>
          </cell>
          <cell r="L854">
            <v>225</v>
          </cell>
          <cell r="M854">
            <v>0</v>
          </cell>
          <cell r="N854">
            <v>225</v>
          </cell>
          <cell r="O854">
            <v>0</v>
          </cell>
          <cell r="P854">
            <v>225</v>
          </cell>
          <cell r="Q854">
            <v>0</v>
          </cell>
          <cell r="R854">
            <v>225</v>
          </cell>
          <cell r="S854">
            <v>0</v>
          </cell>
          <cell r="T854">
            <v>225</v>
          </cell>
          <cell r="U854">
            <v>0</v>
          </cell>
          <cell r="V854">
            <v>225</v>
          </cell>
          <cell r="W854">
            <v>0</v>
          </cell>
          <cell r="X854">
            <v>225</v>
          </cell>
          <cell r="Y854">
            <v>0</v>
          </cell>
          <cell r="Z854">
            <v>225</v>
          </cell>
          <cell r="AA854">
            <v>0</v>
          </cell>
          <cell r="AB854">
            <v>0</v>
          </cell>
          <cell r="AC854">
            <v>0</v>
          </cell>
          <cell r="AD854">
            <v>1.7000000000000001E-2</v>
          </cell>
          <cell r="AE854">
            <v>0</v>
          </cell>
          <cell r="AF854">
            <v>0</v>
          </cell>
          <cell r="AG854">
            <v>0</v>
          </cell>
          <cell r="AH854">
            <v>0</v>
          </cell>
          <cell r="AI854">
            <v>0</v>
          </cell>
          <cell r="AJ854">
            <v>0</v>
          </cell>
          <cell r="AK854">
            <v>0</v>
          </cell>
          <cell r="AL854">
            <v>0</v>
          </cell>
        </row>
        <row r="855">
          <cell r="E855" t="str">
            <v>FP 3.5sq-2C</v>
          </cell>
          <cell r="F855" t="str">
            <v>ｍ</v>
          </cell>
          <cell r="G855">
            <v>0</v>
          </cell>
          <cell r="H855">
            <v>259</v>
          </cell>
          <cell r="I855">
            <v>0</v>
          </cell>
          <cell r="J855">
            <v>259</v>
          </cell>
          <cell r="K855">
            <v>0</v>
          </cell>
          <cell r="L855">
            <v>259</v>
          </cell>
          <cell r="M855">
            <v>0</v>
          </cell>
          <cell r="N855">
            <v>259</v>
          </cell>
          <cell r="O855">
            <v>0</v>
          </cell>
          <cell r="P855">
            <v>259</v>
          </cell>
          <cell r="Q855">
            <v>0</v>
          </cell>
          <cell r="R855">
            <v>259</v>
          </cell>
          <cell r="S855">
            <v>0</v>
          </cell>
          <cell r="T855">
            <v>259</v>
          </cell>
          <cell r="U855">
            <v>0</v>
          </cell>
          <cell r="V855">
            <v>259</v>
          </cell>
          <cell r="W855">
            <v>0</v>
          </cell>
          <cell r="X855">
            <v>259</v>
          </cell>
          <cell r="Y855">
            <v>0</v>
          </cell>
          <cell r="Z855">
            <v>259</v>
          </cell>
          <cell r="AA855">
            <v>0</v>
          </cell>
          <cell r="AB855">
            <v>0</v>
          </cell>
          <cell r="AC855">
            <v>0</v>
          </cell>
          <cell r="AD855">
            <v>0.02</v>
          </cell>
          <cell r="AE855">
            <v>0</v>
          </cell>
          <cell r="AF855">
            <v>0</v>
          </cell>
          <cell r="AG855">
            <v>0</v>
          </cell>
          <cell r="AH855">
            <v>0</v>
          </cell>
          <cell r="AI855">
            <v>0</v>
          </cell>
          <cell r="AJ855">
            <v>0</v>
          </cell>
          <cell r="AK855">
            <v>0</v>
          </cell>
          <cell r="AL855">
            <v>0</v>
          </cell>
        </row>
        <row r="856">
          <cell r="E856" t="str">
            <v>FP 5.5sq-2C</v>
          </cell>
          <cell r="F856" t="str">
            <v>ｍ</v>
          </cell>
          <cell r="G856">
            <v>0</v>
          </cell>
          <cell r="H856">
            <v>329</v>
          </cell>
          <cell r="I856">
            <v>0</v>
          </cell>
          <cell r="J856">
            <v>329</v>
          </cell>
          <cell r="K856">
            <v>0</v>
          </cell>
          <cell r="L856">
            <v>329</v>
          </cell>
          <cell r="M856">
            <v>0</v>
          </cell>
          <cell r="N856">
            <v>329</v>
          </cell>
          <cell r="O856">
            <v>0</v>
          </cell>
          <cell r="P856">
            <v>329</v>
          </cell>
          <cell r="Q856">
            <v>0</v>
          </cell>
          <cell r="R856">
            <v>329</v>
          </cell>
          <cell r="S856">
            <v>0</v>
          </cell>
          <cell r="T856">
            <v>329</v>
          </cell>
          <cell r="U856">
            <v>0</v>
          </cell>
          <cell r="V856">
            <v>329</v>
          </cell>
          <cell r="W856">
            <v>0</v>
          </cell>
          <cell r="X856">
            <v>329</v>
          </cell>
          <cell r="Y856">
            <v>0</v>
          </cell>
          <cell r="Z856">
            <v>329</v>
          </cell>
          <cell r="AA856">
            <v>0</v>
          </cell>
          <cell r="AB856">
            <v>0</v>
          </cell>
          <cell r="AC856">
            <v>0</v>
          </cell>
          <cell r="AD856">
            <v>2.5000000000000001E-2</v>
          </cell>
          <cell r="AE856">
            <v>0</v>
          </cell>
          <cell r="AF856">
            <v>0</v>
          </cell>
          <cell r="AG856">
            <v>0</v>
          </cell>
          <cell r="AH856">
            <v>0</v>
          </cell>
          <cell r="AI856">
            <v>0</v>
          </cell>
          <cell r="AJ856">
            <v>0</v>
          </cell>
          <cell r="AK856">
            <v>0</v>
          </cell>
          <cell r="AL856">
            <v>0</v>
          </cell>
        </row>
        <row r="857">
          <cell r="E857" t="str">
            <v>FP 8sq-2C</v>
          </cell>
          <cell r="F857" t="str">
            <v>ｍ</v>
          </cell>
          <cell r="G857">
            <v>0</v>
          </cell>
          <cell r="H857">
            <v>492</v>
          </cell>
          <cell r="I857">
            <v>0</v>
          </cell>
          <cell r="J857">
            <v>492</v>
          </cell>
          <cell r="K857">
            <v>0</v>
          </cell>
          <cell r="L857">
            <v>492</v>
          </cell>
          <cell r="M857">
            <v>0</v>
          </cell>
          <cell r="N857">
            <v>492</v>
          </cell>
          <cell r="O857">
            <v>0</v>
          </cell>
          <cell r="P857">
            <v>492</v>
          </cell>
          <cell r="Q857">
            <v>0</v>
          </cell>
          <cell r="R857">
            <v>492</v>
          </cell>
          <cell r="S857">
            <v>0</v>
          </cell>
          <cell r="T857">
            <v>492</v>
          </cell>
          <cell r="U857">
            <v>0</v>
          </cell>
          <cell r="V857">
            <v>492</v>
          </cell>
          <cell r="W857">
            <v>0</v>
          </cell>
          <cell r="X857">
            <v>492</v>
          </cell>
          <cell r="Y857">
            <v>0</v>
          </cell>
          <cell r="Z857">
            <v>492</v>
          </cell>
          <cell r="AA857">
            <v>0</v>
          </cell>
          <cell r="AB857">
            <v>0</v>
          </cell>
          <cell r="AC857">
            <v>0</v>
          </cell>
          <cell r="AD857">
            <v>2.7E-2</v>
          </cell>
          <cell r="AE857">
            <v>0</v>
          </cell>
          <cell r="AF857">
            <v>0</v>
          </cell>
          <cell r="AG857">
            <v>0</v>
          </cell>
          <cell r="AH857">
            <v>0</v>
          </cell>
          <cell r="AI857">
            <v>0</v>
          </cell>
          <cell r="AJ857">
            <v>0</v>
          </cell>
          <cell r="AK857">
            <v>0</v>
          </cell>
          <cell r="AL857">
            <v>0</v>
          </cell>
        </row>
        <row r="858">
          <cell r="E858" t="str">
            <v>FP 14sq-2C</v>
          </cell>
          <cell r="F858" t="str">
            <v>ｍ</v>
          </cell>
          <cell r="G858">
            <v>0</v>
          </cell>
          <cell r="H858">
            <v>725</v>
          </cell>
          <cell r="I858">
            <v>0</v>
          </cell>
          <cell r="J858">
            <v>725</v>
          </cell>
          <cell r="K858">
            <v>0</v>
          </cell>
          <cell r="L858">
            <v>725</v>
          </cell>
          <cell r="M858">
            <v>0</v>
          </cell>
          <cell r="N858">
            <v>725</v>
          </cell>
          <cell r="O858">
            <v>0</v>
          </cell>
          <cell r="P858">
            <v>725</v>
          </cell>
          <cell r="Q858">
            <v>0</v>
          </cell>
          <cell r="R858">
            <v>725</v>
          </cell>
          <cell r="S858">
            <v>0</v>
          </cell>
          <cell r="T858">
            <v>725</v>
          </cell>
          <cell r="U858">
            <v>0</v>
          </cell>
          <cell r="V858">
            <v>725</v>
          </cell>
          <cell r="W858">
            <v>0</v>
          </cell>
          <cell r="X858">
            <v>725</v>
          </cell>
          <cell r="Y858">
            <v>0</v>
          </cell>
          <cell r="Z858">
            <v>725</v>
          </cell>
          <cell r="AA858">
            <v>0</v>
          </cell>
          <cell r="AB858">
            <v>0</v>
          </cell>
          <cell r="AC858">
            <v>0</v>
          </cell>
          <cell r="AD858">
            <v>3.5000000000000003E-2</v>
          </cell>
          <cell r="AE858">
            <v>0</v>
          </cell>
          <cell r="AF858">
            <v>0</v>
          </cell>
          <cell r="AG858">
            <v>0</v>
          </cell>
          <cell r="AH858">
            <v>0</v>
          </cell>
          <cell r="AI858">
            <v>0</v>
          </cell>
          <cell r="AJ858">
            <v>0</v>
          </cell>
          <cell r="AK858">
            <v>0</v>
          </cell>
          <cell r="AL858">
            <v>0</v>
          </cell>
        </row>
        <row r="859">
          <cell r="E859" t="str">
            <v>FP 22sq-2C</v>
          </cell>
          <cell r="F859" t="str">
            <v>ｍ</v>
          </cell>
          <cell r="G859">
            <v>0</v>
          </cell>
          <cell r="H859">
            <v>1005</v>
          </cell>
          <cell r="I859">
            <v>0</v>
          </cell>
          <cell r="J859">
            <v>1005</v>
          </cell>
          <cell r="K859">
            <v>0</v>
          </cell>
          <cell r="L859">
            <v>1005</v>
          </cell>
          <cell r="M859">
            <v>0</v>
          </cell>
          <cell r="N859">
            <v>1005</v>
          </cell>
          <cell r="O859">
            <v>0</v>
          </cell>
          <cell r="P859">
            <v>1005</v>
          </cell>
          <cell r="Q859">
            <v>0</v>
          </cell>
          <cell r="R859">
            <v>1005</v>
          </cell>
          <cell r="S859">
            <v>0</v>
          </cell>
          <cell r="T859">
            <v>1005</v>
          </cell>
          <cell r="U859">
            <v>0</v>
          </cell>
          <cell r="V859">
            <v>1005</v>
          </cell>
          <cell r="W859">
            <v>0</v>
          </cell>
          <cell r="X859">
            <v>1005</v>
          </cell>
          <cell r="Y859">
            <v>0</v>
          </cell>
          <cell r="Z859">
            <v>1005</v>
          </cell>
          <cell r="AA859">
            <v>0</v>
          </cell>
          <cell r="AB859">
            <v>0</v>
          </cell>
          <cell r="AC859">
            <v>0</v>
          </cell>
          <cell r="AD859">
            <v>4.4999999999999998E-2</v>
          </cell>
          <cell r="AE859">
            <v>0</v>
          </cell>
          <cell r="AF859">
            <v>0</v>
          </cell>
          <cell r="AG859">
            <v>0</v>
          </cell>
          <cell r="AH859">
            <v>0</v>
          </cell>
          <cell r="AI859">
            <v>0</v>
          </cell>
          <cell r="AJ859">
            <v>0</v>
          </cell>
          <cell r="AK859">
            <v>0</v>
          </cell>
          <cell r="AL859">
            <v>0</v>
          </cell>
        </row>
        <row r="860">
          <cell r="E860" t="str">
            <v>FP 38sq-2C</v>
          </cell>
          <cell r="F860" t="str">
            <v>ｍ</v>
          </cell>
          <cell r="G860">
            <v>0</v>
          </cell>
          <cell r="H860">
            <v>1529</v>
          </cell>
          <cell r="I860">
            <v>0</v>
          </cell>
          <cell r="J860">
            <v>1529</v>
          </cell>
          <cell r="K860">
            <v>0</v>
          </cell>
          <cell r="L860">
            <v>1529</v>
          </cell>
          <cell r="M860">
            <v>0</v>
          </cell>
          <cell r="N860">
            <v>1529</v>
          </cell>
          <cell r="O860">
            <v>0</v>
          </cell>
          <cell r="P860">
            <v>1529</v>
          </cell>
          <cell r="Q860">
            <v>0</v>
          </cell>
          <cell r="R860">
            <v>1529</v>
          </cell>
          <cell r="S860">
            <v>0</v>
          </cell>
          <cell r="T860">
            <v>1529</v>
          </cell>
          <cell r="U860">
            <v>0</v>
          </cell>
          <cell r="V860">
            <v>1529</v>
          </cell>
          <cell r="W860">
            <v>0</v>
          </cell>
          <cell r="X860">
            <v>1529</v>
          </cell>
          <cell r="Y860">
            <v>0</v>
          </cell>
          <cell r="Z860">
            <v>1529</v>
          </cell>
          <cell r="AA860">
            <v>0</v>
          </cell>
          <cell r="AB860">
            <v>0</v>
          </cell>
          <cell r="AC860">
            <v>0</v>
          </cell>
          <cell r="AD860">
            <v>5.8999999999999997E-2</v>
          </cell>
          <cell r="AE860">
            <v>0</v>
          </cell>
          <cell r="AF860">
            <v>0</v>
          </cell>
          <cell r="AG860">
            <v>0</v>
          </cell>
          <cell r="AH860">
            <v>0</v>
          </cell>
          <cell r="AI860">
            <v>0</v>
          </cell>
          <cell r="AJ860">
            <v>0</v>
          </cell>
          <cell r="AK860">
            <v>0</v>
          </cell>
          <cell r="AL860">
            <v>0</v>
          </cell>
        </row>
        <row r="861">
          <cell r="E861" t="str">
            <v>FP 60sq-2C</v>
          </cell>
          <cell r="F861" t="str">
            <v>ｍ</v>
          </cell>
          <cell r="G861">
            <v>0</v>
          </cell>
          <cell r="H861">
            <v>2390</v>
          </cell>
          <cell r="I861">
            <v>0</v>
          </cell>
          <cell r="J861">
            <v>2390</v>
          </cell>
          <cell r="K861">
            <v>0</v>
          </cell>
          <cell r="L861">
            <v>2390</v>
          </cell>
          <cell r="M861">
            <v>0</v>
          </cell>
          <cell r="N861">
            <v>2390</v>
          </cell>
          <cell r="O861">
            <v>0</v>
          </cell>
          <cell r="P861">
            <v>2390</v>
          </cell>
          <cell r="Q861">
            <v>0</v>
          </cell>
          <cell r="R861">
            <v>2390</v>
          </cell>
          <cell r="S861">
            <v>0</v>
          </cell>
          <cell r="T861">
            <v>2390</v>
          </cell>
          <cell r="U861">
            <v>0</v>
          </cell>
          <cell r="V861">
            <v>2390</v>
          </cell>
          <cell r="W861">
            <v>0</v>
          </cell>
          <cell r="X861">
            <v>2390</v>
          </cell>
          <cell r="Y861">
            <v>0</v>
          </cell>
          <cell r="Z861">
            <v>2390</v>
          </cell>
          <cell r="AA861">
            <v>0</v>
          </cell>
          <cell r="AB861">
            <v>0</v>
          </cell>
          <cell r="AC861">
            <v>0</v>
          </cell>
          <cell r="AD861">
            <v>7.8E-2</v>
          </cell>
          <cell r="AE861">
            <v>0</v>
          </cell>
          <cell r="AF861">
            <v>0</v>
          </cell>
          <cell r="AG861">
            <v>0</v>
          </cell>
          <cell r="AH861">
            <v>0</v>
          </cell>
          <cell r="AI861">
            <v>0</v>
          </cell>
          <cell r="AJ861">
            <v>0</v>
          </cell>
          <cell r="AK861">
            <v>0</v>
          </cell>
          <cell r="AL861">
            <v>0</v>
          </cell>
        </row>
        <row r="862">
          <cell r="E862" t="str">
            <v>FP 100sq-2C</v>
          </cell>
          <cell r="F862" t="str">
            <v>ｍ</v>
          </cell>
          <cell r="G862">
            <v>0</v>
          </cell>
          <cell r="H862">
            <v>3654</v>
          </cell>
          <cell r="I862">
            <v>0</v>
          </cell>
          <cell r="J862">
            <v>3654</v>
          </cell>
          <cell r="K862">
            <v>0</v>
          </cell>
          <cell r="L862">
            <v>3654</v>
          </cell>
          <cell r="M862">
            <v>0</v>
          </cell>
          <cell r="N862">
            <v>3654</v>
          </cell>
          <cell r="O862">
            <v>0</v>
          </cell>
          <cell r="P862">
            <v>3654</v>
          </cell>
          <cell r="Q862">
            <v>0</v>
          </cell>
          <cell r="R862">
            <v>3654</v>
          </cell>
          <cell r="S862">
            <v>0</v>
          </cell>
          <cell r="T862">
            <v>3654</v>
          </cell>
          <cell r="U862">
            <v>0</v>
          </cell>
          <cell r="V862">
            <v>3654</v>
          </cell>
          <cell r="W862">
            <v>0</v>
          </cell>
          <cell r="X862">
            <v>3654</v>
          </cell>
          <cell r="Y862">
            <v>0</v>
          </cell>
          <cell r="Z862">
            <v>3654</v>
          </cell>
          <cell r="AA862">
            <v>0</v>
          </cell>
          <cell r="AB862">
            <v>0</v>
          </cell>
          <cell r="AC862">
            <v>0</v>
          </cell>
          <cell r="AD862">
            <v>0.108</v>
          </cell>
          <cell r="AE862">
            <v>0</v>
          </cell>
          <cell r="AF862">
            <v>0</v>
          </cell>
          <cell r="AG862">
            <v>0</v>
          </cell>
          <cell r="AH862">
            <v>0</v>
          </cell>
          <cell r="AI862">
            <v>0</v>
          </cell>
          <cell r="AJ862">
            <v>0</v>
          </cell>
          <cell r="AK862">
            <v>0</v>
          </cell>
          <cell r="AL862">
            <v>0</v>
          </cell>
        </row>
        <row r="863">
          <cell r="E863" t="str">
            <v>FP 150sq-2C</v>
          </cell>
          <cell r="F863" t="str">
            <v>ｍ</v>
          </cell>
          <cell r="G863">
            <v>0</v>
          </cell>
          <cell r="H863">
            <v>5586</v>
          </cell>
          <cell r="I863">
            <v>0</v>
          </cell>
          <cell r="J863">
            <v>5586</v>
          </cell>
          <cell r="K863">
            <v>0</v>
          </cell>
          <cell r="L863">
            <v>5586</v>
          </cell>
          <cell r="M863">
            <v>0</v>
          </cell>
          <cell r="N863">
            <v>5586</v>
          </cell>
          <cell r="O863">
            <v>0</v>
          </cell>
          <cell r="P863">
            <v>5586</v>
          </cell>
          <cell r="Q863">
            <v>0</v>
          </cell>
          <cell r="R863">
            <v>5586</v>
          </cell>
          <cell r="S863">
            <v>0</v>
          </cell>
          <cell r="T863">
            <v>5586</v>
          </cell>
          <cell r="U863">
            <v>0</v>
          </cell>
          <cell r="V863">
            <v>5586</v>
          </cell>
          <cell r="W863">
            <v>0</v>
          </cell>
          <cell r="X863">
            <v>5586</v>
          </cell>
          <cell r="Y863">
            <v>0</v>
          </cell>
          <cell r="Z863">
            <v>5586</v>
          </cell>
          <cell r="AA863">
            <v>0</v>
          </cell>
          <cell r="AB863">
            <v>0</v>
          </cell>
          <cell r="AC863">
            <v>0</v>
          </cell>
          <cell r="AD863">
            <v>0.13100000000000001</v>
          </cell>
          <cell r="AE863">
            <v>0</v>
          </cell>
          <cell r="AF863">
            <v>0</v>
          </cell>
          <cell r="AG863">
            <v>0</v>
          </cell>
          <cell r="AH863">
            <v>0</v>
          </cell>
          <cell r="AI863">
            <v>0</v>
          </cell>
          <cell r="AJ863">
            <v>0</v>
          </cell>
          <cell r="AK863">
            <v>0</v>
          </cell>
          <cell r="AL863">
            <v>0</v>
          </cell>
        </row>
        <row r="864">
          <cell r="E864" t="str">
            <v>FP 200sq-2C</v>
          </cell>
          <cell r="F864" t="str">
            <v>ｍ</v>
          </cell>
          <cell r="G864">
            <v>0</v>
          </cell>
          <cell r="H864">
            <v>6870</v>
          </cell>
          <cell r="I864">
            <v>0</v>
          </cell>
          <cell r="J864">
            <v>6870</v>
          </cell>
          <cell r="K864">
            <v>0</v>
          </cell>
          <cell r="L864">
            <v>6870</v>
          </cell>
          <cell r="M864">
            <v>0</v>
          </cell>
          <cell r="N864">
            <v>6870</v>
          </cell>
          <cell r="O864">
            <v>0</v>
          </cell>
          <cell r="P864">
            <v>6870</v>
          </cell>
          <cell r="Q864">
            <v>0</v>
          </cell>
          <cell r="R864">
            <v>6870</v>
          </cell>
          <cell r="S864">
            <v>0</v>
          </cell>
          <cell r="T864">
            <v>6870</v>
          </cell>
          <cell r="U864">
            <v>0</v>
          </cell>
          <cell r="V864">
            <v>6870</v>
          </cell>
          <cell r="W864">
            <v>0</v>
          </cell>
          <cell r="X864">
            <v>6870</v>
          </cell>
          <cell r="Y864">
            <v>0</v>
          </cell>
          <cell r="Z864">
            <v>6870</v>
          </cell>
          <cell r="AA864">
            <v>0</v>
          </cell>
          <cell r="AB864">
            <v>0</v>
          </cell>
          <cell r="AC864">
            <v>0</v>
          </cell>
          <cell r="AD864">
            <v>0.16300000000000001</v>
          </cell>
          <cell r="AE864">
            <v>0</v>
          </cell>
          <cell r="AF864">
            <v>0</v>
          </cell>
          <cell r="AG864">
            <v>0</v>
          </cell>
          <cell r="AH864">
            <v>0</v>
          </cell>
          <cell r="AI864">
            <v>0</v>
          </cell>
          <cell r="AJ864">
            <v>0</v>
          </cell>
          <cell r="AK864">
            <v>0</v>
          </cell>
          <cell r="AL864">
            <v>0</v>
          </cell>
        </row>
        <row r="865">
          <cell r="E865" t="str">
            <v>FP 250sq-2C</v>
          </cell>
          <cell r="F865" t="str">
            <v>ｍ</v>
          </cell>
          <cell r="G865">
            <v>0</v>
          </cell>
          <cell r="H865">
            <v>9076</v>
          </cell>
          <cell r="I865">
            <v>0</v>
          </cell>
          <cell r="J865">
            <v>9076</v>
          </cell>
          <cell r="K865">
            <v>0</v>
          </cell>
          <cell r="L865">
            <v>9076</v>
          </cell>
          <cell r="M865">
            <v>0</v>
          </cell>
          <cell r="N865">
            <v>9076</v>
          </cell>
          <cell r="O865">
            <v>0</v>
          </cell>
          <cell r="P865">
            <v>9076</v>
          </cell>
          <cell r="Q865">
            <v>0</v>
          </cell>
          <cell r="R865">
            <v>9076</v>
          </cell>
          <cell r="S865">
            <v>0</v>
          </cell>
          <cell r="T865">
            <v>9076</v>
          </cell>
          <cell r="U865">
            <v>0</v>
          </cell>
          <cell r="V865">
            <v>9076</v>
          </cell>
          <cell r="W865">
            <v>0</v>
          </cell>
          <cell r="X865">
            <v>9076</v>
          </cell>
          <cell r="Y865">
            <v>0</v>
          </cell>
          <cell r="Z865">
            <v>9076</v>
          </cell>
          <cell r="AA865">
            <v>0</v>
          </cell>
          <cell r="AB865">
            <v>0</v>
          </cell>
          <cell r="AC865">
            <v>0</v>
          </cell>
          <cell r="AD865">
            <v>0.20300000000000001</v>
          </cell>
          <cell r="AE865">
            <v>0</v>
          </cell>
          <cell r="AF865">
            <v>0</v>
          </cell>
          <cell r="AG865">
            <v>0</v>
          </cell>
          <cell r="AH865">
            <v>0</v>
          </cell>
          <cell r="AI865">
            <v>0</v>
          </cell>
          <cell r="AJ865">
            <v>0</v>
          </cell>
          <cell r="AK865">
            <v>0</v>
          </cell>
          <cell r="AL865">
            <v>0</v>
          </cell>
        </row>
        <row r="866">
          <cell r="E866" t="str">
            <v>FP 325sq-2C</v>
          </cell>
          <cell r="F866" t="str">
            <v>ｍ</v>
          </cell>
          <cell r="G866">
            <v>0</v>
          </cell>
          <cell r="H866">
            <v>10874</v>
          </cell>
          <cell r="I866">
            <v>0</v>
          </cell>
          <cell r="J866">
            <v>10874</v>
          </cell>
          <cell r="K866">
            <v>0</v>
          </cell>
          <cell r="L866">
            <v>10874</v>
          </cell>
          <cell r="M866">
            <v>0</v>
          </cell>
          <cell r="N866">
            <v>10874</v>
          </cell>
          <cell r="O866">
            <v>0</v>
          </cell>
          <cell r="P866">
            <v>10874</v>
          </cell>
          <cell r="Q866">
            <v>0</v>
          </cell>
          <cell r="R866">
            <v>10874</v>
          </cell>
          <cell r="S866">
            <v>0</v>
          </cell>
          <cell r="T866">
            <v>10874</v>
          </cell>
          <cell r="U866">
            <v>0</v>
          </cell>
          <cell r="V866">
            <v>10874</v>
          </cell>
          <cell r="W866">
            <v>0</v>
          </cell>
          <cell r="X866">
            <v>10874</v>
          </cell>
          <cell r="Y866">
            <v>0</v>
          </cell>
          <cell r="Z866">
            <v>10874</v>
          </cell>
          <cell r="AA866">
            <v>0</v>
          </cell>
          <cell r="AB866">
            <v>0</v>
          </cell>
          <cell r="AC866">
            <v>0</v>
          </cell>
          <cell r="AD866">
            <v>0.26300000000000001</v>
          </cell>
          <cell r="AE866">
            <v>0</v>
          </cell>
          <cell r="AF866">
            <v>0</v>
          </cell>
          <cell r="AG866">
            <v>0</v>
          </cell>
          <cell r="AH866">
            <v>0</v>
          </cell>
          <cell r="AI866">
            <v>0</v>
          </cell>
          <cell r="AJ866">
            <v>0</v>
          </cell>
          <cell r="AK866">
            <v>0</v>
          </cell>
          <cell r="AL866">
            <v>0</v>
          </cell>
        </row>
        <row r="867">
          <cell r="E867" t="str">
            <v>FP 1.2mm-3C</v>
          </cell>
          <cell r="F867" t="str">
            <v>ｍ</v>
          </cell>
          <cell r="G867">
            <v>0</v>
          </cell>
          <cell r="H867">
            <v>253</v>
          </cell>
          <cell r="I867">
            <v>0</v>
          </cell>
          <cell r="J867">
            <v>253</v>
          </cell>
          <cell r="K867">
            <v>0</v>
          </cell>
          <cell r="L867">
            <v>253</v>
          </cell>
          <cell r="M867">
            <v>0</v>
          </cell>
          <cell r="N867">
            <v>253</v>
          </cell>
          <cell r="O867">
            <v>0</v>
          </cell>
          <cell r="P867">
            <v>253</v>
          </cell>
          <cell r="Q867">
            <v>0</v>
          </cell>
          <cell r="R867">
            <v>253</v>
          </cell>
          <cell r="S867">
            <v>0</v>
          </cell>
          <cell r="T867">
            <v>253</v>
          </cell>
          <cell r="U867">
            <v>0</v>
          </cell>
          <cell r="V867">
            <v>253</v>
          </cell>
          <cell r="W867">
            <v>0</v>
          </cell>
          <cell r="X867">
            <v>253</v>
          </cell>
          <cell r="Y867">
            <v>0</v>
          </cell>
          <cell r="Z867">
            <v>253</v>
          </cell>
          <cell r="AA867">
            <v>0</v>
          </cell>
          <cell r="AB867">
            <v>0</v>
          </cell>
          <cell r="AC867">
            <v>0</v>
          </cell>
          <cell r="AD867">
            <v>1.7000000000000001E-2</v>
          </cell>
          <cell r="AE867">
            <v>0</v>
          </cell>
          <cell r="AF867">
            <v>0</v>
          </cell>
          <cell r="AG867">
            <v>0</v>
          </cell>
          <cell r="AH867">
            <v>0</v>
          </cell>
          <cell r="AI867">
            <v>0</v>
          </cell>
          <cell r="AJ867">
            <v>0</v>
          </cell>
          <cell r="AK867">
            <v>0</v>
          </cell>
          <cell r="AL867">
            <v>0</v>
          </cell>
        </row>
        <row r="868">
          <cell r="E868" t="str">
            <v>FP 1.6mm-3C</v>
          </cell>
          <cell r="F868" t="str">
            <v>ｍ</v>
          </cell>
          <cell r="G868">
            <v>0</v>
          </cell>
          <cell r="H868">
            <v>299</v>
          </cell>
          <cell r="I868">
            <v>0</v>
          </cell>
          <cell r="J868">
            <v>299</v>
          </cell>
          <cell r="K868">
            <v>0</v>
          </cell>
          <cell r="L868">
            <v>299</v>
          </cell>
          <cell r="M868">
            <v>0</v>
          </cell>
          <cell r="N868">
            <v>299</v>
          </cell>
          <cell r="O868">
            <v>0</v>
          </cell>
          <cell r="P868">
            <v>299</v>
          </cell>
          <cell r="Q868">
            <v>0</v>
          </cell>
          <cell r="R868">
            <v>299</v>
          </cell>
          <cell r="S868">
            <v>0</v>
          </cell>
          <cell r="T868">
            <v>299</v>
          </cell>
          <cell r="U868">
            <v>0</v>
          </cell>
          <cell r="V868">
            <v>299</v>
          </cell>
          <cell r="W868">
            <v>0</v>
          </cell>
          <cell r="X868">
            <v>299</v>
          </cell>
          <cell r="Y868">
            <v>0</v>
          </cell>
          <cell r="Z868">
            <v>299</v>
          </cell>
          <cell r="AA868">
            <v>0</v>
          </cell>
          <cell r="AB868">
            <v>0</v>
          </cell>
          <cell r="AC868">
            <v>0</v>
          </cell>
          <cell r="AD868">
            <v>0.02</v>
          </cell>
          <cell r="AE868">
            <v>0</v>
          </cell>
          <cell r="AF868">
            <v>0</v>
          </cell>
          <cell r="AG868">
            <v>0</v>
          </cell>
          <cell r="AH868">
            <v>0</v>
          </cell>
          <cell r="AI868">
            <v>0</v>
          </cell>
          <cell r="AJ868">
            <v>0</v>
          </cell>
          <cell r="AK868">
            <v>0</v>
          </cell>
          <cell r="AL868">
            <v>0</v>
          </cell>
        </row>
        <row r="869">
          <cell r="E869" t="str">
            <v>FP 2.0mm-3C</v>
          </cell>
          <cell r="F869" t="str">
            <v>ｍ</v>
          </cell>
          <cell r="G869">
            <v>0</v>
          </cell>
          <cell r="H869">
            <v>364</v>
          </cell>
          <cell r="I869">
            <v>0</v>
          </cell>
          <cell r="J869">
            <v>364</v>
          </cell>
          <cell r="K869">
            <v>0</v>
          </cell>
          <cell r="L869">
            <v>364</v>
          </cell>
          <cell r="M869">
            <v>0</v>
          </cell>
          <cell r="N869">
            <v>364</v>
          </cell>
          <cell r="O869">
            <v>0</v>
          </cell>
          <cell r="P869">
            <v>364</v>
          </cell>
          <cell r="Q869">
            <v>0</v>
          </cell>
          <cell r="R869">
            <v>364</v>
          </cell>
          <cell r="S869">
            <v>0</v>
          </cell>
          <cell r="T869">
            <v>364</v>
          </cell>
          <cell r="U869">
            <v>0</v>
          </cell>
          <cell r="V869">
            <v>364</v>
          </cell>
          <cell r="W869">
            <v>0</v>
          </cell>
          <cell r="X869">
            <v>364</v>
          </cell>
          <cell r="Y869">
            <v>0</v>
          </cell>
          <cell r="Z869">
            <v>364</v>
          </cell>
          <cell r="AA869">
            <v>0</v>
          </cell>
          <cell r="AB869">
            <v>0</v>
          </cell>
          <cell r="AC869">
            <v>0</v>
          </cell>
          <cell r="AD869">
            <v>2.4E-2</v>
          </cell>
          <cell r="AE869">
            <v>0</v>
          </cell>
          <cell r="AF869">
            <v>0</v>
          </cell>
          <cell r="AG869">
            <v>0</v>
          </cell>
          <cell r="AH869">
            <v>0</v>
          </cell>
          <cell r="AI869">
            <v>0</v>
          </cell>
          <cell r="AJ869">
            <v>0</v>
          </cell>
          <cell r="AK869">
            <v>0</v>
          </cell>
          <cell r="AL869">
            <v>0</v>
          </cell>
        </row>
        <row r="870">
          <cell r="E870" t="str">
            <v>FP 2.6mm-3C</v>
          </cell>
          <cell r="F870" t="str">
            <v>ｍ</v>
          </cell>
          <cell r="G870">
            <v>0</v>
          </cell>
          <cell r="H870">
            <v>531</v>
          </cell>
          <cell r="I870">
            <v>0</v>
          </cell>
          <cell r="J870">
            <v>531</v>
          </cell>
          <cell r="K870">
            <v>0</v>
          </cell>
          <cell r="L870">
            <v>531</v>
          </cell>
          <cell r="M870">
            <v>0</v>
          </cell>
          <cell r="N870">
            <v>531</v>
          </cell>
          <cell r="O870">
            <v>0</v>
          </cell>
          <cell r="P870">
            <v>531</v>
          </cell>
          <cell r="Q870">
            <v>0</v>
          </cell>
          <cell r="R870">
            <v>531</v>
          </cell>
          <cell r="S870">
            <v>0</v>
          </cell>
          <cell r="T870">
            <v>531</v>
          </cell>
          <cell r="U870">
            <v>0</v>
          </cell>
          <cell r="V870">
            <v>531</v>
          </cell>
          <cell r="W870">
            <v>0</v>
          </cell>
          <cell r="X870">
            <v>531</v>
          </cell>
          <cell r="Y870">
            <v>0</v>
          </cell>
          <cell r="Z870">
            <v>531</v>
          </cell>
          <cell r="AA870">
            <v>0</v>
          </cell>
          <cell r="AB870">
            <v>0</v>
          </cell>
          <cell r="AC870">
            <v>0</v>
          </cell>
          <cell r="AD870">
            <v>0.03</v>
          </cell>
          <cell r="AE870">
            <v>0</v>
          </cell>
          <cell r="AF870">
            <v>0</v>
          </cell>
          <cell r="AG870">
            <v>0</v>
          </cell>
          <cell r="AH870">
            <v>0</v>
          </cell>
          <cell r="AI870">
            <v>0</v>
          </cell>
          <cell r="AJ870">
            <v>0</v>
          </cell>
          <cell r="AK870">
            <v>0</v>
          </cell>
          <cell r="AL870">
            <v>0</v>
          </cell>
        </row>
        <row r="871">
          <cell r="E871" t="str">
            <v>FP 2sq-3C</v>
          </cell>
          <cell r="F871" t="str">
            <v>ｍ</v>
          </cell>
          <cell r="G871">
            <v>0</v>
          </cell>
          <cell r="H871">
            <v>327</v>
          </cell>
          <cell r="I871">
            <v>0</v>
          </cell>
          <cell r="J871">
            <v>327</v>
          </cell>
          <cell r="K871">
            <v>0</v>
          </cell>
          <cell r="L871">
            <v>327</v>
          </cell>
          <cell r="M871">
            <v>0</v>
          </cell>
          <cell r="N871">
            <v>327</v>
          </cell>
          <cell r="O871">
            <v>0</v>
          </cell>
          <cell r="P871">
            <v>327</v>
          </cell>
          <cell r="Q871">
            <v>0</v>
          </cell>
          <cell r="R871">
            <v>327</v>
          </cell>
          <cell r="S871">
            <v>0</v>
          </cell>
          <cell r="T871">
            <v>327</v>
          </cell>
          <cell r="U871">
            <v>0</v>
          </cell>
          <cell r="V871">
            <v>327</v>
          </cell>
          <cell r="W871">
            <v>0</v>
          </cell>
          <cell r="X871">
            <v>327</v>
          </cell>
          <cell r="Y871">
            <v>0</v>
          </cell>
          <cell r="Z871">
            <v>327</v>
          </cell>
          <cell r="AA871">
            <v>0</v>
          </cell>
          <cell r="AB871">
            <v>0</v>
          </cell>
          <cell r="AC871">
            <v>0</v>
          </cell>
          <cell r="AD871">
            <v>0.02</v>
          </cell>
          <cell r="AE871">
            <v>0</v>
          </cell>
          <cell r="AF871">
            <v>0</v>
          </cell>
          <cell r="AG871">
            <v>0</v>
          </cell>
          <cell r="AH871">
            <v>0</v>
          </cell>
          <cell r="AI871">
            <v>0</v>
          </cell>
          <cell r="AJ871">
            <v>0</v>
          </cell>
          <cell r="AK871">
            <v>0</v>
          </cell>
          <cell r="AL871">
            <v>0</v>
          </cell>
        </row>
        <row r="872">
          <cell r="E872" t="str">
            <v>FP 3.5sq-3C</v>
          </cell>
          <cell r="F872" t="str">
            <v>ｍ</v>
          </cell>
          <cell r="G872">
            <v>0</v>
          </cell>
          <cell r="H872">
            <v>384</v>
          </cell>
          <cell r="I872">
            <v>0</v>
          </cell>
          <cell r="J872">
            <v>384</v>
          </cell>
          <cell r="K872">
            <v>0</v>
          </cell>
          <cell r="L872">
            <v>384</v>
          </cell>
          <cell r="M872">
            <v>0</v>
          </cell>
          <cell r="N872">
            <v>384</v>
          </cell>
          <cell r="O872">
            <v>0</v>
          </cell>
          <cell r="P872">
            <v>384</v>
          </cell>
          <cell r="Q872">
            <v>0</v>
          </cell>
          <cell r="R872">
            <v>384</v>
          </cell>
          <cell r="S872">
            <v>0</v>
          </cell>
          <cell r="T872">
            <v>384</v>
          </cell>
          <cell r="U872">
            <v>0</v>
          </cell>
          <cell r="V872">
            <v>384</v>
          </cell>
          <cell r="W872">
            <v>0</v>
          </cell>
          <cell r="X872">
            <v>384</v>
          </cell>
          <cell r="Y872">
            <v>0</v>
          </cell>
          <cell r="Z872">
            <v>384</v>
          </cell>
          <cell r="AA872">
            <v>0</v>
          </cell>
          <cell r="AB872">
            <v>0</v>
          </cell>
          <cell r="AC872">
            <v>0</v>
          </cell>
          <cell r="AD872">
            <v>2.4E-2</v>
          </cell>
          <cell r="AE872">
            <v>0</v>
          </cell>
          <cell r="AF872">
            <v>0</v>
          </cell>
          <cell r="AG872">
            <v>0</v>
          </cell>
          <cell r="AH872">
            <v>0</v>
          </cell>
          <cell r="AI872">
            <v>0</v>
          </cell>
          <cell r="AJ872">
            <v>0</v>
          </cell>
          <cell r="AK872">
            <v>0</v>
          </cell>
          <cell r="AL872">
            <v>0</v>
          </cell>
        </row>
        <row r="873">
          <cell r="E873" t="str">
            <v>FP 5.5sq-3C</v>
          </cell>
          <cell r="F873" t="str">
            <v>ｍ</v>
          </cell>
          <cell r="G873">
            <v>0</v>
          </cell>
          <cell r="H873">
            <v>526</v>
          </cell>
          <cell r="I873">
            <v>0</v>
          </cell>
          <cell r="J873">
            <v>526</v>
          </cell>
          <cell r="K873">
            <v>0</v>
          </cell>
          <cell r="L873">
            <v>526</v>
          </cell>
          <cell r="M873">
            <v>0</v>
          </cell>
          <cell r="N873">
            <v>526</v>
          </cell>
          <cell r="O873">
            <v>0</v>
          </cell>
          <cell r="P873">
            <v>526</v>
          </cell>
          <cell r="Q873">
            <v>0</v>
          </cell>
          <cell r="R873">
            <v>526</v>
          </cell>
          <cell r="S873">
            <v>0</v>
          </cell>
          <cell r="T873">
            <v>526</v>
          </cell>
          <cell r="U873">
            <v>0</v>
          </cell>
          <cell r="V873">
            <v>526</v>
          </cell>
          <cell r="W873">
            <v>0</v>
          </cell>
          <cell r="X873">
            <v>526</v>
          </cell>
          <cell r="Y873">
            <v>0</v>
          </cell>
          <cell r="Z873">
            <v>526</v>
          </cell>
          <cell r="AA873">
            <v>0</v>
          </cell>
          <cell r="AB873">
            <v>0</v>
          </cell>
          <cell r="AC873">
            <v>0</v>
          </cell>
          <cell r="AD873">
            <v>0.03</v>
          </cell>
          <cell r="AE873">
            <v>0</v>
          </cell>
          <cell r="AF873">
            <v>0</v>
          </cell>
          <cell r="AG873">
            <v>0</v>
          </cell>
          <cell r="AH873">
            <v>0</v>
          </cell>
          <cell r="AI873">
            <v>0</v>
          </cell>
          <cell r="AJ873">
            <v>0</v>
          </cell>
          <cell r="AK873">
            <v>0</v>
          </cell>
          <cell r="AL873">
            <v>0</v>
          </cell>
        </row>
        <row r="874">
          <cell r="E874" t="str">
            <v>FP 8sq-3C</v>
          </cell>
          <cell r="F874" t="str">
            <v>ｍ</v>
          </cell>
          <cell r="G874">
            <v>0</v>
          </cell>
          <cell r="H874">
            <v>670</v>
          </cell>
          <cell r="I874">
            <v>0</v>
          </cell>
          <cell r="J874">
            <v>670</v>
          </cell>
          <cell r="K874">
            <v>0</v>
          </cell>
          <cell r="L874">
            <v>670</v>
          </cell>
          <cell r="M874">
            <v>0</v>
          </cell>
          <cell r="N874">
            <v>670</v>
          </cell>
          <cell r="O874">
            <v>0</v>
          </cell>
          <cell r="P874">
            <v>670</v>
          </cell>
          <cell r="Q874">
            <v>0</v>
          </cell>
          <cell r="R874">
            <v>670</v>
          </cell>
          <cell r="S874">
            <v>0</v>
          </cell>
          <cell r="T874">
            <v>670</v>
          </cell>
          <cell r="U874">
            <v>0</v>
          </cell>
          <cell r="V874">
            <v>670</v>
          </cell>
          <cell r="W874">
            <v>0</v>
          </cell>
          <cell r="X874">
            <v>670</v>
          </cell>
          <cell r="Y874">
            <v>0</v>
          </cell>
          <cell r="Z874">
            <v>670</v>
          </cell>
          <cell r="AA874">
            <v>0</v>
          </cell>
          <cell r="AB874">
            <v>0</v>
          </cell>
          <cell r="AC874">
            <v>0</v>
          </cell>
          <cell r="AD874">
            <v>3.5000000000000003E-2</v>
          </cell>
          <cell r="AE874">
            <v>0</v>
          </cell>
          <cell r="AF874">
            <v>0</v>
          </cell>
          <cell r="AG874">
            <v>0</v>
          </cell>
          <cell r="AH874">
            <v>0</v>
          </cell>
          <cell r="AI874">
            <v>0</v>
          </cell>
          <cell r="AJ874">
            <v>0</v>
          </cell>
          <cell r="AK874">
            <v>0</v>
          </cell>
          <cell r="AL874">
            <v>0</v>
          </cell>
        </row>
        <row r="875">
          <cell r="E875" t="str">
            <v>FP 14sq-3C</v>
          </cell>
          <cell r="F875" t="str">
            <v>ｍ</v>
          </cell>
          <cell r="G875">
            <v>0</v>
          </cell>
          <cell r="H875">
            <v>1006</v>
          </cell>
          <cell r="I875">
            <v>0</v>
          </cell>
          <cell r="J875">
            <v>1006</v>
          </cell>
          <cell r="K875">
            <v>0</v>
          </cell>
          <cell r="L875">
            <v>1006</v>
          </cell>
          <cell r="M875">
            <v>0</v>
          </cell>
          <cell r="N875">
            <v>1006</v>
          </cell>
          <cell r="O875">
            <v>0</v>
          </cell>
          <cell r="P875">
            <v>1006</v>
          </cell>
          <cell r="Q875">
            <v>0</v>
          </cell>
          <cell r="R875">
            <v>1006</v>
          </cell>
          <cell r="S875">
            <v>0</v>
          </cell>
          <cell r="T875">
            <v>1006</v>
          </cell>
          <cell r="U875">
            <v>0</v>
          </cell>
          <cell r="V875">
            <v>1006</v>
          </cell>
          <cell r="W875">
            <v>0</v>
          </cell>
          <cell r="X875">
            <v>1006</v>
          </cell>
          <cell r="Y875">
            <v>0</v>
          </cell>
          <cell r="Z875">
            <v>1006</v>
          </cell>
          <cell r="AA875">
            <v>0</v>
          </cell>
          <cell r="AB875">
            <v>0</v>
          </cell>
          <cell r="AC875">
            <v>0</v>
          </cell>
          <cell r="AD875">
            <v>4.2999999999999997E-2</v>
          </cell>
          <cell r="AE875">
            <v>0</v>
          </cell>
          <cell r="AF875">
            <v>0</v>
          </cell>
          <cell r="AG875">
            <v>0</v>
          </cell>
          <cell r="AH875">
            <v>0</v>
          </cell>
          <cell r="AI875">
            <v>0</v>
          </cell>
          <cell r="AJ875">
            <v>0</v>
          </cell>
          <cell r="AK875">
            <v>0</v>
          </cell>
          <cell r="AL875">
            <v>0</v>
          </cell>
        </row>
        <row r="876">
          <cell r="E876" t="str">
            <v>FP 22sq-3C</v>
          </cell>
          <cell r="F876" t="str">
            <v>ｍ</v>
          </cell>
          <cell r="G876">
            <v>0</v>
          </cell>
          <cell r="H876">
            <v>1409</v>
          </cell>
          <cell r="I876">
            <v>0</v>
          </cell>
          <cell r="J876">
            <v>1409</v>
          </cell>
          <cell r="K876">
            <v>0</v>
          </cell>
          <cell r="L876">
            <v>1409</v>
          </cell>
          <cell r="M876">
            <v>0</v>
          </cell>
          <cell r="N876">
            <v>1409</v>
          </cell>
          <cell r="O876">
            <v>0</v>
          </cell>
          <cell r="P876">
            <v>1409</v>
          </cell>
          <cell r="Q876">
            <v>0</v>
          </cell>
          <cell r="R876">
            <v>1409</v>
          </cell>
          <cell r="S876">
            <v>0</v>
          </cell>
          <cell r="T876">
            <v>1409</v>
          </cell>
          <cell r="U876">
            <v>0</v>
          </cell>
          <cell r="V876">
            <v>1409</v>
          </cell>
          <cell r="W876">
            <v>0</v>
          </cell>
          <cell r="X876">
            <v>1409</v>
          </cell>
          <cell r="Y876">
            <v>0</v>
          </cell>
          <cell r="Z876">
            <v>1409</v>
          </cell>
          <cell r="AA876">
            <v>0</v>
          </cell>
          <cell r="AB876">
            <v>0</v>
          </cell>
          <cell r="AC876">
            <v>0</v>
          </cell>
          <cell r="AD876">
            <v>5.6000000000000001E-2</v>
          </cell>
          <cell r="AE876">
            <v>0</v>
          </cell>
          <cell r="AF876">
            <v>0</v>
          </cell>
          <cell r="AG876">
            <v>0</v>
          </cell>
          <cell r="AH876">
            <v>0</v>
          </cell>
          <cell r="AI876">
            <v>0</v>
          </cell>
          <cell r="AJ876">
            <v>0</v>
          </cell>
          <cell r="AK876">
            <v>0</v>
          </cell>
          <cell r="AL876">
            <v>0</v>
          </cell>
        </row>
        <row r="877">
          <cell r="E877" t="str">
            <v>FP 38sq-3C</v>
          </cell>
          <cell r="F877" t="str">
            <v>ｍ</v>
          </cell>
          <cell r="G877">
            <v>0</v>
          </cell>
          <cell r="H877">
            <v>2208</v>
          </cell>
          <cell r="I877">
            <v>0</v>
          </cell>
          <cell r="J877">
            <v>2208</v>
          </cell>
          <cell r="K877">
            <v>0</v>
          </cell>
          <cell r="L877">
            <v>2208</v>
          </cell>
          <cell r="M877">
            <v>0</v>
          </cell>
          <cell r="N877">
            <v>2208</v>
          </cell>
          <cell r="O877">
            <v>0</v>
          </cell>
          <cell r="P877">
            <v>2208</v>
          </cell>
          <cell r="Q877">
            <v>0</v>
          </cell>
          <cell r="R877">
            <v>2208</v>
          </cell>
          <cell r="S877">
            <v>0</v>
          </cell>
          <cell r="T877">
            <v>2208</v>
          </cell>
          <cell r="U877">
            <v>0</v>
          </cell>
          <cell r="V877">
            <v>2208</v>
          </cell>
          <cell r="W877">
            <v>0</v>
          </cell>
          <cell r="X877">
            <v>2208</v>
          </cell>
          <cell r="Y877">
            <v>0</v>
          </cell>
          <cell r="Z877">
            <v>2208</v>
          </cell>
          <cell r="AA877">
            <v>0</v>
          </cell>
          <cell r="AB877">
            <v>0</v>
          </cell>
          <cell r="AC877">
            <v>0</v>
          </cell>
          <cell r="AD877">
            <v>7.3999999999999996E-2</v>
          </cell>
          <cell r="AE877">
            <v>0</v>
          </cell>
          <cell r="AF877">
            <v>0</v>
          </cell>
          <cell r="AG877">
            <v>0</v>
          </cell>
          <cell r="AH877">
            <v>0</v>
          </cell>
          <cell r="AI877">
            <v>0</v>
          </cell>
          <cell r="AJ877">
            <v>0</v>
          </cell>
          <cell r="AK877">
            <v>0</v>
          </cell>
          <cell r="AL877">
            <v>0</v>
          </cell>
        </row>
        <row r="878">
          <cell r="E878" t="str">
            <v>FP 60sq-3C</v>
          </cell>
          <cell r="F878" t="str">
            <v>ｍ</v>
          </cell>
          <cell r="G878">
            <v>0</v>
          </cell>
          <cell r="H878">
            <v>3416</v>
          </cell>
          <cell r="I878">
            <v>0</v>
          </cell>
          <cell r="J878">
            <v>3416</v>
          </cell>
          <cell r="K878">
            <v>0</v>
          </cell>
          <cell r="L878">
            <v>3416</v>
          </cell>
          <cell r="M878">
            <v>0</v>
          </cell>
          <cell r="N878">
            <v>3416</v>
          </cell>
          <cell r="O878">
            <v>0</v>
          </cell>
          <cell r="P878">
            <v>3416</v>
          </cell>
          <cell r="Q878">
            <v>0</v>
          </cell>
          <cell r="R878">
            <v>3416</v>
          </cell>
          <cell r="S878">
            <v>0</v>
          </cell>
          <cell r="T878">
            <v>3416</v>
          </cell>
          <cell r="U878">
            <v>0</v>
          </cell>
          <cell r="V878">
            <v>3416</v>
          </cell>
          <cell r="W878">
            <v>0</v>
          </cell>
          <cell r="X878">
            <v>3416</v>
          </cell>
          <cell r="Y878">
            <v>0</v>
          </cell>
          <cell r="Z878">
            <v>3416</v>
          </cell>
          <cell r="AA878">
            <v>0</v>
          </cell>
          <cell r="AB878">
            <v>0</v>
          </cell>
          <cell r="AC878">
            <v>0</v>
          </cell>
          <cell r="AD878">
            <v>9.8000000000000004E-2</v>
          </cell>
          <cell r="AE878">
            <v>0</v>
          </cell>
          <cell r="AF878">
            <v>0</v>
          </cell>
          <cell r="AG878">
            <v>0</v>
          </cell>
          <cell r="AH878">
            <v>0</v>
          </cell>
          <cell r="AI878">
            <v>0</v>
          </cell>
          <cell r="AJ878">
            <v>0</v>
          </cell>
          <cell r="AK878">
            <v>0</v>
          </cell>
          <cell r="AL878">
            <v>0</v>
          </cell>
        </row>
        <row r="879">
          <cell r="E879" t="str">
            <v>FP 100sq-3C</v>
          </cell>
          <cell r="F879" t="str">
            <v>ｍ</v>
          </cell>
          <cell r="G879">
            <v>0</v>
          </cell>
          <cell r="H879">
            <v>5097</v>
          </cell>
          <cell r="I879">
            <v>0</v>
          </cell>
          <cell r="J879">
            <v>5097</v>
          </cell>
          <cell r="K879">
            <v>0</v>
          </cell>
          <cell r="L879">
            <v>5097</v>
          </cell>
          <cell r="M879">
            <v>0</v>
          </cell>
          <cell r="N879">
            <v>5097</v>
          </cell>
          <cell r="O879">
            <v>0</v>
          </cell>
          <cell r="P879">
            <v>5097</v>
          </cell>
          <cell r="Q879">
            <v>0</v>
          </cell>
          <cell r="R879">
            <v>5097</v>
          </cell>
          <cell r="S879">
            <v>0</v>
          </cell>
          <cell r="T879">
            <v>5097</v>
          </cell>
          <cell r="U879">
            <v>0</v>
          </cell>
          <cell r="V879">
            <v>5097</v>
          </cell>
          <cell r="W879">
            <v>0</v>
          </cell>
          <cell r="X879">
            <v>5097</v>
          </cell>
          <cell r="Y879">
            <v>0</v>
          </cell>
          <cell r="Z879">
            <v>5097</v>
          </cell>
          <cell r="AA879">
            <v>0</v>
          </cell>
          <cell r="AB879">
            <v>0</v>
          </cell>
          <cell r="AC879">
            <v>0</v>
          </cell>
          <cell r="AD879">
            <v>0.13400000000000001</v>
          </cell>
          <cell r="AE879">
            <v>0</v>
          </cell>
          <cell r="AF879">
            <v>0</v>
          </cell>
          <cell r="AG879">
            <v>0</v>
          </cell>
          <cell r="AH879">
            <v>0</v>
          </cell>
          <cell r="AI879">
            <v>0</v>
          </cell>
          <cell r="AJ879">
            <v>0</v>
          </cell>
          <cell r="AK879">
            <v>0</v>
          </cell>
          <cell r="AL879">
            <v>0</v>
          </cell>
        </row>
        <row r="880">
          <cell r="E880" t="str">
            <v>FP 150sq-3C</v>
          </cell>
          <cell r="F880" t="str">
            <v>ｍ</v>
          </cell>
          <cell r="G880">
            <v>0</v>
          </cell>
          <cell r="H880">
            <v>7692</v>
          </cell>
          <cell r="I880">
            <v>0</v>
          </cell>
          <cell r="J880">
            <v>7692</v>
          </cell>
          <cell r="K880">
            <v>0</v>
          </cell>
          <cell r="L880">
            <v>7692</v>
          </cell>
          <cell r="M880">
            <v>0</v>
          </cell>
          <cell r="N880">
            <v>7692</v>
          </cell>
          <cell r="O880">
            <v>0</v>
          </cell>
          <cell r="P880">
            <v>7692</v>
          </cell>
          <cell r="Q880">
            <v>0</v>
          </cell>
          <cell r="R880">
            <v>7692</v>
          </cell>
          <cell r="S880">
            <v>0</v>
          </cell>
          <cell r="T880">
            <v>7692</v>
          </cell>
          <cell r="U880">
            <v>0</v>
          </cell>
          <cell r="V880">
            <v>7692</v>
          </cell>
          <cell r="W880">
            <v>0</v>
          </cell>
          <cell r="X880">
            <v>7692</v>
          </cell>
          <cell r="Y880">
            <v>0</v>
          </cell>
          <cell r="Z880">
            <v>7692</v>
          </cell>
          <cell r="AA880">
            <v>0</v>
          </cell>
          <cell r="AB880">
            <v>0</v>
          </cell>
          <cell r="AC880">
            <v>0</v>
          </cell>
          <cell r="AD880">
            <v>0.16500000000000001</v>
          </cell>
          <cell r="AE880">
            <v>0</v>
          </cell>
          <cell r="AF880">
            <v>0</v>
          </cell>
          <cell r="AG880">
            <v>0</v>
          </cell>
          <cell r="AH880">
            <v>0</v>
          </cell>
          <cell r="AI880">
            <v>0</v>
          </cell>
          <cell r="AJ880">
            <v>0</v>
          </cell>
          <cell r="AK880">
            <v>0</v>
          </cell>
          <cell r="AL880">
            <v>0</v>
          </cell>
        </row>
        <row r="881">
          <cell r="E881" t="str">
            <v>FP 200sq-3C</v>
          </cell>
          <cell r="F881" t="str">
            <v>ｍ</v>
          </cell>
          <cell r="G881">
            <v>0</v>
          </cell>
          <cell r="H881">
            <v>9591</v>
          </cell>
          <cell r="I881">
            <v>0</v>
          </cell>
          <cell r="J881">
            <v>9591</v>
          </cell>
          <cell r="K881">
            <v>0</v>
          </cell>
          <cell r="L881">
            <v>9591</v>
          </cell>
          <cell r="M881">
            <v>0</v>
          </cell>
          <cell r="N881">
            <v>9591</v>
          </cell>
          <cell r="O881">
            <v>0</v>
          </cell>
          <cell r="P881">
            <v>9591</v>
          </cell>
          <cell r="Q881">
            <v>0</v>
          </cell>
          <cell r="R881">
            <v>9591</v>
          </cell>
          <cell r="S881">
            <v>0</v>
          </cell>
          <cell r="T881">
            <v>9591</v>
          </cell>
          <cell r="U881">
            <v>0</v>
          </cell>
          <cell r="V881">
            <v>9591</v>
          </cell>
          <cell r="W881">
            <v>0</v>
          </cell>
          <cell r="X881">
            <v>9591</v>
          </cell>
          <cell r="Y881">
            <v>0</v>
          </cell>
          <cell r="Z881">
            <v>9591</v>
          </cell>
          <cell r="AA881">
            <v>0</v>
          </cell>
          <cell r="AB881">
            <v>0</v>
          </cell>
          <cell r="AC881">
            <v>0</v>
          </cell>
          <cell r="AD881">
            <v>0.20399999999999999</v>
          </cell>
          <cell r="AE881">
            <v>0</v>
          </cell>
          <cell r="AF881">
            <v>0</v>
          </cell>
          <cell r="AG881">
            <v>0</v>
          </cell>
          <cell r="AH881">
            <v>0</v>
          </cell>
          <cell r="AI881">
            <v>0</v>
          </cell>
          <cell r="AJ881">
            <v>0</v>
          </cell>
          <cell r="AK881">
            <v>0</v>
          </cell>
          <cell r="AL881">
            <v>0</v>
          </cell>
        </row>
        <row r="882">
          <cell r="E882" t="str">
            <v>FP 250sq-3C</v>
          </cell>
          <cell r="F882" t="str">
            <v>ｍ</v>
          </cell>
          <cell r="G882">
            <v>0</v>
          </cell>
          <cell r="H882">
            <v>12478</v>
          </cell>
          <cell r="I882">
            <v>0</v>
          </cell>
          <cell r="J882">
            <v>12478</v>
          </cell>
          <cell r="K882">
            <v>0</v>
          </cell>
          <cell r="L882">
            <v>12478</v>
          </cell>
          <cell r="M882">
            <v>0</v>
          </cell>
          <cell r="N882">
            <v>12478</v>
          </cell>
          <cell r="O882">
            <v>0</v>
          </cell>
          <cell r="P882">
            <v>12478</v>
          </cell>
          <cell r="Q882">
            <v>0</v>
          </cell>
          <cell r="R882">
            <v>12478</v>
          </cell>
          <cell r="S882">
            <v>0</v>
          </cell>
          <cell r="T882">
            <v>12478</v>
          </cell>
          <cell r="U882">
            <v>0</v>
          </cell>
          <cell r="V882">
            <v>12478</v>
          </cell>
          <cell r="W882">
            <v>0</v>
          </cell>
          <cell r="X882">
            <v>12478</v>
          </cell>
          <cell r="Y882">
            <v>0</v>
          </cell>
          <cell r="Z882">
            <v>12478</v>
          </cell>
          <cell r="AA882">
            <v>0</v>
          </cell>
          <cell r="AB882">
            <v>0</v>
          </cell>
          <cell r="AC882">
            <v>0</v>
          </cell>
          <cell r="AD882">
            <v>0.255</v>
          </cell>
          <cell r="AE882">
            <v>0</v>
          </cell>
          <cell r="AF882">
            <v>0</v>
          </cell>
          <cell r="AG882">
            <v>0</v>
          </cell>
          <cell r="AH882">
            <v>0</v>
          </cell>
          <cell r="AI882">
            <v>0</v>
          </cell>
          <cell r="AJ882">
            <v>0</v>
          </cell>
          <cell r="AK882">
            <v>0</v>
          </cell>
          <cell r="AL882">
            <v>0</v>
          </cell>
        </row>
        <row r="883">
          <cell r="E883" t="str">
            <v>FP 325sq-3C</v>
          </cell>
          <cell r="F883" t="str">
            <v>ｍ</v>
          </cell>
          <cell r="G883">
            <v>0</v>
          </cell>
          <cell r="H883">
            <v>15203</v>
          </cell>
          <cell r="I883">
            <v>0</v>
          </cell>
          <cell r="J883">
            <v>15203</v>
          </cell>
          <cell r="K883">
            <v>0</v>
          </cell>
          <cell r="L883">
            <v>15203</v>
          </cell>
          <cell r="M883">
            <v>0</v>
          </cell>
          <cell r="N883">
            <v>15203</v>
          </cell>
          <cell r="O883">
            <v>0</v>
          </cell>
          <cell r="P883">
            <v>15203</v>
          </cell>
          <cell r="Q883">
            <v>0</v>
          </cell>
          <cell r="R883">
            <v>15203</v>
          </cell>
          <cell r="S883">
            <v>0</v>
          </cell>
          <cell r="T883">
            <v>15203</v>
          </cell>
          <cell r="U883">
            <v>0</v>
          </cell>
          <cell r="V883">
            <v>15203</v>
          </cell>
          <cell r="W883">
            <v>0</v>
          </cell>
          <cell r="X883">
            <v>15203</v>
          </cell>
          <cell r="Y883">
            <v>0</v>
          </cell>
          <cell r="Z883">
            <v>15203</v>
          </cell>
          <cell r="AA883">
            <v>0</v>
          </cell>
          <cell r="AB883">
            <v>0</v>
          </cell>
          <cell r="AC883">
            <v>0</v>
          </cell>
          <cell r="AD883">
            <v>0.33100000000000002</v>
          </cell>
          <cell r="AE883">
            <v>0</v>
          </cell>
          <cell r="AF883">
            <v>0</v>
          </cell>
          <cell r="AG883">
            <v>0</v>
          </cell>
          <cell r="AH883">
            <v>0</v>
          </cell>
          <cell r="AI883">
            <v>0</v>
          </cell>
          <cell r="AJ883">
            <v>0</v>
          </cell>
          <cell r="AK883">
            <v>0</v>
          </cell>
          <cell r="AL883">
            <v>0</v>
          </cell>
        </row>
        <row r="884">
          <cell r="E884" t="str">
            <v>FP 1.2mm-4C</v>
          </cell>
          <cell r="F884" t="str">
            <v>ｍ</v>
          </cell>
          <cell r="G884">
            <v>0</v>
          </cell>
          <cell r="H884">
            <v>321</v>
          </cell>
          <cell r="I884">
            <v>0</v>
          </cell>
          <cell r="J884">
            <v>321</v>
          </cell>
          <cell r="K884">
            <v>0</v>
          </cell>
          <cell r="L884">
            <v>321</v>
          </cell>
          <cell r="M884">
            <v>0</v>
          </cell>
          <cell r="N884">
            <v>321</v>
          </cell>
          <cell r="O884">
            <v>0</v>
          </cell>
          <cell r="P884">
            <v>321</v>
          </cell>
          <cell r="Q884">
            <v>0</v>
          </cell>
          <cell r="R884">
            <v>321</v>
          </cell>
          <cell r="S884">
            <v>0</v>
          </cell>
          <cell r="T884">
            <v>321</v>
          </cell>
          <cell r="U884">
            <v>0</v>
          </cell>
          <cell r="V884">
            <v>321</v>
          </cell>
          <cell r="W884">
            <v>0</v>
          </cell>
          <cell r="X884">
            <v>321</v>
          </cell>
          <cell r="Y884">
            <v>0</v>
          </cell>
          <cell r="Z884">
            <v>321</v>
          </cell>
          <cell r="AA884">
            <v>0</v>
          </cell>
          <cell r="AB884">
            <v>0</v>
          </cell>
          <cell r="AC884">
            <v>0</v>
          </cell>
          <cell r="AD884">
            <v>2.1000000000000001E-2</v>
          </cell>
          <cell r="AE884">
            <v>0</v>
          </cell>
          <cell r="AF884">
            <v>0</v>
          </cell>
          <cell r="AG884">
            <v>0</v>
          </cell>
          <cell r="AH884">
            <v>0</v>
          </cell>
          <cell r="AI884">
            <v>0</v>
          </cell>
          <cell r="AJ884">
            <v>0</v>
          </cell>
          <cell r="AK884">
            <v>0</v>
          </cell>
          <cell r="AL884">
            <v>0</v>
          </cell>
        </row>
        <row r="885">
          <cell r="E885" t="str">
            <v>FP 1.6mm-4C</v>
          </cell>
          <cell r="F885" t="str">
            <v>ｍ</v>
          </cell>
          <cell r="G885">
            <v>0</v>
          </cell>
          <cell r="H885">
            <v>399</v>
          </cell>
          <cell r="I885">
            <v>0</v>
          </cell>
          <cell r="J885">
            <v>399</v>
          </cell>
          <cell r="K885">
            <v>0</v>
          </cell>
          <cell r="L885">
            <v>399</v>
          </cell>
          <cell r="M885">
            <v>0</v>
          </cell>
          <cell r="N885">
            <v>399</v>
          </cell>
          <cell r="O885">
            <v>0</v>
          </cell>
          <cell r="P885">
            <v>399</v>
          </cell>
          <cell r="Q885">
            <v>0</v>
          </cell>
          <cell r="R885">
            <v>399</v>
          </cell>
          <cell r="S885">
            <v>0</v>
          </cell>
          <cell r="T885">
            <v>399</v>
          </cell>
          <cell r="U885">
            <v>0</v>
          </cell>
          <cell r="V885">
            <v>399</v>
          </cell>
          <cell r="W885">
            <v>0</v>
          </cell>
          <cell r="X885">
            <v>399</v>
          </cell>
          <cell r="Y885">
            <v>0</v>
          </cell>
          <cell r="Z885">
            <v>399</v>
          </cell>
          <cell r="AA885">
            <v>0</v>
          </cell>
          <cell r="AB885">
            <v>0</v>
          </cell>
          <cell r="AC885">
            <v>0</v>
          </cell>
          <cell r="AD885">
            <v>2.4E-2</v>
          </cell>
          <cell r="AE885">
            <v>0</v>
          </cell>
          <cell r="AF885">
            <v>0</v>
          </cell>
          <cell r="AG885">
            <v>0</v>
          </cell>
          <cell r="AH885">
            <v>0</v>
          </cell>
          <cell r="AI885">
            <v>0</v>
          </cell>
          <cell r="AJ885">
            <v>0</v>
          </cell>
          <cell r="AK885">
            <v>0</v>
          </cell>
          <cell r="AL885">
            <v>0</v>
          </cell>
        </row>
        <row r="886">
          <cell r="E886" t="str">
            <v>FP 2.0mm-4C</v>
          </cell>
          <cell r="F886" t="str">
            <v>ｍ</v>
          </cell>
          <cell r="G886">
            <v>0</v>
          </cell>
          <cell r="H886">
            <v>488</v>
          </cell>
          <cell r="I886">
            <v>0</v>
          </cell>
          <cell r="J886">
            <v>488</v>
          </cell>
          <cell r="K886">
            <v>0</v>
          </cell>
          <cell r="L886">
            <v>488</v>
          </cell>
          <cell r="M886">
            <v>0</v>
          </cell>
          <cell r="N886">
            <v>488</v>
          </cell>
          <cell r="O886">
            <v>0</v>
          </cell>
          <cell r="P886">
            <v>488</v>
          </cell>
          <cell r="Q886">
            <v>0</v>
          </cell>
          <cell r="R886">
            <v>488</v>
          </cell>
          <cell r="S886">
            <v>0</v>
          </cell>
          <cell r="T886">
            <v>488</v>
          </cell>
          <cell r="U886">
            <v>0</v>
          </cell>
          <cell r="V886">
            <v>488</v>
          </cell>
          <cell r="W886">
            <v>0</v>
          </cell>
          <cell r="X886">
            <v>488</v>
          </cell>
          <cell r="Y886">
            <v>0</v>
          </cell>
          <cell r="Z886">
            <v>488</v>
          </cell>
          <cell r="AA886">
            <v>0</v>
          </cell>
          <cell r="AB886">
            <v>0</v>
          </cell>
          <cell r="AC886">
            <v>0</v>
          </cell>
          <cell r="AD886">
            <v>0.03</v>
          </cell>
          <cell r="AE886">
            <v>0</v>
          </cell>
          <cell r="AF886">
            <v>0</v>
          </cell>
          <cell r="AG886">
            <v>0</v>
          </cell>
          <cell r="AH886">
            <v>0</v>
          </cell>
          <cell r="AI886">
            <v>0</v>
          </cell>
          <cell r="AJ886">
            <v>0</v>
          </cell>
          <cell r="AK886">
            <v>0</v>
          </cell>
          <cell r="AL886">
            <v>0</v>
          </cell>
        </row>
        <row r="887">
          <cell r="E887" t="str">
            <v>FP 2.6mm-4C</v>
          </cell>
          <cell r="F887" t="str">
            <v>ｍ</v>
          </cell>
          <cell r="G887">
            <v>0</v>
          </cell>
          <cell r="H887">
            <v>677</v>
          </cell>
          <cell r="I887">
            <v>0</v>
          </cell>
          <cell r="J887">
            <v>677</v>
          </cell>
          <cell r="K887">
            <v>0</v>
          </cell>
          <cell r="L887">
            <v>677</v>
          </cell>
          <cell r="M887">
            <v>0</v>
          </cell>
          <cell r="N887">
            <v>677</v>
          </cell>
          <cell r="O887">
            <v>0</v>
          </cell>
          <cell r="P887">
            <v>677</v>
          </cell>
          <cell r="Q887">
            <v>0</v>
          </cell>
          <cell r="R887">
            <v>677</v>
          </cell>
          <cell r="S887">
            <v>0</v>
          </cell>
          <cell r="T887">
            <v>677</v>
          </cell>
          <cell r="U887">
            <v>0</v>
          </cell>
          <cell r="V887">
            <v>677</v>
          </cell>
          <cell r="W887">
            <v>0</v>
          </cell>
          <cell r="X887">
            <v>677</v>
          </cell>
          <cell r="Y887">
            <v>0</v>
          </cell>
          <cell r="Z887">
            <v>677</v>
          </cell>
          <cell r="AA887">
            <v>0</v>
          </cell>
          <cell r="AB887">
            <v>0</v>
          </cell>
          <cell r="AC887">
            <v>0</v>
          </cell>
          <cell r="AD887">
            <v>3.6999999999999998E-2</v>
          </cell>
          <cell r="AE887">
            <v>0</v>
          </cell>
          <cell r="AF887">
            <v>0</v>
          </cell>
          <cell r="AG887">
            <v>0</v>
          </cell>
          <cell r="AH887">
            <v>0</v>
          </cell>
          <cell r="AI887">
            <v>0</v>
          </cell>
          <cell r="AJ887">
            <v>0</v>
          </cell>
          <cell r="AK887">
            <v>0</v>
          </cell>
          <cell r="AL887">
            <v>0</v>
          </cell>
        </row>
        <row r="888">
          <cell r="E888" t="str">
            <v>FP 2sq-4C</v>
          </cell>
          <cell r="F888" t="str">
            <v>ｍ</v>
          </cell>
          <cell r="G888">
            <v>0</v>
          </cell>
          <cell r="H888">
            <v>412</v>
          </cell>
          <cell r="I888">
            <v>0</v>
          </cell>
          <cell r="J888">
            <v>412</v>
          </cell>
          <cell r="K888">
            <v>0</v>
          </cell>
          <cell r="L888">
            <v>412</v>
          </cell>
          <cell r="M888">
            <v>0</v>
          </cell>
          <cell r="N888">
            <v>412</v>
          </cell>
          <cell r="O888">
            <v>0</v>
          </cell>
          <cell r="P888">
            <v>412</v>
          </cell>
          <cell r="Q888">
            <v>0</v>
          </cell>
          <cell r="R888">
            <v>412</v>
          </cell>
          <cell r="S888">
            <v>0</v>
          </cell>
          <cell r="T888">
            <v>412</v>
          </cell>
          <cell r="U888">
            <v>0</v>
          </cell>
          <cell r="V888">
            <v>412</v>
          </cell>
          <cell r="W888">
            <v>0</v>
          </cell>
          <cell r="X888">
            <v>412</v>
          </cell>
          <cell r="Y888">
            <v>0</v>
          </cell>
          <cell r="Z888">
            <v>412</v>
          </cell>
          <cell r="AA888">
            <v>0</v>
          </cell>
          <cell r="AB888">
            <v>0</v>
          </cell>
          <cell r="AC888">
            <v>0</v>
          </cell>
          <cell r="AD888">
            <v>2.4E-2</v>
          </cell>
          <cell r="AE888">
            <v>0</v>
          </cell>
          <cell r="AF888">
            <v>0</v>
          </cell>
          <cell r="AG888">
            <v>0</v>
          </cell>
          <cell r="AH888">
            <v>0</v>
          </cell>
          <cell r="AI888">
            <v>0</v>
          </cell>
          <cell r="AJ888">
            <v>0</v>
          </cell>
          <cell r="AK888">
            <v>0</v>
          </cell>
          <cell r="AL888">
            <v>0</v>
          </cell>
        </row>
        <row r="889">
          <cell r="E889" t="str">
            <v>FP 3.5sq-4C</v>
          </cell>
          <cell r="F889" t="str">
            <v>ｍ</v>
          </cell>
          <cell r="G889">
            <v>0</v>
          </cell>
          <cell r="H889">
            <v>552</v>
          </cell>
          <cell r="I889">
            <v>0</v>
          </cell>
          <cell r="J889">
            <v>552</v>
          </cell>
          <cell r="K889">
            <v>0</v>
          </cell>
          <cell r="L889">
            <v>552</v>
          </cell>
          <cell r="M889">
            <v>0</v>
          </cell>
          <cell r="N889">
            <v>552</v>
          </cell>
          <cell r="O889">
            <v>0</v>
          </cell>
          <cell r="P889">
            <v>552</v>
          </cell>
          <cell r="Q889">
            <v>0</v>
          </cell>
          <cell r="R889">
            <v>552</v>
          </cell>
          <cell r="S889">
            <v>0</v>
          </cell>
          <cell r="T889">
            <v>552</v>
          </cell>
          <cell r="U889">
            <v>0</v>
          </cell>
          <cell r="V889">
            <v>552</v>
          </cell>
          <cell r="W889">
            <v>0</v>
          </cell>
          <cell r="X889">
            <v>552</v>
          </cell>
          <cell r="Y889">
            <v>0</v>
          </cell>
          <cell r="Z889">
            <v>552</v>
          </cell>
          <cell r="AA889">
            <v>0</v>
          </cell>
          <cell r="AB889">
            <v>0</v>
          </cell>
          <cell r="AC889">
            <v>0</v>
          </cell>
          <cell r="AD889">
            <v>0.03</v>
          </cell>
          <cell r="AE889">
            <v>0</v>
          </cell>
          <cell r="AF889">
            <v>0</v>
          </cell>
          <cell r="AG889">
            <v>0</v>
          </cell>
          <cell r="AH889">
            <v>0</v>
          </cell>
          <cell r="AI889">
            <v>0</v>
          </cell>
          <cell r="AJ889">
            <v>0</v>
          </cell>
          <cell r="AK889">
            <v>0</v>
          </cell>
          <cell r="AL889">
            <v>0</v>
          </cell>
        </row>
        <row r="890">
          <cell r="E890" t="str">
            <v>FP 5.5sq-4C</v>
          </cell>
          <cell r="F890" t="str">
            <v>ｍ</v>
          </cell>
          <cell r="G890">
            <v>0</v>
          </cell>
          <cell r="H890">
            <v>704</v>
          </cell>
          <cell r="I890">
            <v>0</v>
          </cell>
          <cell r="J890">
            <v>704</v>
          </cell>
          <cell r="K890">
            <v>0</v>
          </cell>
          <cell r="L890">
            <v>704</v>
          </cell>
          <cell r="M890">
            <v>0</v>
          </cell>
          <cell r="N890">
            <v>704</v>
          </cell>
          <cell r="O890">
            <v>0</v>
          </cell>
          <cell r="P890">
            <v>704</v>
          </cell>
          <cell r="Q890">
            <v>0</v>
          </cell>
          <cell r="R890">
            <v>704</v>
          </cell>
          <cell r="S890">
            <v>0</v>
          </cell>
          <cell r="T890">
            <v>704</v>
          </cell>
          <cell r="U890">
            <v>0</v>
          </cell>
          <cell r="V890">
            <v>704</v>
          </cell>
          <cell r="W890">
            <v>0</v>
          </cell>
          <cell r="X890">
            <v>704</v>
          </cell>
          <cell r="Y890">
            <v>0</v>
          </cell>
          <cell r="Z890">
            <v>704</v>
          </cell>
          <cell r="AA890">
            <v>0</v>
          </cell>
          <cell r="AB890">
            <v>0</v>
          </cell>
          <cell r="AC890">
            <v>0</v>
          </cell>
          <cell r="AD890">
            <v>3.6999999999999998E-2</v>
          </cell>
          <cell r="AE890">
            <v>0</v>
          </cell>
          <cell r="AF890">
            <v>0</v>
          </cell>
          <cell r="AG890">
            <v>0</v>
          </cell>
          <cell r="AH890">
            <v>0</v>
          </cell>
          <cell r="AI890">
            <v>0</v>
          </cell>
          <cell r="AJ890">
            <v>0</v>
          </cell>
          <cell r="AK890">
            <v>0</v>
          </cell>
          <cell r="AL890">
            <v>0</v>
          </cell>
        </row>
        <row r="891">
          <cell r="E891" t="str">
            <v>FP 8sq-4C</v>
          </cell>
          <cell r="F891" t="str">
            <v>ｍ</v>
          </cell>
          <cell r="G891">
            <v>0</v>
          </cell>
          <cell r="H891">
            <v>886</v>
          </cell>
          <cell r="I891">
            <v>0</v>
          </cell>
          <cell r="J891">
            <v>886</v>
          </cell>
          <cell r="K891">
            <v>0</v>
          </cell>
          <cell r="L891">
            <v>886</v>
          </cell>
          <cell r="M891">
            <v>0</v>
          </cell>
          <cell r="N891">
            <v>886</v>
          </cell>
          <cell r="O891">
            <v>0</v>
          </cell>
          <cell r="P891">
            <v>886</v>
          </cell>
          <cell r="Q891">
            <v>0</v>
          </cell>
          <cell r="R891">
            <v>886</v>
          </cell>
          <cell r="S891">
            <v>0</v>
          </cell>
          <cell r="T891">
            <v>886</v>
          </cell>
          <cell r="U891">
            <v>0</v>
          </cell>
          <cell r="V891">
            <v>886</v>
          </cell>
          <cell r="W891">
            <v>0</v>
          </cell>
          <cell r="X891">
            <v>886</v>
          </cell>
          <cell r="Y891">
            <v>0</v>
          </cell>
          <cell r="Z891">
            <v>886</v>
          </cell>
          <cell r="AA891">
            <v>0</v>
          </cell>
          <cell r="AB891">
            <v>0</v>
          </cell>
          <cell r="AC891">
            <v>0</v>
          </cell>
          <cell r="AD891">
            <v>4.2000000000000003E-2</v>
          </cell>
          <cell r="AE891">
            <v>0</v>
          </cell>
          <cell r="AF891">
            <v>0</v>
          </cell>
          <cell r="AG891">
            <v>0</v>
          </cell>
          <cell r="AH891">
            <v>0</v>
          </cell>
          <cell r="AI891">
            <v>0</v>
          </cell>
          <cell r="AJ891">
            <v>0</v>
          </cell>
          <cell r="AK891">
            <v>0</v>
          </cell>
          <cell r="AL891">
            <v>0</v>
          </cell>
        </row>
        <row r="892">
          <cell r="E892" t="str">
            <v>FP 14sq-4C</v>
          </cell>
          <cell r="F892" t="str">
            <v>ｍ</v>
          </cell>
          <cell r="G892">
            <v>0</v>
          </cell>
          <cell r="H892">
            <v>1440</v>
          </cell>
          <cell r="I892">
            <v>0</v>
          </cell>
          <cell r="J892">
            <v>1440</v>
          </cell>
          <cell r="K892">
            <v>0</v>
          </cell>
          <cell r="L892">
            <v>1440</v>
          </cell>
          <cell r="M892">
            <v>0</v>
          </cell>
          <cell r="N892">
            <v>1440</v>
          </cell>
          <cell r="O892">
            <v>0</v>
          </cell>
          <cell r="P892">
            <v>1440</v>
          </cell>
          <cell r="Q892">
            <v>0</v>
          </cell>
          <cell r="R892">
            <v>1440</v>
          </cell>
          <cell r="S892">
            <v>0</v>
          </cell>
          <cell r="T892">
            <v>1440</v>
          </cell>
          <cell r="U892">
            <v>0</v>
          </cell>
          <cell r="V892">
            <v>1440</v>
          </cell>
          <cell r="W892">
            <v>0</v>
          </cell>
          <cell r="X892">
            <v>1440</v>
          </cell>
          <cell r="Y892">
            <v>0</v>
          </cell>
          <cell r="Z892">
            <v>1440</v>
          </cell>
          <cell r="AA892">
            <v>0</v>
          </cell>
          <cell r="AB892">
            <v>0</v>
          </cell>
          <cell r="AC892">
            <v>0</v>
          </cell>
          <cell r="AD892">
            <v>5.1999999999999998E-2</v>
          </cell>
          <cell r="AE892">
            <v>0</v>
          </cell>
          <cell r="AF892">
            <v>0</v>
          </cell>
          <cell r="AG892">
            <v>0</v>
          </cell>
          <cell r="AH892">
            <v>0</v>
          </cell>
          <cell r="AI892">
            <v>0</v>
          </cell>
          <cell r="AJ892">
            <v>0</v>
          </cell>
          <cell r="AK892">
            <v>0</v>
          </cell>
          <cell r="AL892">
            <v>0</v>
          </cell>
        </row>
        <row r="893">
          <cell r="E893" t="str">
            <v>FP 22sq-4C</v>
          </cell>
          <cell r="F893" t="str">
            <v>ｍ</v>
          </cell>
          <cell r="G893">
            <v>0</v>
          </cell>
          <cell r="H893">
            <v>1929</v>
          </cell>
          <cell r="I893">
            <v>0</v>
          </cell>
          <cell r="J893">
            <v>1929</v>
          </cell>
          <cell r="K893">
            <v>0</v>
          </cell>
          <cell r="L893">
            <v>1929</v>
          </cell>
          <cell r="M893">
            <v>0</v>
          </cell>
          <cell r="N893">
            <v>1929</v>
          </cell>
          <cell r="O893">
            <v>0</v>
          </cell>
          <cell r="P893">
            <v>1929</v>
          </cell>
          <cell r="Q893">
            <v>0</v>
          </cell>
          <cell r="R893">
            <v>1929</v>
          </cell>
          <cell r="S893">
            <v>0</v>
          </cell>
          <cell r="T893">
            <v>1929</v>
          </cell>
          <cell r="U893">
            <v>0</v>
          </cell>
          <cell r="V893">
            <v>1929</v>
          </cell>
          <cell r="W893">
            <v>0</v>
          </cell>
          <cell r="X893">
            <v>1929</v>
          </cell>
          <cell r="Y893">
            <v>0</v>
          </cell>
          <cell r="Z893">
            <v>1929</v>
          </cell>
          <cell r="AA893">
            <v>0</v>
          </cell>
          <cell r="AB893">
            <v>0</v>
          </cell>
          <cell r="AC893">
            <v>0</v>
          </cell>
          <cell r="AD893">
            <v>6.7000000000000004E-2</v>
          </cell>
          <cell r="AE893">
            <v>0</v>
          </cell>
          <cell r="AF893">
            <v>0</v>
          </cell>
          <cell r="AG893">
            <v>0</v>
          </cell>
          <cell r="AH893">
            <v>0</v>
          </cell>
          <cell r="AI893">
            <v>0</v>
          </cell>
          <cell r="AJ893">
            <v>0</v>
          </cell>
          <cell r="AK893">
            <v>0</v>
          </cell>
          <cell r="AL893">
            <v>0</v>
          </cell>
        </row>
        <row r="894">
          <cell r="E894" t="str">
            <v>FP 38sq-4C</v>
          </cell>
          <cell r="F894" t="str">
            <v>ｍ</v>
          </cell>
          <cell r="G894">
            <v>0</v>
          </cell>
          <cell r="H894">
            <v>2896</v>
          </cell>
          <cell r="I894">
            <v>0</v>
          </cell>
          <cell r="J894">
            <v>2896</v>
          </cell>
          <cell r="K894">
            <v>0</v>
          </cell>
          <cell r="L894">
            <v>2896</v>
          </cell>
          <cell r="M894">
            <v>0</v>
          </cell>
          <cell r="N894">
            <v>2896</v>
          </cell>
          <cell r="O894">
            <v>0</v>
          </cell>
          <cell r="P894">
            <v>2896</v>
          </cell>
          <cell r="Q894">
            <v>0</v>
          </cell>
          <cell r="R894">
            <v>2896</v>
          </cell>
          <cell r="S894">
            <v>0</v>
          </cell>
          <cell r="T894">
            <v>2896</v>
          </cell>
          <cell r="U894">
            <v>0</v>
          </cell>
          <cell r="V894">
            <v>2896</v>
          </cell>
          <cell r="W894">
            <v>0</v>
          </cell>
          <cell r="X894">
            <v>2896</v>
          </cell>
          <cell r="Y894">
            <v>0</v>
          </cell>
          <cell r="Z894">
            <v>2896</v>
          </cell>
          <cell r="AA894">
            <v>0</v>
          </cell>
          <cell r="AB894">
            <v>0</v>
          </cell>
          <cell r="AC894">
            <v>0</v>
          </cell>
          <cell r="AD894">
            <v>8.8999999999999996E-2</v>
          </cell>
          <cell r="AE894">
            <v>0</v>
          </cell>
          <cell r="AF894">
            <v>0</v>
          </cell>
          <cell r="AG894">
            <v>0</v>
          </cell>
          <cell r="AH894">
            <v>0</v>
          </cell>
          <cell r="AI894">
            <v>0</v>
          </cell>
          <cell r="AJ894">
            <v>0</v>
          </cell>
          <cell r="AK894">
            <v>0</v>
          </cell>
          <cell r="AL894">
            <v>0</v>
          </cell>
        </row>
        <row r="895">
          <cell r="E895" t="str">
            <v>FP 60sq-4C</v>
          </cell>
          <cell r="F895" t="str">
            <v>ｍ</v>
          </cell>
          <cell r="G895">
            <v>0</v>
          </cell>
          <cell r="H895">
            <v>4574</v>
          </cell>
          <cell r="I895">
            <v>0</v>
          </cell>
          <cell r="J895">
            <v>4574</v>
          </cell>
          <cell r="K895">
            <v>0</v>
          </cell>
          <cell r="L895">
            <v>4574</v>
          </cell>
          <cell r="M895">
            <v>0</v>
          </cell>
          <cell r="N895">
            <v>4574</v>
          </cell>
          <cell r="O895">
            <v>0</v>
          </cell>
          <cell r="P895">
            <v>4574</v>
          </cell>
          <cell r="Q895">
            <v>0</v>
          </cell>
          <cell r="R895">
            <v>4574</v>
          </cell>
          <cell r="S895">
            <v>0</v>
          </cell>
          <cell r="T895">
            <v>4574</v>
          </cell>
          <cell r="U895">
            <v>0</v>
          </cell>
          <cell r="V895">
            <v>4574</v>
          </cell>
          <cell r="W895">
            <v>0</v>
          </cell>
          <cell r="X895">
            <v>4574</v>
          </cell>
          <cell r="Y895">
            <v>0</v>
          </cell>
          <cell r="Z895">
            <v>4574</v>
          </cell>
          <cell r="AA895">
            <v>0</v>
          </cell>
          <cell r="AB895">
            <v>0</v>
          </cell>
          <cell r="AC895">
            <v>0</v>
          </cell>
          <cell r="AD895">
            <v>0.11799999999999999</v>
          </cell>
          <cell r="AE895">
            <v>0</v>
          </cell>
          <cell r="AF895">
            <v>0</v>
          </cell>
          <cell r="AG895">
            <v>0</v>
          </cell>
          <cell r="AH895">
            <v>0</v>
          </cell>
          <cell r="AI895">
            <v>0</v>
          </cell>
          <cell r="AJ895">
            <v>0</v>
          </cell>
          <cell r="AK895">
            <v>0</v>
          </cell>
          <cell r="AL895">
            <v>0</v>
          </cell>
        </row>
        <row r="896">
          <cell r="E896" t="str">
            <v>FP 100sq-4C</v>
          </cell>
          <cell r="F896" t="str">
            <v>ｍ</v>
          </cell>
          <cell r="G896">
            <v>0</v>
          </cell>
          <cell r="H896">
            <v>6875</v>
          </cell>
          <cell r="I896">
            <v>0</v>
          </cell>
          <cell r="J896">
            <v>6875</v>
          </cell>
          <cell r="K896">
            <v>0</v>
          </cell>
          <cell r="L896">
            <v>6875</v>
          </cell>
          <cell r="M896">
            <v>0</v>
          </cell>
          <cell r="N896">
            <v>6875</v>
          </cell>
          <cell r="O896">
            <v>0</v>
          </cell>
          <cell r="P896">
            <v>6875</v>
          </cell>
          <cell r="Q896">
            <v>0</v>
          </cell>
          <cell r="R896">
            <v>6875</v>
          </cell>
          <cell r="S896">
            <v>0</v>
          </cell>
          <cell r="T896">
            <v>6875</v>
          </cell>
          <cell r="U896">
            <v>0</v>
          </cell>
          <cell r="V896">
            <v>6875</v>
          </cell>
          <cell r="W896">
            <v>0</v>
          </cell>
          <cell r="X896">
            <v>6875</v>
          </cell>
          <cell r="Y896">
            <v>0</v>
          </cell>
          <cell r="Z896">
            <v>6875</v>
          </cell>
          <cell r="AA896">
            <v>0</v>
          </cell>
          <cell r="AB896">
            <v>0</v>
          </cell>
          <cell r="AC896">
            <v>0</v>
          </cell>
          <cell r="AD896">
            <v>0.161</v>
          </cell>
          <cell r="AE896">
            <v>0</v>
          </cell>
          <cell r="AF896">
            <v>0</v>
          </cell>
          <cell r="AG896">
            <v>0</v>
          </cell>
          <cell r="AH896">
            <v>0</v>
          </cell>
          <cell r="AI896">
            <v>0</v>
          </cell>
          <cell r="AJ896">
            <v>0</v>
          </cell>
          <cell r="AK896">
            <v>0</v>
          </cell>
          <cell r="AL896">
            <v>0</v>
          </cell>
        </row>
        <row r="897">
          <cell r="E897" t="str">
            <v>FP 150sq-4C</v>
          </cell>
          <cell r="F897" t="str">
            <v>ｍ</v>
          </cell>
          <cell r="G897">
            <v>0</v>
          </cell>
          <cell r="H897">
            <v>10326</v>
          </cell>
          <cell r="I897">
            <v>0</v>
          </cell>
          <cell r="J897">
            <v>10326</v>
          </cell>
          <cell r="K897">
            <v>0</v>
          </cell>
          <cell r="L897">
            <v>10326</v>
          </cell>
          <cell r="M897">
            <v>0</v>
          </cell>
          <cell r="N897">
            <v>10326</v>
          </cell>
          <cell r="O897">
            <v>0</v>
          </cell>
          <cell r="P897">
            <v>10326</v>
          </cell>
          <cell r="Q897">
            <v>0</v>
          </cell>
          <cell r="R897">
            <v>10326</v>
          </cell>
          <cell r="S897">
            <v>0</v>
          </cell>
          <cell r="T897">
            <v>10326</v>
          </cell>
          <cell r="U897">
            <v>0</v>
          </cell>
          <cell r="V897">
            <v>10326</v>
          </cell>
          <cell r="W897">
            <v>0</v>
          </cell>
          <cell r="X897">
            <v>10326</v>
          </cell>
          <cell r="Y897">
            <v>0</v>
          </cell>
          <cell r="Z897">
            <v>10326</v>
          </cell>
          <cell r="AA897">
            <v>0</v>
          </cell>
          <cell r="AB897">
            <v>0</v>
          </cell>
          <cell r="AC897">
            <v>0</v>
          </cell>
          <cell r="AD897">
            <v>0.19800000000000001</v>
          </cell>
          <cell r="AE897">
            <v>0</v>
          </cell>
          <cell r="AF897">
            <v>0</v>
          </cell>
          <cell r="AG897">
            <v>0</v>
          </cell>
          <cell r="AH897">
            <v>0</v>
          </cell>
          <cell r="AI897">
            <v>0</v>
          </cell>
          <cell r="AJ897">
            <v>0</v>
          </cell>
          <cell r="AK897">
            <v>0</v>
          </cell>
          <cell r="AL897">
            <v>0</v>
          </cell>
        </row>
        <row r="898">
          <cell r="E898" t="str">
            <v>FP 200sq-4C</v>
          </cell>
          <cell r="F898" t="str">
            <v>ｍ</v>
          </cell>
          <cell r="G898">
            <v>0</v>
          </cell>
          <cell r="H898">
            <v>12950</v>
          </cell>
          <cell r="I898">
            <v>0</v>
          </cell>
          <cell r="J898">
            <v>12950</v>
          </cell>
          <cell r="K898">
            <v>0</v>
          </cell>
          <cell r="L898">
            <v>12950</v>
          </cell>
          <cell r="M898">
            <v>0</v>
          </cell>
          <cell r="N898">
            <v>12950</v>
          </cell>
          <cell r="O898">
            <v>0</v>
          </cell>
          <cell r="P898">
            <v>12950</v>
          </cell>
          <cell r="Q898">
            <v>0</v>
          </cell>
          <cell r="R898">
            <v>12950</v>
          </cell>
          <cell r="S898">
            <v>0</v>
          </cell>
          <cell r="T898">
            <v>12950</v>
          </cell>
          <cell r="U898">
            <v>0</v>
          </cell>
          <cell r="V898">
            <v>12950</v>
          </cell>
          <cell r="W898">
            <v>0</v>
          </cell>
          <cell r="X898">
            <v>12950</v>
          </cell>
          <cell r="Y898">
            <v>0</v>
          </cell>
          <cell r="Z898">
            <v>12950</v>
          </cell>
          <cell r="AA898">
            <v>0</v>
          </cell>
          <cell r="AB898">
            <v>0</v>
          </cell>
          <cell r="AC898">
            <v>0</v>
          </cell>
          <cell r="AD898">
            <v>0.245</v>
          </cell>
          <cell r="AE898">
            <v>0</v>
          </cell>
          <cell r="AF898">
            <v>0</v>
          </cell>
          <cell r="AG898">
            <v>0</v>
          </cell>
          <cell r="AH898">
            <v>0</v>
          </cell>
          <cell r="AI898">
            <v>0</v>
          </cell>
          <cell r="AJ898">
            <v>0</v>
          </cell>
          <cell r="AK898">
            <v>0</v>
          </cell>
          <cell r="AL898">
            <v>0</v>
          </cell>
        </row>
        <row r="899">
          <cell r="E899" t="str">
            <v>FP 250sq-4C</v>
          </cell>
          <cell r="F899" t="str">
            <v>ｍ</v>
          </cell>
          <cell r="G899">
            <v>0</v>
          </cell>
          <cell r="H899">
            <v>16488</v>
          </cell>
          <cell r="I899">
            <v>0</v>
          </cell>
          <cell r="J899">
            <v>16488</v>
          </cell>
          <cell r="K899">
            <v>0</v>
          </cell>
          <cell r="L899">
            <v>16488</v>
          </cell>
          <cell r="M899">
            <v>0</v>
          </cell>
          <cell r="N899">
            <v>16488</v>
          </cell>
          <cell r="O899">
            <v>0</v>
          </cell>
          <cell r="P899">
            <v>16488</v>
          </cell>
          <cell r="Q899">
            <v>0</v>
          </cell>
          <cell r="R899">
            <v>16488</v>
          </cell>
          <cell r="S899">
            <v>0</v>
          </cell>
          <cell r="T899">
            <v>16488</v>
          </cell>
          <cell r="U899">
            <v>0</v>
          </cell>
          <cell r="V899">
            <v>16488</v>
          </cell>
          <cell r="W899">
            <v>0</v>
          </cell>
          <cell r="X899">
            <v>16488</v>
          </cell>
          <cell r="Y899">
            <v>0</v>
          </cell>
          <cell r="Z899">
            <v>16488</v>
          </cell>
          <cell r="AA899">
            <v>0</v>
          </cell>
          <cell r="AB899">
            <v>0</v>
          </cell>
          <cell r="AC899">
            <v>0</v>
          </cell>
          <cell r="AD899">
            <v>0.30599999999999999</v>
          </cell>
          <cell r="AE899">
            <v>0</v>
          </cell>
          <cell r="AF899">
            <v>0</v>
          </cell>
          <cell r="AG899">
            <v>0</v>
          </cell>
          <cell r="AH899">
            <v>0</v>
          </cell>
          <cell r="AI899">
            <v>0</v>
          </cell>
          <cell r="AJ899">
            <v>0</v>
          </cell>
          <cell r="AK899">
            <v>0</v>
          </cell>
          <cell r="AL899">
            <v>0</v>
          </cell>
        </row>
        <row r="900">
          <cell r="E900" t="str">
            <v>FP 325sq-4C</v>
          </cell>
          <cell r="F900" t="str">
            <v>ｍ</v>
          </cell>
          <cell r="G900">
            <v>0</v>
          </cell>
          <cell r="H900">
            <v>20182</v>
          </cell>
          <cell r="I900">
            <v>0</v>
          </cell>
          <cell r="J900">
            <v>20182</v>
          </cell>
          <cell r="K900">
            <v>0</v>
          </cell>
          <cell r="L900">
            <v>20182</v>
          </cell>
          <cell r="M900">
            <v>0</v>
          </cell>
          <cell r="N900">
            <v>20182</v>
          </cell>
          <cell r="O900">
            <v>0</v>
          </cell>
          <cell r="P900">
            <v>20182</v>
          </cell>
          <cell r="Q900">
            <v>0</v>
          </cell>
          <cell r="R900">
            <v>20182</v>
          </cell>
          <cell r="S900">
            <v>0</v>
          </cell>
          <cell r="T900">
            <v>20182</v>
          </cell>
          <cell r="U900">
            <v>0</v>
          </cell>
          <cell r="V900">
            <v>20182</v>
          </cell>
          <cell r="W900">
            <v>0</v>
          </cell>
          <cell r="X900">
            <v>20182</v>
          </cell>
          <cell r="Y900">
            <v>0</v>
          </cell>
          <cell r="Z900">
            <v>20182</v>
          </cell>
          <cell r="AA900">
            <v>0</v>
          </cell>
          <cell r="AB900">
            <v>0</v>
          </cell>
          <cell r="AC900">
            <v>0</v>
          </cell>
          <cell r="AD900">
            <v>0.39700000000000002</v>
          </cell>
          <cell r="AE900">
            <v>0</v>
          </cell>
          <cell r="AF900">
            <v>0</v>
          </cell>
          <cell r="AG900">
            <v>0</v>
          </cell>
          <cell r="AH900">
            <v>0</v>
          </cell>
          <cell r="AI900">
            <v>0</v>
          </cell>
          <cell r="AJ900">
            <v>0</v>
          </cell>
          <cell r="AK900">
            <v>0</v>
          </cell>
          <cell r="AL900">
            <v>0</v>
          </cell>
        </row>
        <row r="901">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row>
        <row r="902">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row>
        <row r="903">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row>
        <row r="904">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row>
        <row r="905">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row>
        <row r="906">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row>
        <row r="907">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row>
        <row r="908">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row>
        <row r="909">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row>
        <row r="910">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row>
        <row r="911">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row>
        <row r="912">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row>
        <row r="913">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row>
        <row r="914">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row>
        <row r="915">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row>
        <row r="916">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row>
        <row r="917">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row>
        <row r="918">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row>
        <row r="919">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row>
        <row r="920">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row>
        <row r="921">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row>
        <row r="922">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row>
        <row r="923">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row>
        <row r="924">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row>
        <row r="925">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row>
        <row r="926">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row>
        <row r="927">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row>
        <row r="928">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row>
        <row r="929">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row>
        <row r="930">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row>
        <row r="931">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row>
        <row r="932">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row>
        <row r="933">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row>
        <row r="934">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row>
        <row r="935">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row>
        <row r="936">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row>
        <row r="937">
          <cell r="E937" t="str">
            <v>3KV CV 8sq-1C</v>
          </cell>
          <cell r="F937" t="str">
            <v>ｍ</v>
          </cell>
          <cell r="G937">
            <v>0</v>
          </cell>
          <cell r="H937">
            <v>242</v>
          </cell>
          <cell r="I937">
            <v>0</v>
          </cell>
          <cell r="J937">
            <v>246</v>
          </cell>
          <cell r="K937">
            <v>0</v>
          </cell>
          <cell r="L937">
            <v>246</v>
          </cell>
          <cell r="M937">
            <v>0</v>
          </cell>
          <cell r="N937">
            <v>238</v>
          </cell>
          <cell r="O937">
            <v>0</v>
          </cell>
          <cell r="P937">
            <v>233</v>
          </cell>
          <cell r="Q937">
            <v>0</v>
          </cell>
          <cell r="R937">
            <v>242</v>
          </cell>
          <cell r="S937">
            <v>0</v>
          </cell>
          <cell r="T937">
            <v>242</v>
          </cell>
          <cell r="U937">
            <v>0</v>
          </cell>
          <cell r="V937">
            <v>246</v>
          </cell>
          <cell r="W937">
            <v>0</v>
          </cell>
          <cell r="X937">
            <v>238</v>
          </cell>
          <cell r="Y937">
            <v>0</v>
          </cell>
          <cell r="Z937">
            <v>246</v>
          </cell>
          <cell r="AA937">
            <v>0</v>
          </cell>
          <cell r="AB937">
            <v>0</v>
          </cell>
          <cell r="AC937">
            <v>0</v>
          </cell>
          <cell r="AD937">
            <v>1.9E-2</v>
          </cell>
          <cell r="AE937">
            <v>0</v>
          </cell>
          <cell r="AF937">
            <v>0</v>
          </cell>
          <cell r="AG937">
            <v>0</v>
          </cell>
          <cell r="AH937">
            <v>0</v>
          </cell>
          <cell r="AI937">
            <v>0</v>
          </cell>
          <cell r="AJ937">
            <v>0</v>
          </cell>
          <cell r="AK937">
            <v>0</v>
          </cell>
          <cell r="AL937">
            <v>0</v>
          </cell>
        </row>
        <row r="938">
          <cell r="E938" t="str">
            <v>3KV CV 14sq-1C</v>
          </cell>
          <cell r="F938" t="str">
            <v>ｍ</v>
          </cell>
          <cell r="G938">
            <v>0</v>
          </cell>
          <cell r="H938">
            <v>325</v>
          </cell>
          <cell r="I938">
            <v>0</v>
          </cell>
          <cell r="J938">
            <v>330</v>
          </cell>
          <cell r="K938">
            <v>0</v>
          </cell>
          <cell r="L938">
            <v>330</v>
          </cell>
          <cell r="M938">
            <v>0</v>
          </cell>
          <cell r="N938">
            <v>320</v>
          </cell>
          <cell r="O938">
            <v>0</v>
          </cell>
          <cell r="P938">
            <v>313</v>
          </cell>
          <cell r="Q938">
            <v>0</v>
          </cell>
          <cell r="R938">
            <v>325</v>
          </cell>
          <cell r="S938">
            <v>0</v>
          </cell>
          <cell r="T938">
            <v>325</v>
          </cell>
          <cell r="U938">
            <v>0</v>
          </cell>
          <cell r="V938">
            <v>330</v>
          </cell>
          <cell r="W938">
            <v>0</v>
          </cell>
          <cell r="X938">
            <v>320</v>
          </cell>
          <cell r="Y938">
            <v>0</v>
          </cell>
          <cell r="Z938">
            <v>330</v>
          </cell>
          <cell r="AA938">
            <v>0</v>
          </cell>
          <cell r="AB938">
            <v>0</v>
          </cell>
          <cell r="AC938">
            <v>0</v>
          </cell>
          <cell r="AD938">
            <v>2.4E-2</v>
          </cell>
          <cell r="AE938">
            <v>0</v>
          </cell>
          <cell r="AF938">
            <v>0</v>
          </cell>
          <cell r="AG938">
            <v>0</v>
          </cell>
          <cell r="AH938">
            <v>0</v>
          </cell>
          <cell r="AI938">
            <v>0</v>
          </cell>
          <cell r="AJ938">
            <v>0</v>
          </cell>
          <cell r="AK938">
            <v>0</v>
          </cell>
          <cell r="AL938">
            <v>0</v>
          </cell>
        </row>
        <row r="939">
          <cell r="E939" t="str">
            <v>3KV CV 22sq-1C</v>
          </cell>
          <cell r="F939" t="str">
            <v>ｍ</v>
          </cell>
          <cell r="G939">
            <v>0</v>
          </cell>
          <cell r="H939">
            <v>463</v>
          </cell>
          <cell r="I939">
            <v>0</v>
          </cell>
          <cell r="J939">
            <v>470</v>
          </cell>
          <cell r="K939">
            <v>0</v>
          </cell>
          <cell r="L939">
            <v>470</v>
          </cell>
          <cell r="M939">
            <v>0</v>
          </cell>
          <cell r="N939">
            <v>456</v>
          </cell>
          <cell r="O939">
            <v>0</v>
          </cell>
          <cell r="P939">
            <v>445</v>
          </cell>
          <cell r="Q939">
            <v>0</v>
          </cell>
          <cell r="R939">
            <v>463</v>
          </cell>
          <cell r="S939">
            <v>0</v>
          </cell>
          <cell r="T939">
            <v>463</v>
          </cell>
          <cell r="U939">
            <v>0</v>
          </cell>
          <cell r="V939">
            <v>470</v>
          </cell>
          <cell r="W939">
            <v>0</v>
          </cell>
          <cell r="X939">
            <v>456</v>
          </cell>
          <cell r="Y939">
            <v>0</v>
          </cell>
          <cell r="Z939">
            <v>470</v>
          </cell>
          <cell r="AA939">
            <v>0</v>
          </cell>
          <cell r="AB939">
            <v>0</v>
          </cell>
          <cell r="AC939">
            <v>0</v>
          </cell>
          <cell r="AD939">
            <v>3.1E-2</v>
          </cell>
          <cell r="AE939">
            <v>0</v>
          </cell>
          <cell r="AF939">
            <v>0</v>
          </cell>
          <cell r="AG939">
            <v>0</v>
          </cell>
          <cell r="AH939">
            <v>0</v>
          </cell>
          <cell r="AI939">
            <v>0</v>
          </cell>
          <cell r="AJ939">
            <v>0</v>
          </cell>
          <cell r="AK939">
            <v>0</v>
          </cell>
          <cell r="AL939">
            <v>0</v>
          </cell>
        </row>
        <row r="940">
          <cell r="E940" t="str">
            <v>3KV CV 38sq-1C</v>
          </cell>
          <cell r="F940" t="str">
            <v>ｍ</v>
          </cell>
          <cell r="G940">
            <v>0</v>
          </cell>
          <cell r="H940">
            <v>678</v>
          </cell>
          <cell r="I940">
            <v>0</v>
          </cell>
          <cell r="J940">
            <v>688</v>
          </cell>
          <cell r="K940">
            <v>0</v>
          </cell>
          <cell r="L940">
            <v>688</v>
          </cell>
          <cell r="M940">
            <v>0</v>
          </cell>
          <cell r="N940">
            <v>668</v>
          </cell>
          <cell r="O940">
            <v>0</v>
          </cell>
          <cell r="P940">
            <v>652</v>
          </cell>
          <cell r="Q940">
            <v>0</v>
          </cell>
          <cell r="R940">
            <v>678</v>
          </cell>
          <cell r="S940">
            <v>0</v>
          </cell>
          <cell r="T940">
            <v>678</v>
          </cell>
          <cell r="U940">
            <v>0</v>
          </cell>
          <cell r="V940">
            <v>688</v>
          </cell>
          <cell r="W940">
            <v>0</v>
          </cell>
          <cell r="X940">
            <v>668</v>
          </cell>
          <cell r="Y940">
            <v>0</v>
          </cell>
          <cell r="Z940">
            <v>688</v>
          </cell>
          <cell r="AA940">
            <v>0</v>
          </cell>
          <cell r="AB940">
            <v>0</v>
          </cell>
          <cell r="AC940">
            <v>0</v>
          </cell>
          <cell r="AD940">
            <v>4.1000000000000002E-2</v>
          </cell>
          <cell r="AE940">
            <v>0</v>
          </cell>
          <cell r="AF940">
            <v>0</v>
          </cell>
          <cell r="AG940">
            <v>0</v>
          </cell>
          <cell r="AH940">
            <v>0</v>
          </cell>
          <cell r="AI940">
            <v>0</v>
          </cell>
          <cell r="AJ940">
            <v>0</v>
          </cell>
          <cell r="AK940">
            <v>0</v>
          </cell>
          <cell r="AL940">
            <v>0</v>
          </cell>
        </row>
        <row r="941">
          <cell r="E941" t="str">
            <v>3KV CV 60sq-1C</v>
          </cell>
          <cell r="F941" t="str">
            <v>ｍ</v>
          </cell>
          <cell r="G941">
            <v>0</v>
          </cell>
          <cell r="H941">
            <v>948</v>
          </cell>
          <cell r="I941">
            <v>0</v>
          </cell>
          <cell r="J941">
            <v>962</v>
          </cell>
          <cell r="K941">
            <v>0</v>
          </cell>
          <cell r="L941">
            <v>962</v>
          </cell>
          <cell r="M941">
            <v>0</v>
          </cell>
          <cell r="N941">
            <v>933</v>
          </cell>
          <cell r="O941">
            <v>0</v>
          </cell>
          <cell r="P941">
            <v>911</v>
          </cell>
          <cell r="Q941">
            <v>0</v>
          </cell>
          <cell r="R941">
            <v>948</v>
          </cell>
          <cell r="S941">
            <v>0</v>
          </cell>
          <cell r="T941">
            <v>948</v>
          </cell>
          <cell r="U941">
            <v>0</v>
          </cell>
          <cell r="V941">
            <v>962</v>
          </cell>
          <cell r="W941">
            <v>0</v>
          </cell>
          <cell r="X941">
            <v>933</v>
          </cell>
          <cell r="Y941">
            <v>0</v>
          </cell>
          <cell r="Z941">
            <v>962</v>
          </cell>
          <cell r="AA941">
            <v>0</v>
          </cell>
          <cell r="AB941">
            <v>0</v>
          </cell>
          <cell r="AC941">
            <v>0</v>
          </cell>
          <cell r="AD941">
            <v>5.3999999999999999E-2</v>
          </cell>
          <cell r="AE941">
            <v>0</v>
          </cell>
          <cell r="AF941">
            <v>0</v>
          </cell>
          <cell r="AG941">
            <v>0</v>
          </cell>
          <cell r="AH941">
            <v>0</v>
          </cell>
          <cell r="AI941">
            <v>0</v>
          </cell>
          <cell r="AJ941">
            <v>0</v>
          </cell>
          <cell r="AK941">
            <v>0</v>
          </cell>
          <cell r="AL941">
            <v>0</v>
          </cell>
        </row>
        <row r="942">
          <cell r="E942" t="str">
            <v>3KV CV 100sq-1C</v>
          </cell>
          <cell r="F942" t="str">
            <v>ｍ</v>
          </cell>
          <cell r="G942">
            <v>0</v>
          </cell>
          <cell r="H942">
            <v>1399</v>
          </cell>
          <cell r="I942">
            <v>0</v>
          </cell>
          <cell r="J942">
            <v>1420</v>
          </cell>
          <cell r="K942">
            <v>0</v>
          </cell>
          <cell r="L942">
            <v>1420</v>
          </cell>
          <cell r="M942">
            <v>0</v>
          </cell>
          <cell r="N942">
            <v>1377</v>
          </cell>
          <cell r="O942">
            <v>0</v>
          </cell>
          <cell r="P942">
            <v>1345</v>
          </cell>
          <cell r="Q942">
            <v>0</v>
          </cell>
          <cell r="R942">
            <v>1399</v>
          </cell>
          <cell r="S942">
            <v>0</v>
          </cell>
          <cell r="T942">
            <v>1399</v>
          </cell>
          <cell r="U942">
            <v>0</v>
          </cell>
          <cell r="V942">
            <v>1420</v>
          </cell>
          <cell r="W942">
            <v>0</v>
          </cell>
          <cell r="X942">
            <v>1377</v>
          </cell>
          <cell r="Y942">
            <v>0</v>
          </cell>
          <cell r="Z942">
            <v>1420</v>
          </cell>
          <cell r="AA942">
            <v>0</v>
          </cell>
          <cell r="AB942">
            <v>0</v>
          </cell>
          <cell r="AC942">
            <v>0</v>
          </cell>
          <cell r="AD942">
            <v>7.3999999999999996E-2</v>
          </cell>
          <cell r="AE942">
            <v>0</v>
          </cell>
          <cell r="AF942">
            <v>0</v>
          </cell>
          <cell r="AG942">
            <v>0</v>
          </cell>
          <cell r="AH942">
            <v>0</v>
          </cell>
          <cell r="AI942">
            <v>0</v>
          </cell>
          <cell r="AJ942">
            <v>0</v>
          </cell>
          <cell r="AK942">
            <v>0</v>
          </cell>
          <cell r="AL942">
            <v>0</v>
          </cell>
        </row>
        <row r="943">
          <cell r="E943" t="str">
            <v>3KV CV 150sq-1C</v>
          </cell>
          <cell r="F943" t="str">
            <v>ｍ</v>
          </cell>
          <cell r="G943">
            <v>0</v>
          </cell>
          <cell r="H943">
            <v>1908</v>
          </cell>
          <cell r="I943">
            <v>0</v>
          </cell>
          <cell r="J943">
            <v>1938</v>
          </cell>
          <cell r="K943">
            <v>0</v>
          </cell>
          <cell r="L943">
            <v>1938</v>
          </cell>
          <cell r="M943">
            <v>0</v>
          </cell>
          <cell r="N943">
            <v>1879</v>
          </cell>
          <cell r="O943">
            <v>0</v>
          </cell>
          <cell r="P943">
            <v>1835</v>
          </cell>
          <cell r="Q943">
            <v>0</v>
          </cell>
          <cell r="R943">
            <v>1908</v>
          </cell>
          <cell r="S943">
            <v>0</v>
          </cell>
          <cell r="T943">
            <v>1908</v>
          </cell>
          <cell r="U943">
            <v>0</v>
          </cell>
          <cell r="V943">
            <v>1938</v>
          </cell>
          <cell r="W943">
            <v>0</v>
          </cell>
          <cell r="X943">
            <v>1879</v>
          </cell>
          <cell r="Y943">
            <v>0</v>
          </cell>
          <cell r="Z943">
            <v>1938</v>
          </cell>
          <cell r="AA943">
            <v>0</v>
          </cell>
          <cell r="AB943">
            <v>0</v>
          </cell>
          <cell r="AC943">
            <v>0</v>
          </cell>
          <cell r="AD943">
            <v>9.0999999999999998E-2</v>
          </cell>
          <cell r="AE943">
            <v>0</v>
          </cell>
          <cell r="AF943">
            <v>0</v>
          </cell>
          <cell r="AG943">
            <v>0</v>
          </cell>
          <cell r="AH943">
            <v>0</v>
          </cell>
          <cell r="AI943">
            <v>0</v>
          </cell>
          <cell r="AJ943">
            <v>0</v>
          </cell>
          <cell r="AK943">
            <v>0</v>
          </cell>
          <cell r="AL943">
            <v>0</v>
          </cell>
        </row>
        <row r="944">
          <cell r="E944" t="str">
            <v>3KV CV 200sq-1C</v>
          </cell>
          <cell r="F944" t="str">
            <v>ｍ</v>
          </cell>
          <cell r="G944">
            <v>0</v>
          </cell>
          <cell r="H944">
            <v>2420</v>
          </cell>
          <cell r="I944">
            <v>0</v>
          </cell>
          <cell r="J944">
            <v>2457</v>
          </cell>
          <cell r="K944">
            <v>0</v>
          </cell>
          <cell r="L944">
            <v>2457</v>
          </cell>
          <cell r="M944">
            <v>0</v>
          </cell>
          <cell r="N944">
            <v>2383</v>
          </cell>
          <cell r="O944">
            <v>0</v>
          </cell>
          <cell r="P944">
            <v>2327</v>
          </cell>
          <cell r="Q944">
            <v>0</v>
          </cell>
          <cell r="R944">
            <v>2420</v>
          </cell>
          <cell r="S944">
            <v>0</v>
          </cell>
          <cell r="T944">
            <v>2420</v>
          </cell>
          <cell r="U944">
            <v>0</v>
          </cell>
          <cell r="V944">
            <v>2457</v>
          </cell>
          <cell r="W944">
            <v>0</v>
          </cell>
          <cell r="X944">
            <v>2383</v>
          </cell>
          <cell r="Y944">
            <v>0</v>
          </cell>
          <cell r="Z944">
            <v>2457</v>
          </cell>
          <cell r="AA944">
            <v>0</v>
          </cell>
          <cell r="AB944">
            <v>0</v>
          </cell>
          <cell r="AC944">
            <v>0</v>
          </cell>
          <cell r="AD944">
            <v>0.112</v>
          </cell>
          <cell r="AE944">
            <v>0</v>
          </cell>
          <cell r="AF944">
            <v>0</v>
          </cell>
          <cell r="AG944">
            <v>0</v>
          </cell>
          <cell r="AH944">
            <v>0</v>
          </cell>
          <cell r="AI944">
            <v>0</v>
          </cell>
          <cell r="AJ944">
            <v>0</v>
          </cell>
          <cell r="AK944">
            <v>0</v>
          </cell>
          <cell r="AL944">
            <v>0</v>
          </cell>
        </row>
        <row r="945">
          <cell r="E945" t="str">
            <v>3KV CV 250sq-1C</v>
          </cell>
          <cell r="F945" t="str">
            <v>ｍ</v>
          </cell>
          <cell r="G945">
            <v>0</v>
          </cell>
          <cell r="H945">
            <v>3036</v>
          </cell>
          <cell r="I945">
            <v>0</v>
          </cell>
          <cell r="J945">
            <v>3082</v>
          </cell>
          <cell r="K945">
            <v>0</v>
          </cell>
          <cell r="L945">
            <v>3082</v>
          </cell>
          <cell r="M945">
            <v>0</v>
          </cell>
          <cell r="N945">
            <v>2989</v>
          </cell>
          <cell r="O945">
            <v>0</v>
          </cell>
          <cell r="P945">
            <v>2919</v>
          </cell>
          <cell r="Q945">
            <v>0</v>
          </cell>
          <cell r="R945">
            <v>3036</v>
          </cell>
          <cell r="S945">
            <v>0</v>
          </cell>
          <cell r="T945">
            <v>3036</v>
          </cell>
          <cell r="U945">
            <v>0</v>
          </cell>
          <cell r="V945">
            <v>3082</v>
          </cell>
          <cell r="W945">
            <v>0</v>
          </cell>
          <cell r="X945">
            <v>2989</v>
          </cell>
          <cell r="Y945">
            <v>0</v>
          </cell>
          <cell r="Z945">
            <v>3082</v>
          </cell>
          <cell r="AA945">
            <v>0</v>
          </cell>
          <cell r="AB945">
            <v>0</v>
          </cell>
          <cell r="AC945">
            <v>0</v>
          </cell>
          <cell r="AD945">
            <v>0.129</v>
          </cell>
          <cell r="AE945">
            <v>0</v>
          </cell>
          <cell r="AF945">
            <v>0</v>
          </cell>
          <cell r="AG945">
            <v>0</v>
          </cell>
          <cell r="AH945">
            <v>0</v>
          </cell>
          <cell r="AI945">
            <v>0</v>
          </cell>
          <cell r="AJ945">
            <v>0</v>
          </cell>
          <cell r="AK945">
            <v>0</v>
          </cell>
          <cell r="AL945">
            <v>0</v>
          </cell>
        </row>
        <row r="946">
          <cell r="E946" t="str">
            <v>3KV CV 325sq-1C</v>
          </cell>
          <cell r="F946" t="str">
            <v>ｍ</v>
          </cell>
          <cell r="G946">
            <v>0</v>
          </cell>
          <cell r="H946">
            <v>3847</v>
          </cell>
          <cell r="I946">
            <v>0</v>
          </cell>
          <cell r="J946">
            <v>3906</v>
          </cell>
          <cell r="K946">
            <v>0</v>
          </cell>
          <cell r="L946">
            <v>3906</v>
          </cell>
          <cell r="M946">
            <v>0</v>
          </cell>
          <cell r="N946">
            <v>3788</v>
          </cell>
          <cell r="O946">
            <v>0</v>
          </cell>
          <cell r="P946">
            <v>3699</v>
          </cell>
          <cell r="Q946">
            <v>0</v>
          </cell>
          <cell r="R946">
            <v>3847</v>
          </cell>
          <cell r="S946">
            <v>0</v>
          </cell>
          <cell r="T946">
            <v>3847</v>
          </cell>
          <cell r="U946">
            <v>0</v>
          </cell>
          <cell r="V946">
            <v>3906</v>
          </cell>
          <cell r="W946">
            <v>0</v>
          </cell>
          <cell r="X946">
            <v>3788</v>
          </cell>
          <cell r="Y946">
            <v>0</v>
          </cell>
          <cell r="Z946">
            <v>3906</v>
          </cell>
          <cell r="AA946">
            <v>0</v>
          </cell>
          <cell r="AB946">
            <v>0</v>
          </cell>
          <cell r="AC946">
            <v>0</v>
          </cell>
          <cell r="AD946">
            <v>0.16400000000000001</v>
          </cell>
          <cell r="AE946">
            <v>0</v>
          </cell>
          <cell r="AF946">
            <v>0</v>
          </cell>
          <cell r="AG946">
            <v>0</v>
          </cell>
          <cell r="AH946">
            <v>0</v>
          </cell>
          <cell r="AI946">
            <v>0</v>
          </cell>
          <cell r="AJ946">
            <v>0</v>
          </cell>
          <cell r="AK946">
            <v>0</v>
          </cell>
          <cell r="AL946">
            <v>0</v>
          </cell>
        </row>
        <row r="947">
          <cell r="E947" t="str">
            <v>3KV CV 8sq-3C</v>
          </cell>
          <cell r="F947" t="str">
            <v>ｍ</v>
          </cell>
          <cell r="G947">
            <v>0</v>
          </cell>
          <cell r="H947">
            <v>696</v>
          </cell>
          <cell r="I947">
            <v>0</v>
          </cell>
          <cell r="J947">
            <v>706</v>
          </cell>
          <cell r="K947">
            <v>0</v>
          </cell>
          <cell r="L947">
            <v>706</v>
          </cell>
          <cell r="M947">
            <v>0</v>
          </cell>
          <cell r="N947">
            <v>685</v>
          </cell>
          <cell r="O947">
            <v>0</v>
          </cell>
          <cell r="P947">
            <v>669</v>
          </cell>
          <cell r="Q947">
            <v>0</v>
          </cell>
          <cell r="R947">
            <v>696</v>
          </cell>
          <cell r="S947">
            <v>0</v>
          </cell>
          <cell r="T947">
            <v>696</v>
          </cell>
          <cell r="U947">
            <v>0</v>
          </cell>
          <cell r="V947">
            <v>706</v>
          </cell>
          <cell r="W947">
            <v>0</v>
          </cell>
          <cell r="X947">
            <v>685</v>
          </cell>
          <cell r="Y947">
            <v>0</v>
          </cell>
          <cell r="Z947">
            <v>706</v>
          </cell>
          <cell r="AA947">
            <v>0</v>
          </cell>
          <cell r="AB947">
            <v>0</v>
          </cell>
          <cell r="AC947">
            <v>0</v>
          </cell>
          <cell r="AD947">
            <v>3.2000000000000001E-2</v>
          </cell>
          <cell r="AE947">
            <v>0</v>
          </cell>
          <cell r="AF947">
            <v>0</v>
          </cell>
          <cell r="AG947">
            <v>0</v>
          </cell>
          <cell r="AH947">
            <v>0</v>
          </cell>
          <cell r="AI947">
            <v>0</v>
          </cell>
          <cell r="AJ947">
            <v>0</v>
          </cell>
          <cell r="AK947">
            <v>0</v>
          </cell>
          <cell r="AL947">
            <v>0</v>
          </cell>
        </row>
        <row r="948">
          <cell r="E948" t="str">
            <v>3KV CV 14sq-3C</v>
          </cell>
          <cell r="F948" t="str">
            <v>ｍ</v>
          </cell>
          <cell r="G948">
            <v>0</v>
          </cell>
          <cell r="H948">
            <v>886</v>
          </cell>
          <cell r="I948">
            <v>0</v>
          </cell>
          <cell r="J948">
            <v>900</v>
          </cell>
          <cell r="K948">
            <v>0</v>
          </cell>
          <cell r="L948">
            <v>900</v>
          </cell>
          <cell r="M948">
            <v>0</v>
          </cell>
          <cell r="N948">
            <v>872</v>
          </cell>
          <cell r="O948">
            <v>0</v>
          </cell>
          <cell r="P948">
            <v>852</v>
          </cell>
          <cell r="Q948">
            <v>0</v>
          </cell>
          <cell r="R948">
            <v>886</v>
          </cell>
          <cell r="S948">
            <v>0</v>
          </cell>
          <cell r="T948">
            <v>886</v>
          </cell>
          <cell r="U948">
            <v>0</v>
          </cell>
          <cell r="V948">
            <v>900</v>
          </cell>
          <cell r="W948">
            <v>0</v>
          </cell>
          <cell r="X948">
            <v>872</v>
          </cell>
          <cell r="Y948">
            <v>0</v>
          </cell>
          <cell r="Z948">
            <v>900</v>
          </cell>
          <cell r="AA948">
            <v>0</v>
          </cell>
          <cell r="AB948">
            <v>0</v>
          </cell>
          <cell r="AC948">
            <v>0</v>
          </cell>
          <cell r="AD948">
            <v>0.04</v>
          </cell>
          <cell r="AE948">
            <v>0</v>
          </cell>
          <cell r="AF948">
            <v>0</v>
          </cell>
          <cell r="AG948">
            <v>0</v>
          </cell>
          <cell r="AH948">
            <v>0</v>
          </cell>
          <cell r="AI948">
            <v>0</v>
          </cell>
          <cell r="AJ948">
            <v>0</v>
          </cell>
          <cell r="AK948">
            <v>0</v>
          </cell>
          <cell r="AL948">
            <v>0</v>
          </cell>
        </row>
        <row r="949">
          <cell r="E949" t="str">
            <v>3KV CV 22sq-3C</v>
          </cell>
          <cell r="F949" t="str">
            <v>ｍ</v>
          </cell>
          <cell r="G949">
            <v>0</v>
          </cell>
          <cell r="H949">
            <v>1208</v>
          </cell>
          <cell r="I949">
            <v>0</v>
          </cell>
          <cell r="J949">
            <v>1227</v>
          </cell>
          <cell r="K949">
            <v>0</v>
          </cell>
          <cell r="L949">
            <v>1227</v>
          </cell>
          <cell r="M949">
            <v>0</v>
          </cell>
          <cell r="N949">
            <v>1190</v>
          </cell>
          <cell r="O949">
            <v>0</v>
          </cell>
          <cell r="P949">
            <v>1162</v>
          </cell>
          <cell r="Q949">
            <v>0</v>
          </cell>
          <cell r="R949">
            <v>1208</v>
          </cell>
          <cell r="S949">
            <v>0</v>
          </cell>
          <cell r="T949">
            <v>1208</v>
          </cell>
          <cell r="U949">
            <v>0</v>
          </cell>
          <cell r="V949">
            <v>1227</v>
          </cell>
          <cell r="W949">
            <v>0</v>
          </cell>
          <cell r="X949">
            <v>1190</v>
          </cell>
          <cell r="Y949">
            <v>0</v>
          </cell>
          <cell r="Z949">
            <v>1227</v>
          </cell>
          <cell r="AA949">
            <v>0</v>
          </cell>
          <cell r="AB949">
            <v>0</v>
          </cell>
          <cell r="AC949">
            <v>0</v>
          </cell>
          <cell r="AD949">
            <v>5.1999999999999998E-2</v>
          </cell>
          <cell r="AE949">
            <v>0</v>
          </cell>
          <cell r="AF949">
            <v>0</v>
          </cell>
          <cell r="AG949">
            <v>0</v>
          </cell>
          <cell r="AH949">
            <v>0</v>
          </cell>
          <cell r="AI949">
            <v>0</v>
          </cell>
          <cell r="AJ949">
            <v>0</v>
          </cell>
          <cell r="AK949">
            <v>0</v>
          </cell>
          <cell r="AL949">
            <v>0</v>
          </cell>
        </row>
        <row r="950">
          <cell r="E950" t="str">
            <v>3KV CV 38sq-3C</v>
          </cell>
          <cell r="F950" t="str">
            <v>ｍ</v>
          </cell>
          <cell r="G950">
            <v>0</v>
          </cell>
          <cell r="H950">
            <v>1720</v>
          </cell>
          <cell r="I950">
            <v>0</v>
          </cell>
          <cell r="J950">
            <v>1797</v>
          </cell>
          <cell r="K950">
            <v>0</v>
          </cell>
          <cell r="L950">
            <v>1797</v>
          </cell>
          <cell r="M950">
            <v>0</v>
          </cell>
          <cell r="N950">
            <v>1743</v>
          </cell>
          <cell r="O950">
            <v>0</v>
          </cell>
          <cell r="P950">
            <v>1702</v>
          </cell>
          <cell r="Q950">
            <v>0</v>
          </cell>
          <cell r="R950">
            <v>1720</v>
          </cell>
          <cell r="S950">
            <v>0</v>
          </cell>
          <cell r="T950">
            <v>1720</v>
          </cell>
          <cell r="U950">
            <v>0</v>
          </cell>
          <cell r="V950">
            <v>1797</v>
          </cell>
          <cell r="W950">
            <v>0</v>
          </cell>
          <cell r="X950">
            <v>1743</v>
          </cell>
          <cell r="Y950">
            <v>0</v>
          </cell>
          <cell r="Z950">
            <v>1797</v>
          </cell>
          <cell r="AA950">
            <v>0</v>
          </cell>
          <cell r="AB950">
            <v>0</v>
          </cell>
          <cell r="AC950">
            <v>0</v>
          </cell>
          <cell r="AD950">
            <v>6.8000000000000005E-2</v>
          </cell>
          <cell r="AE950">
            <v>0</v>
          </cell>
          <cell r="AF950">
            <v>0</v>
          </cell>
          <cell r="AG950">
            <v>0</v>
          </cell>
          <cell r="AH950">
            <v>0</v>
          </cell>
          <cell r="AI950">
            <v>0</v>
          </cell>
          <cell r="AJ950">
            <v>0</v>
          </cell>
          <cell r="AK950">
            <v>0</v>
          </cell>
          <cell r="AL950">
            <v>0</v>
          </cell>
        </row>
        <row r="951">
          <cell r="E951" t="str">
            <v>3KV CV 60sq-3C</v>
          </cell>
          <cell r="F951" t="str">
            <v>ｍ</v>
          </cell>
          <cell r="G951">
            <v>0</v>
          </cell>
          <cell r="H951">
            <v>2590</v>
          </cell>
          <cell r="I951">
            <v>0</v>
          </cell>
          <cell r="J951">
            <v>2629</v>
          </cell>
          <cell r="K951">
            <v>0</v>
          </cell>
          <cell r="L951">
            <v>2629</v>
          </cell>
          <cell r="M951">
            <v>0</v>
          </cell>
          <cell r="N951">
            <v>2550</v>
          </cell>
          <cell r="O951">
            <v>0</v>
          </cell>
          <cell r="P951">
            <v>2490</v>
          </cell>
          <cell r="Q951">
            <v>0</v>
          </cell>
          <cell r="R951">
            <v>2590</v>
          </cell>
          <cell r="S951">
            <v>0</v>
          </cell>
          <cell r="T951">
            <v>2590</v>
          </cell>
          <cell r="U951">
            <v>0</v>
          </cell>
          <cell r="V951">
            <v>2629</v>
          </cell>
          <cell r="W951">
            <v>0</v>
          </cell>
          <cell r="X951">
            <v>2550</v>
          </cell>
          <cell r="Y951">
            <v>0</v>
          </cell>
          <cell r="Z951">
            <v>2629</v>
          </cell>
          <cell r="AA951">
            <v>0</v>
          </cell>
          <cell r="AB951">
            <v>0</v>
          </cell>
          <cell r="AC951">
            <v>0</v>
          </cell>
          <cell r="AD951">
            <v>0.09</v>
          </cell>
          <cell r="AE951">
            <v>0</v>
          </cell>
          <cell r="AF951">
            <v>0</v>
          </cell>
          <cell r="AG951">
            <v>0</v>
          </cell>
          <cell r="AH951">
            <v>0</v>
          </cell>
          <cell r="AI951">
            <v>0</v>
          </cell>
          <cell r="AJ951">
            <v>0</v>
          </cell>
          <cell r="AK951">
            <v>0</v>
          </cell>
          <cell r="AL951">
            <v>0</v>
          </cell>
        </row>
        <row r="952">
          <cell r="E952" t="str">
            <v>3KV CV 100sq-3C</v>
          </cell>
          <cell r="F952" t="str">
            <v>ｍ</v>
          </cell>
          <cell r="G952">
            <v>0</v>
          </cell>
          <cell r="H952">
            <v>4016</v>
          </cell>
          <cell r="I952">
            <v>0</v>
          </cell>
          <cell r="J952">
            <v>4078</v>
          </cell>
          <cell r="K952">
            <v>0</v>
          </cell>
          <cell r="L952">
            <v>4078</v>
          </cell>
          <cell r="M952">
            <v>0</v>
          </cell>
          <cell r="N952">
            <v>3955</v>
          </cell>
          <cell r="O952">
            <v>0</v>
          </cell>
          <cell r="P952">
            <v>3862</v>
          </cell>
          <cell r="Q952">
            <v>0</v>
          </cell>
          <cell r="R952">
            <v>4016</v>
          </cell>
          <cell r="S952">
            <v>0</v>
          </cell>
          <cell r="T952">
            <v>4016</v>
          </cell>
          <cell r="U952">
            <v>0</v>
          </cell>
          <cell r="V952">
            <v>4078</v>
          </cell>
          <cell r="W952">
            <v>0</v>
          </cell>
          <cell r="X952">
            <v>3955</v>
          </cell>
          <cell r="Y952">
            <v>0</v>
          </cell>
          <cell r="Z952">
            <v>4078</v>
          </cell>
          <cell r="AA952">
            <v>0</v>
          </cell>
          <cell r="AB952">
            <v>0</v>
          </cell>
          <cell r="AC952">
            <v>0</v>
          </cell>
          <cell r="AD952">
            <v>0.124</v>
          </cell>
          <cell r="AE952">
            <v>0</v>
          </cell>
          <cell r="AF952">
            <v>0</v>
          </cell>
          <cell r="AG952">
            <v>0</v>
          </cell>
          <cell r="AH952">
            <v>0</v>
          </cell>
          <cell r="AI952">
            <v>0</v>
          </cell>
          <cell r="AJ952">
            <v>0</v>
          </cell>
          <cell r="AK952">
            <v>0</v>
          </cell>
          <cell r="AL952">
            <v>0</v>
          </cell>
        </row>
        <row r="953">
          <cell r="E953" t="str">
            <v>3KV CV 150sq-3C</v>
          </cell>
          <cell r="F953" t="str">
            <v>ｍ</v>
          </cell>
          <cell r="G953">
            <v>0</v>
          </cell>
          <cell r="H953">
            <v>5903</v>
          </cell>
          <cell r="I953">
            <v>0</v>
          </cell>
          <cell r="J953">
            <v>5994</v>
          </cell>
          <cell r="K953">
            <v>0</v>
          </cell>
          <cell r="L953">
            <v>5994</v>
          </cell>
          <cell r="M953">
            <v>0</v>
          </cell>
          <cell r="N953">
            <v>5812</v>
          </cell>
          <cell r="O953">
            <v>0</v>
          </cell>
          <cell r="P953">
            <v>5676</v>
          </cell>
          <cell r="Q953">
            <v>0</v>
          </cell>
          <cell r="R953">
            <v>5903</v>
          </cell>
          <cell r="S953">
            <v>0</v>
          </cell>
          <cell r="T953">
            <v>5903</v>
          </cell>
          <cell r="U953">
            <v>0</v>
          </cell>
          <cell r="V953">
            <v>5994</v>
          </cell>
          <cell r="W953">
            <v>0</v>
          </cell>
          <cell r="X953">
            <v>5812</v>
          </cell>
          <cell r="Y953">
            <v>0</v>
          </cell>
          <cell r="Z953">
            <v>5994</v>
          </cell>
          <cell r="AA953">
            <v>0</v>
          </cell>
          <cell r="AB953">
            <v>0</v>
          </cell>
          <cell r="AC953">
            <v>0</v>
          </cell>
          <cell r="AD953">
            <v>0.151</v>
          </cell>
          <cell r="AE953">
            <v>0</v>
          </cell>
          <cell r="AF953">
            <v>0</v>
          </cell>
          <cell r="AG953">
            <v>0</v>
          </cell>
          <cell r="AH953">
            <v>0</v>
          </cell>
          <cell r="AI953">
            <v>0</v>
          </cell>
          <cell r="AJ953">
            <v>0</v>
          </cell>
          <cell r="AK953">
            <v>0</v>
          </cell>
          <cell r="AL953">
            <v>0</v>
          </cell>
        </row>
        <row r="954">
          <cell r="E954" t="str">
            <v>3KV CV 200sq-3C</v>
          </cell>
          <cell r="F954" t="str">
            <v>ｍ</v>
          </cell>
          <cell r="G954">
            <v>0</v>
          </cell>
          <cell r="H954">
            <v>8389</v>
          </cell>
          <cell r="I954">
            <v>0</v>
          </cell>
          <cell r="J954">
            <v>8518</v>
          </cell>
          <cell r="K954">
            <v>0</v>
          </cell>
          <cell r="L954">
            <v>8518</v>
          </cell>
          <cell r="M954">
            <v>0</v>
          </cell>
          <cell r="N954">
            <v>8260</v>
          </cell>
          <cell r="O954">
            <v>0</v>
          </cell>
          <cell r="P954">
            <v>8066</v>
          </cell>
          <cell r="Q954">
            <v>0</v>
          </cell>
          <cell r="R954">
            <v>8389</v>
          </cell>
          <cell r="S954">
            <v>0</v>
          </cell>
          <cell r="T954">
            <v>8389</v>
          </cell>
          <cell r="U954">
            <v>0</v>
          </cell>
          <cell r="V954">
            <v>8518</v>
          </cell>
          <cell r="W954">
            <v>0</v>
          </cell>
          <cell r="X954">
            <v>8260</v>
          </cell>
          <cell r="Y954">
            <v>0</v>
          </cell>
          <cell r="Z954">
            <v>8518</v>
          </cell>
          <cell r="AA954">
            <v>0</v>
          </cell>
          <cell r="AB954">
            <v>0</v>
          </cell>
          <cell r="AC954">
            <v>0</v>
          </cell>
          <cell r="AD954">
            <v>0.188</v>
          </cell>
          <cell r="AE954">
            <v>0</v>
          </cell>
          <cell r="AF954">
            <v>0</v>
          </cell>
          <cell r="AG954">
            <v>0</v>
          </cell>
          <cell r="AH954">
            <v>0</v>
          </cell>
          <cell r="AI954">
            <v>0</v>
          </cell>
          <cell r="AJ954">
            <v>0</v>
          </cell>
          <cell r="AK954">
            <v>0</v>
          </cell>
          <cell r="AL954">
            <v>0</v>
          </cell>
        </row>
        <row r="955">
          <cell r="E955" t="str">
            <v>3KV CV 250sq-3C</v>
          </cell>
          <cell r="F955" t="str">
            <v>ｍ</v>
          </cell>
          <cell r="G955">
            <v>0</v>
          </cell>
          <cell r="H955">
            <v>10509</v>
          </cell>
          <cell r="I955">
            <v>0</v>
          </cell>
          <cell r="J955">
            <v>10671</v>
          </cell>
          <cell r="K955">
            <v>0</v>
          </cell>
          <cell r="L955">
            <v>10671</v>
          </cell>
          <cell r="M955">
            <v>0</v>
          </cell>
          <cell r="N955">
            <v>10348</v>
          </cell>
          <cell r="O955">
            <v>0</v>
          </cell>
          <cell r="P955">
            <v>10105</v>
          </cell>
          <cell r="Q955">
            <v>0</v>
          </cell>
          <cell r="R955">
            <v>10509</v>
          </cell>
          <cell r="S955">
            <v>0</v>
          </cell>
          <cell r="T955">
            <v>10509</v>
          </cell>
          <cell r="U955">
            <v>0</v>
          </cell>
          <cell r="V955">
            <v>10671</v>
          </cell>
          <cell r="W955">
            <v>0</v>
          </cell>
          <cell r="X955">
            <v>10348</v>
          </cell>
          <cell r="Y955">
            <v>0</v>
          </cell>
          <cell r="Z955">
            <v>10671</v>
          </cell>
          <cell r="AA955">
            <v>0</v>
          </cell>
          <cell r="AB955">
            <v>0</v>
          </cell>
          <cell r="AC955">
            <v>0</v>
          </cell>
          <cell r="AD955">
            <v>0.216</v>
          </cell>
          <cell r="AE955">
            <v>0</v>
          </cell>
          <cell r="AF955">
            <v>0</v>
          </cell>
          <cell r="AG955">
            <v>0</v>
          </cell>
          <cell r="AH955">
            <v>0</v>
          </cell>
          <cell r="AI955">
            <v>0</v>
          </cell>
          <cell r="AJ955">
            <v>0</v>
          </cell>
          <cell r="AK955">
            <v>0</v>
          </cell>
          <cell r="AL955">
            <v>0</v>
          </cell>
        </row>
        <row r="956">
          <cell r="E956" t="str">
            <v>3KV CV 325sq-3C</v>
          </cell>
          <cell r="F956" t="str">
            <v>ｍ</v>
          </cell>
          <cell r="G956">
            <v>0</v>
          </cell>
          <cell r="H956">
            <v>13466</v>
          </cell>
          <cell r="I956">
            <v>0</v>
          </cell>
          <cell r="J956">
            <v>13667</v>
          </cell>
          <cell r="K956">
            <v>0</v>
          </cell>
          <cell r="L956">
            <v>13667</v>
          </cell>
          <cell r="M956">
            <v>0</v>
          </cell>
          <cell r="N956">
            <v>13252</v>
          </cell>
          <cell r="O956">
            <v>0</v>
          </cell>
          <cell r="P956">
            <v>12942</v>
          </cell>
          <cell r="Q956">
            <v>0</v>
          </cell>
          <cell r="R956">
            <v>13466</v>
          </cell>
          <cell r="S956">
            <v>0</v>
          </cell>
          <cell r="T956">
            <v>13466</v>
          </cell>
          <cell r="U956">
            <v>0</v>
          </cell>
          <cell r="V956">
            <v>13667</v>
          </cell>
          <cell r="W956">
            <v>0</v>
          </cell>
          <cell r="X956">
            <v>13252</v>
          </cell>
          <cell r="Y956">
            <v>0</v>
          </cell>
          <cell r="Z956">
            <v>13667</v>
          </cell>
          <cell r="AA956">
            <v>0</v>
          </cell>
          <cell r="AB956">
            <v>0</v>
          </cell>
          <cell r="AC956">
            <v>0</v>
          </cell>
          <cell r="AD956">
            <v>0.27300000000000002</v>
          </cell>
          <cell r="AE956">
            <v>0</v>
          </cell>
          <cell r="AF956">
            <v>0</v>
          </cell>
          <cell r="AG956">
            <v>0</v>
          </cell>
          <cell r="AH956">
            <v>0</v>
          </cell>
          <cell r="AI956">
            <v>0</v>
          </cell>
          <cell r="AJ956">
            <v>0</v>
          </cell>
          <cell r="AK956">
            <v>0</v>
          </cell>
          <cell r="AL956">
            <v>0</v>
          </cell>
        </row>
        <row r="957">
          <cell r="E957" t="str">
            <v>6KV CV 8sq-1C</v>
          </cell>
          <cell r="F957" t="str">
            <v>ｍ</v>
          </cell>
          <cell r="G957">
            <v>0</v>
          </cell>
          <cell r="H957">
            <v>303</v>
          </cell>
          <cell r="I957">
            <v>0</v>
          </cell>
          <cell r="J957">
            <v>308</v>
          </cell>
          <cell r="K957">
            <v>0</v>
          </cell>
          <cell r="L957">
            <v>308</v>
          </cell>
          <cell r="M957">
            <v>0</v>
          </cell>
          <cell r="N957">
            <v>298</v>
          </cell>
          <cell r="O957">
            <v>0</v>
          </cell>
          <cell r="P957">
            <v>291</v>
          </cell>
          <cell r="Q957">
            <v>0</v>
          </cell>
          <cell r="R957">
            <v>303</v>
          </cell>
          <cell r="S957">
            <v>0</v>
          </cell>
          <cell r="T957">
            <v>303</v>
          </cell>
          <cell r="U957">
            <v>0</v>
          </cell>
          <cell r="V957">
            <v>308</v>
          </cell>
          <cell r="W957">
            <v>0</v>
          </cell>
          <cell r="X957">
            <v>298</v>
          </cell>
          <cell r="Y957">
            <v>0</v>
          </cell>
          <cell r="Z957">
            <v>308</v>
          </cell>
          <cell r="AA957">
            <v>0</v>
          </cell>
          <cell r="AB957">
            <v>0</v>
          </cell>
          <cell r="AC957">
            <v>0</v>
          </cell>
          <cell r="AD957">
            <v>1.9E-2</v>
          </cell>
          <cell r="AE957">
            <v>0</v>
          </cell>
          <cell r="AF957">
            <v>0</v>
          </cell>
          <cell r="AG957">
            <v>0</v>
          </cell>
          <cell r="AH957">
            <v>0</v>
          </cell>
          <cell r="AI957">
            <v>0</v>
          </cell>
          <cell r="AJ957">
            <v>0</v>
          </cell>
          <cell r="AK957">
            <v>0</v>
          </cell>
          <cell r="AL957">
            <v>0</v>
          </cell>
        </row>
        <row r="958">
          <cell r="E958" t="str">
            <v>6KV CV 14sq-1C</v>
          </cell>
          <cell r="F958" t="str">
            <v>ｍ</v>
          </cell>
          <cell r="G958">
            <v>0</v>
          </cell>
          <cell r="H958">
            <v>441</v>
          </cell>
          <cell r="I958">
            <v>0</v>
          </cell>
          <cell r="J958">
            <v>447</v>
          </cell>
          <cell r="K958">
            <v>0</v>
          </cell>
          <cell r="L958">
            <v>447</v>
          </cell>
          <cell r="M958">
            <v>0</v>
          </cell>
          <cell r="N958">
            <v>434</v>
          </cell>
          <cell r="O958">
            <v>0</v>
          </cell>
          <cell r="P958">
            <v>424</v>
          </cell>
          <cell r="Q958">
            <v>0</v>
          </cell>
          <cell r="R958">
            <v>441</v>
          </cell>
          <cell r="S958">
            <v>0</v>
          </cell>
          <cell r="T958">
            <v>441</v>
          </cell>
          <cell r="U958">
            <v>0</v>
          </cell>
          <cell r="V958">
            <v>447</v>
          </cell>
          <cell r="W958">
            <v>0</v>
          </cell>
          <cell r="X958">
            <v>434</v>
          </cell>
          <cell r="Y958">
            <v>0</v>
          </cell>
          <cell r="Z958">
            <v>447</v>
          </cell>
          <cell r="AA958">
            <v>0</v>
          </cell>
          <cell r="AB958">
            <v>0</v>
          </cell>
          <cell r="AC958">
            <v>0</v>
          </cell>
          <cell r="AD958">
            <v>2.4E-2</v>
          </cell>
          <cell r="AE958">
            <v>0</v>
          </cell>
          <cell r="AF958">
            <v>0</v>
          </cell>
          <cell r="AG958">
            <v>0</v>
          </cell>
          <cell r="AH958">
            <v>0</v>
          </cell>
          <cell r="AI958">
            <v>0</v>
          </cell>
          <cell r="AJ958">
            <v>0</v>
          </cell>
          <cell r="AK958">
            <v>0</v>
          </cell>
          <cell r="AL958">
            <v>0</v>
          </cell>
        </row>
        <row r="959">
          <cell r="E959" t="str">
            <v>6KV CV 22sq-1C</v>
          </cell>
          <cell r="F959" t="str">
            <v>ｍ</v>
          </cell>
          <cell r="G959">
            <v>0</v>
          </cell>
          <cell r="H959">
            <v>561</v>
          </cell>
          <cell r="I959">
            <v>0</v>
          </cell>
          <cell r="J959">
            <v>560</v>
          </cell>
          <cell r="K959">
            <v>0</v>
          </cell>
          <cell r="L959">
            <v>560</v>
          </cell>
          <cell r="M959">
            <v>0</v>
          </cell>
          <cell r="N959">
            <v>543</v>
          </cell>
          <cell r="O959">
            <v>0</v>
          </cell>
          <cell r="P959">
            <v>530</v>
          </cell>
          <cell r="Q959">
            <v>0</v>
          </cell>
          <cell r="R959">
            <v>561</v>
          </cell>
          <cell r="S959">
            <v>0</v>
          </cell>
          <cell r="T959">
            <v>561</v>
          </cell>
          <cell r="U959">
            <v>0</v>
          </cell>
          <cell r="V959">
            <v>560</v>
          </cell>
          <cell r="W959">
            <v>0</v>
          </cell>
          <cell r="X959">
            <v>543</v>
          </cell>
          <cell r="Y959">
            <v>0</v>
          </cell>
          <cell r="Z959">
            <v>560</v>
          </cell>
          <cell r="AA959">
            <v>0</v>
          </cell>
          <cell r="AB959">
            <v>0</v>
          </cell>
          <cell r="AC959">
            <v>0</v>
          </cell>
          <cell r="AD959">
            <v>3.1E-2</v>
          </cell>
          <cell r="AE959">
            <v>0</v>
          </cell>
          <cell r="AF959">
            <v>0</v>
          </cell>
          <cell r="AG959">
            <v>0</v>
          </cell>
          <cell r="AH959">
            <v>0</v>
          </cell>
          <cell r="AI959">
            <v>0</v>
          </cell>
          <cell r="AJ959">
            <v>0</v>
          </cell>
          <cell r="AK959">
            <v>0</v>
          </cell>
          <cell r="AL959">
            <v>0</v>
          </cell>
        </row>
        <row r="960">
          <cell r="E960" t="str">
            <v>6KV CV 38sq-1C</v>
          </cell>
          <cell r="F960" t="str">
            <v>ｍ</v>
          </cell>
          <cell r="G960">
            <v>0</v>
          </cell>
          <cell r="H960">
            <v>685</v>
          </cell>
          <cell r="I960">
            <v>0</v>
          </cell>
          <cell r="J960">
            <v>696</v>
          </cell>
          <cell r="K960">
            <v>0</v>
          </cell>
          <cell r="L960">
            <v>696</v>
          </cell>
          <cell r="M960">
            <v>0</v>
          </cell>
          <cell r="N960">
            <v>675</v>
          </cell>
          <cell r="O960">
            <v>0</v>
          </cell>
          <cell r="P960">
            <v>659</v>
          </cell>
          <cell r="Q960">
            <v>0</v>
          </cell>
          <cell r="R960">
            <v>685</v>
          </cell>
          <cell r="S960">
            <v>0</v>
          </cell>
          <cell r="T960">
            <v>685</v>
          </cell>
          <cell r="U960">
            <v>0</v>
          </cell>
          <cell r="V960">
            <v>696</v>
          </cell>
          <cell r="W960">
            <v>0</v>
          </cell>
          <cell r="X960">
            <v>675</v>
          </cell>
          <cell r="Y960">
            <v>0</v>
          </cell>
          <cell r="Z960">
            <v>696</v>
          </cell>
          <cell r="AA960">
            <v>0</v>
          </cell>
          <cell r="AB960">
            <v>0</v>
          </cell>
          <cell r="AC960">
            <v>0</v>
          </cell>
          <cell r="AD960">
            <v>4.1000000000000002E-2</v>
          </cell>
          <cell r="AE960">
            <v>0</v>
          </cell>
          <cell r="AF960">
            <v>0</v>
          </cell>
          <cell r="AG960">
            <v>0</v>
          </cell>
          <cell r="AH960">
            <v>0</v>
          </cell>
          <cell r="AI960">
            <v>0</v>
          </cell>
          <cell r="AJ960">
            <v>0</v>
          </cell>
          <cell r="AK960">
            <v>0</v>
          </cell>
          <cell r="AL960">
            <v>0</v>
          </cell>
        </row>
        <row r="961">
          <cell r="E961" t="str">
            <v>6KV CV 60sq-1C</v>
          </cell>
          <cell r="F961" t="str">
            <v>ｍ</v>
          </cell>
          <cell r="G961">
            <v>0</v>
          </cell>
          <cell r="H961">
            <v>967</v>
          </cell>
          <cell r="I961">
            <v>0</v>
          </cell>
          <cell r="J961">
            <v>982</v>
          </cell>
          <cell r="K961">
            <v>0</v>
          </cell>
          <cell r="L961">
            <v>982</v>
          </cell>
          <cell r="M961">
            <v>0</v>
          </cell>
          <cell r="N961">
            <v>952</v>
          </cell>
          <cell r="O961">
            <v>0</v>
          </cell>
          <cell r="P961">
            <v>930</v>
          </cell>
          <cell r="Q961">
            <v>0</v>
          </cell>
          <cell r="R961">
            <v>967</v>
          </cell>
          <cell r="S961">
            <v>0</v>
          </cell>
          <cell r="T961">
            <v>967</v>
          </cell>
          <cell r="U961">
            <v>0</v>
          </cell>
          <cell r="V961">
            <v>982</v>
          </cell>
          <cell r="W961">
            <v>0</v>
          </cell>
          <cell r="X961">
            <v>952</v>
          </cell>
          <cell r="Y961">
            <v>0</v>
          </cell>
          <cell r="Z961">
            <v>982</v>
          </cell>
          <cell r="AA961">
            <v>0</v>
          </cell>
          <cell r="AB961">
            <v>0</v>
          </cell>
          <cell r="AC961">
            <v>0</v>
          </cell>
          <cell r="AD961">
            <v>5.3999999999999999E-2</v>
          </cell>
          <cell r="AE961">
            <v>0</v>
          </cell>
          <cell r="AF961">
            <v>0</v>
          </cell>
          <cell r="AG961">
            <v>0</v>
          </cell>
          <cell r="AH961">
            <v>0</v>
          </cell>
          <cell r="AI961">
            <v>0</v>
          </cell>
          <cell r="AJ961">
            <v>0</v>
          </cell>
          <cell r="AK961">
            <v>0</v>
          </cell>
          <cell r="AL961">
            <v>0</v>
          </cell>
        </row>
        <row r="962">
          <cell r="E962" t="str">
            <v>6KV CV 100sq-1C</v>
          </cell>
          <cell r="F962" t="str">
            <v>ｍ</v>
          </cell>
          <cell r="G962">
            <v>0</v>
          </cell>
          <cell r="H962">
            <v>1439</v>
          </cell>
          <cell r="I962">
            <v>0</v>
          </cell>
          <cell r="J962">
            <v>1461</v>
          </cell>
          <cell r="K962">
            <v>0</v>
          </cell>
          <cell r="L962">
            <v>1461</v>
          </cell>
          <cell r="M962">
            <v>0</v>
          </cell>
          <cell r="N962">
            <v>1417</v>
          </cell>
          <cell r="O962">
            <v>0</v>
          </cell>
          <cell r="P962">
            <v>1384</v>
          </cell>
          <cell r="Q962">
            <v>0</v>
          </cell>
          <cell r="R962">
            <v>1439</v>
          </cell>
          <cell r="S962">
            <v>0</v>
          </cell>
          <cell r="T962">
            <v>1439</v>
          </cell>
          <cell r="U962">
            <v>0</v>
          </cell>
          <cell r="V962">
            <v>1461</v>
          </cell>
          <cell r="W962">
            <v>0</v>
          </cell>
          <cell r="X962">
            <v>1417</v>
          </cell>
          <cell r="Y962">
            <v>0</v>
          </cell>
          <cell r="Z962">
            <v>1461</v>
          </cell>
          <cell r="AA962">
            <v>0</v>
          </cell>
          <cell r="AB962">
            <v>0</v>
          </cell>
          <cell r="AC962">
            <v>0</v>
          </cell>
          <cell r="AD962">
            <v>7.3999999999999996E-2</v>
          </cell>
          <cell r="AE962">
            <v>0</v>
          </cell>
          <cell r="AF962">
            <v>0</v>
          </cell>
          <cell r="AG962">
            <v>0</v>
          </cell>
          <cell r="AH962">
            <v>0</v>
          </cell>
          <cell r="AI962">
            <v>0</v>
          </cell>
          <cell r="AJ962">
            <v>0</v>
          </cell>
          <cell r="AK962">
            <v>0</v>
          </cell>
          <cell r="AL962">
            <v>0</v>
          </cell>
        </row>
        <row r="963">
          <cell r="E963" t="str">
            <v>6KV CV 150sq-1C</v>
          </cell>
          <cell r="F963" t="str">
            <v>ｍ</v>
          </cell>
          <cell r="G963">
            <v>0</v>
          </cell>
          <cell r="H963">
            <v>1908</v>
          </cell>
          <cell r="I963">
            <v>0</v>
          </cell>
          <cell r="J963">
            <v>2018</v>
          </cell>
          <cell r="K963">
            <v>0</v>
          </cell>
          <cell r="L963">
            <v>2018</v>
          </cell>
          <cell r="M963">
            <v>0</v>
          </cell>
          <cell r="N963">
            <v>1957</v>
          </cell>
          <cell r="O963">
            <v>0</v>
          </cell>
          <cell r="P963">
            <v>1911</v>
          </cell>
          <cell r="Q963">
            <v>0</v>
          </cell>
          <cell r="R963">
            <v>1908</v>
          </cell>
          <cell r="S963">
            <v>0</v>
          </cell>
          <cell r="T963">
            <v>1908</v>
          </cell>
          <cell r="U963">
            <v>0</v>
          </cell>
          <cell r="V963">
            <v>2018</v>
          </cell>
          <cell r="W963">
            <v>0</v>
          </cell>
          <cell r="X963">
            <v>1957</v>
          </cell>
          <cell r="Y963">
            <v>0</v>
          </cell>
          <cell r="Z963">
            <v>2018</v>
          </cell>
          <cell r="AA963">
            <v>0</v>
          </cell>
          <cell r="AB963">
            <v>0</v>
          </cell>
          <cell r="AC963">
            <v>0</v>
          </cell>
          <cell r="AD963">
            <v>9.0999999999999998E-2</v>
          </cell>
          <cell r="AE963">
            <v>0</v>
          </cell>
          <cell r="AF963">
            <v>0</v>
          </cell>
          <cell r="AG963">
            <v>0</v>
          </cell>
          <cell r="AH963">
            <v>0</v>
          </cell>
          <cell r="AI963">
            <v>0</v>
          </cell>
          <cell r="AJ963">
            <v>0</v>
          </cell>
          <cell r="AK963">
            <v>0</v>
          </cell>
          <cell r="AL963">
            <v>0</v>
          </cell>
        </row>
        <row r="964">
          <cell r="E964" t="str">
            <v>6KV CV 200sq-1C</v>
          </cell>
          <cell r="F964" t="str">
            <v>ｍ</v>
          </cell>
          <cell r="G964">
            <v>0</v>
          </cell>
          <cell r="H964">
            <v>2556</v>
          </cell>
          <cell r="I964">
            <v>0</v>
          </cell>
          <cell r="J964">
            <v>2596</v>
          </cell>
          <cell r="K964">
            <v>0</v>
          </cell>
          <cell r="L964">
            <v>2596</v>
          </cell>
          <cell r="M964">
            <v>0</v>
          </cell>
          <cell r="N964">
            <v>2517</v>
          </cell>
          <cell r="O964">
            <v>0</v>
          </cell>
          <cell r="P964">
            <v>2458</v>
          </cell>
          <cell r="Q964">
            <v>0</v>
          </cell>
          <cell r="R964">
            <v>2556</v>
          </cell>
          <cell r="S964">
            <v>0</v>
          </cell>
          <cell r="T964">
            <v>2556</v>
          </cell>
          <cell r="U964">
            <v>0</v>
          </cell>
          <cell r="V964">
            <v>2596</v>
          </cell>
          <cell r="W964">
            <v>0</v>
          </cell>
          <cell r="X964">
            <v>2517</v>
          </cell>
          <cell r="Y964">
            <v>0</v>
          </cell>
          <cell r="Z964">
            <v>2596</v>
          </cell>
          <cell r="AA964">
            <v>0</v>
          </cell>
          <cell r="AB964">
            <v>0</v>
          </cell>
          <cell r="AC964">
            <v>0</v>
          </cell>
          <cell r="AD964">
            <v>0.112</v>
          </cell>
          <cell r="AE964">
            <v>0</v>
          </cell>
          <cell r="AF964">
            <v>0</v>
          </cell>
          <cell r="AG964">
            <v>0</v>
          </cell>
          <cell r="AH964">
            <v>0</v>
          </cell>
          <cell r="AI964">
            <v>0</v>
          </cell>
          <cell r="AJ964">
            <v>0</v>
          </cell>
          <cell r="AK964">
            <v>0</v>
          </cell>
          <cell r="AL964">
            <v>0</v>
          </cell>
        </row>
        <row r="965">
          <cell r="E965" t="str">
            <v>6KV CV 250sq-1C</v>
          </cell>
          <cell r="F965" t="str">
            <v>ｍ</v>
          </cell>
          <cell r="G965">
            <v>0</v>
          </cell>
          <cell r="H965">
            <v>3179</v>
          </cell>
          <cell r="I965">
            <v>0</v>
          </cell>
          <cell r="J965">
            <v>3228</v>
          </cell>
          <cell r="K965">
            <v>0</v>
          </cell>
          <cell r="L965">
            <v>3228</v>
          </cell>
          <cell r="M965">
            <v>0</v>
          </cell>
          <cell r="N965">
            <v>3130</v>
          </cell>
          <cell r="O965">
            <v>0</v>
          </cell>
          <cell r="P965">
            <v>3057</v>
          </cell>
          <cell r="Q965">
            <v>0</v>
          </cell>
          <cell r="R965">
            <v>3179</v>
          </cell>
          <cell r="S965">
            <v>0</v>
          </cell>
          <cell r="T965">
            <v>3179</v>
          </cell>
          <cell r="U965">
            <v>0</v>
          </cell>
          <cell r="V965">
            <v>3228</v>
          </cell>
          <cell r="W965">
            <v>0</v>
          </cell>
          <cell r="X965">
            <v>3130</v>
          </cell>
          <cell r="Y965">
            <v>0</v>
          </cell>
          <cell r="Z965">
            <v>3228</v>
          </cell>
          <cell r="AA965">
            <v>0</v>
          </cell>
          <cell r="AB965">
            <v>0</v>
          </cell>
          <cell r="AC965">
            <v>0</v>
          </cell>
          <cell r="AD965">
            <v>0.129</v>
          </cell>
          <cell r="AE965">
            <v>0</v>
          </cell>
          <cell r="AF965">
            <v>0</v>
          </cell>
          <cell r="AG965">
            <v>0</v>
          </cell>
          <cell r="AH965">
            <v>0</v>
          </cell>
          <cell r="AI965">
            <v>0</v>
          </cell>
          <cell r="AJ965">
            <v>0</v>
          </cell>
          <cell r="AK965">
            <v>0</v>
          </cell>
          <cell r="AL965">
            <v>0</v>
          </cell>
        </row>
        <row r="966">
          <cell r="E966" t="str">
            <v>6KV CV 325sq-1C</v>
          </cell>
          <cell r="F966" t="str">
            <v>ｍ</v>
          </cell>
          <cell r="G966">
            <v>0</v>
          </cell>
          <cell r="H966">
            <v>3950</v>
          </cell>
          <cell r="I966">
            <v>0</v>
          </cell>
          <cell r="J966">
            <v>4011</v>
          </cell>
          <cell r="K966">
            <v>0</v>
          </cell>
          <cell r="L966">
            <v>4011</v>
          </cell>
          <cell r="M966">
            <v>0</v>
          </cell>
          <cell r="N966">
            <v>3889</v>
          </cell>
          <cell r="O966">
            <v>0</v>
          </cell>
          <cell r="P966">
            <v>3798</v>
          </cell>
          <cell r="Q966">
            <v>0</v>
          </cell>
          <cell r="R966">
            <v>3950</v>
          </cell>
          <cell r="S966">
            <v>0</v>
          </cell>
          <cell r="T966">
            <v>3950</v>
          </cell>
          <cell r="U966">
            <v>0</v>
          </cell>
          <cell r="V966">
            <v>4011</v>
          </cell>
          <cell r="W966">
            <v>0</v>
          </cell>
          <cell r="X966">
            <v>3889</v>
          </cell>
          <cell r="Y966">
            <v>0</v>
          </cell>
          <cell r="Z966">
            <v>4011</v>
          </cell>
          <cell r="AA966">
            <v>0</v>
          </cell>
          <cell r="AB966">
            <v>0</v>
          </cell>
          <cell r="AC966">
            <v>0</v>
          </cell>
          <cell r="AD966">
            <v>0.16400000000000001</v>
          </cell>
          <cell r="AE966">
            <v>0</v>
          </cell>
          <cell r="AF966">
            <v>0</v>
          </cell>
          <cell r="AG966">
            <v>0</v>
          </cell>
          <cell r="AH966">
            <v>0</v>
          </cell>
          <cell r="AI966">
            <v>0</v>
          </cell>
          <cell r="AJ966">
            <v>0</v>
          </cell>
          <cell r="AK966">
            <v>0</v>
          </cell>
          <cell r="AL966">
            <v>0</v>
          </cell>
        </row>
        <row r="967">
          <cell r="E967" t="str">
            <v>6KV CV 8sq-3C</v>
          </cell>
          <cell r="F967" t="str">
            <v>ｍ</v>
          </cell>
          <cell r="G967">
            <v>0</v>
          </cell>
          <cell r="H967">
            <v>956</v>
          </cell>
          <cell r="I967">
            <v>0</v>
          </cell>
          <cell r="J967">
            <v>970</v>
          </cell>
          <cell r="K967">
            <v>0</v>
          </cell>
          <cell r="L967">
            <v>970</v>
          </cell>
          <cell r="M967">
            <v>0</v>
          </cell>
          <cell r="N967">
            <v>941</v>
          </cell>
          <cell r="O967">
            <v>0</v>
          </cell>
          <cell r="P967">
            <v>919</v>
          </cell>
          <cell r="Q967">
            <v>0</v>
          </cell>
          <cell r="R967">
            <v>956</v>
          </cell>
          <cell r="S967">
            <v>0</v>
          </cell>
          <cell r="T967">
            <v>956</v>
          </cell>
          <cell r="U967">
            <v>0</v>
          </cell>
          <cell r="V967">
            <v>970</v>
          </cell>
          <cell r="W967">
            <v>0</v>
          </cell>
          <cell r="X967">
            <v>941</v>
          </cell>
          <cell r="Y967">
            <v>0</v>
          </cell>
          <cell r="Z967">
            <v>970</v>
          </cell>
          <cell r="AA967">
            <v>0</v>
          </cell>
          <cell r="AB967">
            <v>0</v>
          </cell>
          <cell r="AC967">
            <v>0</v>
          </cell>
          <cell r="AD967">
            <v>3.2000000000000001E-2</v>
          </cell>
          <cell r="AE967">
            <v>0</v>
          </cell>
          <cell r="AF967">
            <v>0</v>
          </cell>
          <cell r="AG967">
            <v>0</v>
          </cell>
          <cell r="AH967">
            <v>0</v>
          </cell>
          <cell r="AI967">
            <v>0</v>
          </cell>
          <cell r="AJ967">
            <v>0</v>
          </cell>
          <cell r="AK967">
            <v>0</v>
          </cell>
          <cell r="AL967">
            <v>0</v>
          </cell>
        </row>
        <row r="968">
          <cell r="E968" t="str">
            <v>6KV CV 14sq-3C</v>
          </cell>
          <cell r="F968" t="str">
            <v>ｍ</v>
          </cell>
          <cell r="G968">
            <v>0</v>
          </cell>
          <cell r="H968">
            <v>1184</v>
          </cell>
          <cell r="I968">
            <v>0</v>
          </cell>
          <cell r="J968">
            <v>1203</v>
          </cell>
          <cell r="K968">
            <v>0</v>
          </cell>
          <cell r="L968">
            <v>1203</v>
          </cell>
          <cell r="M968">
            <v>0</v>
          </cell>
          <cell r="N968">
            <v>1166</v>
          </cell>
          <cell r="O968">
            <v>0</v>
          </cell>
          <cell r="P968">
            <v>1139</v>
          </cell>
          <cell r="Q968">
            <v>0</v>
          </cell>
          <cell r="R968">
            <v>1184</v>
          </cell>
          <cell r="S968">
            <v>0</v>
          </cell>
          <cell r="T968">
            <v>1184</v>
          </cell>
          <cell r="U968">
            <v>0</v>
          </cell>
          <cell r="V968">
            <v>1203</v>
          </cell>
          <cell r="W968">
            <v>0</v>
          </cell>
          <cell r="X968">
            <v>1166</v>
          </cell>
          <cell r="Y968">
            <v>0</v>
          </cell>
          <cell r="Z968">
            <v>1203</v>
          </cell>
          <cell r="AA968">
            <v>0</v>
          </cell>
          <cell r="AB968">
            <v>0</v>
          </cell>
          <cell r="AC968">
            <v>0</v>
          </cell>
          <cell r="AD968">
            <v>0.04</v>
          </cell>
          <cell r="AE968">
            <v>0</v>
          </cell>
          <cell r="AF968">
            <v>0</v>
          </cell>
          <cell r="AG968">
            <v>0</v>
          </cell>
          <cell r="AH968">
            <v>0</v>
          </cell>
          <cell r="AI968">
            <v>0</v>
          </cell>
          <cell r="AJ968">
            <v>0</v>
          </cell>
          <cell r="AK968">
            <v>0</v>
          </cell>
          <cell r="AL968">
            <v>0</v>
          </cell>
        </row>
        <row r="969">
          <cell r="E969" t="str">
            <v>6KV CV 22sq-3C</v>
          </cell>
          <cell r="F969" t="str">
            <v>ｍ</v>
          </cell>
          <cell r="G969">
            <v>0</v>
          </cell>
          <cell r="H969">
            <v>1507</v>
          </cell>
          <cell r="I969">
            <v>0</v>
          </cell>
          <cell r="J969">
            <v>1530</v>
          </cell>
          <cell r="K969">
            <v>0</v>
          </cell>
          <cell r="L969">
            <v>1530</v>
          </cell>
          <cell r="M969">
            <v>0</v>
          </cell>
          <cell r="N969">
            <v>1484</v>
          </cell>
          <cell r="O969">
            <v>0</v>
          </cell>
          <cell r="P969">
            <v>1449</v>
          </cell>
          <cell r="Q969">
            <v>0</v>
          </cell>
          <cell r="R969">
            <v>1507</v>
          </cell>
          <cell r="S969">
            <v>0</v>
          </cell>
          <cell r="T969">
            <v>1507</v>
          </cell>
          <cell r="U969">
            <v>0</v>
          </cell>
          <cell r="V969">
            <v>1530</v>
          </cell>
          <cell r="W969">
            <v>0</v>
          </cell>
          <cell r="X969">
            <v>1484</v>
          </cell>
          <cell r="Y969">
            <v>0</v>
          </cell>
          <cell r="Z969">
            <v>1530</v>
          </cell>
          <cell r="AA969">
            <v>0</v>
          </cell>
          <cell r="AB969">
            <v>0</v>
          </cell>
          <cell r="AC969">
            <v>0</v>
          </cell>
          <cell r="AD969">
            <v>5.1999999999999998E-2</v>
          </cell>
          <cell r="AE969">
            <v>0</v>
          </cell>
          <cell r="AF969">
            <v>0</v>
          </cell>
          <cell r="AG969">
            <v>0</v>
          </cell>
          <cell r="AH969">
            <v>0</v>
          </cell>
          <cell r="AI969">
            <v>0</v>
          </cell>
          <cell r="AJ969">
            <v>0</v>
          </cell>
          <cell r="AK969">
            <v>0</v>
          </cell>
          <cell r="AL969">
            <v>0</v>
          </cell>
        </row>
        <row r="970">
          <cell r="E970" t="str">
            <v>6KV CV 38sq-3C</v>
          </cell>
          <cell r="F970" t="str">
            <v>ｍ</v>
          </cell>
          <cell r="G970">
            <v>0</v>
          </cell>
          <cell r="H970">
            <v>2076</v>
          </cell>
          <cell r="I970">
            <v>0</v>
          </cell>
          <cell r="J970">
            <v>2108</v>
          </cell>
          <cell r="K970">
            <v>0</v>
          </cell>
          <cell r="L970">
            <v>2108</v>
          </cell>
          <cell r="M970">
            <v>0</v>
          </cell>
          <cell r="N970">
            <v>2044</v>
          </cell>
          <cell r="O970">
            <v>0</v>
          </cell>
          <cell r="P970">
            <v>1996</v>
          </cell>
          <cell r="Q970">
            <v>0</v>
          </cell>
          <cell r="R970">
            <v>2076</v>
          </cell>
          <cell r="S970">
            <v>0</v>
          </cell>
          <cell r="T970">
            <v>2076</v>
          </cell>
          <cell r="U970">
            <v>0</v>
          </cell>
          <cell r="V970">
            <v>2108</v>
          </cell>
          <cell r="W970">
            <v>0</v>
          </cell>
          <cell r="X970">
            <v>2044</v>
          </cell>
          <cell r="Y970">
            <v>0</v>
          </cell>
          <cell r="Z970">
            <v>2108</v>
          </cell>
          <cell r="AA970">
            <v>0</v>
          </cell>
          <cell r="AB970">
            <v>0</v>
          </cell>
          <cell r="AC970">
            <v>0</v>
          </cell>
          <cell r="AD970">
            <v>6.8000000000000005E-2</v>
          </cell>
          <cell r="AE970">
            <v>0</v>
          </cell>
          <cell r="AF970">
            <v>0</v>
          </cell>
          <cell r="AG970">
            <v>0</v>
          </cell>
          <cell r="AH970">
            <v>0</v>
          </cell>
          <cell r="AI970">
            <v>0</v>
          </cell>
          <cell r="AJ970">
            <v>0</v>
          </cell>
          <cell r="AK970">
            <v>0</v>
          </cell>
          <cell r="AL970">
            <v>0</v>
          </cell>
        </row>
        <row r="971">
          <cell r="E971" t="str">
            <v>6KV CV 60sq-3C</v>
          </cell>
          <cell r="F971" t="str">
            <v>ｍ</v>
          </cell>
          <cell r="G971">
            <v>0</v>
          </cell>
          <cell r="H971">
            <v>2874</v>
          </cell>
          <cell r="I971">
            <v>0</v>
          </cell>
          <cell r="J971">
            <v>2919</v>
          </cell>
          <cell r="K971">
            <v>0</v>
          </cell>
          <cell r="L971">
            <v>2919</v>
          </cell>
          <cell r="M971">
            <v>0</v>
          </cell>
          <cell r="N971">
            <v>2830</v>
          </cell>
          <cell r="O971">
            <v>0</v>
          </cell>
          <cell r="P971">
            <v>2764</v>
          </cell>
          <cell r="Q971">
            <v>0</v>
          </cell>
          <cell r="R971">
            <v>2874</v>
          </cell>
          <cell r="S971">
            <v>0</v>
          </cell>
          <cell r="T971">
            <v>2874</v>
          </cell>
          <cell r="U971">
            <v>0</v>
          </cell>
          <cell r="V971">
            <v>2919</v>
          </cell>
          <cell r="W971">
            <v>0</v>
          </cell>
          <cell r="X971">
            <v>2830</v>
          </cell>
          <cell r="Y971">
            <v>0</v>
          </cell>
          <cell r="Z971">
            <v>2919</v>
          </cell>
          <cell r="AA971">
            <v>0</v>
          </cell>
          <cell r="AB971">
            <v>0</v>
          </cell>
          <cell r="AC971">
            <v>0</v>
          </cell>
          <cell r="AD971">
            <v>0.09</v>
          </cell>
          <cell r="AE971">
            <v>0</v>
          </cell>
          <cell r="AF971">
            <v>0</v>
          </cell>
          <cell r="AG971">
            <v>0</v>
          </cell>
          <cell r="AH971">
            <v>0</v>
          </cell>
          <cell r="AI971">
            <v>0</v>
          </cell>
          <cell r="AJ971">
            <v>0</v>
          </cell>
          <cell r="AK971">
            <v>0</v>
          </cell>
          <cell r="AL971">
            <v>0</v>
          </cell>
        </row>
        <row r="972">
          <cell r="E972" t="str">
            <v>6KV CV 100sq-3C</v>
          </cell>
          <cell r="F972" t="str">
            <v>ｍ</v>
          </cell>
          <cell r="G972">
            <v>0</v>
          </cell>
          <cell r="H972">
            <v>4391</v>
          </cell>
          <cell r="I972">
            <v>0</v>
          </cell>
          <cell r="J972">
            <v>4458</v>
          </cell>
          <cell r="K972">
            <v>0</v>
          </cell>
          <cell r="L972">
            <v>4458</v>
          </cell>
          <cell r="M972">
            <v>0</v>
          </cell>
          <cell r="N972">
            <v>4323</v>
          </cell>
          <cell r="O972">
            <v>0</v>
          </cell>
          <cell r="P972">
            <v>4222</v>
          </cell>
          <cell r="Q972">
            <v>0</v>
          </cell>
          <cell r="R972">
            <v>4391</v>
          </cell>
          <cell r="S972">
            <v>0</v>
          </cell>
          <cell r="T972">
            <v>4391</v>
          </cell>
          <cell r="U972">
            <v>0</v>
          </cell>
          <cell r="V972">
            <v>4458</v>
          </cell>
          <cell r="W972">
            <v>0</v>
          </cell>
          <cell r="X972">
            <v>4323</v>
          </cell>
          <cell r="Y972">
            <v>0</v>
          </cell>
          <cell r="Z972">
            <v>4458</v>
          </cell>
          <cell r="AA972">
            <v>0</v>
          </cell>
          <cell r="AB972">
            <v>0</v>
          </cell>
          <cell r="AC972">
            <v>0</v>
          </cell>
          <cell r="AD972">
            <v>0.124</v>
          </cell>
          <cell r="AE972">
            <v>0</v>
          </cell>
          <cell r="AF972">
            <v>0</v>
          </cell>
          <cell r="AG972">
            <v>0</v>
          </cell>
          <cell r="AH972">
            <v>0</v>
          </cell>
          <cell r="AI972">
            <v>0</v>
          </cell>
          <cell r="AJ972">
            <v>0</v>
          </cell>
          <cell r="AK972">
            <v>0</v>
          </cell>
          <cell r="AL972">
            <v>0</v>
          </cell>
        </row>
        <row r="973">
          <cell r="E973" t="str">
            <v>6KV CV 150sq-3C</v>
          </cell>
          <cell r="F973" t="str">
            <v>ｍ</v>
          </cell>
          <cell r="G973">
            <v>0</v>
          </cell>
          <cell r="H973">
            <v>6403</v>
          </cell>
          <cell r="I973">
            <v>0</v>
          </cell>
          <cell r="J973">
            <v>6501</v>
          </cell>
          <cell r="K973">
            <v>0</v>
          </cell>
          <cell r="L973">
            <v>6501</v>
          </cell>
          <cell r="M973">
            <v>0</v>
          </cell>
          <cell r="N973">
            <v>6304</v>
          </cell>
          <cell r="O973">
            <v>0</v>
          </cell>
          <cell r="P973">
            <v>6156</v>
          </cell>
          <cell r="Q973">
            <v>0</v>
          </cell>
          <cell r="R973">
            <v>6403</v>
          </cell>
          <cell r="S973">
            <v>0</v>
          </cell>
          <cell r="T973">
            <v>6403</v>
          </cell>
          <cell r="U973">
            <v>0</v>
          </cell>
          <cell r="V973">
            <v>6501</v>
          </cell>
          <cell r="W973">
            <v>0</v>
          </cell>
          <cell r="X973">
            <v>6304</v>
          </cell>
          <cell r="Y973">
            <v>0</v>
          </cell>
          <cell r="Z973">
            <v>6501</v>
          </cell>
          <cell r="AA973">
            <v>0</v>
          </cell>
          <cell r="AB973">
            <v>0</v>
          </cell>
          <cell r="AC973">
            <v>0</v>
          </cell>
          <cell r="AD973">
            <v>0.151</v>
          </cell>
          <cell r="AE973">
            <v>0</v>
          </cell>
          <cell r="AF973">
            <v>0</v>
          </cell>
          <cell r="AG973">
            <v>0</v>
          </cell>
          <cell r="AH973">
            <v>0</v>
          </cell>
          <cell r="AI973">
            <v>0</v>
          </cell>
          <cell r="AJ973">
            <v>0</v>
          </cell>
          <cell r="AK973">
            <v>0</v>
          </cell>
          <cell r="AL973">
            <v>0</v>
          </cell>
        </row>
        <row r="974">
          <cell r="E974" t="str">
            <v>6KV CV 200sq-3C</v>
          </cell>
          <cell r="F974" t="str">
            <v>ｍ</v>
          </cell>
          <cell r="G974">
            <v>0</v>
          </cell>
          <cell r="H974">
            <v>8906</v>
          </cell>
          <cell r="I974">
            <v>0</v>
          </cell>
          <cell r="J974">
            <v>9043</v>
          </cell>
          <cell r="K974">
            <v>0</v>
          </cell>
          <cell r="L974">
            <v>9043</v>
          </cell>
          <cell r="M974">
            <v>0</v>
          </cell>
          <cell r="N974">
            <v>8769</v>
          </cell>
          <cell r="O974">
            <v>0</v>
          </cell>
          <cell r="P974">
            <v>8564</v>
          </cell>
          <cell r="Q974">
            <v>0</v>
          </cell>
          <cell r="R974">
            <v>8906</v>
          </cell>
          <cell r="S974">
            <v>0</v>
          </cell>
          <cell r="T974">
            <v>8906</v>
          </cell>
          <cell r="U974">
            <v>0</v>
          </cell>
          <cell r="V974">
            <v>9043</v>
          </cell>
          <cell r="W974">
            <v>0</v>
          </cell>
          <cell r="X974">
            <v>8769</v>
          </cell>
          <cell r="Y974">
            <v>0</v>
          </cell>
          <cell r="Z974">
            <v>9043</v>
          </cell>
          <cell r="AA974">
            <v>0</v>
          </cell>
          <cell r="AB974">
            <v>0</v>
          </cell>
          <cell r="AC974">
            <v>0</v>
          </cell>
          <cell r="AD974">
            <v>0.188</v>
          </cell>
          <cell r="AE974">
            <v>0</v>
          </cell>
          <cell r="AF974">
            <v>0</v>
          </cell>
          <cell r="AG974">
            <v>0</v>
          </cell>
          <cell r="AH974">
            <v>0</v>
          </cell>
          <cell r="AI974">
            <v>0</v>
          </cell>
          <cell r="AJ974">
            <v>0</v>
          </cell>
          <cell r="AK974">
            <v>0</v>
          </cell>
          <cell r="AL974">
            <v>0</v>
          </cell>
        </row>
        <row r="975">
          <cell r="E975" t="str">
            <v>6KV CV 250sq-3C</v>
          </cell>
          <cell r="F975" t="str">
            <v>ｍ</v>
          </cell>
          <cell r="G975">
            <v>0</v>
          </cell>
          <cell r="H975">
            <v>11250</v>
          </cell>
          <cell r="I975">
            <v>0</v>
          </cell>
          <cell r="J975">
            <v>11423</v>
          </cell>
          <cell r="K975">
            <v>0</v>
          </cell>
          <cell r="L975">
            <v>11423</v>
          </cell>
          <cell r="M975">
            <v>0</v>
          </cell>
          <cell r="N975">
            <v>11076</v>
          </cell>
          <cell r="O975">
            <v>0</v>
          </cell>
          <cell r="P975">
            <v>10817</v>
          </cell>
          <cell r="Q975">
            <v>0</v>
          </cell>
          <cell r="R975">
            <v>11250</v>
          </cell>
          <cell r="S975">
            <v>0</v>
          </cell>
          <cell r="T975">
            <v>11250</v>
          </cell>
          <cell r="U975">
            <v>0</v>
          </cell>
          <cell r="V975">
            <v>11423</v>
          </cell>
          <cell r="W975">
            <v>0</v>
          </cell>
          <cell r="X975">
            <v>11076</v>
          </cell>
          <cell r="Y975">
            <v>0</v>
          </cell>
          <cell r="Z975">
            <v>11423</v>
          </cell>
          <cell r="AA975">
            <v>0</v>
          </cell>
          <cell r="AB975">
            <v>0</v>
          </cell>
          <cell r="AC975">
            <v>0</v>
          </cell>
          <cell r="AD975">
            <v>0.216</v>
          </cell>
          <cell r="AE975">
            <v>0</v>
          </cell>
          <cell r="AF975">
            <v>0</v>
          </cell>
          <cell r="AG975">
            <v>0</v>
          </cell>
          <cell r="AH975">
            <v>0</v>
          </cell>
          <cell r="AI975">
            <v>0</v>
          </cell>
          <cell r="AJ975">
            <v>0</v>
          </cell>
          <cell r="AK975">
            <v>0</v>
          </cell>
          <cell r="AL975">
            <v>0</v>
          </cell>
        </row>
        <row r="976">
          <cell r="E976" t="str">
            <v>6KV CV 325sq-3C</v>
          </cell>
          <cell r="F976" t="str">
            <v>ｍ</v>
          </cell>
          <cell r="G976">
            <v>0</v>
          </cell>
          <cell r="H976">
            <v>14199</v>
          </cell>
          <cell r="I976">
            <v>0</v>
          </cell>
          <cell r="J976">
            <v>14418</v>
          </cell>
          <cell r="K976">
            <v>0</v>
          </cell>
          <cell r="L976">
            <v>14418</v>
          </cell>
          <cell r="M976">
            <v>0</v>
          </cell>
          <cell r="N976">
            <v>13981</v>
          </cell>
          <cell r="O976">
            <v>0</v>
          </cell>
          <cell r="P976">
            <v>13653</v>
          </cell>
          <cell r="Q976">
            <v>0</v>
          </cell>
          <cell r="R976">
            <v>14199</v>
          </cell>
          <cell r="S976">
            <v>0</v>
          </cell>
          <cell r="T976">
            <v>14199</v>
          </cell>
          <cell r="U976">
            <v>0</v>
          </cell>
          <cell r="V976">
            <v>14418</v>
          </cell>
          <cell r="W976">
            <v>0</v>
          </cell>
          <cell r="X976">
            <v>13981</v>
          </cell>
          <cell r="Y976">
            <v>0</v>
          </cell>
          <cell r="Z976">
            <v>14418</v>
          </cell>
          <cell r="AA976">
            <v>0</v>
          </cell>
          <cell r="AB976">
            <v>0</v>
          </cell>
          <cell r="AC976">
            <v>0</v>
          </cell>
          <cell r="AD976">
            <v>0.27300000000000002</v>
          </cell>
          <cell r="AE976">
            <v>0</v>
          </cell>
          <cell r="AF976">
            <v>0</v>
          </cell>
          <cell r="AG976">
            <v>0</v>
          </cell>
          <cell r="AH976">
            <v>0</v>
          </cell>
          <cell r="AI976">
            <v>0</v>
          </cell>
          <cell r="AJ976">
            <v>0</v>
          </cell>
          <cell r="AK976">
            <v>0</v>
          </cell>
          <cell r="AL976">
            <v>0</v>
          </cell>
        </row>
        <row r="977">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row>
        <row r="978">
          <cell r="E978" t="str">
            <v>6KV CVT 22sq</v>
          </cell>
          <cell r="F978" t="str">
            <v>ｍ</v>
          </cell>
          <cell r="G978">
            <v>0</v>
          </cell>
          <cell r="H978">
            <v>1544</v>
          </cell>
          <cell r="I978">
            <v>0</v>
          </cell>
          <cell r="J978">
            <v>1568</v>
          </cell>
          <cell r="K978">
            <v>0</v>
          </cell>
          <cell r="L978">
            <v>1568</v>
          </cell>
          <cell r="M978">
            <v>0</v>
          </cell>
          <cell r="N978">
            <v>1520</v>
          </cell>
          <cell r="O978">
            <v>0</v>
          </cell>
          <cell r="P978">
            <v>1484</v>
          </cell>
          <cell r="Q978">
            <v>0</v>
          </cell>
          <cell r="R978">
            <v>1544</v>
          </cell>
          <cell r="S978">
            <v>0</v>
          </cell>
          <cell r="T978">
            <v>1544</v>
          </cell>
          <cell r="U978">
            <v>0</v>
          </cell>
          <cell r="V978">
            <v>1568</v>
          </cell>
          <cell r="W978">
            <v>0</v>
          </cell>
          <cell r="X978">
            <v>1520</v>
          </cell>
          <cell r="Y978">
            <v>0</v>
          </cell>
          <cell r="Z978">
            <v>1568</v>
          </cell>
          <cell r="AA978">
            <v>0</v>
          </cell>
          <cell r="AB978">
            <v>0</v>
          </cell>
          <cell r="AC978">
            <v>0</v>
          </cell>
          <cell r="AD978">
            <v>5.1999999999999998E-2</v>
          </cell>
          <cell r="AE978">
            <v>0</v>
          </cell>
          <cell r="AF978">
            <v>0</v>
          </cell>
          <cell r="AG978">
            <v>0</v>
          </cell>
          <cell r="AH978">
            <v>0</v>
          </cell>
          <cell r="AI978">
            <v>0</v>
          </cell>
          <cell r="AJ978">
            <v>0</v>
          </cell>
          <cell r="AK978">
            <v>0</v>
          </cell>
          <cell r="AL978">
            <v>0</v>
          </cell>
        </row>
        <row r="979">
          <cell r="E979" t="str">
            <v>6KV CVT 38sq</v>
          </cell>
          <cell r="F979" t="str">
            <v>ｍ</v>
          </cell>
          <cell r="G979">
            <v>0</v>
          </cell>
          <cell r="H979">
            <v>2128</v>
          </cell>
          <cell r="I979">
            <v>0</v>
          </cell>
          <cell r="J979">
            <v>2161</v>
          </cell>
          <cell r="K979">
            <v>0</v>
          </cell>
          <cell r="L979">
            <v>2161</v>
          </cell>
          <cell r="M979">
            <v>0</v>
          </cell>
          <cell r="N979">
            <v>2095</v>
          </cell>
          <cell r="O979">
            <v>0</v>
          </cell>
          <cell r="P979">
            <v>2045</v>
          </cell>
          <cell r="Q979">
            <v>0</v>
          </cell>
          <cell r="R979">
            <v>2128</v>
          </cell>
          <cell r="S979">
            <v>0</v>
          </cell>
          <cell r="T979">
            <v>2128</v>
          </cell>
          <cell r="U979">
            <v>0</v>
          </cell>
          <cell r="V979">
            <v>2161</v>
          </cell>
          <cell r="W979">
            <v>0</v>
          </cell>
          <cell r="X979">
            <v>2095</v>
          </cell>
          <cell r="Y979">
            <v>0</v>
          </cell>
          <cell r="Z979">
            <v>2161</v>
          </cell>
          <cell r="AA979">
            <v>0</v>
          </cell>
          <cell r="AB979">
            <v>0</v>
          </cell>
          <cell r="AC979">
            <v>0</v>
          </cell>
          <cell r="AD979">
            <v>6.8000000000000005E-2</v>
          </cell>
          <cell r="AE979">
            <v>0</v>
          </cell>
          <cell r="AF979">
            <v>0</v>
          </cell>
          <cell r="AG979">
            <v>0</v>
          </cell>
          <cell r="AH979">
            <v>0</v>
          </cell>
          <cell r="AI979">
            <v>0</v>
          </cell>
          <cell r="AJ979">
            <v>0</v>
          </cell>
          <cell r="AK979">
            <v>0</v>
          </cell>
          <cell r="AL979">
            <v>0</v>
          </cell>
        </row>
        <row r="980">
          <cell r="E980" t="str">
            <v>6KV CVT 60sq</v>
          </cell>
          <cell r="F980" t="str">
            <v>ｍ</v>
          </cell>
          <cell r="G980">
            <v>0</v>
          </cell>
          <cell r="H980">
            <v>2911</v>
          </cell>
          <cell r="I980">
            <v>0</v>
          </cell>
          <cell r="J980">
            <v>2957</v>
          </cell>
          <cell r="K980">
            <v>0</v>
          </cell>
          <cell r="L980">
            <v>2957</v>
          </cell>
          <cell r="M980">
            <v>0</v>
          </cell>
          <cell r="N980">
            <v>2866</v>
          </cell>
          <cell r="O980">
            <v>0</v>
          </cell>
          <cell r="P980">
            <v>2798</v>
          </cell>
          <cell r="Q980">
            <v>0</v>
          </cell>
          <cell r="R980">
            <v>2911</v>
          </cell>
          <cell r="S980">
            <v>0</v>
          </cell>
          <cell r="T980">
            <v>2911</v>
          </cell>
          <cell r="U980">
            <v>0</v>
          </cell>
          <cell r="V980">
            <v>2957</v>
          </cell>
          <cell r="W980">
            <v>0</v>
          </cell>
          <cell r="X980">
            <v>2866</v>
          </cell>
          <cell r="Y980">
            <v>0</v>
          </cell>
          <cell r="Z980">
            <v>2957</v>
          </cell>
          <cell r="AA980">
            <v>0</v>
          </cell>
          <cell r="AB980">
            <v>0</v>
          </cell>
          <cell r="AC980">
            <v>0</v>
          </cell>
          <cell r="AD980">
            <v>0.09</v>
          </cell>
          <cell r="AE980">
            <v>0</v>
          </cell>
          <cell r="AF980">
            <v>0</v>
          </cell>
          <cell r="AG980">
            <v>0</v>
          </cell>
          <cell r="AH980">
            <v>0</v>
          </cell>
          <cell r="AI980">
            <v>0</v>
          </cell>
          <cell r="AJ980">
            <v>0</v>
          </cell>
          <cell r="AK980">
            <v>0</v>
          </cell>
          <cell r="AL980">
            <v>0</v>
          </cell>
        </row>
        <row r="981">
          <cell r="E981" t="str">
            <v>6KV CVT 100sq</v>
          </cell>
          <cell r="F981" t="str">
            <v>ｍ</v>
          </cell>
          <cell r="G981">
            <v>0</v>
          </cell>
          <cell r="H981">
            <v>4345</v>
          </cell>
          <cell r="I981">
            <v>0</v>
          </cell>
          <cell r="J981">
            <v>4413</v>
          </cell>
          <cell r="K981">
            <v>0</v>
          </cell>
          <cell r="L981">
            <v>4413</v>
          </cell>
          <cell r="M981">
            <v>0</v>
          </cell>
          <cell r="N981">
            <v>4277</v>
          </cell>
          <cell r="O981">
            <v>0</v>
          </cell>
          <cell r="P981">
            <v>4175</v>
          </cell>
          <cell r="Q981">
            <v>0</v>
          </cell>
          <cell r="R981">
            <v>4345</v>
          </cell>
          <cell r="S981">
            <v>0</v>
          </cell>
          <cell r="T981">
            <v>4345</v>
          </cell>
          <cell r="U981">
            <v>0</v>
          </cell>
          <cell r="V981">
            <v>4413</v>
          </cell>
          <cell r="W981">
            <v>0</v>
          </cell>
          <cell r="X981">
            <v>4277</v>
          </cell>
          <cell r="Y981">
            <v>0</v>
          </cell>
          <cell r="Z981">
            <v>4413</v>
          </cell>
          <cell r="AA981">
            <v>0</v>
          </cell>
          <cell r="AB981">
            <v>0</v>
          </cell>
          <cell r="AC981">
            <v>0</v>
          </cell>
          <cell r="AD981">
            <v>0.124</v>
          </cell>
          <cell r="AE981">
            <v>0</v>
          </cell>
          <cell r="AF981">
            <v>0</v>
          </cell>
          <cell r="AG981">
            <v>0</v>
          </cell>
          <cell r="AH981">
            <v>0</v>
          </cell>
          <cell r="AI981">
            <v>0</v>
          </cell>
          <cell r="AJ981">
            <v>0</v>
          </cell>
          <cell r="AK981">
            <v>0</v>
          </cell>
          <cell r="AL981">
            <v>0</v>
          </cell>
        </row>
        <row r="982">
          <cell r="E982" t="str">
            <v>6KV CVT 150sq</v>
          </cell>
          <cell r="F982" t="str">
            <v>ｍ</v>
          </cell>
          <cell r="G982">
            <v>0</v>
          </cell>
          <cell r="H982">
            <v>6170</v>
          </cell>
          <cell r="I982">
            <v>0</v>
          </cell>
          <cell r="J982">
            <v>6266</v>
          </cell>
          <cell r="K982">
            <v>0</v>
          </cell>
          <cell r="L982">
            <v>6266</v>
          </cell>
          <cell r="M982">
            <v>0</v>
          </cell>
          <cell r="N982">
            <v>6073</v>
          </cell>
          <cell r="O982">
            <v>0</v>
          </cell>
          <cell r="P982">
            <v>5929</v>
          </cell>
          <cell r="Q982">
            <v>0</v>
          </cell>
          <cell r="R982">
            <v>6170</v>
          </cell>
          <cell r="S982">
            <v>0</v>
          </cell>
          <cell r="T982">
            <v>6170</v>
          </cell>
          <cell r="U982">
            <v>0</v>
          </cell>
          <cell r="V982">
            <v>6266</v>
          </cell>
          <cell r="W982">
            <v>0</v>
          </cell>
          <cell r="X982">
            <v>6073</v>
          </cell>
          <cell r="Y982">
            <v>0</v>
          </cell>
          <cell r="Z982">
            <v>6266</v>
          </cell>
          <cell r="AA982">
            <v>0</v>
          </cell>
          <cell r="AB982">
            <v>0</v>
          </cell>
          <cell r="AC982">
            <v>0</v>
          </cell>
          <cell r="AD982">
            <v>0.151</v>
          </cell>
          <cell r="AE982">
            <v>0</v>
          </cell>
          <cell r="AF982">
            <v>0</v>
          </cell>
          <cell r="AG982">
            <v>0</v>
          </cell>
          <cell r="AH982">
            <v>0</v>
          </cell>
          <cell r="AI982">
            <v>0</v>
          </cell>
          <cell r="AJ982">
            <v>0</v>
          </cell>
          <cell r="AK982">
            <v>0</v>
          </cell>
          <cell r="AL982">
            <v>0</v>
          </cell>
        </row>
        <row r="983">
          <cell r="E983" t="str">
            <v>6KV CVT 200sq</v>
          </cell>
          <cell r="F983" t="str">
            <v>ｍ</v>
          </cell>
          <cell r="G983">
            <v>0</v>
          </cell>
          <cell r="H983">
            <v>7762</v>
          </cell>
          <cell r="I983">
            <v>0</v>
          </cell>
          <cell r="J983">
            <v>7883</v>
          </cell>
          <cell r="K983">
            <v>0</v>
          </cell>
          <cell r="L983">
            <v>7883</v>
          </cell>
          <cell r="M983">
            <v>0</v>
          </cell>
          <cell r="N983">
            <v>7641</v>
          </cell>
          <cell r="O983">
            <v>0</v>
          </cell>
          <cell r="P983">
            <v>7459</v>
          </cell>
          <cell r="Q983">
            <v>0</v>
          </cell>
          <cell r="R983">
            <v>7762</v>
          </cell>
          <cell r="S983">
            <v>0</v>
          </cell>
          <cell r="T983">
            <v>7762</v>
          </cell>
          <cell r="U983">
            <v>0</v>
          </cell>
          <cell r="V983">
            <v>7883</v>
          </cell>
          <cell r="W983">
            <v>0</v>
          </cell>
          <cell r="X983">
            <v>7641</v>
          </cell>
          <cell r="Y983">
            <v>0</v>
          </cell>
          <cell r="Z983">
            <v>7883</v>
          </cell>
          <cell r="AA983">
            <v>0</v>
          </cell>
          <cell r="AB983">
            <v>0</v>
          </cell>
          <cell r="AC983">
            <v>0</v>
          </cell>
          <cell r="AD983">
            <v>0.188</v>
          </cell>
          <cell r="AE983">
            <v>0</v>
          </cell>
          <cell r="AF983">
            <v>0</v>
          </cell>
          <cell r="AG983">
            <v>0</v>
          </cell>
          <cell r="AH983">
            <v>0</v>
          </cell>
          <cell r="AI983">
            <v>0</v>
          </cell>
          <cell r="AJ983">
            <v>0</v>
          </cell>
          <cell r="AK983">
            <v>0</v>
          </cell>
          <cell r="AL983">
            <v>0</v>
          </cell>
        </row>
        <row r="984">
          <cell r="E984" t="str">
            <v>6KV CVT 250sq</v>
          </cell>
          <cell r="F984" t="str">
            <v>ｍ</v>
          </cell>
          <cell r="G984">
            <v>0</v>
          </cell>
          <cell r="H984">
            <v>9811</v>
          </cell>
          <cell r="I984">
            <v>0</v>
          </cell>
          <cell r="J984">
            <v>9965</v>
          </cell>
          <cell r="K984">
            <v>0</v>
          </cell>
          <cell r="L984">
            <v>9965</v>
          </cell>
          <cell r="M984">
            <v>0</v>
          </cell>
          <cell r="N984">
            <v>9658</v>
          </cell>
          <cell r="O984">
            <v>0</v>
          </cell>
          <cell r="P984">
            <v>9428</v>
          </cell>
          <cell r="Q984">
            <v>0</v>
          </cell>
          <cell r="R984">
            <v>9811</v>
          </cell>
          <cell r="S984">
            <v>0</v>
          </cell>
          <cell r="T984">
            <v>9811</v>
          </cell>
          <cell r="U984">
            <v>0</v>
          </cell>
          <cell r="V984">
            <v>9965</v>
          </cell>
          <cell r="W984">
            <v>0</v>
          </cell>
          <cell r="X984">
            <v>9658</v>
          </cell>
          <cell r="Y984">
            <v>0</v>
          </cell>
          <cell r="Z984">
            <v>9965</v>
          </cell>
          <cell r="AA984">
            <v>0</v>
          </cell>
          <cell r="AB984">
            <v>0</v>
          </cell>
          <cell r="AC984">
            <v>0</v>
          </cell>
          <cell r="AD984">
            <v>0.216</v>
          </cell>
          <cell r="AE984">
            <v>0</v>
          </cell>
          <cell r="AF984">
            <v>0</v>
          </cell>
          <cell r="AG984">
            <v>0</v>
          </cell>
          <cell r="AH984">
            <v>0</v>
          </cell>
          <cell r="AI984">
            <v>0</v>
          </cell>
          <cell r="AJ984">
            <v>0</v>
          </cell>
          <cell r="AK984">
            <v>0</v>
          </cell>
          <cell r="AL984">
            <v>0</v>
          </cell>
        </row>
        <row r="985">
          <cell r="E985" t="str">
            <v>6KV CVT 325sq</v>
          </cell>
          <cell r="F985" t="str">
            <v>ｍ</v>
          </cell>
          <cell r="G985">
            <v>0</v>
          </cell>
          <cell r="H985">
            <v>12310</v>
          </cell>
          <cell r="I985">
            <v>0</v>
          </cell>
          <cell r="J985">
            <v>12503</v>
          </cell>
          <cell r="K985">
            <v>0</v>
          </cell>
          <cell r="L985">
            <v>12503</v>
          </cell>
          <cell r="M985">
            <v>0</v>
          </cell>
          <cell r="N985">
            <v>12118</v>
          </cell>
          <cell r="O985">
            <v>0</v>
          </cell>
          <cell r="P985">
            <v>11830</v>
          </cell>
          <cell r="Q985">
            <v>0</v>
          </cell>
          <cell r="R985">
            <v>12310</v>
          </cell>
          <cell r="S985">
            <v>0</v>
          </cell>
          <cell r="T985">
            <v>12310</v>
          </cell>
          <cell r="U985">
            <v>0</v>
          </cell>
          <cell r="V985">
            <v>12503</v>
          </cell>
          <cell r="W985">
            <v>0</v>
          </cell>
          <cell r="X985">
            <v>12118</v>
          </cell>
          <cell r="Y985">
            <v>0</v>
          </cell>
          <cell r="Z985">
            <v>12503</v>
          </cell>
          <cell r="AA985">
            <v>0</v>
          </cell>
          <cell r="AB985">
            <v>0</v>
          </cell>
          <cell r="AC985">
            <v>0</v>
          </cell>
          <cell r="AD985">
            <v>0.27300000000000002</v>
          </cell>
          <cell r="AE985">
            <v>0</v>
          </cell>
          <cell r="AF985">
            <v>0</v>
          </cell>
          <cell r="AG985">
            <v>0</v>
          </cell>
          <cell r="AH985">
            <v>0</v>
          </cell>
          <cell r="AI985">
            <v>0</v>
          </cell>
          <cell r="AJ985">
            <v>0</v>
          </cell>
          <cell r="AK985">
            <v>0</v>
          </cell>
          <cell r="AL985">
            <v>0</v>
          </cell>
        </row>
        <row r="986">
          <cell r="E986" t="str">
            <v>6KV CE 8sq-3C</v>
          </cell>
          <cell r="F986" t="str">
            <v>ｍ</v>
          </cell>
          <cell r="G986">
            <v>0</v>
          </cell>
          <cell r="H986">
            <v>1237</v>
          </cell>
          <cell r="I986">
            <v>0</v>
          </cell>
          <cell r="J986">
            <v>1256</v>
          </cell>
          <cell r="K986">
            <v>0</v>
          </cell>
          <cell r="L986">
            <v>1256</v>
          </cell>
          <cell r="M986">
            <v>0</v>
          </cell>
          <cell r="N986">
            <v>1217</v>
          </cell>
          <cell r="O986">
            <v>0</v>
          </cell>
          <cell r="P986">
            <v>1189</v>
          </cell>
          <cell r="Q986">
            <v>0</v>
          </cell>
          <cell r="R986">
            <v>1237</v>
          </cell>
          <cell r="S986">
            <v>0</v>
          </cell>
          <cell r="T986">
            <v>1237</v>
          </cell>
          <cell r="U986">
            <v>0</v>
          </cell>
          <cell r="V986">
            <v>1237</v>
          </cell>
          <cell r="W986">
            <v>0</v>
          </cell>
          <cell r="X986">
            <v>1217</v>
          </cell>
          <cell r="Y986">
            <v>0</v>
          </cell>
          <cell r="Z986">
            <v>1256</v>
          </cell>
          <cell r="AA986">
            <v>0</v>
          </cell>
          <cell r="AB986">
            <v>0</v>
          </cell>
          <cell r="AC986">
            <v>0</v>
          </cell>
          <cell r="AD986">
            <v>3.2000000000000001E-2</v>
          </cell>
          <cell r="AE986">
            <v>0</v>
          </cell>
          <cell r="AF986">
            <v>0</v>
          </cell>
          <cell r="AG986">
            <v>0</v>
          </cell>
          <cell r="AH986">
            <v>0</v>
          </cell>
          <cell r="AI986">
            <v>0</v>
          </cell>
          <cell r="AJ986">
            <v>0</v>
          </cell>
          <cell r="AK986">
            <v>0</v>
          </cell>
          <cell r="AL986">
            <v>0</v>
          </cell>
        </row>
        <row r="987">
          <cell r="E987" t="str">
            <v>6KV CE 14sq-3C</v>
          </cell>
          <cell r="F987" t="str">
            <v>ｍ</v>
          </cell>
          <cell r="G987">
            <v>0</v>
          </cell>
          <cell r="H987">
            <v>1494</v>
          </cell>
          <cell r="I987">
            <v>0</v>
          </cell>
          <cell r="J987">
            <v>1517</v>
          </cell>
          <cell r="K987">
            <v>0</v>
          </cell>
          <cell r="L987">
            <v>1517</v>
          </cell>
          <cell r="M987">
            <v>0</v>
          </cell>
          <cell r="N987">
            <v>1471</v>
          </cell>
          <cell r="O987">
            <v>0</v>
          </cell>
          <cell r="P987">
            <v>1437</v>
          </cell>
          <cell r="Q987">
            <v>0</v>
          </cell>
          <cell r="R987">
            <v>1494</v>
          </cell>
          <cell r="S987">
            <v>0</v>
          </cell>
          <cell r="T987">
            <v>1494</v>
          </cell>
          <cell r="U987">
            <v>0</v>
          </cell>
          <cell r="V987">
            <v>1494</v>
          </cell>
          <cell r="W987">
            <v>0</v>
          </cell>
          <cell r="X987">
            <v>1471</v>
          </cell>
          <cell r="Y987">
            <v>0</v>
          </cell>
          <cell r="Z987">
            <v>1517</v>
          </cell>
          <cell r="AA987">
            <v>0</v>
          </cell>
          <cell r="AB987">
            <v>0</v>
          </cell>
          <cell r="AC987">
            <v>0</v>
          </cell>
          <cell r="AD987">
            <v>0.04</v>
          </cell>
          <cell r="AE987">
            <v>0</v>
          </cell>
          <cell r="AF987">
            <v>0</v>
          </cell>
          <cell r="AG987">
            <v>0</v>
          </cell>
          <cell r="AH987">
            <v>0</v>
          </cell>
          <cell r="AI987">
            <v>0</v>
          </cell>
          <cell r="AJ987">
            <v>0</v>
          </cell>
          <cell r="AK987">
            <v>0</v>
          </cell>
          <cell r="AL987">
            <v>0</v>
          </cell>
        </row>
        <row r="988">
          <cell r="E988" t="str">
            <v>6KV CE 22sq-3C</v>
          </cell>
          <cell r="F988" t="str">
            <v>ｍ</v>
          </cell>
          <cell r="G988">
            <v>0</v>
          </cell>
          <cell r="H988">
            <v>1863</v>
          </cell>
          <cell r="I988">
            <v>0</v>
          </cell>
          <cell r="J988">
            <v>1891</v>
          </cell>
          <cell r="K988">
            <v>0</v>
          </cell>
          <cell r="L988">
            <v>1891</v>
          </cell>
          <cell r="M988">
            <v>0</v>
          </cell>
          <cell r="N988">
            <v>1834</v>
          </cell>
          <cell r="O988">
            <v>0</v>
          </cell>
          <cell r="P988">
            <v>1791</v>
          </cell>
          <cell r="Q988">
            <v>0</v>
          </cell>
          <cell r="R988">
            <v>1863</v>
          </cell>
          <cell r="S988">
            <v>0</v>
          </cell>
          <cell r="T988">
            <v>1863</v>
          </cell>
          <cell r="U988">
            <v>0</v>
          </cell>
          <cell r="V988">
            <v>1863</v>
          </cell>
          <cell r="W988">
            <v>0</v>
          </cell>
          <cell r="X988">
            <v>1834</v>
          </cell>
          <cell r="Y988">
            <v>0</v>
          </cell>
          <cell r="Z988">
            <v>1891</v>
          </cell>
          <cell r="AA988">
            <v>0</v>
          </cell>
          <cell r="AB988">
            <v>0</v>
          </cell>
          <cell r="AC988">
            <v>0</v>
          </cell>
          <cell r="AD988">
            <v>5.1999999999999998E-2</v>
          </cell>
          <cell r="AE988">
            <v>0</v>
          </cell>
          <cell r="AF988">
            <v>0</v>
          </cell>
          <cell r="AG988">
            <v>0</v>
          </cell>
          <cell r="AH988">
            <v>0</v>
          </cell>
          <cell r="AI988">
            <v>0</v>
          </cell>
          <cell r="AJ988">
            <v>0</v>
          </cell>
          <cell r="AK988">
            <v>0</v>
          </cell>
          <cell r="AL988">
            <v>0</v>
          </cell>
        </row>
        <row r="989">
          <cell r="E989" t="str">
            <v>6KV CE 38sq-3C</v>
          </cell>
          <cell r="F989" t="str">
            <v>ｍ</v>
          </cell>
          <cell r="G989">
            <v>0</v>
          </cell>
          <cell r="H989">
            <v>2513</v>
          </cell>
          <cell r="I989">
            <v>0</v>
          </cell>
          <cell r="J989">
            <v>2552</v>
          </cell>
          <cell r="K989">
            <v>0</v>
          </cell>
          <cell r="L989">
            <v>2552</v>
          </cell>
          <cell r="M989">
            <v>0</v>
          </cell>
          <cell r="N989">
            <v>2474</v>
          </cell>
          <cell r="O989">
            <v>0</v>
          </cell>
          <cell r="P989">
            <v>2416</v>
          </cell>
          <cell r="Q989">
            <v>0</v>
          </cell>
          <cell r="R989">
            <v>2513</v>
          </cell>
          <cell r="S989">
            <v>0</v>
          </cell>
          <cell r="T989">
            <v>2513</v>
          </cell>
          <cell r="U989">
            <v>0</v>
          </cell>
          <cell r="V989">
            <v>2513</v>
          </cell>
          <cell r="W989">
            <v>0</v>
          </cell>
          <cell r="X989">
            <v>2474</v>
          </cell>
          <cell r="Y989">
            <v>0</v>
          </cell>
          <cell r="Z989">
            <v>2552</v>
          </cell>
          <cell r="AA989">
            <v>0</v>
          </cell>
          <cell r="AB989">
            <v>0</v>
          </cell>
          <cell r="AC989">
            <v>0</v>
          </cell>
          <cell r="AD989">
            <v>6.8000000000000005E-2</v>
          </cell>
          <cell r="AE989">
            <v>0</v>
          </cell>
          <cell r="AF989">
            <v>0</v>
          </cell>
          <cell r="AG989">
            <v>0</v>
          </cell>
          <cell r="AH989">
            <v>0</v>
          </cell>
          <cell r="AI989">
            <v>0</v>
          </cell>
          <cell r="AJ989">
            <v>0</v>
          </cell>
          <cell r="AK989">
            <v>0</v>
          </cell>
          <cell r="AL989">
            <v>0</v>
          </cell>
        </row>
        <row r="990">
          <cell r="E990" t="str">
            <v>6KV CE 60sq-3C</v>
          </cell>
          <cell r="F990" t="str">
            <v>ｍ</v>
          </cell>
          <cell r="G990">
            <v>0</v>
          </cell>
          <cell r="H990">
            <v>3396</v>
          </cell>
          <cell r="I990">
            <v>0</v>
          </cell>
          <cell r="J990">
            <v>3449</v>
          </cell>
          <cell r="K990">
            <v>0</v>
          </cell>
          <cell r="L990">
            <v>3449</v>
          </cell>
          <cell r="M990">
            <v>0</v>
          </cell>
          <cell r="N990">
            <v>3344</v>
          </cell>
          <cell r="O990">
            <v>0</v>
          </cell>
          <cell r="P990">
            <v>3266</v>
          </cell>
          <cell r="Q990">
            <v>0</v>
          </cell>
          <cell r="R990">
            <v>3396</v>
          </cell>
          <cell r="S990">
            <v>0</v>
          </cell>
          <cell r="T990">
            <v>3396</v>
          </cell>
          <cell r="U990">
            <v>0</v>
          </cell>
          <cell r="V990">
            <v>3396</v>
          </cell>
          <cell r="W990">
            <v>0</v>
          </cell>
          <cell r="X990">
            <v>3344</v>
          </cell>
          <cell r="Y990">
            <v>0</v>
          </cell>
          <cell r="Z990">
            <v>3449</v>
          </cell>
          <cell r="AA990">
            <v>0</v>
          </cell>
          <cell r="AB990">
            <v>0</v>
          </cell>
          <cell r="AC990">
            <v>0</v>
          </cell>
          <cell r="AD990">
            <v>0.09</v>
          </cell>
          <cell r="AE990">
            <v>0</v>
          </cell>
          <cell r="AF990">
            <v>0</v>
          </cell>
          <cell r="AG990">
            <v>0</v>
          </cell>
          <cell r="AH990">
            <v>0</v>
          </cell>
          <cell r="AI990">
            <v>0</v>
          </cell>
          <cell r="AJ990">
            <v>0</v>
          </cell>
          <cell r="AK990">
            <v>0</v>
          </cell>
          <cell r="AL990">
            <v>0</v>
          </cell>
        </row>
        <row r="991">
          <cell r="E991" t="str">
            <v>6KV CE 100sq-3C</v>
          </cell>
          <cell r="F991" t="str">
            <v>ｍ</v>
          </cell>
          <cell r="G991">
            <v>0</v>
          </cell>
          <cell r="H991">
            <v>5027</v>
          </cell>
          <cell r="I991">
            <v>0</v>
          </cell>
          <cell r="J991">
            <v>5104</v>
          </cell>
          <cell r="K991">
            <v>0</v>
          </cell>
          <cell r="L991">
            <v>5104</v>
          </cell>
          <cell r="M991">
            <v>0</v>
          </cell>
          <cell r="N991">
            <v>4949</v>
          </cell>
          <cell r="O991">
            <v>0</v>
          </cell>
          <cell r="P991">
            <v>4833</v>
          </cell>
          <cell r="Q991">
            <v>0</v>
          </cell>
          <cell r="R991">
            <v>5027</v>
          </cell>
          <cell r="S991">
            <v>0</v>
          </cell>
          <cell r="T991">
            <v>5027</v>
          </cell>
          <cell r="U991">
            <v>0</v>
          </cell>
          <cell r="V991">
            <v>5027</v>
          </cell>
          <cell r="W991">
            <v>0</v>
          </cell>
          <cell r="X991">
            <v>4949</v>
          </cell>
          <cell r="Y991">
            <v>0</v>
          </cell>
          <cell r="Z991">
            <v>5104</v>
          </cell>
          <cell r="AA991">
            <v>0</v>
          </cell>
          <cell r="AB991">
            <v>0</v>
          </cell>
          <cell r="AC991">
            <v>0</v>
          </cell>
          <cell r="AD991">
            <v>0.124</v>
          </cell>
          <cell r="AE991">
            <v>0</v>
          </cell>
          <cell r="AF991">
            <v>0</v>
          </cell>
          <cell r="AG991">
            <v>0</v>
          </cell>
          <cell r="AH991">
            <v>0</v>
          </cell>
          <cell r="AI991">
            <v>0</v>
          </cell>
          <cell r="AJ991">
            <v>0</v>
          </cell>
          <cell r="AK991">
            <v>0</v>
          </cell>
          <cell r="AL991">
            <v>0</v>
          </cell>
        </row>
        <row r="992">
          <cell r="E992" t="str">
            <v>6KV CE 150sq-3C</v>
          </cell>
          <cell r="F992" t="str">
            <v>ｍ</v>
          </cell>
          <cell r="G992">
            <v>0</v>
          </cell>
          <cell r="H992">
            <v>7217</v>
          </cell>
          <cell r="I992">
            <v>0</v>
          </cell>
          <cell r="J992">
            <v>7328</v>
          </cell>
          <cell r="K992">
            <v>0</v>
          </cell>
          <cell r="L992">
            <v>7328</v>
          </cell>
          <cell r="M992">
            <v>0</v>
          </cell>
          <cell r="N992">
            <v>7105</v>
          </cell>
          <cell r="O992">
            <v>0</v>
          </cell>
          <cell r="P992">
            <v>6939</v>
          </cell>
          <cell r="Q992">
            <v>0</v>
          </cell>
          <cell r="R992">
            <v>7217</v>
          </cell>
          <cell r="S992">
            <v>0</v>
          </cell>
          <cell r="T992">
            <v>7217</v>
          </cell>
          <cell r="U992">
            <v>0</v>
          </cell>
          <cell r="V992">
            <v>7217</v>
          </cell>
          <cell r="W992">
            <v>0</v>
          </cell>
          <cell r="X992">
            <v>7105</v>
          </cell>
          <cell r="Y992">
            <v>0</v>
          </cell>
          <cell r="Z992">
            <v>7328</v>
          </cell>
          <cell r="AA992">
            <v>0</v>
          </cell>
          <cell r="AB992">
            <v>0</v>
          </cell>
          <cell r="AC992">
            <v>0</v>
          </cell>
          <cell r="AD992">
            <v>0.151</v>
          </cell>
          <cell r="AE992">
            <v>0</v>
          </cell>
          <cell r="AF992">
            <v>0</v>
          </cell>
          <cell r="AG992">
            <v>0</v>
          </cell>
          <cell r="AH992">
            <v>0</v>
          </cell>
          <cell r="AI992">
            <v>0</v>
          </cell>
          <cell r="AJ992">
            <v>0</v>
          </cell>
          <cell r="AK992">
            <v>0</v>
          </cell>
          <cell r="AL992">
            <v>0</v>
          </cell>
        </row>
        <row r="993">
          <cell r="E993" t="str">
            <v>6KV CE 200sq-3C</v>
          </cell>
          <cell r="F993" t="str">
            <v>ｍ</v>
          </cell>
          <cell r="G993">
            <v>0</v>
          </cell>
          <cell r="H993">
            <v>9886</v>
          </cell>
          <cell r="I993">
            <v>0</v>
          </cell>
          <cell r="J993">
            <v>10038</v>
          </cell>
          <cell r="K993">
            <v>0</v>
          </cell>
          <cell r="L993">
            <v>10038</v>
          </cell>
          <cell r="M993">
            <v>0</v>
          </cell>
          <cell r="N993">
            <v>9734</v>
          </cell>
          <cell r="O993">
            <v>0</v>
          </cell>
          <cell r="P993">
            <v>9506</v>
          </cell>
          <cell r="Q993">
            <v>0</v>
          </cell>
          <cell r="R993">
            <v>9886</v>
          </cell>
          <cell r="S993">
            <v>0</v>
          </cell>
          <cell r="T993">
            <v>9886</v>
          </cell>
          <cell r="U993">
            <v>0</v>
          </cell>
          <cell r="V993">
            <v>9886</v>
          </cell>
          <cell r="W993">
            <v>0</v>
          </cell>
          <cell r="X993">
            <v>9734</v>
          </cell>
          <cell r="Y993">
            <v>0</v>
          </cell>
          <cell r="Z993">
            <v>10038</v>
          </cell>
          <cell r="AA993">
            <v>0</v>
          </cell>
          <cell r="AB993">
            <v>0</v>
          </cell>
          <cell r="AC993">
            <v>0</v>
          </cell>
          <cell r="AD993">
            <v>0.188</v>
          </cell>
          <cell r="AE993">
            <v>0</v>
          </cell>
          <cell r="AF993">
            <v>0</v>
          </cell>
          <cell r="AG993">
            <v>0</v>
          </cell>
          <cell r="AH993">
            <v>0</v>
          </cell>
          <cell r="AI993">
            <v>0</v>
          </cell>
          <cell r="AJ993">
            <v>0</v>
          </cell>
          <cell r="AK993">
            <v>0</v>
          </cell>
          <cell r="AL993">
            <v>0</v>
          </cell>
        </row>
        <row r="994">
          <cell r="E994" t="str">
            <v>6KV CE 250sq-3C</v>
          </cell>
          <cell r="F994" t="str">
            <v>ｍ</v>
          </cell>
          <cell r="G994">
            <v>0</v>
          </cell>
          <cell r="H994">
            <v>12477</v>
          </cell>
          <cell r="I994">
            <v>0</v>
          </cell>
          <cell r="J994">
            <v>12688</v>
          </cell>
          <cell r="K994">
            <v>0</v>
          </cell>
          <cell r="L994">
            <v>12688</v>
          </cell>
          <cell r="M994">
            <v>0</v>
          </cell>
          <cell r="N994">
            <v>12285</v>
          </cell>
          <cell r="O994">
            <v>0</v>
          </cell>
          <cell r="P994">
            <v>11997</v>
          </cell>
          <cell r="Q994">
            <v>0</v>
          </cell>
          <cell r="R994">
            <v>12477</v>
          </cell>
          <cell r="S994">
            <v>0</v>
          </cell>
          <cell r="T994">
            <v>12477</v>
          </cell>
          <cell r="U994">
            <v>0</v>
          </cell>
          <cell r="V994">
            <v>12477</v>
          </cell>
          <cell r="W994">
            <v>0</v>
          </cell>
          <cell r="X994">
            <v>12285</v>
          </cell>
          <cell r="Y994">
            <v>0</v>
          </cell>
          <cell r="Z994">
            <v>12688</v>
          </cell>
          <cell r="AA994">
            <v>0</v>
          </cell>
          <cell r="AB994">
            <v>0</v>
          </cell>
          <cell r="AC994">
            <v>0</v>
          </cell>
          <cell r="AD994">
            <v>0.216</v>
          </cell>
          <cell r="AE994">
            <v>0</v>
          </cell>
          <cell r="AF994">
            <v>0</v>
          </cell>
          <cell r="AG994">
            <v>0</v>
          </cell>
          <cell r="AH994">
            <v>0</v>
          </cell>
          <cell r="AI994">
            <v>0</v>
          </cell>
          <cell r="AJ994">
            <v>0</v>
          </cell>
          <cell r="AK994">
            <v>0</v>
          </cell>
          <cell r="AL994">
            <v>0</v>
          </cell>
        </row>
        <row r="995">
          <cell r="E995" t="str">
            <v>6KV CE 325sq-3C</v>
          </cell>
          <cell r="F995" t="str">
            <v>ｍ</v>
          </cell>
          <cell r="G995">
            <v>0</v>
          </cell>
          <cell r="H995">
            <v>15664</v>
          </cell>
          <cell r="I995">
            <v>0</v>
          </cell>
          <cell r="J995">
            <v>15905</v>
          </cell>
          <cell r="K995">
            <v>0</v>
          </cell>
          <cell r="L995">
            <v>15905</v>
          </cell>
          <cell r="M995">
            <v>0</v>
          </cell>
          <cell r="N995">
            <v>15423</v>
          </cell>
          <cell r="O995">
            <v>0</v>
          </cell>
          <cell r="P995">
            <v>15062</v>
          </cell>
          <cell r="Q995">
            <v>0</v>
          </cell>
          <cell r="R995">
            <v>15664</v>
          </cell>
          <cell r="S995">
            <v>0</v>
          </cell>
          <cell r="T995">
            <v>15664</v>
          </cell>
          <cell r="U995">
            <v>0</v>
          </cell>
          <cell r="V995">
            <v>15664</v>
          </cell>
          <cell r="W995">
            <v>0</v>
          </cell>
          <cell r="X995">
            <v>15423</v>
          </cell>
          <cell r="Y995">
            <v>0</v>
          </cell>
          <cell r="Z995">
            <v>15905</v>
          </cell>
          <cell r="AA995">
            <v>0</v>
          </cell>
          <cell r="AB995">
            <v>0</v>
          </cell>
          <cell r="AC995">
            <v>0</v>
          </cell>
          <cell r="AD995">
            <v>0.27300000000000002</v>
          </cell>
          <cell r="AE995">
            <v>0</v>
          </cell>
          <cell r="AF995">
            <v>0</v>
          </cell>
          <cell r="AG995">
            <v>0</v>
          </cell>
          <cell r="AH995">
            <v>0</v>
          </cell>
          <cell r="AI995">
            <v>0</v>
          </cell>
          <cell r="AJ995">
            <v>0</v>
          </cell>
          <cell r="AK995">
            <v>0</v>
          </cell>
          <cell r="AL995">
            <v>0</v>
          </cell>
        </row>
        <row r="996">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row>
        <row r="997">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row>
        <row r="998">
          <cell r="E998" t="str">
            <v>04_Users</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row>
        <row r="999">
          <cell r="E999" t="str">
            <v>04_Users</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row>
        <row r="1000">
          <cell r="E1000" t="str">
            <v>04_Users</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row>
        <row r="1001">
          <cell r="E1001" t="str">
            <v>04_Users</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row>
        <row r="1002">
          <cell r="E1002" t="str">
            <v>04_Users</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row>
        <row r="1003">
          <cell r="E1003" t="str">
            <v>04_Users</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row>
        <row r="1004">
          <cell r="E1004" t="str">
            <v>04_Users</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row>
        <row r="1005">
          <cell r="E1005" t="str">
            <v>04_Users</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row>
        <row r="1006">
          <cell r="E1006" t="str">
            <v>04_Users</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row>
        <row r="1007">
          <cell r="E1007" t="str">
            <v>04_Users</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row>
        <row r="1008">
          <cell r="E1008" t="str">
            <v>04_Users</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row>
        <row r="1009">
          <cell r="E1009" t="str">
            <v>04_Users</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row>
        <row r="1010">
          <cell r="E1010" t="str">
            <v>04_Users</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row>
        <row r="1011">
          <cell r="E1011" t="str">
            <v>04_Users</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row>
        <row r="1012">
          <cell r="E1012" t="str">
            <v>04_Users</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row>
        <row r="1013">
          <cell r="E1013" t="str">
            <v>04_Users</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row>
        <row r="1014">
          <cell r="E1014" t="str">
            <v>04_Users</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row>
        <row r="1015">
          <cell r="E1015" t="str">
            <v>04_Users</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row>
        <row r="1016">
          <cell r="E1016" t="str">
            <v>04_Users</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row>
        <row r="1017">
          <cell r="E1017" t="str">
            <v>04_Users</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row>
        <row r="1018">
          <cell r="E1018" t="str">
            <v>04_Users</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row>
        <row r="1019">
          <cell r="E1019" t="str">
            <v>04_Users</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row>
        <row r="1020">
          <cell r="E1020" t="str">
            <v>04_Users</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row>
        <row r="1021">
          <cell r="E1021" t="str">
            <v>04_Users</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row>
        <row r="1022">
          <cell r="E1022" t="str">
            <v>04_Users</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row>
        <row r="1023">
          <cell r="E1023" t="str">
            <v>04_Users</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row>
        <row r="1024">
          <cell r="E1024" t="str">
            <v>04_Users</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row>
        <row r="1025">
          <cell r="E1025" t="str">
            <v>04_Users</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row>
        <row r="1026">
          <cell r="E1026" t="str">
            <v>04_Users</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row>
        <row r="1027">
          <cell r="E1027" t="str">
            <v>04_Users</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row>
        <row r="1028">
          <cell r="E1028" t="str">
            <v>04_Users</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row>
        <row r="1029">
          <cell r="E1029" t="str">
            <v>04_Users</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row>
        <row r="1030">
          <cell r="E1030" t="str">
            <v>04_Users</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row>
        <row r="1031">
          <cell r="E1031" t="str">
            <v>04_Users</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row>
        <row r="1032">
          <cell r="E1032" t="str">
            <v>04_Users</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row>
        <row r="1033">
          <cell r="E1033" t="str">
            <v>04_Users</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row>
        <row r="1034">
          <cell r="E1034" t="str">
            <v>04_Users</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row>
        <row r="1035">
          <cell r="E1035" t="str">
            <v>04_Users</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row>
        <row r="1036">
          <cell r="E1036" t="str">
            <v>04_Users</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row>
        <row r="1037">
          <cell r="E1037" t="str">
            <v>04_Users</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row>
        <row r="1038">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row>
        <row r="1039">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row>
        <row r="1040">
          <cell r="E1040" t="str">
            <v>HP 0.65mm-2C</v>
          </cell>
          <cell r="F1040" t="str">
            <v>ｍ</v>
          </cell>
          <cell r="G1040">
            <v>0</v>
          </cell>
          <cell r="H1040">
            <v>27.4</v>
          </cell>
          <cell r="I1040">
            <v>0</v>
          </cell>
          <cell r="J1040">
            <v>27.4</v>
          </cell>
          <cell r="K1040">
            <v>0</v>
          </cell>
          <cell r="L1040">
            <v>27.4</v>
          </cell>
          <cell r="M1040">
            <v>0</v>
          </cell>
          <cell r="N1040">
            <v>27.4</v>
          </cell>
          <cell r="O1040">
            <v>0</v>
          </cell>
          <cell r="P1040">
            <v>27.4</v>
          </cell>
          <cell r="Q1040">
            <v>0</v>
          </cell>
          <cell r="R1040">
            <v>27.4</v>
          </cell>
          <cell r="S1040">
            <v>0</v>
          </cell>
          <cell r="T1040">
            <v>27.4</v>
          </cell>
          <cell r="U1040">
            <v>0</v>
          </cell>
          <cell r="V1040">
            <v>27.4</v>
          </cell>
          <cell r="W1040">
            <v>0</v>
          </cell>
          <cell r="X1040">
            <v>27.4</v>
          </cell>
          <cell r="Y1040">
            <v>0</v>
          </cell>
          <cell r="Z1040">
            <v>27.4</v>
          </cell>
          <cell r="AA1040">
            <v>0</v>
          </cell>
          <cell r="AB1040">
            <v>0</v>
          </cell>
          <cell r="AC1040">
            <v>0</v>
          </cell>
          <cell r="AD1040">
            <v>1.2999999999999999E-2</v>
          </cell>
          <cell r="AE1040">
            <v>0</v>
          </cell>
          <cell r="AF1040">
            <v>0</v>
          </cell>
          <cell r="AG1040">
            <v>0</v>
          </cell>
          <cell r="AH1040">
            <v>0</v>
          </cell>
          <cell r="AI1040">
            <v>0</v>
          </cell>
          <cell r="AJ1040">
            <v>0</v>
          </cell>
          <cell r="AK1040">
            <v>0</v>
          </cell>
          <cell r="AL1040">
            <v>0</v>
          </cell>
        </row>
        <row r="1041">
          <cell r="E1041" t="str">
            <v>HP 0.65mm-4C</v>
          </cell>
          <cell r="F1041" t="str">
            <v>ｍ</v>
          </cell>
          <cell r="G1041">
            <v>0</v>
          </cell>
          <cell r="H1041">
            <v>45.4</v>
          </cell>
          <cell r="I1041">
            <v>0</v>
          </cell>
          <cell r="J1041">
            <v>45.4</v>
          </cell>
          <cell r="K1041">
            <v>0</v>
          </cell>
          <cell r="L1041">
            <v>45.4</v>
          </cell>
          <cell r="M1041">
            <v>0</v>
          </cell>
          <cell r="N1041">
            <v>45.4</v>
          </cell>
          <cell r="O1041">
            <v>0</v>
          </cell>
          <cell r="P1041">
            <v>45.4</v>
          </cell>
          <cell r="Q1041">
            <v>0</v>
          </cell>
          <cell r="R1041">
            <v>45.4</v>
          </cell>
          <cell r="S1041">
            <v>0</v>
          </cell>
          <cell r="T1041">
            <v>45.4</v>
          </cell>
          <cell r="U1041">
            <v>0</v>
          </cell>
          <cell r="V1041">
            <v>45.4</v>
          </cell>
          <cell r="W1041">
            <v>0</v>
          </cell>
          <cell r="X1041">
            <v>45.4</v>
          </cell>
          <cell r="Y1041">
            <v>0</v>
          </cell>
          <cell r="Z1041">
            <v>45.4</v>
          </cell>
          <cell r="AA1041">
            <v>0</v>
          </cell>
          <cell r="AB1041">
            <v>0</v>
          </cell>
          <cell r="AC1041">
            <v>0</v>
          </cell>
          <cell r="AD1041">
            <v>1.4E-2</v>
          </cell>
          <cell r="AE1041">
            <v>0</v>
          </cell>
          <cell r="AF1041">
            <v>0</v>
          </cell>
          <cell r="AG1041">
            <v>0</v>
          </cell>
          <cell r="AH1041">
            <v>0</v>
          </cell>
          <cell r="AI1041">
            <v>0</v>
          </cell>
          <cell r="AJ1041">
            <v>0</v>
          </cell>
          <cell r="AK1041">
            <v>0</v>
          </cell>
          <cell r="AL1041">
            <v>0</v>
          </cell>
        </row>
        <row r="1042">
          <cell r="E1042" t="str">
            <v>HP 0.65mm-6C</v>
          </cell>
          <cell r="F1042" t="str">
            <v>ｍ</v>
          </cell>
          <cell r="G1042">
            <v>0</v>
          </cell>
          <cell r="H1042">
            <v>66.900000000000006</v>
          </cell>
          <cell r="I1042">
            <v>0</v>
          </cell>
          <cell r="J1042">
            <v>66.900000000000006</v>
          </cell>
          <cell r="K1042">
            <v>0</v>
          </cell>
          <cell r="L1042">
            <v>66.900000000000006</v>
          </cell>
          <cell r="M1042">
            <v>0</v>
          </cell>
          <cell r="N1042">
            <v>66.900000000000006</v>
          </cell>
          <cell r="O1042">
            <v>0</v>
          </cell>
          <cell r="P1042">
            <v>66.900000000000006</v>
          </cell>
          <cell r="Q1042">
            <v>0</v>
          </cell>
          <cell r="R1042">
            <v>66.900000000000006</v>
          </cell>
          <cell r="S1042">
            <v>0</v>
          </cell>
          <cell r="T1042">
            <v>66.900000000000006</v>
          </cell>
          <cell r="U1042">
            <v>0</v>
          </cell>
          <cell r="V1042">
            <v>66.900000000000006</v>
          </cell>
          <cell r="W1042">
            <v>0</v>
          </cell>
          <cell r="X1042">
            <v>66.900000000000006</v>
          </cell>
          <cell r="Y1042">
            <v>0</v>
          </cell>
          <cell r="Z1042">
            <v>66.900000000000006</v>
          </cell>
          <cell r="AA1042">
            <v>0</v>
          </cell>
          <cell r="AB1042">
            <v>0</v>
          </cell>
          <cell r="AC1042">
            <v>0</v>
          </cell>
          <cell r="AD1042">
            <v>1.4999999999999999E-2</v>
          </cell>
          <cell r="AE1042">
            <v>0</v>
          </cell>
          <cell r="AF1042">
            <v>0</v>
          </cell>
          <cell r="AG1042">
            <v>0</v>
          </cell>
          <cell r="AH1042">
            <v>0</v>
          </cell>
          <cell r="AI1042">
            <v>0</v>
          </cell>
          <cell r="AJ1042">
            <v>0</v>
          </cell>
          <cell r="AK1042">
            <v>0</v>
          </cell>
          <cell r="AL1042">
            <v>0</v>
          </cell>
        </row>
        <row r="1043">
          <cell r="E1043" t="str">
            <v>HP 0.65mm-5Pr</v>
          </cell>
          <cell r="F1043" t="str">
            <v>ｍ</v>
          </cell>
          <cell r="G1043">
            <v>0</v>
          </cell>
          <cell r="H1043">
            <v>125</v>
          </cell>
          <cell r="I1043">
            <v>0</v>
          </cell>
          <cell r="J1043">
            <v>125</v>
          </cell>
          <cell r="K1043">
            <v>0</v>
          </cell>
          <cell r="L1043">
            <v>125</v>
          </cell>
          <cell r="M1043">
            <v>0</v>
          </cell>
          <cell r="N1043">
            <v>125</v>
          </cell>
          <cell r="O1043">
            <v>0</v>
          </cell>
          <cell r="P1043">
            <v>125</v>
          </cell>
          <cell r="Q1043">
            <v>0</v>
          </cell>
          <cell r="R1043">
            <v>125</v>
          </cell>
          <cell r="S1043">
            <v>0</v>
          </cell>
          <cell r="T1043">
            <v>125</v>
          </cell>
          <cell r="U1043">
            <v>0</v>
          </cell>
          <cell r="V1043">
            <v>125</v>
          </cell>
          <cell r="W1043">
            <v>0</v>
          </cell>
          <cell r="X1043">
            <v>125</v>
          </cell>
          <cell r="Y1043">
            <v>0</v>
          </cell>
          <cell r="Z1043">
            <v>125</v>
          </cell>
          <cell r="AA1043">
            <v>0</v>
          </cell>
          <cell r="AB1043">
            <v>0</v>
          </cell>
          <cell r="AC1043">
            <v>0</v>
          </cell>
          <cell r="AD1043">
            <v>1.7000000000000001E-2</v>
          </cell>
          <cell r="AE1043">
            <v>0</v>
          </cell>
          <cell r="AF1043">
            <v>0</v>
          </cell>
          <cell r="AG1043">
            <v>0</v>
          </cell>
          <cell r="AH1043">
            <v>0</v>
          </cell>
          <cell r="AI1043">
            <v>0</v>
          </cell>
          <cell r="AJ1043">
            <v>0</v>
          </cell>
          <cell r="AK1043">
            <v>0</v>
          </cell>
          <cell r="AL1043">
            <v>0</v>
          </cell>
        </row>
        <row r="1044">
          <cell r="E1044" t="str">
            <v>HP 0.65mm- 10Pr</v>
          </cell>
          <cell r="F1044" t="str">
            <v>ｍ</v>
          </cell>
          <cell r="G1044">
            <v>0</v>
          </cell>
          <cell r="H1044">
            <v>235</v>
          </cell>
          <cell r="I1044">
            <v>0</v>
          </cell>
          <cell r="J1044">
            <v>235</v>
          </cell>
          <cell r="K1044">
            <v>0</v>
          </cell>
          <cell r="L1044">
            <v>235</v>
          </cell>
          <cell r="M1044">
            <v>0</v>
          </cell>
          <cell r="N1044">
            <v>235</v>
          </cell>
          <cell r="O1044">
            <v>0</v>
          </cell>
          <cell r="P1044">
            <v>235</v>
          </cell>
          <cell r="Q1044">
            <v>0</v>
          </cell>
          <cell r="R1044">
            <v>235</v>
          </cell>
          <cell r="S1044">
            <v>0</v>
          </cell>
          <cell r="T1044">
            <v>235</v>
          </cell>
          <cell r="U1044">
            <v>0</v>
          </cell>
          <cell r="V1044">
            <v>235</v>
          </cell>
          <cell r="W1044">
            <v>0</v>
          </cell>
          <cell r="X1044">
            <v>235</v>
          </cell>
          <cell r="Y1044">
            <v>0</v>
          </cell>
          <cell r="Z1044">
            <v>235</v>
          </cell>
          <cell r="AA1044">
            <v>0</v>
          </cell>
          <cell r="AB1044">
            <v>0</v>
          </cell>
          <cell r="AC1044">
            <v>0</v>
          </cell>
          <cell r="AD1044">
            <v>0.02</v>
          </cell>
          <cell r="AE1044">
            <v>0</v>
          </cell>
          <cell r="AF1044">
            <v>0</v>
          </cell>
          <cell r="AG1044">
            <v>0</v>
          </cell>
          <cell r="AH1044">
            <v>0</v>
          </cell>
          <cell r="AI1044">
            <v>0</v>
          </cell>
          <cell r="AJ1044">
            <v>0</v>
          </cell>
          <cell r="AK1044">
            <v>0</v>
          </cell>
          <cell r="AL1044">
            <v>0</v>
          </cell>
        </row>
        <row r="1045">
          <cell r="E1045" t="str">
            <v>HP 0.65mm- 15Pr</v>
          </cell>
          <cell r="F1045" t="str">
            <v>ｍ</v>
          </cell>
          <cell r="G1045">
            <v>0</v>
          </cell>
          <cell r="H1045">
            <v>328</v>
          </cell>
          <cell r="I1045">
            <v>0</v>
          </cell>
          <cell r="J1045">
            <v>328</v>
          </cell>
          <cell r="K1045">
            <v>0</v>
          </cell>
          <cell r="L1045">
            <v>328</v>
          </cell>
          <cell r="M1045">
            <v>0</v>
          </cell>
          <cell r="N1045">
            <v>328</v>
          </cell>
          <cell r="O1045">
            <v>0</v>
          </cell>
          <cell r="P1045">
            <v>328</v>
          </cell>
          <cell r="Q1045">
            <v>0</v>
          </cell>
          <cell r="R1045">
            <v>328</v>
          </cell>
          <cell r="S1045">
            <v>0</v>
          </cell>
          <cell r="T1045">
            <v>328</v>
          </cell>
          <cell r="U1045">
            <v>0</v>
          </cell>
          <cell r="V1045">
            <v>328</v>
          </cell>
          <cell r="W1045">
            <v>0</v>
          </cell>
          <cell r="X1045">
            <v>328</v>
          </cell>
          <cell r="Y1045">
            <v>0</v>
          </cell>
          <cell r="Z1045">
            <v>328</v>
          </cell>
          <cell r="AA1045">
            <v>0</v>
          </cell>
          <cell r="AB1045">
            <v>0</v>
          </cell>
          <cell r="AC1045">
            <v>0</v>
          </cell>
          <cell r="AD1045">
            <v>2.1999999999999999E-2</v>
          </cell>
          <cell r="AE1045">
            <v>0</v>
          </cell>
          <cell r="AF1045">
            <v>0</v>
          </cell>
          <cell r="AG1045">
            <v>0</v>
          </cell>
          <cell r="AH1045">
            <v>0</v>
          </cell>
          <cell r="AI1045">
            <v>0</v>
          </cell>
          <cell r="AJ1045">
            <v>0</v>
          </cell>
          <cell r="AK1045">
            <v>0</v>
          </cell>
          <cell r="AL1045">
            <v>0</v>
          </cell>
        </row>
        <row r="1046">
          <cell r="E1046" t="str">
            <v>HP 0.65mm- 20Pr</v>
          </cell>
          <cell r="F1046" t="str">
            <v>ｍ</v>
          </cell>
          <cell r="G1046">
            <v>0</v>
          </cell>
          <cell r="H1046">
            <v>441</v>
          </cell>
          <cell r="I1046">
            <v>0</v>
          </cell>
          <cell r="J1046">
            <v>441</v>
          </cell>
          <cell r="K1046">
            <v>0</v>
          </cell>
          <cell r="L1046">
            <v>441</v>
          </cell>
          <cell r="M1046">
            <v>0</v>
          </cell>
          <cell r="N1046">
            <v>441</v>
          </cell>
          <cell r="O1046">
            <v>0</v>
          </cell>
          <cell r="P1046">
            <v>441</v>
          </cell>
          <cell r="Q1046">
            <v>0</v>
          </cell>
          <cell r="R1046">
            <v>441</v>
          </cell>
          <cell r="S1046">
            <v>0</v>
          </cell>
          <cell r="T1046">
            <v>441</v>
          </cell>
          <cell r="U1046">
            <v>0</v>
          </cell>
          <cell r="V1046">
            <v>441</v>
          </cell>
          <cell r="W1046">
            <v>0</v>
          </cell>
          <cell r="X1046">
            <v>441</v>
          </cell>
          <cell r="Y1046">
            <v>0</v>
          </cell>
          <cell r="Z1046">
            <v>441</v>
          </cell>
          <cell r="AA1046">
            <v>0</v>
          </cell>
          <cell r="AB1046">
            <v>0</v>
          </cell>
          <cell r="AC1046">
            <v>0</v>
          </cell>
          <cell r="AD1046">
            <v>2.4E-2</v>
          </cell>
          <cell r="AE1046">
            <v>0</v>
          </cell>
          <cell r="AF1046">
            <v>0</v>
          </cell>
          <cell r="AG1046">
            <v>0</v>
          </cell>
          <cell r="AH1046">
            <v>0</v>
          </cell>
          <cell r="AI1046">
            <v>0</v>
          </cell>
          <cell r="AJ1046">
            <v>0</v>
          </cell>
          <cell r="AK1046">
            <v>0</v>
          </cell>
          <cell r="AL1046">
            <v>0</v>
          </cell>
        </row>
        <row r="1047">
          <cell r="E1047" t="str">
            <v>HP 0.65mm- 30Pr</v>
          </cell>
          <cell r="F1047" t="str">
            <v>ｍ</v>
          </cell>
          <cell r="G1047">
            <v>0</v>
          </cell>
          <cell r="H1047">
            <v>654</v>
          </cell>
          <cell r="I1047">
            <v>0</v>
          </cell>
          <cell r="J1047">
            <v>654</v>
          </cell>
          <cell r="K1047">
            <v>0</v>
          </cell>
          <cell r="L1047">
            <v>654</v>
          </cell>
          <cell r="M1047">
            <v>0</v>
          </cell>
          <cell r="N1047">
            <v>654</v>
          </cell>
          <cell r="O1047">
            <v>0</v>
          </cell>
          <cell r="P1047">
            <v>654</v>
          </cell>
          <cell r="Q1047">
            <v>0</v>
          </cell>
          <cell r="R1047">
            <v>654</v>
          </cell>
          <cell r="S1047">
            <v>0</v>
          </cell>
          <cell r="T1047">
            <v>654</v>
          </cell>
          <cell r="U1047">
            <v>0</v>
          </cell>
          <cell r="V1047">
            <v>654</v>
          </cell>
          <cell r="W1047">
            <v>0</v>
          </cell>
          <cell r="X1047">
            <v>654</v>
          </cell>
          <cell r="Y1047">
            <v>0</v>
          </cell>
          <cell r="Z1047">
            <v>654</v>
          </cell>
          <cell r="AA1047">
            <v>0</v>
          </cell>
          <cell r="AB1047">
            <v>0</v>
          </cell>
          <cell r="AC1047">
            <v>0</v>
          </cell>
          <cell r="AD1047">
            <v>2.9000000000000001E-2</v>
          </cell>
          <cell r="AE1047">
            <v>0</v>
          </cell>
          <cell r="AF1047">
            <v>0</v>
          </cell>
          <cell r="AG1047">
            <v>0</v>
          </cell>
          <cell r="AH1047">
            <v>0</v>
          </cell>
          <cell r="AI1047">
            <v>0</v>
          </cell>
          <cell r="AJ1047">
            <v>0</v>
          </cell>
          <cell r="AK1047">
            <v>0</v>
          </cell>
          <cell r="AL1047">
            <v>0</v>
          </cell>
        </row>
        <row r="1048">
          <cell r="E1048" t="str">
            <v>HP 0.65mm- 40Pr</v>
          </cell>
          <cell r="F1048" t="str">
            <v>ｍ</v>
          </cell>
          <cell r="G1048">
            <v>0</v>
          </cell>
          <cell r="H1048">
            <v>862</v>
          </cell>
          <cell r="I1048">
            <v>0</v>
          </cell>
          <cell r="J1048">
            <v>862</v>
          </cell>
          <cell r="K1048">
            <v>0</v>
          </cell>
          <cell r="L1048">
            <v>862</v>
          </cell>
          <cell r="M1048">
            <v>0</v>
          </cell>
          <cell r="N1048">
            <v>862</v>
          </cell>
          <cell r="O1048">
            <v>0</v>
          </cell>
          <cell r="P1048">
            <v>862</v>
          </cell>
          <cell r="Q1048">
            <v>0</v>
          </cell>
          <cell r="R1048">
            <v>862</v>
          </cell>
          <cell r="S1048">
            <v>0</v>
          </cell>
          <cell r="T1048">
            <v>862</v>
          </cell>
          <cell r="U1048">
            <v>0</v>
          </cell>
          <cell r="V1048">
            <v>862</v>
          </cell>
          <cell r="W1048">
            <v>0</v>
          </cell>
          <cell r="X1048">
            <v>862</v>
          </cell>
          <cell r="Y1048">
            <v>0</v>
          </cell>
          <cell r="Z1048">
            <v>862</v>
          </cell>
          <cell r="AA1048">
            <v>0</v>
          </cell>
          <cell r="AB1048">
            <v>0</v>
          </cell>
          <cell r="AC1048">
            <v>0</v>
          </cell>
          <cell r="AD1048">
            <v>3.4000000000000002E-2</v>
          </cell>
          <cell r="AE1048">
            <v>0</v>
          </cell>
          <cell r="AF1048">
            <v>0</v>
          </cell>
          <cell r="AG1048">
            <v>0</v>
          </cell>
          <cell r="AH1048">
            <v>0</v>
          </cell>
          <cell r="AI1048">
            <v>0</v>
          </cell>
          <cell r="AJ1048">
            <v>0</v>
          </cell>
          <cell r="AK1048">
            <v>0</v>
          </cell>
          <cell r="AL1048">
            <v>0</v>
          </cell>
        </row>
        <row r="1049">
          <cell r="E1049" t="str">
            <v>HP 0.65mm- 50Pr</v>
          </cell>
          <cell r="F1049" t="str">
            <v>ｍ</v>
          </cell>
          <cell r="G1049">
            <v>0</v>
          </cell>
          <cell r="H1049">
            <v>1050</v>
          </cell>
          <cell r="I1049">
            <v>0</v>
          </cell>
          <cell r="J1049">
            <v>1050</v>
          </cell>
          <cell r="K1049">
            <v>0</v>
          </cell>
          <cell r="L1049">
            <v>1050</v>
          </cell>
          <cell r="M1049">
            <v>0</v>
          </cell>
          <cell r="N1049">
            <v>1050</v>
          </cell>
          <cell r="O1049">
            <v>0</v>
          </cell>
          <cell r="P1049">
            <v>1050</v>
          </cell>
          <cell r="Q1049">
            <v>0</v>
          </cell>
          <cell r="R1049">
            <v>1050</v>
          </cell>
          <cell r="S1049">
            <v>0</v>
          </cell>
          <cell r="T1049">
            <v>1050</v>
          </cell>
          <cell r="U1049">
            <v>0</v>
          </cell>
          <cell r="V1049">
            <v>1050</v>
          </cell>
          <cell r="W1049">
            <v>0</v>
          </cell>
          <cell r="X1049">
            <v>1050</v>
          </cell>
          <cell r="Y1049">
            <v>0</v>
          </cell>
          <cell r="Z1049">
            <v>1050</v>
          </cell>
          <cell r="AA1049">
            <v>0</v>
          </cell>
          <cell r="AB1049">
            <v>0</v>
          </cell>
          <cell r="AC1049">
            <v>0</v>
          </cell>
          <cell r="AD1049">
            <v>3.9E-2</v>
          </cell>
          <cell r="AE1049">
            <v>0</v>
          </cell>
          <cell r="AF1049">
            <v>0</v>
          </cell>
          <cell r="AG1049">
            <v>0</v>
          </cell>
          <cell r="AH1049">
            <v>0</v>
          </cell>
          <cell r="AI1049">
            <v>0</v>
          </cell>
          <cell r="AJ1049">
            <v>0</v>
          </cell>
          <cell r="AK1049">
            <v>0</v>
          </cell>
          <cell r="AL1049">
            <v>0</v>
          </cell>
        </row>
        <row r="1050">
          <cell r="E1050" t="str">
            <v>HP 0.65mm-100Pr</v>
          </cell>
          <cell r="F1050" t="str">
            <v>ｍ</v>
          </cell>
          <cell r="G1050">
            <v>0</v>
          </cell>
          <cell r="H1050">
            <v>2185</v>
          </cell>
          <cell r="I1050">
            <v>0</v>
          </cell>
          <cell r="J1050">
            <v>2185</v>
          </cell>
          <cell r="K1050">
            <v>0</v>
          </cell>
          <cell r="L1050">
            <v>2185</v>
          </cell>
          <cell r="M1050">
            <v>0</v>
          </cell>
          <cell r="N1050">
            <v>2185</v>
          </cell>
          <cell r="O1050">
            <v>0</v>
          </cell>
          <cell r="P1050">
            <v>2185</v>
          </cell>
          <cell r="Q1050">
            <v>0</v>
          </cell>
          <cell r="R1050">
            <v>2185</v>
          </cell>
          <cell r="S1050">
            <v>0</v>
          </cell>
          <cell r="T1050">
            <v>2185</v>
          </cell>
          <cell r="U1050">
            <v>0</v>
          </cell>
          <cell r="V1050">
            <v>2185</v>
          </cell>
          <cell r="W1050">
            <v>0</v>
          </cell>
          <cell r="X1050">
            <v>2185</v>
          </cell>
          <cell r="Y1050">
            <v>0</v>
          </cell>
          <cell r="Z1050">
            <v>2185</v>
          </cell>
          <cell r="AA1050">
            <v>0</v>
          </cell>
          <cell r="AB1050">
            <v>0</v>
          </cell>
          <cell r="AC1050">
            <v>0</v>
          </cell>
          <cell r="AD1050">
            <v>6.4000000000000001E-2</v>
          </cell>
          <cell r="AE1050">
            <v>0</v>
          </cell>
          <cell r="AF1050">
            <v>0</v>
          </cell>
          <cell r="AG1050">
            <v>0</v>
          </cell>
          <cell r="AH1050">
            <v>0</v>
          </cell>
          <cell r="AI1050">
            <v>0</v>
          </cell>
          <cell r="AJ1050">
            <v>0</v>
          </cell>
          <cell r="AK1050">
            <v>0</v>
          </cell>
          <cell r="AL1050">
            <v>0</v>
          </cell>
        </row>
        <row r="1051">
          <cell r="E1051" t="str">
            <v>HP 0.9mm-1C</v>
          </cell>
          <cell r="F1051" t="str">
            <v>ｍ</v>
          </cell>
          <cell r="G1051">
            <v>0</v>
          </cell>
          <cell r="H1051">
            <v>16.2</v>
          </cell>
          <cell r="I1051">
            <v>0</v>
          </cell>
          <cell r="J1051">
            <v>16.2</v>
          </cell>
          <cell r="K1051">
            <v>0</v>
          </cell>
          <cell r="L1051">
            <v>16.2</v>
          </cell>
          <cell r="M1051">
            <v>0</v>
          </cell>
          <cell r="N1051">
            <v>16.2</v>
          </cell>
          <cell r="O1051">
            <v>0</v>
          </cell>
          <cell r="P1051">
            <v>16.2</v>
          </cell>
          <cell r="Q1051">
            <v>0</v>
          </cell>
          <cell r="R1051">
            <v>16.2</v>
          </cell>
          <cell r="S1051">
            <v>0</v>
          </cell>
          <cell r="T1051">
            <v>16.2</v>
          </cell>
          <cell r="U1051">
            <v>0</v>
          </cell>
          <cell r="V1051">
            <v>16.2</v>
          </cell>
          <cell r="W1051">
            <v>0</v>
          </cell>
          <cell r="X1051">
            <v>16.2</v>
          </cell>
          <cell r="Y1051">
            <v>0</v>
          </cell>
          <cell r="Z1051">
            <v>16.2</v>
          </cell>
          <cell r="AA1051">
            <v>0</v>
          </cell>
          <cell r="AB1051">
            <v>0</v>
          </cell>
          <cell r="AC1051">
            <v>0</v>
          </cell>
          <cell r="AD1051">
            <v>1.2E-2</v>
          </cell>
          <cell r="AE1051">
            <v>0</v>
          </cell>
          <cell r="AF1051">
            <v>0</v>
          </cell>
          <cell r="AG1051">
            <v>0</v>
          </cell>
          <cell r="AH1051">
            <v>0</v>
          </cell>
          <cell r="AI1051">
            <v>0</v>
          </cell>
          <cell r="AJ1051">
            <v>0</v>
          </cell>
          <cell r="AK1051">
            <v>0</v>
          </cell>
          <cell r="AL1051">
            <v>0</v>
          </cell>
        </row>
        <row r="1052">
          <cell r="E1052" t="str">
            <v>HP 0.9mm-2C</v>
          </cell>
          <cell r="F1052" t="str">
            <v>ｍ</v>
          </cell>
          <cell r="G1052">
            <v>0</v>
          </cell>
          <cell r="H1052">
            <v>28.7</v>
          </cell>
          <cell r="I1052">
            <v>0</v>
          </cell>
          <cell r="J1052">
            <v>28.7</v>
          </cell>
          <cell r="K1052">
            <v>0</v>
          </cell>
          <cell r="L1052">
            <v>28.7</v>
          </cell>
          <cell r="M1052">
            <v>0</v>
          </cell>
          <cell r="N1052">
            <v>28.7</v>
          </cell>
          <cell r="O1052">
            <v>0</v>
          </cell>
          <cell r="P1052">
            <v>28.7</v>
          </cell>
          <cell r="Q1052">
            <v>0</v>
          </cell>
          <cell r="R1052">
            <v>28.7</v>
          </cell>
          <cell r="S1052">
            <v>0</v>
          </cell>
          <cell r="T1052">
            <v>28.7</v>
          </cell>
          <cell r="U1052">
            <v>0</v>
          </cell>
          <cell r="V1052">
            <v>28.7</v>
          </cell>
          <cell r="W1052">
            <v>0</v>
          </cell>
          <cell r="X1052">
            <v>28.7</v>
          </cell>
          <cell r="Y1052">
            <v>0</v>
          </cell>
          <cell r="Z1052">
            <v>28.7</v>
          </cell>
          <cell r="AA1052">
            <v>0</v>
          </cell>
          <cell r="AB1052">
            <v>0</v>
          </cell>
          <cell r="AC1052">
            <v>0</v>
          </cell>
          <cell r="AD1052">
            <v>1.4E-2</v>
          </cell>
          <cell r="AE1052">
            <v>0</v>
          </cell>
          <cell r="AF1052">
            <v>0</v>
          </cell>
          <cell r="AG1052">
            <v>0</v>
          </cell>
          <cell r="AH1052">
            <v>0</v>
          </cell>
          <cell r="AI1052">
            <v>0</v>
          </cell>
          <cell r="AJ1052">
            <v>0</v>
          </cell>
          <cell r="AK1052">
            <v>0</v>
          </cell>
          <cell r="AL1052">
            <v>0</v>
          </cell>
        </row>
        <row r="1053">
          <cell r="E1053" t="str">
            <v>HP 0.9mm-3C</v>
          </cell>
          <cell r="F1053" t="str">
            <v>ｍ</v>
          </cell>
          <cell r="G1053">
            <v>0</v>
          </cell>
          <cell r="H1053">
            <v>43</v>
          </cell>
          <cell r="I1053">
            <v>0</v>
          </cell>
          <cell r="J1053">
            <v>43</v>
          </cell>
          <cell r="K1053">
            <v>0</v>
          </cell>
          <cell r="L1053">
            <v>43</v>
          </cell>
          <cell r="M1053">
            <v>0</v>
          </cell>
          <cell r="N1053">
            <v>43</v>
          </cell>
          <cell r="O1053">
            <v>0</v>
          </cell>
          <cell r="P1053">
            <v>43</v>
          </cell>
          <cell r="Q1053">
            <v>0</v>
          </cell>
          <cell r="R1053">
            <v>43</v>
          </cell>
          <cell r="S1053">
            <v>0</v>
          </cell>
          <cell r="T1053">
            <v>43</v>
          </cell>
          <cell r="U1053">
            <v>0</v>
          </cell>
          <cell r="V1053">
            <v>43</v>
          </cell>
          <cell r="W1053">
            <v>0</v>
          </cell>
          <cell r="X1053">
            <v>43</v>
          </cell>
          <cell r="Y1053">
            <v>0</v>
          </cell>
          <cell r="Z1053">
            <v>43</v>
          </cell>
          <cell r="AA1053">
            <v>0</v>
          </cell>
          <cell r="AB1053">
            <v>0</v>
          </cell>
          <cell r="AC1053">
            <v>0</v>
          </cell>
          <cell r="AD1053">
            <v>1.6E-2</v>
          </cell>
          <cell r="AE1053">
            <v>0</v>
          </cell>
          <cell r="AF1053">
            <v>0</v>
          </cell>
          <cell r="AG1053">
            <v>0</v>
          </cell>
          <cell r="AH1053">
            <v>0</v>
          </cell>
          <cell r="AI1053">
            <v>0</v>
          </cell>
          <cell r="AJ1053">
            <v>0</v>
          </cell>
          <cell r="AK1053">
            <v>0</v>
          </cell>
          <cell r="AL1053">
            <v>0</v>
          </cell>
        </row>
        <row r="1054">
          <cell r="E1054" t="str">
            <v>HP 0.9mm-4C</v>
          </cell>
          <cell r="F1054" t="str">
            <v>ｍ</v>
          </cell>
          <cell r="G1054">
            <v>0</v>
          </cell>
          <cell r="H1054">
            <v>63.1</v>
          </cell>
          <cell r="I1054">
            <v>0</v>
          </cell>
          <cell r="J1054">
            <v>63.1</v>
          </cell>
          <cell r="K1054">
            <v>0</v>
          </cell>
          <cell r="L1054">
            <v>63.1</v>
          </cell>
          <cell r="M1054">
            <v>0</v>
          </cell>
          <cell r="N1054">
            <v>63.1</v>
          </cell>
          <cell r="O1054">
            <v>0</v>
          </cell>
          <cell r="P1054">
            <v>63.1</v>
          </cell>
          <cell r="Q1054">
            <v>0</v>
          </cell>
          <cell r="R1054">
            <v>63.1</v>
          </cell>
          <cell r="S1054">
            <v>0</v>
          </cell>
          <cell r="T1054">
            <v>63.1</v>
          </cell>
          <cell r="U1054">
            <v>0</v>
          </cell>
          <cell r="V1054">
            <v>63.1</v>
          </cell>
          <cell r="W1054">
            <v>0</v>
          </cell>
          <cell r="X1054">
            <v>63.1</v>
          </cell>
          <cell r="Y1054">
            <v>0</v>
          </cell>
          <cell r="Z1054">
            <v>63.1</v>
          </cell>
          <cell r="AA1054">
            <v>0</v>
          </cell>
          <cell r="AB1054">
            <v>0</v>
          </cell>
          <cell r="AC1054">
            <v>0</v>
          </cell>
          <cell r="AD1054">
            <v>1.7000000000000001E-2</v>
          </cell>
          <cell r="AE1054">
            <v>0</v>
          </cell>
          <cell r="AF1054">
            <v>0</v>
          </cell>
          <cell r="AG1054">
            <v>0</v>
          </cell>
          <cell r="AH1054">
            <v>0</v>
          </cell>
          <cell r="AI1054">
            <v>0</v>
          </cell>
          <cell r="AJ1054">
            <v>0</v>
          </cell>
          <cell r="AK1054">
            <v>0</v>
          </cell>
          <cell r="AL1054">
            <v>0</v>
          </cell>
        </row>
        <row r="1055">
          <cell r="E1055" t="str">
            <v>HP 0.9mm-5C</v>
          </cell>
          <cell r="F1055" t="str">
            <v>ｍ</v>
          </cell>
          <cell r="G1055">
            <v>0</v>
          </cell>
          <cell r="H1055">
            <v>78.900000000000006</v>
          </cell>
          <cell r="I1055">
            <v>0</v>
          </cell>
          <cell r="J1055">
            <v>78.900000000000006</v>
          </cell>
          <cell r="K1055">
            <v>0</v>
          </cell>
          <cell r="L1055">
            <v>78.900000000000006</v>
          </cell>
          <cell r="M1055">
            <v>0</v>
          </cell>
          <cell r="N1055">
            <v>78.900000000000006</v>
          </cell>
          <cell r="O1055">
            <v>0</v>
          </cell>
          <cell r="P1055">
            <v>78.900000000000006</v>
          </cell>
          <cell r="Q1055">
            <v>0</v>
          </cell>
          <cell r="R1055">
            <v>78.900000000000006</v>
          </cell>
          <cell r="S1055">
            <v>0</v>
          </cell>
          <cell r="T1055">
            <v>78.900000000000006</v>
          </cell>
          <cell r="U1055">
            <v>0</v>
          </cell>
          <cell r="V1055">
            <v>78.900000000000006</v>
          </cell>
          <cell r="W1055">
            <v>0</v>
          </cell>
          <cell r="X1055">
            <v>78.900000000000006</v>
          </cell>
          <cell r="Y1055">
            <v>0</v>
          </cell>
          <cell r="Z1055">
            <v>78.900000000000006</v>
          </cell>
          <cell r="AA1055">
            <v>0</v>
          </cell>
          <cell r="AB1055">
            <v>0</v>
          </cell>
          <cell r="AC1055">
            <v>0</v>
          </cell>
          <cell r="AD1055">
            <v>1.9E-2</v>
          </cell>
          <cell r="AE1055">
            <v>0</v>
          </cell>
          <cell r="AF1055">
            <v>0</v>
          </cell>
          <cell r="AG1055">
            <v>0</v>
          </cell>
          <cell r="AH1055">
            <v>0</v>
          </cell>
          <cell r="AI1055">
            <v>0</v>
          </cell>
          <cell r="AJ1055">
            <v>0</v>
          </cell>
          <cell r="AK1055">
            <v>0</v>
          </cell>
          <cell r="AL1055">
            <v>0</v>
          </cell>
        </row>
        <row r="1056">
          <cell r="E1056" t="str">
            <v>HP 0.9mm-6C</v>
          </cell>
          <cell r="F1056" t="str">
            <v>ｍ</v>
          </cell>
          <cell r="G1056">
            <v>0</v>
          </cell>
          <cell r="H1056">
            <v>90.2</v>
          </cell>
          <cell r="I1056">
            <v>0</v>
          </cell>
          <cell r="J1056">
            <v>90.2</v>
          </cell>
          <cell r="K1056">
            <v>0</v>
          </cell>
          <cell r="L1056">
            <v>90.2</v>
          </cell>
          <cell r="M1056">
            <v>0</v>
          </cell>
          <cell r="N1056">
            <v>90.2</v>
          </cell>
          <cell r="O1056">
            <v>0</v>
          </cell>
          <cell r="P1056">
            <v>90.2</v>
          </cell>
          <cell r="Q1056">
            <v>0</v>
          </cell>
          <cell r="R1056">
            <v>90.2</v>
          </cell>
          <cell r="S1056">
            <v>0</v>
          </cell>
          <cell r="T1056">
            <v>90.2</v>
          </cell>
          <cell r="U1056">
            <v>0</v>
          </cell>
          <cell r="V1056">
            <v>90.2</v>
          </cell>
          <cell r="W1056">
            <v>0</v>
          </cell>
          <cell r="X1056">
            <v>90.2</v>
          </cell>
          <cell r="Y1056">
            <v>0</v>
          </cell>
          <cell r="Z1056">
            <v>90.2</v>
          </cell>
          <cell r="AA1056">
            <v>0</v>
          </cell>
          <cell r="AB1056">
            <v>0</v>
          </cell>
          <cell r="AC1056">
            <v>0</v>
          </cell>
          <cell r="AD1056">
            <v>1.9E-2</v>
          </cell>
          <cell r="AE1056">
            <v>0</v>
          </cell>
          <cell r="AF1056">
            <v>0</v>
          </cell>
          <cell r="AG1056">
            <v>0</v>
          </cell>
          <cell r="AH1056">
            <v>0</v>
          </cell>
          <cell r="AI1056">
            <v>0</v>
          </cell>
          <cell r="AJ1056">
            <v>0</v>
          </cell>
          <cell r="AK1056">
            <v>0</v>
          </cell>
          <cell r="AL1056">
            <v>0</v>
          </cell>
        </row>
        <row r="1057">
          <cell r="E1057" t="str">
            <v>HP 0.9mm-7C</v>
          </cell>
          <cell r="F1057" t="str">
            <v>ｍ</v>
          </cell>
          <cell r="G1057">
            <v>0</v>
          </cell>
          <cell r="H1057">
            <v>105</v>
          </cell>
          <cell r="I1057">
            <v>0</v>
          </cell>
          <cell r="J1057">
            <v>105</v>
          </cell>
          <cell r="K1057">
            <v>0</v>
          </cell>
          <cell r="L1057">
            <v>105</v>
          </cell>
          <cell r="M1057">
            <v>0</v>
          </cell>
          <cell r="N1057">
            <v>105</v>
          </cell>
          <cell r="O1057">
            <v>0</v>
          </cell>
          <cell r="P1057">
            <v>105</v>
          </cell>
          <cell r="Q1057">
            <v>0</v>
          </cell>
          <cell r="R1057">
            <v>105</v>
          </cell>
          <cell r="S1057">
            <v>0</v>
          </cell>
          <cell r="T1057">
            <v>105</v>
          </cell>
          <cell r="U1057">
            <v>0</v>
          </cell>
          <cell r="V1057">
            <v>105</v>
          </cell>
          <cell r="W1057">
            <v>0</v>
          </cell>
          <cell r="X1057">
            <v>105</v>
          </cell>
          <cell r="Y1057">
            <v>0</v>
          </cell>
          <cell r="Z1057">
            <v>105</v>
          </cell>
          <cell r="AA1057">
            <v>0</v>
          </cell>
          <cell r="AB1057">
            <v>0</v>
          </cell>
          <cell r="AC1057">
            <v>0</v>
          </cell>
          <cell r="AD1057">
            <v>0.02</v>
          </cell>
          <cell r="AE1057">
            <v>0</v>
          </cell>
          <cell r="AF1057">
            <v>0</v>
          </cell>
          <cell r="AG1057">
            <v>0</v>
          </cell>
          <cell r="AH1057">
            <v>0</v>
          </cell>
          <cell r="AI1057">
            <v>0</v>
          </cell>
          <cell r="AJ1057">
            <v>0</v>
          </cell>
          <cell r="AK1057">
            <v>0</v>
          </cell>
          <cell r="AL1057">
            <v>0</v>
          </cell>
        </row>
        <row r="1058">
          <cell r="E1058" t="str">
            <v>HP 0.9mm-3Pr</v>
          </cell>
          <cell r="F1058" t="str">
            <v>ｍ</v>
          </cell>
          <cell r="G1058">
            <v>0</v>
          </cell>
          <cell r="H1058">
            <v>111</v>
          </cell>
          <cell r="I1058">
            <v>0</v>
          </cell>
          <cell r="J1058">
            <v>111</v>
          </cell>
          <cell r="K1058">
            <v>0</v>
          </cell>
          <cell r="L1058">
            <v>111</v>
          </cell>
          <cell r="M1058">
            <v>0</v>
          </cell>
          <cell r="N1058">
            <v>111</v>
          </cell>
          <cell r="O1058">
            <v>0</v>
          </cell>
          <cell r="P1058">
            <v>111</v>
          </cell>
          <cell r="Q1058">
            <v>0</v>
          </cell>
          <cell r="R1058">
            <v>111</v>
          </cell>
          <cell r="S1058">
            <v>0</v>
          </cell>
          <cell r="T1058">
            <v>111</v>
          </cell>
          <cell r="U1058">
            <v>0</v>
          </cell>
          <cell r="V1058">
            <v>111</v>
          </cell>
          <cell r="W1058">
            <v>0</v>
          </cell>
          <cell r="X1058">
            <v>111</v>
          </cell>
          <cell r="Y1058">
            <v>0</v>
          </cell>
          <cell r="Z1058">
            <v>111</v>
          </cell>
          <cell r="AA1058">
            <v>0</v>
          </cell>
          <cell r="AB1058">
            <v>0</v>
          </cell>
          <cell r="AC1058">
            <v>0</v>
          </cell>
          <cell r="AD1058">
            <v>2.1000000000000001E-2</v>
          </cell>
          <cell r="AE1058">
            <v>0</v>
          </cell>
          <cell r="AF1058">
            <v>0</v>
          </cell>
          <cell r="AG1058">
            <v>0</v>
          </cell>
          <cell r="AH1058">
            <v>0</v>
          </cell>
          <cell r="AI1058">
            <v>0</v>
          </cell>
          <cell r="AJ1058">
            <v>0</v>
          </cell>
          <cell r="AK1058">
            <v>0</v>
          </cell>
          <cell r="AL1058">
            <v>0</v>
          </cell>
        </row>
        <row r="1059">
          <cell r="E1059" t="str">
            <v>HP 0.9mm-5Pr</v>
          </cell>
          <cell r="F1059" t="str">
            <v>ｍ</v>
          </cell>
          <cell r="G1059">
            <v>0</v>
          </cell>
          <cell r="H1059">
            <v>154</v>
          </cell>
          <cell r="I1059">
            <v>0</v>
          </cell>
          <cell r="J1059">
            <v>154</v>
          </cell>
          <cell r="K1059">
            <v>0</v>
          </cell>
          <cell r="L1059">
            <v>154</v>
          </cell>
          <cell r="M1059">
            <v>0</v>
          </cell>
          <cell r="N1059">
            <v>154</v>
          </cell>
          <cell r="O1059">
            <v>0</v>
          </cell>
          <cell r="P1059">
            <v>154</v>
          </cell>
          <cell r="Q1059">
            <v>0</v>
          </cell>
          <cell r="R1059">
            <v>154</v>
          </cell>
          <cell r="S1059">
            <v>0</v>
          </cell>
          <cell r="T1059">
            <v>154</v>
          </cell>
          <cell r="U1059">
            <v>0</v>
          </cell>
          <cell r="V1059">
            <v>154</v>
          </cell>
          <cell r="W1059">
            <v>0</v>
          </cell>
          <cell r="X1059">
            <v>154</v>
          </cell>
          <cell r="Y1059">
            <v>0</v>
          </cell>
          <cell r="Z1059">
            <v>154</v>
          </cell>
          <cell r="AA1059">
            <v>0</v>
          </cell>
          <cell r="AB1059">
            <v>0</v>
          </cell>
          <cell r="AC1059">
            <v>0</v>
          </cell>
          <cell r="AD1059">
            <v>2.1999999999999999E-2</v>
          </cell>
          <cell r="AE1059">
            <v>0</v>
          </cell>
          <cell r="AF1059">
            <v>0</v>
          </cell>
          <cell r="AG1059">
            <v>0</v>
          </cell>
          <cell r="AH1059">
            <v>0</v>
          </cell>
          <cell r="AI1059">
            <v>0</v>
          </cell>
          <cell r="AJ1059">
            <v>0</v>
          </cell>
          <cell r="AK1059">
            <v>0</v>
          </cell>
          <cell r="AL1059">
            <v>0</v>
          </cell>
        </row>
        <row r="1060">
          <cell r="E1060" t="str">
            <v>HP 0.9mm-7Pr</v>
          </cell>
          <cell r="F1060" t="str">
            <v>ｍ</v>
          </cell>
          <cell r="G1060">
            <v>0</v>
          </cell>
          <cell r="H1060">
            <v>202</v>
          </cell>
          <cell r="I1060">
            <v>0</v>
          </cell>
          <cell r="J1060">
            <v>202</v>
          </cell>
          <cell r="K1060">
            <v>0</v>
          </cell>
          <cell r="L1060">
            <v>202</v>
          </cell>
          <cell r="M1060">
            <v>0</v>
          </cell>
          <cell r="N1060">
            <v>202</v>
          </cell>
          <cell r="O1060">
            <v>0</v>
          </cell>
          <cell r="P1060">
            <v>202</v>
          </cell>
          <cell r="Q1060">
            <v>0</v>
          </cell>
          <cell r="R1060">
            <v>202</v>
          </cell>
          <cell r="S1060">
            <v>0</v>
          </cell>
          <cell r="T1060">
            <v>202</v>
          </cell>
          <cell r="U1060">
            <v>0</v>
          </cell>
          <cell r="V1060">
            <v>202</v>
          </cell>
          <cell r="W1060">
            <v>0</v>
          </cell>
          <cell r="X1060">
            <v>202</v>
          </cell>
          <cell r="Y1060">
            <v>0</v>
          </cell>
          <cell r="Z1060">
            <v>202</v>
          </cell>
          <cell r="AA1060">
            <v>0</v>
          </cell>
          <cell r="AB1060">
            <v>0</v>
          </cell>
          <cell r="AC1060">
            <v>0</v>
          </cell>
          <cell r="AD1060">
            <v>2.3E-2</v>
          </cell>
          <cell r="AE1060">
            <v>0</v>
          </cell>
          <cell r="AF1060">
            <v>0</v>
          </cell>
          <cell r="AG1060">
            <v>0</v>
          </cell>
          <cell r="AH1060">
            <v>0</v>
          </cell>
          <cell r="AI1060">
            <v>0</v>
          </cell>
          <cell r="AJ1060">
            <v>0</v>
          </cell>
          <cell r="AK1060">
            <v>0</v>
          </cell>
          <cell r="AL1060">
            <v>0</v>
          </cell>
        </row>
        <row r="1061">
          <cell r="E1061" t="str">
            <v>HP 0.9mm- 10Pr</v>
          </cell>
          <cell r="F1061" t="str">
            <v>ｍ</v>
          </cell>
          <cell r="G1061">
            <v>0</v>
          </cell>
          <cell r="H1061">
            <v>290</v>
          </cell>
          <cell r="I1061">
            <v>0</v>
          </cell>
          <cell r="J1061">
            <v>290</v>
          </cell>
          <cell r="K1061">
            <v>0</v>
          </cell>
          <cell r="L1061">
            <v>290</v>
          </cell>
          <cell r="M1061">
            <v>0</v>
          </cell>
          <cell r="N1061">
            <v>290</v>
          </cell>
          <cell r="O1061">
            <v>0</v>
          </cell>
          <cell r="P1061">
            <v>290</v>
          </cell>
          <cell r="Q1061">
            <v>0</v>
          </cell>
          <cell r="R1061">
            <v>290</v>
          </cell>
          <cell r="S1061">
            <v>0</v>
          </cell>
          <cell r="T1061">
            <v>290</v>
          </cell>
          <cell r="U1061">
            <v>0</v>
          </cell>
          <cell r="V1061">
            <v>290</v>
          </cell>
          <cell r="W1061">
            <v>0</v>
          </cell>
          <cell r="X1061">
            <v>290</v>
          </cell>
          <cell r="Y1061">
            <v>0</v>
          </cell>
          <cell r="Z1061">
            <v>290</v>
          </cell>
          <cell r="AA1061">
            <v>0</v>
          </cell>
          <cell r="AB1061">
            <v>0</v>
          </cell>
          <cell r="AC1061">
            <v>0</v>
          </cell>
          <cell r="AD1061">
            <v>2.5000000000000001E-2</v>
          </cell>
          <cell r="AE1061">
            <v>0</v>
          </cell>
          <cell r="AF1061">
            <v>0</v>
          </cell>
          <cell r="AG1061">
            <v>0</v>
          </cell>
          <cell r="AH1061">
            <v>0</v>
          </cell>
          <cell r="AI1061">
            <v>0</v>
          </cell>
          <cell r="AJ1061">
            <v>0</v>
          </cell>
          <cell r="AK1061">
            <v>0</v>
          </cell>
          <cell r="AL1061">
            <v>0</v>
          </cell>
        </row>
        <row r="1062">
          <cell r="E1062" t="str">
            <v>HP 0.9mm- 15Pr</v>
          </cell>
          <cell r="F1062" t="str">
            <v>ｍ</v>
          </cell>
          <cell r="G1062">
            <v>0</v>
          </cell>
          <cell r="H1062">
            <v>426</v>
          </cell>
          <cell r="I1062">
            <v>0</v>
          </cell>
          <cell r="J1062">
            <v>426</v>
          </cell>
          <cell r="K1062">
            <v>0</v>
          </cell>
          <cell r="L1062">
            <v>426</v>
          </cell>
          <cell r="M1062">
            <v>0</v>
          </cell>
          <cell r="N1062">
            <v>426</v>
          </cell>
          <cell r="O1062">
            <v>0</v>
          </cell>
          <cell r="P1062">
            <v>426</v>
          </cell>
          <cell r="Q1062">
            <v>0</v>
          </cell>
          <cell r="R1062">
            <v>426</v>
          </cell>
          <cell r="S1062">
            <v>0</v>
          </cell>
          <cell r="T1062">
            <v>426</v>
          </cell>
          <cell r="U1062">
            <v>0</v>
          </cell>
          <cell r="V1062">
            <v>426</v>
          </cell>
          <cell r="W1062">
            <v>0</v>
          </cell>
          <cell r="X1062">
            <v>426</v>
          </cell>
          <cell r="Y1062">
            <v>0</v>
          </cell>
          <cell r="Z1062">
            <v>426</v>
          </cell>
          <cell r="AA1062">
            <v>0</v>
          </cell>
          <cell r="AB1062">
            <v>0</v>
          </cell>
          <cell r="AC1062">
            <v>0</v>
          </cell>
          <cell r="AD1062">
            <v>2.8000000000000001E-2</v>
          </cell>
          <cell r="AE1062">
            <v>0</v>
          </cell>
          <cell r="AF1062">
            <v>0</v>
          </cell>
          <cell r="AG1062">
            <v>0</v>
          </cell>
          <cell r="AH1062">
            <v>0</v>
          </cell>
          <cell r="AI1062">
            <v>0</v>
          </cell>
          <cell r="AJ1062">
            <v>0</v>
          </cell>
          <cell r="AK1062">
            <v>0</v>
          </cell>
          <cell r="AL1062">
            <v>0</v>
          </cell>
        </row>
        <row r="1063">
          <cell r="E1063" t="str">
            <v>HP 0.9mm- 20Pr</v>
          </cell>
          <cell r="F1063" t="str">
            <v>ｍ</v>
          </cell>
          <cell r="G1063">
            <v>0</v>
          </cell>
          <cell r="H1063">
            <v>546</v>
          </cell>
          <cell r="I1063">
            <v>0</v>
          </cell>
          <cell r="J1063">
            <v>546</v>
          </cell>
          <cell r="K1063">
            <v>0</v>
          </cell>
          <cell r="L1063">
            <v>546</v>
          </cell>
          <cell r="M1063">
            <v>0</v>
          </cell>
          <cell r="N1063">
            <v>546</v>
          </cell>
          <cell r="O1063">
            <v>0</v>
          </cell>
          <cell r="P1063">
            <v>546</v>
          </cell>
          <cell r="Q1063">
            <v>0</v>
          </cell>
          <cell r="R1063">
            <v>546</v>
          </cell>
          <cell r="S1063">
            <v>0</v>
          </cell>
          <cell r="T1063">
            <v>546</v>
          </cell>
          <cell r="U1063">
            <v>0</v>
          </cell>
          <cell r="V1063">
            <v>546</v>
          </cell>
          <cell r="W1063">
            <v>0</v>
          </cell>
          <cell r="X1063">
            <v>546</v>
          </cell>
          <cell r="Y1063">
            <v>0</v>
          </cell>
          <cell r="Z1063">
            <v>546</v>
          </cell>
          <cell r="AA1063">
            <v>0</v>
          </cell>
          <cell r="AB1063">
            <v>0</v>
          </cell>
          <cell r="AC1063">
            <v>0</v>
          </cell>
          <cell r="AD1063">
            <v>3.1E-2</v>
          </cell>
          <cell r="AE1063">
            <v>0</v>
          </cell>
          <cell r="AF1063">
            <v>0</v>
          </cell>
          <cell r="AG1063">
            <v>0</v>
          </cell>
          <cell r="AH1063">
            <v>0</v>
          </cell>
          <cell r="AI1063">
            <v>0</v>
          </cell>
          <cell r="AJ1063">
            <v>0</v>
          </cell>
          <cell r="AK1063">
            <v>0</v>
          </cell>
          <cell r="AL1063">
            <v>0</v>
          </cell>
        </row>
        <row r="1064">
          <cell r="E1064" t="str">
            <v>HP 0.9mm- 25Pr</v>
          </cell>
          <cell r="F1064" t="str">
            <v>ｍ</v>
          </cell>
          <cell r="G1064">
            <v>0</v>
          </cell>
          <cell r="H1064">
            <v>684</v>
          </cell>
          <cell r="I1064">
            <v>0</v>
          </cell>
          <cell r="J1064">
            <v>684</v>
          </cell>
          <cell r="K1064">
            <v>0</v>
          </cell>
          <cell r="L1064">
            <v>684</v>
          </cell>
          <cell r="M1064">
            <v>0</v>
          </cell>
          <cell r="N1064">
            <v>684</v>
          </cell>
          <cell r="O1064">
            <v>0</v>
          </cell>
          <cell r="P1064">
            <v>684</v>
          </cell>
          <cell r="Q1064">
            <v>0</v>
          </cell>
          <cell r="R1064">
            <v>684</v>
          </cell>
          <cell r="S1064">
            <v>0</v>
          </cell>
          <cell r="T1064">
            <v>684</v>
          </cell>
          <cell r="U1064">
            <v>0</v>
          </cell>
          <cell r="V1064">
            <v>684</v>
          </cell>
          <cell r="W1064">
            <v>0</v>
          </cell>
          <cell r="X1064">
            <v>684</v>
          </cell>
          <cell r="Y1064">
            <v>0</v>
          </cell>
          <cell r="Z1064">
            <v>684</v>
          </cell>
          <cell r="AA1064">
            <v>0</v>
          </cell>
          <cell r="AB1064">
            <v>0</v>
          </cell>
          <cell r="AC1064">
            <v>0</v>
          </cell>
          <cell r="AD1064">
            <v>3.5000000000000003E-2</v>
          </cell>
          <cell r="AE1064">
            <v>0</v>
          </cell>
          <cell r="AF1064">
            <v>0</v>
          </cell>
          <cell r="AG1064">
            <v>0</v>
          </cell>
          <cell r="AH1064">
            <v>0</v>
          </cell>
          <cell r="AI1064">
            <v>0</v>
          </cell>
          <cell r="AJ1064">
            <v>0</v>
          </cell>
          <cell r="AK1064">
            <v>0</v>
          </cell>
          <cell r="AL1064">
            <v>0</v>
          </cell>
        </row>
        <row r="1065">
          <cell r="E1065" t="str">
            <v>HP 0.9mm- 30Pr</v>
          </cell>
          <cell r="F1065" t="str">
            <v>ｍ</v>
          </cell>
          <cell r="G1065">
            <v>0</v>
          </cell>
          <cell r="H1065">
            <v>812</v>
          </cell>
          <cell r="I1065">
            <v>0</v>
          </cell>
          <cell r="J1065">
            <v>812</v>
          </cell>
          <cell r="K1065">
            <v>0</v>
          </cell>
          <cell r="L1065">
            <v>812</v>
          </cell>
          <cell r="M1065">
            <v>0</v>
          </cell>
          <cell r="N1065">
            <v>812</v>
          </cell>
          <cell r="O1065">
            <v>0</v>
          </cell>
          <cell r="P1065">
            <v>812</v>
          </cell>
          <cell r="Q1065">
            <v>0</v>
          </cell>
          <cell r="R1065">
            <v>812</v>
          </cell>
          <cell r="S1065">
            <v>0</v>
          </cell>
          <cell r="T1065">
            <v>812</v>
          </cell>
          <cell r="U1065">
            <v>0</v>
          </cell>
          <cell r="V1065">
            <v>812</v>
          </cell>
          <cell r="W1065">
            <v>0</v>
          </cell>
          <cell r="X1065">
            <v>812</v>
          </cell>
          <cell r="Y1065">
            <v>0</v>
          </cell>
          <cell r="Z1065">
            <v>812</v>
          </cell>
          <cell r="AA1065">
            <v>0</v>
          </cell>
          <cell r="AB1065">
            <v>0</v>
          </cell>
          <cell r="AC1065">
            <v>0</v>
          </cell>
          <cell r="AD1065">
            <v>3.6999999999999998E-2</v>
          </cell>
          <cell r="AE1065">
            <v>0</v>
          </cell>
          <cell r="AF1065">
            <v>0</v>
          </cell>
          <cell r="AG1065">
            <v>0</v>
          </cell>
          <cell r="AH1065">
            <v>0</v>
          </cell>
          <cell r="AI1065">
            <v>0</v>
          </cell>
          <cell r="AJ1065">
            <v>0</v>
          </cell>
          <cell r="AK1065">
            <v>0</v>
          </cell>
          <cell r="AL1065">
            <v>0</v>
          </cell>
        </row>
        <row r="1066">
          <cell r="E1066" t="str">
            <v>HP 0.9mm- 40Pr</v>
          </cell>
          <cell r="F1066" t="str">
            <v>ｍ</v>
          </cell>
          <cell r="G1066">
            <v>0</v>
          </cell>
          <cell r="H1066">
            <v>1128</v>
          </cell>
          <cell r="I1066">
            <v>0</v>
          </cell>
          <cell r="J1066">
            <v>1128</v>
          </cell>
          <cell r="K1066">
            <v>0</v>
          </cell>
          <cell r="L1066">
            <v>1128</v>
          </cell>
          <cell r="M1066">
            <v>0</v>
          </cell>
          <cell r="N1066">
            <v>1128</v>
          </cell>
          <cell r="O1066">
            <v>0</v>
          </cell>
          <cell r="P1066">
            <v>1128</v>
          </cell>
          <cell r="Q1066">
            <v>0</v>
          </cell>
          <cell r="R1066">
            <v>1128</v>
          </cell>
          <cell r="S1066">
            <v>0</v>
          </cell>
          <cell r="T1066">
            <v>1128</v>
          </cell>
          <cell r="U1066">
            <v>0</v>
          </cell>
          <cell r="V1066">
            <v>1128</v>
          </cell>
          <cell r="W1066">
            <v>0</v>
          </cell>
          <cell r="X1066">
            <v>1128</v>
          </cell>
          <cell r="Y1066">
            <v>0</v>
          </cell>
          <cell r="Z1066">
            <v>1128</v>
          </cell>
          <cell r="AA1066">
            <v>0</v>
          </cell>
          <cell r="AB1066">
            <v>0</v>
          </cell>
          <cell r="AC1066">
            <v>0</v>
          </cell>
          <cell r="AD1066">
            <v>4.2999999999999997E-2</v>
          </cell>
          <cell r="AE1066">
            <v>0</v>
          </cell>
          <cell r="AF1066">
            <v>0</v>
          </cell>
          <cell r="AG1066">
            <v>0</v>
          </cell>
          <cell r="AH1066">
            <v>0</v>
          </cell>
          <cell r="AI1066">
            <v>0</v>
          </cell>
          <cell r="AJ1066">
            <v>0</v>
          </cell>
          <cell r="AK1066">
            <v>0</v>
          </cell>
          <cell r="AL1066">
            <v>0</v>
          </cell>
        </row>
        <row r="1067">
          <cell r="E1067" t="str">
            <v>HP 0.9mm- 50Pr</v>
          </cell>
          <cell r="F1067" t="str">
            <v>ｍ</v>
          </cell>
          <cell r="G1067">
            <v>0</v>
          </cell>
          <cell r="H1067">
            <v>1318</v>
          </cell>
          <cell r="I1067">
            <v>0</v>
          </cell>
          <cell r="J1067">
            <v>1318</v>
          </cell>
          <cell r="K1067">
            <v>0</v>
          </cell>
          <cell r="L1067">
            <v>1318</v>
          </cell>
          <cell r="M1067">
            <v>0</v>
          </cell>
          <cell r="N1067">
            <v>1318</v>
          </cell>
          <cell r="O1067">
            <v>0</v>
          </cell>
          <cell r="P1067">
            <v>1318</v>
          </cell>
          <cell r="Q1067">
            <v>0</v>
          </cell>
          <cell r="R1067">
            <v>1318</v>
          </cell>
          <cell r="S1067">
            <v>0</v>
          </cell>
          <cell r="T1067">
            <v>1318</v>
          </cell>
          <cell r="U1067">
            <v>0</v>
          </cell>
          <cell r="V1067">
            <v>1318</v>
          </cell>
          <cell r="W1067">
            <v>0</v>
          </cell>
          <cell r="X1067">
            <v>1318</v>
          </cell>
          <cell r="Y1067">
            <v>0</v>
          </cell>
          <cell r="Z1067">
            <v>1318</v>
          </cell>
          <cell r="AA1067">
            <v>0</v>
          </cell>
          <cell r="AB1067">
            <v>0</v>
          </cell>
          <cell r="AC1067">
            <v>0</v>
          </cell>
          <cell r="AD1067">
            <v>0.05</v>
          </cell>
          <cell r="AE1067">
            <v>0</v>
          </cell>
          <cell r="AF1067">
            <v>0</v>
          </cell>
          <cell r="AG1067">
            <v>0</v>
          </cell>
          <cell r="AH1067">
            <v>0</v>
          </cell>
          <cell r="AI1067">
            <v>0</v>
          </cell>
          <cell r="AJ1067">
            <v>0</v>
          </cell>
          <cell r="AK1067">
            <v>0</v>
          </cell>
          <cell r="AL1067">
            <v>0</v>
          </cell>
        </row>
        <row r="1068">
          <cell r="E1068" t="str">
            <v>HP 0.9mm- 75Pr</v>
          </cell>
          <cell r="F1068" t="str">
            <v>ｍ</v>
          </cell>
          <cell r="G1068">
            <v>0</v>
          </cell>
          <cell r="H1068">
            <v>2127</v>
          </cell>
          <cell r="I1068">
            <v>0</v>
          </cell>
          <cell r="J1068">
            <v>2127</v>
          </cell>
          <cell r="K1068">
            <v>0</v>
          </cell>
          <cell r="L1068">
            <v>2127</v>
          </cell>
          <cell r="M1068">
            <v>0</v>
          </cell>
          <cell r="N1068">
            <v>2127</v>
          </cell>
          <cell r="O1068">
            <v>0</v>
          </cell>
          <cell r="P1068">
            <v>2127</v>
          </cell>
          <cell r="Q1068">
            <v>0</v>
          </cell>
          <cell r="R1068">
            <v>2127</v>
          </cell>
          <cell r="S1068">
            <v>0</v>
          </cell>
          <cell r="T1068">
            <v>2127</v>
          </cell>
          <cell r="U1068">
            <v>0</v>
          </cell>
          <cell r="V1068">
            <v>2127</v>
          </cell>
          <cell r="W1068">
            <v>0</v>
          </cell>
          <cell r="X1068">
            <v>2127</v>
          </cell>
          <cell r="Y1068">
            <v>0</v>
          </cell>
          <cell r="Z1068">
            <v>2127</v>
          </cell>
          <cell r="AA1068">
            <v>0</v>
          </cell>
          <cell r="AB1068">
            <v>0</v>
          </cell>
          <cell r="AC1068">
            <v>0</v>
          </cell>
          <cell r="AD1068">
            <v>6.6000000000000003E-2</v>
          </cell>
          <cell r="AE1068">
            <v>0</v>
          </cell>
          <cell r="AF1068">
            <v>0</v>
          </cell>
          <cell r="AG1068">
            <v>0</v>
          </cell>
          <cell r="AH1068">
            <v>0</v>
          </cell>
          <cell r="AI1068">
            <v>0</v>
          </cell>
          <cell r="AJ1068">
            <v>0</v>
          </cell>
          <cell r="AK1068">
            <v>0</v>
          </cell>
          <cell r="AL1068">
            <v>0</v>
          </cell>
        </row>
        <row r="1069">
          <cell r="E1069" t="str">
            <v>HP 0.9mm-100Pr</v>
          </cell>
          <cell r="F1069" t="str">
            <v>ｍ</v>
          </cell>
          <cell r="G1069">
            <v>0</v>
          </cell>
          <cell r="H1069">
            <v>2737</v>
          </cell>
          <cell r="I1069">
            <v>0</v>
          </cell>
          <cell r="J1069">
            <v>2737</v>
          </cell>
          <cell r="K1069">
            <v>0</v>
          </cell>
          <cell r="L1069">
            <v>2737</v>
          </cell>
          <cell r="M1069">
            <v>0</v>
          </cell>
          <cell r="N1069">
            <v>2737</v>
          </cell>
          <cell r="O1069">
            <v>0</v>
          </cell>
          <cell r="P1069">
            <v>2737</v>
          </cell>
          <cell r="Q1069">
            <v>0</v>
          </cell>
          <cell r="R1069">
            <v>2737</v>
          </cell>
          <cell r="S1069">
            <v>0</v>
          </cell>
          <cell r="T1069">
            <v>2737</v>
          </cell>
          <cell r="U1069">
            <v>0</v>
          </cell>
          <cell r="V1069">
            <v>2737</v>
          </cell>
          <cell r="W1069">
            <v>0</v>
          </cell>
          <cell r="X1069">
            <v>2737</v>
          </cell>
          <cell r="Y1069">
            <v>0</v>
          </cell>
          <cell r="Z1069">
            <v>2737</v>
          </cell>
          <cell r="AA1069">
            <v>0</v>
          </cell>
          <cell r="AB1069">
            <v>0</v>
          </cell>
          <cell r="AC1069">
            <v>0</v>
          </cell>
          <cell r="AD1069">
            <v>8.3000000000000004E-2</v>
          </cell>
          <cell r="AE1069">
            <v>0</v>
          </cell>
          <cell r="AF1069">
            <v>0</v>
          </cell>
          <cell r="AG1069">
            <v>0</v>
          </cell>
          <cell r="AH1069">
            <v>0</v>
          </cell>
          <cell r="AI1069">
            <v>0</v>
          </cell>
          <cell r="AJ1069">
            <v>0</v>
          </cell>
          <cell r="AK1069">
            <v>0</v>
          </cell>
          <cell r="AL1069">
            <v>0</v>
          </cell>
        </row>
        <row r="1070">
          <cell r="E1070" t="str">
            <v>HP 0.9mm-200Pr</v>
          </cell>
          <cell r="F1070" t="str">
            <v>ｍ</v>
          </cell>
          <cell r="G1070">
            <v>0</v>
          </cell>
          <cell r="H1070">
            <v>5110</v>
          </cell>
          <cell r="I1070">
            <v>0</v>
          </cell>
          <cell r="J1070">
            <v>5110</v>
          </cell>
          <cell r="K1070">
            <v>0</v>
          </cell>
          <cell r="L1070">
            <v>5110</v>
          </cell>
          <cell r="M1070">
            <v>0</v>
          </cell>
          <cell r="N1070">
            <v>5110</v>
          </cell>
          <cell r="O1070">
            <v>0</v>
          </cell>
          <cell r="P1070">
            <v>5110</v>
          </cell>
          <cell r="Q1070">
            <v>0</v>
          </cell>
          <cell r="R1070">
            <v>5110</v>
          </cell>
          <cell r="S1070">
            <v>0</v>
          </cell>
          <cell r="T1070">
            <v>5110</v>
          </cell>
          <cell r="U1070">
            <v>0</v>
          </cell>
          <cell r="V1070">
            <v>5110</v>
          </cell>
          <cell r="W1070">
            <v>0</v>
          </cell>
          <cell r="X1070">
            <v>5110</v>
          </cell>
          <cell r="Y1070">
            <v>0</v>
          </cell>
          <cell r="Z1070">
            <v>5110</v>
          </cell>
          <cell r="AA1070">
            <v>0</v>
          </cell>
          <cell r="AB1070">
            <v>0</v>
          </cell>
          <cell r="AC1070">
            <v>0</v>
          </cell>
          <cell r="AD1070">
            <v>0.123</v>
          </cell>
          <cell r="AE1070">
            <v>0</v>
          </cell>
          <cell r="AF1070">
            <v>0</v>
          </cell>
          <cell r="AG1070">
            <v>0</v>
          </cell>
          <cell r="AH1070">
            <v>0</v>
          </cell>
          <cell r="AI1070">
            <v>0</v>
          </cell>
          <cell r="AJ1070">
            <v>0</v>
          </cell>
          <cell r="AK1070">
            <v>0</v>
          </cell>
          <cell r="AL1070">
            <v>0</v>
          </cell>
        </row>
        <row r="1071">
          <cell r="E1071" t="str">
            <v>HP 1.2mm-1C</v>
          </cell>
          <cell r="F1071" t="str">
            <v>ｍ</v>
          </cell>
          <cell r="G1071">
            <v>0</v>
          </cell>
          <cell r="H1071">
            <v>29.5</v>
          </cell>
          <cell r="I1071">
            <v>0</v>
          </cell>
          <cell r="J1071">
            <v>29.5</v>
          </cell>
          <cell r="K1071">
            <v>0</v>
          </cell>
          <cell r="L1071">
            <v>29.5</v>
          </cell>
          <cell r="M1071">
            <v>0</v>
          </cell>
          <cell r="N1071">
            <v>29.5</v>
          </cell>
          <cell r="O1071">
            <v>0</v>
          </cell>
          <cell r="P1071">
            <v>29.5</v>
          </cell>
          <cell r="Q1071">
            <v>0</v>
          </cell>
          <cell r="R1071">
            <v>29.5</v>
          </cell>
          <cell r="S1071">
            <v>0</v>
          </cell>
          <cell r="T1071">
            <v>29.5</v>
          </cell>
          <cell r="U1071">
            <v>0</v>
          </cell>
          <cell r="V1071">
            <v>29.5</v>
          </cell>
          <cell r="W1071">
            <v>0</v>
          </cell>
          <cell r="X1071">
            <v>29.5</v>
          </cell>
          <cell r="Y1071">
            <v>0</v>
          </cell>
          <cell r="Z1071">
            <v>29.5</v>
          </cell>
          <cell r="AA1071">
            <v>0</v>
          </cell>
          <cell r="AB1071">
            <v>0</v>
          </cell>
          <cell r="AC1071">
            <v>0</v>
          </cell>
          <cell r="AD1071">
            <v>1.4E-2</v>
          </cell>
          <cell r="AE1071">
            <v>0</v>
          </cell>
          <cell r="AF1071">
            <v>0</v>
          </cell>
          <cell r="AG1071">
            <v>0</v>
          </cell>
          <cell r="AH1071">
            <v>0</v>
          </cell>
          <cell r="AI1071">
            <v>0</v>
          </cell>
          <cell r="AJ1071">
            <v>0</v>
          </cell>
          <cell r="AK1071">
            <v>0</v>
          </cell>
          <cell r="AL1071">
            <v>0</v>
          </cell>
        </row>
        <row r="1072">
          <cell r="E1072" t="str">
            <v>HP 1.2mm-2C</v>
          </cell>
          <cell r="F1072" t="str">
            <v>ｍ</v>
          </cell>
          <cell r="G1072">
            <v>0</v>
          </cell>
          <cell r="H1072">
            <v>45.6</v>
          </cell>
          <cell r="I1072">
            <v>0</v>
          </cell>
          <cell r="J1072">
            <v>45.6</v>
          </cell>
          <cell r="K1072">
            <v>0</v>
          </cell>
          <cell r="L1072">
            <v>45.6</v>
          </cell>
          <cell r="M1072">
            <v>0</v>
          </cell>
          <cell r="N1072">
            <v>45.6</v>
          </cell>
          <cell r="O1072">
            <v>0</v>
          </cell>
          <cell r="P1072">
            <v>45.6</v>
          </cell>
          <cell r="Q1072">
            <v>0</v>
          </cell>
          <cell r="R1072">
            <v>45.6</v>
          </cell>
          <cell r="S1072">
            <v>0</v>
          </cell>
          <cell r="T1072">
            <v>45.6</v>
          </cell>
          <cell r="U1072">
            <v>0</v>
          </cell>
          <cell r="V1072">
            <v>45.6</v>
          </cell>
          <cell r="W1072">
            <v>0</v>
          </cell>
          <cell r="X1072">
            <v>45.6</v>
          </cell>
          <cell r="Y1072">
            <v>0</v>
          </cell>
          <cell r="Z1072">
            <v>45.6</v>
          </cell>
          <cell r="AA1072">
            <v>0</v>
          </cell>
          <cell r="AB1072">
            <v>0</v>
          </cell>
          <cell r="AC1072">
            <v>0</v>
          </cell>
          <cell r="AD1072">
            <v>1.4999999999999999E-2</v>
          </cell>
          <cell r="AE1072">
            <v>0</v>
          </cell>
          <cell r="AF1072">
            <v>0</v>
          </cell>
          <cell r="AG1072">
            <v>0</v>
          </cell>
          <cell r="AH1072">
            <v>0</v>
          </cell>
          <cell r="AI1072">
            <v>0</v>
          </cell>
          <cell r="AJ1072">
            <v>0</v>
          </cell>
          <cell r="AK1072">
            <v>0</v>
          </cell>
          <cell r="AL1072">
            <v>0</v>
          </cell>
        </row>
        <row r="1073">
          <cell r="E1073" t="str">
            <v>HP 1.2mm-3C</v>
          </cell>
          <cell r="F1073" t="str">
            <v>ｍ</v>
          </cell>
          <cell r="G1073">
            <v>0</v>
          </cell>
          <cell r="H1073">
            <v>66.599999999999994</v>
          </cell>
          <cell r="I1073">
            <v>0</v>
          </cell>
          <cell r="J1073">
            <v>66.599999999999994</v>
          </cell>
          <cell r="K1073">
            <v>0</v>
          </cell>
          <cell r="L1073">
            <v>66.599999999999994</v>
          </cell>
          <cell r="M1073">
            <v>0</v>
          </cell>
          <cell r="N1073">
            <v>66.599999999999994</v>
          </cell>
          <cell r="O1073">
            <v>0</v>
          </cell>
          <cell r="P1073">
            <v>66.599999999999994</v>
          </cell>
          <cell r="Q1073">
            <v>0</v>
          </cell>
          <cell r="R1073">
            <v>66.599999999999994</v>
          </cell>
          <cell r="S1073">
            <v>0</v>
          </cell>
          <cell r="T1073">
            <v>66.599999999999994</v>
          </cell>
          <cell r="U1073">
            <v>0</v>
          </cell>
          <cell r="V1073">
            <v>66.599999999999994</v>
          </cell>
          <cell r="W1073">
            <v>0</v>
          </cell>
          <cell r="X1073">
            <v>66.599999999999994</v>
          </cell>
          <cell r="Y1073">
            <v>0</v>
          </cell>
          <cell r="Z1073">
            <v>66.599999999999994</v>
          </cell>
          <cell r="AA1073">
            <v>0</v>
          </cell>
          <cell r="AB1073">
            <v>0</v>
          </cell>
          <cell r="AC1073">
            <v>0</v>
          </cell>
          <cell r="AD1073">
            <v>1.7000000000000001E-2</v>
          </cell>
          <cell r="AE1073">
            <v>0</v>
          </cell>
          <cell r="AF1073">
            <v>0</v>
          </cell>
          <cell r="AG1073">
            <v>0</v>
          </cell>
          <cell r="AH1073">
            <v>0</v>
          </cell>
          <cell r="AI1073">
            <v>0</v>
          </cell>
          <cell r="AJ1073">
            <v>0</v>
          </cell>
          <cell r="AK1073">
            <v>0</v>
          </cell>
          <cell r="AL1073">
            <v>0</v>
          </cell>
        </row>
        <row r="1074">
          <cell r="E1074" t="str">
            <v>HP 1.2mm-4C</v>
          </cell>
          <cell r="F1074" t="str">
            <v>ｍ</v>
          </cell>
          <cell r="G1074">
            <v>0</v>
          </cell>
          <cell r="H1074">
            <v>89.1</v>
          </cell>
          <cell r="I1074">
            <v>0</v>
          </cell>
          <cell r="J1074">
            <v>89.1</v>
          </cell>
          <cell r="K1074">
            <v>0</v>
          </cell>
          <cell r="L1074">
            <v>89.1</v>
          </cell>
          <cell r="M1074">
            <v>0</v>
          </cell>
          <cell r="N1074">
            <v>89.1</v>
          </cell>
          <cell r="O1074">
            <v>0</v>
          </cell>
          <cell r="P1074">
            <v>89.1</v>
          </cell>
          <cell r="Q1074">
            <v>0</v>
          </cell>
          <cell r="R1074">
            <v>89.1</v>
          </cell>
          <cell r="S1074">
            <v>0</v>
          </cell>
          <cell r="T1074">
            <v>89.1</v>
          </cell>
          <cell r="U1074">
            <v>0</v>
          </cell>
          <cell r="V1074">
            <v>89.1</v>
          </cell>
          <cell r="W1074">
            <v>0</v>
          </cell>
          <cell r="X1074">
            <v>89.1</v>
          </cell>
          <cell r="Y1074">
            <v>0</v>
          </cell>
          <cell r="Z1074">
            <v>89.1</v>
          </cell>
          <cell r="AA1074">
            <v>0</v>
          </cell>
          <cell r="AB1074">
            <v>0</v>
          </cell>
          <cell r="AC1074">
            <v>0</v>
          </cell>
          <cell r="AD1074">
            <v>1.7999999999999999E-2</v>
          </cell>
          <cell r="AE1074">
            <v>0</v>
          </cell>
          <cell r="AF1074">
            <v>0</v>
          </cell>
          <cell r="AG1074">
            <v>0</v>
          </cell>
          <cell r="AH1074">
            <v>0</v>
          </cell>
          <cell r="AI1074">
            <v>0</v>
          </cell>
          <cell r="AJ1074">
            <v>0</v>
          </cell>
          <cell r="AK1074">
            <v>0</v>
          </cell>
          <cell r="AL1074">
            <v>0</v>
          </cell>
        </row>
        <row r="1075">
          <cell r="E1075" t="str">
            <v>HP 1.2mm-5C</v>
          </cell>
          <cell r="F1075" t="str">
            <v>ｍ</v>
          </cell>
          <cell r="G1075">
            <v>0</v>
          </cell>
          <cell r="H1075">
            <v>113</v>
          </cell>
          <cell r="I1075">
            <v>0</v>
          </cell>
          <cell r="J1075">
            <v>113</v>
          </cell>
          <cell r="K1075">
            <v>0</v>
          </cell>
          <cell r="L1075">
            <v>113</v>
          </cell>
          <cell r="M1075">
            <v>0</v>
          </cell>
          <cell r="N1075">
            <v>113</v>
          </cell>
          <cell r="O1075">
            <v>0</v>
          </cell>
          <cell r="P1075">
            <v>113</v>
          </cell>
          <cell r="Q1075">
            <v>0</v>
          </cell>
          <cell r="R1075">
            <v>113</v>
          </cell>
          <cell r="S1075">
            <v>0</v>
          </cell>
          <cell r="T1075">
            <v>113</v>
          </cell>
          <cell r="U1075">
            <v>0</v>
          </cell>
          <cell r="V1075">
            <v>113</v>
          </cell>
          <cell r="W1075">
            <v>0</v>
          </cell>
          <cell r="X1075">
            <v>113</v>
          </cell>
          <cell r="Y1075">
            <v>0</v>
          </cell>
          <cell r="Z1075">
            <v>113</v>
          </cell>
          <cell r="AA1075">
            <v>0</v>
          </cell>
          <cell r="AB1075">
            <v>0</v>
          </cell>
          <cell r="AC1075">
            <v>0</v>
          </cell>
          <cell r="AD1075">
            <v>0.02</v>
          </cell>
          <cell r="AE1075">
            <v>0</v>
          </cell>
          <cell r="AF1075">
            <v>0</v>
          </cell>
          <cell r="AG1075">
            <v>0</v>
          </cell>
          <cell r="AH1075">
            <v>0</v>
          </cell>
          <cell r="AI1075">
            <v>0</v>
          </cell>
          <cell r="AJ1075">
            <v>0</v>
          </cell>
          <cell r="AK1075">
            <v>0</v>
          </cell>
          <cell r="AL1075">
            <v>0</v>
          </cell>
        </row>
        <row r="1076">
          <cell r="E1076" t="str">
            <v>HP 1.2mm-6C</v>
          </cell>
          <cell r="F1076" t="str">
            <v>ｍ</v>
          </cell>
          <cell r="G1076">
            <v>0</v>
          </cell>
          <cell r="H1076">
            <v>129</v>
          </cell>
          <cell r="I1076">
            <v>0</v>
          </cell>
          <cell r="J1076">
            <v>129</v>
          </cell>
          <cell r="K1076">
            <v>0</v>
          </cell>
          <cell r="L1076">
            <v>129</v>
          </cell>
          <cell r="M1076">
            <v>0</v>
          </cell>
          <cell r="N1076">
            <v>129</v>
          </cell>
          <cell r="O1076">
            <v>0</v>
          </cell>
          <cell r="P1076">
            <v>129</v>
          </cell>
          <cell r="Q1076">
            <v>0</v>
          </cell>
          <cell r="R1076">
            <v>129</v>
          </cell>
          <cell r="S1076">
            <v>0</v>
          </cell>
          <cell r="T1076">
            <v>129</v>
          </cell>
          <cell r="U1076">
            <v>0</v>
          </cell>
          <cell r="V1076">
            <v>129</v>
          </cell>
          <cell r="W1076">
            <v>0</v>
          </cell>
          <cell r="X1076">
            <v>129</v>
          </cell>
          <cell r="Y1076">
            <v>0</v>
          </cell>
          <cell r="Z1076">
            <v>129</v>
          </cell>
          <cell r="AA1076">
            <v>0</v>
          </cell>
          <cell r="AB1076">
            <v>0</v>
          </cell>
          <cell r="AC1076">
            <v>0</v>
          </cell>
          <cell r="AD1076">
            <v>0.02</v>
          </cell>
          <cell r="AE1076">
            <v>0</v>
          </cell>
          <cell r="AF1076">
            <v>0</v>
          </cell>
          <cell r="AG1076">
            <v>0</v>
          </cell>
          <cell r="AH1076">
            <v>0</v>
          </cell>
          <cell r="AI1076">
            <v>0</v>
          </cell>
          <cell r="AJ1076">
            <v>0</v>
          </cell>
          <cell r="AK1076">
            <v>0</v>
          </cell>
          <cell r="AL1076">
            <v>0</v>
          </cell>
        </row>
        <row r="1077">
          <cell r="E1077" t="str">
            <v>HP 1.2mm-7C</v>
          </cell>
          <cell r="F1077" t="str">
            <v>ｍ</v>
          </cell>
          <cell r="G1077">
            <v>0</v>
          </cell>
          <cell r="H1077">
            <v>154</v>
          </cell>
          <cell r="I1077">
            <v>0</v>
          </cell>
          <cell r="J1077">
            <v>154</v>
          </cell>
          <cell r="K1077">
            <v>0</v>
          </cell>
          <cell r="L1077">
            <v>154</v>
          </cell>
          <cell r="M1077">
            <v>0</v>
          </cell>
          <cell r="N1077">
            <v>154</v>
          </cell>
          <cell r="O1077">
            <v>0</v>
          </cell>
          <cell r="P1077">
            <v>154</v>
          </cell>
          <cell r="Q1077">
            <v>0</v>
          </cell>
          <cell r="R1077">
            <v>154</v>
          </cell>
          <cell r="S1077">
            <v>0</v>
          </cell>
          <cell r="T1077">
            <v>154</v>
          </cell>
          <cell r="U1077">
            <v>0</v>
          </cell>
          <cell r="V1077">
            <v>154</v>
          </cell>
          <cell r="W1077">
            <v>0</v>
          </cell>
          <cell r="X1077">
            <v>154</v>
          </cell>
          <cell r="Y1077">
            <v>0</v>
          </cell>
          <cell r="Z1077">
            <v>154</v>
          </cell>
          <cell r="AA1077">
            <v>0</v>
          </cell>
          <cell r="AB1077">
            <v>0</v>
          </cell>
          <cell r="AC1077">
            <v>0</v>
          </cell>
          <cell r="AD1077">
            <v>2.1999999999999999E-2</v>
          </cell>
          <cell r="AE1077">
            <v>0</v>
          </cell>
          <cell r="AF1077">
            <v>0</v>
          </cell>
          <cell r="AG1077">
            <v>0</v>
          </cell>
          <cell r="AH1077">
            <v>0</v>
          </cell>
          <cell r="AI1077">
            <v>0</v>
          </cell>
          <cell r="AJ1077">
            <v>0</v>
          </cell>
          <cell r="AK1077">
            <v>0</v>
          </cell>
          <cell r="AL1077">
            <v>0</v>
          </cell>
        </row>
        <row r="1078">
          <cell r="E1078" t="str">
            <v>HP 1.2mm-3Pr</v>
          </cell>
          <cell r="F1078" t="str">
            <v>ｍ</v>
          </cell>
          <cell r="G1078">
            <v>0</v>
          </cell>
          <cell r="H1078">
            <v>162</v>
          </cell>
          <cell r="I1078">
            <v>0</v>
          </cell>
          <cell r="J1078">
            <v>162</v>
          </cell>
          <cell r="K1078">
            <v>0</v>
          </cell>
          <cell r="L1078">
            <v>162</v>
          </cell>
          <cell r="M1078">
            <v>0</v>
          </cell>
          <cell r="N1078">
            <v>162</v>
          </cell>
          <cell r="O1078">
            <v>0</v>
          </cell>
          <cell r="P1078">
            <v>162</v>
          </cell>
          <cell r="Q1078">
            <v>0</v>
          </cell>
          <cell r="R1078">
            <v>162</v>
          </cell>
          <cell r="S1078">
            <v>0</v>
          </cell>
          <cell r="T1078">
            <v>162</v>
          </cell>
          <cell r="U1078">
            <v>0</v>
          </cell>
          <cell r="V1078">
            <v>162</v>
          </cell>
          <cell r="W1078">
            <v>0</v>
          </cell>
          <cell r="X1078">
            <v>162</v>
          </cell>
          <cell r="Y1078">
            <v>0</v>
          </cell>
          <cell r="Z1078">
            <v>162</v>
          </cell>
          <cell r="AA1078">
            <v>0</v>
          </cell>
          <cell r="AB1078">
            <v>0</v>
          </cell>
          <cell r="AC1078">
            <v>0</v>
          </cell>
          <cell r="AD1078">
            <v>2.5000000000000001E-2</v>
          </cell>
          <cell r="AE1078">
            <v>0</v>
          </cell>
          <cell r="AF1078">
            <v>0</v>
          </cell>
          <cell r="AG1078">
            <v>0</v>
          </cell>
          <cell r="AH1078">
            <v>0</v>
          </cell>
          <cell r="AI1078">
            <v>0</v>
          </cell>
          <cell r="AJ1078">
            <v>0</v>
          </cell>
          <cell r="AK1078">
            <v>0</v>
          </cell>
          <cell r="AL1078">
            <v>0</v>
          </cell>
        </row>
        <row r="1079">
          <cell r="E1079" t="str">
            <v>HP 1.2mm-5Pr</v>
          </cell>
          <cell r="F1079" t="str">
            <v>ｍ</v>
          </cell>
          <cell r="G1079">
            <v>0</v>
          </cell>
          <cell r="H1079">
            <v>216</v>
          </cell>
          <cell r="I1079">
            <v>0</v>
          </cell>
          <cell r="J1079">
            <v>216</v>
          </cell>
          <cell r="K1079">
            <v>0</v>
          </cell>
          <cell r="L1079">
            <v>216</v>
          </cell>
          <cell r="M1079">
            <v>0</v>
          </cell>
          <cell r="N1079">
            <v>216</v>
          </cell>
          <cell r="O1079">
            <v>0</v>
          </cell>
          <cell r="P1079">
            <v>216</v>
          </cell>
          <cell r="Q1079">
            <v>0</v>
          </cell>
          <cell r="R1079">
            <v>216</v>
          </cell>
          <cell r="S1079">
            <v>0</v>
          </cell>
          <cell r="T1079">
            <v>216</v>
          </cell>
          <cell r="U1079">
            <v>0</v>
          </cell>
          <cell r="V1079">
            <v>216</v>
          </cell>
          <cell r="W1079">
            <v>0</v>
          </cell>
          <cell r="X1079">
            <v>216</v>
          </cell>
          <cell r="Y1079">
            <v>0</v>
          </cell>
          <cell r="Z1079">
            <v>216</v>
          </cell>
          <cell r="AA1079">
            <v>0</v>
          </cell>
          <cell r="AB1079">
            <v>0</v>
          </cell>
          <cell r="AC1079">
            <v>0</v>
          </cell>
          <cell r="AD1079">
            <v>2.7E-2</v>
          </cell>
          <cell r="AE1079">
            <v>0</v>
          </cell>
          <cell r="AF1079">
            <v>0</v>
          </cell>
          <cell r="AG1079">
            <v>0</v>
          </cell>
          <cell r="AH1079">
            <v>0</v>
          </cell>
          <cell r="AI1079">
            <v>0</v>
          </cell>
          <cell r="AJ1079">
            <v>0</v>
          </cell>
          <cell r="AK1079">
            <v>0</v>
          </cell>
          <cell r="AL1079">
            <v>0</v>
          </cell>
        </row>
        <row r="1080">
          <cell r="E1080" t="str">
            <v>HP 1.2mm-7Pr</v>
          </cell>
          <cell r="F1080" t="str">
            <v>ｍ</v>
          </cell>
          <cell r="G1080">
            <v>0</v>
          </cell>
          <cell r="H1080">
            <v>289</v>
          </cell>
          <cell r="I1080">
            <v>0</v>
          </cell>
          <cell r="J1080">
            <v>289</v>
          </cell>
          <cell r="K1080">
            <v>0</v>
          </cell>
          <cell r="L1080">
            <v>289</v>
          </cell>
          <cell r="M1080">
            <v>0</v>
          </cell>
          <cell r="N1080">
            <v>289</v>
          </cell>
          <cell r="O1080">
            <v>0</v>
          </cell>
          <cell r="P1080">
            <v>289</v>
          </cell>
          <cell r="Q1080">
            <v>0</v>
          </cell>
          <cell r="R1080">
            <v>289</v>
          </cell>
          <cell r="S1080">
            <v>0</v>
          </cell>
          <cell r="T1080">
            <v>289</v>
          </cell>
          <cell r="U1080">
            <v>0</v>
          </cell>
          <cell r="V1080">
            <v>289</v>
          </cell>
          <cell r="W1080">
            <v>0</v>
          </cell>
          <cell r="X1080">
            <v>289</v>
          </cell>
          <cell r="Y1080">
            <v>0</v>
          </cell>
          <cell r="Z1080">
            <v>289</v>
          </cell>
          <cell r="AA1080">
            <v>0</v>
          </cell>
          <cell r="AB1080">
            <v>0</v>
          </cell>
          <cell r="AC1080">
            <v>0</v>
          </cell>
          <cell r="AD1080">
            <v>2.9000000000000001E-2</v>
          </cell>
          <cell r="AE1080">
            <v>0</v>
          </cell>
          <cell r="AF1080">
            <v>0</v>
          </cell>
          <cell r="AG1080">
            <v>0</v>
          </cell>
          <cell r="AH1080">
            <v>0</v>
          </cell>
          <cell r="AI1080">
            <v>0</v>
          </cell>
          <cell r="AJ1080">
            <v>0</v>
          </cell>
          <cell r="AK1080">
            <v>0</v>
          </cell>
          <cell r="AL1080">
            <v>0</v>
          </cell>
        </row>
        <row r="1081">
          <cell r="E1081" t="str">
            <v>HP 1.2mm- 10Pr</v>
          </cell>
          <cell r="F1081" t="str">
            <v>ｍ</v>
          </cell>
          <cell r="G1081">
            <v>0</v>
          </cell>
          <cell r="H1081">
            <v>422</v>
          </cell>
          <cell r="I1081">
            <v>0</v>
          </cell>
          <cell r="J1081">
            <v>422</v>
          </cell>
          <cell r="K1081">
            <v>0</v>
          </cell>
          <cell r="L1081">
            <v>422</v>
          </cell>
          <cell r="M1081">
            <v>0</v>
          </cell>
          <cell r="N1081">
            <v>422</v>
          </cell>
          <cell r="O1081">
            <v>0</v>
          </cell>
          <cell r="P1081">
            <v>422</v>
          </cell>
          <cell r="Q1081">
            <v>0</v>
          </cell>
          <cell r="R1081">
            <v>422</v>
          </cell>
          <cell r="S1081">
            <v>0</v>
          </cell>
          <cell r="T1081">
            <v>422</v>
          </cell>
          <cell r="U1081">
            <v>0</v>
          </cell>
          <cell r="V1081">
            <v>422</v>
          </cell>
          <cell r="W1081">
            <v>0</v>
          </cell>
          <cell r="X1081">
            <v>422</v>
          </cell>
          <cell r="Y1081">
            <v>0</v>
          </cell>
          <cell r="Z1081">
            <v>422</v>
          </cell>
          <cell r="AA1081">
            <v>0</v>
          </cell>
          <cell r="AB1081">
            <v>0</v>
          </cell>
          <cell r="AC1081">
            <v>0</v>
          </cell>
          <cell r="AD1081">
            <v>3.1E-2</v>
          </cell>
          <cell r="AE1081">
            <v>0</v>
          </cell>
          <cell r="AF1081">
            <v>0</v>
          </cell>
          <cell r="AG1081">
            <v>0</v>
          </cell>
          <cell r="AH1081">
            <v>0</v>
          </cell>
          <cell r="AI1081">
            <v>0</v>
          </cell>
          <cell r="AJ1081">
            <v>0</v>
          </cell>
          <cell r="AK1081">
            <v>0</v>
          </cell>
          <cell r="AL1081">
            <v>0</v>
          </cell>
        </row>
        <row r="1082">
          <cell r="E1082" t="str">
            <v>HP 1.2mm- 15Pr</v>
          </cell>
          <cell r="F1082" t="str">
            <v>ｍ</v>
          </cell>
          <cell r="G1082">
            <v>0</v>
          </cell>
          <cell r="H1082">
            <v>621</v>
          </cell>
          <cell r="I1082">
            <v>0</v>
          </cell>
          <cell r="J1082">
            <v>621</v>
          </cell>
          <cell r="K1082">
            <v>0</v>
          </cell>
          <cell r="L1082">
            <v>621</v>
          </cell>
          <cell r="M1082">
            <v>0</v>
          </cell>
          <cell r="N1082">
            <v>621</v>
          </cell>
          <cell r="O1082">
            <v>0</v>
          </cell>
          <cell r="P1082">
            <v>621</v>
          </cell>
          <cell r="Q1082">
            <v>0</v>
          </cell>
          <cell r="R1082">
            <v>621</v>
          </cell>
          <cell r="S1082">
            <v>0</v>
          </cell>
          <cell r="T1082">
            <v>621</v>
          </cell>
          <cell r="U1082">
            <v>0</v>
          </cell>
          <cell r="V1082">
            <v>621</v>
          </cell>
          <cell r="W1082">
            <v>0</v>
          </cell>
          <cell r="X1082">
            <v>621</v>
          </cell>
          <cell r="Y1082">
            <v>0</v>
          </cell>
          <cell r="Z1082">
            <v>621</v>
          </cell>
          <cell r="AA1082">
            <v>0</v>
          </cell>
          <cell r="AB1082">
            <v>0</v>
          </cell>
          <cell r="AC1082">
            <v>0</v>
          </cell>
          <cell r="AD1082">
            <v>3.4000000000000002E-2</v>
          </cell>
          <cell r="AE1082">
            <v>0</v>
          </cell>
          <cell r="AF1082">
            <v>0</v>
          </cell>
          <cell r="AG1082">
            <v>0</v>
          </cell>
          <cell r="AH1082">
            <v>0</v>
          </cell>
          <cell r="AI1082">
            <v>0</v>
          </cell>
          <cell r="AJ1082">
            <v>0</v>
          </cell>
          <cell r="AK1082">
            <v>0</v>
          </cell>
          <cell r="AL1082">
            <v>0</v>
          </cell>
        </row>
        <row r="1083">
          <cell r="E1083" t="str">
            <v>HP 1.2mm- 20Pr</v>
          </cell>
          <cell r="F1083" t="str">
            <v>ｍ</v>
          </cell>
          <cell r="G1083">
            <v>0</v>
          </cell>
          <cell r="H1083">
            <v>831</v>
          </cell>
          <cell r="I1083">
            <v>0</v>
          </cell>
          <cell r="J1083">
            <v>831</v>
          </cell>
          <cell r="K1083">
            <v>0</v>
          </cell>
          <cell r="L1083">
            <v>831</v>
          </cell>
          <cell r="M1083">
            <v>0</v>
          </cell>
          <cell r="N1083">
            <v>831</v>
          </cell>
          <cell r="O1083">
            <v>0</v>
          </cell>
          <cell r="P1083">
            <v>831</v>
          </cell>
          <cell r="Q1083">
            <v>0</v>
          </cell>
          <cell r="R1083">
            <v>831</v>
          </cell>
          <cell r="S1083">
            <v>0</v>
          </cell>
          <cell r="T1083">
            <v>831</v>
          </cell>
          <cell r="U1083">
            <v>0</v>
          </cell>
          <cell r="V1083">
            <v>831</v>
          </cell>
          <cell r="W1083">
            <v>0</v>
          </cell>
          <cell r="X1083">
            <v>831</v>
          </cell>
          <cell r="Y1083">
            <v>0</v>
          </cell>
          <cell r="Z1083">
            <v>831</v>
          </cell>
          <cell r="AA1083">
            <v>0</v>
          </cell>
          <cell r="AB1083">
            <v>0</v>
          </cell>
          <cell r="AC1083">
            <v>0</v>
          </cell>
          <cell r="AD1083">
            <v>3.9E-2</v>
          </cell>
          <cell r="AE1083">
            <v>0</v>
          </cell>
          <cell r="AF1083">
            <v>0</v>
          </cell>
          <cell r="AG1083">
            <v>0</v>
          </cell>
          <cell r="AH1083">
            <v>0</v>
          </cell>
          <cell r="AI1083">
            <v>0</v>
          </cell>
          <cell r="AJ1083">
            <v>0</v>
          </cell>
          <cell r="AK1083">
            <v>0</v>
          </cell>
          <cell r="AL1083">
            <v>0</v>
          </cell>
        </row>
        <row r="1084">
          <cell r="E1084" t="str">
            <v>HP 1.2mm- 25Pr</v>
          </cell>
          <cell r="F1084" t="str">
            <v>ｍ</v>
          </cell>
          <cell r="G1084">
            <v>0</v>
          </cell>
          <cell r="H1084">
            <v>1016</v>
          </cell>
          <cell r="I1084">
            <v>0</v>
          </cell>
          <cell r="J1084">
            <v>1016</v>
          </cell>
          <cell r="K1084">
            <v>0</v>
          </cell>
          <cell r="L1084">
            <v>1016</v>
          </cell>
          <cell r="M1084">
            <v>0</v>
          </cell>
          <cell r="N1084">
            <v>1016</v>
          </cell>
          <cell r="O1084">
            <v>0</v>
          </cell>
          <cell r="P1084">
            <v>1016</v>
          </cell>
          <cell r="Q1084">
            <v>0</v>
          </cell>
          <cell r="R1084">
            <v>1016</v>
          </cell>
          <cell r="S1084">
            <v>0</v>
          </cell>
          <cell r="T1084">
            <v>1016</v>
          </cell>
          <cell r="U1084">
            <v>0</v>
          </cell>
          <cell r="V1084">
            <v>1016</v>
          </cell>
          <cell r="W1084">
            <v>0</v>
          </cell>
          <cell r="X1084">
            <v>1016</v>
          </cell>
          <cell r="Y1084">
            <v>0</v>
          </cell>
          <cell r="Z1084">
            <v>1016</v>
          </cell>
          <cell r="AA1084">
            <v>0</v>
          </cell>
          <cell r="AB1084">
            <v>0</v>
          </cell>
          <cell r="AC1084">
            <v>0</v>
          </cell>
          <cell r="AD1084">
            <v>4.2999999999999997E-2</v>
          </cell>
          <cell r="AE1084">
            <v>0</v>
          </cell>
          <cell r="AF1084">
            <v>0</v>
          </cell>
          <cell r="AG1084">
            <v>0</v>
          </cell>
          <cell r="AH1084">
            <v>0</v>
          </cell>
          <cell r="AI1084">
            <v>0</v>
          </cell>
          <cell r="AJ1084">
            <v>0</v>
          </cell>
          <cell r="AK1084">
            <v>0</v>
          </cell>
          <cell r="AL1084">
            <v>0</v>
          </cell>
        </row>
        <row r="1085">
          <cell r="E1085" t="str">
            <v>HP 1.2mm- 30Pr</v>
          </cell>
          <cell r="F1085" t="str">
            <v>ｍ</v>
          </cell>
          <cell r="G1085">
            <v>0</v>
          </cell>
          <cell r="H1085">
            <v>1232</v>
          </cell>
          <cell r="I1085">
            <v>0</v>
          </cell>
          <cell r="J1085">
            <v>1232</v>
          </cell>
          <cell r="K1085">
            <v>0</v>
          </cell>
          <cell r="L1085">
            <v>1232</v>
          </cell>
          <cell r="M1085">
            <v>0</v>
          </cell>
          <cell r="N1085">
            <v>1232</v>
          </cell>
          <cell r="O1085">
            <v>0</v>
          </cell>
          <cell r="P1085">
            <v>1232</v>
          </cell>
          <cell r="Q1085">
            <v>0</v>
          </cell>
          <cell r="R1085">
            <v>1232</v>
          </cell>
          <cell r="S1085">
            <v>0</v>
          </cell>
          <cell r="T1085">
            <v>1232</v>
          </cell>
          <cell r="U1085">
            <v>0</v>
          </cell>
          <cell r="V1085">
            <v>1232</v>
          </cell>
          <cell r="W1085">
            <v>0</v>
          </cell>
          <cell r="X1085">
            <v>1232</v>
          </cell>
          <cell r="Y1085">
            <v>0</v>
          </cell>
          <cell r="Z1085">
            <v>1232</v>
          </cell>
          <cell r="AA1085">
            <v>0</v>
          </cell>
          <cell r="AB1085">
            <v>0</v>
          </cell>
          <cell r="AC1085">
            <v>0</v>
          </cell>
          <cell r="AD1085">
            <v>4.5999999999999999E-2</v>
          </cell>
          <cell r="AE1085">
            <v>0</v>
          </cell>
          <cell r="AF1085">
            <v>0</v>
          </cell>
          <cell r="AG1085">
            <v>0</v>
          </cell>
          <cell r="AH1085">
            <v>0</v>
          </cell>
          <cell r="AI1085">
            <v>0</v>
          </cell>
          <cell r="AJ1085">
            <v>0</v>
          </cell>
          <cell r="AK1085">
            <v>0</v>
          </cell>
          <cell r="AL1085">
            <v>0</v>
          </cell>
        </row>
        <row r="1086">
          <cell r="E1086" t="str">
            <v>HP 1.2mm- 40Pr</v>
          </cell>
          <cell r="F1086" t="str">
            <v>ｍ</v>
          </cell>
          <cell r="G1086">
            <v>0</v>
          </cell>
          <cell r="H1086">
            <v>1627</v>
          </cell>
          <cell r="I1086">
            <v>0</v>
          </cell>
          <cell r="J1086">
            <v>1627</v>
          </cell>
          <cell r="K1086">
            <v>0</v>
          </cell>
          <cell r="L1086">
            <v>1627</v>
          </cell>
          <cell r="M1086">
            <v>0</v>
          </cell>
          <cell r="N1086">
            <v>1627</v>
          </cell>
          <cell r="O1086">
            <v>0</v>
          </cell>
          <cell r="P1086">
            <v>1627</v>
          </cell>
          <cell r="Q1086">
            <v>0</v>
          </cell>
          <cell r="R1086">
            <v>1627</v>
          </cell>
          <cell r="S1086">
            <v>0</v>
          </cell>
          <cell r="T1086">
            <v>1627</v>
          </cell>
          <cell r="U1086">
            <v>0</v>
          </cell>
          <cell r="V1086">
            <v>1627</v>
          </cell>
          <cell r="W1086">
            <v>0</v>
          </cell>
          <cell r="X1086">
            <v>1627</v>
          </cell>
          <cell r="Y1086">
            <v>0</v>
          </cell>
          <cell r="Z1086">
            <v>1627</v>
          </cell>
          <cell r="AA1086">
            <v>0</v>
          </cell>
          <cell r="AB1086">
            <v>0</v>
          </cell>
          <cell r="AC1086">
            <v>0</v>
          </cell>
          <cell r="AD1086">
            <v>5.3999999999999999E-2</v>
          </cell>
          <cell r="AE1086">
            <v>0</v>
          </cell>
          <cell r="AF1086">
            <v>0</v>
          </cell>
          <cell r="AG1086">
            <v>0</v>
          </cell>
          <cell r="AH1086">
            <v>0</v>
          </cell>
          <cell r="AI1086">
            <v>0</v>
          </cell>
          <cell r="AJ1086">
            <v>0</v>
          </cell>
          <cell r="AK1086">
            <v>0</v>
          </cell>
          <cell r="AL1086">
            <v>0</v>
          </cell>
        </row>
        <row r="1087">
          <cell r="E1087" t="str">
            <v>HP 1.2mm- 50Pr</v>
          </cell>
          <cell r="F1087" t="str">
            <v>ｍ</v>
          </cell>
          <cell r="G1087">
            <v>0</v>
          </cell>
          <cell r="H1087">
            <v>2033</v>
          </cell>
          <cell r="I1087">
            <v>0</v>
          </cell>
          <cell r="J1087">
            <v>2033</v>
          </cell>
          <cell r="K1087">
            <v>0</v>
          </cell>
          <cell r="L1087">
            <v>2033</v>
          </cell>
          <cell r="M1087">
            <v>0</v>
          </cell>
          <cell r="N1087">
            <v>2033</v>
          </cell>
          <cell r="O1087">
            <v>0</v>
          </cell>
          <cell r="P1087">
            <v>2033</v>
          </cell>
          <cell r="Q1087">
            <v>0</v>
          </cell>
          <cell r="R1087">
            <v>2033</v>
          </cell>
          <cell r="S1087">
            <v>0</v>
          </cell>
          <cell r="T1087">
            <v>2033</v>
          </cell>
          <cell r="U1087">
            <v>0</v>
          </cell>
          <cell r="V1087">
            <v>2033</v>
          </cell>
          <cell r="W1087">
            <v>0</v>
          </cell>
          <cell r="X1087">
            <v>2033</v>
          </cell>
          <cell r="Y1087">
            <v>0</v>
          </cell>
          <cell r="Z1087">
            <v>2033</v>
          </cell>
          <cell r="AA1087">
            <v>0</v>
          </cell>
          <cell r="AB1087">
            <v>0</v>
          </cell>
          <cell r="AC1087">
            <v>0</v>
          </cell>
          <cell r="AD1087">
            <v>6.2E-2</v>
          </cell>
          <cell r="AE1087">
            <v>0</v>
          </cell>
          <cell r="AF1087">
            <v>0</v>
          </cell>
          <cell r="AG1087">
            <v>0</v>
          </cell>
          <cell r="AH1087">
            <v>0</v>
          </cell>
          <cell r="AI1087">
            <v>0</v>
          </cell>
          <cell r="AJ1087">
            <v>0</v>
          </cell>
          <cell r="AK1087">
            <v>0</v>
          </cell>
          <cell r="AL1087">
            <v>0</v>
          </cell>
        </row>
        <row r="1088">
          <cell r="E1088" t="str">
            <v>HP 1.2mm- 75Pr</v>
          </cell>
          <cell r="F1088" t="str">
            <v>ｍ</v>
          </cell>
          <cell r="G1088">
            <v>0</v>
          </cell>
          <cell r="H1088">
            <v>3004</v>
          </cell>
          <cell r="I1088">
            <v>0</v>
          </cell>
          <cell r="J1088">
            <v>3004</v>
          </cell>
          <cell r="K1088">
            <v>0</v>
          </cell>
          <cell r="L1088">
            <v>3004</v>
          </cell>
          <cell r="M1088">
            <v>0</v>
          </cell>
          <cell r="N1088">
            <v>3004</v>
          </cell>
          <cell r="O1088">
            <v>0</v>
          </cell>
          <cell r="P1088">
            <v>3004</v>
          </cell>
          <cell r="Q1088">
            <v>0</v>
          </cell>
          <cell r="R1088">
            <v>3004</v>
          </cell>
          <cell r="S1088">
            <v>0</v>
          </cell>
          <cell r="T1088">
            <v>3004</v>
          </cell>
          <cell r="U1088">
            <v>0</v>
          </cell>
          <cell r="V1088">
            <v>3004</v>
          </cell>
          <cell r="W1088">
            <v>0</v>
          </cell>
          <cell r="X1088">
            <v>3004</v>
          </cell>
          <cell r="Y1088">
            <v>0</v>
          </cell>
          <cell r="Z1088">
            <v>3004</v>
          </cell>
          <cell r="AA1088">
            <v>0</v>
          </cell>
          <cell r="AB1088">
            <v>0</v>
          </cell>
          <cell r="AC1088">
            <v>0</v>
          </cell>
          <cell r="AD1088">
            <v>8.2000000000000003E-2</v>
          </cell>
          <cell r="AE1088">
            <v>0</v>
          </cell>
          <cell r="AF1088">
            <v>0</v>
          </cell>
          <cell r="AG1088">
            <v>0</v>
          </cell>
          <cell r="AH1088">
            <v>0</v>
          </cell>
          <cell r="AI1088">
            <v>0</v>
          </cell>
          <cell r="AJ1088">
            <v>0</v>
          </cell>
          <cell r="AK1088">
            <v>0</v>
          </cell>
          <cell r="AL1088">
            <v>0</v>
          </cell>
        </row>
        <row r="1089">
          <cell r="E1089" t="str">
            <v>HP 1.2mm-100Pr</v>
          </cell>
          <cell r="F1089" t="str">
            <v>ｍ</v>
          </cell>
          <cell r="G1089">
            <v>0</v>
          </cell>
          <cell r="H1089">
            <v>4060</v>
          </cell>
          <cell r="I1089">
            <v>0</v>
          </cell>
          <cell r="J1089">
            <v>4060</v>
          </cell>
          <cell r="K1089">
            <v>0</v>
          </cell>
          <cell r="L1089">
            <v>4060</v>
          </cell>
          <cell r="M1089">
            <v>0</v>
          </cell>
          <cell r="N1089">
            <v>4060</v>
          </cell>
          <cell r="O1089">
            <v>0</v>
          </cell>
          <cell r="P1089">
            <v>4060</v>
          </cell>
          <cell r="Q1089">
            <v>0</v>
          </cell>
          <cell r="R1089">
            <v>4060</v>
          </cell>
          <cell r="S1089">
            <v>0</v>
          </cell>
          <cell r="T1089">
            <v>4060</v>
          </cell>
          <cell r="U1089">
            <v>0</v>
          </cell>
          <cell r="V1089">
            <v>4060</v>
          </cell>
          <cell r="W1089">
            <v>0</v>
          </cell>
          <cell r="X1089">
            <v>4060</v>
          </cell>
          <cell r="Y1089">
            <v>0</v>
          </cell>
          <cell r="Z1089">
            <v>4060</v>
          </cell>
          <cell r="AA1089">
            <v>0</v>
          </cell>
          <cell r="AB1089">
            <v>0</v>
          </cell>
          <cell r="AC1089">
            <v>0</v>
          </cell>
          <cell r="AD1089">
            <v>0.10299999999999999</v>
          </cell>
          <cell r="AE1089">
            <v>0</v>
          </cell>
          <cell r="AF1089">
            <v>0</v>
          </cell>
          <cell r="AG1089">
            <v>0</v>
          </cell>
          <cell r="AH1089">
            <v>0</v>
          </cell>
          <cell r="AI1089">
            <v>0</v>
          </cell>
          <cell r="AJ1089">
            <v>0</v>
          </cell>
          <cell r="AK1089">
            <v>0</v>
          </cell>
          <cell r="AL1089">
            <v>0</v>
          </cell>
        </row>
        <row r="1090">
          <cell r="E1090" t="str">
            <v>HP 1.2mm-200Pr</v>
          </cell>
          <cell r="F1090" t="str">
            <v>ｍ</v>
          </cell>
          <cell r="G1090">
            <v>0</v>
          </cell>
          <cell r="H1090">
            <v>8080</v>
          </cell>
          <cell r="I1090">
            <v>0</v>
          </cell>
          <cell r="J1090">
            <v>8080</v>
          </cell>
          <cell r="K1090">
            <v>0</v>
          </cell>
          <cell r="L1090">
            <v>8080</v>
          </cell>
          <cell r="M1090">
            <v>0</v>
          </cell>
          <cell r="N1090">
            <v>8080</v>
          </cell>
          <cell r="O1090">
            <v>0</v>
          </cell>
          <cell r="P1090">
            <v>8080</v>
          </cell>
          <cell r="Q1090">
            <v>0</v>
          </cell>
          <cell r="R1090">
            <v>8080</v>
          </cell>
          <cell r="S1090">
            <v>0</v>
          </cell>
          <cell r="T1090">
            <v>8080</v>
          </cell>
          <cell r="U1090">
            <v>0</v>
          </cell>
          <cell r="V1090">
            <v>8080</v>
          </cell>
          <cell r="W1090">
            <v>0</v>
          </cell>
          <cell r="X1090">
            <v>8080</v>
          </cell>
          <cell r="Y1090">
            <v>0</v>
          </cell>
          <cell r="Z1090">
            <v>8080</v>
          </cell>
          <cell r="AA1090">
            <v>0</v>
          </cell>
          <cell r="AB1090">
            <v>0</v>
          </cell>
          <cell r="AC1090">
            <v>0</v>
          </cell>
          <cell r="AD1090">
            <v>0.151</v>
          </cell>
          <cell r="AE1090">
            <v>0</v>
          </cell>
          <cell r="AF1090">
            <v>0</v>
          </cell>
          <cell r="AG1090">
            <v>0</v>
          </cell>
          <cell r="AH1090">
            <v>0</v>
          </cell>
          <cell r="AI1090">
            <v>0</v>
          </cell>
          <cell r="AJ1090">
            <v>0</v>
          </cell>
          <cell r="AK1090">
            <v>0</v>
          </cell>
          <cell r="AL1090">
            <v>0</v>
          </cell>
        </row>
        <row r="1091">
          <cell r="E1091" t="str">
            <v>HP 1.6mm-1C</v>
          </cell>
          <cell r="F1091" t="str">
            <v>ｍ</v>
          </cell>
          <cell r="G1091">
            <v>0</v>
          </cell>
          <cell r="H1091">
            <v>69.2</v>
          </cell>
          <cell r="I1091">
            <v>0</v>
          </cell>
          <cell r="J1091">
            <v>69.2</v>
          </cell>
          <cell r="K1091">
            <v>0</v>
          </cell>
          <cell r="L1091">
            <v>69.2</v>
          </cell>
          <cell r="M1091">
            <v>0</v>
          </cell>
          <cell r="N1091">
            <v>69.2</v>
          </cell>
          <cell r="O1091">
            <v>0</v>
          </cell>
          <cell r="P1091">
            <v>69.2</v>
          </cell>
          <cell r="Q1091">
            <v>0</v>
          </cell>
          <cell r="R1091">
            <v>69.2</v>
          </cell>
          <cell r="S1091">
            <v>0</v>
          </cell>
          <cell r="T1091">
            <v>69.2</v>
          </cell>
          <cell r="U1091">
            <v>0</v>
          </cell>
          <cell r="V1091">
            <v>69.2</v>
          </cell>
          <cell r="W1091">
            <v>0</v>
          </cell>
          <cell r="X1091">
            <v>69.2</v>
          </cell>
          <cell r="Y1091">
            <v>0</v>
          </cell>
          <cell r="Z1091">
            <v>69.2</v>
          </cell>
          <cell r="AA1091">
            <v>0</v>
          </cell>
          <cell r="AB1091">
            <v>0</v>
          </cell>
          <cell r="AC1091">
            <v>0</v>
          </cell>
          <cell r="AD1091">
            <v>1.4999999999999999E-2</v>
          </cell>
          <cell r="AE1091">
            <v>0</v>
          </cell>
          <cell r="AF1091">
            <v>0</v>
          </cell>
          <cell r="AG1091">
            <v>0</v>
          </cell>
          <cell r="AH1091">
            <v>0</v>
          </cell>
          <cell r="AI1091">
            <v>0</v>
          </cell>
          <cell r="AJ1091">
            <v>0</v>
          </cell>
          <cell r="AK1091">
            <v>0</v>
          </cell>
          <cell r="AL1091">
            <v>0</v>
          </cell>
        </row>
        <row r="1092">
          <cell r="E1092" t="str">
            <v>HP 1.6mm-2C</v>
          </cell>
          <cell r="F1092" t="str">
            <v>ｍ</v>
          </cell>
          <cell r="G1092">
            <v>0</v>
          </cell>
          <cell r="H1092">
            <v>103</v>
          </cell>
          <cell r="I1092">
            <v>0</v>
          </cell>
          <cell r="J1092">
            <v>103</v>
          </cell>
          <cell r="K1092">
            <v>0</v>
          </cell>
          <cell r="L1092">
            <v>103</v>
          </cell>
          <cell r="M1092">
            <v>0</v>
          </cell>
          <cell r="N1092">
            <v>103</v>
          </cell>
          <cell r="O1092">
            <v>0</v>
          </cell>
          <cell r="P1092">
            <v>103</v>
          </cell>
          <cell r="Q1092">
            <v>0</v>
          </cell>
          <cell r="R1092">
            <v>103</v>
          </cell>
          <cell r="S1092">
            <v>0</v>
          </cell>
          <cell r="T1092">
            <v>103</v>
          </cell>
          <cell r="U1092">
            <v>0</v>
          </cell>
          <cell r="V1092">
            <v>103</v>
          </cell>
          <cell r="W1092">
            <v>0</v>
          </cell>
          <cell r="X1092">
            <v>103</v>
          </cell>
          <cell r="Y1092">
            <v>0</v>
          </cell>
          <cell r="Z1092">
            <v>103</v>
          </cell>
          <cell r="AA1092">
            <v>0</v>
          </cell>
          <cell r="AB1092">
            <v>0</v>
          </cell>
          <cell r="AC1092">
            <v>0</v>
          </cell>
          <cell r="AD1092">
            <v>1.7000000000000001E-2</v>
          </cell>
          <cell r="AE1092">
            <v>0</v>
          </cell>
          <cell r="AF1092">
            <v>0</v>
          </cell>
          <cell r="AG1092">
            <v>0</v>
          </cell>
          <cell r="AH1092">
            <v>0</v>
          </cell>
          <cell r="AI1092">
            <v>0</v>
          </cell>
          <cell r="AJ1092">
            <v>0</v>
          </cell>
          <cell r="AK1092">
            <v>0</v>
          </cell>
          <cell r="AL1092">
            <v>0</v>
          </cell>
        </row>
        <row r="1093">
          <cell r="E1093" t="str">
            <v>HP 1.6mm-3C</v>
          </cell>
          <cell r="F1093" t="str">
            <v>ｍ</v>
          </cell>
          <cell r="G1093">
            <v>0</v>
          </cell>
          <cell r="H1093">
            <v>157</v>
          </cell>
          <cell r="I1093">
            <v>0</v>
          </cell>
          <cell r="J1093">
            <v>157</v>
          </cell>
          <cell r="K1093">
            <v>0</v>
          </cell>
          <cell r="L1093">
            <v>157</v>
          </cell>
          <cell r="M1093">
            <v>0</v>
          </cell>
          <cell r="N1093">
            <v>157</v>
          </cell>
          <cell r="O1093">
            <v>0</v>
          </cell>
          <cell r="P1093">
            <v>157</v>
          </cell>
          <cell r="Q1093">
            <v>0</v>
          </cell>
          <cell r="R1093">
            <v>157</v>
          </cell>
          <cell r="S1093">
            <v>0</v>
          </cell>
          <cell r="T1093">
            <v>157</v>
          </cell>
          <cell r="U1093">
            <v>0</v>
          </cell>
          <cell r="V1093">
            <v>157</v>
          </cell>
          <cell r="W1093">
            <v>0</v>
          </cell>
          <cell r="X1093">
            <v>157</v>
          </cell>
          <cell r="Y1093">
            <v>0</v>
          </cell>
          <cell r="Z1093">
            <v>157</v>
          </cell>
          <cell r="AA1093">
            <v>0</v>
          </cell>
          <cell r="AB1093">
            <v>0</v>
          </cell>
          <cell r="AC1093">
            <v>0</v>
          </cell>
          <cell r="AD1093">
            <v>1.9E-2</v>
          </cell>
          <cell r="AE1093">
            <v>0</v>
          </cell>
          <cell r="AF1093">
            <v>0</v>
          </cell>
          <cell r="AG1093">
            <v>0</v>
          </cell>
          <cell r="AH1093">
            <v>0</v>
          </cell>
          <cell r="AI1093">
            <v>0</v>
          </cell>
          <cell r="AJ1093">
            <v>0</v>
          </cell>
          <cell r="AK1093">
            <v>0</v>
          </cell>
          <cell r="AL1093">
            <v>0</v>
          </cell>
        </row>
        <row r="1094">
          <cell r="E1094" t="str">
            <v>HP 1.6mm-4C</v>
          </cell>
          <cell r="F1094" t="str">
            <v>ｍ</v>
          </cell>
          <cell r="G1094">
            <v>0</v>
          </cell>
          <cell r="H1094">
            <v>197</v>
          </cell>
          <cell r="I1094">
            <v>0</v>
          </cell>
          <cell r="J1094">
            <v>197</v>
          </cell>
          <cell r="K1094">
            <v>0</v>
          </cell>
          <cell r="L1094">
            <v>197</v>
          </cell>
          <cell r="M1094">
            <v>0</v>
          </cell>
          <cell r="N1094">
            <v>197</v>
          </cell>
          <cell r="O1094">
            <v>0</v>
          </cell>
          <cell r="P1094">
            <v>197</v>
          </cell>
          <cell r="Q1094">
            <v>0</v>
          </cell>
          <cell r="R1094">
            <v>197</v>
          </cell>
          <cell r="S1094">
            <v>0</v>
          </cell>
          <cell r="T1094">
            <v>197</v>
          </cell>
          <cell r="U1094">
            <v>0</v>
          </cell>
          <cell r="V1094">
            <v>197</v>
          </cell>
          <cell r="W1094">
            <v>0</v>
          </cell>
          <cell r="X1094">
            <v>197</v>
          </cell>
          <cell r="Y1094">
            <v>0</v>
          </cell>
          <cell r="Z1094">
            <v>197</v>
          </cell>
          <cell r="AA1094">
            <v>0</v>
          </cell>
          <cell r="AB1094">
            <v>0</v>
          </cell>
          <cell r="AC1094">
            <v>0</v>
          </cell>
          <cell r="AD1094">
            <v>2.1999999999999999E-2</v>
          </cell>
          <cell r="AE1094">
            <v>0</v>
          </cell>
          <cell r="AF1094">
            <v>0</v>
          </cell>
          <cell r="AG1094">
            <v>0</v>
          </cell>
          <cell r="AH1094">
            <v>0</v>
          </cell>
          <cell r="AI1094">
            <v>0</v>
          </cell>
          <cell r="AJ1094">
            <v>0</v>
          </cell>
          <cell r="AK1094">
            <v>0</v>
          </cell>
          <cell r="AL1094">
            <v>0</v>
          </cell>
        </row>
        <row r="1095">
          <cell r="E1095" t="str">
            <v>HP 1.6mm-5C</v>
          </cell>
          <cell r="F1095" t="str">
            <v>ｍ</v>
          </cell>
          <cell r="G1095">
            <v>0</v>
          </cell>
          <cell r="H1095">
            <v>267</v>
          </cell>
          <cell r="I1095">
            <v>0</v>
          </cell>
          <cell r="J1095">
            <v>267</v>
          </cell>
          <cell r="K1095">
            <v>0</v>
          </cell>
          <cell r="L1095">
            <v>267</v>
          </cell>
          <cell r="M1095">
            <v>0</v>
          </cell>
          <cell r="N1095">
            <v>267</v>
          </cell>
          <cell r="O1095">
            <v>0</v>
          </cell>
          <cell r="P1095">
            <v>267</v>
          </cell>
          <cell r="Q1095">
            <v>0</v>
          </cell>
          <cell r="R1095">
            <v>267</v>
          </cell>
          <cell r="S1095">
            <v>0</v>
          </cell>
          <cell r="T1095">
            <v>267</v>
          </cell>
          <cell r="U1095">
            <v>0</v>
          </cell>
          <cell r="V1095">
            <v>267</v>
          </cell>
          <cell r="W1095">
            <v>0</v>
          </cell>
          <cell r="X1095">
            <v>267</v>
          </cell>
          <cell r="Y1095">
            <v>0</v>
          </cell>
          <cell r="Z1095">
            <v>267</v>
          </cell>
          <cell r="AA1095">
            <v>0</v>
          </cell>
          <cell r="AB1095">
            <v>0</v>
          </cell>
          <cell r="AC1095">
            <v>0</v>
          </cell>
          <cell r="AD1095">
            <v>2.1999999999999999E-2</v>
          </cell>
          <cell r="AE1095">
            <v>0</v>
          </cell>
          <cell r="AF1095">
            <v>0</v>
          </cell>
          <cell r="AG1095">
            <v>0</v>
          </cell>
          <cell r="AH1095">
            <v>0</v>
          </cell>
          <cell r="AI1095">
            <v>0</v>
          </cell>
          <cell r="AJ1095">
            <v>0</v>
          </cell>
          <cell r="AK1095">
            <v>0</v>
          </cell>
          <cell r="AL1095">
            <v>0</v>
          </cell>
        </row>
        <row r="1096">
          <cell r="E1096" t="str">
            <v>HP 1.6mm-6C</v>
          </cell>
          <cell r="F1096" t="str">
            <v>ｍ</v>
          </cell>
          <cell r="G1096">
            <v>0</v>
          </cell>
          <cell r="H1096">
            <v>357</v>
          </cell>
          <cell r="I1096">
            <v>0</v>
          </cell>
          <cell r="J1096">
            <v>357</v>
          </cell>
          <cell r="K1096">
            <v>0</v>
          </cell>
          <cell r="L1096">
            <v>357</v>
          </cell>
          <cell r="M1096">
            <v>0</v>
          </cell>
          <cell r="N1096">
            <v>357</v>
          </cell>
          <cell r="O1096">
            <v>0</v>
          </cell>
          <cell r="P1096">
            <v>357</v>
          </cell>
          <cell r="Q1096">
            <v>0</v>
          </cell>
          <cell r="R1096">
            <v>357</v>
          </cell>
          <cell r="S1096">
            <v>0</v>
          </cell>
          <cell r="T1096">
            <v>357</v>
          </cell>
          <cell r="U1096">
            <v>0</v>
          </cell>
          <cell r="V1096">
            <v>357</v>
          </cell>
          <cell r="W1096">
            <v>0</v>
          </cell>
          <cell r="X1096">
            <v>357</v>
          </cell>
          <cell r="Y1096">
            <v>0</v>
          </cell>
          <cell r="Z1096">
            <v>357</v>
          </cell>
          <cell r="AA1096">
            <v>0</v>
          </cell>
          <cell r="AB1096">
            <v>0</v>
          </cell>
          <cell r="AC1096">
            <v>0</v>
          </cell>
          <cell r="AD1096">
            <v>2.1999999999999999E-2</v>
          </cell>
          <cell r="AE1096">
            <v>0</v>
          </cell>
          <cell r="AF1096">
            <v>0</v>
          </cell>
          <cell r="AG1096">
            <v>0</v>
          </cell>
          <cell r="AH1096">
            <v>0</v>
          </cell>
          <cell r="AI1096">
            <v>0</v>
          </cell>
          <cell r="AJ1096">
            <v>0</v>
          </cell>
          <cell r="AK1096">
            <v>0</v>
          </cell>
          <cell r="AL1096">
            <v>0</v>
          </cell>
        </row>
        <row r="1097">
          <cell r="E1097" t="str">
            <v>HP 1.6mm-7C</v>
          </cell>
          <cell r="F1097" t="str">
            <v>ｍ</v>
          </cell>
          <cell r="G1097">
            <v>0</v>
          </cell>
          <cell r="H1097">
            <v>402</v>
          </cell>
          <cell r="I1097">
            <v>0</v>
          </cell>
          <cell r="J1097">
            <v>402</v>
          </cell>
          <cell r="K1097">
            <v>0</v>
          </cell>
          <cell r="L1097">
            <v>402</v>
          </cell>
          <cell r="M1097">
            <v>0</v>
          </cell>
          <cell r="N1097">
            <v>402</v>
          </cell>
          <cell r="O1097">
            <v>0</v>
          </cell>
          <cell r="P1097">
            <v>402</v>
          </cell>
          <cell r="Q1097">
            <v>0</v>
          </cell>
          <cell r="R1097">
            <v>402</v>
          </cell>
          <cell r="S1097">
            <v>0</v>
          </cell>
          <cell r="T1097">
            <v>402</v>
          </cell>
          <cell r="U1097">
            <v>0</v>
          </cell>
          <cell r="V1097">
            <v>402</v>
          </cell>
          <cell r="W1097">
            <v>0</v>
          </cell>
          <cell r="X1097">
            <v>402</v>
          </cell>
          <cell r="Y1097">
            <v>0</v>
          </cell>
          <cell r="Z1097">
            <v>402</v>
          </cell>
          <cell r="AA1097">
            <v>0</v>
          </cell>
          <cell r="AB1097">
            <v>0</v>
          </cell>
          <cell r="AC1097">
            <v>0</v>
          </cell>
          <cell r="AD1097">
            <v>2.4E-2</v>
          </cell>
          <cell r="AE1097">
            <v>0</v>
          </cell>
          <cell r="AF1097">
            <v>0</v>
          </cell>
          <cell r="AG1097">
            <v>0</v>
          </cell>
          <cell r="AH1097">
            <v>0</v>
          </cell>
          <cell r="AI1097">
            <v>0</v>
          </cell>
          <cell r="AJ1097">
            <v>0</v>
          </cell>
          <cell r="AK1097">
            <v>0</v>
          </cell>
          <cell r="AL1097">
            <v>0</v>
          </cell>
        </row>
        <row r="1098">
          <cell r="E1098" t="str">
            <v>HP 1.6mm-3Pr</v>
          </cell>
          <cell r="F1098" t="str">
            <v>ｍ</v>
          </cell>
          <cell r="G1098">
            <v>0</v>
          </cell>
          <cell r="H1098">
            <v>374</v>
          </cell>
          <cell r="I1098">
            <v>0</v>
          </cell>
          <cell r="J1098">
            <v>374</v>
          </cell>
          <cell r="K1098">
            <v>0</v>
          </cell>
          <cell r="L1098">
            <v>374</v>
          </cell>
          <cell r="M1098">
            <v>0</v>
          </cell>
          <cell r="N1098">
            <v>374</v>
          </cell>
          <cell r="O1098">
            <v>0</v>
          </cell>
          <cell r="P1098">
            <v>374</v>
          </cell>
          <cell r="Q1098">
            <v>0</v>
          </cell>
          <cell r="R1098">
            <v>374</v>
          </cell>
          <cell r="S1098">
            <v>0</v>
          </cell>
          <cell r="T1098">
            <v>374</v>
          </cell>
          <cell r="U1098">
            <v>0</v>
          </cell>
          <cell r="V1098">
            <v>374</v>
          </cell>
          <cell r="W1098">
            <v>0</v>
          </cell>
          <cell r="X1098">
            <v>374</v>
          </cell>
          <cell r="Y1098">
            <v>0</v>
          </cell>
          <cell r="Z1098">
            <v>374</v>
          </cell>
          <cell r="AA1098">
            <v>0</v>
          </cell>
          <cell r="AB1098">
            <v>0</v>
          </cell>
          <cell r="AC1098">
            <v>0</v>
          </cell>
          <cell r="AD1098">
            <v>0.03</v>
          </cell>
          <cell r="AE1098">
            <v>0</v>
          </cell>
          <cell r="AF1098">
            <v>0</v>
          </cell>
          <cell r="AG1098">
            <v>0</v>
          </cell>
          <cell r="AH1098">
            <v>0</v>
          </cell>
          <cell r="AI1098">
            <v>0</v>
          </cell>
          <cell r="AJ1098">
            <v>0</v>
          </cell>
          <cell r="AK1098">
            <v>0</v>
          </cell>
          <cell r="AL1098">
            <v>0</v>
          </cell>
        </row>
        <row r="1099">
          <cell r="E1099" t="str">
            <v>HP 1.6mm-5Pr</v>
          </cell>
          <cell r="F1099" t="str">
            <v>ｍ</v>
          </cell>
          <cell r="G1099">
            <v>0</v>
          </cell>
          <cell r="H1099">
            <v>573</v>
          </cell>
          <cell r="I1099">
            <v>0</v>
          </cell>
          <cell r="J1099">
            <v>573</v>
          </cell>
          <cell r="K1099">
            <v>0</v>
          </cell>
          <cell r="L1099">
            <v>573</v>
          </cell>
          <cell r="M1099">
            <v>0</v>
          </cell>
          <cell r="N1099">
            <v>573</v>
          </cell>
          <cell r="O1099">
            <v>0</v>
          </cell>
          <cell r="P1099">
            <v>573</v>
          </cell>
          <cell r="Q1099">
            <v>0</v>
          </cell>
          <cell r="R1099">
            <v>573</v>
          </cell>
          <cell r="S1099">
            <v>0</v>
          </cell>
          <cell r="T1099">
            <v>573</v>
          </cell>
          <cell r="U1099">
            <v>0</v>
          </cell>
          <cell r="V1099">
            <v>573</v>
          </cell>
          <cell r="W1099">
            <v>0</v>
          </cell>
          <cell r="X1099">
            <v>573</v>
          </cell>
          <cell r="Y1099">
            <v>0</v>
          </cell>
          <cell r="Z1099">
            <v>573</v>
          </cell>
          <cell r="AA1099">
            <v>0</v>
          </cell>
          <cell r="AB1099">
            <v>0</v>
          </cell>
          <cell r="AC1099">
            <v>0</v>
          </cell>
          <cell r="AD1099">
            <v>3.2000000000000001E-2</v>
          </cell>
          <cell r="AE1099">
            <v>0</v>
          </cell>
          <cell r="AF1099">
            <v>0</v>
          </cell>
          <cell r="AG1099">
            <v>0</v>
          </cell>
          <cell r="AH1099">
            <v>0</v>
          </cell>
          <cell r="AI1099">
            <v>0</v>
          </cell>
          <cell r="AJ1099">
            <v>0</v>
          </cell>
          <cell r="AK1099">
            <v>0</v>
          </cell>
          <cell r="AL1099">
            <v>0</v>
          </cell>
        </row>
        <row r="1100">
          <cell r="E1100" t="str">
            <v>HP 1.6mm-7Pr</v>
          </cell>
          <cell r="F1100" t="str">
            <v>ｍ</v>
          </cell>
          <cell r="G1100">
            <v>0</v>
          </cell>
          <cell r="H1100">
            <v>829</v>
          </cell>
          <cell r="I1100">
            <v>0</v>
          </cell>
          <cell r="J1100">
            <v>829</v>
          </cell>
          <cell r="K1100">
            <v>0</v>
          </cell>
          <cell r="L1100">
            <v>829</v>
          </cell>
          <cell r="M1100">
            <v>0</v>
          </cell>
          <cell r="N1100">
            <v>829</v>
          </cell>
          <cell r="O1100">
            <v>0</v>
          </cell>
          <cell r="P1100">
            <v>829</v>
          </cell>
          <cell r="Q1100">
            <v>0</v>
          </cell>
          <cell r="R1100">
            <v>829</v>
          </cell>
          <cell r="S1100">
            <v>0</v>
          </cell>
          <cell r="T1100">
            <v>829</v>
          </cell>
          <cell r="U1100">
            <v>0</v>
          </cell>
          <cell r="V1100">
            <v>829</v>
          </cell>
          <cell r="W1100">
            <v>0</v>
          </cell>
          <cell r="X1100">
            <v>829</v>
          </cell>
          <cell r="Y1100">
            <v>0</v>
          </cell>
          <cell r="Z1100">
            <v>829</v>
          </cell>
          <cell r="AA1100">
            <v>0</v>
          </cell>
          <cell r="AB1100">
            <v>0</v>
          </cell>
          <cell r="AC1100">
            <v>0</v>
          </cell>
          <cell r="AD1100">
            <v>3.4000000000000002E-2</v>
          </cell>
          <cell r="AE1100">
            <v>0</v>
          </cell>
          <cell r="AF1100">
            <v>0</v>
          </cell>
          <cell r="AG1100">
            <v>0</v>
          </cell>
          <cell r="AH1100">
            <v>0</v>
          </cell>
          <cell r="AI1100">
            <v>0</v>
          </cell>
          <cell r="AJ1100">
            <v>0</v>
          </cell>
          <cell r="AK1100">
            <v>0</v>
          </cell>
          <cell r="AL1100">
            <v>0</v>
          </cell>
        </row>
        <row r="1101">
          <cell r="E1101" t="str">
            <v>HP 1.6mm-10Pr</v>
          </cell>
          <cell r="F1101" t="str">
            <v>ｍ</v>
          </cell>
          <cell r="G1101">
            <v>0</v>
          </cell>
          <cell r="H1101">
            <v>1155</v>
          </cell>
          <cell r="I1101">
            <v>0</v>
          </cell>
          <cell r="J1101">
            <v>1155</v>
          </cell>
          <cell r="K1101">
            <v>0</v>
          </cell>
          <cell r="L1101">
            <v>1155</v>
          </cell>
          <cell r="M1101">
            <v>0</v>
          </cell>
          <cell r="N1101">
            <v>1155</v>
          </cell>
          <cell r="O1101">
            <v>0</v>
          </cell>
          <cell r="P1101">
            <v>1155</v>
          </cell>
          <cell r="Q1101">
            <v>0</v>
          </cell>
          <cell r="R1101">
            <v>1155</v>
          </cell>
          <cell r="S1101">
            <v>0</v>
          </cell>
          <cell r="T1101">
            <v>1155</v>
          </cell>
          <cell r="U1101">
            <v>0</v>
          </cell>
          <cell r="V1101">
            <v>1155</v>
          </cell>
          <cell r="W1101">
            <v>0</v>
          </cell>
          <cell r="X1101">
            <v>1155</v>
          </cell>
          <cell r="Y1101">
            <v>0</v>
          </cell>
          <cell r="Z1101">
            <v>1155</v>
          </cell>
          <cell r="AA1101">
            <v>0</v>
          </cell>
          <cell r="AB1101">
            <v>0</v>
          </cell>
          <cell r="AC1101">
            <v>0</v>
          </cell>
          <cell r="AD1101">
            <v>3.6999999999999998E-2</v>
          </cell>
          <cell r="AE1101">
            <v>0</v>
          </cell>
          <cell r="AF1101">
            <v>0</v>
          </cell>
          <cell r="AG1101">
            <v>0</v>
          </cell>
          <cell r="AH1101">
            <v>0</v>
          </cell>
          <cell r="AI1101">
            <v>0</v>
          </cell>
          <cell r="AJ1101">
            <v>0</v>
          </cell>
          <cell r="AK1101">
            <v>0</v>
          </cell>
          <cell r="AL1101">
            <v>0</v>
          </cell>
        </row>
        <row r="1102">
          <cell r="E1102" t="str">
            <v>HP 1.6mm-15Pr</v>
          </cell>
          <cell r="F1102" t="str">
            <v>ｍ</v>
          </cell>
          <cell r="G1102">
            <v>0</v>
          </cell>
          <cell r="H1102">
            <v>1719</v>
          </cell>
          <cell r="I1102">
            <v>0</v>
          </cell>
          <cell r="J1102">
            <v>1719</v>
          </cell>
          <cell r="K1102">
            <v>0</v>
          </cell>
          <cell r="L1102">
            <v>1719</v>
          </cell>
          <cell r="M1102">
            <v>0</v>
          </cell>
          <cell r="N1102">
            <v>1719</v>
          </cell>
          <cell r="O1102">
            <v>0</v>
          </cell>
          <cell r="P1102">
            <v>1719</v>
          </cell>
          <cell r="Q1102">
            <v>0</v>
          </cell>
          <cell r="R1102">
            <v>1719</v>
          </cell>
          <cell r="S1102">
            <v>0</v>
          </cell>
          <cell r="T1102">
            <v>1719</v>
          </cell>
          <cell r="U1102">
            <v>0</v>
          </cell>
          <cell r="V1102">
            <v>1719</v>
          </cell>
          <cell r="W1102">
            <v>0</v>
          </cell>
          <cell r="X1102">
            <v>1719</v>
          </cell>
          <cell r="Y1102">
            <v>0</v>
          </cell>
          <cell r="Z1102">
            <v>1719</v>
          </cell>
          <cell r="AA1102">
            <v>0</v>
          </cell>
          <cell r="AB1102">
            <v>0</v>
          </cell>
          <cell r="AC1102">
            <v>0</v>
          </cell>
          <cell r="AD1102">
            <v>0.04</v>
          </cell>
          <cell r="AE1102">
            <v>0</v>
          </cell>
          <cell r="AF1102">
            <v>0</v>
          </cell>
          <cell r="AG1102">
            <v>0</v>
          </cell>
          <cell r="AH1102">
            <v>0</v>
          </cell>
          <cell r="AI1102">
            <v>0</v>
          </cell>
          <cell r="AJ1102">
            <v>0</v>
          </cell>
          <cell r="AK1102">
            <v>0</v>
          </cell>
          <cell r="AL1102">
            <v>0</v>
          </cell>
        </row>
        <row r="1103">
          <cell r="E1103" t="str">
            <v>HP 1.6mm-20Pr</v>
          </cell>
          <cell r="F1103" t="str">
            <v>ｍ</v>
          </cell>
          <cell r="G1103">
            <v>0</v>
          </cell>
          <cell r="H1103">
            <v>2259</v>
          </cell>
          <cell r="I1103">
            <v>0</v>
          </cell>
          <cell r="J1103">
            <v>2259</v>
          </cell>
          <cell r="K1103">
            <v>0</v>
          </cell>
          <cell r="L1103">
            <v>2259</v>
          </cell>
          <cell r="M1103">
            <v>0</v>
          </cell>
          <cell r="N1103">
            <v>2259</v>
          </cell>
          <cell r="O1103">
            <v>0</v>
          </cell>
          <cell r="P1103">
            <v>2259</v>
          </cell>
          <cell r="Q1103">
            <v>0</v>
          </cell>
          <cell r="R1103">
            <v>2259</v>
          </cell>
          <cell r="S1103">
            <v>0</v>
          </cell>
          <cell r="T1103">
            <v>2259</v>
          </cell>
          <cell r="U1103">
            <v>0</v>
          </cell>
          <cell r="V1103">
            <v>2259</v>
          </cell>
          <cell r="W1103">
            <v>0</v>
          </cell>
          <cell r="X1103">
            <v>2259</v>
          </cell>
          <cell r="Y1103">
            <v>0</v>
          </cell>
          <cell r="Z1103">
            <v>2259</v>
          </cell>
          <cell r="AA1103">
            <v>0</v>
          </cell>
          <cell r="AB1103">
            <v>0</v>
          </cell>
          <cell r="AC1103">
            <v>0</v>
          </cell>
          <cell r="AD1103">
            <v>4.7E-2</v>
          </cell>
          <cell r="AE1103">
            <v>0</v>
          </cell>
          <cell r="AF1103">
            <v>0</v>
          </cell>
          <cell r="AG1103">
            <v>0</v>
          </cell>
          <cell r="AH1103">
            <v>0</v>
          </cell>
          <cell r="AI1103">
            <v>0</v>
          </cell>
          <cell r="AJ1103">
            <v>0</v>
          </cell>
          <cell r="AK1103">
            <v>0</v>
          </cell>
          <cell r="AL1103">
            <v>0</v>
          </cell>
        </row>
        <row r="1104">
          <cell r="E1104" t="str">
            <v>HP 1.6mm-25Pr</v>
          </cell>
          <cell r="F1104" t="str">
            <v>ｍ</v>
          </cell>
          <cell r="G1104">
            <v>0</v>
          </cell>
          <cell r="H1104">
            <v>2804</v>
          </cell>
          <cell r="I1104">
            <v>0</v>
          </cell>
          <cell r="J1104">
            <v>2804</v>
          </cell>
          <cell r="K1104">
            <v>0</v>
          </cell>
          <cell r="L1104">
            <v>2804</v>
          </cell>
          <cell r="M1104">
            <v>0</v>
          </cell>
          <cell r="N1104">
            <v>2804</v>
          </cell>
          <cell r="O1104">
            <v>0</v>
          </cell>
          <cell r="P1104">
            <v>2804</v>
          </cell>
          <cell r="Q1104">
            <v>0</v>
          </cell>
          <cell r="R1104">
            <v>2804</v>
          </cell>
          <cell r="S1104">
            <v>0</v>
          </cell>
          <cell r="T1104">
            <v>2804</v>
          </cell>
          <cell r="U1104">
            <v>0</v>
          </cell>
          <cell r="V1104">
            <v>2804</v>
          </cell>
          <cell r="W1104">
            <v>0</v>
          </cell>
          <cell r="X1104">
            <v>2804</v>
          </cell>
          <cell r="Y1104">
            <v>0</v>
          </cell>
          <cell r="Z1104">
            <v>2804</v>
          </cell>
          <cell r="AA1104">
            <v>0</v>
          </cell>
          <cell r="AB1104">
            <v>0</v>
          </cell>
          <cell r="AC1104">
            <v>0</v>
          </cell>
          <cell r="AD1104">
            <v>5.0999999999999997E-2</v>
          </cell>
          <cell r="AE1104">
            <v>0</v>
          </cell>
          <cell r="AF1104">
            <v>0</v>
          </cell>
          <cell r="AG1104">
            <v>0</v>
          </cell>
          <cell r="AH1104">
            <v>0</v>
          </cell>
          <cell r="AI1104">
            <v>0</v>
          </cell>
          <cell r="AJ1104">
            <v>0</v>
          </cell>
          <cell r="AK1104">
            <v>0</v>
          </cell>
          <cell r="AL1104">
            <v>0</v>
          </cell>
        </row>
        <row r="1105">
          <cell r="E1105" t="str">
            <v>HP 1.6mm-30Pr</v>
          </cell>
          <cell r="F1105" t="str">
            <v>ｍ</v>
          </cell>
          <cell r="G1105">
            <v>0</v>
          </cell>
          <cell r="H1105">
            <v>3264</v>
          </cell>
          <cell r="I1105">
            <v>0</v>
          </cell>
          <cell r="J1105">
            <v>3264</v>
          </cell>
          <cell r="K1105">
            <v>0</v>
          </cell>
          <cell r="L1105">
            <v>3264</v>
          </cell>
          <cell r="M1105">
            <v>0</v>
          </cell>
          <cell r="N1105">
            <v>3264</v>
          </cell>
          <cell r="O1105">
            <v>0</v>
          </cell>
          <cell r="P1105">
            <v>3264</v>
          </cell>
          <cell r="Q1105">
            <v>0</v>
          </cell>
          <cell r="R1105">
            <v>3264</v>
          </cell>
          <cell r="S1105">
            <v>0</v>
          </cell>
          <cell r="T1105">
            <v>3264</v>
          </cell>
          <cell r="U1105">
            <v>0</v>
          </cell>
          <cell r="V1105">
            <v>3264</v>
          </cell>
          <cell r="W1105">
            <v>0</v>
          </cell>
          <cell r="X1105">
            <v>3264</v>
          </cell>
          <cell r="Y1105">
            <v>0</v>
          </cell>
          <cell r="Z1105">
            <v>3264</v>
          </cell>
          <cell r="AA1105">
            <v>0</v>
          </cell>
          <cell r="AB1105">
            <v>0</v>
          </cell>
          <cell r="AC1105">
            <v>0</v>
          </cell>
          <cell r="AD1105">
            <v>5.3999999999999999E-2</v>
          </cell>
          <cell r="AE1105">
            <v>0</v>
          </cell>
          <cell r="AF1105">
            <v>0</v>
          </cell>
          <cell r="AG1105">
            <v>0</v>
          </cell>
          <cell r="AH1105">
            <v>0</v>
          </cell>
          <cell r="AI1105">
            <v>0</v>
          </cell>
          <cell r="AJ1105">
            <v>0</v>
          </cell>
          <cell r="AK1105">
            <v>0</v>
          </cell>
          <cell r="AL1105">
            <v>0</v>
          </cell>
        </row>
        <row r="1106">
          <cell r="E1106" t="str">
            <v>HP 1.6mm-40Pr</v>
          </cell>
          <cell r="F1106" t="str">
            <v>ｍ</v>
          </cell>
          <cell r="G1106">
            <v>0</v>
          </cell>
          <cell r="H1106">
            <v>4358</v>
          </cell>
          <cell r="I1106">
            <v>0</v>
          </cell>
          <cell r="J1106">
            <v>4358</v>
          </cell>
          <cell r="K1106">
            <v>0</v>
          </cell>
          <cell r="L1106">
            <v>4358</v>
          </cell>
          <cell r="M1106">
            <v>0</v>
          </cell>
          <cell r="N1106">
            <v>4358</v>
          </cell>
          <cell r="O1106">
            <v>0</v>
          </cell>
          <cell r="P1106">
            <v>4358</v>
          </cell>
          <cell r="Q1106">
            <v>0</v>
          </cell>
          <cell r="R1106">
            <v>4358</v>
          </cell>
          <cell r="S1106">
            <v>0</v>
          </cell>
          <cell r="T1106">
            <v>4358</v>
          </cell>
          <cell r="U1106">
            <v>0</v>
          </cell>
          <cell r="V1106">
            <v>4358</v>
          </cell>
          <cell r="W1106">
            <v>0</v>
          </cell>
          <cell r="X1106">
            <v>4358</v>
          </cell>
          <cell r="Y1106">
            <v>0</v>
          </cell>
          <cell r="Z1106">
            <v>4358</v>
          </cell>
          <cell r="AA1106">
            <v>0</v>
          </cell>
          <cell r="AB1106">
            <v>0</v>
          </cell>
          <cell r="AC1106">
            <v>0</v>
          </cell>
          <cell r="AD1106">
            <v>6.4000000000000001E-2</v>
          </cell>
          <cell r="AE1106">
            <v>0</v>
          </cell>
          <cell r="AF1106">
            <v>0</v>
          </cell>
          <cell r="AG1106">
            <v>0</v>
          </cell>
          <cell r="AH1106">
            <v>0</v>
          </cell>
          <cell r="AI1106">
            <v>0</v>
          </cell>
          <cell r="AJ1106">
            <v>0</v>
          </cell>
          <cell r="AK1106">
            <v>0</v>
          </cell>
          <cell r="AL1106">
            <v>0</v>
          </cell>
        </row>
        <row r="1107">
          <cell r="E1107" t="str">
            <v>HP 1.6mm-50Pr</v>
          </cell>
          <cell r="F1107" t="str">
            <v>ｍ</v>
          </cell>
          <cell r="G1107">
            <v>0</v>
          </cell>
          <cell r="H1107">
            <v>5061</v>
          </cell>
          <cell r="I1107">
            <v>0</v>
          </cell>
          <cell r="J1107">
            <v>5061</v>
          </cell>
          <cell r="K1107">
            <v>0</v>
          </cell>
          <cell r="L1107">
            <v>5061</v>
          </cell>
          <cell r="M1107">
            <v>0</v>
          </cell>
          <cell r="N1107">
            <v>5061</v>
          </cell>
          <cell r="O1107">
            <v>0</v>
          </cell>
          <cell r="P1107">
            <v>5061</v>
          </cell>
          <cell r="Q1107">
            <v>0</v>
          </cell>
          <cell r="R1107">
            <v>5061</v>
          </cell>
          <cell r="S1107">
            <v>0</v>
          </cell>
          <cell r="T1107">
            <v>5061</v>
          </cell>
          <cell r="U1107">
            <v>0</v>
          </cell>
          <cell r="V1107">
            <v>5061</v>
          </cell>
          <cell r="W1107">
            <v>0</v>
          </cell>
          <cell r="X1107">
            <v>5061</v>
          </cell>
          <cell r="Y1107">
            <v>0</v>
          </cell>
          <cell r="Z1107">
            <v>5061</v>
          </cell>
          <cell r="AA1107">
            <v>0</v>
          </cell>
          <cell r="AB1107">
            <v>0</v>
          </cell>
          <cell r="AC1107">
            <v>0</v>
          </cell>
          <cell r="AD1107">
            <v>7.3999999999999996E-2</v>
          </cell>
          <cell r="AE1107">
            <v>0</v>
          </cell>
          <cell r="AF1107">
            <v>0</v>
          </cell>
          <cell r="AG1107">
            <v>0</v>
          </cell>
          <cell r="AH1107">
            <v>0</v>
          </cell>
          <cell r="AI1107">
            <v>0</v>
          </cell>
          <cell r="AJ1107">
            <v>0</v>
          </cell>
          <cell r="AK1107">
            <v>0</v>
          </cell>
          <cell r="AL1107">
            <v>0</v>
          </cell>
        </row>
        <row r="1108">
          <cell r="E1108" t="str">
            <v>HP 1.6mm-75Pr</v>
          </cell>
          <cell r="F1108" t="str">
            <v>ｍ</v>
          </cell>
          <cell r="G1108">
            <v>0</v>
          </cell>
          <cell r="H1108">
            <v>7196</v>
          </cell>
          <cell r="I1108">
            <v>0</v>
          </cell>
          <cell r="J1108">
            <v>7196</v>
          </cell>
          <cell r="K1108">
            <v>0</v>
          </cell>
          <cell r="L1108">
            <v>7196</v>
          </cell>
          <cell r="M1108">
            <v>0</v>
          </cell>
          <cell r="N1108">
            <v>7196</v>
          </cell>
          <cell r="O1108">
            <v>0</v>
          </cell>
          <cell r="P1108">
            <v>7196</v>
          </cell>
          <cell r="Q1108">
            <v>0</v>
          </cell>
          <cell r="R1108">
            <v>7196</v>
          </cell>
          <cell r="S1108">
            <v>0</v>
          </cell>
          <cell r="T1108">
            <v>7196</v>
          </cell>
          <cell r="U1108">
            <v>0</v>
          </cell>
          <cell r="V1108">
            <v>7196</v>
          </cell>
          <cell r="W1108">
            <v>0</v>
          </cell>
          <cell r="X1108">
            <v>7196</v>
          </cell>
          <cell r="Y1108">
            <v>0</v>
          </cell>
          <cell r="Z1108">
            <v>7196</v>
          </cell>
          <cell r="AA1108">
            <v>0</v>
          </cell>
          <cell r="AB1108">
            <v>0</v>
          </cell>
          <cell r="AC1108">
            <v>0</v>
          </cell>
          <cell r="AD1108">
            <v>0.109</v>
          </cell>
          <cell r="AE1108">
            <v>0</v>
          </cell>
          <cell r="AF1108">
            <v>0</v>
          </cell>
          <cell r="AG1108">
            <v>0</v>
          </cell>
          <cell r="AH1108">
            <v>0</v>
          </cell>
          <cell r="AI1108">
            <v>0</v>
          </cell>
          <cell r="AJ1108">
            <v>0</v>
          </cell>
          <cell r="AK1108">
            <v>0</v>
          </cell>
          <cell r="AL1108">
            <v>0</v>
          </cell>
        </row>
        <row r="1109">
          <cell r="E1109" t="str">
            <v>HP 1.6mm-100Pr</v>
          </cell>
          <cell r="F1109" t="str">
            <v>ｍ</v>
          </cell>
          <cell r="G1109">
            <v>0</v>
          </cell>
          <cell r="H1109">
            <v>9733</v>
          </cell>
          <cell r="I1109">
            <v>0</v>
          </cell>
          <cell r="J1109">
            <v>9733</v>
          </cell>
          <cell r="K1109">
            <v>0</v>
          </cell>
          <cell r="L1109">
            <v>9733</v>
          </cell>
          <cell r="M1109">
            <v>0</v>
          </cell>
          <cell r="N1109">
            <v>9733</v>
          </cell>
          <cell r="O1109">
            <v>0</v>
          </cell>
          <cell r="P1109">
            <v>9733</v>
          </cell>
          <cell r="Q1109">
            <v>0</v>
          </cell>
          <cell r="R1109">
            <v>9733</v>
          </cell>
          <cell r="S1109">
            <v>0</v>
          </cell>
          <cell r="T1109">
            <v>9733</v>
          </cell>
          <cell r="U1109">
            <v>0</v>
          </cell>
          <cell r="V1109">
            <v>9733</v>
          </cell>
          <cell r="W1109">
            <v>0</v>
          </cell>
          <cell r="X1109">
            <v>9733</v>
          </cell>
          <cell r="Y1109">
            <v>0</v>
          </cell>
          <cell r="Z1109">
            <v>9733</v>
          </cell>
          <cell r="AA1109">
            <v>0</v>
          </cell>
          <cell r="AB1109">
            <v>0</v>
          </cell>
          <cell r="AC1109">
            <v>0</v>
          </cell>
          <cell r="AD1109">
            <v>0.14399999999999999</v>
          </cell>
          <cell r="AE1109">
            <v>0</v>
          </cell>
          <cell r="AF1109">
            <v>0</v>
          </cell>
          <cell r="AG1109">
            <v>0</v>
          </cell>
          <cell r="AH1109">
            <v>0</v>
          </cell>
          <cell r="AI1109">
            <v>0</v>
          </cell>
          <cell r="AJ1109">
            <v>0</v>
          </cell>
          <cell r="AK1109">
            <v>0</v>
          </cell>
          <cell r="AL1109">
            <v>0</v>
          </cell>
        </row>
        <row r="1110">
          <cell r="E1110" t="str">
            <v>HP 1.6mm-200Pr</v>
          </cell>
          <cell r="F1110" t="str">
            <v>ｍ</v>
          </cell>
          <cell r="G1110">
            <v>0</v>
          </cell>
          <cell r="H1110">
            <v>17958</v>
          </cell>
          <cell r="I1110">
            <v>0</v>
          </cell>
          <cell r="J1110">
            <v>17958</v>
          </cell>
          <cell r="K1110">
            <v>0</v>
          </cell>
          <cell r="L1110">
            <v>17958</v>
          </cell>
          <cell r="M1110">
            <v>0</v>
          </cell>
          <cell r="N1110">
            <v>17958</v>
          </cell>
          <cell r="O1110">
            <v>0</v>
          </cell>
          <cell r="P1110">
            <v>17958</v>
          </cell>
          <cell r="Q1110">
            <v>0</v>
          </cell>
          <cell r="R1110">
            <v>17958</v>
          </cell>
          <cell r="S1110">
            <v>0</v>
          </cell>
          <cell r="T1110">
            <v>17958</v>
          </cell>
          <cell r="U1110">
            <v>0</v>
          </cell>
          <cell r="V1110">
            <v>17958</v>
          </cell>
          <cell r="W1110">
            <v>0</v>
          </cell>
          <cell r="X1110">
            <v>17958</v>
          </cell>
          <cell r="Y1110">
            <v>0</v>
          </cell>
          <cell r="Z1110">
            <v>17958</v>
          </cell>
          <cell r="AA1110">
            <v>0</v>
          </cell>
          <cell r="AB1110">
            <v>0</v>
          </cell>
          <cell r="AC1110">
            <v>0</v>
          </cell>
          <cell r="AD1110">
            <v>0.16900000000000001</v>
          </cell>
          <cell r="AE1110">
            <v>0</v>
          </cell>
          <cell r="AF1110">
            <v>0</v>
          </cell>
          <cell r="AG1110">
            <v>0</v>
          </cell>
          <cell r="AH1110">
            <v>0</v>
          </cell>
          <cell r="AI1110">
            <v>0</v>
          </cell>
          <cell r="AJ1110">
            <v>0</v>
          </cell>
          <cell r="AK1110">
            <v>0</v>
          </cell>
          <cell r="AL1110">
            <v>0</v>
          </cell>
        </row>
        <row r="1111">
          <cell r="E1111" t="str">
            <v>HP 2.0mm-1C</v>
          </cell>
          <cell r="F1111" t="str">
            <v>ｍ</v>
          </cell>
          <cell r="G1111">
            <v>0</v>
          </cell>
          <cell r="H1111">
            <v>92.4</v>
          </cell>
          <cell r="I1111">
            <v>0</v>
          </cell>
          <cell r="J1111">
            <v>92.4</v>
          </cell>
          <cell r="K1111">
            <v>0</v>
          </cell>
          <cell r="L1111">
            <v>92.4</v>
          </cell>
          <cell r="M1111">
            <v>0</v>
          </cell>
          <cell r="N1111">
            <v>92.4</v>
          </cell>
          <cell r="O1111">
            <v>0</v>
          </cell>
          <cell r="P1111">
            <v>92.4</v>
          </cell>
          <cell r="Q1111">
            <v>0</v>
          </cell>
          <cell r="R1111">
            <v>92.4</v>
          </cell>
          <cell r="S1111">
            <v>0</v>
          </cell>
          <cell r="T1111">
            <v>92.4</v>
          </cell>
          <cell r="U1111">
            <v>0</v>
          </cell>
          <cell r="V1111">
            <v>92.4</v>
          </cell>
          <cell r="W1111">
            <v>0</v>
          </cell>
          <cell r="X1111">
            <v>92.4</v>
          </cell>
          <cell r="Y1111">
            <v>0</v>
          </cell>
          <cell r="Z1111">
            <v>92.4</v>
          </cell>
          <cell r="AA1111">
            <v>0</v>
          </cell>
          <cell r="AB1111">
            <v>0</v>
          </cell>
          <cell r="AC1111">
            <v>0</v>
          </cell>
          <cell r="AD1111">
            <v>1.6E-2</v>
          </cell>
          <cell r="AE1111">
            <v>0</v>
          </cell>
          <cell r="AF1111">
            <v>0</v>
          </cell>
          <cell r="AG1111">
            <v>0</v>
          </cell>
          <cell r="AH1111">
            <v>0</v>
          </cell>
          <cell r="AI1111">
            <v>0</v>
          </cell>
          <cell r="AJ1111">
            <v>0</v>
          </cell>
          <cell r="AK1111">
            <v>0</v>
          </cell>
          <cell r="AL1111">
            <v>0</v>
          </cell>
        </row>
        <row r="1112">
          <cell r="E1112" t="str">
            <v>HP 2.0mm-2C</v>
          </cell>
          <cell r="F1112" t="str">
            <v>ｍ</v>
          </cell>
          <cell r="G1112">
            <v>0</v>
          </cell>
          <cell r="H1112">
            <v>154</v>
          </cell>
          <cell r="I1112">
            <v>0</v>
          </cell>
          <cell r="J1112">
            <v>154</v>
          </cell>
          <cell r="K1112">
            <v>0</v>
          </cell>
          <cell r="L1112">
            <v>154</v>
          </cell>
          <cell r="M1112">
            <v>0</v>
          </cell>
          <cell r="N1112">
            <v>154</v>
          </cell>
          <cell r="O1112">
            <v>0</v>
          </cell>
          <cell r="P1112">
            <v>154</v>
          </cell>
          <cell r="Q1112">
            <v>0</v>
          </cell>
          <cell r="R1112">
            <v>154</v>
          </cell>
          <cell r="S1112">
            <v>0</v>
          </cell>
          <cell r="T1112">
            <v>154</v>
          </cell>
          <cell r="U1112">
            <v>0</v>
          </cell>
          <cell r="V1112">
            <v>154</v>
          </cell>
          <cell r="W1112">
            <v>0</v>
          </cell>
          <cell r="X1112">
            <v>154</v>
          </cell>
          <cell r="Y1112">
            <v>0</v>
          </cell>
          <cell r="Z1112">
            <v>154</v>
          </cell>
          <cell r="AA1112">
            <v>0</v>
          </cell>
          <cell r="AB1112">
            <v>0</v>
          </cell>
          <cell r="AC1112">
            <v>0</v>
          </cell>
          <cell r="AD1112">
            <v>1.7999999999999999E-2</v>
          </cell>
          <cell r="AE1112">
            <v>0</v>
          </cell>
          <cell r="AF1112">
            <v>0</v>
          </cell>
          <cell r="AG1112">
            <v>0</v>
          </cell>
          <cell r="AH1112">
            <v>0</v>
          </cell>
          <cell r="AI1112">
            <v>0</v>
          </cell>
          <cell r="AJ1112">
            <v>0</v>
          </cell>
          <cell r="AK1112">
            <v>0</v>
          </cell>
          <cell r="AL1112">
            <v>0</v>
          </cell>
        </row>
        <row r="1113">
          <cell r="E1113" t="str">
            <v>HP 2.0mm-3C</v>
          </cell>
          <cell r="F1113" t="str">
            <v>ｍ</v>
          </cell>
          <cell r="G1113">
            <v>0</v>
          </cell>
          <cell r="H1113">
            <v>225</v>
          </cell>
          <cell r="I1113">
            <v>0</v>
          </cell>
          <cell r="J1113">
            <v>225</v>
          </cell>
          <cell r="K1113">
            <v>0</v>
          </cell>
          <cell r="L1113">
            <v>225</v>
          </cell>
          <cell r="M1113">
            <v>0</v>
          </cell>
          <cell r="N1113">
            <v>225</v>
          </cell>
          <cell r="O1113">
            <v>0</v>
          </cell>
          <cell r="P1113">
            <v>225</v>
          </cell>
          <cell r="Q1113">
            <v>0</v>
          </cell>
          <cell r="R1113">
            <v>225</v>
          </cell>
          <cell r="S1113">
            <v>0</v>
          </cell>
          <cell r="T1113">
            <v>225</v>
          </cell>
          <cell r="U1113">
            <v>0</v>
          </cell>
          <cell r="V1113">
            <v>225</v>
          </cell>
          <cell r="W1113">
            <v>0</v>
          </cell>
          <cell r="X1113">
            <v>225</v>
          </cell>
          <cell r="Y1113">
            <v>0</v>
          </cell>
          <cell r="Z1113">
            <v>225</v>
          </cell>
          <cell r="AA1113">
            <v>0</v>
          </cell>
          <cell r="AB1113">
            <v>0</v>
          </cell>
          <cell r="AC1113">
            <v>0</v>
          </cell>
          <cell r="AD1113">
            <v>2.1000000000000001E-2</v>
          </cell>
          <cell r="AE1113">
            <v>0</v>
          </cell>
          <cell r="AF1113">
            <v>0</v>
          </cell>
          <cell r="AG1113">
            <v>0</v>
          </cell>
          <cell r="AH1113">
            <v>0</v>
          </cell>
          <cell r="AI1113">
            <v>0</v>
          </cell>
          <cell r="AJ1113">
            <v>0</v>
          </cell>
          <cell r="AK1113">
            <v>0</v>
          </cell>
          <cell r="AL1113">
            <v>0</v>
          </cell>
        </row>
        <row r="1114">
          <cell r="E1114" t="str">
            <v>HP 2.0mm-4C</v>
          </cell>
          <cell r="F1114" t="str">
            <v>ｍ</v>
          </cell>
          <cell r="G1114">
            <v>0</v>
          </cell>
          <cell r="H1114">
            <v>276</v>
          </cell>
          <cell r="I1114">
            <v>0</v>
          </cell>
          <cell r="J1114">
            <v>276</v>
          </cell>
          <cell r="K1114">
            <v>0</v>
          </cell>
          <cell r="L1114">
            <v>276</v>
          </cell>
          <cell r="M1114">
            <v>0</v>
          </cell>
          <cell r="N1114">
            <v>276</v>
          </cell>
          <cell r="O1114">
            <v>0</v>
          </cell>
          <cell r="P1114">
            <v>276</v>
          </cell>
          <cell r="Q1114">
            <v>0</v>
          </cell>
          <cell r="R1114">
            <v>276</v>
          </cell>
          <cell r="S1114">
            <v>0</v>
          </cell>
          <cell r="T1114">
            <v>276</v>
          </cell>
          <cell r="U1114">
            <v>0</v>
          </cell>
          <cell r="V1114">
            <v>276</v>
          </cell>
          <cell r="W1114">
            <v>0</v>
          </cell>
          <cell r="X1114">
            <v>276</v>
          </cell>
          <cell r="Y1114">
            <v>0</v>
          </cell>
          <cell r="Z1114">
            <v>276</v>
          </cell>
          <cell r="AA1114">
            <v>0</v>
          </cell>
          <cell r="AB1114">
            <v>0</v>
          </cell>
          <cell r="AC1114">
            <v>0</v>
          </cell>
          <cell r="AD1114">
            <v>2.3E-2</v>
          </cell>
          <cell r="AE1114">
            <v>0</v>
          </cell>
          <cell r="AF1114">
            <v>0</v>
          </cell>
          <cell r="AG1114">
            <v>0</v>
          </cell>
          <cell r="AH1114">
            <v>0</v>
          </cell>
          <cell r="AI1114">
            <v>0</v>
          </cell>
          <cell r="AJ1114">
            <v>0</v>
          </cell>
          <cell r="AK1114">
            <v>0</v>
          </cell>
          <cell r="AL1114">
            <v>0</v>
          </cell>
        </row>
        <row r="1115">
          <cell r="E1115" t="str">
            <v>HP 2.0mm-6C</v>
          </cell>
          <cell r="F1115" t="str">
            <v>ｍ</v>
          </cell>
          <cell r="G1115">
            <v>0</v>
          </cell>
          <cell r="H1115">
            <v>413</v>
          </cell>
          <cell r="I1115">
            <v>0</v>
          </cell>
          <cell r="J1115">
            <v>413</v>
          </cell>
          <cell r="K1115">
            <v>0</v>
          </cell>
          <cell r="L1115">
            <v>413</v>
          </cell>
          <cell r="M1115">
            <v>0</v>
          </cell>
          <cell r="N1115">
            <v>413</v>
          </cell>
          <cell r="O1115">
            <v>0</v>
          </cell>
          <cell r="P1115">
            <v>413</v>
          </cell>
          <cell r="Q1115">
            <v>0</v>
          </cell>
          <cell r="R1115">
            <v>413</v>
          </cell>
          <cell r="S1115">
            <v>0</v>
          </cell>
          <cell r="T1115">
            <v>413</v>
          </cell>
          <cell r="U1115">
            <v>0</v>
          </cell>
          <cell r="V1115">
            <v>413</v>
          </cell>
          <cell r="W1115">
            <v>0</v>
          </cell>
          <cell r="X1115">
            <v>413</v>
          </cell>
          <cell r="Y1115">
            <v>0</v>
          </cell>
          <cell r="Z1115">
            <v>413</v>
          </cell>
          <cell r="AA1115">
            <v>0</v>
          </cell>
          <cell r="AB1115">
            <v>0</v>
          </cell>
          <cell r="AC1115">
            <v>0</v>
          </cell>
          <cell r="AD1115">
            <v>0.03</v>
          </cell>
          <cell r="AE1115">
            <v>0</v>
          </cell>
          <cell r="AF1115">
            <v>0</v>
          </cell>
          <cell r="AG1115">
            <v>0</v>
          </cell>
          <cell r="AH1115">
            <v>0</v>
          </cell>
          <cell r="AI1115">
            <v>0</v>
          </cell>
          <cell r="AJ1115">
            <v>0</v>
          </cell>
          <cell r="AK1115">
            <v>0</v>
          </cell>
          <cell r="AL1115">
            <v>0</v>
          </cell>
        </row>
        <row r="1116">
          <cell r="E1116" t="str">
            <v>HP 2.0mm-10Pr</v>
          </cell>
          <cell r="F1116" t="str">
            <v>ｍ</v>
          </cell>
          <cell r="G1116">
            <v>0</v>
          </cell>
          <cell r="H1116">
            <v>1453</v>
          </cell>
          <cell r="I1116">
            <v>0</v>
          </cell>
          <cell r="J1116">
            <v>1453</v>
          </cell>
          <cell r="K1116">
            <v>0</v>
          </cell>
          <cell r="L1116">
            <v>1453</v>
          </cell>
          <cell r="M1116">
            <v>0</v>
          </cell>
          <cell r="N1116">
            <v>1453</v>
          </cell>
          <cell r="O1116">
            <v>0</v>
          </cell>
          <cell r="P1116">
            <v>1453</v>
          </cell>
          <cell r="Q1116">
            <v>0</v>
          </cell>
          <cell r="R1116">
            <v>1453</v>
          </cell>
          <cell r="S1116">
            <v>0</v>
          </cell>
          <cell r="T1116">
            <v>1453</v>
          </cell>
          <cell r="U1116">
            <v>0</v>
          </cell>
          <cell r="V1116">
            <v>1453</v>
          </cell>
          <cell r="W1116">
            <v>0</v>
          </cell>
          <cell r="X1116">
            <v>1453</v>
          </cell>
          <cell r="Y1116">
            <v>0</v>
          </cell>
          <cell r="Z1116">
            <v>1453</v>
          </cell>
          <cell r="AA1116">
            <v>0</v>
          </cell>
          <cell r="AB1116">
            <v>0</v>
          </cell>
          <cell r="AC1116">
            <v>0</v>
          </cell>
          <cell r="AD1116">
            <v>7.6999999999999999E-2</v>
          </cell>
          <cell r="AE1116">
            <v>0</v>
          </cell>
          <cell r="AF1116">
            <v>0</v>
          </cell>
          <cell r="AG1116">
            <v>0</v>
          </cell>
          <cell r="AH1116">
            <v>0</v>
          </cell>
          <cell r="AI1116">
            <v>0</v>
          </cell>
          <cell r="AJ1116">
            <v>0</v>
          </cell>
          <cell r="AK1116">
            <v>0</v>
          </cell>
          <cell r="AL1116">
            <v>0</v>
          </cell>
        </row>
        <row r="1117">
          <cell r="E1117" t="str">
            <v>HP 2.0mm-15Pr</v>
          </cell>
          <cell r="F1117" t="str">
            <v>ｍ</v>
          </cell>
          <cell r="G1117">
            <v>0</v>
          </cell>
          <cell r="H1117">
            <v>2115</v>
          </cell>
          <cell r="I1117">
            <v>0</v>
          </cell>
          <cell r="J1117">
            <v>2115</v>
          </cell>
          <cell r="K1117">
            <v>0</v>
          </cell>
          <cell r="L1117">
            <v>2115</v>
          </cell>
          <cell r="M1117">
            <v>0</v>
          </cell>
          <cell r="N1117">
            <v>2115</v>
          </cell>
          <cell r="O1117">
            <v>0</v>
          </cell>
          <cell r="P1117">
            <v>2115</v>
          </cell>
          <cell r="Q1117">
            <v>0</v>
          </cell>
          <cell r="R1117">
            <v>2115</v>
          </cell>
          <cell r="S1117">
            <v>0</v>
          </cell>
          <cell r="T1117">
            <v>2115</v>
          </cell>
          <cell r="U1117">
            <v>0</v>
          </cell>
          <cell r="V1117">
            <v>2115</v>
          </cell>
          <cell r="W1117">
            <v>0</v>
          </cell>
          <cell r="X1117">
            <v>2115</v>
          </cell>
          <cell r="Y1117">
            <v>0</v>
          </cell>
          <cell r="Z1117">
            <v>2115</v>
          </cell>
          <cell r="AA1117">
            <v>0</v>
          </cell>
          <cell r="AB1117">
            <v>0</v>
          </cell>
          <cell r="AC1117">
            <v>0</v>
          </cell>
          <cell r="AD1117">
            <v>9.0999999999999998E-2</v>
          </cell>
          <cell r="AE1117">
            <v>0</v>
          </cell>
          <cell r="AF1117">
            <v>0</v>
          </cell>
          <cell r="AG1117">
            <v>0</v>
          </cell>
          <cell r="AH1117">
            <v>0</v>
          </cell>
          <cell r="AI1117">
            <v>0</v>
          </cell>
          <cell r="AJ1117">
            <v>0</v>
          </cell>
          <cell r="AK1117">
            <v>0</v>
          </cell>
          <cell r="AL1117">
            <v>0</v>
          </cell>
        </row>
        <row r="1118">
          <cell r="E1118" t="str">
            <v>HP 0.75sq-2C</v>
          </cell>
          <cell r="F1118" t="str">
            <v>ｍ</v>
          </cell>
          <cell r="G1118">
            <v>0</v>
          </cell>
          <cell r="H1118">
            <v>297</v>
          </cell>
          <cell r="I1118">
            <v>0</v>
          </cell>
          <cell r="J1118">
            <v>297</v>
          </cell>
          <cell r="K1118">
            <v>0</v>
          </cell>
          <cell r="L1118">
            <v>297</v>
          </cell>
          <cell r="M1118">
            <v>0</v>
          </cell>
          <cell r="N1118">
            <v>297</v>
          </cell>
          <cell r="O1118">
            <v>0</v>
          </cell>
          <cell r="P1118">
            <v>297</v>
          </cell>
          <cell r="Q1118">
            <v>0</v>
          </cell>
          <cell r="R1118">
            <v>297</v>
          </cell>
          <cell r="S1118">
            <v>0</v>
          </cell>
          <cell r="T1118">
            <v>297</v>
          </cell>
          <cell r="U1118">
            <v>0</v>
          </cell>
          <cell r="V1118">
            <v>297</v>
          </cell>
          <cell r="W1118">
            <v>0</v>
          </cell>
          <cell r="X1118">
            <v>297</v>
          </cell>
          <cell r="Y1118">
            <v>0</v>
          </cell>
          <cell r="Z1118">
            <v>297</v>
          </cell>
          <cell r="AA1118">
            <v>0</v>
          </cell>
          <cell r="AB1118">
            <v>0</v>
          </cell>
          <cell r="AC1118">
            <v>0</v>
          </cell>
          <cell r="AD1118">
            <v>1.6E-2</v>
          </cell>
          <cell r="AE1118">
            <v>0</v>
          </cell>
          <cell r="AF1118">
            <v>0</v>
          </cell>
          <cell r="AG1118">
            <v>0</v>
          </cell>
          <cell r="AH1118">
            <v>0</v>
          </cell>
          <cell r="AI1118">
            <v>0</v>
          </cell>
          <cell r="AJ1118">
            <v>0</v>
          </cell>
          <cell r="AK1118">
            <v>0</v>
          </cell>
          <cell r="AL1118">
            <v>0</v>
          </cell>
        </row>
        <row r="1119">
          <cell r="E1119" t="str">
            <v>AE 0.65mm-2C</v>
          </cell>
          <cell r="F1119" t="str">
            <v>ｍ</v>
          </cell>
          <cell r="G1119">
            <v>0</v>
          </cell>
          <cell r="H1119">
            <v>16.3</v>
          </cell>
          <cell r="I1119">
            <v>0</v>
          </cell>
          <cell r="J1119">
            <v>16.3</v>
          </cell>
          <cell r="K1119">
            <v>0</v>
          </cell>
          <cell r="L1119">
            <v>16.3</v>
          </cell>
          <cell r="M1119">
            <v>0</v>
          </cell>
          <cell r="N1119">
            <v>16.3</v>
          </cell>
          <cell r="O1119">
            <v>0</v>
          </cell>
          <cell r="P1119">
            <v>16.3</v>
          </cell>
          <cell r="Q1119">
            <v>0</v>
          </cell>
          <cell r="R1119">
            <v>16.3</v>
          </cell>
          <cell r="S1119">
            <v>0</v>
          </cell>
          <cell r="T1119">
            <v>16.3</v>
          </cell>
          <cell r="U1119">
            <v>0</v>
          </cell>
          <cell r="V1119">
            <v>16.3</v>
          </cell>
          <cell r="W1119">
            <v>0</v>
          </cell>
          <cell r="X1119">
            <v>16.3</v>
          </cell>
          <cell r="Y1119">
            <v>0</v>
          </cell>
          <cell r="Z1119">
            <v>16.3</v>
          </cell>
          <cell r="AA1119">
            <v>0</v>
          </cell>
          <cell r="AB1119">
            <v>0</v>
          </cell>
          <cell r="AC1119">
            <v>0</v>
          </cell>
          <cell r="AD1119">
            <v>1.2999999999999999E-2</v>
          </cell>
          <cell r="AE1119">
            <v>0</v>
          </cell>
          <cell r="AF1119">
            <v>0</v>
          </cell>
          <cell r="AG1119">
            <v>0</v>
          </cell>
          <cell r="AH1119">
            <v>0</v>
          </cell>
          <cell r="AI1119">
            <v>0</v>
          </cell>
          <cell r="AJ1119">
            <v>0</v>
          </cell>
          <cell r="AK1119">
            <v>0</v>
          </cell>
          <cell r="AL1119">
            <v>0</v>
          </cell>
        </row>
        <row r="1120">
          <cell r="E1120" t="str">
            <v>AE 0.65mm-3C</v>
          </cell>
          <cell r="F1120" t="str">
            <v>ｍ</v>
          </cell>
          <cell r="G1120">
            <v>0</v>
          </cell>
          <cell r="H1120">
            <v>22.7</v>
          </cell>
          <cell r="I1120">
            <v>0</v>
          </cell>
          <cell r="J1120">
            <v>22.7</v>
          </cell>
          <cell r="K1120">
            <v>0</v>
          </cell>
          <cell r="L1120">
            <v>22.7</v>
          </cell>
          <cell r="M1120">
            <v>0</v>
          </cell>
          <cell r="N1120">
            <v>22.7</v>
          </cell>
          <cell r="O1120">
            <v>0</v>
          </cell>
          <cell r="P1120">
            <v>22.7</v>
          </cell>
          <cell r="Q1120">
            <v>0</v>
          </cell>
          <cell r="R1120">
            <v>22.7</v>
          </cell>
          <cell r="S1120">
            <v>0</v>
          </cell>
          <cell r="T1120">
            <v>22.7</v>
          </cell>
          <cell r="U1120">
            <v>0</v>
          </cell>
          <cell r="V1120">
            <v>22.7</v>
          </cell>
          <cell r="W1120">
            <v>0</v>
          </cell>
          <cell r="X1120">
            <v>22.7</v>
          </cell>
          <cell r="Y1120">
            <v>0</v>
          </cell>
          <cell r="Z1120">
            <v>22.7</v>
          </cell>
          <cell r="AA1120">
            <v>0</v>
          </cell>
          <cell r="AB1120">
            <v>0</v>
          </cell>
          <cell r="AC1120">
            <v>0</v>
          </cell>
          <cell r="AD1120">
            <v>1.4E-2</v>
          </cell>
          <cell r="AE1120">
            <v>0</v>
          </cell>
          <cell r="AF1120">
            <v>0</v>
          </cell>
          <cell r="AG1120">
            <v>0</v>
          </cell>
          <cell r="AH1120">
            <v>0</v>
          </cell>
          <cell r="AI1120">
            <v>0</v>
          </cell>
          <cell r="AJ1120">
            <v>0</v>
          </cell>
          <cell r="AK1120">
            <v>0</v>
          </cell>
          <cell r="AL1120">
            <v>0</v>
          </cell>
        </row>
        <row r="1121">
          <cell r="E1121" t="str">
            <v>AE 0.65mm-4C</v>
          </cell>
          <cell r="F1121" t="str">
            <v>ｍ</v>
          </cell>
          <cell r="G1121">
            <v>0</v>
          </cell>
          <cell r="H1121">
            <v>28.3</v>
          </cell>
          <cell r="I1121">
            <v>0</v>
          </cell>
          <cell r="J1121">
            <v>28.3</v>
          </cell>
          <cell r="K1121">
            <v>0</v>
          </cell>
          <cell r="L1121">
            <v>28.3</v>
          </cell>
          <cell r="M1121">
            <v>0</v>
          </cell>
          <cell r="N1121">
            <v>28.3</v>
          </cell>
          <cell r="O1121">
            <v>0</v>
          </cell>
          <cell r="P1121">
            <v>28.3</v>
          </cell>
          <cell r="Q1121">
            <v>0</v>
          </cell>
          <cell r="R1121">
            <v>28.3</v>
          </cell>
          <cell r="S1121">
            <v>0</v>
          </cell>
          <cell r="T1121">
            <v>28.3</v>
          </cell>
          <cell r="U1121">
            <v>0</v>
          </cell>
          <cell r="V1121">
            <v>28.3</v>
          </cell>
          <cell r="W1121">
            <v>0</v>
          </cell>
          <cell r="X1121">
            <v>28.3</v>
          </cell>
          <cell r="Y1121">
            <v>0</v>
          </cell>
          <cell r="Z1121">
            <v>28.3</v>
          </cell>
          <cell r="AA1121">
            <v>0</v>
          </cell>
          <cell r="AB1121">
            <v>0</v>
          </cell>
          <cell r="AC1121">
            <v>0</v>
          </cell>
          <cell r="AD1121">
            <v>1.4E-2</v>
          </cell>
          <cell r="AE1121">
            <v>0</v>
          </cell>
          <cell r="AF1121">
            <v>0</v>
          </cell>
          <cell r="AG1121">
            <v>0</v>
          </cell>
          <cell r="AH1121">
            <v>0</v>
          </cell>
          <cell r="AI1121">
            <v>0</v>
          </cell>
          <cell r="AJ1121">
            <v>0</v>
          </cell>
          <cell r="AK1121">
            <v>0</v>
          </cell>
          <cell r="AL1121">
            <v>0</v>
          </cell>
        </row>
        <row r="1122">
          <cell r="E1122" t="str">
            <v>AE 0.65mm-6C</v>
          </cell>
          <cell r="F1122" t="str">
            <v>ｍ</v>
          </cell>
          <cell r="G1122">
            <v>0</v>
          </cell>
          <cell r="H1122">
            <v>45.1</v>
          </cell>
          <cell r="I1122">
            <v>0</v>
          </cell>
          <cell r="J1122">
            <v>45.1</v>
          </cell>
          <cell r="K1122">
            <v>0</v>
          </cell>
          <cell r="L1122">
            <v>45.1</v>
          </cell>
          <cell r="M1122">
            <v>0</v>
          </cell>
          <cell r="N1122">
            <v>45.1</v>
          </cell>
          <cell r="O1122">
            <v>0</v>
          </cell>
          <cell r="P1122">
            <v>45.1</v>
          </cell>
          <cell r="Q1122">
            <v>0</v>
          </cell>
          <cell r="R1122">
            <v>45.1</v>
          </cell>
          <cell r="S1122">
            <v>0</v>
          </cell>
          <cell r="T1122">
            <v>45.1</v>
          </cell>
          <cell r="U1122">
            <v>0</v>
          </cell>
          <cell r="V1122">
            <v>45.1</v>
          </cell>
          <cell r="W1122">
            <v>0</v>
          </cell>
          <cell r="X1122">
            <v>45.1</v>
          </cell>
          <cell r="Y1122">
            <v>0</v>
          </cell>
          <cell r="Z1122">
            <v>45.1</v>
          </cell>
          <cell r="AA1122">
            <v>0</v>
          </cell>
          <cell r="AB1122">
            <v>0</v>
          </cell>
          <cell r="AC1122">
            <v>0</v>
          </cell>
          <cell r="AD1122">
            <v>1.4999999999999999E-2</v>
          </cell>
          <cell r="AE1122">
            <v>0</v>
          </cell>
          <cell r="AF1122">
            <v>0</v>
          </cell>
          <cell r="AG1122">
            <v>0</v>
          </cell>
          <cell r="AH1122">
            <v>0</v>
          </cell>
          <cell r="AI1122">
            <v>0</v>
          </cell>
          <cell r="AJ1122">
            <v>0</v>
          </cell>
          <cell r="AK1122">
            <v>0</v>
          </cell>
          <cell r="AL1122">
            <v>0</v>
          </cell>
        </row>
        <row r="1123">
          <cell r="E1123" t="str">
            <v>AE 0.65mm-5Pr</v>
          </cell>
          <cell r="F1123" t="str">
            <v>ｍ</v>
          </cell>
          <cell r="G1123">
            <v>0</v>
          </cell>
          <cell r="H1123">
            <v>78.900000000000006</v>
          </cell>
          <cell r="I1123">
            <v>0</v>
          </cell>
          <cell r="J1123">
            <v>78.900000000000006</v>
          </cell>
          <cell r="K1123">
            <v>0</v>
          </cell>
          <cell r="L1123">
            <v>78.900000000000006</v>
          </cell>
          <cell r="M1123">
            <v>0</v>
          </cell>
          <cell r="N1123">
            <v>78.900000000000006</v>
          </cell>
          <cell r="O1123">
            <v>0</v>
          </cell>
          <cell r="P1123">
            <v>78.900000000000006</v>
          </cell>
          <cell r="Q1123">
            <v>0</v>
          </cell>
          <cell r="R1123">
            <v>78.900000000000006</v>
          </cell>
          <cell r="S1123">
            <v>0</v>
          </cell>
          <cell r="T1123">
            <v>78.900000000000006</v>
          </cell>
          <cell r="U1123">
            <v>0</v>
          </cell>
          <cell r="V1123">
            <v>78.900000000000006</v>
          </cell>
          <cell r="W1123">
            <v>0</v>
          </cell>
          <cell r="X1123">
            <v>78.900000000000006</v>
          </cell>
          <cell r="Y1123">
            <v>0</v>
          </cell>
          <cell r="Z1123">
            <v>78.900000000000006</v>
          </cell>
          <cell r="AA1123">
            <v>0</v>
          </cell>
          <cell r="AB1123">
            <v>0</v>
          </cell>
          <cell r="AC1123">
            <v>0</v>
          </cell>
          <cell r="AD1123">
            <v>1.7000000000000001E-2</v>
          </cell>
          <cell r="AE1123">
            <v>0</v>
          </cell>
          <cell r="AF1123">
            <v>0</v>
          </cell>
          <cell r="AG1123">
            <v>0</v>
          </cell>
          <cell r="AH1123">
            <v>0</v>
          </cell>
          <cell r="AI1123">
            <v>0</v>
          </cell>
          <cell r="AJ1123">
            <v>0</v>
          </cell>
          <cell r="AK1123">
            <v>0</v>
          </cell>
          <cell r="AL1123">
            <v>0</v>
          </cell>
        </row>
        <row r="1124">
          <cell r="E1124" t="str">
            <v>AE 0.65mm-10Pr</v>
          </cell>
          <cell r="F1124" t="str">
            <v>ｍ</v>
          </cell>
          <cell r="G1124">
            <v>0</v>
          </cell>
          <cell r="H1124">
            <v>133</v>
          </cell>
          <cell r="I1124">
            <v>0</v>
          </cell>
          <cell r="J1124">
            <v>133</v>
          </cell>
          <cell r="K1124">
            <v>0</v>
          </cell>
          <cell r="L1124">
            <v>133</v>
          </cell>
          <cell r="M1124">
            <v>0</v>
          </cell>
          <cell r="N1124">
            <v>133</v>
          </cell>
          <cell r="O1124">
            <v>0</v>
          </cell>
          <cell r="P1124">
            <v>133</v>
          </cell>
          <cell r="Q1124">
            <v>0</v>
          </cell>
          <cell r="R1124">
            <v>133</v>
          </cell>
          <cell r="S1124">
            <v>0</v>
          </cell>
          <cell r="T1124">
            <v>133</v>
          </cell>
          <cell r="U1124">
            <v>0</v>
          </cell>
          <cell r="V1124">
            <v>133</v>
          </cell>
          <cell r="W1124">
            <v>0</v>
          </cell>
          <cell r="X1124">
            <v>133</v>
          </cell>
          <cell r="Y1124">
            <v>0</v>
          </cell>
          <cell r="Z1124">
            <v>133</v>
          </cell>
          <cell r="AA1124">
            <v>0</v>
          </cell>
          <cell r="AB1124">
            <v>0</v>
          </cell>
          <cell r="AC1124">
            <v>0</v>
          </cell>
          <cell r="AD1124">
            <v>0.02</v>
          </cell>
          <cell r="AE1124">
            <v>0</v>
          </cell>
          <cell r="AF1124">
            <v>0</v>
          </cell>
          <cell r="AG1124">
            <v>0</v>
          </cell>
          <cell r="AH1124">
            <v>0</v>
          </cell>
          <cell r="AI1124">
            <v>0</v>
          </cell>
          <cell r="AJ1124">
            <v>0</v>
          </cell>
          <cell r="AK1124">
            <v>0</v>
          </cell>
          <cell r="AL1124">
            <v>0</v>
          </cell>
        </row>
        <row r="1125">
          <cell r="E1125" t="str">
            <v>AE 0.65mm-15Pr</v>
          </cell>
          <cell r="F1125" t="str">
            <v>ｍ</v>
          </cell>
          <cell r="G1125">
            <v>0</v>
          </cell>
          <cell r="H1125">
            <v>193</v>
          </cell>
          <cell r="I1125">
            <v>0</v>
          </cell>
          <cell r="J1125">
            <v>193</v>
          </cell>
          <cell r="K1125">
            <v>0</v>
          </cell>
          <cell r="L1125">
            <v>193</v>
          </cell>
          <cell r="M1125">
            <v>0</v>
          </cell>
          <cell r="N1125">
            <v>193</v>
          </cell>
          <cell r="O1125">
            <v>0</v>
          </cell>
          <cell r="P1125">
            <v>193</v>
          </cell>
          <cell r="Q1125">
            <v>0</v>
          </cell>
          <cell r="R1125">
            <v>193</v>
          </cell>
          <cell r="S1125">
            <v>0</v>
          </cell>
          <cell r="T1125">
            <v>193</v>
          </cell>
          <cell r="U1125">
            <v>0</v>
          </cell>
          <cell r="V1125">
            <v>193</v>
          </cell>
          <cell r="W1125">
            <v>0</v>
          </cell>
          <cell r="X1125">
            <v>193</v>
          </cell>
          <cell r="Y1125">
            <v>0</v>
          </cell>
          <cell r="Z1125">
            <v>193</v>
          </cell>
          <cell r="AA1125">
            <v>0</v>
          </cell>
          <cell r="AB1125">
            <v>0</v>
          </cell>
          <cell r="AC1125">
            <v>0</v>
          </cell>
          <cell r="AD1125">
            <v>2.1999999999999999E-2</v>
          </cell>
          <cell r="AE1125">
            <v>0</v>
          </cell>
          <cell r="AF1125">
            <v>0</v>
          </cell>
          <cell r="AG1125">
            <v>0</v>
          </cell>
          <cell r="AH1125">
            <v>0</v>
          </cell>
          <cell r="AI1125">
            <v>0</v>
          </cell>
          <cell r="AJ1125">
            <v>0</v>
          </cell>
          <cell r="AK1125">
            <v>0</v>
          </cell>
          <cell r="AL1125">
            <v>0</v>
          </cell>
        </row>
        <row r="1126">
          <cell r="E1126" t="str">
            <v>AE 0.65mm-20Pr</v>
          </cell>
          <cell r="F1126" t="str">
            <v>ｍ</v>
          </cell>
          <cell r="G1126">
            <v>0</v>
          </cell>
          <cell r="H1126">
            <v>256</v>
          </cell>
          <cell r="I1126">
            <v>0</v>
          </cell>
          <cell r="J1126">
            <v>256</v>
          </cell>
          <cell r="K1126">
            <v>0</v>
          </cell>
          <cell r="L1126">
            <v>256</v>
          </cell>
          <cell r="M1126">
            <v>0</v>
          </cell>
          <cell r="N1126">
            <v>256</v>
          </cell>
          <cell r="O1126">
            <v>0</v>
          </cell>
          <cell r="P1126">
            <v>256</v>
          </cell>
          <cell r="Q1126">
            <v>0</v>
          </cell>
          <cell r="R1126">
            <v>256</v>
          </cell>
          <cell r="S1126">
            <v>0</v>
          </cell>
          <cell r="T1126">
            <v>256</v>
          </cell>
          <cell r="U1126">
            <v>0</v>
          </cell>
          <cell r="V1126">
            <v>256</v>
          </cell>
          <cell r="W1126">
            <v>0</v>
          </cell>
          <cell r="X1126">
            <v>256</v>
          </cell>
          <cell r="Y1126">
            <v>0</v>
          </cell>
          <cell r="Z1126">
            <v>256</v>
          </cell>
          <cell r="AA1126">
            <v>0</v>
          </cell>
          <cell r="AB1126">
            <v>0</v>
          </cell>
          <cell r="AC1126">
            <v>0</v>
          </cell>
          <cell r="AD1126">
            <v>2.4E-2</v>
          </cell>
          <cell r="AE1126">
            <v>0</v>
          </cell>
          <cell r="AF1126">
            <v>0</v>
          </cell>
          <cell r="AG1126">
            <v>0</v>
          </cell>
          <cell r="AH1126">
            <v>0</v>
          </cell>
          <cell r="AI1126">
            <v>0</v>
          </cell>
          <cell r="AJ1126">
            <v>0</v>
          </cell>
          <cell r="AK1126">
            <v>0</v>
          </cell>
          <cell r="AL1126">
            <v>0</v>
          </cell>
        </row>
        <row r="1127">
          <cell r="E1127" t="str">
            <v>AE 0.65mm-30Pr</v>
          </cell>
          <cell r="F1127" t="str">
            <v>ｍ</v>
          </cell>
          <cell r="G1127">
            <v>0</v>
          </cell>
          <cell r="H1127">
            <v>366</v>
          </cell>
          <cell r="I1127">
            <v>0</v>
          </cell>
          <cell r="J1127">
            <v>366</v>
          </cell>
          <cell r="K1127">
            <v>0</v>
          </cell>
          <cell r="L1127">
            <v>366</v>
          </cell>
          <cell r="M1127">
            <v>0</v>
          </cell>
          <cell r="N1127">
            <v>366</v>
          </cell>
          <cell r="O1127">
            <v>0</v>
          </cell>
          <cell r="P1127">
            <v>366</v>
          </cell>
          <cell r="Q1127">
            <v>0</v>
          </cell>
          <cell r="R1127">
            <v>366</v>
          </cell>
          <cell r="S1127">
            <v>0</v>
          </cell>
          <cell r="T1127">
            <v>366</v>
          </cell>
          <cell r="U1127">
            <v>0</v>
          </cell>
          <cell r="V1127">
            <v>366</v>
          </cell>
          <cell r="W1127">
            <v>0</v>
          </cell>
          <cell r="X1127">
            <v>366</v>
          </cell>
          <cell r="Y1127">
            <v>0</v>
          </cell>
          <cell r="Z1127">
            <v>366</v>
          </cell>
          <cell r="AA1127">
            <v>0</v>
          </cell>
          <cell r="AB1127">
            <v>0</v>
          </cell>
          <cell r="AC1127">
            <v>0</v>
          </cell>
          <cell r="AD1127">
            <v>2.9000000000000001E-2</v>
          </cell>
          <cell r="AE1127">
            <v>0</v>
          </cell>
          <cell r="AF1127">
            <v>0</v>
          </cell>
          <cell r="AG1127">
            <v>0</v>
          </cell>
          <cell r="AH1127">
            <v>0</v>
          </cell>
          <cell r="AI1127">
            <v>0</v>
          </cell>
          <cell r="AJ1127">
            <v>0</v>
          </cell>
          <cell r="AK1127">
            <v>0</v>
          </cell>
          <cell r="AL1127">
            <v>0</v>
          </cell>
        </row>
        <row r="1128">
          <cell r="E1128" t="str">
            <v>AE 0.65mm-50Pr</v>
          </cell>
          <cell r="F1128" t="str">
            <v>ｍ</v>
          </cell>
          <cell r="G1128">
            <v>0</v>
          </cell>
          <cell r="H1128">
            <v>587</v>
          </cell>
          <cell r="I1128">
            <v>0</v>
          </cell>
          <cell r="J1128">
            <v>587</v>
          </cell>
          <cell r="K1128">
            <v>0</v>
          </cell>
          <cell r="L1128">
            <v>587</v>
          </cell>
          <cell r="M1128">
            <v>0</v>
          </cell>
          <cell r="N1128">
            <v>587</v>
          </cell>
          <cell r="O1128">
            <v>0</v>
          </cell>
          <cell r="P1128">
            <v>587</v>
          </cell>
          <cell r="Q1128">
            <v>0</v>
          </cell>
          <cell r="R1128">
            <v>587</v>
          </cell>
          <cell r="S1128">
            <v>0</v>
          </cell>
          <cell r="T1128">
            <v>587</v>
          </cell>
          <cell r="U1128">
            <v>0</v>
          </cell>
          <cell r="V1128">
            <v>587</v>
          </cell>
          <cell r="W1128">
            <v>0</v>
          </cell>
          <cell r="X1128">
            <v>587</v>
          </cell>
          <cell r="Y1128">
            <v>0</v>
          </cell>
          <cell r="Z1128">
            <v>587</v>
          </cell>
          <cell r="AA1128">
            <v>0</v>
          </cell>
          <cell r="AB1128">
            <v>0</v>
          </cell>
          <cell r="AC1128">
            <v>0</v>
          </cell>
          <cell r="AD1128">
            <v>3.9E-2</v>
          </cell>
          <cell r="AE1128">
            <v>0</v>
          </cell>
          <cell r="AF1128">
            <v>0</v>
          </cell>
          <cell r="AG1128">
            <v>0</v>
          </cell>
          <cell r="AH1128">
            <v>0</v>
          </cell>
          <cell r="AI1128">
            <v>0</v>
          </cell>
          <cell r="AJ1128">
            <v>0</v>
          </cell>
          <cell r="AK1128">
            <v>0</v>
          </cell>
          <cell r="AL1128">
            <v>0</v>
          </cell>
        </row>
        <row r="1129">
          <cell r="E1129" t="str">
            <v>AE 0.65mm-100Pr</v>
          </cell>
          <cell r="F1129" t="str">
            <v>ｍ</v>
          </cell>
          <cell r="G1129">
            <v>0</v>
          </cell>
          <cell r="H1129">
            <v>1127</v>
          </cell>
          <cell r="I1129">
            <v>0</v>
          </cell>
          <cell r="J1129">
            <v>1127</v>
          </cell>
          <cell r="K1129">
            <v>0</v>
          </cell>
          <cell r="L1129">
            <v>1127</v>
          </cell>
          <cell r="M1129">
            <v>0</v>
          </cell>
          <cell r="N1129">
            <v>1127</v>
          </cell>
          <cell r="O1129">
            <v>0</v>
          </cell>
          <cell r="P1129">
            <v>1127</v>
          </cell>
          <cell r="Q1129">
            <v>0</v>
          </cell>
          <cell r="R1129">
            <v>1127</v>
          </cell>
          <cell r="S1129">
            <v>0</v>
          </cell>
          <cell r="T1129">
            <v>1127</v>
          </cell>
          <cell r="U1129">
            <v>0</v>
          </cell>
          <cell r="V1129">
            <v>1127</v>
          </cell>
          <cell r="W1129">
            <v>0</v>
          </cell>
          <cell r="X1129">
            <v>1127</v>
          </cell>
          <cell r="Y1129">
            <v>0</v>
          </cell>
          <cell r="Z1129">
            <v>1127</v>
          </cell>
          <cell r="AA1129">
            <v>0</v>
          </cell>
          <cell r="AB1129">
            <v>0</v>
          </cell>
          <cell r="AC1129">
            <v>0</v>
          </cell>
          <cell r="AD1129">
            <v>6.4000000000000001E-2</v>
          </cell>
          <cell r="AE1129">
            <v>0</v>
          </cell>
          <cell r="AF1129">
            <v>0</v>
          </cell>
          <cell r="AG1129">
            <v>0</v>
          </cell>
          <cell r="AH1129">
            <v>0</v>
          </cell>
          <cell r="AI1129">
            <v>0</v>
          </cell>
          <cell r="AJ1129">
            <v>0</v>
          </cell>
          <cell r="AK1129">
            <v>0</v>
          </cell>
          <cell r="AL1129">
            <v>0</v>
          </cell>
        </row>
        <row r="1130">
          <cell r="E1130" t="str">
            <v>AE 0.9mm-2C</v>
          </cell>
          <cell r="F1130" t="str">
            <v>ｍ</v>
          </cell>
          <cell r="G1130">
            <v>0</v>
          </cell>
          <cell r="H1130">
            <v>22.5</v>
          </cell>
          <cell r="I1130">
            <v>0</v>
          </cell>
          <cell r="J1130">
            <v>22.5</v>
          </cell>
          <cell r="K1130">
            <v>0</v>
          </cell>
          <cell r="L1130">
            <v>22.5</v>
          </cell>
          <cell r="M1130">
            <v>0</v>
          </cell>
          <cell r="N1130">
            <v>22.5</v>
          </cell>
          <cell r="O1130">
            <v>0</v>
          </cell>
          <cell r="P1130">
            <v>22.5</v>
          </cell>
          <cell r="Q1130">
            <v>0</v>
          </cell>
          <cell r="R1130">
            <v>22.5</v>
          </cell>
          <cell r="S1130">
            <v>0</v>
          </cell>
          <cell r="T1130">
            <v>22.5</v>
          </cell>
          <cell r="U1130">
            <v>0</v>
          </cell>
          <cell r="V1130">
            <v>22.5</v>
          </cell>
          <cell r="W1130">
            <v>0</v>
          </cell>
          <cell r="X1130">
            <v>22.5</v>
          </cell>
          <cell r="Y1130">
            <v>0</v>
          </cell>
          <cell r="Z1130">
            <v>22.5</v>
          </cell>
          <cell r="AA1130">
            <v>0</v>
          </cell>
          <cell r="AB1130">
            <v>0</v>
          </cell>
          <cell r="AC1130">
            <v>0</v>
          </cell>
          <cell r="AD1130">
            <v>1.4E-2</v>
          </cell>
          <cell r="AE1130">
            <v>0</v>
          </cell>
          <cell r="AF1130">
            <v>0</v>
          </cell>
          <cell r="AG1130">
            <v>0</v>
          </cell>
          <cell r="AH1130">
            <v>0</v>
          </cell>
          <cell r="AI1130">
            <v>0</v>
          </cell>
          <cell r="AJ1130">
            <v>0</v>
          </cell>
          <cell r="AK1130">
            <v>0</v>
          </cell>
          <cell r="AL1130">
            <v>0</v>
          </cell>
        </row>
        <row r="1131">
          <cell r="E1131" t="str">
            <v>AE 0.9mm-3C</v>
          </cell>
          <cell r="F1131" t="str">
            <v>ｍ</v>
          </cell>
          <cell r="G1131">
            <v>0</v>
          </cell>
          <cell r="H1131">
            <v>33.299999999999997</v>
          </cell>
          <cell r="I1131">
            <v>0</v>
          </cell>
          <cell r="J1131">
            <v>33.299999999999997</v>
          </cell>
          <cell r="K1131">
            <v>0</v>
          </cell>
          <cell r="L1131">
            <v>33.299999999999997</v>
          </cell>
          <cell r="M1131">
            <v>0</v>
          </cell>
          <cell r="N1131">
            <v>33.299999999999997</v>
          </cell>
          <cell r="O1131">
            <v>0</v>
          </cell>
          <cell r="P1131">
            <v>33.299999999999997</v>
          </cell>
          <cell r="Q1131">
            <v>0</v>
          </cell>
          <cell r="R1131">
            <v>33.299999999999997</v>
          </cell>
          <cell r="S1131">
            <v>0</v>
          </cell>
          <cell r="T1131">
            <v>33.299999999999997</v>
          </cell>
          <cell r="U1131">
            <v>0</v>
          </cell>
          <cell r="V1131">
            <v>33.299999999999997</v>
          </cell>
          <cell r="W1131">
            <v>0</v>
          </cell>
          <cell r="X1131">
            <v>33.299999999999997</v>
          </cell>
          <cell r="Y1131">
            <v>0</v>
          </cell>
          <cell r="Z1131">
            <v>33.299999999999997</v>
          </cell>
          <cell r="AA1131">
            <v>0</v>
          </cell>
          <cell r="AB1131">
            <v>0</v>
          </cell>
          <cell r="AC1131">
            <v>0</v>
          </cell>
          <cell r="AD1131">
            <v>1.6E-2</v>
          </cell>
          <cell r="AE1131">
            <v>0</v>
          </cell>
          <cell r="AF1131">
            <v>0</v>
          </cell>
          <cell r="AG1131">
            <v>0</v>
          </cell>
          <cell r="AH1131">
            <v>0</v>
          </cell>
          <cell r="AI1131">
            <v>0</v>
          </cell>
          <cell r="AJ1131">
            <v>0</v>
          </cell>
          <cell r="AK1131">
            <v>0</v>
          </cell>
          <cell r="AL1131">
            <v>0</v>
          </cell>
        </row>
        <row r="1132">
          <cell r="E1132" t="str">
            <v>AE 0.9mm-4C</v>
          </cell>
          <cell r="F1132" t="str">
            <v>ｍ</v>
          </cell>
          <cell r="G1132">
            <v>0</v>
          </cell>
          <cell r="H1132">
            <v>40.700000000000003</v>
          </cell>
          <cell r="I1132">
            <v>0</v>
          </cell>
          <cell r="J1132">
            <v>40.700000000000003</v>
          </cell>
          <cell r="K1132">
            <v>0</v>
          </cell>
          <cell r="L1132">
            <v>40.700000000000003</v>
          </cell>
          <cell r="M1132">
            <v>0</v>
          </cell>
          <cell r="N1132">
            <v>40.700000000000003</v>
          </cell>
          <cell r="O1132">
            <v>0</v>
          </cell>
          <cell r="P1132">
            <v>40.700000000000003</v>
          </cell>
          <cell r="Q1132">
            <v>0</v>
          </cell>
          <cell r="R1132">
            <v>40.700000000000003</v>
          </cell>
          <cell r="S1132">
            <v>0</v>
          </cell>
          <cell r="T1132">
            <v>40.700000000000003</v>
          </cell>
          <cell r="U1132">
            <v>0</v>
          </cell>
          <cell r="V1132">
            <v>40.700000000000003</v>
          </cell>
          <cell r="W1132">
            <v>0</v>
          </cell>
          <cell r="X1132">
            <v>40.700000000000003</v>
          </cell>
          <cell r="Y1132">
            <v>0</v>
          </cell>
          <cell r="Z1132">
            <v>40.700000000000003</v>
          </cell>
          <cell r="AA1132">
            <v>0</v>
          </cell>
          <cell r="AB1132">
            <v>0</v>
          </cell>
          <cell r="AC1132">
            <v>0</v>
          </cell>
          <cell r="AD1132">
            <v>1.7000000000000001E-2</v>
          </cell>
          <cell r="AE1132">
            <v>0</v>
          </cell>
          <cell r="AF1132">
            <v>0</v>
          </cell>
          <cell r="AG1132">
            <v>0</v>
          </cell>
          <cell r="AH1132">
            <v>0</v>
          </cell>
          <cell r="AI1132">
            <v>0</v>
          </cell>
          <cell r="AJ1132">
            <v>0</v>
          </cell>
          <cell r="AK1132">
            <v>0</v>
          </cell>
          <cell r="AL1132">
            <v>0</v>
          </cell>
        </row>
        <row r="1133">
          <cell r="E1133" t="str">
            <v>AE 0.9mm-6C</v>
          </cell>
          <cell r="F1133" t="str">
            <v>ｍ</v>
          </cell>
          <cell r="G1133">
            <v>0</v>
          </cell>
          <cell r="H1133">
            <v>66.2</v>
          </cell>
          <cell r="I1133">
            <v>0</v>
          </cell>
          <cell r="J1133">
            <v>66.2</v>
          </cell>
          <cell r="K1133">
            <v>0</v>
          </cell>
          <cell r="L1133">
            <v>66.2</v>
          </cell>
          <cell r="M1133">
            <v>0</v>
          </cell>
          <cell r="N1133">
            <v>66.2</v>
          </cell>
          <cell r="O1133">
            <v>0</v>
          </cell>
          <cell r="P1133">
            <v>66.2</v>
          </cell>
          <cell r="Q1133">
            <v>0</v>
          </cell>
          <cell r="R1133">
            <v>66.2</v>
          </cell>
          <cell r="S1133">
            <v>0</v>
          </cell>
          <cell r="T1133">
            <v>66.2</v>
          </cell>
          <cell r="U1133">
            <v>0</v>
          </cell>
          <cell r="V1133">
            <v>66.2</v>
          </cell>
          <cell r="W1133">
            <v>0</v>
          </cell>
          <cell r="X1133">
            <v>66.2</v>
          </cell>
          <cell r="Y1133">
            <v>0</v>
          </cell>
          <cell r="Z1133">
            <v>66.2</v>
          </cell>
          <cell r="AA1133">
            <v>0</v>
          </cell>
          <cell r="AB1133">
            <v>0</v>
          </cell>
          <cell r="AC1133">
            <v>0</v>
          </cell>
          <cell r="AD1133">
            <v>1.9E-2</v>
          </cell>
          <cell r="AE1133">
            <v>0</v>
          </cell>
          <cell r="AF1133">
            <v>0</v>
          </cell>
          <cell r="AG1133">
            <v>0</v>
          </cell>
          <cell r="AH1133">
            <v>0</v>
          </cell>
          <cell r="AI1133">
            <v>0</v>
          </cell>
          <cell r="AJ1133">
            <v>0</v>
          </cell>
          <cell r="AK1133">
            <v>0</v>
          </cell>
          <cell r="AL1133">
            <v>0</v>
          </cell>
        </row>
        <row r="1134">
          <cell r="E1134" t="str">
            <v>AE 0.9mm-5Pr</v>
          </cell>
          <cell r="F1134" t="str">
            <v>ｍ</v>
          </cell>
          <cell r="G1134">
            <v>0</v>
          </cell>
          <cell r="H1134">
            <v>115</v>
          </cell>
          <cell r="I1134">
            <v>0</v>
          </cell>
          <cell r="J1134">
            <v>115</v>
          </cell>
          <cell r="K1134">
            <v>0</v>
          </cell>
          <cell r="L1134">
            <v>115</v>
          </cell>
          <cell r="M1134">
            <v>0</v>
          </cell>
          <cell r="N1134">
            <v>115</v>
          </cell>
          <cell r="O1134">
            <v>0</v>
          </cell>
          <cell r="P1134">
            <v>115</v>
          </cell>
          <cell r="Q1134">
            <v>0</v>
          </cell>
          <cell r="R1134">
            <v>115</v>
          </cell>
          <cell r="S1134">
            <v>0</v>
          </cell>
          <cell r="T1134">
            <v>115</v>
          </cell>
          <cell r="U1134">
            <v>0</v>
          </cell>
          <cell r="V1134">
            <v>115</v>
          </cell>
          <cell r="W1134">
            <v>0</v>
          </cell>
          <cell r="X1134">
            <v>115</v>
          </cell>
          <cell r="Y1134">
            <v>0</v>
          </cell>
          <cell r="Z1134">
            <v>115</v>
          </cell>
          <cell r="AA1134">
            <v>0</v>
          </cell>
          <cell r="AB1134">
            <v>0</v>
          </cell>
          <cell r="AC1134">
            <v>0</v>
          </cell>
          <cell r="AD1134">
            <v>2.1999999999999999E-2</v>
          </cell>
          <cell r="AE1134">
            <v>0</v>
          </cell>
          <cell r="AF1134">
            <v>0</v>
          </cell>
          <cell r="AG1134">
            <v>0</v>
          </cell>
          <cell r="AH1134">
            <v>0</v>
          </cell>
          <cell r="AI1134">
            <v>0</v>
          </cell>
          <cell r="AJ1134">
            <v>0</v>
          </cell>
          <cell r="AK1134">
            <v>0</v>
          </cell>
          <cell r="AL1134">
            <v>0</v>
          </cell>
        </row>
        <row r="1135">
          <cell r="E1135" t="str">
            <v>AE 0.9mm-6Pr</v>
          </cell>
          <cell r="F1135" t="str">
            <v>ｍ</v>
          </cell>
          <cell r="G1135">
            <v>0</v>
          </cell>
          <cell r="H1135">
            <v>138</v>
          </cell>
          <cell r="I1135">
            <v>0</v>
          </cell>
          <cell r="J1135">
            <v>138</v>
          </cell>
          <cell r="K1135">
            <v>0</v>
          </cell>
          <cell r="L1135">
            <v>138</v>
          </cell>
          <cell r="M1135">
            <v>0</v>
          </cell>
          <cell r="N1135">
            <v>138</v>
          </cell>
          <cell r="O1135">
            <v>0</v>
          </cell>
          <cell r="P1135">
            <v>138</v>
          </cell>
          <cell r="Q1135">
            <v>0</v>
          </cell>
          <cell r="R1135">
            <v>138</v>
          </cell>
          <cell r="S1135">
            <v>0</v>
          </cell>
          <cell r="T1135">
            <v>138</v>
          </cell>
          <cell r="U1135">
            <v>0</v>
          </cell>
          <cell r="V1135">
            <v>138</v>
          </cell>
          <cell r="W1135">
            <v>0</v>
          </cell>
          <cell r="X1135">
            <v>138</v>
          </cell>
          <cell r="Y1135">
            <v>0</v>
          </cell>
          <cell r="Z1135">
            <v>138</v>
          </cell>
          <cell r="AA1135">
            <v>0</v>
          </cell>
          <cell r="AB1135">
            <v>0</v>
          </cell>
          <cell r="AC1135">
            <v>0</v>
          </cell>
          <cell r="AD1135">
            <v>2.3E-2</v>
          </cell>
          <cell r="AE1135">
            <v>0</v>
          </cell>
          <cell r="AF1135">
            <v>0</v>
          </cell>
          <cell r="AG1135">
            <v>0</v>
          </cell>
          <cell r="AH1135">
            <v>0</v>
          </cell>
          <cell r="AI1135">
            <v>0</v>
          </cell>
          <cell r="AJ1135">
            <v>0</v>
          </cell>
          <cell r="AK1135">
            <v>0</v>
          </cell>
          <cell r="AL1135">
            <v>0</v>
          </cell>
        </row>
        <row r="1136">
          <cell r="E1136" t="str">
            <v>AE 0.9mm-7Pr</v>
          </cell>
          <cell r="F1136" t="str">
            <v>ｍ</v>
          </cell>
          <cell r="G1136">
            <v>0</v>
          </cell>
          <cell r="H1136">
            <v>161</v>
          </cell>
          <cell r="I1136">
            <v>0</v>
          </cell>
          <cell r="J1136">
            <v>161</v>
          </cell>
          <cell r="K1136">
            <v>0</v>
          </cell>
          <cell r="L1136">
            <v>161</v>
          </cell>
          <cell r="M1136">
            <v>0</v>
          </cell>
          <cell r="N1136">
            <v>161</v>
          </cell>
          <cell r="O1136">
            <v>0</v>
          </cell>
          <cell r="P1136">
            <v>161</v>
          </cell>
          <cell r="Q1136">
            <v>0</v>
          </cell>
          <cell r="R1136">
            <v>161</v>
          </cell>
          <cell r="S1136">
            <v>0</v>
          </cell>
          <cell r="T1136">
            <v>161</v>
          </cell>
          <cell r="U1136">
            <v>0</v>
          </cell>
          <cell r="V1136">
            <v>161</v>
          </cell>
          <cell r="W1136">
            <v>0</v>
          </cell>
          <cell r="X1136">
            <v>161</v>
          </cell>
          <cell r="Y1136">
            <v>0</v>
          </cell>
          <cell r="Z1136">
            <v>161</v>
          </cell>
          <cell r="AA1136">
            <v>0</v>
          </cell>
          <cell r="AB1136">
            <v>0</v>
          </cell>
          <cell r="AC1136">
            <v>0</v>
          </cell>
          <cell r="AD1136">
            <v>2.3E-2</v>
          </cell>
          <cell r="AE1136">
            <v>0</v>
          </cell>
          <cell r="AF1136">
            <v>0</v>
          </cell>
          <cell r="AG1136">
            <v>0</v>
          </cell>
          <cell r="AH1136">
            <v>0</v>
          </cell>
          <cell r="AI1136">
            <v>0</v>
          </cell>
          <cell r="AJ1136">
            <v>0</v>
          </cell>
          <cell r="AK1136">
            <v>0</v>
          </cell>
          <cell r="AL1136">
            <v>0</v>
          </cell>
        </row>
        <row r="1137">
          <cell r="E1137" t="str">
            <v>AE 0.9mm-10Pr</v>
          </cell>
          <cell r="F1137" t="str">
            <v>ｍ</v>
          </cell>
          <cell r="G1137">
            <v>0</v>
          </cell>
          <cell r="H1137">
            <v>229</v>
          </cell>
          <cell r="I1137">
            <v>0</v>
          </cell>
          <cell r="J1137">
            <v>229</v>
          </cell>
          <cell r="K1137">
            <v>0</v>
          </cell>
          <cell r="L1137">
            <v>229</v>
          </cell>
          <cell r="M1137">
            <v>0</v>
          </cell>
          <cell r="N1137">
            <v>229</v>
          </cell>
          <cell r="O1137">
            <v>0</v>
          </cell>
          <cell r="P1137">
            <v>229</v>
          </cell>
          <cell r="Q1137">
            <v>0</v>
          </cell>
          <cell r="R1137">
            <v>229</v>
          </cell>
          <cell r="S1137">
            <v>0</v>
          </cell>
          <cell r="T1137">
            <v>229</v>
          </cell>
          <cell r="U1137">
            <v>0</v>
          </cell>
          <cell r="V1137">
            <v>229</v>
          </cell>
          <cell r="W1137">
            <v>0</v>
          </cell>
          <cell r="X1137">
            <v>229</v>
          </cell>
          <cell r="Y1137">
            <v>0</v>
          </cell>
          <cell r="Z1137">
            <v>229</v>
          </cell>
          <cell r="AA1137">
            <v>0</v>
          </cell>
          <cell r="AB1137">
            <v>0</v>
          </cell>
          <cell r="AC1137">
            <v>0</v>
          </cell>
          <cell r="AD1137">
            <v>2.5000000000000001E-2</v>
          </cell>
          <cell r="AE1137">
            <v>0</v>
          </cell>
          <cell r="AF1137">
            <v>0</v>
          </cell>
          <cell r="AG1137">
            <v>0</v>
          </cell>
          <cell r="AH1137">
            <v>0</v>
          </cell>
          <cell r="AI1137">
            <v>0</v>
          </cell>
          <cell r="AJ1137">
            <v>0</v>
          </cell>
          <cell r="AK1137">
            <v>0</v>
          </cell>
          <cell r="AL1137">
            <v>0</v>
          </cell>
        </row>
        <row r="1138">
          <cell r="E1138" t="str">
            <v>AE 0.9mm-15Pr</v>
          </cell>
          <cell r="F1138" t="str">
            <v>ｍ</v>
          </cell>
          <cell r="G1138">
            <v>0</v>
          </cell>
          <cell r="H1138">
            <v>326</v>
          </cell>
          <cell r="I1138">
            <v>0</v>
          </cell>
          <cell r="J1138">
            <v>326</v>
          </cell>
          <cell r="K1138">
            <v>0</v>
          </cell>
          <cell r="L1138">
            <v>326</v>
          </cell>
          <cell r="M1138">
            <v>0</v>
          </cell>
          <cell r="N1138">
            <v>326</v>
          </cell>
          <cell r="O1138">
            <v>0</v>
          </cell>
          <cell r="P1138">
            <v>326</v>
          </cell>
          <cell r="Q1138">
            <v>0</v>
          </cell>
          <cell r="R1138">
            <v>326</v>
          </cell>
          <cell r="S1138">
            <v>0</v>
          </cell>
          <cell r="T1138">
            <v>326</v>
          </cell>
          <cell r="U1138">
            <v>0</v>
          </cell>
          <cell r="V1138">
            <v>326</v>
          </cell>
          <cell r="W1138">
            <v>0</v>
          </cell>
          <cell r="X1138">
            <v>326</v>
          </cell>
          <cell r="Y1138">
            <v>0</v>
          </cell>
          <cell r="Z1138">
            <v>326</v>
          </cell>
          <cell r="AA1138">
            <v>0</v>
          </cell>
          <cell r="AB1138">
            <v>0</v>
          </cell>
          <cell r="AC1138">
            <v>0</v>
          </cell>
          <cell r="AD1138">
            <v>2.8000000000000001E-2</v>
          </cell>
          <cell r="AE1138">
            <v>0</v>
          </cell>
          <cell r="AF1138">
            <v>0</v>
          </cell>
          <cell r="AG1138">
            <v>0</v>
          </cell>
          <cell r="AH1138">
            <v>0</v>
          </cell>
          <cell r="AI1138">
            <v>0</v>
          </cell>
          <cell r="AJ1138">
            <v>0</v>
          </cell>
          <cell r="AK1138">
            <v>0</v>
          </cell>
          <cell r="AL1138">
            <v>0</v>
          </cell>
        </row>
        <row r="1139">
          <cell r="E1139" t="str">
            <v>AE 0.9mm-20Pr</v>
          </cell>
          <cell r="F1139" t="str">
            <v>ｍ</v>
          </cell>
          <cell r="G1139">
            <v>0</v>
          </cell>
          <cell r="H1139">
            <v>446</v>
          </cell>
          <cell r="I1139">
            <v>0</v>
          </cell>
          <cell r="J1139">
            <v>446</v>
          </cell>
          <cell r="K1139">
            <v>0</v>
          </cell>
          <cell r="L1139">
            <v>446</v>
          </cell>
          <cell r="M1139">
            <v>0</v>
          </cell>
          <cell r="N1139">
            <v>446</v>
          </cell>
          <cell r="O1139">
            <v>0</v>
          </cell>
          <cell r="P1139">
            <v>446</v>
          </cell>
          <cell r="Q1139">
            <v>0</v>
          </cell>
          <cell r="R1139">
            <v>446</v>
          </cell>
          <cell r="S1139">
            <v>0</v>
          </cell>
          <cell r="T1139">
            <v>446</v>
          </cell>
          <cell r="U1139">
            <v>0</v>
          </cell>
          <cell r="V1139">
            <v>446</v>
          </cell>
          <cell r="W1139">
            <v>0</v>
          </cell>
          <cell r="X1139">
            <v>446</v>
          </cell>
          <cell r="Y1139">
            <v>0</v>
          </cell>
          <cell r="Z1139">
            <v>446</v>
          </cell>
          <cell r="AA1139">
            <v>0</v>
          </cell>
          <cell r="AB1139">
            <v>0</v>
          </cell>
          <cell r="AC1139">
            <v>0</v>
          </cell>
          <cell r="AD1139">
            <v>3.1E-2</v>
          </cell>
          <cell r="AE1139">
            <v>0</v>
          </cell>
          <cell r="AF1139">
            <v>0</v>
          </cell>
          <cell r="AG1139">
            <v>0</v>
          </cell>
          <cell r="AH1139">
            <v>0</v>
          </cell>
          <cell r="AI1139">
            <v>0</v>
          </cell>
          <cell r="AJ1139">
            <v>0</v>
          </cell>
          <cell r="AK1139">
            <v>0</v>
          </cell>
          <cell r="AL1139">
            <v>0</v>
          </cell>
        </row>
        <row r="1140">
          <cell r="E1140" t="str">
            <v>AE 0.9mm-30Pr</v>
          </cell>
          <cell r="F1140" t="str">
            <v>ｍ</v>
          </cell>
          <cell r="G1140">
            <v>0</v>
          </cell>
          <cell r="H1140">
            <v>621</v>
          </cell>
          <cell r="I1140">
            <v>0</v>
          </cell>
          <cell r="J1140">
            <v>621</v>
          </cell>
          <cell r="K1140">
            <v>0</v>
          </cell>
          <cell r="L1140">
            <v>621</v>
          </cell>
          <cell r="M1140">
            <v>0</v>
          </cell>
          <cell r="N1140">
            <v>621</v>
          </cell>
          <cell r="O1140">
            <v>0</v>
          </cell>
          <cell r="P1140">
            <v>621</v>
          </cell>
          <cell r="Q1140">
            <v>0</v>
          </cell>
          <cell r="R1140">
            <v>621</v>
          </cell>
          <cell r="S1140">
            <v>0</v>
          </cell>
          <cell r="T1140">
            <v>621</v>
          </cell>
          <cell r="U1140">
            <v>0</v>
          </cell>
          <cell r="V1140">
            <v>621</v>
          </cell>
          <cell r="W1140">
            <v>0</v>
          </cell>
          <cell r="X1140">
            <v>621</v>
          </cell>
          <cell r="Y1140">
            <v>0</v>
          </cell>
          <cell r="Z1140">
            <v>621</v>
          </cell>
          <cell r="AA1140">
            <v>0</v>
          </cell>
          <cell r="AB1140">
            <v>0</v>
          </cell>
          <cell r="AC1140">
            <v>0</v>
          </cell>
          <cell r="AD1140">
            <v>3.6999999999999998E-2</v>
          </cell>
          <cell r="AE1140">
            <v>0</v>
          </cell>
          <cell r="AF1140">
            <v>0</v>
          </cell>
          <cell r="AG1140">
            <v>0</v>
          </cell>
          <cell r="AH1140">
            <v>0</v>
          </cell>
          <cell r="AI1140">
            <v>0</v>
          </cell>
          <cell r="AJ1140">
            <v>0</v>
          </cell>
          <cell r="AK1140">
            <v>0</v>
          </cell>
          <cell r="AL1140">
            <v>0</v>
          </cell>
        </row>
        <row r="1141">
          <cell r="E1141" t="str">
            <v>AE 0.9mm-50Pr</v>
          </cell>
          <cell r="F1141" t="str">
            <v>ｍ</v>
          </cell>
          <cell r="G1141">
            <v>0</v>
          </cell>
          <cell r="H1141">
            <v>1028</v>
          </cell>
          <cell r="I1141">
            <v>0</v>
          </cell>
          <cell r="J1141">
            <v>1028</v>
          </cell>
          <cell r="K1141">
            <v>0</v>
          </cell>
          <cell r="L1141">
            <v>1028</v>
          </cell>
          <cell r="M1141">
            <v>0</v>
          </cell>
          <cell r="N1141">
            <v>1028</v>
          </cell>
          <cell r="O1141">
            <v>0</v>
          </cell>
          <cell r="P1141">
            <v>1028</v>
          </cell>
          <cell r="Q1141">
            <v>0</v>
          </cell>
          <cell r="R1141">
            <v>1028</v>
          </cell>
          <cell r="S1141">
            <v>0</v>
          </cell>
          <cell r="T1141">
            <v>1028</v>
          </cell>
          <cell r="U1141">
            <v>0</v>
          </cell>
          <cell r="V1141">
            <v>1028</v>
          </cell>
          <cell r="W1141">
            <v>0</v>
          </cell>
          <cell r="X1141">
            <v>1028</v>
          </cell>
          <cell r="Y1141">
            <v>0</v>
          </cell>
          <cell r="Z1141">
            <v>1028</v>
          </cell>
          <cell r="AA1141">
            <v>0</v>
          </cell>
          <cell r="AB1141">
            <v>0</v>
          </cell>
          <cell r="AC1141">
            <v>0</v>
          </cell>
          <cell r="AD1141">
            <v>0.05</v>
          </cell>
          <cell r="AE1141">
            <v>0</v>
          </cell>
          <cell r="AF1141">
            <v>0</v>
          </cell>
          <cell r="AG1141">
            <v>0</v>
          </cell>
          <cell r="AH1141">
            <v>0</v>
          </cell>
          <cell r="AI1141">
            <v>0</v>
          </cell>
          <cell r="AJ1141">
            <v>0</v>
          </cell>
          <cell r="AK1141">
            <v>0</v>
          </cell>
          <cell r="AL1141">
            <v>0</v>
          </cell>
        </row>
        <row r="1142">
          <cell r="E1142" t="str">
            <v>AE 0.9mm-100Pr</v>
          </cell>
          <cell r="F1142" t="str">
            <v>ｍ</v>
          </cell>
          <cell r="G1142">
            <v>0</v>
          </cell>
          <cell r="H1142">
            <v>1934</v>
          </cell>
          <cell r="I1142">
            <v>0</v>
          </cell>
          <cell r="J1142">
            <v>1934</v>
          </cell>
          <cell r="K1142">
            <v>0</v>
          </cell>
          <cell r="L1142">
            <v>1934</v>
          </cell>
          <cell r="M1142">
            <v>0</v>
          </cell>
          <cell r="N1142">
            <v>1934</v>
          </cell>
          <cell r="O1142">
            <v>0</v>
          </cell>
          <cell r="P1142">
            <v>1934</v>
          </cell>
          <cell r="Q1142">
            <v>0</v>
          </cell>
          <cell r="R1142">
            <v>1934</v>
          </cell>
          <cell r="S1142">
            <v>0</v>
          </cell>
          <cell r="T1142">
            <v>1934</v>
          </cell>
          <cell r="U1142">
            <v>0</v>
          </cell>
          <cell r="V1142">
            <v>1934</v>
          </cell>
          <cell r="W1142">
            <v>0</v>
          </cell>
          <cell r="X1142">
            <v>1934</v>
          </cell>
          <cell r="Y1142">
            <v>0</v>
          </cell>
          <cell r="Z1142">
            <v>1934</v>
          </cell>
          <cell r="AA1142">
            <v>0</v>
          </cell>
          <cell r="AB1142">
            <v>0</v>
          </cell>
          <cell r="AC1142">
            <v>0</v>
          </cell>
          <cell r="AD1142">
            <v>8.3000000000000004E-2</v>
          </cell>
          <cell r="AE1142">
            <v>0</v>
          </cell>
          <cell r="AF1142">
            <v>0</v>
          </cell>
          <cell r="AG1142">
            <v>0</v>
          </cell>
          <cell r="AH1142">
            <v>0</v>
          </cell>
          <cell r="AI1142">
            <v>0</v>
          </cell>
          <cell r="AJ1142">
            <v>0</v>
          </cell>
          <cell r="AK1142">
            <v>0</v>
          </cell>
          <cell r="AL1142">
            <v>0</v>
          </cell>
        </row>
        <row r="1143">
          <cell r="E1143" t="str">
            <v>AE 1.2mm-2C</v>
          </cell>
          <cell r="F1143" t="str">
            <v>ｍ</v>
          </cell>
          <cell r="G1143">
            <v>0</v>
          </cell>
          <cell r="H1143">
            <v>38.200000000000003</v>
          </cell>
          <cell r="I1143">
            <v>0</v>
          </cell>
          <cell r="J1143">
            <v>38.200000000000003</v>
          </cell>
          <cell r="K1143">
            <v>0</v>
          </cell>
          <cell r="L1143">
            <v>38.200000000000003</v>
          </cell>
          <cell r="M1143">
            <v>0</v>
          </cell>
          <cell r="N1143">
            <v>38.200000000000003</v>
          </cell>
          <cell r="O1143">
            <v>0</v>
          </cell>
          <cell r="P1143">
            <v>38.200000000000003</v>
          </cell>
          <cell r="Q1143">
            <v>0</v>
          </cell>
          <cell r="R1143">
            <v>38.200000000000003</v>
          </cell>
          <cell r="S1143">
            <v>0</v>
          </cell>
          <cell r="T1143">
            <v>38.200000000000003</v>
          </cell>
          <cell r="U1143">
            <v>0</v>
          </cell>
          <cell r="V1143">
            <v>38.200000000000003</v>
          </cell>
          <cell r="W1143">
            <v>0</v>
          </cell>
          <cell r="X1143">
            <v>38.200000000000003</v>
          </cell>
          <cell r="Y1143">
            <v>0</v>
          </cell>
          <cell r="Z1143">
            <v>38.200000000000003</v>
          </cell>
          <cell r="AA1143">
            <v>0</v>
          </cell>
          <cell r="AB1143">
            <v>0</v>
          </cell>
          <cell r="AC1143">
            <v>0</v>
          </cell>
          <cell r="AD1143">
            <v>1.4999999999999999E-2</v>
          </cell>
          <cell r="AE1143">
            <v>0</v>
          </cell>
          <cell r="AF1143">
            <v>0</v>
          </cell>
          <cell r="AG1143">
            <v>0</v>
          </cell>
          <cell r="AH1143">
            <v>0</v>
          </cell>
          <cell r="AI1143">
            <v>0</v>
          </cell>
          <cell r="AJ1143">
            <v>0</v>
          </cell>
          <cell r="AK1143">
            <v>0</v>
          </cell>
          <cell r="AL1143">
            <v>0</v>
          </cell>
        </row>
        <row r="1144">
          <cell r="E1144" t="str">
            <v>AE 1.2mm-3C</v>
          </cell>
          <cell r="F1144" t="str">
            <v>ｍ</v>
          </cell>
          <cell r="G1144">
            <v>0</v>
          </cell>
          <cell r="H1144">
            <v>54.3</v>
          </cell>
          <cell r="I1144">
            <v>0</v>
          </cell>
          <cell r="J1144">
            <v>54.3</v>
          </cell>
          <cell r="K1144">
            <v>0</v>
          </cell>
          <cell r="L1144">
            <v>54.3</v>
          </cell>
          <cell r="M1144">
            <v>0</v>
          </cell>
          <cell r="N1144">
            <v>54.3</v>
          </cell>
          <cell r="O1144">
            <v>0</v>
          </cell>
          <cell r="P1144">
            <v>54.3</v>
          </cell>
          <cell r="Q1144">
            <v>0</v>
          </cell>
          <cell r="R1144">
            <v>54.3</v>
          </cell>
          <cell r="S1144">
            <v>0</v>
          </cell>
          <cell r="T1144">
            <v>54.3</v>
          </cell>
          <cell r="U1144">
            <v>0</v>
          </cell>
          <cell r="V1144">
            <v>54.3</v>
          </cell>
          <cell r="W1144">
            <v>0</v>
          </cell>
          <cell r="X1144">
            <v>54.3</v>
          </cell>
          <cell r="Y1144">
            <v>0</v>
          </cell>
          <cell r="Z1144">
            <v>54.3</v>
          </cell>
          <cell r="AA1144">
            <v>0</v>
          </cell>
          <cell r="AB1144">
            <v>0</v>
          </cell>
          <cell r="AC1144">
            <v>0</v>
          </cell>
          <cell r="AD1144">
            <v>1.7000000000000001E-2</v>
          </cell>
          <cell r="AE1144">
            <v>0</v>
          </cell>
          <cell r="AF1144">
            <v>0</v>
          </cell>
          <cell r="AG1144">
            <v>0</v>
          </cell>
          <cell r="AH1144">
            <v>0</v>
          </cell>
          <cell r="AI1144">
            <v>0</v>
          </cell>
          <cell r="AJ1144">
            <v>0</v>
          </cell>
          <cell r="AK1144">
            <v>0</v>
          </cell>
          <cell r="AL1144">
            <v>0</v>
          </cell>
        </row>
        <row r="1145">
          <cell r="E1145" t="str">
            <v>AE 1.2mm-4C</v>
          </cell>
          <cell r="F1145" t="str">
            <v>ｍ</v>
          </cell>
          <cell r="G1145">
            <v>0</v>
          </cell>
          <cell r="H1145">
            <v>67</v>
          </cell>
          <cell r="I1145">
            <v>0</v>
          </cell>
          <cell r="J1145">
            <v>67</v>
          </cell>
          <cell r="K1145">
            <v>0</v>
          </cell>
          <cell r="L1145">
            <v>67</v>
          </cell>
          <cell r="M1145">
            <v>0</v>
          </cell>
          <cell r="N1145">
            <v>67</v>
          </cell>
          <cell r="O1145">
            <v>0</v>
          </cell>
          <cell r="P1145">
            <v>67</v>
          </cell>
          <cell r="Q1145">
            <v>0</v>
          </cell>
          <cell r="R1145">
            <v>67</v>
          </cell>
          <cell r="S1145">
            <v>0</v>
          </cell>
          <cell r="T1145">
            <v>67</v>
          </cell>
          <cell r="U1145">
            <v>0</v>
          </cell>
          <cell r="V1145">
            <v>67</v>
          </cell>
          <cell r="W1145">
            <v>0</v>
          </cell>
          <cell r="X1145">
            <v>67</v>
          </cell>
          <cell r="Y1145">
            <v>0</v>
          </cell>
          <cell r="Z1145">
            <v>67</v>
          </cell>
          <cell r="AA1145">
            <v>0</v>
          </cell>
          <cell r="AB1145">
            <v>0</v>
          </cell>
          <cell r="AC1145">
            <v>0</v>
          </cell>
          <cell r="AD1145">
            <v>1.7999999999999999E-2</v>
          </cell>
          <cell r="AE1145">
            <v>0</v>
          </cell>
          <cell r="AF1145">
            <v>0</v>
          </cell>
          <cell r="AG1145">
            <v>0</v>
          </cell>
          <cell r="AH1145">
            <v>0</v>
          </cell>
          <cell r="AI1145">
            <v>0</v>
          </cell>
          <cell r="AJ1145">
            <v>0</v>
          </cell>
          <cell r="AK1145">
            <v>0</v>
          </cell>
          <cell r="AL1145">
            <v>0</v>
          </cell>
        </row>
        <row r="1146">
          <cell r="E1146" t="str">
            <v>AE 1.2mm-6C</v>
          </cell>
          <cell r="F1146" t="str">
            <v>ｍ</v>
          </cell>
          <cell r="G1146">
            <v>0</v>
          </cell>
          <cell r="H1146">
            <v>108</v>
          </cell>
          <cell r="I1146">
            <v>0</v>
          </cell>
          <cell r="J1146">
            <v>108</v>
          </cell>
          <cell r="K1146">
            <v>0</v>
          </cell>
          <cell r="L1146">
            <v>108</v>
          </cell>
          <cell r="M1146">
            <v>0</v>
          </cell>
          <cell r="N1146">
            <v>108</v>
          </cell>
          <cell r="O1146">
            <v>0</v>
          </cell>
          <cell r="P1146">
            <v>108</v>
          </cell>
          <cell r="Q1146">
            <v>0</v>
          </cell>
          <cell r="R1146">
            <v>108</v>
          </cell>
          <cell r="S1146">
            <v>0</v>
          </cell>
          <cell r="T1146">
            <v>108</v>
          </cell>
          <cell r="U1146">
            <v>0</v>
          </cell>
          <cell r="V1146">
            <v>108</v>
          </cell>
          <cell r="W1146">
            <v>0</v>
          </cell>
          <cell r="X1146">
            <v>108</v>
          </cell>
          <cell r="Y1146">
            <v>0</v>
          </cell>
          <cell r="Z1146">
            <v>108</v>
          </cell>
          <cell r="AA1146">
            <v>0</v>
          </cell>
          <cell r="AB1146">
            <v>0</v>
          </cell>
          <cell r="AC1146">
            <v>0</v>
          </cell>
          <cell r="AD1146">
            <v>0.02</v>
          </cell>
          <cell r="AE1146">
            <v>0</v>
          </cell>
          <cell r="AF1146">
            <v>0</v>
          </cell>
          <cell r="AG1146">
            <v>0</v>
          </cell>
          <cell r="AH1146">
            <v>0</v>
          </cell>
          <cell r="AI1146">
            <v>0</v>
          </cell>
          <cell r="AJ1146">
            <v>0</v>
          </cell>
          <cell r="AK1146">
            <v>0</v>
          </cell>
          <cell r="AL1146">
            <v>0</v>
          </cell>
        </row>
        <row r="1147">
          <cell r="E1147" t="str">
            <v>AE 1.2mm-4Pr</v>
          </cell>
          <cell r="F1147" t="str">
            <v>ｍ</v>
          </cell>
          <cell r="G1147">
            <v>0</v>
          </cell>
          <cell r="H1147">
            <v>160</v>
          </cell>
          <cell r="I1147">
            <v>0</v>
          </cell>
          <cell r="J1147">
            <v>160</v>
          </cell>
          <cell r="K1147">
            <v>0</v>
          </cell>
          <cell r="L1147">
            <v>160</v>
          </cell>
          <cell r="M1147">
            <v>0</v>
          </cell>
          <cell r="N1147">
            <v>160</v>
          </cell>
          <cell r="O1147">
            <v>0</v>
          </cell>
          <cell r="P1147">
            <v>160</v>
          </cell>
          <cell r="Q1147">
            <v>0</v>
          </cell>
          <cell r="R1147">
            <v>160</v>
          </cell>
          <cell r="S1147">
            <v>0</v>
          </cell>
          <cell r="T1147">
            <v>160</v>
          </cell>
          <cell r="U1147">
            <v>0</v>
          </cell>
          <cell r="V1147">
            <v>160</v>
          </cell>
          <cell r="W1147">
            <v>0</v>
          </cell>
          <cell r="X1147">
            <v>160</v>
          </cell>
          <cell r="Y1147">
            <v>0</v>
          </cell>
          <cell r="Z1147">
            <v>160</v>
          </cell>
          <cell r="AA1147">
            <v>0</v>
          </cell>
          <cell r="AB1147">
            <v>0</v>
          </cell>
          <cell r="AC1147">
            <v>0</v>
          </cell>
          <cell r="AD1147">
            <v>2.5999999999999999E-2</v>
          </cell>
          <cell r="AE1147">
            <v>0</v>
          </cell>
          <cell r="AF1147">
            <v>0</v>
          </cell>
          <cell r="AG1147">
            <v>0</v>
          </cell>
          <cell r="AH1147">
            <v>0</v>
          </cell>
          <cell r="AI1147">
            <v>0</v>
          </cell>
          <cell r="AJ1147">
            <v>0</v>
          </cell>
          <cell r="AK1147">
            <v>0</v>
          </cell>
          <cell r="AL1147">
            <v>0</v>
          </cell>
        </row>
        <row r="1148">
          <cell r="E1148" t="str">
            <v>AE 1.2mm-5Pr</v>
          </cell>
          <cell r="F1148" t="str">
            <v>ｍ</v>
          </cell>
          <cell r="G1148">
            <v>0</v>
          </cell>
          <cell r="H1148">
            <v>196</v>
          </cell>
          <cell r="I1148">
            <v>0</v>
          </cell>
          <cell r="J1148">
            <v>196</v>
          </cell>
          <cell r="K1148">
            <v>0</v>
          </cell>
          <cell r="L1148">
            <v>196</v>
          </cell>
          <cell r="M1148">
            <v>0</v>
          </cell>
          <cell r="N1148">
            <v>196</v>
          </cell>
          <cell r="O1148">
            <v>0</v>
          </cell>
          <cell r="P1148">
            <v>196</v>
          </cell>
          <cell r="Q1148">
            <v>0</v>
          </cell>
          <cell r="R1148">
            <v>196</v>
          </cell>
          <cell r="S1148">
            <v>0</v>
          </cell>
          <cell r="T1148">
            <v>196</v>
          </cell>
          <cell r="U1148">
            <v>0</v>
          </cell>
          <cell r="V1148">
            <v>196</v>
          </cell>
          <cell r="W1148">
            <v>0</v>
          </cell>
          <cell r="X1148">
            <v>196</v>
          </cell>
          <cell r="Y1148">
            <v>0</v>
          </cell>
          <cell r="Z1148">
            <v>196</v>
          </cell>
          <cell r="AA1148">
            <v>0</v>
          </cell>
          <cell r="AB1148">
            <v>0</v>
          </cell>
          <cell r="AC1148">
            <v>0</v>
          </cell>
          <cell r="AD1148">
            <v>2.7E-2</v>
          </cell>
          <cell r="AE1148">
            <v>0</v>
          </cell>
          <cell r="AF1148">
            <v>0</v>
          </cell>
          <cell r="AG1148">
            <v>0</v>
          </cell>
          <cell r="AH1148">
            <v>0</v>
          </cell>
          <cell r="AI1148">
            <v>0</v>
          </cell>
          <cell r="AJ1148">
            <v>0</v>
          </cell>
          <cell r="AK1148">
            <v>0</v>
          </cell>
          <cell r="AL1148">
            <v>0</v>
          </cell>
        </row>
        <row r="1149">
          <cell r="E1149" t="str">
            <v>AE 1.2mm-7Pr</v>
          </cell>
          <cell r="F1149" t="str">
            <v>ｍ</v>
          </cell>
          <cell r="G1149">
            <v>0</v>
          </cell>
          <cell r="H1149">
            <v>261</v>
          </cell>
          <cell r="I1149">
            <v>0</v>
          </cell>
          <cell r="J1149">
            <v>261</v>
          </cell>
          <cell r="K1149">
            <v>0</v>
          </cell>
          <cell r="L1149">
            <v>261</v>
          </cell>
          <cell r="M1149">
            <v>0</v>
          </cell>
          <cell r="N1149">
            <v>261</v>
          </cell>
          <cell r="O1149">
            <v>0</v>
          </cell>
          <cell r="P1149">
            <v>261</v>
          </cell>
          <cell r="Q1149">
            <v>0</v>
          </cell>
          <cell r="R1149">
            <v>261</v>
          </cell>
          <cell r="S1149">
            <v>0</v>
          </cell>
          <cell r="T1149">
            <v>261</v>
          </cell>
          <cell r="U1149">
            <v>0</v>
          </cell>
          <cell r="V1149">
            <v>261</v>
          </cell>
          <cell r="W1149">
            <v>0</v>
          </cell>
          <cell r="X1149">
            <v>261</v>
          </cell>
          <cell r="Y1149">
            <v>0</v>
          </cell>
          <cell r="Z1149">
            <v>261</v>
          </cell>
          <cell r="AA1149">
            <v>0</v>
          </cell>
          <cell r="AB1149">
            <v>0</v>
          </cell>
          <cell r="AC1149">
            <v>0</v>
          </cell>
          <cell r="AD1149">
            <v>2.9000000000000001E-2</v>
          </cell>
          <cell r="AE1149">
            <v>0</v>
          </cell>
          <cell r="AF1149">
            <v>0</v>
          </cell>
          <cell r="AG1149">
            <v>0</v>
          </cell>
          <cell r="AH1149">
            <v>0</v>
          </cell>
          <cell r="AI1149">
            <v>0</v>
          </cell>
          <cell r="AJ1149">
            <v>0</v>
          </cell>
          <cell r="AK1149">
            <v>0</v>
          </cell>
          <cell r="AL1149">
            <v>0</v>
          </cell>
        </row>
        <row r="1150">
          <cell r="E1150" t="str">
            <v>AE 1.2mm-10Pr</v>
          </cell>
          <cell r="F1150" t="str">
            <v>ｍ</v>
          </cell>
          <cell r="G1150">
            <v>0</v>
          </cell>
          <cell r="H1150">
            <v>359</v>
          </cell>
          <cell r="I1150">
            <v>0</v>
          </cell>
          <cell r="J1150">
            <v>359</v>
          </cell>
          <cell r="K1150">
            <v>0</v>
          </cell>
          <cell r="L1150">
            <v>359</v>
          </cell>
          <cell r="M1150">
            <v>0</v>
          </cell>
          <cell r="N1150">
            <v>359</v>
          </cell>
          <cell r="O1150">
            <v>0</v>
          </cell>
          <cell r="P1150">
            <v>359</v>
          </cell>
          <cell r="Q1150">
            <v>0</v>
          </cell>
          <cell r="R1150">
            <v>359</v>
          </cell>
          <cell r="S1150">
            <v>0</v>
          </cell>
          <cell r="T1150">
            <v>359</v>
          </cell>
          <cell r="U1150">
            <v>0</v>
          </cell>
          <cell r="V1150">
            <v>359</v>
          </cell>
          <cell r="W1150">
            <v>0</v>
          </cell>
          <cell r="X1150">
            <v>359</v>
          </cell>
          <cell r="Y1150">
            <v>0</v>
          </cell>
          <cell r="Z1150">
            <v>359</v>
          </cell>
          <cell r="AA1150">
            <v>0</v>
          </cell>
          <cell r="AB1150">
            <v>0</v>
          </cell>
          <cell r="AC1150">
            <v>0</v>
          </cell>
          <cell r="AD1150">
            <v>3.1E-2</v>
          </cell>
          <cell r="AE1150">
            <v>0</v>
          </cell>
          <cell r="AF1150">
            <v>0</v>
          </cell>
          <cell r="AG1150">
            <v>0</v>
          </cell>
          <cell r="AH1150">
            <v>0</v>
          </cell>
          <cell r="AI1150">
            <v>0</v>
          </cell>
          <cell r="AJ1150">
            <v>0</v>
          </cell>
          <cell r="AK1150">
            <v>0</v>
          </cell>
          <cell r="AL1150">
            <v>0</v>
          </cell>
        </row>
        <row r="1151">
          <cell r="E1151" t="str">
            <v>AE 1.2mm-15Pr</v>
          </cell>
          <cell r="F1151" t="str">
            <v>ｍ</v>
          </cell>
          <cell r="G1151">
            <v>0</v>
          </cell>
          <cell r="H1151">
            <v>547</v>
          </cell>
          <cell r="I1151">
            <v>0</v>
          </cell>
          <cell r="J1151">
            <v>547</v>
          </cell>
          <cell r="K1151">
            <v>0</v>
          </cell>
          <cell r="L1151">
            <v>547</v>
          </cell>
          <cell r="M1151">
            <v>0</v>
          </cell>
          <cell r="N1151">
            <v>547</v>
          </cell>
          <cell r="O1151">
            <v>0</v>
          </cell>
          <cell r="P1151">
            <v>547</v>
          </cell>
          <cell r="Q1151">
            <v>0</v>
          </cell>
          <cell r="R1151">
            <v>547</v>
          </cell>
          <cell r="S1151">
            <v>0</v>
          </cell>
          <cell r="T1151">
            <v>547</v>
          </cell>
          <cell r="U1151">
            <v>0</v>
          </cell>
          <cell r="V1151">
            <v>547</v>
          </cell>
          <cell r="W1151">
            <v>0</v>
          </cell>
          <cell r="X1151">
            <v>547</v>
          </cell>
          <cell r="Y1151">
            <v>0</v>
          </cell>
          <cell r="Z1151">
            <v>547</v>
          </cell>
          <cell r="AA1151">
            <v>0</v>
          </cell>
          <cell r="AB1151">
            <v>0</v>
          </cell>
          <cell r="AC1151">
            <v>0</v>
          </cell>
          <cell r="AD1151">
            <v>3.4000000000000002E-2</v>
          </cell>
          <cell r="AE1151">
            <v>0</v>
          </cell>
          <cell r="AF1151">
            <v>0</v>
          </cell>
          <cell r="AG1151">
            <v>0</v>
          </cell>
          <cell r="AH1151">
            <v>0</v>
          </cell>
          <cell r="AI1151">
            <v>0</v>
          </cell>
          <cell r="AJ1151">
            <v>0</v>
          </cell>
          <cell r="AK1151">
            <v>0</v>
          </cell>
          <cell r="AL1151">
            <v>0</v>
          </cell>
        </row>
        <row r="1152">
          <cell r="E1152" t="str">
            <v>AE 1.2mm-20Pr</v>
          </cell>
          <cell r="F1152" t="str">
            <v>ｍ</v>
          </cell>
          <cell r="G1152">
            <v>0</v>
          </cell>
          <cell r="H1152">
            <v>693</v>
          </cell>
          <cell r="I1152">
            <v>0</v>
          </cell>
          <cell r="J1152">
            <v>693</v>
          </cell>
          <cell r="K1152">
            <v>0</v>
          </cell>
          <cell r="L1152">
            <v>693</v>
          </cell>
          <cell r="M1152">
            <v>0</v>
          </cell>
          <cell r="N1152">
            <v>693</v>
          </cell>
          <cell r="O1152">
            <v>0</v>
          </cell>
          <cell r="P1152">
            <v>693</v>
          </cell>
          <cell r="Q1152">
            <v>0</v>
          </cell>
          <cell r="R1152">
            <v>693</v>
          </cell>
          <cell r="S1152">
            <v>0</v>
          </cell>
          <cell r="T1152">
            <v>693</v>
          </cell>
          <cell r="U1152">
            <v>0</v>
          </cell>
          <cell r="V1152">
            <v>693</v>
          </cell>
          <cell r="W1152">
            <v>0</v>
          </cell>
          <cell r="X1152">
            <v>693</v>
          </cell>
          <cell r="Y1152">
            <v>0</v>
          </cell>
          <cell r="Z1152">
            <v>693</v>
          </cell>
          <cell r="AA1152">
            <v>0</v>
          </cell>
          <cell r="AB1152">
            <v>0</v>
          </cell>
          <cell r="AC1152">
            <v>0</v>
          </cell>
          <cell r="AD1152">
            <v>3.9E-2</v>
          </cell>
          <cell r="AE1152">
            <v>0</v>
          </cell>
          <cell r="AF1152">
            <v>0</v>
          </cell>
          <cell r="AG1152">
            <v>0</v>
          </cell>
          <cell r="AH1152">
            <v>0</v>
          </cell>
          <cell r="AI1152">
            <v>0</v>
          </cell>
          <cell r="AJ1152">
            <v>0</v>
          </cell>
          <cell r="AK1152">
            <v>0</v>
          </cell>
          <cell r="AL1152">
            <v>0</v>
          </cell>
        </row>
        <row r="1153">
          <cell r="E1153" t="str">
            <v>AE 1.2mm-30Pr</v>
          </cell>
          <cell r="F1153" t="str">
            <v>ｍ</v>
          </cell>
          <cell r="G1153">
            <v>0</v>
          </cell>
          <cell r="H1153">
            <v>1039</v>
          </cell>
          <cell r="I1153">
            <v>0</v>
          </cell>
          <cell r="J1153">
            <v>1039</v>
          </cell>
          <cell r="K1153">
            <v>0</v>
          </cell>
          <cell r="L1153">
            <v>1039</v>
          </cell>
          <cell r="M1153">
            <v>0</v>
          </cell>
          <cell r="N1153">
            <v>1039</v>
          </cell>
          <cell r="O1153">
            <v>0</v>
          </cell>
          <cell r="P1153">
            <v>1039</v>
          </cell>
          <cell r="Q1153">
            <v>0</v>
          </cell>
          <cell r="R1153">
            <v>1039</v>
          </cell>
          <cell r="S1153">
            <v>0</v>
          </cell>
          <cell r="T1153">
            <v>1039</v>
          </cell>
          <cell r="U1153">
            <v>0</v>
          </cell>
          <cell r="V1153">
            <v>1039</v>
          </cell>
          <cell r="W1153">
            <v>0</v>
          </cell>
          <cell r="X1153">
            <v>1039</v>
          </cell>
          <cell r="Y1153">
            <v>0</v>
          </cell>
          <cell r="Z1153">
            <v>1039</v>
          </cell>
          <cell r="AA1153">
            <v>0</v>
          </cell>
          <cell r="AB1153">
            <v>0</v>
          </cell>
          <cell r="AC1153">
            <v>0</v>
          </cell>
          <cell r="AD1153">
            <v>4.5999999999999999E-2</v>
          </cell>
          <cell r="AE1153">
            <v>0</v>
          </cell>
          <cell r="AF1153">
            <v>0</v>
          </cell>
          <cell r="AG1153">
            <v>0</v>
          </cell>
          <cell r="AH1153">
            <v>0</v>
          </cell>
          <cell r="AI1153">
            <v>0</v>
          </cell>
          <cell r="AJ1153">
            <v>0</v>
          </cell>
          <cell r="AK1153">
            <v>0</v>
          </cell>
          <cell r="AL1153">
            <v>0</v>
          </cell>
        </row>
        <row r="1154">
          <cell r="E1154" t="str">
            <v>AE 1.2mm-50Pr</v>
          </cell>
          <cell r="F1154" t="str">
            <v>ｍ</v>
          </cell>
          <cell r="G1154">
            <v>0</v>
          </cell>
          <cell r="H1154">
            <v>1749</v>
          </cell>
          <cell r="I1154">
            <v>0</v>
          </cell>
          <cell r="J1154">
            <v>1749</v>
          </cell>
          <cell r="K1154">
            <v>0</v>
          </cell>
          <cell r="L1154">
            <v>1749</v>
          </cell>
          <cell r="M1154">
            <v>0</v>
          </cell>
          <cell r="N1154">
            <v>1749</v>
          </cell>
          <cell r="O1154">
            <v>0</v>
          </cell>
          <cell r="P1154">
            <v>1749</v>
          </cell>
          <cell r="Q1154">
            <v>0</v>
          </cell>
          <cell r="R1154">
            <v>1749</v>
          </cell>
          <cell r="S1154">
            <v>0</v>
          </cell>
          <cell r="T1154">
            <v>1749</v>
          </cell>
          <cell r="U1154">
            <v>0</v>
          </cell>
          <cell r="V1154">
            <v>1749</v>
          </cell>
          <cell r="W1154">
            <v>0</v>
          </cell>
          <cell r="X1154">
            <v>1749</v>
          </cell>
          <cell r="Y1154">
            <v>0</v>
          </cell>
          <cell r="Z1154">
            <v>1749</v>
          </cell>
          <cell r="AA1154">
            <v>0</v>
          </cell>
          <cell r="AB1154">
            <v>0</v>
          </cell>
          <cell r="AC1154">
            <v>0</v>
          </cell>
          <cell r="AD1154">
            <v>6.2E-2</v>
          </cell>
          <cell r="AE1154">
            <v>0</v>
          </cell>
          <cell r="AF1154">
            <v>0</v>
          </cell>
          <cell r="AG1154">
            <v>0</v>
          </cell>
          <cell r="AH1154">
            <v>0</v>
          </cell>
          <cell r="AI1154">
            <v>0</v>
          </cell>
          <cell r="AJ1154">
            <v>0</v>
          </cell>
          <cell r="AK1154">
            <v>0</v>
          </cell>
          <cell r="AL1154">
            <v>0</v>
          </cell>
        </row>
        <row r="1155">
          <cell r="E1155" t="str">
            <v>AE 1.2mm-100Pr</v>
          </cell>
          <cell r="F1155" t="str">
            <v>ｍ</v>
          </cell>
          <cell r="G1155">
            <v>0</v>
          </cell>
          <cell r="H1155">
            <v>3513</v>
          </cell>
          <cell r="I1155">
            <v>0</v>
          </cell>
          <cell r="J1155">
            <v>3513</v>
          </cell>
          <cell r="K1155">
            <v>0</v>
          </cell>
          <cell r="L1155">
            <v>3513</v>
          </cell>
          <cell r="M1155">
            <v>0</v>
          </cell>
          <cell r="N1155">
            <v>3513</v>
          </cell>
          <cell r="O1155">
            <v>0</v>
          </cell>
          <cell r="P1155">
            <v>3513</v>
          </cell>
          <cell r="Q1155">
            <v>0</v>
          </cell>
          <cell r="R1155">
            <v>3513</v>
          </cell>
          <cell r="S1155">
            <v>0</v>
          </cell>
          <cell r="T1155">
            <v>3513</v>
          </cell>
          <cell r="U1155">
            <v>0</v>
          </cell>
          <cell r="V1155">
            <v>3513</v>
          </cell>
          <cell r="W1155">
            <v>0</v>
          </cell>
          <cell r="X1155">
            <v>3513</v>
          </cell>
          <cell r="Y1155">
            <v>0</v>
          </cell>
          <cell r="Z1155">
            <v>3513</v>
          </cell>
          <cell r="AA1155">
            <v>0</v>
          </cell>
          <cell r="AB1155">
            <v>0</v>
          </cell>
          <cell r="AC1155">
            <v>0</v>
          </cell>
          <cell r="AD1155">
            <v>0.10299999999999999</v>
          </cell>
          <cell r="AE1155">
            <v>0</v>
          </cell>
          <cell r="AF1155">
            <v>0</v>
          </cell>
          <cell r="AG1155">
            <v>0</v>
          </cell>
          <cell r="AH1155">
            <v>0</v>
          </cell>
          <cell r="AI1155">
            <v>0</v>
          </cell>
          <cell r="AJ1155">
            <v>0</v>
          </cell>
          <cell r="AK1155">
            <v>0</v>
          </cell>
          <cell r="AL1155">
            <v>0</v>
          </cell>
        </row>
        <row r="1156">
          <cell r="E1156" t="str">
            <v>CCP-P 0.4- 10Pr</v>
          </cell>
          <cell r="F1156" t="str">
            <v>ｍ</v>
          </cell>
          <cell r="G1156">
            <v>0</v>
          </cell>
          <cell r="H1156">
            <v>123</v>
          </cell>
          <cell r="I1156">
            <v>0</v>
          </cell>
          <cell r="J1156">
            <v>123</v>
          </cell>
          <cell r="K1156">
            <v>0</v>
          </cell>
          <cell r="L1156">
            <v>123</v>
          </cell>
          <cell r="M1156">
            <v>0</v>
          </cell>
          <cell r="N1156">
            <v>123</v>
          </cell>
          <cell r="O1156">
            <v>0</v>
          </cell>
          <cell r="P1156">
            <v>123</v>
          </cell>
          <cell r="Q1156">
            <v>0</v>
          </cell>
          <cell r="R1156">
            <v>123</v>
          </cell>
          <cell r="S1156">
            <v>0</v>
          </cell>
          <cell r="T1156">
            <v>123</v>
          </cell>
          <cell r="U1156">
            <v>0</v>
          </cell>
          <cell r="V1156">
            <v>123</v>
          </cell>
          <cell r="W1156">
            <v>0</v>
          </cell>
          <cell r="X1156">
            <v>123</v>
          </cell>
          <cell r="Y1156">
            <v>0</v>
          </cell>
          <cell r="Z1156">
            <v>123</v>
          </cell>
          <cell r="AA1156">
            <v>0</v>
          </cell>
          <cell r="AB1156">
            <v>0</v>
          </cell>
          <cell r="AC1156">
            <v>0</v>
          </cell>
          <cell r="AD1156">
            <v>2.1999999999999999E-2</v>
          </cell>
          <cell r="AE1156">
            <v>0</v>
          </cell>
          <cell r="AF1156">
            <v>0</v>
          </cell>
          <cell r="AG1156">
            <v>0</v>
          </cell>
          <cell r="AH1156">
            <v>0</v>
          </cell>
          <cell r="AI1156">
            <v>0</v>
          </cell>
          <cell r="AJ1156">
            <v>0</v>
          </cell>
          <cell r="AK1156">
            <v>0</v>
          </cell>
          <cell r="AL1156">
            <v>0</v>
          </cell>
        </row>
        <row r="1157">
          <cell r="E1157" t="str">
            <v>CCP-P 0.4- 30Pr</v>
          </cell>
          <cell r="F1157" t="str">
            <v>ｍ</v>
          </cell>
          <cell r="G1157">
            <v>0</v>
          </cell>
          <cell r="H1157">
            <v>213</v>
          </cell>
          <cell r="I1157">
            <v>0</v>
          </cell>
          <cell r="J1157">
            <v>213</v>
          </cell>
          <cell r="K1157">
            <v>0</v>
          </cell>
          <cell r="L1157">
            <v>213</v>
          </cell>
          <cell r="M1157">
            <v>0</v>
          </cell>
          <cell r="N1157">
            <v>213</v>
          </cell>
          <cell r="O1157">
            <v>0</v>
          </cell>
          <cell r="P1157">
            <v>213</v>
          </cell>
          <cell r="Q1157">
            <v>0</v>
          </cell>
          <cell r="R1157">
            <v>213</v>
          </cell>
          <cell r="S1157">
            <v>0</v>
          </cell>
          <cell r="T1157">
            <v>213</v>
          </cell>
          <cell r="U1157">
            <v>0</v>
          </cell>
          <cell r="V1157">
            <v>213</v>
          </cell>
          <cell r="W1157">
            <v>0</v>
          </cell>
          <cell r="X1157">
            <v>213</v>
          </cell>
          <cell r="Y1157">
            <v>0</v>
          </cell>
          <cell r="Z1157">
            <v>213</v>
          </cell>
          <cell r="AA1157">
            <v>0</v>
          </cell>
          <cell r="AB1157">
            <v>0</v>
          </cell>
          <cell r="AC1157">
            <v>0</v>
          </cell>
          <cell r="AD1157">
            <v>2.9000000000000001E-2</v>
          </cell>
          <cell r="AE1157">
            <v>0</v>
          </cell>
          <cell r="AF1157">
            <v>0</v>
          </cell>
          <cell r="AG1157">
            <v>0</v>
          </cell>
          <cell r="AH1157">
            <v>0</v>
          </cell>
          <cell r="AI1157">
            <v>0</v>
          </cell>
          <cell r="AJ1157">
            <v>0</v>
          </cell>
          <cell r="AK1157">
            <v>0</v>
          </cell>
          <cell r="AL1157">
            <v>0</v>
          </cell>
        </row>
        <row r="1158">
          <cell r="E1158" t="str">
            <v>CCP-P 0.4- 50Pr</v>
          </cell>
          <cell r="F1158" t="str">
            <v>ｍ</v>
          </cell>
          <cell r="G1158">
            <v>0</v>
          </cell>
          <cell r="H1158">
            <v>314</v>
          </cell>
          <cell r="I1158">
            <v>0</v>
          </cell>
          <cell r="J1158">
            <v>314</v>
          </cell>
          <cell r="K1158">
            <v>0</v>
          </cell>
          <cell r="L1158">
            <v>314</v>
          </cell>
          <cell r="M1158">
            <v>0</v>
          </cell>
          <cell r="N1158">
            <v>314</v>
          </cell>
          <cell r="O1158">
            <v>0</v>
          </cell>
          <cell r="P1158">
            <v>314</v>
          </cell>
          <cell r="Q1158">
            <v>0</v>
          </cell>
          <cell r="R1158">
            <v>314</v>
          </cell>
          <cell r="S1158">
            <v>0</v>
          </cell>
          <cell r="T1158">
            <v>314</v>
          </cell>
          <cell r="U1158">
            <v>0</v>
          </cell>
          <cell r="V1158">
            <v>314</v>
          </cell>
          <cell r="W1158">
            <v>0</v>
          </cell>
          <cell r="X1158">
            <v>314</v>
          </cell>
          <cell r="Y1158">
            <v>0</v>
          </cell>
          <cell r="Z1158">
            <v>314</v>
          </cell>
          <cell r="AA1158">
            <v>0</v>
          </cell>
          <cell r="AB1158">
            <v>0</v>
          </cell>
          <cell r="AC1158">
            <v>0</v>
          </cell>
          <cell r="AD1158">
            <v>3.9E-2</v>
          </cell>
          <cell r="AE1158">
            <v>0</v>
          </cell>
          <cell r="AF1158">
            <v>0</v>
          </cell>
          <cell r="AG1158">
            <v>0</v>
          </cell>
          <cell r="AH1158">
            <v>0</v>
          </cell>
          <cell r="AI1158">
            <v>0</v>
          </cell>
          <cell r="AJ1158">
            <v>0</v>
          </cell>
          <cell r="AK1158">
            <v>0</v>
          </cell>
          <cell r="AL1158">
            <v>0</v>
          </cell>
        </row>
        <row r="1159">
          <cell r="E1159" t="str">
            <v>CCP-P 0.4-100Pr</v>
          </cell>
          <cell r="F1159" t="str">
            <v>ｍ</v>
          </cell>
          <cell r="G1159">
            <v>0</v>
          </cell>
          <cell r="H1159">
            <v>548</v>
          </cell>
          <cell r="I1159">
            <v>0</v>
          </cell>
          <cell r="J1159">
            <v>548</v>
          </cell>
          <cell r="K1159">
            <v>0</v>
          </cell>
          <cell r="L1159">
            <v>548</v>
          </cell>
          <cell r="M1159">
            <v>0</v>
          </cell>
          <cell r="N1159">
            <v>548</v>
          </cell>
          <cell r="O1159">
            <v>0</v>
          </cell>
          <cell r="P1159">
            <v>548</v>
          </cell>
          <cell r="Q1159">
            <v>0</v>
          </cell>
          <cell r="R1159">
            <v>548</v>
          </cell>
          <cell r="S1159">
            <v>0</v>
          </cell>
          <cell r="T1159">
            <v>548</v>
          </cell>
          <cell r="U1159">
            <v>0</v>
          </cell>
          <cell r="V1159">
            <v>548</v>
          </cell>
          <cell r="W1159">
            <v>0</v>
          </cell>
          <cell r="X1159">
            <v>548</v>
          </cell>
          <cell r="Y1159">
            <v>0</v>
          </cell>
          <cell r="Z1159">
            <v>548</v>
          </cell>
          <cell r="AA1159">
            <v>0</v>
          </cell>
          <cell r="AB1159">
            <v>0</v>
          </cell>
          <cell r="AC1159">
            <v>0</v>
          </cell>
          <cell r="AD1159">
            <v>6.4000000000000001E-2</v>
          </cell>
          <cell r="AE1159">
            <v>0</v>
          </cell>
          <cell r="AF1159">
            <v>0</v>
          </cell>
          <cell r="AG1159">
            <v>0</v>
          </cell>
          <cell r="AH1159">
            <v>0</v>
          </cell>
          <cell r="AI1159">
            <v>0</v>
          </cell>
          <cell r="AJ1159">
            <v>0</v>
          </cell>
          <cell r="AK1159">
            <v>0</v>
          </cell>
          <cell r="AL1159">
            <v>0</v>
          </cell>
        </row>
        <row r="1160">
          <cell r="E1160" t="str">
            <v>CCP-P 0.4-200Pr</v>
          </cell>
          <cell r="F1160" t="str">
            <v>ｍ</v>
          </cell>
          <cell r="G1160">
            <v>0</v>
          </cell>
          <cell r="H1160">
            <v>1021</v>
          </cell>
          <cell r="I1160">
            <v>0</v>
          </cell>
          <cell r="J1160">
            <v>1021</v>
          </cell>
          <cell r="K1160">
            <v>0</v>
          </cell>
          <cell r="L1160">
            <v>1021</v>
          </cell>
          <cell r="M1160">
            <v>0</v>
          </cell>
          <cell r="N1160">
            <v>1021</v>
          </cell>
          <cell r="O1160">
            <v>0</v>
          </cell>
          <cell r="P1160">
            <v>1021</v>
          </cell>
          <cell r="Q1160">
            <v>0</v>
          </cell>
          <cell r="R1160">
            <v>1021</v>
          </cell>
          <cell r="S1160">
            <v>0</v>
          </cell>
          <cell r="T1160">
            <v>1021</v>
          </cell>
          <cell r="U1160">
            <v>0</v>
          </cell>
          <cell r="V1160">
            <v>1021</v>
          </cell>
          <cell r="W1160">
            <v>0</v>
          </cell>
          <cell r="X1160">
            <v>1021</v>
          </cell>
          <cell r="Y1160">
            <v>0</v>
          </cell>
          <cell r="Z1160">
            <v>1021</v>
          </cell>
          <cell r="AA1160">
            <v>0</v>
          </cell>
          <cell r="AB1160">
            <v>0</v>
          </cell>
          <cell r="AC1160">
            <v>0</v>
          </cell>
          <cell r="AD1160">
            <v>9.5000000000000001E-2</v>
          </cell>
          <cell r="AE1160">
            <v>0</v>
          </cell>
          <cell r="AF1160">
            <v>0</v>
          </cell>
          <cell r="AG1160">
            <v>0</v>
          </cell>
          <cell r="AH1160">
            <v>0</v>
          </cell>
          <cell r="AI1160">
            <v>0</v>
          </cell>
          <cell r="AJ1160">
            <v>0</v>
          </cell>
          <cell r="AK1160">
            <v>0</v>
          </cell>
          <cell r="AL1160">
            <v>0</v>
          </cell>
        </row>
        <row r="1161">
          <cell r="E1161" t="str">
            <v>CCP-P 0.5- 10Pr</v>
          </cell>
          <cell r="F1161" t="str">
            <v>ｍ</v>
          </cell>
          <cell r="G1161">
            <v>0</v>
          </cell>
          <cell r="H1161">
            <v>141</v>
          </cell>
          <cell r="I1161">
            <v>0</v>
          </cell>
          <cell r="J1161">
            <v>141</v>
          </cell>
          <cell r="K1161">
            <v>0</v>
          </cell>
          <cell r="L1161">
            <v>141</v>
          </cell>
          <cell r="M1161">
            <v>0</v>
          </cell>
          <cell r="N1161">
            <v>141</v>
          </cell>
          <cell r="O1161">
            <v>0</v>
          </cell>
          <cell r="P1161">
            <v>141</v>
          </cell>
          <cell r="Q1161">
            <v>0</v>
          </cell>
          <cell r="R1161">
            <v>141</v>
          </cell>
          <cell r="S1161">
            <v>0</v>
          </cell>
          <cell r="T1161">
            <v>141</v>
          </cell>
          <cell r="U1161">
            <v>0</v>
          </cell>
          <cell r="V1161">
            <v>141</v>
          </cell>
          <cell r="W1161">
            <v>0</v>
          </cell>
          <cell r="X1161">
            <v>141</v>
          </cell>
          <cell r="Y1161">
            <v>0</v>
          </cell>
          <cell r="Z1161">
            <v>141</v>
          </cell>
          <cell r="AA1161">
            <v>0</v>
          </cell>
          <cell r="AB1161">
            <v>0</v>
          </cell>
          <cell r="AC1161">
            <v>0</v>
          </cell>
          <cell r="AD1161">
            <v>2.1999999999999999E-2</v>
          </cell>
          <cell r="AE1161">
            <v>0</v>
          </cell>
          <cell r="AF1161">
            <v>0</v>
          </cell>
          <cell r="AG1161">
            <v>0</v>
          </cell>
          <cell r="AH1161">
            <v>0</v>
          </cell>
          <cell r="AI1161">
            <v>0</v>
          </cell>
          <cell r="AJ1161">
            <v>0</v>
          </cell>
          <cell r="AK1161">
            <v>0</v>
          </cell>
          <cell r="AL1161">
            <v>0</v>
          </cell>
        </row>
        <row r="1162">
          <cell r="E1162" t="str">
            <v>CCP-P 0.5- 30Pr</v>
          </cell>
          <cell r="F1162" t="str">
            <v>ｍ</v>
          </cell>
          <cell r="G1162">
            <v>0</v>
          </cell>
          <cell r="H1162">
            <v>277</v>
          </cell>
          <cell r="I1162">
            <v>0</v>
          </cell>
          <cell r="J1162">
            <v>277</v>
          </cell>
          <cell r="K1162">
            <v>0</v>
          </cell>
          <cell r="L1162">
            <v>277</v>
          </cell>
          <cell r="M1162">
            <v>0</v>
          </cell>
          <cell r="N1162">
            <v>277</v>
          </cell>
          <cell r="O1162">
            <v>0</v>
          </cell>
          <cell r="P1162">
            <v>277</v>
          </cell>
          <cell r="Q1162">
            <v>0</v>
          </cell>
          <cell r="R1162">
            <v>277</v>
          </cell>
          <cell r="S1162">
            <v>0</v>
          </cell>
          <cell r="T1162">
            <v>277</v>
          </cell>
          <cell r="U1162">
            <v>0</v>
          </cell>
          <cell r="V1162">
            <v>277</v>
          </cell>
          <cell r="W1162">
            <v>0</v>
          </cell>
          <cell r="X1162">
            <v>277</v>
          </cell>
          <cell r="Y1162">
            <v>0</v>
          </cell>
          <cell r="Z1162">
            <v>277</v>
          </cell>
          <cell r="AA1162">
            <v>0</v>
          </cell>
          <cell r="AB1162">
            <v>0</v>
          </cell>
          <cell r="AC1162">
            <v>0</v>
          </cell>
          <cell r="AD1162">
            <v>2.9000000000000001E-2</v>
          </cell>
          <cell r="AE1162">
            <v>0</v>
          </cell>
          <cell r="AF1162">
            <v>0</v>
          </cell>
          <cell r="AG1162">
            <v>0</v>
          </cell>
          <cell r="AH1162">
            <v>0</v>
          </cell>
          <cell r="AI1162">
            <v>0</v>
          </cell>
          <cell r="AJ1162">
            <v>0</v>
          </cell>
          <cell r="AK1162">
            <v>0</v>
          </cell>
          <cell r="AL1162">
            <v>0</v>
          </cell>
        </row>
        <row r="1163">
          <cell r="E1163" t="str">
            <v>CCP-P 0.5- 50Pr</v>
          </cell>
          <cell r="F1163" t="str">
            <v>ｍ</v>
          </cell>
          <cell r="G1163">
            <v>0</v>
          </cell>
          <cell r="H1163">
            <v>409</v>
          </cell>
          <cell r="I1163">
            <v>0</v>
          </cell>
          <cell r="J1163">
            <v>409</v>
          </cell>
          <cell r="K1163">
            <v>0</v>
          </cell>
          <cell r="L1163">
            <v>409</v>
          </cell>
          <cell r="M1163">
            <v>0</v>
          </cell>
          <cell r="N1163">
            <v>409</v>
          </cell>
          <cell r="O1163">
            <v>0</v>
          </cell>
          <cell r="P1163">
            <v>409</v>
          </cell>
          <cell r="Q1163">
            <v>0</v>
          </cell>
          <cell r="R1163">
            <v>409</v>
          </cell>
          <cell r="S1163">
            <v>0</v>
          </cell>
          <cell r="T1163">
            <v>409</v>
          </cell>
          <cell r="U1163">
            <v>0</v>
          </cell>
          <cell r="V1163">
            <v>409</v>
          </cell>
          <cell r="W1163">
            <v>0</v>
          </cell>
          <cell r="X1163">
            <v>409</v>
          </cell>
          <cell r="Y1163">
            <v>0</v>
          </cell>
          <cell r="Z1163">
            <v>409</v>
          </cell>
          <cell r="AA1163">
            <v>0</v>
          </cell>
          <cell r="AB1163">
            <v>0</v>
          </cell>
          <cell r="AC1163">
            <v>0</v>
          </cell>
          <cell r="AD1163">
            <v>3.9E-2</v>
          </cell>
          <cell r="AE1163">
            <v>0</v>
          </cell>
          <cell r="AF1163">
            <v>0</v>
          </cell>
          <cell r="AG1163">
            <v>0</v>
          </cell>
          <cell r="AH1163">
            <v>0</v>
          </cell>
          <cell r="AI1163">
            <v>0</v>
          </cell>
          <cell r="AJ1163">
            <v>0</v>
          </cell>
          <cell r="AK1163">
            <v>0</v>
          </cell>
          <cell r="AL1163">
            <v>0</v>
          </cell>
        </row>
        <row r="1164">
          <cell r="E1164" t="str">
            <v>CCP-P 0.5-100Pr</v>
          </cell>
          <cell r="F1164" t="str">
            <v>ｍ</v>
          </cell>
          <cell r="G1164">
            <v>0</v>
          </cell>
          <cell r="H1164">
            <v>735</v>
          </cell>
          <cell r="I1164">
            <v>0</v>
          </cell>
          <cell r="J1164">
            <v>735</v>
          </cell>
          <cell r="K1164">
            <v>0</v>
          </cell>
          <cell r="L1164">
            <v>735</v>
          </cell>
          <cell r="M1164">
            <v>0</v>
          </cell>
          <cell r="N1164">
            <v>735</v>
          </cell>
          <cell r="O1164">
            <v>0</v>
          </cell>
          <cell r="P1164">
            <v>735</v>
          </cell>
          <cell r="Q1164">
            <v>0</v>
          </cell>
          <cell r="R1164">
            <v>735</v>
          </cell>
          <cell r="S1164">
            <v>0</v>
          </cell>
          <cell r="T1164">
            <v>735</v>
          </cell>
          <cell r="U1164">
            <v>0</v>
          </cell>
          <cell r="V1164">
            <v>735</v>
          </cell>
          <cell r="W1164">
            <v>0</v>
          </cell>
          <cell r="X1164">
            <v>735</v>
          </cell>
          <cell r="Y1164">
            <v>0</v>
          </cell>
          <cell r="Z1164">
            <v>735</v>
          </cell>
          <cell r="AA1164">
            <v>0</v>
          </cell>
          <cell r="AB1164">
            <v>0</v>
          </cell>
          <cell r="AC1164">
            <v>0</v>
          </cell>
          <cell r="AD1164">
            <v>6.4000000000000001E-2</v>
          </cell>
          <cell r="AE1164">
            <v>0</v>
          </cell>
          <cell r="AF1164">
            <v>0</v>
          </cell>
          <cell r="AG1164">
            <v>0</v>
          </cell>
          <cell r="AH1164">
            <v>0</v>
          </cell>
          <cell r="AI1164">
            <v>0</v>
          </cell>
          <cell r="AJ1164">
            <v>0</v>
          </cell>
          <cell r="AK1164">
            <v>0</v>
          </cell>
          <cell r="AL1164">
            <v>0</v>
          </cell>
        </row>
        <row r="1165">
          <cell r="E1165" t="str">
            <v>CCP-P 0.5-200Pr</v>
          </cell>
          <cell r="F1165" t="str">
            <v>ｍ</v>
          </cell>
          <cell r="G1165">
            <v>0</v>
          </cell>
          <cell r="H1165">
            <v>1364</v>
          </cell>
          <cell r="I1165">
            <v>0</v>
          </cell>
          <cell r="J1165">
            <v>1364</v>
          </cell>
          <cell r="K1165">
            <v>0</v>
          </cell>
          <cell r="L1165">
            <v>1364</v>
          </cell>
          <cell r="M1165">
            <v>0</v>
          </cell>
          <cell r="N1165">
            <v>1364</v>
          </cell>
          <cell r="O1165">
            <v>0</v>
          </cell>
          <cell r="P1165">
            <v>1364</v>
          </cell>
          <cell r="Q1165">
            <v>0</v>
          </cell>
          <cell r="R1165">
            <v>1364</v>
          </cell>
          <cell r="S1165">
            <v>0</v>
          </cell>
          <cell r="T1165">
            <v>1364</v>
          </cell>
          <cell r="U1165">
            <v>0</v>
          </cell>
          <cell r="V1165">
            <v>1364</v>
          </cell>
          <cell r="W1165">
            <v>0</v>
          </cell>
          <cell r="X1165">
            <v>1364</v>
          </cell>
          <cell r="Y1165">
            <v>0</v>
          </cell>
          <cell r="Z1165">
            <v>1364</v>
          </cell>
          <cell r="AA1165">
            <v>0</v>
          </cell>
          <cell r="AB1165">
            <v>0</v>
          </cell>
          <cell r="AC1165">
            <v>0</v>
          </cell>
          <cell r="AD1165">
            <v>9.5000000000000001E-2</v>
          </cell>
          <cell r="AE1165">
            <v>0</v>
          </cell>
          <cell r="AF1165">
            <v>0</v>
          </cell>
          <cell r="AG1165">
            <v>0</v>
          </cell>
          <cell r="AH1165">
            <v>0</v>
          </cell>
          <cell r="AI1165">
            <v>0</v>
          </cell>
          <cell r="AJ1165">
            <v>0</v>
          </cell>
          <cell r="AK1165">
            <v>0</v>
          </cell>
          <cell r="AL1165">
            <v>0</v>
          </cell>
        </row>
        <row r="1166">
          <cell r="E1166" t="str">
            <v>CCP-P 0.65- 10Pr</v>
          </cell>
          <cell r="F1166" t="str">
            <v>ｍ</v>
          </cell>
          <cell r="G1166">
            <v>0</v>
          </cell>
          <cell r="H1166">
            <v>186</v>
          </cell>
          <cell r="I1166">
            <v>0</v>
          </cell>
          <cell r="J1166">
            <v>186</v>
          </cell>
          <cell r="K1166">
            <v>0</v>
          </cell>
          <cell r="L1166">
            <v>186</v>
          </cell>
          <cell r="M1166">
            <v>0</v>
          </cell>
          <cell r="N1166">
            <v>186</v>
          </cell>
          <cell r="O1166">
            <v>0</v>
          </cell>
          <cell r="P1166">
            <v>186</v>
          </cell>
          <cell r="Q1166">
            <v>0</v>
          </cell>
          <cell r="R1166">
            <v>186</v>
          </cell>
          <cell r="S1166">
            <v>0</v>
          </cell>
          <cell r="T1166">
            <v>186</v>
          </cell>
          <cell r="U1166">
            <v>0</v>
          </cell>
          <cell r="V1166">
            <v>186</v>
          </cell>
          <cell r="W1166">
            <v>0</v>
          </cell>
          <cell r="X1166">
            <v>186</v>
          </cell>
          <cell r="Y1166">
            <v>0</v>
          </cell>
          <cell r="Z1166">
            <v>186</v>
          </cell>
          <cell r="AA1166">
            <v>0</v>
          </cell>
          <cell r="AB1166">
            <v>0</v>
          </cell>
          <cell r="AC1166">
            <v>0</v>
          </cell>
          <cell r="AD1166">
            <v>2.1999999999999999E-2</v>
          </cell>
          <cell r="AE1166">
            <v>0</v>
          </cell>
          <cell r="AF1166">
            <v>0</v>
          </cell>
          <cell r="AG1166">
            <v>0</v>
          </cell>
          <cell r="AH1166">
            <v>0</v>
          </cell>
          <cell r="AI1166">
            <v>0</v>
          </cell>
          <cell r="AJ1166">
            <v>0</v>
          </cell>
          <cell r="AK1166">
            <v>0</v>
          </cell>
          <cell r="AL1166">
            <v>0</v>
          </cell>
        </row>
        <row r="1167">
          <cell r="E1167" t="str">
            <v>CCP-P 0.65- 30Pr</v>
          </cell>
          <cell r="F1167" t="str">
            <v>ｍ</v>
          </cell>
          <cell r="G1167">
            <v>0</v>
          </cell>
          <cell r="H1167">
            <v>381</v>
          </cell>
          <cell r="I1167">
            <v>0</v>
          </cell>
          <cell r="J1167">
            <v>381</v>
          </cell>
          <cell r="K1167">
            <v>0</v>
          </cell>
          <cell r="L1167">
            <v>381</v>
          </cell>
          <cell r="M1167">
            <v>0</v>
          </cell>
          <cell r="N1167">
            <v>381</v>
          </cell>
          <cell r="O1167">
            <v>0</v>
          </cell>
          <cell r="P1167">
            <v>381</v>
          </cell>
          <cell r="Q1167">
            <v>0</v>
          </cell>
          <cell r="R1167">
            <v>381</v>
          </cell>
          <cell r="S1167">
            <v>0</v>
          </cell>
          <cell r="T1167">
            <v>381</v>
          </cell>
          <cell r="U1167">
            <v>0</v>
          </cell>
          <cell r="V1167">
            <v>381</v>
          </cell>
          <cell r="W1167">
            <v>0</v>
          </cell>
          <cell r="X1167">
            <v>381</v>
          </cell>
          <cell r="Y1167">
            <v>0</v>
          </cell>
          <cell r="Z1167">
            <v>381</v>
          </cell>
          <cell r="AA1167">
            <v>0</v>
          </cell>
          <cell r="AB1167">
            <v>0</v>
          </cell>
          <cell r="AC1167">
            <v>0</v>
          </cell>
          <cell r="AD1167">
            <v>2.9000000000000001E-2</v>
          </cell>
          <cell r="AE1167">
            <v>0</v>
          </cell>
          <cell r="AF1167">
            <v>0</v>
          </cell>
          <cell r="AG1167">
            <v>0</v>
          </cell>
          <cell r="AH1167">
            <v>0</v>
          </cell>
          <cell r="AI1167">
            <v>0</v>
          </cell>
          <cell r="AJ1167">
            <v>0</v>
          </cell>
          <cell r="AK1167">
            <v>0</v>
          </cell>
          <cell r="AL1167">
            <v>0</v>
          </cell>
        </row>
        <row r="1168">
          <cell r="E1168" t="str">
            <v>CCP-P 0.65- 50Pr</v>
          </cell>
          <cell r="F1168" t="str">
            <v>ｍ</v>
          </cell>
          <cell r="G1168">
            <v>0</v>
          </cell>
          <cell r="H1168">
            <v>593</v>
          </cell>
          <cell r="I1168">
            <v>0</v>
          </cell>
          <cell r="J1168">
            <v>593</v>
          </cell>
          <cell r="K1168">
            <v>0</v>
          </cell>
          <cell r="L1168">
            <v>593</v>
          </cell>
          <cell r="M1168">
            <v>0</v>
          </cell>
          <cell r="N1168">
            <v>593</v>
          </cell>
          <cell r="O1168">
            <v>0</v>
          </cell>
          <cell r="P1168">
            <v>593</v>
          </cell>
          <cell r="Q1168">
            <v>0</v>
          </cell>
          <cell r="R1168">
            <v>593</v>
          </cell>
          <cell r="S1168">
            <v>0</v>
          </cell>
          <cell r="T1168">
            <v>593</v>
          </cell>
          <cell r="U1168">
            <v>0</v>
          </cell>
          <cell r="V1168">
            <v>593</v>
          </cell>
          <cell r="W1168">
            <v>0</v>
          </cell>
          <cell r="X1168">
            <v>593</v>
          </cell>
          <cell r="Y1168">
            <v>0</v>
          </cell>
          <cell r="Z1168">
            <v>593</v>
          </cell>
          <cell r="AA1168">
            <v>0</v>
          </cell>
          <cell r="AB1168">
            <v>0</v>
          </cell>
          <cell r="AC1168">
            <v>0</v>
          </cell>
          <cell r="AD1168">
            <v>3.9E-2</v>
          </cell>
          <cell r="AE1168">
            <v>0</v>
          </cell>
          <cell r="AF1168">
            <v>0</v>
          </cell>
          <cell r="AG1168">
            <v>0</v>
          </cell>
          <cell r="AH1168">
            <v>0</v>
          </cell>
          <cell r="AI1168">
            <v>0</v>
          </cell>
          <cell r="AJ1168">
            <v>0</v>
          </cell>
          <cell r="AK1168">
            <v>0</v>
          </cell>
          <cell r="AL1168">
            <v>0</v>
          </cell>
        </row>
        <row r="1169">
          <cell r="E1169" t="str">
            <v>CCP-P 0.65-100Pr</v>
          </cell>
          <cell r="F1169" t="str">
            <v>ｍ</v>
          </cell>
          <cell r="G1169">
            <v>0</v>
          </cell>
          <cell r="H1169">
            <v>1102</v>
          </cell>
          <cell r="I1169">
            <v>0</v>
          </cell>
          <cell r="J1169">
            <v>1102</v>
          </cell>
          <cell r="K1169">
            <v>0</v>
          </cell>
          <cell r="L1169">
            <v>1102</v>
          </cell>
          <cell r="M1169">
            <v>0</v>
          </cell>
          <cell r="N1169">
            <v>1102</v>
          </cell>
          <cell r="O1169">
            <v>0</v>
          </cell>
          <cell r="P1169">
            <v>1102</v>
          </cell>
          <cell r="Q1169">
            <v>0</v>
          </cell>
          <cell r="R1169">
            <v>1102</v>
          </cell>
          <cell r="S1169">
            <v>0</v>
          </cell>
          <cell r="T1169">
            <v>1102</v>
          </cell>
          <cell r="U1169">
            <v>0</v>
          </cell>
          <cell r="V1169">
            <v>1102</v>
          </cell>
          <cell r="W1169">
            <v>0</v>
          </cell>
          <cell r="X1169">
            <v>1102</v>
          </cell>
          <cell r="Y1169">
            <v>0</v>
          </cell>
          <cell r="Z1169">
            <v>1102</v>
          </cell>
          <cell r="AA1169">
            <v>0</v>
          </cell>
          <cell r="AB1169">
            <v>0</v>
          </cell>
          <cell r="AC1169">
            <v>0</v>
          </cell>
          <cell r="AD1169">
            <v>6.4000000000000001E-2</v>
          </cell>
          <cell r="AE1169">
            <v>0</v>
          </cell>
          <cell r="AF1169">
            <v>0</v>
          </cell>
          <cell r="AG1169">
            <v>0</v>
          </cell>
          <cell r="AH1169">
            <v>0</v>
          </cell>
          <cell r="AI1169">
            <v>0</v>
          </cell>
          <cell r="AJ1169">
            <v>0</v>
          </cell>
          <cell r="AK1169">
            <v>0</v>
          </cell>
          <cell r="AL1169">
            <v>0</v>
          </cell>
        </row>
        <row r="1170">
          <cell r="E1170" t="str">
            <v>CCP-P 0.65-200Pr</v>
          </cell>
          <cell r="F1170" t="str">
            <v>ｍ</v>
          </cell>
          <cell r="G1170">
            <v>0</v>
          </cell>
          <cell r="H1170">
            <v>2060</v>
          </cell>
          <cell r="I1170">
            <v>0</v>
          </cell>
          <cell r="J1170">
            <v>2060</v>
          </cell>
          <cell r="K1170">
            <v>0</v>
          </cell>
          <cell r="L1170">
            <v>2060</v>
          </cell>
          <cell r="M1170">
            <v>0</v>
          </cell>
          <cell r="N1170">
            <v>2060</v>
          </cell>
          <cell r="O1170">
            <v>0</v>
          </cell>
          <cell r="P1170">
            <v>2060</v>
          </cell>
          <cell r="Q1170">
            <v>0</v>
          </cell>
          <cell r="R1170">
            <v>2060</v>
          </cell>
          <cell r="S1170">
            <v>0</v>
          </cell>
          <cell r="T1170">
            <v>2060</v>
          </cell>
          <cell r="U1170">
            <v>0</v>
          </cell>
          <cell r="V1170">
            <v>2060</v>
          </cell>
          <cell r="W1170">
            <v>0</v>
          </cell>
          <cell r="X1170">
            <v>2060</v>
          </cell>
          <cell r="Y1170">
            <v>0</v>
          </cell>
          <cell r="Z1170">
            <v>2060</v>
          </cell>
          <cell r="AA1170">
            <v>0</v>
          </cell>
          <cell r="AB1170">
            <v>0</v>
          </cell>
          <cell r="AC1170">
            <v>0</v>
          </cell>
          <cell r="AD1170">
            <v>9.5000000000000001E-2</v>
          </cell>
          <cell r="AE1170">
            <v>0</v>
          </cell>
          <cell r="AF1170">
            <v>0</v>
          </cell>
          <cell r="AG1170">
            <v>0</v>
          </cell>
          <cell r="AH1170">
            <v>0</v>
          </cell>
          <cell r="AI1170">
            <v>0</v>
          </cell>
          <cell r="AJ1170">
            <v>0</v>
          </cell>
          <cell r="AK1170">
            <v>0</v>
          </cell>
          <cell r="AL1170">
            <v>0</v>
          </cell>
        </row>
        <row r="1171">
          <cell r="E1171" t="str">
            <v>CCP-P 0.9-10Pr</v>
          </cell>
          <cell r="F1171" t="str">
            <v>ｍ</v>
          </cell>
          <cell r="G1171">
            <v>0</v>
          </cell>
          <cell r="H1171">
            <v>267</v>
          </cell>
          <cell r="I1171">
            <v>0</v>
          </cell>
          <cell r="J1171">
            <v>267</v>
          </cell>
          <cell r="K1171">
            <v>0</v>
          </cell>
          <cell r="L1171">
            <v>267</v>
          </cell>
          <cell r="M1171">
            <v>0</v>
          </cell>
          <cell r="N1171">
            <v>267</v>
          </cell>
          <cell r="O1171">
            <v>0</v>
          </cell>
          <cell r="P1171">
            <v>267</v>
          </cell>
          <cell r="Q1171">
            <v>0</v>
          </cell>
          <cell r="R1171">
            <v>267</v>
          </cell>
          <cell r="S1171">
            <v>0</v>
          </cell>
          <cell r="T1171">
            <v>267</v>
          </cell>
          <cell r="U1171">
            <v>0</v>
          </cell>
          <cell r="V1171">
            <v>267</v>
          </cell>
          <cell r="W1171">
            <v>0</v>
          </cell>
          <cell r="X1171">
            <v>267</v>
          </cell>
          <cell r="Y1171">
            <v>0</v>
          </cell>
          <cell r="Z1171">
            <v>267</v>
          </cell>
          <cell r="AA1171">
            <v>0</v>
          </cell>
          <cell r="AB1171">
            <v>0</v>
          </cell>
          <cell r="AC1171">
            <v>0</v>
          </cell>
          <cell r="AD1171">
            <v>2.5000000000000001E-2</v>
          </cell>
          <cell r="AE1171">
            <v>0</v>
          </cell>
          <cell r="AF1171">
            <v>0</v>
          </cell>
          <cell r="AG1171">
            <v>0</v>
          </cell>
          <cell r="AH1171">
            <v>0</v>
          </cell>
          <cell r="AI1171">
            <v>0</v>
          </cell>
          <cell r="AJ1171">
            <v>0</v>
          </cell>
          <cell r="AK1171">
            <v>0</v>
          </cell>
          <cell r="AL1171">
            <v>0</v>
          </cell>
        </row>
        <row r="1172">
          <cell r="E1172" t="str">
            <v>CCP-P 0.9-30Pr</v>
          </cell>
          <cell r="F1172" t="str">
            <v>ｍ</v>
          </cell>
          <cell r="G1172">
            <v>0</v>
          </cell>
          <cell r="H1172">
            <v>642</v>
          </cell>
          <cell r="I1172">
            <v>0</v>
          </cell>
          <cell r="J1172">
            <v>642</v>
          </cell>
          <cell r="K1172">
            <v>0</v>
          </cell>
          <cell r="L1172">
            <v>642</v>
          </cell>
          <cell r="M1172">
            <v>0</v>
          </cell>
          <cell r="N1172">
            <v>642</v>
          </cell>
          <cell r="O1172">
            <v>0</v>
          </cell>
          <cell r="P1172">
            <v>642</v>
          </cell>
          <cell r="Q1172">
            <v>0</v>
          </cell>
          <cell r="R1172">
            <v>642</v>
          </cell>
          <cell r="S1172">
            <v>0</v>
          </cell>
          <cell r="T1172">
            <v>642</v>
          </cell>
          <cell r="U1172">
            <v>0</v>
          </cell>
          <cell r="V1172">
            <v>642</v>
          </cell>
          <cell r="W1172">
            <v>0</v>
          </cell>
          <cell r="X1172">
            <v>642</v>
          </cell>
          <cell r="Y1172">
            <v>0</v>
          </cell>
          <cell r="Z1172">
            <v>642</v>
          </cell>
          <cell r="AA1172">
            <v>0</v>
          </cell>
          <cell r="AB1172">
            <v>0</v>
          </cell>
          <cell r="AC1172">
            <v>0</v>
          </cell>
          <cell r="AD1172">
            <v>3.6999999999999998E-2</v>
          </cell>
          <cell r="AE1172">
            <v>0</v>
          </cell>
          <cell r="AF1172">
            <v>0</v>
          </cell>
          <cell r="AG1172">
            <v>0</v>
          </cell>
          <cell r="AH1172">
            <v>0</v>
          </cell>
          <cell r="AI1172">
            <v>0</v>
          </cell>
          <cell r="AJ1172">
            <v>0</v>
          </cell>
          <cell r="AK1172">
            <v>0</v>
          </cell>
          <cell r="AL1172">
            <v>0</v>
          </cell>
        </row>
        <row r="1173">
          <cell r="E1173" t="str">
            <v>CCP-P 0.9-50Pr</v>
          </cell>
          <cell r="F1173" t="str">
            <v>ｍ</v>
          </cell>
          <cell r="G1173">
            <v>0</v>
          </cell>
          <cell r="H1173">
            <v>1010</v>
          </cell>
          <cell r="I1173">
            <v>0</v>
          </cell>
          <cell r="J1173">
            <v>1010</v>
          </cell>
          <cell r="K1173">
            <v>0</v>
          </cell>
          <cell r="L1173">
            <v>1010</v>
          </cell>
          <cell r="M1173">
            <v>0</v>
          </cell>
          <cell r="N1173">
            <v>1010</v>
          </cell>
          <cell r="O1173">
            <v>0</v>
          </cell>
          <cell r="P1173">
            <v>1010</v>
          </cell>
          <cell r="Q1173">
            <v>0</v>
          </cell>
          <cell r="R1173">
            <v>1010</v>
          </cell>
          <cell r="S1173">
            <v>0</v>
          </cell>
          <cell r="T1173">
            <v>1010</v>
          </cell>
          <cell r="U1173">
            <v>0</v>
          </cell>
          <cell r="V1173">
            <v>1010</v>
          </cell>
          <cell r="W1173">
            <v>0</v>
          </cell>
          <cell r="X1173">
            <v>1010</v>
          </cell>
          <cell r="Y1173">
            <v>0</v>
          </cell>
          <cell r="Z1173">
            <v>1010</v>
          </cell>
          <cell r="AA1173">
            <v>0</v>
          </cell>
          <cell r="AB1173">
            <v>0</v>
          </cell>
          <cell r="AC1173">
            <v>0</v>
          </cell>
          <cell r="AD1173">
            <v>0.05</v>
          </cell>
          <cell r="AE1173">
            <v>0</v>
          </cell>
          <cell r="AF1173">
            <v>0</v>
          </cell>
          <cell r="AG1173">
            <v>0</v>
          </cell>
          <cell r="AH1173">
            <v>0</v>
          </cell>
          <cell r="AI1173">
            <v>0</v>
          </cell>
          <cell r="AJ1173">
            <v>0</v>
          </cell>
          <cell r="AK1173">
            <v>0</v>
          </cell>
          <cell r="AL1173">
            <v>0</v>
          </cell>
        </row>
        <row r="1174">
          <cell r="E1174" t="str">
            <v>CCP-P 0.9-100Pr</v>
          </cell>
          <cell r="F1174" t="str">
            <v>ｍ</v>
          </cell>
          <cell r="G1174">
            <v>0</v>
          </cell>
          <cell r="H1174">
            <v>1902</v>
          </cell>
          <cell r="I1174">
            <v>0</v>
          </cell>
          <cell r="J1174">
            <v>1902</v>
          </cell>
          <cell r="K1174">
            <v>0</v>
          </cell>
          <cell r="L1174">
            <v>1902</v>
          </cell>
          <cell r="M1174">
            <v>0</v>
          </cell>
          <cell r="N1174">
            <v>1902</v>
          </cell>
          <cell r="O1174">
            <v>0</v>
          </cell>
          <cell r="P1174">
            <v>1902</v>
          </cell>
          <cell r="Q1174">
            <v>0</v>
          </cell>
          <cell r="R1174">
            <v>1902</v>
          </cell>
          <cell r="S1174">
            <v>0</v>
          </cell>
          <cell r="T1174">
            <v>1902</v>
          </cell>
          <cell r="U1174">
            <v>0</v>
          </cell>
          <cell r="V1174">
            <v>1902</v>
          </cell>
          <cell r="W1174">
            <v>0</v>
          </cell>
          <cell r="X1174">
            <v>1902</v>
          </cell>
          <cell r="Y1174">
            <v>0</v>
          </cell>
          <cell r="Z1174">
            <v>1902</v>
          </cell>
          <cell r="AA1174">
            <v>0</v>
          </cell>
          <cell r="AB1174">
            <v>0</v>
          </cell>
          <cell r="AC1174">
            <v>0</v>
          </cell>
          <cell r="AD1174">
            <v>8.3000000000000004E-2</v>
          </cell>
          <cell r="AE1174">
            <v>0</v>
          </cell>
          <cell r="AF1174">
            <v>0</v>
          </cell>
          <cell r="AG1174">
            <v>0</v>
          </cell>
          <cell r="AH1174">
            <v>0</v>
          </cell>
          <cell r="AI1174">
            <v>0</v>
          </cell>
          <cell r="AJ1174">
            <v>0</v>
          </cell>
          <cell r="AK1174">
            <v>0</v>
          </cell>
          <cell r="AL1174">
            <v>0</v>
          </cell>
        </row>
        <row r="1175">
          <cell r="E1175" t="str">
            <v>CCP-P-SS 0.4-30Pr</v>
          </cell>
          <cell r="F1175" t="str">
            <v>ｍ</v>
          </cell>
          <cell r="G1175">
            <v>0</v>
          </cell>
          <cell r="H1175">
            <v>291</v>
          </cell>
          <cell r="I1175">
            <v>0</v>
          </cell>
          <cell r="J1175">
            <v>291</v>
          </cell>
          <cell r="K1175">
            <v>0</v>
          </cell>
          <cell r="L1175">
            <v>291</v>
          </cell>
          <cell r="M1175">
            <v>0</v>
          </cell>
          <cell r="N1175">
            <v>291</v>
          </cell>
          <cell r="O1175">
            <v>0</v>
          </cell>
          <cell r="P1175">
            <v>291</v>
          </cell>
          <cell r="Q1175">
            <v>0</v>
          </cell>
          <cell r="R1175">
            <v>291</v>
          </cell>
          <cell r="S1175">
            <v>0</v>
          </cell>
          <cell r="T1175">
            <v>291</v>
          </cell>
          <cell r="U1175">
            <v>0</v>
          </cell>
          <cell r="V1175">
            <v>291</v>
          </cell>
          <cell r="W1175">
            <v>0</v>
          </cell>
          <cell r="X1175">
            <v>291</v>
          </cell>
          <cell r="Y1175">
            <v>0</v>
          </cell>
          <cell r="Z1175">
            <v>291</v>
          </cell>
          <cell r="AA1175">
            <v>0</v>
          </cell>
          <cell r="AB1175">
            <v>0</v>
          </cell>
          <cell r="AC1175">
            <v>0</v>
          </cell>
          <cell r="AD1175">
            <v>2.9000000000000001E-2</v>
          </cell>
          <cell r="AE1175">
            <v>0</v>
          </cell>
          <cell r="AF1175">
            <v>0</v>
          </cell>
          <cell r="AG1175">
            <v>0</v>
          </cell>
          <cell r="AH1175">
            <v>0</v>
          </cell>
          <cell r="AI1175">
            <v>0</v>
          </cell>
          <cell r="AJ1175">
            <v>0</v>
          </cell>
          <cell r="AK1175">
            <v>0</v>
          </cell>
          <cell r="AL1175">
            <v>0</v>
          </cell>
        </row>
        <row r="1176">
          <cell r="E1176" t="str">
            <v>CCP-P-SS 0.4-50Pr</v>
          </cell>
          <cell r="F1176" t="str">
            <v>ｍ</v>
          </cell>
          <cell r="G1176">
            <v>0</v>
          </cell>
          <cell r="H1176">
            <v>388</v>
          </cell>
          <cell r="I1176">
            <v>0</v>
          </cell>
          <cell r="J1176">
            <v>388</v>
          </cell>
          <cell r="K1176">
            <v>0</v>
          </cell>
          <cell r="L1176">
            <v>388</v>
          </cell>
          <cell r="M1176">
            <v>0</v>
          </cell>
          <cell r="N1176">
            <v>388</v>
          </cell>
          <cell r="O1176">
            <v>0</v>
          </cell>
          <cell r="P1176">
            <v>388</v>
          </cell>
          <cell r="Q1176">
            <v>0</v>
          </cell>
          <cell r="R1176">
            <v>388</v>
          </cell>
          <cell r="S1176">
            <v>0</v>
          </cell>
          <cell r="T1176">
            <v>388</v>
          </cell>
          <cell r="U1176">
            <v>0</v>
          </cell>
          <cell r="V1176">
            <v>388</v>
          </cell>
          <cell r="W1176">
            <v>0</v>
          </cell>
          <cell r="X1176">
            <v>388</v>
          </cell>
          <cell r="Y1176">
            <v>0</v>
          </cell>
          <cell r="Z1176">
            <v>388</v>
          </cell>
          <cell r="AA1176">
            <v>0</v>
          </cell>
          <cell r="AB1176">
            <v>0</v>
          </cell>
          <cell r="AC1176">
            <v>0</v>
          </cell>
          <cell r="AD1176">
            <v>3.9E-2</v>
          </cell>
          <cell r="AE1176">
            <v>0</v>
          </cell>
          <cell r="AF1176">
            <v>0</v>
          </cell>
          <cell r="AG1176">
            <v>0</v>
          </cell>
          <cell r="AH1176">
            <v>0</v>
          </cell>
          <cell r="AI1176">
            <v>0</v>
          </cell>
          <cell r="AJ1176">
            <v>0</v>
          </cell>
          <cell r="AK1176">
            <v>0</v>
          </cell>
          <cell r="AL1176">
            <v>0</v>
          </cell>
        </row>
        <row r="1177">
          <cell r="E1177" t="str">
            <v>CCP-P-SS 0.4-100Pr</v>
          </cell>
          <cell r="F1177" t="str">
            <v>ｍ</v>
          </cell>
          <cell r="G1177">
            <v>0</v>
          </cell>
          <cell r="H1177">
            <v>645</v>
          </cell>
          <cell r="I1177">
            <v>0</v>
          </cell>
          <cell r="J1177">
            <v>645</v>
          </cell>
          <cell r="K1177">
            <v>0</v>
          </cell>
          <cell r="L1177">
            <v>645</v>
          </cell>
          <cell r="M1177">
            <v>0</v>
          </cell>
          <cell r="N1177">
            <v>645</v>
          </cell>
          <cell r="O1177">
            <v>0</v>
          </cell>
          <cell r="P1177">
            <v>645</v>
          </cell>
          <cell r="Q1177">
            <v>0</v>
          </cell>
          <cell r="R1177">
            <v>645</v>
          </cell>
          <cell r="S1177">
            <v>0</v>
          </cell>
          <cell r="T1177">
            <v>645</v>
          </cell>
          <cell r="U1177">
            <v>0</v>
          </cell>
          <cell r="V1177">
            <v>645</v>
          </cell>
          <cell r="W1177">
            <v>0</v>
          </cell>
          <cell r="X1177">
            <v>645</v>
          </cell>
          <cell r="Y1177">
            <v>0</v>
          </cell>
          <cell r="Z1177">
            <v>645</v>
          </cell>
          <cell r="AA1177">
            <v>0</v>
          </cell>
          <cell r="AB1177">
            <v>0</v>
          </cell>
          <cell r="AC1177">
            <v>0</v>
          </cell>
          <cell r="AD1177">
            <v>6.4000000000000001E-2</v>
          </cell>
          <cell r="AE1177">
            <v>0</v>
          </cell>
          <cell r="AF1177">
            <v>0</v>
          </cell>
          <cell r="AG1177">
            <v>0</v>
          </cell>
          <cell r="AH1177">
            <v>0</v>
          </cell>
          <cell r="AI1177">
            <v>0</v>
          </cell>
          <cell r="AJ1177">
            <v>0</v>
          </cell>
          <cell r="AK1177">
            <v>0</v>
          </cell>
          <cell r="AL1177">
            <v>0</v>
          </cell>
        </row>
        <row r="1178">
          <cell r="E1178" t="str">
            <v>CCP-P-SS 0.4-200Pr</v>
          </cell>
          <cell r="F1178" t="str">
            <v>ｍ</v>
          </cell>
          <cell r="G1178">
            <v>0</v>
          </cell>
          <cell r="H1178">
            <v>1157</v>
          </cell>
          <cell r="I1178">
            <v>0</v>
          </cell>
          <cell r="J1178">
            <v>1157</v>
          </cell>
          <cell r="K1178">
            <v>0</v>
          </cell>
          <cell r="L1178">
            <v>1157</v>
          </cell>
          <cell r="M1178">
            <v>0</v>
          </cell>
          <cell r="N1178">
            <v>1157</v>
          </cell>
          <cell r="O1178">
            <v>0</v>
          </cell>
          <cell r="P1178">
            <v>1157</v>
          </cell>
          <cell r="Q1178">
            <v>0</v>
          </cell>
          <cell r="R1178">
            <v>1157</v>
          </cell>
          <cell r="S1178">
            <v>0</v>
          </cell>
          <cell r="T1178">
            <v>1157</v>
          </cell>
          <cell r="U1178">
            <v>0</v>
          </cell>
          <cell r="V1178">
            <v>1157</v>
          </cell>
          <cell r="W1178">
            <v>0</v>
          </cell>
          <cell r="X1178">
            <v>1157</v>
          </cell>
          <cell r="Y1178">
            <v>0</v>
          </cell>
          <cell r="Z1178">
            <v>1157</v>
          </cell>
          <cell r="AA1178">
            <v>0</v>
          </cell>
          <cell r="AB1178">
            <v>0</v>
          </cell>
          <cell r="AC1178">
            <v>0</v>
          </cell>
          <cell r="AD1178">
            <v>9.5000000000000001E-2</v>
          </cell>
          <cell r="AE1178">
            <v>0</v>
          </cell>
          <cell r="AF1178">
            <v>0</v>
          </cell>
          <cell r="AG1178">
            <v>0</v>
          </cell>
          <cell r="AH1178">
            <v>0</v>
          </cell>
          <cell r="AI1178">
            <v>0</v>
          </cell>
          <cell r="AJ1178">
            <v>0</v>
          </cell>
          <cell r="AK1178">
            <v>0</v>
          </cell>
          <cell r="AL1178">
            <v>0</v>
          </cell>
        </row>
        <row r="1179">
          <cell r="E1179" t="str">
            <v>CCP-P-SS 0.5-30Pr</v>
          </cell>
          <cell r="F1179" t="str">
            <v>ｍ</v>
          </cell>
          <cell r="G1179">
            <v>0</v>
          </cell>
          <cell r="H1179">
            <v>351</v>
          </cell>
          <cell r="I1179">
            <v>0</v>
          </cell>
          <cell r="J1179">
            <v>351</v>
          </cell>
          <cell r="K1179">
            <v>0</v>
          </cell>
          <cell r="L1179">
            <v>351</v>
          </cell>
          <cell r="M1179">
            <v>0</v>
          </cell>
          <cell r="N1179">
            <v>351</v>
          </cell>
          <cell r="O1179">
            <v>0</v>
          </cell>
          <cell r="P1179">
            <v>351</v>
          </cell>
          <cell r="Q1179">
            <v>0</v>
          </cell>
          <cell r="R1179">
            <v>351</v>
          </cell>
          <cell r="S1179">
            <v>0</v>
          </cell>
          <cell r="T1179">
            <v>351</v>
          </cell>
          <cell r="U1179">
            <v>0</v>
          </cell>
          <cell r="V1179">
            <v>351</v>
          </cell>
          <cell r="W1179">
            <v>0</v>
          </cell>
          <cell r="X1179">
            <v>351</v>
          </cell>
          <cell r="Y1179">
            <v>0</v>
          </cell>
          <cell r="Z1179">
            <v>351</v>
          </cell>
          <cell r="AA1179">
            <v>0</v>
          </cell>
          <cell r="AB1179">
            <v>0</v>
          </cell>
          <cell r="AC1179">
            <v>0</v>
          </cell>
          <cell r="AD1179">
            <v>2.9000000000000001E-2</v>
          </cell>
          <cell r="AE1179">
            <v>0</v>
          </cell>
          <cell r="AF1179">
            <v>0</v>
          </cell>
          <cell r="AG1179">
            <v>0</v>
          </cell>
          <cell r="AH1179">
            <v>0</v>
          </cell>
          <cell r="AI1179">
            <v>0</v>
          </cell>
          <cell r="AJ1179">
            <v>0</v>
          </cell>
          <cell r="AK1179">
            <v>0</v>
          </cell>
          <cell r="AL1179">
            <v>0</v>
          </cell>
        </row>
        <row r="1180">
          <cell r="E1180" t="str">
            <v>CCP-P-SS 0.5-50Pr</v>
          </cell>
          <cell r="F1180" t="str">
            <v>ｍ</v>
          </cell>
          <cell r="G1180">
            <v>0</v>
          </cell>
          <cell r="H1180">
            <v>492</v>
          </cell>
          <cell r="I1180">
            <v>0</v>
          </cell>
          <cell r="J1180">
            <v>492</v>
          </cell>
          <cell r="K1180">
            <v>0</v>
          </cell>
          <cell r="L1180">
            <v>492</v>
          </cell>
          <cell r="M1180">
            <v>0</v>
          </cell>
          <cell r="N1180">
            <v>492</v>
          </cell>
          <cell r="O1180">
            <v>0</v>
          </cell>
          <cell r="P1180">
            <v>492</v>
          </cell>
          <cell r="Q1180">
            <v>0</v>
          </cell>
          <cell r="R1180">
            <v>492</v>
          </cell>
          <cell r="S1180">
            <v>0</v>
          </cell>
          <cell r="T1180">
            <v>492</v>
          </cell>
          <cell r="U1180">
            <v>0</v>
          </cell>
          <cell r="V1180">
            <v>492</v>
          </cell>
          <cell r="W1180">
            <v>0</v>
          </cell>
          <cell r="X1180">
            <v>492</v>
          </cell>
          <cell r="Y1180">
            <v>0</v>
          </cell>
          <cell r="Z1180">
            <v>492</v>
          </cell>
          <cell r="AA1180">
            <v>0</v>
          </cell>
          <cell r="AB1180">
            <v>0</v>
          </cell>
          <cell r="AC1180">
            <v>0</v>
          </cell>
          <cell r="AD1180">
            <v>3.9E-2</v>
          </cell>
          <cell r="AE1180">
            <v>0</v>
          </cell>
          <cell r="AF1180">
            <v>0</v>
          </cell>
          <cell r="AG1180">
            <v>0</v>
          </cell>
          <cell r="AH1180">
            <v>0</v>
          </cell>
          <cell r="AI1180">
            <v>0</v>
          </cell>
          <cell r="AJ1180">
            <v>0</v>
          </cell>
          <cell r="AK1180">
            <v>0</v>
          </cell>
          <cell r="AL1180">
            <v>0</v>
          </cell>
        </row>
        <row r="1181">
          <cell r="E1181" t="str">
            <v>CCP-P-SS 0.5-100Pr</v>
          </cell>
          <cell r="F1181" t="str">
            <v>ｍ</v>
          </cell>
          <cell r="G1181">
            <v>0</v>
          </cell>
          <cell r="H1181">
            <v>838</v>
          </cell>
          <cell r="I1181">
            <v>0</v>
          </cell>
          <cell r="J1181">
            <v>838</v>
          </cell>
          <cell r="K1181">
            <v>0</v>
          </cell>
          <cell r="L1181">
            <v>838</v>
          </cell>
          <cell r="M1181">
            <v>0</v>
          </cell>
          <cell r="N1181">
            <v>838</v>
          </cell>
          <cell r="O1181">
            <v>0</v>
          </cell>
          <cell r="P1181">
            <v>838</v>
          </cell>
          <cell r="Q1181">
            <v>0</v>
          </cell>
          <cell r="R1181">
            <v>838</v>
          </cell>
          <cell r="S1181">
            <v>0</v>
          </cell>
          <cell r="T1181">
            <v>838</v>
          </cell>
          <cell r="U1181">
            <v>0</v>
          </cell>
          <cell r="V1181">
            <v>838</v>
          </cell>
          <cell r="W1181">
            <v>0</v>
          </cell>
          <cell r="X1181">
            <v>838</v>
          </cell>
          <cell r="Y1181">
            <v>0</v>
          </cell>
          <cell r="Z1181">
            <v>838</v>
          </cell>
          <cell r="AA1181">
            <v>0</v>
          </cell>
          <cell r="AB1181">
            <v>0</v>
          </cell>
          <cell r="AC1181">
            <v>0</v>
          </cell>
          <cell r="AD1181">
            <v>6.4000000000000001E-2</v>
          </cell>
          <cell r="AE1181">
            <v>0</v>
          </cell>
          <cell r="AF1181">
            <v>0</v>
          </cell>
          <cell r="AG1181">
            <v>0</v>
          </cell>
          <cell r="AH1181">
            <v>0</v>
          </cell>
          <cell r="AI1181">
            <v>0</v>
          </cell>
          <cell r="AJ1181">
            <v>0</v>
          </cell>
          <cell r="AK1181">
            <v>0</v>
          </cell>
          <cell r="AL1181">
            <v>0</v>
          </cell>
        </row>
        <row r="1182">
          <cell r="E1182" t="str">
            <v>CCP-P-SS 0.5-200Pr</v>
          </cell>
          <cell r="F1182" t="str">
            <v>ｍ</v>
          </cell>
          <cell r="G1182">
            <v>0</v>
          </cell>
          <cell r="H1182">
            <v>1519</v>
          </cell>
          <cell r="I1182">
            <v>0</v>
          </cell>
          <cell r="J1182">
            <v>1519</v>
          </cell>
          <cell r="K1182">
            <v>0</v>
          </cell>
          <cell r="L1182">
            <v>1519</v>
          </cell>
          <cell r="M1182">
            <v>0</v>
          </cell>
          <cell r="N1182">
            <v>1519</v>
          </cell>
          <cell r="O1182">
            <v>0</v>
          </cell>
          <cell r="P1182">
            <v>1519</v>
          </cell>
          <cell r="Q1182">
            <v>0</v>
          </cell>
          <cell r="R1182">
            <v>1519</v>
          </cell>
          <cell r="S1182">
            <v>0</v>
          </cell>
          <cell r="T1182">
            <v>1519</v>
          </cell>
          <cell r="U1182">
            <v>0</v>
          </cell>
          <cell r="V1182">
            <v>1519</v>
          </cell>
          <cell r="W1182">
            <v>0</v>
          </cell>
          <cell r="X1182">
            <v>1519</v>
          </cell>
          <cell r="Y1182">
            <v>0</v>
          </cell>
          <cell r="Z1182">
            <v>1519</v>
          </cell>
          <cell r="AA1182">
            <v>0</v>
          </cell>
          <cell r="AB1182">
            <v>0</v>
          </cell>
          <cell r="AC1182">
            <v>0</v>
          </cell>
          <cell r="AD1182">
            <v>9.5000000000000001E-2</v>
          </cell>
          <cell r="AE1182">
            <v>0</v>
          </cell>
          <cell r="AF1182">
            <v>0</v>
          </cell>
          <cell r="AG1182">
            <v>0</v>
          </cell>
          <cell r="AH1182">
            <v>0</v>
          </cell>
          <cell r="AI1182">
            <v>0</v>
          </cell>
          <cell r="AJ1182">
            <v>0</v>
          </cell>
          <cell r="AK1182">
            <v>0</v>
          </cell>
          <cell r="AL1182">
            <v>0</v>
          </cell>
        </row>
        <row r="1183">
          <cell r="E1183" t="str">
            <v>CCP-P-SS 0.65-30Pr</v>
          </cell>
          <cell r="F1183" t="str">
            <v>ｍ</v>
          </cell>
          <cell r="G1183">
            <v>0</v>
          </cell>
          <cell r="H1183">
            <v>480</v>
          </cell>
          <cell r="I1183">
            <v>0</v>
          </cell>
          <cell r="J1183">
            <v>480</v>
          </cell>
          <cell r="K1183">
            <v>0</v>
          </cell>
          <cell r="L1183">
            <v>480</v>
          </cell>
          <cell r="M1183">
            <v>0</v>
          </cell>
          <cell r="N1183">
            <v>480</v>
          </cell>
          <cell r="O1183">
            <v>0</v>
          </cell>
          <cell r="P1183">
            <v>480</v>
          </cell>
          <cell r="Q1183">
            <v>0</v>
          </cell>
          <cell r="R1183">
            <v>480</v>
          </cell>
          <cell r="S1183">
            <v>0</v>
          </cell>
          <cell r="T1183">
            <v>480</v>
          </cell>
          <cell r="U1183">
            <v>0</v>
          </cell>
          <cell r="V1183">
            <v>480</v>
          </cell>
          <cell r="W1183">
            <v>0</v>
          </cell>
          <cell r="X1183">
            <v>480</v>
          </cell>
          <cell r="Y1183">
            <v>0</v>
          </cell>
          <cell r="Z1183">
            <v>480</v>
          </cell>
          <cell r="AA1183">
            <v>0</v>
          </cell>
          <cell r="AB1183">
            <v>0</v>
          </cell>
          <cell r="AC1183">
            <v>0</v>
          </cell>
          <cell r="AD1183">
            <v>2.9000000000000001E-2</v>
          </cell>
          <cell r="AE1183">
            <v>0</v>
          </cell>
          <cell r="AF1183">
            <v>0</v>
          </cell>
          <cell r="AG1183">
            <v>0</v>
          </cell>
          <cell r="AH1183">
            <v>0</v>
          </cell>
          <cell r="AI1183">
            <v>0</v>
          </cell>
          <cell r="AJ1183">
            <v>0</v>
          </cell>
          <cell r="AK1183">
            <v>0</v>
          </cell>
          <cell r="AL1183">
            <v>0</v>
          </cell>
        </row>
        <row r="1184">
          <cell r="E1184" t="str">
            <v>CCP-P-SS 0.65-50Pr</v>
          </cell>
          <cell r="F1184" t="str">
            <v>ｍ</v>
          </cell>
          <cell r="G1184">
            <v>0</v>
          </cell>
          <cell r="H1184">
            <v>690</v>
          </cell>
          <cell r="I1184">
            <v>0</v>
          </cell>
          <cell r="J1184">
            <v>690</v>
          </cell>
          <cell r="K1184">
            <v>0</v>
          </cell>
          <cell r="L1184">
            <v>690</v>
          </cell>
          <cell r="M1184">
            <v>0</v>
          </cell>
          <cell r="N1184">
            <v>690</v>
          </cell>
          <cell r="O1184">
            <v>0</v>
          </cell>
          <cell r="P1184">
            <v>690</v>
          </cell>
          <cell r="Q1184">
            <v>0</v>
          </cell>
          <cell r="R1184">
            <v>690</v>
          </cell>
          <cell r="S1184">
            <v>0</v>
          </cell>
          <cell r="T1184">
            <v>690</v>
          </cell>
          <cell r="U1184">
            <v>0</v>
          </cell>
          <cell r="V1184">
            <v>690</v>
          </cell>
          <cell r="W1184">
            <v>0</v>
          </cell>
          <cell r="X1184">
            <v>690</v>
          </cell>
          <cell r="Y1184">
            <v>0</v>
          </cell>
          <cell r="Z1184">
            <v>690</v>
          </cell>
          <cell r="AA1184">
            <v>0</v>
          </cell>
          <cell r="AB1184">
            <v>0</v>
          </cell>
          <cell r="AC1184">
            <v>0</v>
          </cell>
          <cell r="AD1184">
            <v>3.9E-2</v>
          </cell>
          <cell r="AE1184">
            <v>0</v>
          </cell>
          <cell r="AF1184">
            <v>0</v>
          </cell>
          <cell r="AG1184">
            <v>0</v>
          </cell>
          <cell r="AH1184">
            <v>0</v>
          </cell>
          <cell r="AI1184">
            <v>0</v>
          </cell>
          <cell r="AJ1184">
            <v>0</v>
          </cell>
          <cell r="AK1184">
            <v>0</v>
          </cell>
          <cell r="AL1184">
            <v>0</v>
          </cell>
        </row>
        <row r="1185">
          <cell r="E1185" t="str">
            <v>CCP-P-SS 0.65-100Pr</v>
          </cell>
          <cell r="F1185" t="str">
            <v>ｍ</v>
          </cell>
          <cell r="G1185">
            <v>0</v>
          </cell>
          <cell r="H1185">
            <v>1252</v>
          </cell>
          <cell r="I1185">
            <v>0</v>
          </cell>
          <cell r="J1185">
            <v>1252</v>
          </cell>
          <cell r="K1185">
            <v>0</v>
          </cell>
          <cell r="L1185">
            <v>1252</v>
          </cell>
          <cell r="M1185">
            <v>0</v>
          </cell>
          <cell r="N1185">
            <v>1252</v>
          </cell>
          <cell r="O1185">
            <v>0</v>
          </cell>
          <cell r="P1185">
            <v>1252</v>
          </cell>
          <cell r="Q1185">
            <v>0</v>
          </cell>
          <cell r="R1185">
            <v>1252</v>
          </cell>
          <cell r="S1185">
            <v>0</v>
          </cell>
          <cell r="T1185">
            <v>1252</v>
          </cell>
          <cell r="U1185">
            <v>0</v>
          </cell>
          <cell r="V1185">
            <v>1252</v>
          </cell>
          <cell r="W1185">
            <v>0</v>
          </cell>
          <cell r="X1185">
            <v>1252</v>
          </cell>
          <cell r="Y1185">
            <v>0</v>
          </cell>
          <cell r="Z1185">
            <v>1252</v>
          </cell>
          <cell r="AA1185">
            <v>0</v>
          </cell>
          <cell r="AB1185">
            <v>0</v>
          </cell>
          <cell r="AC1185">
            <v>0</v>
          </cell>
          <cell r="AD1185">
            <v>6.4000000000000001E-2</v>
          </cell>
          <cell r="AE1185">
            <v>0</v>
          </cell>
          <cell r="AF1185">
            <v>0</v>
          </cell>
          <cell r="AG1185">
            <v>0</v>
          </cell>
          <cell r="AH1185">
            <v>0</v>
          </cell>
          <cell r="AI1185">
            <v>0</v>
          </cell>
          <cell r="AJ1185">
            <v>0</v>
          </cell>
          <cell r="AK1185">
            <v>0</v>
          </cell>
          <cell r="AL1185">
            <v>0</v>
          </cell>
        </row>
        <row r="1186">
          <cell r="E1186" t="str">
            <v>CCP-P-SS 0.9-30Pr</v>
          </cell>
          <cell r="F1186" t="str">
            <v>ｍ</v>
          </cell>
          <cell r="G1186">
            <v>0</v>
          </cell>
          <cell r="H1186">
            <v>784</v>
          </cell>
          <cell r="I1186">
            <v>0</v>
          </cell>
          <cell r="J1186">
            <v>784</v>
          </cell>
          <cell r="K1186">
            <v>0</v>
          </cell>
          <cell r="L1186">
            <v>784</v>
          </cell>
          <cell r="M1186">
            <v>0</v>
          </cell>
          <cell r="N1186">
            <v>784</v>
          </cell>
          <cell r="O1186">
            <v>0</v>
          </cell>
          <cell r="P1186">
            <v>784</v>
          </cell>
          <cell r="Q1186">
            <v>0</v>
          </cell>
          <cell r="R1186">
            <v>784</v>
          </cell>
          <cell r="S1186">
            <v>0</v>
          </cell>
          <cell r="T1186">
            <v>784</v>
          </cell>
          <cell r="U1186">
            <v>0</v>
          </cell>
          <cell r="V1186">
            <v>784</v>
          </cell>
          <cell r="W1186">
            <v>0</v>
          </cell>
          <cell r="X1186">
            <v>784</v>
          </cell>
          <cell r="Y1186">
            <v>0</v>
          </cell>
          <cell r="Z1186">
            <v>784</v>
          </cell>
          <cell r="AA1186">
            <v>0</v>
          </cell>
          <cell r="AB1186">
            <v>0</v>
          </cell>
          <cell r="AC1186">
            <v>0</v>
          </cell>
          <cell r="AD1186">
            <v>2.9000000000000001E-2</v>
          </cell>
          <cell r="AE1186">
            <v>0</v>
          </cell>
          <cell r="AF1186">
            <v>0</v>
          </cell>
          <cell r="AG1186">
            <v>0</v>
          </cell>
          <cell r="AH1186">
            <v>0</v>
          </cell>
          <cell r="AI1186">
            <v>0</v>
          </cell>
          <cell r="AJ1186">
            <v>0</v>
          </cell>
          <cell r="AK1186">
            <v>0</v>
          </cell>
          <cell r="AL1186">
            <v>0</v>
          </cell>
        </row>
        <row r="1187">
          <cell r="E1187" t="str">
            <v>CCP-P-SS 0.9-50Pr</v>
          </cell>
          <cell r="F1187" t="str">
            <v>ｍ</v>
          </cell>
          <cell r="G1187">
            <v>0</v>
          </cell>
          <cell r="H1187">
            <v>1170</v>
          </cell>
          <cell r="I1187">
            <v>0</v>
          </cell>
          <cell r="J1187">
            <v>1170</v>
          </cell>
          <cell r="K1187">
            <v>0</v>
          </cell>
          <cell r="L1187">
            <v>1170</v>
          </cell>
          <cell r="M1187">
            <v>0</v>
          </cell>
          <cell r="N1187">
            <v>1170</v>
          </cell>
          <cell r="O1187">
            <v>0</v>
          </cell>
          <cell r="P1187">
            <v>1170</v>
          </cell>
          <cell r="Q1187">
            <v>0</v>
          </cell>
          <cell r="R1187">
            <v>1170</v>
          </cell>
          <cell r="S1187">
            <v>0</v>
          </cell>
          <cell r="T1187">
            <v>1170</v>
          </cell>
          <cell r="U1187">
            <v>0</v>
          </cell>
          <cell r="V1187">
            <v>1170</v>
          </cell>
          <cell r="W1187">
            <v>0</v>
          </cell>
          <cell r="X1187">
            <v>1170</v>
          </cell>
          <cell r="Y1187">
            <v>0</v>
          </cell>
          <cell r="Z1187">
            <v>1170</v>
          </cell>
          <cell r="AA1187">
            <v>0</v>
          </cell>
          <cell r="AB1187">
            <v>0</v>
          </cell>
          <cell r="AC1187">
            <v>0</v>
          </cell>
          <cell r="AD1187">
            <v>3.9E-2</v>
          </cell>
          <cell r="AE1187">
            <v>0</v>
          </cell>
          <cell r="AF1187">
            <v>0</v>
          </cell>
          <cell r="AG1187">
            <v>0</v>
          </cell>
          <cell r="AH1187">
            <v>0</v>
          </cell>
          <cell r="AI1187">
            <v>0</v>
          </cell>
          <cell r="AJ1187">
            <v>0</v>
          </cell>
          <cell r="AK1187">
            <v>0</v>
          </cell>
          <cell r="AL1187">
            <v>0</v>
          </cell>
        </row>
        <row r="1188">
          <cell r="E1188" t="str">
            <v>CCP-AP 0.4-10Pr</v>
          </cell>
          <cell r="F1188" t="str">
            <v>ｍ</v>
          </cell>
          <cell r="G1188">
            <v>0</v>
          </cell>
          <cell r="H1188">
            <v>162</v>
          </cell>
          <cell r="I1188">
            <v>0</v>
          </cell>
          <cell r="J1188">
            <v>162</v>
          </cell>
          <cell r="K1188">
            <v>0</v>
          </cell>
          <cell r="L1188">
            <v>162</v>
          </cell>
          <cell r="M1188">
            <v>0</v>
          </cell>
          <cell r="N1188">
            <v>162</v>
          </cell>
          <cell r="O1188">
            <v>0</v>
          </cell>
          <cell r="P1188">
            <v>162</v>
          </cell>
          <cell r="Q1188">
            <v>0</v>
          </cell>
          <cell r="R1188">
            <v>162</v>
          </cell>
          <cell r="S1188">
            <v>0</v>
          </cell>
          <cell r="T1188">
            <v>162</v>
          </cell>
          <cell r="U1188">
            <v>0</v>
          </cell>
          <cell r="V1188">
            <v>162</v>
          </cell>
          <cell r="W1188">
            <v>0</v>
          </cell>
          <cell r="X1188">
            <v>162</v>
          </cell>
          <cell r="Y1188">
            <v>0</v>
          </cell>
          <cell r="Z1188">
            <v>162</v>
          </cell>
          <cell r="AA1188">
            <v>0</v>
          </cell>
          <cell r="AB1188">
            <v>0</v>
          </cell>
          <cell r="AC1188">
            <v>0</v>
          </cell>
          <cell r="AD1188">
            <v>2.1999999999999999E-2</v>
          </cell>
          <cell r="AE1188">
            <v>0</v>
          </cell>
          <cell r="AF1188">
            <v>0</v>
          </cell>
          <cell r="AG1188">
            <v>0</v>
          </cell>
          <cell r="AH1188">
            <v>0</v>
          </cell>
          <cell r="AI1188">
            <v>0</v>
          </cell>
          <cell r="AJ1188">
            <v>0</v>
          </cell>
          <cell r="AK1188">
            <v>0</v>
          </cell>
          <cell r="AL1188">
            <v>0</v>
          </cell>
        </row>
        <row r="1189">
          <cell r="E1189" t="str">
            <v>CCP-AP 0.4-30Pr</v>
          </cell>
          <cell r="F1189" t="str">
            <v>ｍ</v>
          </cell>
          <cell r="G1189">
            <v>0</v>
          </cell>
          <cell r="H1189">
            <v>285</v>
          </cell>
          <cell r="I1189">
            <v>0</v>
          </cell>
          <cell r="J1189">
            <v>285</v>
          </cell>
          <cell r="K1189">
            <v>0</v>
          </cell>
          <cell r="L1189">
            <v>285</v>
          </cell>
          <cell r="M1189">
            <v>0</v>
          </cell>
          <cell r="N1189">
            <v>285</v>
          </cell>
          <cell r="O1189">
            <v>0</v>
          </cell>
          <cell r="P1189">
            <v>285</v>
          </cell>
          <cell r="Q1189">
            <v>0</v>
          </cell>
          <cell r="R1189">
            <v>285</v>
          </cell>
          <cell r="S1189">
            <v>0</v>
          </cell>
          <cell r="T1189">
            <v>285</v>
          </cell>
          <cell r="U1189">
            <v>0</v>
          </cell>
          <cell r="V1189">
            <v>285</v>
          </cell>
          <cell r="W1189">
            <v>0</v>
          </cell>
          <cell r="X1189">
            <v>285</v>
          </cell>
          <cell r="Y1189">
            <v>0</v>
          </cell>
          <cell r="Z1189">
            <v>285</v>
          </cell>
          <cell r="AA1189">
            <v>0</v>
          </cell>
          <cell r="AB1189">
            <v>0</v>
          </cell>
          <cell r="AC1189">
            <v>0</v>
          </cell>
          <cell r="AD1189">
            <v>2.9000000000000001E-2</v>
          </cell>
          <cell r="AE1189">
            <v>0</v>
          </cell>
          <cell r="AF1189">
            <v>0</v>
          </cell>
          <cell r="AG1189">
            <v>0</v>
          </cell>
          <cell r="AH1189">
            <v>0</v>
          </cell>
          <cell r="AI1189">
            <v>0</v>
          </cell>
          <cell r="AJ1189">
            <v>0</v>
          </cell>
          <cell r="AK1189">
            <v>0</v>
          </cell>
          <cell r="AL1189">
            <v>0</v>
          </cell>
        </row>
        <row r="1190">
          <cell r="E1190" t="str">
            <v>CCP-AP 0.4-50Pr</v>
          </cell>
          <cell r="F1190" t="str">
            <v>ｍ</v>
          </cell>
          <cell r="G1190">
            <v>0</v>
          </cell>
          <cell r="H1190">
            <v>390</v>
          </cell>
          <cell r="I1190">
            <v>0</v>
          </cell>
          <cell r="J1190">
            <v>390</v>
          </cell>
          <cell r="K1190">
            <v>0</v>
          </cell>
          <cell r="L1190">
            <v>390</v>
          </cell>
          <cell r="M1190">
            <v>0</v>
          </cell>
          <cell r="N1190">
            <v>390</v>
          </cell>
          <cell r="O1190">
            <v>0</v>
          </cell>
          <cell r="P1190">
            <v>390</v>
          </cell>
          <cell r="Q1190">
            <v>0</v>
          </cell>
          <cell r="R1190">
            <v>390</v>
          </cell>
          <cell r="S1190">
            <v>0</v>
          </cell>
          <cell r="T1190">
            <v>390</v>
          </cell>
          <cell r="U1190">
            <v>0</v>
          </cell>
          <cell r="V1190">
            <v>390</v>
          </cell>
          <cell r="W1190">
            <v>0</v>
          </cell>
          <cell r="X1190">
            <v>390</v>
          </cell>
          <cell r="Y1190">
            <v>0</v>
          </cell>
          <cell r="Z1190">
            <v>390</v>
          </cell>
          <cell r="AA1190">
            <v>0</v>
          </cell>
          <cell r="AB1190">
            <v>0</v>
          </cell>
          <cell r="AC1190">
            <v>0</v>
          </cell>
          <cell r="AD1190">
            <v>3.9E-2</v>
          </cell>
          <cell r="AE1190">
            <v>0</v>
          </cell>
          <cell r="AF1190">
            <v>0</v>
          </cell>
          <cell r="AG1190">
            <v>0</v>
          </cell>
          <cell r="AH1190">
            <v>0</v>
          </cell>
          <cell r="AI1190">
            <v>0</v>
          </cell>
          <cell r="AJ1190">
            <v>0</v>
          </cell>
          <cell r="AK1190">
            <v>0</v>
          </cell>
          <cell r="AL1190">
            <v>0</v>
          </cell>
        </row>
        <row r="1191">
          <cell r="E1191" t="str">
            <v>CCP-AP 0.4-100Pr</v>
          </cell>
          <cell r="F1191" t="str">
            <v>ｍ</v>
          </cell>
          <cell r="G1191">
            <v>0</v>
          </cell>
          <cell r="H1191">
            <v>662</v>
          </cell>
          <cell r="I1191">
            <v>0</v>
          </cell>
          <cell r="J1191">
            <v>662</v>
          </cell>
          <cell r="K1191">
            <v>0</v>
          </cell>
          <cell r="L1191">
            <v>662</v>
          </cell>
          <cell r="M1191">
            <v>0</v>
          </cell>
          <cell r="N1191">
            <v>662</v>
          </cell>
          <cell r="O1191">
            <v>0</v>
          </cell>
          <cell r="P1191">
            <v>662</v>
          </cell>
          <cell r="Q1191">
            <v>0</v>
          </cell>
          <cell r="R1191">
            <v>662</v>
          </cell>
          <cell r="S1191">
            <v>0</v>
          </cell>
          <cell r="T1191">
            <v>662</v>
          </cell>
          <cell r="U1191">
            <v>0</v>
          </cell>
          <cell r="V1191">
            <v>662</v>
          </cell>
          <cell r="W1191">
            <v>0</v>
          </cell>
          <cell r="X1191">
            <v>662</v>
          </cell>
          <cell r="Y1191">
            <v>0</v>
          </cell>
          <cell r="Z1191">
            <v>662</v>
          </cell>
          <cell r="AA1191">
            <v>0</v>
          </cell>
          <cell r="AB1191">
            <v>0</v>
          </cell>
          <cell r="AC1191">
            <v>0</v>
          </cell>
          <cell r="AD1191">
            <v>6.4000000000000001E-2</v>
          </cell>
          <cell r="AE1191">
            <v>0</v>
          </cell>
          <cell r="AF1191">
            <v>0</v>
          </cell>
          <cell r="AG1191">
            <v>0</v>
          </cell>
          <cell r="AH1191">
            <v>0</v>
          </cell>
          <cell r="AI1191">
            <v>0</v>
          </cell>
          <cell r="AJ1191">
            <v>0</v>
          </cell>
          <cell r="AK1191">
            <v>0</v>
          </cell>
          <cell r="AL1191">
            <v>0</v>
          </cell>
        </row>
        <row r="1192">
          <cell r="E1192" t="str">
            <v>CCP-AP 0.4-200Pr</v>
          </cell>
          <cell r="F1192" t="str">
            <v>ｍ</v>
          </cell>
          <cell r="G1192">
            <v>0</v>
          </cell>
          <cell r="H1192">
            <v>1165</v>
          </cell>
          <cell r="I1192">
            <v>0</v>
          </cell>
          <cell r="J1192">
            <v>1165</v>
          </cell>
          <cell r="K1192">
            <v>0</v>
          </cell>
          <cell r="L1192">
            <v>1165</v>
          </cell>
          <cell r="M1192">
            <v>0</v>
          </cell>
          <cell r="N1192">
            <v>1165</v>
          </cell>
          <cell r="O1192">
            <v>0</v>
          </cell>
          <cell r="P1192">
            <v>1165</v>
          </cell>
          <cell r="Q1192">
            <v>0</v>
          </cell>
          <cell r="R1192">
            <v>1165</v>
          </cell>
          <cell r="S1192">
            <v>0</v>
          </cell>
          <cell r="T1192">
            <v>1165</v>
          </cell>
          <cell r="U1192">
            <v>0</v>
          </cell>
          <cell r="V1192">
            <v>1165</v>
          </cell>
          <cell r="W1192">
            <v>0</v>
          </cell>
          <cell r="X1192">
            <v>1165</v>
          </cell>
          <cell r="Y1192">
            <v>0</v>
          </cell>
          <cell r="Z1192">
            <v>1165</v>
          </cell>
          <cell r="AA1192">
            <v>0</v>
          </cell>
          <cell r="AB1192">
            <v>0</v>
          </cell>
          <cell r="AC1192">
            <v>0</v>
          </cell>
          <cell r="AD1192">
            <v>9.5000000000000001E-2</v>
          </cell>
          <cell r="AE1192">
            <v>0</v>
          </cell>
          <cell r="AF1192">
            <v>0</v>
          </cell>
          <cell r="AG1192">
            <v>0</v>
          </cell>
          <cell r="AH1192">
            <v>0</v>
          </cell>
          <cell r="AI1192">
            <v>0</v>
          </cell>
          <cell r="AJ1192">
            <v>0</v>
          </cell>
          <cell r="AK1192">
            <v>0</v>
          </cell>
          <cell r="AL1192">
            <v>0</v>
          </cell>
        </row>
        <row r="1193">
          <cell r="E1193" t="str">
            <v>CCP-AP 0.5-10Pr</v>
          </cell>
          <cell r="F1193" t="str">
            <v>ｍ</v>
          </cell>
          <cell r="G1193">
            <v>0</v>
          </cell>
          <cell r="H1193">
            <v>195</v>
          </cell>
          <cell r="I1193">
            <v>0</v>
          </cell>
          <cell r="J1193">
            <v>195</v>
          </cell>
          <cell r="K1193">
            <v>0</v>
          </cell>
          <cell r="L1193">
            <v>195</v>
          </cell>
          <cell r="M1193">
            <v>0</v>
          </cell>
          <cell r="N1193">
            <v>195</v>
          </cell>
          <cell r="O1193">
            <v>0</v>
          </cell>
          <cell r="P1193">
            <v>195</v>
          </cell>
          <cell r="Q1193">
            <v>0</v>
          </cell>
          <cell r="R1193">
            <v>195</v>
          </cell>
          <cell r="S1193">
            <v>0</v>
          </cell>
          <cell r="T1193">
            <v>195</v>
          </cell>
          <cell r="U1193">
            <v>0</v>
          </cell>
          <cell r="V1193">
            <v>195</v>
          </cell>
          <cell r="W1193">
            <v>0</v>
          </cell>
          <cell r="X1193">
            <v>195</v>
          </cell>
          <cell r="Y1193">
            <v>0</v>
          </cell>
          <cell r="Z1193">
            <v>195</v>
          </cell>
          <cell r="AA1193">
            <v>0</v>
          </cell>
          <cell r="AB1193">
            <v>0</v>
          </cell>
          <cell r="AC1193">
            <v>0</v>
          </cell>
          <cell r="AD1193">
            <v>2.1999999999999999E-2</v>
          </cell>
          <cell r="AE1193">
            <v>0</v>
          </cell>
          <cell r="AF1193">
            <v>0</v>
          </cell>
          <cell r="AG1193">
            <v>0</v>
          </cell>
          <cell r="AH1193">
            <v>0</v>
          </cell>
          <cell r="AI1193">
            <v>0</v>
          </cell>
          <cell r="AJ1193">
            <v>0</v>
          </cell>
          <cell r="AK1193">
            <v>0</v>
          </cell>
          <cell r="AL1193">
            <v>0</v>
          </cell>
        </row>
        <row r="1194">
          <cell r="E1194" t="str">
            <v>CCP-AP 0.5-30Pr</v>
          </cell>
          <cell r="F1194" t="str">
            <v>ｍ</v>
          </cell>
          <cell r="G1194">
            <v>0</v>
          </cell>
          <cell r="H1194">
            <v>351</v>
          </cell>
          <cell r="I1194">
            <v>0</v>
          </cell>
          <cell r="J1194">
            <v>351</v>
          </cell>
          <cell r="K1194">
            <v>0</v>
          </cell>
          <cell r="L1194">
            <v>351</v>
          </cell>
          <cell r="M1194">
            <v>0</v>
          </cell>
          <cell r="N1194">
            <v>351</v>
          </cell>
          <cell r="O1194">
            <v>0</v>
          </cell>
          <cell r="P1194">
            <v>351</v>
          </cell>
          <cell r="Q1194">
            <v>0</v>
          </cell>
          <cell r="R1194">
            <v>351</v>
          </cell>
          <cell r="S1194">
            <v>0</v>
          </cell>
          <cell r="T1194">
            <v>351</v>
          </cell>
          <cell r="U1194">
            <v>0</v>
          </cell>
          <cell r="V1194">
            <v>351</v>
          </cell>
          <cell r="W1194">
            <v>0</v>
          </cell>
          <cell r="X1194">
            <v>351</v>
          </cell>
          <cell r="Y1194">
            <v>0</v>
          </cell>
          <cell r="Z1194">
            <v>351</v>
          </cell>
          <cell r="AA1194">
            <v>0</v>
          </cell>
          <cell r="AB1194">
            <v>0</v>
          </cell>
          <cell r="AC1194">
            <v>0</v>
          </cell>
          <cell r="AD1194">
            <v>2.9000000000000001E-2</v>
          </cell>
          <cell r="AE1194">
            <v>0</v>
          </cell>
          <cell r="AF1194">
            <v>0</v>
          </cell>
          <cell r="AG1194">
            <v>0</v>
          </cell>
          <cell r="AH1194">
            <v>0</v>
          </cell>
          <cell r="AI1194">
            <v>0</v>
          </cell>
          <cell r="AJ1194">
            <v>0</v>
          </cell>
          <cell r="AK1194">
            <v>0</v>
          </cell>
          <cell r="AL1194">
            <v>0</v>
          </cell>
        </row>
        <row r="1195">
          <cell r="E1195" t="str">
            <v>CCP-AP 0.5-50Pr</v>
          </cell>
          <cell r="F1195" t="str">
            <v>ｍ</v>
          </cell>
          <cell r="G1195">
            <v>0</v>
          </cell>
          <cell r="H1195">
            <v>487</v>
          </cell>
          <cell r="I1195">
            <v>0</v>
          </cell>
          <cell r="J1195">
            <v>487</v>
          </cell>
          <cell r="K1195">
            <v>0</v>
          </cell>
          <cell r="L1195">
            <v>487</v>
          </cell>
          <cell r="M1195">
            <v>0</v>
          </cell>
          <cell r="N1195">
            <v>487</v>
          </cell>
          <cell r="O1195">
            <v>0</v>
          </cell>
          <cell r="P1195">
            <v>487</v>
          </cell>
          <cell r="Q1195">
            <v>0</v>
          </cell>
          <cell r="R1195">
            <v>487</v>
          </cell>
          <cell r="S1195">
            <v>0</v>
          </cell>
          <cell r="T1195">
            <v>487</v>
          </cell>
          <cell r="U1195">
            <v>0</v>
          </cell>
          <cell r="V1195">
            <v>487</v>
          </cell>
          <cell r="W1195">
            <v>0</v>
          </cell>
          <cell r="X1195">
            <v>487</v>
          </cell>
          <cell r="Y1195">
            <v>0</v>
          </cell>
          <cell r="Z1195">
            <v>487</v>
          </cell>
          <cell r="AA1195">
            <v>0</v>
          </cell>
          <cell r="AB1195">
            <v>0</v>
          </cell>
          <cell r="AC1195">
            <v>0</v>
          </cell>
          <cell r="AD1195">
            <v>3.9E-2</v>
          </cell>
          <cell r="AE1195">
            <v>0</v>
          </cell>
          <cell r="AF1195">
            <v>0</v>
          </cell>
          <cell r="AG1195">
            <v>0</v>
          </cell>
          <cell r="AH1195">
            <v>0</v>
          </cell>
          <cell r="AI1195">
            <v>0</v>
          </cell>
          <cell r="AJ1195">
            <v>0</v>
          </cell>
          <cell r="AK1195">
            <v>0</v>
          </cell>
          <cell r="AL1195">
            <v>0</v>
          </cell>
        </row>
        <row r="1196">
          <cell r="E1196" t="str">
            <v>CCP-AP 0.5-100Pr</v>
          </cell>
          <cell r="F1196" t="str">
            <v>ｍ</v>
          </cell>
          <cell r="G1196">
            <v>0</v>
          </cell>
          <cell r="H1196">
            <v>852</v>
          </cell>
          <cell r="I1196">
            <v>0</v>
          </cell>
          <cell r="J1196">
            <v>852</v>
          </cell>
          <cell r="K1196">
            <v>0</v>
          </cell>
          <cell r="L1196">
            <v>852</v>
          </cell>
          <cell r="M1196">
            <v>0</v>
          </cell>
          <cell r="N1196">
            <v>852</v>
          </cell>
          <cell r="O1196">
            <v>0</v>
          </cell>
          <cell r="P1196">
            <v>852</v>
          </cell>
          <cell r="Q1196">
            <v>0</v>
          </cell>
          <cell r="R1196">
            <v>852</v>
          </cell>
          <cell r="S1196">
            <v>0</v>
          </cell>
          <cell r="T1196">
            <v>852</v>
          </cell>
          <cell r="U1196">
            <v>0</v>
          </cell>
          <cell r="V1196">
            <v>852</v>
          </cell>
          <cell r="W1196">
            <v>0</v>
          </cell>
          <cell r="X1196">
            <v>852</v>
          </cell>
          <cell r="Y1196">
            <v>0</v>
          </cell>
          <cell r="Z1196">
            <v>852</v>
          </cell>
          <cell r="AA1196">
            <v>0</v>
          </cell>
          <cell r="AB1196">
            <v>0</v>
          </cell>
          <cell r="AC1196">
            <v>0</v>
          </cell>
          <cell r="AD1196">
            <v>6.4000000000000001E-2</v>
          </cell>
          <cell r="AE1196">
            <v>0</v>
          </cell>
          <cell r="AF1196">
            <v>0</v>
          </cell>
          <cell r="AG1196">
            <v>0</v>
          </cell>
          <cell r="AH1196">
            <v>0</v>
          </cell>
          <cell r="AI1196">
            <v>0</v>
          </cell>
          <cell r="AJ1196">
            <v>0</v>
          </cell>
          <cell r="AK1196">
            <v>0</v>
          </cell>
          <cell r="AL1196">
            <v>0</v>
          </cell>
        </row>
        <row r="1197">
          <cell r="E1197" t="str">
            <v>CCP-AP 0.5-200Pr</v>
          </cell>
          <cell r="F1197" t="str">
            <v>ｍ</v>
          </cell>
          <cell r="G1197">
            <v>0</v>
          </cell>
          <cell r="H1197">
            <v>1526</v>
          </cell>
          <cell r="I1197">
            <v>0</v>
          </cell>
          <cell r="J1197">
            <v>1526</v>
          </cell>
          <cell r="K1197">
            <v>0</v>
          </cell>
          <cell r="L1197">
            <v>1526</v>
          </cell>
          <cell r="M1197">
            <v>0</v>
          </cell>
          <cell r="N1197">
            <v>1526</v>
          </cell>
          <cell r="O1197">
            <v>0</v>
          </cell>
          <cell r="P1197">
            <v>1526</v>
          </cell>
          <cell r="Q1197">
            <v>0</v>
          </cell>
          <cell r="R1197">
            <v>1526</v>
          </cell>
          <cell r="S1197">
            <v>0</v>
          </cell>
          <cell r="T1197">
            <v>1526</v>
          </cell>
          <cell r="U1197">
            <v>0</v>
          </cell>
          <cell r="V1197">
            <v>1526</v>
          </cell>
          <cell r="W1197">
            <v>0</v>
          </cell>
          <cell r="X1197">
            <v>1526</v>
          </cell>
          <cell r="Y1197">
            <v>0</v>
          </cell>
          <cell r="Z1197">
            <v>1526</v>
          </cell>
          <cell r="AA1197">
            <v>0</v>
          </cell>
          <cell r="AB1197">
            <v>0</v>
          </cell>
          <cell r="AC1197">
            <v>0</v>
          </cell>
          <cell r="AD1197">
            <v>9.5000000000000001E-2</v>
          </cell>
          <cell r="AE1197">
            <v>0</v>
          </cell>
          <cell r="AF1197">
            <v>0</v>
          </cell>
          <cell r="AG1197">
            <v>0</v>
          </cell>
          <cell r="AH1197">
            <v>0</v>
          </cell>
          <cell r="AI1197">
            <v>0</v>
          </cell>
          <cell r="AJ1197">
            <v>0</v>
          </cell>
          <cell r="AK1197">
            <v>0</v>
          </cell>
          <cell r="AL1197">
            <v>0</v>
          </cell>
        </row>
        <row r="1198">
          <cell r="E1198" t="str">
            <v>CCP-AP 0.65-10Pr</v>
          </cell>
          <cell r="F1198" t="str">
            <v>ｍ</v>
          </cell>
          <cell r="G1198">
            <v>0</v>
          </cell>
          <cell r="H1198">
            <v>243</v>
          </cell>
          <cell r="I1198">
            <v>0</v>
          </cell>
          <cell r="J1198">
            <v>243</v>
          </cell>
          <cell r="K1198">
            <v>0</v>
          </cell>
          <cell r="L1198">
            <v>243</v>
          </cell>
          <cell r="M1198">
            <v>0</v>
          </cell>
          <cell r="N1198">
            <v>243</v>
          </cell>
          <cell r="O1198">
            <v>0</v>
          </cell>
          <cell r="P1198">
            <v>243</v>
          </cell>
          <cell r="Q1198">
            <v>0</v>
          </cell>
          <cell r="R1198">
            <v>243</v>
          </cell>
          <cell r="S1198">
            <v>0</v>
          </cell>
          <cell r="T1198">
            <v>243</v>
          </cell>
          <cell r="U1198">
            <v>0</v>
          </cell>
          <cell r="V1198">
            <v>243</v>
          </cell>
          <cell r="W1198">
            <v>0</v>
          </cell>
          <cell r="X1198">
            <v>243</v>
          </cell>
          <cell r="Y1198">
            <v>0</v>
          </cell>
          <cell r="Z1198">
            <v>243</v>
          </cell>
          <cell r="AA1198">
            <v>0</v>
          </cell>
          <cell r="AB1198">
            <v>0</v>
          </cell>
          <cell r="AC1198">
            <v>0</v>
          </cell>
          <cell r="AD1198">
            <v>2.1999999999999999E-2</v>
          </cell>
          <cell r="AE1198">
            <v>0</v>
          </cell>
          <cell r="AF1198">
            <v>0</v>
          </cell>
          <cell r="AG1198">
            <v>0</v>
          </cell>
          <cell r="AH1198">
            <v>0</v>
          </cell>
          <cell r="AI1198">
            <v>0</v>
          </cell>
          <cell r="AJ1198">
            <v>0</v>
          </cell>
          <cell r="AK1198">
            <v>0</v>
          </cell>
          <cell r="AL1198">
            <v>0</v>
          </cell>
        </row>
        <row r="1199">
          <cell r="E1199" t="str">
            <v>CCP-AP 0.65-30Pr</v>
          </cell>
          <cell r="F1199" t="str">
            <v>ｍ</v>
          </cell>
          <cell r="G1199">
            <v>0</v>
          </cell>
          <cell r="H1199">
            <v>466</v>
          </cell>
          <cell r="I1199">
            <v>0</v>
          </cell>
          <cell r="J1199">
            <v>466</v>
          </cell>
          <cell r="K1199">
            <v>0</v>
          </cell>
          <cell r="L1199">
            <v>466</v>
          </cell>
          <cell r="M1199">
            <v>0</v>
          </cell>
          <cell r="N1199">
            <v>466</v>
          </cell>
          <cell r="O1199">
            <v>0</v>
          </cell>
          <cell r="P1199">
            <v>466</v>
          </cell>
          <cell r="Q1199">
            <v>0</v>
          </cell>
          <cell r="R1199">
            <v>466</v>
          </cell>
          <cell r="S1199">
            <v>0</v>
          </cell>
          <cell r="T1199">
            <v>466</v>
          </cell>
          <cell r="U1199">
            <v>0</v>
          </cell>
          <cell r="V1199">
            <v>466</v>
          </cell>
          <cell r="W1199">
            <v>0</v>
          </cell>
          <cell r="X1199">
            <v>466</v>
          </cell>
          <cell r="Y1199">
            <v>0</v>
          </cell>
          <cell r="Z1199">
            <v>466</v>
          </cell>
          <cell r="AA1199">
            <v>0</v>
          </cell>
          <cell r="AB1199">
            <v>0</v>
          </cell>
          <cell r="AC1199">
            <v>0</v>
          </cell>
          <cell r="AD1199">
            <v>2.9000000000000001E-2</v>
          </cell>
          <cell r="AE1199">
            <v>0</v>
          </cell>
          <cell r="AF1199">
            <v>0</v>
          </cell>
          <cell r="AG1199">
            <v>0</v>
          </cell>
          <cell r="AH1199">
            <v>0</v>
          </cell>
          <cell r="AI1199">
            <v>0</v>
          </cell>
          <cell r="AJ1199">
            <v>0</v>
          </cell>
          <cell r="AK1199">
            <v>0</v>
          </cell>
          <cell r="AL1199">
            <v>0</v>
          </cell>
        </row>
        <row r="1200">
          <cell r="E1200" t="str">
            <v>CCP-AP 0.65-50Pr</v>
          </cell>
          <cell r="F1200" t="str">
            <v>ｍ</v>
          </cell>
          <cell r="G1200">
            <v>0</v>
          </cell>
          <cell r="H1200">
            <v>689</v>
          </cell>
          <cell r="I1200">
            <v>0</v>
          </cell>
          <cell r="J1200">
            <v>689</v>
          </cell>
          <cell r="K1200">
            <v>0</v>
          </cell>
          <cell r="L1200">
            <v>689</v>
          </cell>
          <cell r="M1200">
            <v>0</v>
          </cell>
          <cell r="N1200">
            <v>689</v>
          </cell>
          <cell r="O1200">
            <v>0</v>
          </cell>
          <cell r="P1200">
            <v>689</v>
          </cell>
          <cell r="Q1200">
            <v>0</v>
          </cell>
          <cell r="R1200">
            <v>689</v>
          </cell>
          <cell r="S1200">
            <v>0</v>
          </cell>
          <cell r="T1200">
            <v>689</v>
          </cell>
          <cell r="U1200">
            <v>0</v>
          </cell>
          <cell r="V1200">
            <v>689</v>
          </cell>
          <cell r="W1200">
            <v>0</v>
          </cell>
          <cell r="X1200">
            <v>689</v>
          </cell>
          <cell r="Y1200">
            <v>0</v>
          </cell>
          <cell r="Z1200">
            <v>689</v>
          </cell>
          <cell r="AA1200">
            <v>0</v>
          </cell>
          <cell r="AB1200">
            <v>0</v>
          </cell>
          <cell r="AC1200">
            <v>0</v>
          </cell>
          <cell r="AD1200">
            <v>3.9E-2</v>
          </cell>
          <cell r="AE1200">
            <v>0</v>
          </cell>
          <cell r="AF1200">
            <v>0</v>
          </cell>
          <cell r="AG1200">
            <v>0</v>
          </cell>
          <cell r="AH1200">
            <v>0</v>
          </cell>
          <cell r="AI1200">
            <v>0</v>
          </cell>
          <cell r="AJ1200">
            <v>0</v>
          </cell>
          <cell r="AK1200">
            <v>0</v>
          </cell>
          <cell r="AL1200">
            <v>0</v>
          </cell>
        </row>
        <row r="1201">
          <cell r="E1201" t="str">
            <v>CCP-AP 0.65-100Pr</v>
          </cell>
          <cell r="F1201" t="str">
            <v>ｍ</v>
          </cell>
          <cell r="G1201">
            <v>0</v>
          </cell>
          <cell r="H1201">
            <v>1249</v>
          </cell>
          <cell r="I1201">
            <v>0</v>
          </cell>
          <cell r="J1201">
            <v>1249</v>
          </cell>
          <cell r="K1201">
            <v>0</v>
          </cell>
          <cell r="L1201">
            <v>1249</v>
          </cell>
          <cell r="M1201">
            <v>0</v>
          </cell>
          <cell r="N1201">
            <v>1249</v>
          </cell>
          <cell r="O1201">
            <v>0</v>
          </cell>
          <cell r="P1201">
            <v>1249</v>
          </cell>
          <cell r="Q1201">
            <v>0</v>
          </cell>
          <cell r="R1201">
            <v>1249</v>
          </cell>
          <cell r="S1201">
            <v>0</v>
          </cell>
          <cell r="T1201">
            <v>1249</v>
          </cell>
          <cell r="U1201">
            <v>0</v>
          </cell>
          <cell r="V1201">
            <v>1249</v>
          </cell>
          <cell r="W1201">
            <v>0</v>
          </cell>
          <cell r="X1201">
            <v>1249</v>
          </cell>
          <cell r="Y1201">
            <v>0</v>
          </cell>
          <cell r="Z1201">
            <v>1249</v>
          </cell>
          <cell r="AA1201">
            <v>0</v>
          </cell>
          <cell r="AB1201">
            <v>0</v>
          </cell>
          <cell r="AC1201">
            <v>0</v>
          </cell>
          <cell r="AD1201">
            <v>6.4000000000000001E-2</v>
          </cell>
          <cell r="AE1201">
            <v>0</v>
          </cell>
          <cell r="AF1201">
            <v>0</v>
          </cell>
          <cell r="AG1201">
            <v>0</v>
          </cell>
          <cell r="AH1201">
            <v>0</v>
          </cell>
          <cell r="AI1201">
            <v>0</v>
          </cell>
          <cell r="AJ1201">
            <v>0</v>
          </cell>
          <cell r="AK1201">
            <v>0</v>
          </cell>
          <cell r="AL1201">
            <v>0</v>
          </cell>
        </row>
        <row r="1202">
          <cell r="E1202" t="str">
            <v>CCP-AP 0.65-200Pr</v>
          </cell>
          <cell r="F1202" t="str">
            <v>ｍ</v>
          </cell>
          <cell r="G1202">
            <v>0</v>
          </cell>
          <cell r="H1202">
            <v>2314</v>
          </cell>
          <cell r="I1202">
            <v>0</v>
          </cell>
          <cell r="J1202">
            <v>2314</v>
          </cell>
          <cell r="K1202">
            <v>0</v>
          </cell>
          <cell r="L1202">
            <v>2314</v>
          </cell>
          <cell r="M1202">
            <v>0</v>
          </cell>
          <cell r="N1202">
            <v>2314</v>
          </cell>
          <cell r="O1202">
            <v>0</v>
          </cell>
          <cell r="P1202">
            <v>2314</v>
          </cell>
          <cell r="Q1202">
            <v>0</v>
          </cell>
          <cell r="R1202">
            <v>2314</v>
          </cell>
          <cell r="S1202">
            <v>0</v>
          </cell>
          <cell r="T1202">
            <v>2314</v>
          </cell>
          <cell r="U1202">
            <v>0</v>
          </cell>
          <cell r="V1202">
            <v>2314</v>
          </cell>
          <cell r="W1202">
            <v>0</v>
          </cell>
          <cell r="X1202">
            <v>2314</v>
          </cell>
          <cell r="Y1202">
            <v>0</v>
          </cell>
          <cell r="Z1202">
            <v>2314</v>
          </cell>
          <cell r="AA1202">
            <v>0</v>
          </cell>
          <cell r="AB1202">
            <v>0</v>
          </cell>
          <cell r="AC1202">
            <v>0</v>
          </cell>
          <cell r="AD1202">
            <v>9.5000000000000001E-2</v>
          </cell>
          <cell r="AE1202">
            <v>0</v>
          </cell>
          <cell r="AF1202">
            <v>0</v>
          </cell>
          <cell r="AG1202">
            <v>0</v>
          </cell>
          <cell r="AH1202">
            <v>0</v>
          </cell>
          <cell r="AI1202">
            <v>0</v>
          </cell>
          <cell r="AJ1202">
            <v>0</v>
          </cell>
          <cell r="AK1202">
            <v>0</v>
          </cell>
          <cell r="AL1202">
            <v>0</v>
          </cell>
        </row>
        <row r="1203">
          <cell r="E1203" t="str">
            <v>CCP-AP 0.9-10Pr</v>
          </cell>
          <cell r="F1203" t="str">
            <v>ｍ</v>
          </cell>
          <cell r="G1203">
            <v>0</v>
          </cell>
          <cell r="H1203">
            <v>339</v>
          </cell>
          <cell r="I1203">
            <v>0</v>
          </cell>
          <cell r="J1203">
            <v>339</v>
          </cell>
          <cell r="K1203">
            <v>0</v>
          </cell>
          <cell r="L1203">
            <v>339</v>
          </cell>
          <cell r="M1203">
            <v>0</v>
          </cell>
          <cell r="N1203">
            <v>339</v>
          </cell>
          <cell r="O1203">
            <v>0</v>
          </cell>
          <cell r="P1203">
            <v>339</v>
          </cell>
          <cell r="Q1203">
            <v>0</v>
          </cell>
          <cell r="R1203">
            <v>339</v>
          </cell>
          <cell r="S1203">
            <v>0</v>
          </cell>
          <cell r="T1203">
            <v>339</v>
          </cell>
          <cell r="U1203">
            <v>0</v>
          </cell>
          <cell r="V1203">
            <v>339</v>
          </cell>
          <cell r="W1203">
            <v>0</v>
          </cell>
          <cell r="X1203">
            <v>339</v>
          </cell>
          <cell r="Y1203">
            <v>0</v>
          </cell>
          <cell r="Z1203">
            <v>339</v>
          </cell>
          <cell r="AA1203">
            <v>0</v>
          </cell>
          <cell r="AB1203">
            <v>0</v>
          </cell>
          <cell r="AC1203">
            <v>0</v>
          </cell>
          <cell r="AD1203">
            <v>2.5000000000000001E-2</v>
          </cell>
          <cell r="AE1203">
            <v>0</v>
          </cell>
          <cell r="AF1203">
            <v>0</v>
          </cell>
          <cell r="AG1203">
            <v>0</v>
          </cell>
          <cell r="AH1203">
            <v>0</v>
          </cell>
          <cell r="AI1203">
            <v>0</v>
          </cell>
          <cell r="AJ1203">
            <v>0</v>
          </cell>
          <cell r="AK1203">
            <v>0</v>
          </cell>
          <cell r="AL1203">
            <v>0</v>
          </cell>
        </row>
        <row r="1204">
          <cell r="E1204" t="str">
            <v>CCP-AP 0.9-30Pr</v>
          </cell>
          <cell r="F1204" t="str">
            <v>ｍ</v>
          </cell>
          <cell r="G1204">
            <v>0</v>
          </cell>
          <cell r="H1204">
            <v>776</v>
          </cell>
          <cell r="I1204">
            <v>0</v>
          </cell>
          <cell r="J1204">
            <v>776</v>
          </cell>
          <cell r="K1204">
            <v>0</v>
          </cell>
          <cell r="L1204">
            <v>776</v>
          </cell>
          <cell r="M1204">
            <v>0</v>
          </cell>
          <cell r="N1204">
            <v>776</v>
          </cell>
          <cell r="O1204">
            <v>0</v>
          </cell>
          <cell r="P1204">
            <v>776</v>
          </cell>
          <cell r="Q1204">
            <v>0</v>
          </cell>
          <cell r="R1204">
            <v>776</v>
          </cell>
          <cell r="S1204">
            <v>0</v>
          </cell>
          <cell r="T1204">
            <v>776</v>
          </cell>
          <cell r="U1204">
            <v>0</v>
          </cell>
          <cell r="V1204">
            <v>776</v>
          </cell>
          <cell r="W1204">
            <v>0</v>
          </cell>
          <cell r="X1204">
            <v>776</v>
          </cell>
          <cell r="Y1204">
            <v>0</v>
          </cell>
          <cell r="Z1204">
            <v>776</v>
          </cell>
          <cell r="AA1204">
            <v>0</v>
          </cell>
          <cell r="AB1204">
            <v>0</v>
          </cell>
          <cell r="AC1204">
            <v>0</v>
          </cell>
          <cell r="AD1204">
            <v>3.6999999999999998E-2</v>
          </cell>
          <cell r="AE1204">
            <v>0</v>
          </cell>
          <cell r="AF1204">
            <v>0</v>
          </cell>
          <cell r="AG1204">
            <v>0</v>
          </cell>
          <cell r="AH1204">
            <v>0</v>
          </cell>
          <cell r="AI1204">
            <v>0</v>
          </cell>
          <cell r="AJ1204">
            <v>0</v>
          </cell>
          <cell r="AK1204">
            <v>0</v>
          </cell>
          <cell r="AL1204">
            <v>0</v>
          </cell>
        </row>
        <row r="1205">
          <cell r="E1205" t="str">
            <v>CCP-AP 0.9-50Pr</v>
          </cell>
          <cell r="F1205" t="str">
            <v>ｍ</v>
          </cell>
          <cell r="G1205">
            <v>0</v>
          </cell>
          <cell r="H1205">
            <v>1176</v>
          </cell>
          <cell r="I1205">
            <v>0</v>
          </cell>
          <cell r="J1205">
            <v>1176</v>
          </cell>
          <cell r="K1205">
            <v>0</v>
          </cell>
          <cell r="L1205">
            <v>1176</v>
          </cell>
          <cell r="M1205">
            <v>0</v>
          </cell>
          <cell r="N1205">
            <v>1176</v>
          </cell>
          <cell r="O1205">
            <v>0</v>
          </cell>
          <cell r="P1205">
            <v>1176</v>
          </cell>
          <cell r="Q1205">
            <v>0</v>
          </cell>
          <cell r="R1205">
            <v>1176</v>
          </cell>
          <cell r="S1205">
            <v>0</v>
          </cell>
          <cell r="T1205">
            <v>1176</v>
          </cell>
          <cell r="U1205">
            <v>0</v>
          </cell>
          <cell r="V1205">
            <v>1176</v>
          </cell>
          <cell r="W1205">
            <v>0</v>
          </cell>
          <cell r="X1205">
            <v>1176</v>
          </cell>
          <cell r="Y1205">
            <v>0</v>
          </cell>
          <cell r="Z1205">
            <v>1176</v>
          </cell>
          <cell r="AA1205">
            <v>0</v>
          </cell>
          <cell r="AB1205">
            <v>0</v>
          </cell>
          <cell r="AC1205">
            <v>0</v>
          </cell>
          <cell r="AD1205">
            <v>0.05</v>
          </cell>
          <cell r="AE1205">
            <v>0</v>
          </cell>
          <cell r="AF1205">
            <v>0</v>
          </cell>
          <cell r="AG1205">
            <v>0</v>
          </cell>
          <cell r="AH1205">
            <v>0</v>
          </cell>
          <cell r="AI1205">
            <v>0</v>
          </cell>
          <cell r="AJ1205">
            <v>0</v>
          </cell>
          <cell r="AK1205">
            <v>0</v>
          </cell>
          <cell r="AL1205">
            <v>0</v>
          </cell>
        </row>
        <row r="1206">
          <cell r="E1206" t="str">
            <v>CCP-AP 0.9-100Pr</v>
          </cell>
          <cell r="F1206" t="str">
            <v>ｍ</v>
          </cell>
          <cell r="G1206">
            <v>0</v>
          </cell>
          <cell r="H1206">
            <v>2172</v>
          </cell>
          <cell r="I1206">
            <v>0</v>
          </cell>
          <cell r="J1206">
            <v>2172</v>
          </cell>
          <cell r="K1206">
            <v>0</v>
          </cell>
          <cell r="L1206">
            <v>2172</v>
          </cell>
          <cell r="M1206">
            <v>0</v>
          </cell>
          <cell r="N1206">
            <v>2172</v>
          </cell>
          <cell r="O1206">
            <v>0</v>
          </cell>
          <cell r="P1206">
            <v>2172</v>
          </cell>
          <cell r="Q1206">
            <v>0</v>
          </cell>
          <cell r="R1206">
            <v>2172</v>
          </cell>
          <cell r="S1206">
            <v>0</v>
          </cell>
          <cell r="T1206">
            <v>2172</v>
          </cell>
          <cell r="U1206">
            <v>0</v>
          </cell>
          <cell r="V1206">
            <v>2172</v>
          </cell>
          <cell r="W1206">
            <v>0</v>
          </cell>
          <cell r="X1206">
            <v>2172</v>
          </cell>
          <cell r="Y1206">
            <v>0</v>
          </cell>
          <cell r="Z1206">
            <v>2172</v>
          </cell>
          <cell r="AA1206">
            <v>0</v>
          </cell>
          <cell r="AB1206">
            <v>0</v>
          </cell>
          <cell r="AC1206">
            <v>0</v>
          </cell>
          <cell r="AD1206">
            <v>8.3000000000000004E-2</v>
          </cell>
          <cell r="AE1206">
            <v>0</v>
          </cell>
          <cell r="AF1206">
            <v>0</v>
          </cell>
          <cell r="AG1206">
            <v>0</v>
          </cell>
          <cell r="AH1206">
            <v>0</v>
          </cell>
          <cell r="AI1206">
            <v>0</v>
          </cell>
          <cell r="AJ1206">
            <v>0</v>
          </cell>
          <cell r="AK1206">
            <v>0</v>
          </cell>
          <cell r="AL1206">
            <v>0</v>
          </cell>
        </row>
        <row r="1207">
          <cell r="E1207" t="str">
            <v>CCP-AP-SS 0.4-30Pr</v>
          </cell>
          <cell r="F1207" t="str">
            <v>ｍ</v>
          </cell>
          <cell r="G1207">
            <v>0</v>
          </cell>
          <cell r="H1207">
            <v>353</v>
          </cell>
          <cell r="I1207">
            <v>0</v>
          </cell>
          <cell r="J1207">
            <v>353</v>
          </cell>
          <cell r="K1207">
            <v>0</v>
          </cell>
          <cell r="L1207">
            <v>353</v>
          </cell>
          <cell r="M1207">
            <v>0</v>
          </cell>
          <cell r="N1207">
            <v>353</v>
          </cell>
          <cell r="O1207">
            <v>0</v>
          </cell>
          <cell r="P1207">
            <v>353</v>
          </cell>
          <cell r="Q1207">
            <v>0</v>
          </cell>
          <cell r="R1207">
            <v>353</v>
          </cell>
          <cell r="S1207">
            <v>0</v>
          </cell>
          <cell r="T1207">
            <v>353</v>
          </cell>
          <cell r="U1207">
            <v>0</v>
          </cell>
          <cell r="V1207">
            <v>353</v>
          </cell>
          <cell r="W1207">
            <v>0</v>
          </cell>
          <cell r="X1207">
            <v>353</v>
          </cell>
          <cell r="Y1207">
            <v>0</v>
          </cell>
          <cell r="Z1207">
            <v>353</v>
          </cell>
          <cell r="AA1207">
            <v>0</v>
          </cell>
          <cell r="AB1207">
            <v>0</v>
          </cell>
          <cell r="AC1207">
            <v>0</v>
          </cell>
          <cell r="AD1207">
            <v>2.9000000000000001E-2</v>
          </cell>
          <cell r="AE1207">
            <v>0</v>
          </cell>
          <cell r="AF1207">
            <v>0</v>
          </cell>
          <cell r="AG1207">
            <v>0</v>
          </cell>
          <cell r="AH1207">
            <v>0</v>
          </cell>
          <cell r="AI1207">
            <v>0</v>
          </cell>
          <cell r="AJ1207">
            <v>0</v>
          </cell>
          <cell r="AK1207">
            <v>0</v>
          </cell>
          <cell r="AL1207">
            <v>0</v>
          </cell>
        </row>
        <row r="1208">
          <cell r="E1208" t="str">
            <v>CCP-AP-SS 0.4-50Pr</v>
          </cell>
          <cell r="F1208" t="str">
            <v>ｍ</v>
          </cell>
          <cell r="G1208">
            <v>0</v>
          </cell>
          <cell r="H1208">
            <v>469</v>
          </cell>
          <cell r="I1208">
            <v>0</v>
          </cell>
          <cell r="J1208">
            <v>469</v>
          </cell>
          <cell r="K1208">
            <v>0</v>
          </cell>
          <cell r="L1208">
            <v>469</v>
          </cell>
          <cell r="M1208">
            <v>0</v>
          </cell>
          <cell r="N1208">
            <v>469</v>
          </cell>
          <cell r="O1208">
            <v>0</v>
          </cell>
          <cell r="P1208">
            <v>469</v>
          </cell>
          <cell r="Q1208">
            <v>0</v>
          </cell>
          <cell r="R1208">
            <v>469</v>
          </cell>
          <cell r="S1208">
            <v>0</v>
          </cell>
          <cell r="T1208">
            <v>469</v>
          </cell>
          <cell r="U1208">
            <v>0</v>
          </cell>
          <cell r="V1208">
            <v>469</v>
          </cell>
          <cell r="W1208">
            <v>0</v>
          </cell>
          <cell r="X1208">
            <v>469</v>
          </cell>
          <cell r="Y1208">
            <v>0</v>
          </cell>
          <cell r="Z1208">
            <v>469</v>
          </cell>
          <cell r="AA1208">
            <v>0</v>
          </cell>
          <cell r="AB1208">
            <v>0</v>
          </cell>
          <cell r="AC1208">
            <v>0</v>
          </cell>
          <cell r="AD1208">
            <v>3.9E-2</v>
          </cell>
          <cell r="AE1208">
            <v>0</v>
          </cell>
          <cell r="AF1208">
            <v>0</v>
          </cell>
          <cell r="AG1208">
            <v>0</v>
          </cell>
          <cell r="AH1208">
            <v>0</v>
          </cell>
          <cell r="AI1208">
            <v>0</v>
          </cell>
          <cell r="AJ1208">
            <v>0</v>
          </cell>
          <cell r="AK1208">
            <v>0</v>
          </cell>
          <cell r="AL1208">
            <v>0</v>
          </cell>
        </row>
        <row r="1209">
          <cell r="E1209" t="str">
            <v>CCP-AP-SS 0.4-100Pr</v>
          </cell>
          <cell r="F1209" t="str">
            <v>ｍ</v>
          </cell>
          <cell r="G1209">
            <v>0</v>
          </cell>
          <cell r="H1209">
            <v>739</v>
          </cell>
          <cell r="I1209">
            <v>0</v>
          </cell>
          <cell r="J1209">
            <v>739</v>
          </cell>
          <cell r="K1209">
            <v>0</v>
          </cell>
          <cell r="L1209">
            <v>739</v>
          </cell>
          <cell r="M1209">
            <v>0</v>
          </cell>
          <cell r="N1209">
            <v>739</v>
          </cell>
          <cell r="O1209">
            <v>0</v>
          </cell>
          <cell r="P1209">
            <v>739</v>
          </cell>
          <cell r="Q1209">
            <v>0</v>
          </cell>
          <cell r="R1209">
            <v>739</v>
          </cell>
          <cell r="S1209">
            <v>0</v>
          </cell>
          <cell r="T1209">
            <v>739</v>
          </cell>
          <cell r="U1209">
            <v>0</v>
          </cell>
          <cell r="V1209">
            <v>739</v>
          </cell>
          <cell r="W1209">
            <v>0</v>
          </cell>
          <cell r="X1209">
            <v>739</v>
          </cell>
          <cell r="Y1209">
            <v>0</v>
          </cell>
          <cell r="Z1209">
            <v>739</v>
          </cell>
          <cell r="AA1209">
            <v>0</v>
          </cell>
          <cell r="AB1209">
            <v>0</v>
          </cell>
          <cell r="AC1209">
            <v>0</v>
          </cell>
          <cell r="AD1209">
            <v>6.4000000000000001E-2</v>
          </cell>
          <cell r="AE1209">
            <v>0</v>
          </cell>
          <cell r="AF1209">
            <v>0</v>
          </cell>
          <cell r="AG1209">
            <v>0</v>
          </cell>
          <cell r="AH1209">
            <v>0</v>
          </cell>
          <cell r="AI1209">
            <v>0</v>
          </cell>
          <cell r="AJ1209">
            <v>0</v>
          </cell>
          <cell r="AK1209">
            <v>0</v>
          </cell>
          <cell r="AL1209">
            <v>0</v>
          </cell>
        </row>
        <row r="1210">
          <cell r="E1210" t="str">
            <v>CCP-AP-SS 0.4-200Pr</v>
          </cell>
          <cell r="F1210" t="str">
            <v>ｍ</v>
          </cell>
          <cell r="G1210">
            <v>0</v>
          </cell>
          <cell r="H1210">
            <v>1259</v>
          </cell>
          <cell r="I1210">
            <v>0</v>
          </cell>
          <cell r="J1210">
            <v>1259</v>
          </cell>
          <cell r="K1210">
            <v>0</v>
          </cell>
          <cell r="L1210">
            <v>1259</v>
          </cell>
          <cell r="M1210">
            <v>0</v>
          </cell>
          <cell r="N1210">
            <v>1259</v>
          </cell>
          <cell r="O1210">
            <v>0</v>
          </cell>
          <cell r="P1210">
            <v>1259</v>
          </cell>
          <cell r="Q1210">
            <v>0</v>
          </cell>
          <cell r="R1210">
            <v>1259</v>
          </cell>
          <cell r="S1210">
            <v>0</v>
          </cell>
          <cell r="T1210">
            <v>1259</v>
          </cell>
          <cell r="U1210">
            <v>0</v>
          </cell>
          <cell r="V1210">
            <v>1259</v>
          </cell>
          <cell r="W1210">
            <v>0</v>
          </cell>
          <cell r="X1210">
            <v>1259</v>
          </cell>
          <cell r="Y1210">
            <v>0</v>
          </cell>
          <cell r="Z1210">
            <v>1259</v>
          </cell>
          <cell r="AA1210">
            <v>0</v>
          </cell>
          <cell r="AB1210">
            <v>0</v>
          </cell>
          <cell r="AC1210">
            <v>0</v>
          </cell>
          <cell r="AD1210">
            <v>9.5000000000000001E-2</v>
          </cell>
          <cell r="AE1210">
            <v>0</v>
          </cell>
          <cell r="AF1210">
            <v>0</v>
          </cell>
          <cell r="AG1210">
            <v>0</v>
          </cell>
          <cell r="AH1210">
            <v>0</v>
          </cell>
          <cell r="AI1210">
            <v>0</v>
          </cell>
          <cell r="AJ1210">
            <v>0</v>
          </cell>
          <cell r="AK1210">
            <v>0</v>
          </cell>
          <cell r="AL1210">
            <v>0</v>
          </cell>
        </row>
        <row r="1211">
          <cell r="E1211" t="str">
            <v>CCP-AP-SS 0.5-30Pr</v>
          </cell>
          <cell r="F1211" t="str">
            <v>ｍ</v>
          </cell>
          <cell r="G1211">
            <v>0</v>
          </cell>
          <cell r="H1211">
            <v>433</v>
          </cell>
          <cell r="I1211">
            <v>0</v>
          </cell>
          <cell r="J1211">
            <v>433</v>
          </cell>
          <cell r="K1211">
            <v>0</v>
          </cell>
          <cell r="L1211">
            <v>433</v>
          </cell>
          <cell r="M1211">
            <v>0</v>
          </cell>
          <cell r="N1211">
            <v>433</v>
          </cell>
          <cell r="O1211">
            <v>0</v>
          </cell>
          <cell r="P1211">
            <v>433</v>
          </cell>
          <cell r="Q1211">
            <v>0</v>
          </cell>
          <cell r="R1211">
            <v>433</v>
          </cell>
          <cell r="S1211">
            <v>0</v>
          </cell>
          <cell r="T1211">
            <v>433</v>
          </cell>
          <cell r="U1211">
            <v>0</v>
          </cell>
          <cell r="V1211">
            <v>433</v>
          </cell>
          <cell r="W1211">
            <v>0</v>
          </cell>
          <cell r="X1211">
            <v>433</v>
          </cell>
          <cell r="Y1211">
            <v>0</v>
          </cell>
          <cell r="Z1211">
            <v>433</v>
          </cell>
          <cell r="AA1211">
            <v>0</v>
          </cell>
          <cell r="AB1211">
            <v>0</v>
          </cell>
          <cell r="AC1211">
            <v>0</v>
          </cell>
          <cell r="AD1211">
            <v>2.9000000000000001E-2</v>
          </cell>
          <cell r="AE1211">
            <v>0</v>
          </cell>
          <cell r="AF1211">
            <v>0</v>
          </cell>
          <cell r="AG1211">
            <v>0</v>
          </cell>
          <cell r="AH1211">
            <v>0</v>
          </cell>
          <cell r="AI1211">
            <v>0</v>
          </cell>
          <cell r="AJ1211">
            <v>0</v>
          </cell>
          <cell r="AK1211">
            <v>0</v>
          </cell>
          <cell r="AL1211">
            <v>0</v>
          </cell>
        </row>
        <row r="1212">
          <cell r="E1212" t="str">
            <v>CCP-AP-SS 0.5-50Pr</v>
          </cell>
          <cell r="F1212" t="str">
            <v>ｍ</v>
          </cell>
          <cell r="G1212">
            <v>0</v>
          </cell>
          <cell r="H1212">
            <v>567</v>
          </cell>
          <cell r="I1212">
            <v>0</v>
          </cell>
          <cell r="J1212">
            <v>567</v>
          </cell>
          <cell r="K1212">
            <v>0</v>
          </cell>
          <cell r="L1212">
            <v>567</v>
          </cell>
          <cell r="M1212">
            <v>0</v>
          </cell>
          <cell r="N1212">
            <v>567</v>
          </cell>
          <cell r="O1212">
            <v>0</v>
          </cell>
          <cell r="P1212">
            <v>567</v>
          </cell>
          <cell r="Q1212">
            <v>0</v>
          </cell>
          <cell r="R1212">
            <v>567</v>
          </cell>
          <cell r="S1212">
            <v>0</v>
          </cell>
          <cell r="T1212">
            <v>567</v>
          </cell>
          <cell r="U1212">
            <v>0</v>
          </cell>
          <cell r="V1212">
            <v>567</v>
          </cell>
          <cell r="W1212">
            <v>0</v>
          </cell>
          <cell r="X1212">
            <v>567</v>
          </cell>
          <cell r="Y1212">
            <v>0</v>
          </cell>
          <cell r="Z1212">
            <v>567</v>
          </cell>
          <cell r="AA1212">
            <v>0</v>
          </cell>
          <cell r="AB1212">
            <v>0</v>
          </cell>
          <cell r="AC1212">
            <v>0</v>
          </cell>
          <cell r="AD1212">
            <v>3.9E-2</v>
          </cell>
          <cell r="AE1212">
            <v>0</v>
          </cell>
          <cell r="AF1212">
            <v>0</v>
          </cell>
          <cell r="AG1212">
            <v>0</v>
          </cell>
          <cell r="AH1212">
            <v>0</v>
          </cell>
          <cell r="AI1212">
            <v>0</v>
          </cell>
          <cell r="AJ1212">
            <v>0</v>
          </cell>
          <cell r="AK1212">
            <v>0</v>
          </cell>
          <cell r="AL1212">
            <v>0</v>
          </cell>
        </row>
        <row r="1213">
          <cell r="E1213" t="str">
            <v>CCP-AP-SS 0.5-100Pr</v>
          </cell>
          <cell r="F1213" t="str">
            <v>ｍ</v>
          </cell>
          <cell r="G1213">
            <v>0</v>
          </cell>
          <cell r="H1213">
            <v>967</v>
          </cell>
          <cell r="I1213">
            <v>0</v>
          </cell>
          <cell r="J1213">
            <v>967</v>
          </cell>
          <cell r="K1213">
            <v>0</v>
          </cell>
          <cell r="L1213">
            <v>967</v>
          </cell>
          <cell r="M1213">
            <v>0</v>
          </cell>
          <cell r="N1213">
            <v>967</v>
          </cell>
          <cell r="O1213">
            <v>0</v>
          </cell>
          <cell r="P1213">
            <v>967</v>
          </cell>
          <cell r="Q1213">
            <v>0</v>
          </cell>
          <cell r="R1213">
            <v>967</v>
          </cell>
          <cell r="S1213">
            <v>0</v>
          </cell>
          <cell r="T1213">
            <v>967</v>
          </cell>
          <cell r="U1213">
            <v>0</v>
          </cell>
          <cell r="V1213">
            <v>967</v>
          </cell>
          <cell r="W1213">
            <v>0</v>
          </cell>
          <cell r="X1213">
            <v>967</v>
          </cell>
          <cell r="Y1213">
            <v>0</v>
          </cell>
          <cell r="Z1213">
            <v>967</v>
          </cell>
          <cell r="AA1213">
            <v>0</v>
          </cell>
          <cell r="AB1213">
            <v>0</v>
          </cell>
          <cell r="AC1213">
            <v>0</v>
          </cell>
          <cell r="AD1213">
            <v>6.4000000000000001E-2</v>
          </cell>
          <cell r="AE1213">
            <v>0</v>
          </cell>
          <cell r="AF1213">
            <v>0</v>
          </cell>
          <cell r="AG1213">
            <v>0</v>
          </cell>
          <cell r="AH1213">
            <v>0</v>
          </cell>
          <cell r="AI1213">
            <v>0</v>
          </cell>
          <cell r="AJ1213">
            <v>0</v>
          </cell>
          <cell r="AK1213">
            <v>0</v>
          </cell>
          <cell r="AL1213">
            <v>0</v>
          </cell>
        </row>
        <row r="1214">
          <cell r="E1214" t="str">
            <v>CCP-AP-SS 0.5-200Pr</v>
          </cell>
          <cell r="F1214" t="str">
            <v>ｍ</v>
          </cell>
          <cell r="G1214">
            <v>0</v>
          </cell>
          <cell r="H1214">
            <v>1673</v>
          </cell>
          <cell r="I1214">
            <v>0</v>
          </cell>
          <cell r="J1214">
            <v>1673</v>
          </cell>
          <cell r="K1214">
            <v>0</v>
          </cell>
          <cell r="L1214">
            <v>1673</v>
          </cell>
          <cell r="M1214">
            <v>0</v>
          </cell>
          <cell r="N1214">
            <v>1673</v>
          </cell>
          <cell r="O1214">
            <v>0</v>
          </cell>
          <cell r="P1214">
            <v>1673</v>
          </cell>
          <cell r="Q1214">
            <v>0</v>
          </cell>
          <cell r="R1214">
            <v>1673</v>
          </cell>
          <cell r="S1214">
            <v>0</v>
          </cell>
          <cell r="T1214">
            <v>1673</v>
          </cell>
          <cell r="U1214">
            <v>0</v>
          </cell>
          <cell r="V1214">
            <v>1673</v>
          </cell>
          <cell r="W1214">
            <v>0</v>
          </cell>
          <cell r="X1214">
            <v>1673</v>
          </cell>
          <cell r="Y1214">
            <v>0</v>
          </cell>
          <cell r="Z1214">
            <v>1673</v>
          </cell>
          <cell r="AA1214">
            <v>0</v>
          </cell>
          <cell r="AB1214">
            <v>0</v>
          </cell>
          <cell r="AC1214">
            <v>0</v>
          </cell>
          <cell r="AD1214">
            <v>9.5000000000000001E-2</v>
          </cell>
          <cell r="AE1214">
            <v>0</v>
          </cell>
          <cell r="AF1214">
            <v>0</v>
          </cell>
          <cell r="AG1214">
            <v>0</v>
          </cell>
          <cell r="AH1214">
            <v>0</v>
          </cell>
          <cell r="AI1214">
            <v>0</v>
          </cell>
          <cell r="AJ1214">
            <v>0</v>
          </cell>
          <cell r="AK1214">
            <v>0</v>
          </cell>
          <cell r="AL1214">
            <v>0</v>
          </cell>
        </row>
        <row r="1215">
          <cell r="E1215" t="str">
            <v>CCP-AP-SS 0.65-30Pr</v>
          </cell>
          <cell r="F1215" t="str">
            <v>ｍ</v>
          </cell>
          <cell r="G1215">
            <v>0</v>
          </cell>
          <cell r="H1215">
            <v>560</v>
          </cell>
          <cell r="I1215">
            <v>0</v>
          </cell>
          <cell r="J1215">
            <v>560</v>
          </cell>
          <cell r="K1215">
            <v>0</v>
          </cell>
          <cell r="L1215">
            <v>560</v>
          </cell>
          <cell r="M1215">
            <v>0</v>
          </cell>
          <cell r="N1215">
            <v>560</v>
          </cell>
          <cell r="O1215">
            <v>0</v>
          </cell>
          <cell r="P1215">
            <v>560</v>
          </cell>
          <cell r="Q1215">
            <v>0</v>
          </cell>
          <cell r="R1215">
            <v>560</v>
          </cell>
          <cell r="S1215">
            <v>0</v>
          </cell>
          <cell r="T1215">
            <v>560</v>
          </cell>
          <cell r="U1215">
            <v>0</v>
          </cell>
          <cell r="V1215">
            <v>560</v>
          </cell>
          <cell r="W1215">
            <v>0</v>
          </cell>
          <cell r="X1215">
            <v>560</v>
          </cell>
          <cell r="Y1215">
            <v>0</v>
          </cell>
          <cell r="Z1215">
            <v>560</v>
          </cell>
          <cell r="AA1215">
            <v>0</v>
          </cell>
          <cell r="AB1215">
            <v>0</v>
          </cell>
          <cell r="AC1215">
            <v>0</v>
          </cell>
          <cell r="AD1215">
            <v>2.9000000000000001E-2</v>
          </cell>
          <cell r="AE1215">
            <v>0</v>
          </cell>
          <cell r="AF1215">
            <v>0</v>
          </cell>
          <cell r="AG1215">
            <v>0</v>
          </cell>
          <cell r="AH1215">
            <v>0</v>
          </cell>
          <cell r="AI1215">
            <v>0</v>
          </cell>
          <cell r="AJ1215">
            <v>0</v>
          </cell>
          <cell r="AK1215">
            <v>0</v>
          </cell>
          <cell r="AL1215">
            <v>0</v>
          </cell>
        </row>
        <row r="1216">
          <cell r="E1216" t="str">
            <v>CCP-AP-SS 0.65-50Pr</v>
          </cell>
          <cell r="F1216" t="str">
            <v>ｍ</v>
          </cell>
          <cell r="G1216">
            <v>0</v>
          </cell>
          <cell r="H1216">
            <v>821</v>
          </cell>
          <cell r="I1216">
            <v>0</v>
          </cell>
          <cell r="J1216">
            <v>821</v>
          </cell>
          <cell r="K1216">
            <v>0</v>
          </cell>
          <cell r="L1216">
            <v>821</v>
          </cell>
          <cell r="M1216">
            <v>0</v>
          </cell>
          <cell r="N1216">
            <v>821</v>
          </cell>
          <cell r="O1216">
            <v>0</v>
          </cell>
          <cell r="P1216">
            <v>821</v>
          </cell>
          <cell r="Q1216">
            <v>0</v>
          </cell>
          <cell r="R1216">
            <v>821</v>
          </cell>
          <cell r="S1216">
            <v>0</v>
          </cell>
          <cell r="T1216">
            <v>821</v>
          </cell>
          <cell r="U1216">
            <v>0</v>
          </cell>
          <cell r="V1216">
            <v>821</v>
          </cell>
          <cell r="W1216">
            <v>0</v>
          </cell>
          <cell r="X1216">
            <v>821</v>
          </cell>
          <cell r="Y1216">
            <v>0</v>
          </cell>
          <cell r="Z1216">
            <v>821</v>
          </cell>
          <cell r="AA1216">
            <v>0</v>
          </cell>
          <cell r="AB1216">
            <v>0</v>
          </cell>
          <cell r="AC1216">
            <v>0</v>
          </cell>
          <cell r="AD1216">
            <v>3.9E-2</v>
          </cell>
          <cell r="AE1216">
            <v>0</v>
          </cell>
          <cell r="AF1216">
            <v>0</v>
          </cell>
          <cell r="AG1216">
            <v>0</v>
          </cell>
          <cell r="AH1216">
            <v>0</v>
          </cell>
          <cell r="AI1216">
            <v>0</v>
          </cell>
          <cell r="AJ1216">
            <v>0</v>
          </cell>
          <cell r="AK1216">
            <v>0</v>
          </cell>
          <cell r="AL1216">
            <v>0</v>
          </cell>
        </row>
        <row r="1217">
          <cell r="E1217" t="str">
            <v>CCP-AP-SS 0.65-100Pr</v>
          </cell>
          <cell r="F1217" t="str">
            <v>ｍ</v>
          </cell>
          <cell r="G1217">
            <v>0</v>
          </cell>
          <cell r="H1217">
            <v>1402</v>
          </cell>
          <cell r="I1217">
            <v>0</v>
          </cell>
          <cell r="J1217">
            <v>1402</v>
          </cell>
          <cell r="K1217">
            <v>0</v>
          </cell>
          <cell r="L1217">
            <v>1402</v>
          </cell>
          <cell r="M1217">
            <v>0</v>
          </cell>
          <cell r="N1217">
            <v>1402</v>
          </cell>
          <cell r="O1217">
            <v>0</v>
          </cell>
          <cell r="P1217">
            <v>1402</v>
          </cell>
          <cell r="Q1217">
            <v>0</v>
          </cell>
          <cell r="R1217">
            <v>1402</v>
          </cell>
          <cell r="S1217">
            <v>0</v>
          </cell>
          <cell r="T1217">
            <v>1402</v>
          </cell>
          <cell r="U1217">
            <v>0</v>
          </cell>
          <cell r="V1217">
            <v>1402</v>
          </cell>
          <cell r="W1217">
            <v>0</v>
          </cell>
          <cell r="X1217">
            <v>1402</v>
          </cell>
          <cell r="Y1217">
            <v>0</v>
          </cell>
          <cell r="Z1217">
            <v>1402</v>
          </cell>
          <cell r="AA1217">
            <v>0</v>
          </cell>
          <cell r="AB1217">
            <v>0</v>
          </cell>
          <cell r="AC1217">
            <v>0</v>
          </cell>
          <cell r="AD1217">
            <v>6.4000000000000001E-2</v>
          </cell>
          <cell r="AE1217">
            <v>0</v>
          </cell>
          <cell r="AF1217">
            <v>0</v>
          </cell>
          <cell r="AG1217">
            <v>0</v>
          </cell>
          <cell r="AH1217">
            <v>0</v>
          </cell>
          <cell r="AI1217">
            <v>0</v>
          </cell>
          <cell r="AJ1217">
            <v>0</v>
          </cell>
          <cell r="AK1217">
            <v>0</v>
          </cell>
          <cell r="AL1217">
            <v>0</v>
          </cell>
        </row>
        <row r="1218">
          <cell r="E1218" t="str">
            <v>CCP-AP-SS 0.9-30Pr</v>
          </cell>
          <cell r="F1218" t="str">
            <v>ｍ</v>
          </cell>
          <cell r="G1218">
            <v>0</v>
          </cell>
          <cell r="H1218">
            <v>891</v>
          </cell>
          <cell r="I1218">
            <v>0</v>
          </cell>
          <cell r="J1218">
            <v>891</v>
          </cell>
          <cell r="K1218">
            <v>0</v>
          </cell>
          <cell r="L1218">
            <v>891</v>
          </cell>
          <cell r="M1218">
            <v>0</v>
          </cell>
          <cell r="N1218">
            <v>891</v>
          </cell>
          <cell r="O1218">
            <v>0</v>
          </cell>
          <cell r="P1218">
            <v>891</v>
          </cell>
          <cell r="Q1218">
            <v>0</v>
          </cell>
          <cell r="R1218">
            <v>891</v>
          </cell>
          <cell r="S1218">
            <v>0</v>
          </cell>
          <cell r="T1218">
            <v>891</v>
          </cell>
          <cell r="U1218">
            <v>0</v>
          </cell>
          <cell r="V1218">
            <v>891</v>
          </cell>
          <cell r="W1218">
            <v>0</v>
          </cell>
          <cell r="X1218">
            <v>891</v>
          </cell>
          <cell r="Y1218">
            <v>0</v>
          </cell>
          <cell r="Z1218">
            <v>891</v>
          </cell>
          <cell r="AA1218">
            <v>0</v>
          </cell>
          <cell r="AB1218">
            <v>0</v>
          </cell>
          <cell r="AC1218">
            <v>0</v>
          </cell>
          <cell r="AD1218">
            <v>3.6999999999999998E-2</v>
          </cell>
          <cell r="AE1218">
            <v>0</v>
          </cell>
          <cell r="AF1218">
            <v>0</v>
          </cell>
          <cell r="AG1218">
            <v>0</v>
          </cell>
          <cell r="AH1218">
            <v>0</v>
          </cell>
          <cell r="AI1218">
            <v>0</v>
          </cell>
          <cell r="AJ1218">
            <v>0</v>
          </cell>
          <cell r="AK1218">
            <v>0</v>
          </cell>
          <cell r="AL1218">
            <v>0</v>
          </cell>
        </row>
        <row r="1219">
          <cell r="E1219" t="str">
            <v>CCP-AP-SS 0.9-50Pr</v>
          </cell>
          <cell r="F1219" t="str">
            <v>ｍ</v>
          </cell>
          <cell r="G1219">
            <v>0</v>
          </cell>
          <cell r="H1219">
            <v>1317</v>
          </cell>
          <cell r="I1219">
            <v>0</v>
          </cell>
          <cell r="J1219">
            <v>1317</v>
          </cell>
          <cell r="K1219">
            <v>0</v>
          </cell>
          <cell r="L1219">
            <v>1317</v>
          </cell>
          <cell r="M1219">
            <v>0</v>
          </cell>
          <cell r="N1219">
            <v>1317</v>
          </cell>
          <cell r="O1219">
            <v>0</v>
          </cell>
          <cell r="P1219">
            <v>1317</v>
          </cell>
          <cell r="Q1219">
            <v>0</v>
          </cell>
          <cell r="R1219">
            <v>1317</v>
          </cell>
          <cell r="S1219">
            <v>0</v>
          </cell>
          <cell r="T1219">
            <v>1317</v>
          </cell>
          <cell r="U1219">
            <v>0</v>
          </cell>
          <cell r="V1219">
            <v>1317</v>
          </cell>
          <cell r="W1219">
            <v>0</v>
          </cell>
          <cell r="X1219">
            <v>1317</v>
          </cell>
          <cell r="Y1219">
            <v>0</v>
          </cell>
          <cell r="Z1219">
            <v>1317</v>
          </cell>
          <cell r="AA1219">
            <v>0</v>
          </cell>
          <cell r="AB1219">
            <v>0</v>
          </cell>
          <cell r="AC1219">
            <v>0</v>
          </cell>
          <cell r="AD1219">
            <v>0.05</v>
          </cell>
          <cell r="AE1219">
            <v>0</v>
          </cell>
          <cell r="AF1219">
            <v>0</v>
          </cell>
          <cell r="AG1219">
            <v>0</v>
          </cell>
          <cell r="AH1219">
            <v>0</v>
          </cell>
          <cell r="AI1219">
            <v>0</v>
          </cell>
          <cell r="AJ1219">
            <v>0</v>
          </cell>
          <cell r="AK1219">
            <v>0</v>
          </cell>
          <cell r="AL1219">
            <v>0</v>
          </cell>
        </row>
        <row r="1220">
          <cell r="E1220" t="str">
            <v>FCPEV 0.65-1Pr</v>
          </cell>
          <cell r="F1220" t="str">
            <v>ｍ</v>
          </cell>
          <cell r="G1220">
            <v>0</v>
          </cell>
          <cell r="H1220">
            <v>44</v>
          </cell>
          <cell r="I1220">
            <v>0</v>
          </cell>
          <cell r="J1220">
            <v>44</v>
          </cell>
          <cell r="K1220">
            <v>0</v>
          </cell>
          <cell r="L1220">
            <v>44</v>
          </cell>
          <cell r="M1220">
            <v>0</v>
          </cell>
          <cell r="N1220">
            <v>44</v>
          </cell>
          <cell r="O1220">
            <v>0</v>
          </cell>
          <cell r="P1220">
            <v>44</v>
          </cell>
          <cell r="Q1220">
            <v>0</v>
          </cell>
          <cell r="R1220">
            <v>44</v>
          </cell>
          <cell r="S1220">
            <v>0</v>
          </cell>
          <cell r="T1220">
            <v>44</v>
          </cell>
          <cell r="U1220">
            <v>0</v>
          </cell>
          <cell r="V1220">
            <v>44</v>
          </cell>
          <cell r="W1220">
            <v>0</v>
          </cell>
          <cell r="X1220">
            <v>44</v>
          </cell>
          <cell r="Y1220">
            <v>0</v>
          </cell>
          <cell r="Z1220">
            <v>44</v>
          </cell>
          <cell r="AA1220">
            <v>0</v>
          </cell>
          <cell r="AB1220">
            <v>0</v>
          </cell>
          <cell r="AC1220">
            <v>0</v>
          </cell>
          <cell r="AD1220">
            <v>1.2999999999999999E-2</v>
          </cell>
          <cell r="AE1220">
            <v>0</v>
          </cell>
          <cell r="AF1220">
            <v>0</v>
          </cell>
          <cell r="AG1220">
            <v>0</v>
          </cell>
          <cell r="AH1220">
            <v>0</v>
          </cell>
          <cell r="AI1220">
            <v>0</v>
          </cell>
          <cell r="AJ1220">
            <v>0</v>
          </cell>
          <cell r="AK1220">
            <v>0</v>
          </cell>
          <cell r="AL1220">
            <v>0</v>
          </cell>
        </row>
        <row r="1221">
          <cell r="E1221" t="str">
            <v>FCPEV 0.65-2Pr</v>
          </cell>
          <cell r="F1221" t="str">
            <v>ｍ</v>
          </cell>
          <cell r="G1221">
            <v>0</v>
          </cell>
          <cell r="H1221">
            <v>60.5</v>
          </cell>
          <cell r="I1221">
            <v>0</v>
          </cell>
          <cell r="J1221">
            <v>60.5</v>
          </cell>
          <cell r="K1221">
            <v>0</v>
          </cell>
          <cell r="L1221">
            <v>60.5</v>
          </cell>
          <cell r="M1221">
            <v>0</v>
          </cell>
          <cell r="N1221">
            <v>60.5</v>
          </cell>
          <cell r="O1221">
            <v>0</v>
          </cell>
          <cell r="P1221">
            <v>60.5</v>
          </cell>
          <cell r="Q1221">
            <v>0</v>
          </cell>
          <cell r="R1221">
            <v>60.5</v>
          </cell>
          <cell r="S1221">
            <v>0</v>
          </cell>
          <cell r="T1221">
            <v>60.5</v>
          </cell>
          <cell r="U1221">
            <v>0</v>
          </cell>
          <cell r="V1221">
            <v>60.5</v>
          </cell>
          <cell r="W1221">
            <v>0</v>
          </cell>
          <cell r="X1221">
            <v>60.5</v>
          </cell>
          <cell r="Y1221">
            <v>0</v>
          </cell>
          <cell r="Z1221">
            <v>60.5</v>
          </cell>
          <cell r="AA1221">
            <v>0</v>
          </cell>
          <cell r="AB1221">
            <v>0</v>
          </cell>
          <cell r="AC1221">
            <v>0</v>
          </cell>
          <cell r="AD1221">
            <v>1.4E-2</v>
          </cell>
          <cell r="AE1221">
            <v>0</v>
          </cell>
          <cell r="AF1221">
            <v>0</v>
          </cell>
          <cell r="AG1221">
            <v>0</v>
          </cell>
          <cell r="AH1221">
            <v>0</v>
          </cell>
          <cell r="AI1221">
            <v>0</v>
          </cell>
          <cell r="AJ1221">
            <v>0</v>
          </cell>
          <cell r="AK1221">
            <v>0</v>
          </cell>
          <cell r="AL1221">
            <v>0</v>
          </cell>
        </row>
        <row r="1222">
          <cell r="E1222" t="str">
            <v>FCPEV 0.65-3Pr</v>
          </cell>
          <cell r="F1222" t="str">
            <v>ｍ</v>
          </cell>
          <cell r="G1222">
            <v>0</v>
          </cell>
          <cell r="H1222">
            <v>72.599999999999994</v>
          </cell>
          <cell r="I1222">
            <v>0</v>
          </cell>
          <cell r="J1222">
            <v>72.599999999999994</v>
          </cell>
          <cell r="K1222">
            <v>0</v>
          </cell>
          <cell r="L1222">
            <v>72.599999999999994</v>
          </cell>
          <cell r="M1222">
            <v>0</v>
          </cell>
          <cell r="N1222">
            <v>72.599999999999994</v>
          </cell>
          <cell r="O1222">
            <v>0</v>
          </cell>
          <cell r="P1222">
            <v>72.599999999999994</v>
          </cell>
          <cell r="Q1222">
            <v>0</v>
          </cell>
          <cell r="R1222">
            <v>72.599999999999994</v>
          </cell>
          <cell r="S1222">
            <v>0</v>
          </cell>
          <cell r="T1222">
            <v>72.599999999999994</v>
          </cell>
          <cell r="U1222">
            <v>0</v>
          </cell>
          <cell r="V1222">
            <v>72.599999999999994</v>
          </cell>
          <cell r="W1222">
            <v>0</v>
          </cell>
          <cell r="X1222">
            <v>72.599999999999994</v>
          </cell>
          <cell r="Y1222">
            <v>0</v>
          </cell>
          <cell r="Z1222">
            <v>72.599999999999994</v>
          </cell>
          <cell r="AA1222">
            <v>0</v>
          </cell>
          <cell r="AB1222">
            <v>0</v>
          </cell>
          <cell r="AC1222">
            <v>0</v>
          </cell>
          <cell r="AD1222">
            <v>1.4999999999999999E-2</v>
          </cell>
          <cell r="AE1222">
            <v>0</v>
          </cell>
          <cell r="AF1222">
            <v>0</v>
          </cell>
          <cell r="AG1222">
            <v>0</v>
          </cell>
          <cell r="AH1222">
            <v>0</v>
          </cell>
          <cell r="AI1222">
            <v>0</v>
          </cell>
          <cell r="AJ1222">
            <v>0</v>
          </cell>
          <cell r="AK1222">
            <v>0</v>
          </cell>
          <cell r="AL1222">
            <v>0</v>
          </cell>
        </row>
        <row r="1223">
          <cell r="E1223" t="str">
            <v>FCPEV 0.65-5Pr</v>
          </cell>
          <cell r="F1223" t="str">
            <v>ｍ</v>
          </cell>
          <cell r="G1223">
            <v>0</v>
          </cell>
          <cell r="H1223">
            <v>105</v>
          </cell>
          <cell r="I1223">
            <v>0</v>
          </cell>
          <cell r="J1223">
            <v>105</v>
          </cell>
          <cell r="K1223">
            <v>0</v>
          </cell>
          <cell r="L1223">
            <v>105</v>
          </cell>
          <cell r="M1223">
            <v>0</v>
          </cell>
          <cell r="N1223">
            <v>105</v>
          </cell>
          <cell r="O1223">
            <v>0</v>
          </cell>
          <cell r="P1223">
            <v>105</v>
          </cell>
          <cell r="Q1223">
            <v>0</v>
          </cell>
          <cell r="R1223">
            <v>105</v>
          </cell>
          <cell r="S1223">
            <v>0</v>
          </cell>
          <cell r="T1223">
            <v>105</v>
          </cell>
          <cell r="U1223">
            <v>0</v>
          </cell>
          <cell r="V1223">
            <v>105</v>
          </cell>
          <cell r="W1223">
            <v>0</v>
          </cell>
          <cell r="X1223">
            <v>105</v>
          </cell>
          <cell r="Y1223">
            <v>0</v>
          </cell>
          <cell r="Z1223">
            <v>105</v>
          </cell>
          <cell r="AA1223">
            <v>0</v>
          </cell>
          <cell r="AB1223">
            <v>0</v>
          </cell>
          <cell r="AC1223">
            <v>0</v>
          </cell>
          <cell r="AD1223">
            <v>1.7000000000000001E-2</v>
          </cell>
          <cell r="AE1223">
            <v>0</v>
          </cell>
          <cell r="AF1223">
            <v>0</v>
          </cell>
          <cell r="AG1223">
            <v>0</v>
          </cell>
          <cell r="AH1223">
            <v>0</v>
          </cell>
          <cell r="AI1223">
            <v>0</v>
          </cell>
          <cell r="AJ1223">
            <v>0</v>
          </cell>
          <cell r="AK1223">
            <v>0</v>
          </cell>
          <cell r="AL1223">
            <v>0</v>
          </cell>
        </row>
        <row r="1224">
          <cell r="E1224" t="str">
            <v>FCPEV 0.65-7Pr</v>
          </cell>
          <cell r="F1224" t="str">
            <v>ｍ</v>
          </cell>
          <cell r="G1224">
            <v>0</v>
          </cell>
          <cell r="H1224">
            <v>132</v>
          </cell>
          <cell r="I1224">
            <v>0</v>
          </cell>
          <cell r="J1224">
            <v>132</v>
          </cell>
          <cell r="K1224">
            <v>0</v>
          </cell>
          <cell r="L1224">
            <v>132</v>
          </cell>
          <cell r="M1224">
            <v>0</v>
          </cell>
          <cell r="N1224">
            <v>132</v>
          </cell>
          <cell r="O1224">
            <v>0</v>
          </cell>
          <cell r="P1224">
            <v>132</v>
          </cell>
          <cell r="Q1224">
            <v>0</v>
          </cell>
          <cell r="R1224">
            <v>132</v>
          </cell>
          <cell r="S1224">
            <v>0</v>
          </cell>
          <cell r="T1224">
            <v>132</v>
          </cell>
          <cell r="U1224">
            <v>0</v>
          </cell>
          <cell r="V1224">
            <v>132</v>
          </cell>
          <cell r="W1224">
            <v>0</v>
          </cell>
          <cell r="X1224">
            <v>132</v>
          </cell>
          <cell r="Y1224">
            <v>0</v>
          </cell>
          <cell r="Z1224">
            <v>132</v>
          </cell>
          <cell r="AA1224">
            <v>0</v>
          </cell>
          <cell r="AB1224">
            <v>0</v>
          </cell>
          <cell r="AC1224">
            <v>0</v>
          </cell>
          <cell r="AD1224">
            <v>1.7999999999999999E-2</v>
          </cell>
          <cell r="AE1224">
            <v>0</v>
          </cell>
          <cell r="AF1224">
            <v>0</v>
          </cell>
          <cell r="AG1224">
            <v>0</v>
          </cell>
          <cell r="AH1224">
            <v>0</v>
          </cell>
          <cell r="AI1224">
            <v>0</v>
          </cell>
          <cell r="AJ1224">
            <v>0</v>
          </cell>
          <cell r="AK1224">
            <v>0</v>
          </cell>
          <cell r="AL1224">
            <v>0</v>
          </cell>
        </row>
        <row r="1225">
          <cell r="E1225" t="str">
            <v>FCPEV 0.65- 10Pr</v>
          </cell>
          <cell r="F1225" t="str">
            <v>ｍ</v>
          </cell>
          <cell r="G1225">
            <v>0</v>
          </cell>
          <cell r="H1225">
            <v>180</v>
          </cell>
          <cell r="I1225">
            <v>0</v>
          </cell>
          <cell r="J1225">
            <v>180</v>
          </cell>
          <cell r="K1225">
            <v>0</v>
          </cell>
          <cell r="L1225">
            <v>180</v>
          </cell>
          <cell r="M1225">
            <v>0</v>
          </cell>
          <cell r="N1225">
            <v>180</v>
          </cell>
          <cell r="O1225">
            <v>0</v>
          </cell>
          <cell r="P1225">
            <v>180</v>
          </cell>
          <cell r="Q1225">
            <v>0</v>
          </cell>
          <cell r="R1225">
            <v>180</v>
          </cell>
          <cell r="S1225">
            <v>0</v>
          </cell>
          <cell r="T1225">
            <v>180</v>
          </cell>
          <cell r="U1225">
            <v>0</v>
          </cell>
          <cell r="V1225">
            <v>180</v>
          </cell>
          <cell r="W1225">
            <v>0</v>
          </cell>
          <cell r="X1225">
            <v>180</v>
          </cell>
          <cell r="Y1225">
            <v>0</v>
          </cell>
          <cell r="Z1225">
            <v>180</v>
          </cell>
          <cell r="AA1225">
            <v>0</v>
          </cell>
          <cell r="AB1225">
            <v>0</v>
          </cell>
          <cell r="AC1225">
            <v>0</v>
          </cell>
          <cell r="AD1225">
            <v>0.02</v>
          </cell>
          <cell r="AE1225">
            <v>0</v>
          </cell>
          <cell r="AF1225">
            <v>0</v>
          </cell>
          <cell r="AG1225">
            <v>0</v>
          </cell>
          <cell r="AH1225">
            <v>0</v>
          </cell>
          <cell r="AI1225">
            <v>0</v>
          </cell>
          <cell r="AJ1225">
            <v>0</v>
          </cell>
          <cell r="AK1225">
            <v>0</v>
          </cell>
          <cell r="AL1225">
            <v>0</v>
          </cell>
        </row>
        <row r="1226">
          <cell r="E1226" t="str">
            <v>FCPEV 0.65- 15Pr</v>
          </cell>
          <cell r="F1226" t="str">
            <v>ｍ</v>
          </cell>
          <cell r="G1226">
            <v>0</v>
          </cell>
          <cell r="H1226">
            <v>228</v>
          </cell>
          <cell r="I1226">
            <v>0</v>
          </cell>
          <cell r="J1226">
            <v>228</v>
          </cell>
          <cell r="K1226">
            <v>0</v>
          </cell>
          <cell r="L1226">
            <v>228</v>
          </cell>
          <cell r="M1226">
            <v>0</v>
          </cell>
          <cell r="N1226">
            <v>228</v>
          </cell>
          <cell r="O1226">
            <v>0</v>
          </cell>
          <cell r="P1226">
            <v>228</v>
          </cell>
          <cell r="Q1226">
            <v>0</v>
          </cell>
          <cell r="R1226">
            <v>228</v>
          </cell>
          <cell r="S1226">
            <v>0</v>
          </cell>
          <cell r="T1226">
            <v>228</v>
          </cell>
          <cell r="U1226">
            <v>0</v>
          </cell>
          <cell r="V1226">
            <v>228</v>
          </cell>
          <cell r="W1226">
            <v>0</v>
          </cell>
          <cell r="X1226">
            <v>228</v>
          </cell>
          <cell r="Y1226">
            <v>0</v>
          </cell>
          <cell r="Z1226">
            <v>228</v>
          </cell>
          <cell r="AA1226">
            <v>0</v>
          </cell>
          <cell r="AB1226">
            <v>0</v>
          </cell>
          <cell r="AC1226">
            <v>0</v>
          </cell>
          <cell r="AD1226">
            <v>2.1999999999999999E-2</v>
          </cell>
          <cell r="AE1226">
            <v>0</v>
          </cell>
          <cell r="AF1226">
            <v>0</v>
          </cell>
          <cell r="AG1226">
            <v>0</v>
          </cell>
          <cell r="AH1226">
            <v>0</v>
          </cell>
          <cell r="AI1226">
            <v>0</v>
          </cell>
          <cell r="AJ1226">
            <v>0</v>
          </cell>
          <cell r="AK1226">
            <v>0</v>
          </cell>
          <cell r="AL1226">
            <v>0</v>
          </cell>
        </row>
        <row r="1227">
          <cell r="E1227" t="str">
            <v>FCPEV 0.65- 20Pr</v>
          </cell>
          <cell r="F1227" t="str">
            <v>ｍ</v>
          </cell>
          <cell r="G1227">
            <v>0</v>
          </cell>
          <cell r="H1227">
            <v>279</v>
          </cell>
          <cell r="I1227">
            <v>0</v>
          </cell>
          <cell r="J1227">
            <v>279</v>
          </cell>
          <cell r="K1227">
            <v>0</v>
          </cell>
          <cell r="L1227">
            <v>279</v>
          </cell>
          <cell r="M1227">
            <v>0</v>
          </cell>
          <cell r="N1227">
            <v>279</v>
          </cell>
          <cell r="O1227">
            <v>0</v>
          </cell>
          <cell r="P1227">
            <v>279</v>
          </cell>
          <cell r="Q1227">
            <v>0</v>
          </cell>
          <cell r="R1227">
            <v>279</v>
          </cell>
          <cell r="S1227">
            <v>0</v>
          </cell>
          <cell r="T1227">
            <v>279</v>
          </cell>
          <cell r="U1227">
            <v>0</v>
          </cell>
          <cell r="V1227">
            <v>279</v>
          </cell>
          <cell r="W1227">
            <v>0</v>
          </cell>
          <cell r="X1227">
            <v>279</v>
          </cell>
          <cell r="Y1227">
            <v>0</v>
          </cell>
          <cell r="Z1227">
            <v>279</v>
          </cell>
          <cell r="AA1227">
            <v>0</v>
          </cell>
          <cell r="AB1227">
            <v>0</v>
          </cell>
          <cell r="AC1227">
            <v>0</v>
          </cell>
          <cell r="AD1227">
            <v>2.4E-2</v>
          </cell>
          <cell r="AE1227">
            <v>0</v>
          </cell>
          <cell r="AF1227">
            <v>0</v>
          </cell>
          <cell r="AG1227">
            <v>0</v>
          </cell>
          <cell r="AH1227">
            <v>0</v>
          </cell>
          <cell r="AI1227">
            <v>0</v>
          </cell>
          <cell r="AJ1227">
            <v>0</v>
          </cell>
          <cell r="AK1227">
            <v>0</v>
          </cell>
          <cell r="AL1227">
            <v>0</v>
          </cell>
        </row>
        <row r="1228">
          <cell r="E1228" t="str">
            <v>FCPEV 0.65- 30Pr</v>
          </cell>
          <cell r="F1228" t="str">
            <v>ｍ</v>
          </cell>
          <cell r="G1228">
            <v>0</v>
          </cell>
          <cell r="H1228">
            <v>382</v>
          </cell>
          <cell r="I1228">
            <v>0</v>
          </cell>
          <cell r="J1228">
            <v>382</v>
          </cell>
          <cell r="K1228">
            <v>0</v>
          </cell>
          <cell r="L1228">
            <v>382</v>
          </cell>
          <cell r="M1228">
            <v>0</v>
          </cell>
          <cell r="N1228">
            <v>382</v>
          </cell>
          <cell r="O1228">
            <v>0</v>
          </cell>
          <cell r="P1228">
            <v>382</v>
          </cell>
          <cell r="Q1228">
            <v>0</v>
          </cell>
          <cell r="R1228">
            <v>382</v>
          </cell>
          <cell r="S1228">
            <v>0</v>
          </cell>
          <cell r="T1228">
            <v>382</v>
          </cell>
          <cell r="U1228">
            <v>0</v>
          </cell>
          <cell r="V1228">
            <v>382</v>
          </cell>
          <cell r="W1228">
            <v>0</v>
          </cell>
          <cell r="X1228">
            <v>382</v>
          </cell>
          <cell r="Y1228">
            <v>0</v>
          </cell>
          <cell r="Z1228">
            <v>382</v>
          </cell>
          <cell r="AA1228">
            <v>0</v>
          </cell>
          <cell r="AB1228">
            <v>0</v>
          </cell>
          <cell r="AC1228">
            <v>0</v>
          </cell>
          <cell r="AD1228">
            <v>2.9000000000000001E-2</v>
          </cell>
          <cell r="AE1228">
            <v>0</v>
          </cell>
          <cell r="AF1228">
            <v>0</v>
          </cell>
          <cell r="AG1228">
            <v>0</v>
          </cell>
          <cell r="AH1228">
            <v>0</v>
          </cell>
          <cell r="AI1228">
            <v>0</v>
          </cell>
          <cell r="AJ1228">
            <v>0</v>
          </cell>
          <cell r="AK1228">
            <v>0</v>
          </cell>
          <cell r="AL1228">
            <v>0</v>
          </cell>
        </row>
        <row r="1229">
          <cell r="E1229" t="str">
            <v>FCPEV 0.65- 50Pr</v>
          </cell>
          <cell r="F1229" t="str">
            <v>ｍ</v>
          </cell>
          <cell r="G1229">
            <v>0</v>
          </cell>
          <cell r="H1229">
            <v>620</v>
          </cell>
          <cell r="I1229">
            <v>0</v>
          </cell>
          <cell r="J1229">
            <v>620</v>
          </cell>
          <cell r="K1229">
            <v>0</v>
          </cell>
          <cell r="L1229">
            <v>620</v>
          </cell>
          <cell r="M1229">
            <v>0</v>
          </cell>
          <cell r="N1229">
            <v>620</v>
          </cell>
          <cell r="O1229">
            <v>0</v>
          </cell>
          <cell r="P1229">
            <v>620</v>
          </cell>
          <cell r="Q1229">
            <v>0</v>
          </cell>
          <cell r="R1229">
            <v>620</v>
          </cell>
          <cell r="S1229">
            <v>0</v>
          </cell>
          <cell r="T1229">
            <v>620</v>
          </cell>
          <cell r="U1229">
            <v>0</v>
          </cell>
          <cell r="V1229">
            <v>620</v>
          </cell>
          <cell r="W1229">
            <v>0</v>
          </cell>
          <cell r="X1229">
            <v>620</v>
          </cell>
          <cell r="Y1229">
            <v>0</v>
          </cell>
          <cell r="Z1229">
            <v>620</v>
          </cell>
          <cell r="AA1229">
            <v>0</v>
          </cell>
          <cell r="AB1229">
            <v>0</v>
          </cell>
          <cell r="AC1229">
            <v>0</v>
          </cell>
          <cell r="AD1229">
            <v>3.9E-2</v>
          </cell>
          <cell r="AE1229">
            <v>0</v>
          </cell>
          <cell r="AF1229">
            <v>0</v>
          </cell>
          <cell r="AG1229">
            <v>0</v>
          </cell>
          <cell r="AH1229">
            <v>0</v>
          </cell>
          <cell r="AI1229">
            <v>0</v>
          </cell>
          <cell r="AJ1229">
            <v>0</v>
          </cell>
          <cell r="AK1229">
            <v>0</v>
          </cell>
          <cell r="AL1229">
            <v>0</v>
          </cell>
        </row>
        <row r="1230">
          <cell r="E1230" t="str">
            <v>FCPEV 0.65- 70Pr</v>
          </cell>
          <cell r="F1230" t="str">
            <v>ｍ</v>
          </cell>
          <cell r="G1230">
            <v>0</v>
          </cell>
          <cell r="H1230">
            <v>827</v>
          </cell>
          <cell r="I1230">
            <v>0</v>
          </cell>
          <cell r="J1230">
            <v>827</v>
          </cell>
          <cell r="K1230">
            <v>0</v>
          </cell>
          <cell r="L1230">
            <v>827</v>
          </cell>
          <cell r="M1230">
            <v>0</v>
          </cell>
          <cell r="N1230">
            <v>827</v>
          </cell>
          <cell r="O1230">
            <v>0</v>
          </cell>
          <cell r="P1230">
            <v>827</v>
          </cell>
          <cell r="Q1230">
            <v>0</v>
          </cell>
          <cell r="R1230">
            <v>827</v>
          </cell>
          <cell r="S1230">
            <v>0</v>
          </cell>
          <cell r="T1230">
            <v>827</v>
          </cell>
          <cell r="U1230">
            <v>0</v>
          </cell>
          <cell r="V1230">
            <v>827</v>
          </cell>
          <cell r="W1230">
            <v>0</v>
          </cell>
          <cell r="X1230">
            <v>827</v>
          </cell>
          <cell r="Y1230">
            <v>0</v>
          </cell>
          <cell r="Z1230">
            <v>827</v>
          </cell>
          <cell r="AA1230">
            <v>0</v>
          </cell>
          <cell r="AB1230">
            <v>0</v>
          </cell>
          <cell r="AC1230">
            <v>0</v>
          </cell>
          <cell r="AD1230">
            <v>5.0999999999999997E-2</v>
          </cell>
          <cell r="AE1230">
            <v>0</v>
          </cell>
          <cell r="AF1230">
            <v>0</v>
          </cell>
          <cell r="AG1230">
            <v>0</v>
          </cell>
          <cell r="AH1230">
            <v>0</v>
          </cell>
          <cell r="AI1230">
            <v>0</v>
          </cell>
          <cell r="AJ1230">
            <v>0</v>
          </cell>
          <cell r="AK1230">
            <v>0</v>
          </cell>
          <cell r="AL1230">
            <v>0</v>
          </cell>
        </row>
        <row r="1231">
          <cell r="E1231" t="str">
            <v>FCPEV 0.65-100Pr</v>
          </cell>
          <cell r="F1231" t="str">
            <v>ｍ</v>
          </cell>
          <cell r="G1231">
            <v>0</v>
          </cell>
          <cell r="H1231">
            <v>1166</v>
          </cell>
          <cell r="I1231">
            <v>0</v>
          </cell>
          <cell r="J1231">
            <v>1166</v>
          </cell>
          <cell r="K1231">
            <v>0</v>
          </cell>
          <cell r="L1231">
            <v>1166</v>
          </cell>
          <cell r="M1231">
            <v>0</v>
          </cell>
          <cell r="N1231">
            <v>1166</v>
          </cell>
          <cell r="O1231">
            <v>0</v>
          </cell>
          <cell r="P1231">
            <v>1166</v>
          </cell>
          <cell r="Q1231">
            <v>0</v>
          </cell>
          <cell r="R1231">
            <v>1166</v>
          </cell>
          <cell r="S1231">
            <v>0</v>
          </cell>
          <cell r="T1231">
            <v>1166</v>
          </cell>
          <cell r="U1231">
            <v>0</v>
          </cell>
          <cell r="V1231">
            <v>1166</v>
          </cell>
          <cell r="W1231">
            <v>0</v>
          </cell>
          <cell r="X1231">
            <v>1166</v>
          </cell>
          <cell r="Y1231">
            <v>0</v>
          </cell>
          <cell r="Z1231">
            <v>1166</v>
          </cell>
          <cell r="AA1231">
            <v>0</v>
          </cell>
          <cell r="AB1231">
            <v>0</v>
          </cell>
          <cell r="AC1231">
            <v>0</v>
          </cell>
          <cell r="AD1231">
            <v>6.4000000000000001E-2</v>
          </cell>
          <cell r="AE1231">
            <v>0</v>
          </cell>
          <cell r="AF1231">
            <v>0</v>
          </cell>
          <cell r="AG1231">
            <v>0</v>
          </cell>
          <cell r="AH1231">
            <v>0</v>
          </cell>
          <cell r="AI1231">
            <v>0</v>
          </cell>
          <cell r="AJ1231">
            <v>0</v>
          </cell>
          <cell r="AK1231">
            <v>0</v>
          </cell>
          <cell r="AL1231">
            <v>0</v>
          </cell>
        </row>
        <row r="1232">
          <cell r="E1232" t="str">
            <v>FCPEV 0.65-150Pr</v>
          </cell>
          <cell r="F1232" t="str">
            <v>ｍ</v>
          </cell>
          <cell r="G1232">
            <v>0</v>
          </cell>
          <cell r="H1232">
            <v>1730</v>
          </cell>
          <cell r="I1232">
            <v>0</v>
          </cell>
          <cell r="J1232">
            <v>1730</v>
          </cell>
          <cell r="K1232">
            <v>0</v>
          </cell>
          <cell r="L1232">
            <v>1730</v>
          </cell>
          <cell r="M1232">
            <v>0</v>
          </cell>
          <cell r="N1232">
            <v>1730</v>
          </cell>
          <cell r="O1232">
            <v>0</v>
          </cell>
          <cell r="P1232">
            <v>1730</v>
          </cell>
          <cell r="Q1232">
            <v>0</v>
          </cell>
          <cell r="R1232">
            <v>1730</v>
          </cell>
          <cell r="S1232">
            <v>0</v>
          </cell>
          <cell r="T1232">
            <v>1730</v>
          </cell>
          <cell r="U1232">
            <v>0</v>
          </cell>
          <cell r="V1232">
            <v>1730</v>
          </cell>
          <cell r="W1232">
            <v>0</v>
          </cell>
          <cell r="X1232">
            <v>1730</v>
          </cell>
          <cell r="Y1232">
            <v>0</v>
          </cell>
          <cell r="Z1232">
            <v>1730</v>
          </cell>
          <cell r="AA1232">
            <v>0</v>
          </cell>
          <cell r="AB1232">
            <v>0</v>
          </cell>
          <cell r="AC1232">
            <v>0</v>
          </cell>
          <cell r="AD1232">
            <v>8.3000000000000004E-2</v>
          </cell>
          <cell r="AE1232">
            <v>0</v>
          </cell>
          <cell r="AF1232">
            <v>0</v>
          </cell>
          <cell r="AG1232">
            <v>0</v>
          </cell>
          <cell r="AH1232">
            <v>0</v>
          </cell>
          <cell r="AI1232">
            <v>0</v>
          </cell>
          <cell r="AJ1232">
            <v>0</v>
          </cell>
          <cell r="AK1232">
            <v>0</v>
          </cell>
          <cell r="AL1232">
            <v>0</v>
          </cell>
        </row>
        <row r="1233">
          <cell r="E1233" t="str">
            <v>FCPEV 0.65-200Pr</v>
          </cell>
          <cell r="F1233" t="str">
            <v>ｍ</v>
          </cell>
          <cell r="G1233">
            <v>0</v>
          </cell>
          <cell r="H1233">
            <v>2254</v>
          </cell>
          <cell r="I1233">
            <v>0</v>
          </cell>
          <cell r="J1233">
            <v>2254</v>
          </cell>
          <cell r="K1233">
            <v>0</v>
          </cell>
          <cell r="L1233">
            <v>2254</v>
          </cell>
          <cell r="M1233">
            <v>0</v>
          </cell>
          <cell r="N1233">
            <v>2254</v>
          </cell>
          <cell r="O1233">
            <v>0</v>
          </cell>
          <cell r="P1233">
            <v>2254</v>
          </cell>
          <cell r="Q1233">
            <v>0</v>
          </cell>
          <cell r="R1233">
            <v>2254</v>
          </cell>
          <cell r="S1233">
            <v>0</v>
          </cell>
          <cell r="T1233">
            <v>2254</v>
          </cell>
          <cell r="U1233">
            <v>0</v>
          </cell>
          <cell r="V1233">
            <v>2254</v>
          </cell>
          <cell r="W1233">
            <v>0</v>
          </cell>
          <cell r="X1233">
            <v>2254</v>
          </cell>
          <cell r="Y1233">
            <v>0</v>
          </cell>
          <cell r="Z1233">
            <v>2254</v>
          </cell>
          <cell r="AA1233">
            <v>0</v>
          </cell>
          <cell r="AB1233">
            <v>0</v>
          </cell>
          <cell r="AC1233">
            <v>0</v>
          </cell>
          <cell r="AD1233">
            <v>9.5000000000000001E-2</v>
          </cell>
          <cell r="AE1233">
            <v>0</v>
          </cell>
          <cell r="AF1233">
            <v>0</v>
          </cell>
          <cell r="AG1233">
            <v>0</v>
          </cell>
          <cell r="AH1233">
            <v>0</v>
          </cell>
          <cell r="AI1233">
            <v>0</v>
          </cell>
          <cell r="AJ1233">
            <v>0</v>
          </cell>
          <cell r="AK1233">
            <v>0</v>
          </cell>
          <cell r="AL1233">
            <v>0</v>
          </cell>
        </row>
        <row r="1234">
          <cell r="E1234" t="str">
            <v>FCPEV 0.9-1Pr</v>
          </cell>
          <cell r="F1234" t="str">
            <v>ｍ</v>
          </cell>
          <cell r="G1234">
            <v>0</v>
          </cell>
          <cell r="H1234">
            <v>59.9</v>
          </cell>
          <cell r="I1234">
            <v>0</v>
          </cell>
          <cell r="J1234">
            <v>59.9</v>
          </cell>
          <cell r="K1234">
            <v>0</v>
          </cell>
          <cell r="L1234">
            <v>59.9</v>
          </cell>
          <cell r="M1234">
            <v>0</v>
          </cell>
          <cell r="N1234">
            <v>59.9</v>
          </cell>
          <cell r="O1234">
            <v>0</v>
          </cell>
          <cell r="P1234">
            <v>59.9</v>
          </cell>
          <cell r="Q1234">
            <v>0</v>
          </cell>
          <cell r="R1234">
            <v>59.9</v>
          </cell>
          <cell r="S1234">
            <v>0</v>
          </cell>
          <cell r="T1234">
            <v>59.9</v>
          </cell>
          <cell r="U1234">
            <v>0</v>
          </cell>
          <cell r="V1234">
            <v>59.9</v>
          </cell>
          <cell r="W1234">
            <v>0</v>
          </cell>
          <cell r="X1234">
            <v>59.9</v>
          </cell>
          <cell r="Y1234">
            <v>0</v>
          </cell>
          <cell r="Z1234">
            <v>59.9</v>
          </cell>
          <cell r="AA1234">
            <v>0</v>
          </cell>
          <cell r="AB1234">
            <v>0</v>
          </cell>
          <cell r="AC1234">
            <v>0</v>
          </cell>
          <cell r="AD1234">
            <v>1.6E-2</v>
          </cell>
          <cell r="AE1234">
            <v>0</v>
          </cell>
          <cell r="AF1234">
            <v>0</v>
          </cell>
          <cell r="AG1234">
            <v>0</v>
          </cell>
          <cell r="AH1234">
            <v>0</v>
          </cell>
          <cell r="AI1234">
            <v>0</v>
          </cell>
          <cell r="AJ1234">
            <v>0</v>
          </cell>
          <cell r="AK1234">
            <v>0</v>
          </cell>
          <cell r="AL1234">
            <v>0</v>
          </cell>
        </row>
        <row r="1235">
          <cell r="E1235" t="str">
            <v>FCPEV 0.9-2Pr</v>
          </cell>
          <cell r="F1235" t="str">
            <v>ｍ</v>
          </cell>
          <cell r="G1235">
            <v>0</v>
          </cell>
          <cell r="H1235">
            <v>86.8</v>
          </cell>
          <cell r="I1235">
            <v>0</v>
          </cell>
          <cell r="J1235">
            <v>86.8</v>
          </cell>
          <cell r="K1235">
            <v>0</v>
          </cell>
          <cell r="L1235">
            <v>86.8</v>
          </cell>
          <cell r="M1235">
            <v>0</v>
          </cell>
          <cell r="N1235">
            <v>86.8</v>
          </cell>
          <cell r="O1235">
            <v>0</v>
          </cell>
          <cell r="P1235">
            <v>86.8</v>
          </cell>
          <cell r="Q1235">
            <v>0</v>
          </cell>
          <cell r="R1235">
            <v>86.8</v>
          </cell>
          <cell r="S1235">
            <v>0</v>
          </cell>
          <cell r="T1235">
            <v>86.8</v>
          </cell>
          <cell r="U1235">
            <v>0</v>
          </cell>
          <cell r="V1235">
            <v>86.8</v>
          </cell>
          <cell r="W1235">
            <v>0</v>
          </cell>
          <cell r="X1235">
            <v>86.8</v>
          </cell>
          <cell r="Y1235">
            <v>0</v>
          </cell>
          <cell r="Z1235">
            <v>86.8</v>
          </cell>
          <cell r="AA1235">
            <v>0</v>
          </cell>
          <cell r="AB1235">
            <v>0</v>
          </cell>
          <cell r="AC1235">
            <v>0</v>
          </cell>
          <cell r="AD1235">
            <v>1.7999999999999999E-2</v>
          </cell>
          <cell r="AE1235">
            <v>0</v>
          </cell>
          <cell r="AF1235">
            <v>0</v>
          </cell>
          <cell r="AG1235">
            <v>0</v>
          </cell>
          <cell r="AH1235">
            <v>0</v>
          </cell>
          <cell r="AI1235">
            <v>0</v>
          </cell>
          <cell r="AJ1235">
            <v>0</v>
          </cell>
          <cell r="AK1235">
            <v>0</v>
          </cell>
          <cell r="AL1235">
            <v>0</v>
          </cell>
        </row>
        <row r="1236">
          <cell r="E1236" t="str">
            <v>FCPEV 0.9-3Pr</v>
          </cell>
          <cell r="F1236" t="str">
            <v>ｍ</v>
          </cell>
          <cell r="G1236">
            <v>0</v>
          </cell>
          <cell r="H1236">
            <v>107</v>
          </cell>
          <cell r="I1236">
            <v>0</v>
          </cell>
          <cell r="J1236">
            <v>107</v>
          </cell>
          <cell r="K1236">
            <v>0</v>
          </cell>
          <cell r="L1236">
            <v>107</v>
          </cell>
          <cell r="M1236">
            <v>0</v>
          </cell>
          <cell r="N1236">
            <v>107</v>
          </cell>
          <cell r="O1236">
            <v>0</v>
          </cell>
          <cell r="P1236">
            <v>107</v>
          </cell>
          <cell r="Q1236">
            <v>0</v>
          </cell>
          <cell r="R1236">
            <v>107</v>
          </cell>
          <cell r="S1236">
            <v>0</v>
          </cell>
          <cell r="T1236">
            <v>107</v>
          </cell>
          <cell r="U1236">
            <v>0</v>
          </cell>
          <cell r="V1236">
            <v>107</v>
          </cell>
          <cell r="W1236">
            <v>0</v>
          </cell>
          <cell r="X1236">
            <v>107</v>
          </cell>
          <cell r="Y1236">
            <v>0</v>
          </cell>
          <cell r="Z1236">
            <v>107</v>
          </cell>
          <cell r="AA1236">
            <v>0</v>
          </cell>
          <cell r="AB1236">
            <v>0</v>
          </cell>
          <cell r="AC1236">
            <v>0</v>
          </cell>
          <cell r="AD1236">
            <v>0.02</v>
          </cell>
          <cell r="AE1236">
            <v>0</v>
          </cell>
          <cell r="AF1236">
            <v>0</v>
          </cell>
          <cell r="AG1236">
            <v>0</v>
          </cell>
          <cell r="AH1236">
            <v>0</v>
          </cell>
          <cell r="AI1236">
            <v>0</v>
          </cell>
          <cell r="AJ1236">
            <v>0</v>
          </cell>
          <cell r="AK1236">
            <v>0</v>
          </cell>
          <cell r="AL1236">
            <v>0</v>
          </cell>
        </row>
        <row r="1237">
          <cell r="E1237" t="str">
            <v>FCPEV 0.9-5Pr</v>
          </cell>
          <cell r="F1237" t="str">
            <v>ｍ</v>
          </cell>
          <cell r="G1237">
            <v>0</v>
          </cell>
          <cell r="H1237">
            <v>137</v>
          </cell>
          <cell r="I1237">
            <v>0</v>
          </cell>
          <cell r="J1237">
            <v>137</v>
          </cell>
          <cell r="K1237">
            <v>0</v>
          </cell>
          <cell r="L1237">
            <v>137</v>
          </cell>
          <cell r="M1237">
            <v>0</v>
          </cell>
          <cell r="N1237">
            <v>137</v>
          </cell>
          <cell r="O1237">
            <v>0</v>
          </cell>
          <cell r="P1237">
            <v>137</v>
          </cell>
          <cell r="Q1237">
            <v>0</v>
          </cell>
          <cell r="R1237">
            <v>137</v>
          </cell>
          <cell r="S1237">
            <v>0</v>
          </cell>
          <cell r="T1237">
            <v>137</v>
          </cell>
          <cell r="U1237">
            <v>0</v>
          </cell>
          <cell r="V1237">
            <v>137</v>
          </cell>
          <cell r="W1237">
            <v>0</v>
          </cell>
          <cell r="X1237">
            <v>137</v>
          </cell>
          <cell r="Y1237">
            <v>0</v>
          </cell>
          <cell r="Z1237">
            <v>137</v>
          </cell>
          <cell r="AA1237">
            <v>0</v>
          </cell>
          <cell r="AB1237">
            <v>0</v>
          </cell>
          <cell r="AC1237">
            <v>0</v>
          </cell>
          <cell r="AD1237">
            <v>2.1999999999999999E-2</v>
          </cell>
          <cell r="AE1237">
            <v>0</v>
          </cell>
          <cell r="AF1237">
            <v>0</v>
          </cell>
          <cell r="AG1237">
            <v>0</v>
          </cell>
          <cell r="AH1237">
            <v>0</v>
          </cell>
          <cell r="AI1237">
            <v>0</v>
          </cell>
          <cell r="AJ1237">
            <v>0</v>
          </cell>
          <cell r="AK1237">
            <v>0</v>
          </cell>
          <cell r="AL1237">
            <v>0</v>
          </cell>
        </row>
        <row r="1238">
          <cell r="E1238" t="str">
            <v>FCPEV 0.9-7Pr</v>
          </cell>
          <cell r="F1238" t="str">
            <v>ｍ</v>
          </cell>
          <cell r="G1238">
            <v>0</v>
          </cell>
          <cell r="H1238">
            <v>186</v>
          </cell>
          <cell r="I1238">
            <v>0</v>
          </cell>
          <cell r="J1238">
            <v>186</v>
          </cell>
          <cell r="K1238">
            <v>0</v>
          </cell>
          <cell r="L1238">
            <v>186</v>
          </cell>
          <cell r="M1238">
            <v>0</v>
          </cell>
          <cell r="N1238">
            <v>186</v>
          </cell>
          <cell r="O1238">
            <v>0</v>
          </cell>
          <cell r="P1238">
            <v>186</v>
          </cell>
          <cell r="Q1238">
            <v>0</v>
          </cell>
          <cell r="R1238">
            <v>186</v>
          </cell>
          <cell r="S1238">
            <v>0</v>
          </cell>
          <cell r="T1238">
            <v>186</v>
          </cell>
          <cell r="U1238">
            <v>0</v>
          </cell>
          <cell r="V1238">
            <v>186</v>
          </cell>
          <cell r="W1238">
            <v>0</v>
          </cell>
          <cell r="X1238">
            <v>186</v>
          </cell>
          <cell r="Y1238">
            <v>0</v>
          </cell>
          <cell r="Z1238">
            <v>186</v>
          </cell>
          <cell r="AA1238">
            <v>0</v>
          </cell>
          <cell r="AB1238">
            <v>0</v>
          </cell>
          <cell r="AC1238">
            <v>0</v>
          </cell>
          <cell r="AD1238">
            <v>2.3E-2</v>
          </cell>
          <cell r="AE1238">
            <v>0</v>
          </cell>
          <cell r="AF1238">
            <v>0</v>
          </cell>
          <cell r="AG1238">
            <v>0</v>
          </cell>
          <cell r="AH1238">
            <v>0</v>
          </cell>
          <cell r="AI1238">
            <v>0</v>
          </cell>
          <cell r="AJ1238">
            <v>0</v>
          </cell>
          <cell r="AK1238">
            <v>0</v>
          </cell>
          <cell r="AL1238">
            <v>0</v>
          </cell>
        </row>
        <row r="1239">
          <cell r="E1239" t="str">
            <v>FCPEV 0.9- 10Pr</v>
          </cell>
          <cell r="F1239" t="str">
            <v>ｍ</v>
          </cell>
          <cell r="G1239">
            <v>0</v>
          </cell>
          <cell r="H1239">
            <v>240</v>
          </cell>
          <cell r="I1239">
            <v>0</v>
          </cell>
          <cell r="J1239">
            <v>240</v>
          </cell>
          <cell r="K1239">
            <v>0</v>
          </cell>
          <cell r="L1239">
            <v>240</v>
          </cell>
          <cell r="M1239">
            <v>0</v>
          </cell>
          <cell r="N1239">
            <v>240</v>
          </cell>
          <cell r="O1239">
            <v>0</v>
          </cell>
          <cell r="P1239">
            <v>240</v>
          </cell>
          <cell r="Q1239">
            <v>0</v>
          </cell>
          <cell r="R1239">
            <v>240</v>
          </cell>
          <cell r="S1239">
            <v>0</v>
          </cell>
          <cell r="T1239">
            <v>240</v>
          </cell>
          <cell r="U1239">
            <v>0</v>
          </cell>
          <cell r="V1239">
            <v>240</v>
          </cell>
          <cell r="W1239">
            <v>0</v>
          </cell>
          <cell r="X1239">
            <v>240</v>
          </cell>
          <cell r="Y1239">
            <v>0</v>
          </cell>
          <cell r="Z1239">
            <v>240</v>
          </cell>
          <cell r="AA1239">
            <v>0</v>
          </cell>
          <cell r="AB1239">
            <v>0</v>
          </cell>
          <cell r="AC1239">
            <v>0</v>
          </cell>
          <cell r="AD1239">
            <v>2.5000000000000001E-2</v>
          </cell>
          <cell r="AE1239">
            <v>0</v>
          </cell>
          <cell r="AF1239">
            <v>0</v>
          </cell>
          <cell r="AG1239">
            <v>0</v>
          </cell>
          <cell r="AH1239">
            <v>0</v>
          </cell>
          <cell r="AI1239">
            <v>0</v>
          </cell>
          <cell r="AJ1239">
            <v>0</v>
          </cell>
          <cell r="AK1239">
            <v>0</v>
          </cell>
          <cell r="AL1239">
            <v>0</v>
          </cell>
        </row>
        <row r="1240">
          <cell r="E1240" t="str">
            <v>FCPEV 0.9- 15Pr</v>
          </cell>
          <cell r="F1240" t="str">
            <v>ｍ</v>
          </cell>
          <cell r="G1240">
            <v>0</v>
          </cell>
          <cell r="H1240">
            <v>321</v>
          </cell>
          <cell r="I1240">
            <v>0</v>
          </cell>
          <cell r="J1240">
            <v>321</v>
          </cell>
          <cell r="K1240">
            <v>0</v>
          </cell>
          <cell r="L1240">
            <v>321</v>
          </cell>
          <cell r="M1240">
            <v>0</v>
          </cell>
          <cell r="N1240">
            <v>321</v>
          </cell>
          <cell r="O1240">
            <v>0</v>
          </cell>
          <cell r="P1240">
            <v>321</v>
          </cell>
          <cell r="Q1240">
            <v>0</v>
          </cell>
          <cell r="R1240">
            <v>321</v>
          </cell>
          <cell r="S1240">
            <v>0</v>
          </cell>
          <cell r="T1240">
            <v>321</v>
          </cell>
          <cell r="U1240">
            <v>0</v>
          </cell>
          <cell r="V1240">
            <v>321</v>
          </cell>
          <cell r="W1240">
            <v>0</v>
          </cell>
          <cell r="X1240">
            <v>321</v>
          </cell>
          <cell r="Y1240">
            <v>0</v>
          </cell>
          <cell r="Z1240">
            <v>321</v>
          </cell>
          <cell r="AA1240">
            <v>0</v>
          </cell>
          <cell r="AB1240">
            <v>0</v>
          </cell>
          <cell r="AC1240">
            <v>0</v>
          </cell>
          <cell r="AD1240">
            <v>2.8000000000000001E-2</v>
          </cell>
          <cell r="AE1240">
            <v>0</v>
          </cell>
          <cell r="AF1240">
            <v>0</v>
          </cell>
          <cell r="AG1240">
            <v>0</v>
          </cell>
          <cell r="AH1240">
            <v>0</v>
          </cell>
          <cell r="AI1240">
            <v>0</v>
          </cell>
          <cell r="AJ1240">
            <v>0</v>
          </cell>
          <cell r="AK1240">
            <v>0</v>
          </cell>
          <cell r="AL1240">
            <v>0</v>
          </cell>
        </row>
        <row r="1241">
          <cell r="E1241" t="str">
            <v>FCPEV 0.9- 20Pr</v>
          </cell>
          <cell r="F1241" t="str">
            <v>ｍ</v>
          </cell>
          <cell r="G1241">
            <v>0</v>
          </cell>
          <cell r="H1241">
            <v>417</v>
          </cell>
          <cell r="I1241">
            <v>0</v>
          </cell>
          <cell r="J1241">
            <v>417</v>
          </cell>
          <cell r="K1241">
            <v>0</v>
          </cell>
          <cell r="L1241">
            <v>417</v>
          </cell>
          <cell r="M1241">
            <v>0</v>
          </cell>
          <cell r="N1241">
            <v>417</v>
          </cell>
          <cell r="O1241">
            <v>0</v>
          </cell>
          <cell r="P1241">
            <v>417</v>
          </cell>
          <cell r="Q1241">
            <v>0</v>
          </cell>
          <cell r="R1241">
            <v>417</v>
          </cell>
          <cell r="S1241">
            <v>0</v>
          </cell>
          <cell r="T1241">
            <v>417</v>
          </cell>
          <cell r="U1241">
            <v>0</v>
          </cell>
          <cell r="V1241">
            <v>417</v>
          </cell>
          <cell r="W1241">
            <v>0</v>
          </cell>
          <cell r="X1241">
            <v>417</v>
          </cell>
          <cell r="Y1241">
            <v>0</v>
          </cell>
          <cell r="Z1241">
            <v>417</v>
          </cell>
          <cell r="AA1241">
            <v>0</v>
          </cell>
          <cell r="AB1241">
            <v>0</v>
          </cell>
          <cell r="AC1241">
            <v>0</v>
          </cell>
          <cell r="AD1241">
            <v>3.1E-2</v>
          </cell>
          <cell r="AE1241">
            <v>0</v>
          </cell>
          <cell r="AF1241">
            <v>0</v>
          </cell>
          <cell r="AG1241">
            <v>0</v>
          </cell>
          <cell r="AH1241">
            <v>0</v>
          </cell>
          <cell r="AI1241">
            <v>0</v>
          </cell>
          <cell r="AJ1241">
            <v>0</v>
          </cell>
          <cell r="AK1241">
            <v>0</v>
          </cell>
          <cell r="AL1241">
            <v>0</v>
          </cell>
        </row>
        <row r="1242">
          <cell r="E1242" t="str">
            <v>FCPEV 0.9- 30Pr</v>
          </cell>
          <cell r="F1242" t="str">
            <v>ｍ</v>
          </cell>
          <cell r="G1242">
            <v>0</v>
          </cell>
          <cell r="H1242">
            <v>599</v>
          </cell>
          <cell r="I1242">
            <v>0</v>
          </cell>
          <cell r="J1242">
            <v>599</v>
          </cell>
          <cell r="K1242">
            <v>0</v>
          </cell>
          <cell r="L1242">
            <v>599</v>
          </cell>
          <cell r="M1242">
            <v>0</v>
          </cell>
          <cell r="N1242">
            <v>599</v>
          </cell>
          <cell r="O1242">
            <v>0</v>
          </cell>
          <cell r="P1242">
            <v>599</v>
          </cell>
          <cell r="Q1242">
            <v>0</v>
          </cell>
          <cell r="R1242">
            <v>599</v>
          </cell>
          <cell r="S1242">
            <v>0</v>
          </cell>
          <cell r="T1242">
            <v>599</v>
          </cell>
          <cell r="U1242">
            <v>0</v>
          </cell>
          <cell r="V1242">
            <v>599</v>
          </cell>
          <cell r="W1242">
            <v>0</v>
          </cell>
          <cell r="X1242">
            <v>599</v>
          </cell>
          <cell r="Y1242">
            <v>0</v>
          </cell>
          <cell r="Z1242">
            <v>599</v>
          </cell>
          <cell r="AA1242">
            <v>0</v>
          </cell>
          <cell r="AB1242">
            <v>0</v>
          </cell>
          <cell r="AC1242">
            <v>0</v>
          </cell>
          <cell r="AD1242">
            <v>3.6999999999999998E-2</v>
          </cell>
          <cell r="AE1242">
            <v>0</v>
          </cell>
          <cell r="AF1242">
            <v>0</v>
          </cell>
          <cell r="AG1242">
            <v>0</v>
          </cell>
          <cell r="AH1242">
            <v>0</v>
          </cell>
          <cell r="AI1242">
            <v>0</v>
          </cell>
          <cell r="AJ1242">
            <v>0</v>
          </cell>
          <cell r="AK1242">
            <v>0</v>
          </cell>
          <cell r="AL1242">
            <v>0</v>
          </cell>
        </row>
        <row r="1243">
          <cell r="E1243" t="str">
            <v>FCPEV 0.9- 50Pr</v>
          </cell>
          <cell r="F1243" t="str">
            <v>ｍ</v>
          </cell>
          <cell r="G1243">
            <v>0</v>
          </cell>
          <cell r="H1243">
            <v>1025</v>
          </cell>
          <cell r="I1243">
            <v>0</v>
          </cell>
          <cell r="J1243">
            <v>1025</v>
          </cell>
          <cell r="K1243">
            <v>0</v>
          </cell>
          <cell r="L1243">
            <v>1025</v>
          </cell>
          <cell r="M1243">
            <v>0</v>
          </cell>
          <cell r="N1243">
            <v>1025</v>
          </cell>
          <cell r="O1243">
            <v>0</v>
          </cell>
          <cell r="P1243">
            <v>1025</v>
          </cell>
          <cell r="Q1243">
            <v>0</v>
          </cell>
          <cell r="R1243">
            <v>1025</v>
          </cell>
          <cell r="S1243">
            <v>0</v>
          </cell>
          <cell r="T1243">
            <v>1025</v>
          </cell>
          <cell r="U1243">
            <v>0</v>
          </cell>
          <cell r="V1243">
            <v>1025</v>
          </cell>
          <cell r="W1243">
            <v>0</v>
          </cell>
          <cell r="X1243">
            <v>1025</v>
          </cell>
          <cell r="Y1243">
            <v>0</v>
          </cell>
          <cell r="Z1243">
            <v>1025</v>
          </cell>
          <cell r="AA1243">
            <v>0</v>
          </cell>
          <cell r="AB1243">
            <v>0</v>
          </cell>
          <cell r="AC1243">
            <v>0</v>
          </cell>
          <cell r="AD1243">
            <v>0.05</v>
          </cell>
          <cell r="AE1243">
            <v>0</v>
          </cell>
          <cell r="AF1243">
            <v>0</v>
          </cell>
          <cell r="AG1243">
            <v>0</v>
          </cell>
          <cell r="AH1243">
            <v>0</v>
          </cell>
          <cell r="AI1243">
            <v>0</v>
          </cell>
          <cell r="AJ1243">
            <v>0</v>
          </cell>
          <cell r="AK1243">
            <v>0</v>
          </cell>
          <cell r="AL1243">
            <v>0</v>
          </cell>
        </row>
        <row r="1244">
          <cell r="E1244" t="str">
            <v>FCPEV 0.9- 70Pr</v>
          </cell>
          <cell r="F1244" t="str">
            <v>ｍ</v>
          </cell>
          <cell r="G1244">
            <v>0</v>
          </cell>
          <cell r="H1244">
            <v>1479</v>
          </cell>
          <cell r="I1244">
            <v>0</v>
          </cell>
          <cell r="J1244">
            <v>1479</v>
          </cell>
          <cell r="K1244">
            <v>0</v>
          </cell>
          <cell r="L1244">
            <v>1479</v>
          </cell>
          <cell r="M1244">
            <v>0</v>
          </cell>
          <cell r="N1244">
            <v>1479</v>
          </cell>
          <cell r="O1244">
            <v>0</v>
          </cell>
          <cell r="P1244">
            <v>1479</v>
          </cell>
          <cell r="Q1244">
            <v>0</v>
          </cell>
          <cell r="R1244">
            <v>1479</v>
          </cell>
          <cell r="S1244">
            <v>0</v>
          </cell>
          <cell r="T1244">
            <v>1479</v>
          </cell>
          <cell r="U1244">
            <v>0</v>
          </cell>
          <cell r="V1244">
            <v>1479</v>
          </cell>
          <cell r="W1244">
            <v>0</v>
          </cell>
          <cell r="X1244">
            <v>1479</v>
          </cell>
          <cell r="Y1244">
            <v>0</v>
          </cell>
          <cell r="Z1244">
            <v>1479</v>
          </cell>
          <cell r="AA1244">
            <v>0</v>
          </cell>
          <cell r="AB1244">
            <v>0</v>
          </cell>
          <cell r="AC1244">
            <v>0</v>
          </cell>
          <cell r="AD1244">
            <v>6.6000000000000003E-2</v>
          </cell>
          <cell r="AE1244">
            <v>0</v>
          </cell>
          <cell r="AF1244">
            <v>0</v>
          </cell>
          <cell r="AG1244">
            <v>0</v>
          </cell>
          <cell r="AH1244">
            <v>0</v>
          </cell>
          <cell r="AI1244">
            <v>0</v>
          </cell>
          <cell r="AJ1244">
            <v>0</v>
          </cell>
          <cell r="AK1244">
            <v>0</v>
          </cell>
          <cell r="AL1244">
            <v>0</v>
          </cell>
        </row>
        <row r="1245">
          <cell r="E1245" t="str">
            <v>FCPEV 0.9-100Pr</v>
          </cell>
          <cell r="F1245" t="str">
            <v>ｍ</v>
          </cell>
          <cell r="G1245">
            <v>0</v>
          </cell>
          <cell r="H1245">
            <v>1944</v>
          </cell>
          <cell r="I1245">
            <v>0</v>
          </cell>
          <cell r="J1245">
            <v>1944</v>
          </cell>
          <cell r="K1245">
            <v>0</v>
          </cell>
          <cell r="L1245">
            <v>1944</v>
          </cell>
          <cell r="M1245">
            <v>0</v>
          </cell>
          <cell r="N1245">
            <v>1944</v>
          </cell>
          <cell r="O1245">
            <v>0</v>
          </cell>
          <cell r="P1245">
            <v>1944</v>
          </cell>
          <cell r="Q1245">
            <v>0</v>
          </cell>
          <cell r="R1245">
            <v>1944</v>
          </cell>
          <cell r="S1245">
            <v>0</v>
          </cell>
          <cell r="T1245">
            <v>1944</v>
          </cell>
          <cell r="U1245">
            <v>0</v>
          </cell>
          <cell r="V1245">
            <v>1944</v>
          </cell>
          <cell r="W1245">
            <v>0</v>
          </cell>
          <cell r="X1245">
            <v>1944</v>
          </cell>
          <cell r="Y1245">
            <v>0</v>
          </cell>
          <cell r="Z1245">
            <v>1944</v>
          </cell>
          <cell r="AA1245">
            <v>0</v>
          </cell>
          <cell r="AB1245">
            <v>0</v>
          </cell>
          <cell r="AC1245">
            <v>0</v>
          </cell>
          <cell r="AD1245">
            <v>8.3000000000000004E-2</v>
          </cell>
          <cell r="AE1245">
            <v>0</v>
          </cell>
          <cell r="AF1245">
            <v>0</v>
          </cell>
          <cell r="AG1245">
            <v>0</v>
          </cell>
          <cell r="AH1245">
            <v>0</v>
          </cell>
          <cell r="AI1245">
            <v>0</v>
          </cell>
          <cell r="AJ1245">
            <v>0</v>
          </cell>
          <cell r="AK1245">
            <v>0</v>
          </cell>
          <cell r="AL1245">
            <v>0</v>
          </cell>
        </row>
        <row r="1246">
          <cell r="E1246" t="str">
            <v>FCPEV 0.9-150Pr</v>
          </cell>
          <cell r="F1246" t="str">
            <v>ｍ</v>
          </cell>
          <cell r="G1246">
            <v>0</v>
          </cell>
          <cell r="H1246">
            <v>2818</v>
          </cell>
          <cell r="I1246">
            <v>0</v>
          </cell>
          <cell r="J1246">
            <v>2818</v>
          </cell>
          <cell r="K1246">
            <v>0</v>
          </cell>
          <cell r="L1246">
            <v>2818</v>
          </cell>
          <cell r="M1246">
            <v>0</v>
          </cell>
          <cell r="N1246">
            <v>2818</v>
          </cell>
          <cell r="O1246">
            <v>0</v>
          </cell>
          <cell r="P1246">
            <v>2818</v>
          </cell>
          <cell r="Q1246">
            <v>0</v>
          </cell>
          <cell r="R1246">
            <v>2818</v>
          </cell>
          <cell r="S1246">
            <v>0</v>
          </cell>
          <cell r="T1246">
            <v>2818</v>
          </cell>
          <cell r="U1246">
            <v>0</v>
          </cell>
          <cell r="V1246">
            <v>2818</v>
          </cell>
          <cell r="W1246">
            <v>0</v>
          </cell>
          <cell r="X1246">
            <v>2818</v>
          </cell>
          <cell r="Y1246">
            <v>0</v>
          </cell>
          <cell r="Z1246">
            <v>2818</v>
          </cell>
          <cell r="AA1246">
            <v>0</v>
          </cell>
          <cell r="AB1246">
            <v>0</v>
          </cell>
          <cell r="AC1246">
            <v>0</v>
          </cell>
          <cell r="AD1246">
            <v>0.10299999999999999</v>
          </cell>
          <cell r="AE1246">
            <v>0</v>
          </cell>
          <cell r="AF1246">
            <v>0</v>
          </cell>
          <cell r="AG1246">
            <v>0</v>
          </cell>
          <cell r="AH1246">
            <v>0</v>
          </cell>
          <cell r="AI1246">
            <v>0</v>
          </cell>
          <cell r="AJ1246">
            <v>0</v>
          </cell>
          <cell r="AK1246">
            <v>0</v>
          </cell>
          <cell r="AL1246">
            <v>0</v>
          </cell>
        </row>
        <row r="1247">
          <cell r="E1247" t="str">
            <v>FCPEV 0.9-200Pr</v>
          </cell>
          <cell r="F1247" t="str">
            <v>ｍ</v>
          </cell>
          <cell r="G1247">
            <v>0</v>
          </cell>
          <cell r="H1247">
            <v>3669</v>
          </cell>
          <cell r="I1247">
            <v>0</v>
          </cell>
          <cell r="J1247">
            <v>3669</v>
          </cell>
          <cell r="K1247">
            <v>0</v>
          </cell>
          <cell r="L1247">
            <v>3669</v>
          </cell>
          <cell r="M1247">
            <v>0</v>
          </cell>
          <cell r="N1247">
            <v>3669</v>
          </cell>
          <cell r="O1247">
            <v>0</v>
          </cell>
          <cell r="P1247">
            <v>3669</v>
          </cell>
          <cell r="Q1247">
            <v>0</v>
          </cell>
          <cell r="R1247">
            <v>3669</v>
          </cell>
          <cell r="S1247">
            <v>0</v>
          </cell>
          <cell r="T1247">
            <v>3669</v>
          </cell>
          <cell r="U1247">
            <v>0</v>
          </cell>
          <cell r="V1247">
            <v>3669</v>
          </cell>
          <cell r="W1247">
            <v>0</v>
          </cell>
          <cell r="X1247">
            <v>3669</v>
          </cell>
          <cell r="Y1247">
            <v>0</v>
          </cell>
          <cell r="Z1247">
            <v>3669</v>
          </cell>
          <cell r="AA1247">
            <v>0</v>
          </cell>
          <cell r="AB1247">
            <v>0</v>
          </cell>
          <cell r="AC1247">
            <v>0</v>
          </cell>
          <cell r="AD1247">
            <v>0.123</v>
          </cell>
          <cell r="AE1247">
            <v>0</v>
          </cell>
          <cell r="AF1247">
            <v>0</v>
          </cell>
          <cell r="AG1247">
            <v>0</v>
          </cell>
          <cell r="AH1247">
            <v>0</v>
          </cell>
          <cell r="AI1247">
            <v>0</v>
          </cell>
          <cell r="AJ1247">
            <v>0</v>
          </cell>
          <cell r="AK1247">
            <v>0</v>
          </cell>
          <cell r="AL1247">
            <v>0</v>
          </cell>
        </row>
        <row r="1248">
          <cell r="E1248" t="str">
            <v>FCPEV 1.2-1Pr</v>
          </cell>
          <cell r="F1248" t="str">
            <v>ｍ</v>
          </cell>
          <cell r="G1248">
            <v>0</v>
          </cell>
          <cell r="H1248">
            <v>86.6</v>
          </cell>
          <cell r="I1248">
            <v>0</v>
          </cell>
          <cell r="J1248">
            <v>86.6</v>
          </cell>
          <cell r="K1248">
            <v>0</v>
          </cell>
          <cell r="L1248">
            <v>86.6</v>
          </cell>
          <cell r="M1248">
            <v>0</v>
          </cell>
          <cell r="N1248">
            <v>86.6</v>
          </cell>
          <cell r="O1248">
            <v>0</v>
          </cell>
          <cell r="P1248">
            <v>86.6</v>
          </cell>
          <cell r="Q1248">
            <v>0</v>
          </cell>
          <cell r="R1248">
            <v>86.6</v>
          </cell>
          <cell r="S1248">
            <v>0</v>
          </cell>
          <cell r="T1248">
            <v>86.6</v>
          </cell>
          <cell r="U1248">
            <v>0</v>
          </cell>
          <cell r="V1248">
            <v>86.6</v>
          </cell>
          <cell r="W1248">
            <v>0</v>
          </cell>
          <cell r="X1248">
            <v>86.6</v>
          </cell>
          <cell r="Y1248">
            <v>0</v>
          </cell>
          <cell r="Z1248">
            <v>86.6</v>
          </cell>
          <cell r="AA1248">
            <v>0</v>
          </cell>
          <cell r="AB1248">
            <v>0</v>
          </cell>
          <cell r="AC1248">
            <v>0</v>
          </cell>
          <cell r="AD1248">
            <v>2.1000000000000001E-2</v>
          </cell>
          <cell r="AE1248">
            <v>0</v>
          </cell>
          <cell r="AF1248">
            <v>0</v>
          </cell>
          <cell r="AG1248">
            <v>0</v>
          </cell>
          <cell r="AH1248">
            <v>0</v>
          </cell>
          <cell r="AI1248">
            <v>0</v>
          </cell>
          <cell r="AJ1248">
            <v>0</v>
          </cell>
          <cell r="AK1248">
            <v>0</v>
          </cell>
          <cell r="AL1248">
            <v>0</v>
          </cell>
        </row>
        <row r="1249">
          <cell r="E1249" t="str">
            <v>FCPEV 1.2-2Pr</v>
          </cell>
          <cell r="F1249" t="str">
            <v>ｍ</v>
          </cell>
          <cell r="G1249">
            <v>0</v>
          </cell>
          <cell r="H1249">
            <v>123</v>
          </cell>
          <cell r="I1249">
            <v>0</v>
          </cell>
          <cell r="J1249">
            <v>123</v>
          </cell>
          <cell r="K1249">
            <v>0</v>
          </cell>
          <cell r="L1249">
            <v>123</v>
          </cell>
          <cell r="M1249">
            <v>0</v>
          </cell>
          <cell r="N1249">
            <v>123</v>
          </cell>
          <cell r="O1249">
            <v>0</v>
          </cell>
          <cell r="P1249">
            <v>123</v>
          </cell>
          <cell r="Q1249">
            <v>0</v>
          </cell>
          <cell r="R1249">
            <v>123</v>
          </cell>
          <cell r="S1249">
            <v>0</v>
          </cell>
          <cell r="T1249">
            <v>123</v>
          </cell>
          <cell r="U1249">
            <v>0</v>
          </cell>
          <cell r="V1249">
            <v>123</v>
          </cell>
          <cell r="W1249">
            <v>0</v>
          </cell>
          <cell r="X1249">
            <v>123</v>
          </cell>
          <cell r="Y1249">
            <v>0</v>
          </cell>
          <cell r="Z1249">
            <v>123</v>
          </cell>
          <cell r="AA1249">
            <v>0</v>
          </cell>
          <cell r="AB1249">
            <v>0</v>
          </cell>
          <cell r="AC1249">
            <v>0</v>
          </cell>
          <cell r="AD1249">
            <v>2.3E-2</v>
          </cell>
          <cell r="AE1249">
            <v>0</v>
          </cell>
          <cell r="AF1249">
            <v>0</v>
          </cell>
          <cell r="AG1249">
            <v>0</v>
          </cell>
          <cell r="AH1249">
            <v>0</v>
          </cell>
          <cell r="AI1249">
            <v>0</v>
          </cell>
          <cell r="AJ1249">
            <v>0</v>
          </cell>
          <cell r="AK1249">
            <v>0</v>
          </cell>
          <cell r="AL1249">
            <v>0</v>
          </cell>
        </row>
        <row r="1250">
          <cell r="E1250" t="str">
            <v>FCPEV 1.2-3Pr</v>
          </cell>
          <cell r="F1250" t="str">
            <v>ｍ</v>
          </cell>
          <cell r="G1250">
            <v>0</v>
          </cell>
          <cell r="H1250">
            <v>147</v>
          </cell>
          <cell r="I1250">
            <v>0</v>
          </cell>
          <cell r="J1250">
            <v>147</v>
          </cell>
          <cell r="K1250">
            <v>0</v>
          </cell>
          <cell r="L1250">
            <v>147</v>
          </cell>
          <cell r="M1250">
            <v>0</v>
          </cell>
          <cell r="N1250">
            <v>147</v>
          </cell>
          <cell r="O1250">
            <v>0</v>
          </cell>
          <cell r="P1250">
            <v>147</v>
          </cell>
          <cell r="Q1250">
            <v>0</v>
          </cell>
          <cell r="R1250">
            <v>147</v>
          </cell>
          <cell r="S1250">
            <v>0</v>
          </cell>
          <cell r="T1250">
            <v>147</v>
          </cell>
          <cell r="U1250">
            <v>0</v>
          </cell>
          <cell r="V1250">
            <v>147</v>
          </cell>
          <cell r="W1250">
            <v>0</v>
          </cell>
          <cell r="X1250">
            <v>147</v>
          </cell>
          <cell r="Y1250">
            <v>0</v>
          </cell>
          <cell r="Z1250">
            <v>147</v>
          </cell>
          <cell r="AA1250">
            <v>0</v>
          </cell>
          <cell r="AB1250">
            <v>0</v>
          </cell>
          <cell r="AC1250">
            <v>0</v>
          </cell>
          <cell r="AD1250">
            <v>2.5000000000000001E-2</v>
          </cell>
          <cell r="AE1250">
            <v>0</v>
          </cell>
          <cell r="AF1250">
            <v>0</v>
          </cell>
          <cell r="AG1250">
            <v>0</v>
          </cell>
          <cell r="AH1250">
            <v>0</v>
          </cell>
          <cell r="AI1250">
            <v>0</v>
          </cell>
          <cell r="AJ1250">
            <v>0</v>
          </cell>
          <cell r="AK1250">
            <v>0</v>
          </cell>
          <cell r="AL1250">
            <v>0</v>
          </cell>
        </row>
        <row r="1251">
          <cell r="E1251" t="str">
            <v>FCPEV 1.2-5Pr</v>
          </cell>
          <cell r="F1251" t="str">
            <v>ｍ</v>
          </cell>
          <cell r="G1251">
            <v>0</v>
          </cell>
          <cell r="H1251">
            <v>221</v>
          </cell>
          <cell r="I1251">
            <v>0</v>
          </cell>
          <cell r="J1251">
            <v>221</v>
          </cell>
          <cell r="K1251">
            <v>0</v>
          </cell>
          <cell r="L1251">
            <v>221</v>
          </cell>
          <cell r="M1251">
            <v>0</v>
          </cell>
          <cell r="N1251">
            <v>221</v>
          </cell>
          <cell r="O1251">
            <v>0</v>
          </cell>
          <cell r="P1251">
            <v>221</v>
          </cell>
          <cell r="Q1251">
            <v>0</v>
          </cell>
          <cell r="R1251">
            <v>221</v>
          </cell>
          <cell r="S1251">
            <v>0</v>
          </cell>
          <cell r="T1251">
            <v>221</v>
          </cell>
          <cell r="U1251">
            <v>0</v>
          </cell>
          <cell r="V1251">
            <v>221</v>
          </cell>
          <cell r="W1251">
            <v>0</v>
          </cell>
          <cell r="X1251">
            <v>221</v>
          </cell>
          <cell r="Y1251">
            <v>0</v>
          </cell>
          <cell r="Z1251">
            <v>221</v>
          </cell>
          <cell r="AA1251">
            <v>0</v>
          </cell>
          <cell r="AB1251">
            <v>0</v>
          </cell>
          <cell r="AC1251">
            <v>0</v>
          </cell>
          <cell r="AD1251">
            <v>2.7E-2</v>
          </cell>
          <cell r="AE1251">
            <v>0</v>
          </cell>
          <cell r="AF1251">
            <v>0</v>
          </cell>
          <cell r="AG1251">
            <v>0</v>
          </cell>
          <cell r="AH1251">
            <v>0</v>
          </cell>
          <cell r="AI1251">
            <v>0</v>
          </cell>
          <cell r="AJ1251">
            <v>0</v>
          </cell>
          <cell r="AK1251">
            <v>0</v>
          </cell>
          <cell r="AL1251">
            <v>0</v>
          </cell>
        </row>
        <row r="1252">
          <cell r="E1252" t="str">
            <v>FCPEV 1.2-7Pr</v>
          </cell>
          <cell r="F1252" t="str">
            <v>ｍ</v>
          </cell>
          <cell r="G1252">
            <v>0</v>
          </cell>
          <cell r="H1252">
            <v>284</v>
          </cell>
          <cell r="I1252">
            <v>0</v>
          </cell>
          <cell r="J1252">
            <v>284</v>
          </cell>
          <cell r="K1252">
            <v>0</v>
          </cell>
          <cell r="L1252">
            <v>284</v>
          </cell>
          <cell r="M1252">
            <v>0</v>
          </cell>
          <cell r="N1252">
            <v>284</v>
          </cell>
          <cell r="O1252">
            <v>0</v>
          </cell>
          <cell r="P1252">
            <v>284</v>
          </cell>
          <cell r="Q1252">
            <v>0</v>
          </cell>
          <cell r="R1252">
            <v>284</v>
          </cell>
          <cell r="S1252">
            <v>0</v>
          </cell>
          <cell r="T1252">
            <v>284</v>
          </cell>
          <cell r="U1252">
            <v>0</v>
          </cell>
          <cell r="V1252">
            <v>284</v>
          </cell>
          <cell r="W1252">
            <v>0</v>
          </cell>
          <cell r="X1252">
            <v>284</v>
          </cell>
          <cell r="Y1252">
            <v>0</v>
          </cell>
          <cell r="Z1252">
            <v>284</v>
          </cell>
          <cell r="AA1252">
            <v>0</v>
          </cell>
          <cell r="AB1252">
            <v>0</v>
          </cell>
          <cell r="AC1252">
            <v>0</v>
          </cell>
          <cell r="AD1252">
            <v>2.9000000000000001E-2</v>
          </cell>
          <cell r="AE1252">
            <v>0</v>
          </cell>
          <cell r="AF1252">
            <v>0</v>
          </cell>
          <cell r="AG1252">
            <v>0</v>
          </cell>
          <cell r="AH1252">
            <v>0</v>
          </cell>
          <cell r="AI1252">
            <v>0</v>
          </cell>
          <cell r="AJ1252">
            <v>0</v>
          </cell>
          <cell r="AK1252">
            <v>0</v>
          </cell>
          <cell r="AL1252">
            <v>0</v>
          </cell>
        </row>
        <row r="1253">
          <cell r="E1253" t="str">
            <v>FCPEV 1.2- 10Pr</v>
          </cell>
          <cell r="F1253" t="str">
            <v>ｍ</v>
          </cell>
          <cell r="G1253">
            <v>0</v>
          </cell>
          <cell r="H1253">
            <v>369</v>
          </cell>
          <cell r="I1253">
            <v>0</v>
          </cell>
          <cell r="J1253">
            <v>369</v>
          </cell>
          <cell r="K1253">
            <v>0</v>
          </cell>
          <cell r="L1253">
            <v>369</v>
          </cell>
          <cell r="M1253">
            <v>0</v>
          </cell>
          <cell r="N1253">
            <v>369</v>
          </cell>
          <cell r="O1253">
            <v>0</v>
          </cell>
          <cell r="P1253">
            <v>369</v>
          </cell>
          <cell r="Q1253">
            <v>0</v>
          </cell>
          <cell r="R1253">
            <v>369</v>
          </cell>
          <cell r="S1253">
            <v>0</v>
          </cell>
          <cell r="T1253">
            <v>369</v>
          </cell>
          <cell r="U1253">
            <v>0</v>
          </cell>
          <cell r="V1253">
            <v>369</v>
          </cell>
          <cell r="W1253">
            <v>0</v>
          </cell>
          <cell r="X1253">
            <v>369</v>
          </cell>
          <cell r="Y1253">
            <v>0</v>
          </cell>
          <cell r="Z1253">
            <v>369</v>
          </cell>
          <cell r="AA1253">
            <v>0</v>
          </cell>
          <cell r="AB1253">
            <v>0</v>
          </cell>
          <cell r="AC1253">
            <v>0</v>
          </cell>
          <cell r="AD1253">
            <v>3.1E-2</v>
          </cell>
          <cell r="AE1253">
            <v>0</v>
          </cell>
          <cell r="AF1253">
            <v>0</v>
          </cell>
          <cell r="AG1253">
            <v>0</v>
          </cell>
          <cell r="AH1253">
            <v>0</v>
          </cell>
          <cell r="AI1253">
            <v>0</v>
          </cell>
          <cell r="AJ1253">
            <v>0</v>
          </cell>
          <cell r="AK1253">
            <v>0</v>
          </cell>
          <cell r="AL1253">
            <v>0</v>
          </cell>
        </row>
        <row r="1254">
          <cell r="E1254" t="str">
            <v>FCPEV 1.2- 15Pr</v>
          </cell>
          <cell r="F1254" t="str">
            <v>ｍ</v>
          </cell>
          <cell r="G1254">
            <v>0</v>
          </cell>
          <cell r="H1254">
            <v>507</v>
          </cell>
          <cell r="I1254">
            <v>0</v>
          </cell>
          <cell r="J1254">
            <v>507</v>
          </cell>
          <cell r="K1254">
            <v>0</v>
          </cell>
          <cell r="L1254">
            <v>507</v>
          </cell>
          <cell r="M1254">
            <v>0</v>
          </cell>
          <cell r="N1254">
            <v>507</v>
          </cell>
          <cell r="O1254">
            <v>0</v>
          </cell>
          <cell r="P1254">
            <v>507</v>
          </cell>
          <cell r="Q1254">
            <v>0</v>
          </cell>
          <cell r="R1254">
            <v>507</v>
          </cell>
          <cell r="S1254">
            <v>0</v>
          </cell>
          <cell r="T1254">
            <v>507</v>
          </cell>
          <cell r="U1254">
            <v>0</v>
          </cell>
          <cell r="V1254">
            <v>507</v>
          </cell>
          <cell r="W1254">
            <v>0</v>
          </cell>
          <cell r="X1254">
            <v>507</v>
          </cell>
          <cell r="Y1254">
            <v>0</v>
          </cell>
          <cell r="Z1254">
            <v>507</v>
          </cell>
          <cell r="AA1254">
            <v>0</v>
          </cell>
          <cell r="AB1254">
            <v>0</v>
          </cell>
          <cell r="AC1254">
            <v>0</v>
          </cell>
          <cell r="AD1254">
            <v>3.4000000000000002E-2</v>
          </cell>
          <cell r="AE1254">
            <v>0</v>
          </cell>
          <cell r="AF1254">
            <v>0</v>
          </cell>
          <cell r="AG1254">
            <v>0</v>
          </cell>
          <cell r="AH1254">
            <v>0</v>
          </cell>
          <cell r="AI1254">
            <v>0</v>
          </cell>
          <cell r="AJ1254">
            <v>0</v>
          </cell>
          <cell r="AK1254">
            <v>0</v>
          </cell>
          <cell r="AL1254">
            <v>0</v>
          </cell>
        </row>
        <row r="1255">
          <cell r="E1255" t="str">
            <v>FCPEV 1.2- 20Pr</v>
          </cell>
          <cell r="F1255" t="str">
            <v>ｍ</v>
          </cell>
          <cell r="G1255">
            <v>0</v>
          </cell>
          <cell r="H1255">
            <v>648</v>
          </cell>
          <cell r="I1255">
            <v>0</v>
          </cell>
          <cell r="J1255">
            <v>648</v>
          </cell>
          <cell r="K1255">
            <v>0</v>
          </cell>
          <cell r="L1255">
            <v>648</v>
          </cell>
          <cell r="M1255">
            <v>0</v>
          </cell>
          <cell r="N1255">
            <v>648</v>
          </cell>
          <cell r="O1255">
            <v>0</v>
          </cell>
          <cell r="P1255">
            <v>648</v>
          </cell>
          <cell r="Q1255">
            <v>0</v>
          </cell>
          <cell r="R1255">
            <v>648</v>
          </cell>
          <cell r="S1255">
            <v>0</v>
          </cell>
          <cell r="T1255">
            <v>648</v>
          </cell>
          <cell r="U1255">
            <v>0</v>
          </cell>
          <cell r="V1255">
            <v>648</v>
          </cell>
          <cell r="W1255">
            <v>0</v>
          </cell>
          <cell r="X1255">
            <v>648</v>
          </cell>
          <cell r="Y1255">
            <v>0</v>
          </cell>
          <cell r="Z1255">
            <v>648</v>
          </cell>
          <cell r="AA1255">
            <v>0</v>
          </cell>
          <cell r="AB1255">
            <v>0</v>
          </cell>
          <cell r="AC1255">
            <v>0</v>
          </cell>
          <cell r="AD1255">
            <v>3.9E-2</v>
          </cell>
          <cell r="AE1255">
            <v>0</v>
          </cell>
          <cell r="AF1255">
            <v>0</v>
          </cell>
          <cell r="AG1255">
            <v>0</v>
          </cell>
          <cell r="AH1255">
            <v>0</v>
          </cell>
          <cell r="AI1255">
            <v>0</v>
          </cell>
          <cell r="AJ1255">
            <v>0</v>
          </cell>
          <cell r="AK1255">
            <v>0</v>
          </cell>
          <cell r="AL1255">
            <v>0</v>
          </cell>
        </row>
        <row r="1256">
          <cell r="E1256" t="str">
            <v>FCPEV 1.2- 30Pr</v>
          </cell>
          <cell r="F1256" t="str">
            <v>ｍ</v>
          </cell>
          <cell r="G1256">
            <v>0</v>
          </cell>
          <cell r="H1256">
            <v>905</v>
          </cell>
          <cell r="I1256">
            <v>0</v>
          </cell>
          <cell r="J1256">
            <v>905</v>
          </cell>
          <cell r="K1256">
            <v>0</v>
          </cell>
          <cell r="L1256">
            <v>905</v>
          </cell>
          <cell r="M1256">
            <v>0</v>
          </cell>
          <cell r="N1256">
            <v>905</v>
          </cell>
          <cell r="O1256">
            <v>0</v>
          </cell>
          <cell r="P1256">
            <v>905</v>
          </cell>
          <cell r="Q1256">
            <v>0</v>
          </cell>
          <cell r="R1256">
            <v>905</v>
          </cell>
          <cell r="S1256">
            <v>0</v>
          </cell>
          <cell r="T1256">
            <v>905</v>
          </cell>
          <cell r="U1256">
            <v>0</v>
          </cell>
          <cell r="V1256">
            <v>905</v>
          </cell>
          <cell r="W1256">
            <v>0</v>
          </cell>
          <cell r="X1256">
            <v>905</v>
          </cell>
          <cell r="Y1256">
            <v>0</v>
          </cell>
          <cell r="Z1256">
            <v>905</v>
          </cell>
          <cell r="AA1256">
            <v>0</v>
          </cell>
          <cell r="AB1256">
            <v>0</v>
          </cell>
          <cell r="AC1256">
            <v>0</v>
          </cell>
          <cell r="AD1256">
            <v>4.5999999999999999E-2</v>
          </cell>
          <cell r="AE1256">
            <v>0</v>
          </cell>
          <cell r="AF1256">
            <v>0</v>
          </cell>
          <cell r="AG1256">
            <v>0</v>
          </cell>
          <cell r="AH1256">
            <v>0</v>
          </cell>
          <cell r="AI1256">
            <v>0</v>
          </cell>
          <cell r="AJ1256">
            <v>0</v>
          </cell>
          <cell r="AK1256">
            <v>0</v>
          </cell>
          <cell r="AL1256">
            <v>0</v>
          </cell>
        </row>
        <row r="1257">
          <cell r="E1257" t="str">
            <v>FCPEV 1.2- 50Pr</v>
          </cell>
          <cell r="F1257" t="str">
            <v>ｍ</v>
          </cell>
          <cell r="G1257">
            <v>0</v>
          </cell>
          <cell r="H1257">
            <v>1537</v>
          </cell>
          <cell r="I1257">
            <v>0</v>
          </cell>
          <cell r="J1257">
            <v>1537</v>
          </cell>
          <cell r="K1257">
            <v>0</v>
          </cell>
          <cell r="L1257">
            <v>1537</v>
          </cell>
          <cell r="M1257">
            <v>0</v>
          </cell>
          <cell r="N1257">
            <v>1537</v>
          </cell>
          <cell r="O1257">
            <v>0</v>
          </cell>
          <cell r="P1257">
            <v>1537</v>
          </cell>
          <cell r="Q1257">
            <v>0</v>
          </cell>
          <cell r="R1257">
            <v>1537</v>
          </cell>
          <cell r="S1257">
            <v>0</v>
          </cell>
          <cell r="T1257">
            <v>1537</v>
          </cell>
          <cell r="U1257">
            <v>0</v>
          </cell>
          <cell r="V1257">
            <v>1537</v>
          </cell>
          <cell r="W1257">
            <v>0</v>
          </cell>
          <cell r="X1257">
            <v>1537</v>
          </cell>
          <cell r="Y1257">
            <v>0</v>
          </cell>
          <cell r="Z1257">
            <v>1537</v>
          </cell>
          <cell r="AA1257">
            <v>0</v>
          </cell>
          <cell r="AB1257">
            <v>0</v>
          </cell>
          <cell r="AC1257">
            <v>0</v>
          </cell>
          <cell r="AD1257">
            <v>6.2E-2</v>
          </cell>
          <cell r="AE1257">
            <v>0</v>
          </cell>
          <cell r="AF1257">
            <v>0</v>
          </cell>
          <cell r="AG1257">
            <v>0</v>
          </cell>
          <cell r="AH1257">
            <v>0</v>
          </cell>
          <cell r="AI1257">
            <v>0</v>
          </cell>
          <cell r="AJ1257">
            <v>0</v>
          </cell>
          <cell r="AK1257">
            <v>0</v>
          </cell>
          <cell r="AL1257">
            <v>0</v>
          </cell>
        </row>
        <row r="1258">
          <cell r="E1258" t="str">
            <v>FCPEV 1.2- 70Pr</v>
          </cell>
          <cell r="F1258" t="str">
            <v>ｍ</v>
          </cell>
          <cell r="G1258">
            <v>0</v>
          </cell>
          <cell r="H1258">
            <v>2090</v>
          </cell>
          <cell r="I1258">
            <v>0</v>
          </cell>
          <cell r="J1258">
            <v>2090</v>
          </cell>
          <cell r="K1258">
            <v>0</v>
          </cell>
          <cell r="L1258">
            <v>2090</v>
          </cell>
          <cell r="M1258">
            <v>0</v>
          </cell>
          <cell r="N1258">
            <v>2090</v>
          </cell>
          <cell r="O1258">
            <v>0</v>
          </cell>
          <cell r="P1258">
            <v>2090</v>
          </cell>
          <cell r="Q1258">
            <v>0</v>
          </cell>
          <cell r="R1258">
            <v>2090</v>
          </cell>
          <cell r="S1258">
            <v>0</v>
          </cell>
          <cell r="T1258">
            <v>2090</v>
          </cell>
          <cell r="U1258">
            <v>0</v>
          </cell>
          <cell r="V1258">
            <v>2090</v>
          </cell>
          <cell r="W1258">
            <v>0</v>
          </cell>
          <cell r="X1258">
            <v>2090</v>
          </cell>
          <cell r="Y1258">
            <v>0</v>
          </cell>
          <cell r="Z1258">
            <v>2090</v>
          </cell>
          <cell r="AA1258">
            <v>0</v>
          </cell>
          <cell r="AB1258">
            <v>0</v>
          </cell>
          <cell r="AC1258">
            <v>0</v>
          </cell>
          <cell r="AD1258">
            <v>8.2000000000000003E-2</v>
          </cell>
          <cell r="AE1258">
            <v>0</v>
          </cell>
          <cell r="AF1258">
            <v>0</v>
          </cell>
          <cell r="AG1258">
            <v>0</v>
          </cell>
          <cell r="AH1258">
            <v>0</v>
          </cell>
          <cell r="AI1258">
            <v>0</v>
          </cell>
          <cell r="AJ1258">
            <v>0</v>
          </cell>
          <cell r="AK1258">
            <v>0</v>
          </cell>
          <cell r="AL1258">
            <v>0</v>
          </cell>
        </row>
        <row r="1259">
          <cell r="E1259" t="str">
            <v>FCPEV 1.2-100Pr</v>
          </cell>
          <cell r="F1259" t="str">
            <v>ｍ</v>
          </cell>
          <cell r="G1259">
            <v>0</v>
          </cell>
          <cell r="H1259">
            <v>2967</v>
          </cell>
          <cell r="I1259">
            <v>0</v>
          </cell>
          <cell r="J1259">
            <v>2967</v>
          </cell>
          <cell r="K1259">
            <v>0</v>
          </cell>
          <cell r="L1259">
            <v>2967</v>
          </cell>
          <cell r="M1259">
            <v>0</v>
          </cell>
          <cell r="N1259">
            <v>2967</v>
          </cell>
          <cell r="O1259">
            <v>0</v>
          </cell>
          <cell r="P1259">
            <v>2967</v>
          </cell>
          <cell r="Q1259">
            <v>0</v>
          </cell>
          <cell r="R1259">
            <v>2967</v>
          </cell>
          <cell r="S1259">
            <v>0</v>
          </cell>
          <cell r="T1259">
            <v>2967</v>
          </cell>
          <cell r="U1259">
            <v>0</v>
          </cell>
          <cell r="V1259">
            <v>2967</v>
          </cell>
          <cell r="W1259">
            <v>0</v>
          </cell>
          <cell r="X1259">
            <v>2967</v>
          </cell>
          <cell r="Y1259">
            <v>0</v>
          </cell>
          <cell r="Z1259">
            <v>2967</v>
          </cell>
          <cell r="AA1259">
            <v>0</v>
          </cell>
          <cell r="AB1259">
            <v>0</v>
          </cell>
          <cell r="AC1259">
            <v>0</v>
          </cell>
          <cell r="AD1259">
            <v>0.10299999999999999</v>
          </cell>
          <cell r="AE1259">
            <v>0</v>
          </cell>
          <cell r="AF1259">
            <v>0</v>
          </cell>
          <cell r="AG1259">
            <v>0</v>
          </cell>
          <cell r="AH1259">
            <v>0</v>
          </cell>
          <cell r="AI1259">
            <v>0</v>
          </cell>
          <cell r="AJ1259">
            <v>0</v>
          </cell>
          <cell r="AK1259">
            <v>0</v>
          </cell>
          <cell r="AL1259">
            <v>0</v>
          </cell>
        </row>
        <row r="1260">
          <cell r="E1260" t="str">
            <v>FCPEV 1.2-150Pr</v>
          </cell>
          <cell r="F1260" t="str">
            <v>ｍ</v>
          </cell>
          <cell r="G1260">
            <v>0</v>
          </cell>
          <cell r="H1260">
            <v>4380</v>
          </cell>
          <cell r="I1260">
            <v>0</v>
          </cell>
          <cell r="J1260">
            <v>4380</v>
          </cell>
          <cell r="K1260">
            <v>0</v>
          </cell>
          <cell r="L1260">
            <v>4380</v>
          </cell>
          <cell r="M1260">
            <v>0</v>
          </cell>
          <cell r="N1260">
            <v>4380</v>
          </cell>
          <cell r="O1260">
            <v>0</v>
          </cell>
          <cell r="P1260">
            <v>4380</v>
          </cell>
          <cell r="Q1260">
            <v>0</v>
          </cell>
          <cell r="R1260">
            <v>4380</v>
          </cell>
          <cell r="S1260">
            <v>0</v>
          </cell>
          <cell r="T1260">
            <v>4380</v>
          </cell>
          <cell r="U1260">
            <v>0</v>
          </cell>
          <cell r="V1260">
            <v>4380</v>
          </cell>
          <cell r="W1260">
            <v>0</v>
          </cell>
          <cell r="X1260">
            <v>4380</v>
          </cell>
          <cell r="Y1260">
            <v>0</v>
          </cell>
          <cell r="Z1260">
            <v>4380</v>
          </cell>
          <cell r="AA1260">
            <v>0</v>
          </cell>
          <cell r="AB1260">
            <v>0</v>
          </cell>
          <cell r="AC1260">
            <v>0</v>
          </cell>
          <cell r="AD1260">
            <v>0.13300000000000001</v>
          </cell>
          <cell r="AE1260">
            <v>0</v>
          </cell>
          <cell r="AF1260">
            <v>0</v>
          </cell>
          <cell r="AG1260">
            <v>0</v>
          </cell>
          <cell r="AH1260">
            <v>0</v>
          </cell>
          <cell r="AI1260">
            <v>0</v>
          </cell>
          <cell r="AJ1260">
            <v>0</v>
          </cell>
          <cell r="AK1260">
            <v>0</v>
          </cell>
          <cell r="AL1260">
            <v>0</v>
          </cell>
        </row>
        <row r="1261">
          <cell r="E1261" t="str">
            <v>FCPEV 1.2-200Pr</v>
          </cell>
          <cell r="F1261" t="str">
            <v>ｍ</v>
          </cell>
          <cell r="G1261">
            <v>0</v>
          </cell>
          <cell r="H1261">
            <v>5804</v>
          </cell>
          <cell r="I1261">
            <v>0</v>
          </cell>
          <cell r="J1261">
            <v>5804</v>
          </cell>
          <cell r="K1261">
            <v>0</v>
          </cell>
          <cell r="L1261">
            <v>5804</v>
          </cell>
          <cell r="M1261">
            <v>0</v>
          </cell>
          <cell r="N1261">
            <v>5804</v>
          </cell>
          <cell r="O1261">
            <v>0</v>
          </cell>
          <cell r="P1261">
            <v>5804</v>
          </cell>
          <cell r="Q1261">
            <v>0</v>
          </cell>
          <cell r="R1261">
            <v>5804</v>
          </cell>
          <cell r="S1261">
            <v>0</v>
          </cell>
          <cell r="T1261">
            <v>5804</v>
          </cell>
          <cell r="U1261">
            <v>0</v>
          </cell>
          <cell r="V1261">
            <v>5804</v>
          </cell>
          <cell r="W1261">
            <v>0</v>
          </cell>
          <cell r="X1261">
            <v>5804</v>
          </cell>
          <cell r="Y1261">
            <v>0</v>
          </cell>
          <cell r="Z1261">
            <v>5804</v>
          </cell>
          <cell r="AA1261">
            <v>0</v>
          </cell>
          <cell r="AB1261">
            <v>0</v>
          </cell>
          <cell r="AC1261">
            <v>0</v>
          </cell>
          <cell r="AD1261">
            <v>0.151</v>
          </cell>
          <cell r="AE1261">
            <v>0</v>
          </cell>
          <cell r="AF1261">
            <v>0</v>
          </cell>
          <cell r="AG1261">
            <v>0</v>
          </cell>
          <cell r="AH1261">
            <v>0</v>
          </cell>
          <cell r="AI1261">
            <v>0</v>
          </cell>
          <cell r="AJ1261">
            <v>0</v>
          </cell>
          <cell r="AK1261">
            <v>0</v>
          </cell>
          <cell r="AL1261">
            <v>0</v>
          </cell>
        </row>
        <row r="1262">
          <cell r="E1262" t="str">
            <v>KPEV 0.5sq-1Pr</v>
          </cell>
          <cell r="F1262" t="str">
            <v>ｍ</v>
          </cell>
          <cell r="G1262">
            <v>0</v>
          </cell>
          <cell r="H1262">
            <v>56.5</v>
          </cell>
          <cell r="I1262">
            <v>0</v>
          </cell>
          <cell r="J1262">
            <v>56.5</v>
          </cell>
          <cell r="K1262">
            <v>0</v>
          </cell>
          <cell r="L1262">
            <v>56.5</v>
          </cell>
          <cell r="M1262">
            <v>0</v>
          </cell>
          <cell r="N1262">
            <v>56.5</v>
          </cell>
          <cell r="O1262">
            <v>0</v>
          </cell>
          <cell r="P1262">
            <v>56.5</v>
          </cell>
          <cell r="Q1262">
            <v>0</v>
          </cell>
          <cell r="R1262">
            <v>56.5</v>
          </cell>
          <cell r="S1262">
            <v>0</v>
          </cell>
          <cell r="T1262">
            <v>56.5</v>
          </cell>
          <cell r="U1262">
            <v>0</v>
          </cell>
          <cell r="V1262">
            <v>56.5</v>
          </cell>
          <cell r="W1262">
            <v>0</v>
          </cell>
          <cell r="X1262">
            <v>56.5</v>
          </cell>
          <cell r="Y1262">
            <v>0</v>
          </cell>
          <cell r="Z1262">
            <v>56.5</v>
          </cell>
          <cell r="AA1262">
            <v>0</v>
          </cell>
          <cell r="AB1262">
            <v>0</v>
          </cell>
          <cell r="AC1262">
            <v>0</v>
          </cell>
          <cell r="AD1262">
            <v>1.2999999999999999E-2</v>
          </cell>
          <cell r="AE1262">
            <v>0</v>
          </cell>
          <cell r="AF1262">
            <v>0</v>
          </cell>
          <cell r="AG1262">
            <v>0</v>
          </cell>
          <cell r="AH1262">
            <v>0</v>
          </cell>
          <cell r="AI1262">
            <v>0</v>
          </cell>
          <cell r="AJ1262">
            <v>0</v>
          </cell>
          <cell r="AK1262">
            <v>0</v>
          </cell>
          <cell r="AL1262">
            <v>0</v>
          </cell>
        </row>
        <row r="1263">
          <cell r="E1263" t="str">
            <v>KPEV 0.5sq-2Pr</v>
          </cell>
          <cell r="F1263" t="str">
            <v>ｍ</v>
          </cell>
          <cell r="G1263">
            <v>0</v>
          </cell>
          <cell r="H1263">
            <v>114</v>
          </cell>
          <cell r="I1263">
            <v>0</v>
          </cell>
          <cell r="J1263">
            <v>114</v>
          </cell>
          <cell r="K1263">
            <v>0</v>
          </cell>
          <cell r="L1263">
            <v>114</v>
          </cell>
          <cell r="M1263">
            <v>0</v>
          </cell>
          <cell r="N1263">
            <v>114</v>
          </cell>
          <cell r="O1263">
            <v>0</v>
          </cell>
          <cell r="P1263">
            <v>114</v>
          </cell>
          <cell r="Q1263">
            <v>0</v>
          </cell>
          <cell r="R1263">
            <v>114</v>
          </cell>
          <cell r="S1263">
            <v>0</v>
          </cell>
          <cell r="T1263">
            <v>114</v>
          </cell>
          <cell r="U1263">
            <v>0</v>
          </cell>
          <cell r="V1263">
            <v>114</v>
          </cell>
          <cell r="W1263">
            <v>0</v>
          </cell>
          <cell r="X1263">
            <v>114</v>
          </cell>
          <cell r="Y1263">
            <v>0</v>
          </cell>
          <cell r="Z1263">
            <v>114</v>
          </cell>
          <cell r="AA1263">
            <v>0</v>
          </cell>
          <cell r="AB1263">
            <v>0</v>
          </cell>
          <cell r="AC1263">
            <v>0</v>
          </cell>
          <cell r="AD1263">
            <v>1.4E-2</v>
          </cell>
          <cell r="AE1263">
            <v>0</v>
          </cell>
          <cell r="AF1263">
            <v>0</v>
          </cell>
          <cell r="AG1263">
            <v>0</v>
          </cell>
          <cell r="AH1263">
            <v>0</v>
          </cell>
          <cell r="AI1263">
            <v>0</v>
          </cell>
          <cell r="AJ1263">
            <v>0</v>
          </cell>
          <cell r="AK1263">
            <v>0</v>
          </cell>
          <cell r="AL1263">
            <v>0</v>
          </cell>
        </row>
        <row r="1264">
          <cell r="E1264" t="str">
            <v>KPEV 0.5sq-5Pr</v>
          </cell>
          <cell r="F1264" t="str">
            <v>ｍ</v>
          </cell>
          <cell r="G1264">
            <v>0</v>
          </cell>
          <cell r="H1264">
            <v>234</v>
          </cell>
          <cell r="I1264">
            <v>0</v>
          </cell>
          <cell r="J1264">
            <v>234</v>
          </cell>
          <cell r="K1264">
            <v>0</v>
          </cell>
          <cell r="L1264">
            <v>234</v>
          </cell>
          <cell r="M1264">
            <v>0</v>
          </cell>
          <cell r="N1264">
            <v>234</v>
          </cell>
          <cell r="O1264">
            <v>0</v>
          </cell>
          <cell r="P1264">
            <v>234</v>
          </cell>
          <cell r="Q1264">
            <v>0</v>
          </cell>
          <cell r="R1264">
            <v>234</v>
          </cell>
          <cell r="S1264">
            <v>0</v>
          </cell>
          <cell r="T1264">
            <v>234</v>
          </cell>
          <cell r="U1264">
            <v>0</v>
          </cell>
          <cell r="V1264">
            <v>234</v>
          </cell>
          <cell r="W1264">
            <v>0</v>
          </cell>
          <cell r="X1264">
            <v>234</v>
          </cell>
          <cell r="Y1264">
            <v>0</v>
          </cell>
          <cell r="Z1264">
            <v>234</v>
          </cell>
          <cell r="AA1264">
            <v>0</v>
          </cell>
          <cell r="AB1264">
            <v>0</v>
          </cell>
          <cell r="AC1264">
            <v>0</v>
          </cell>
          <cell r="AD1264">
            <v>1.4999999999999999E-2</v>
          </cell>
          <cell r="AE1264">
            <v>0</v>
          </cell>
          <cell r="AF1264">
            <v>0</v>
          </cell>
          <cell r="AG1264">
            <v>0</v>
          </cell>
          <cell r="AH1264">
            <v>0</v>
          </cell>
          <cell r="AI1264">
            <v>0</v>
          </cell>
          <cell r="AJ1264">
            <v>0</v>
          </cell>
          <cell r="AK1264">
            <v>0</v>
          </cell>
          <cell r="AL1264">
            <v>0</v>
          </cell>
        </row>
        <row r="1265">
          <cell r="E1265" t="str">
            <v>KPEV 0.5sq-10Pr</v>
          </cell>
          <cell r="F1265" t="str">
            <v>ｍ</v>
          </cell>
          <cell r="G1265">
            <v>0</v>
          </cell>
          <cell r="H1265">
            <v>446</v>
          </cell>
          <cell r="I1265">
            <v>0</v>
          </cell>
          <cell r="J1265">
            <v>446</v>
          </cell>
          <cell r="K1265">
            <v>0</v>
          </cell>
          <cell r="L1265">
            <v>446</v>
          </cell>
          <cell r="M1265">
            <v>0</v>
          </cell>
          <cell r="N1265">
            <v>446</v>
          </cell>
          <cell r="O1265">
            <v>0</v>
          </cell>
          <cell r="P1265">
            <v>446</v>
          </cell>
          <cell r="Q1265">
            <v>0</v>
          </cell>
          <cell r="R1265">
            <v>446</v>
          </cell>
          <cell r="S1265">
            <v>0</v>
          </cell>
          <cell r="T1265">
            <v>446</v>
          </cell>
          <cell r="U1265">
            <v>0</v>
          </cell>
          <cell r="V1265">
            <v>446</v>
          </cell>
          <cell r="W1265">
            <v>0</v>
          </cell>
          <cell r="X1265">
            <v>446</v>
          </cell>
          <cell r="Y1265">
            <v>0</v>
          </cell>
          <cell r="Z1265">
            <v>446</v>
          </cell>
          <cell r="AA1265">
            <v>0</v>
          </cell>
          <cell r="AB1265">
            <v>0</v>
          </cell>
          <cell r="AC1265">
            <v>0</v>
          </cell>
          <cell r="AD1265">
            <v>1.7000000000000001E-2</v>
          </cell>
          <cell r="AE1265">
            <v>0</v>
          </cell>
          <cell r="AF1265">
            <v>0</v>
          </cell>
          <cell r="AG1265">
            <v>0</v>
          </cell>
          <cell r="AH1265">
            <v>0</v>
          </cell>
          <cell r="AI1265">
            <v>0</v>
          </cell>
          <cell r="AJ1265">
            <v>0</v>
          </cell>
          <cell r="AK1265">
            <v>0</v>
          </cell>
          <cell r="AL1265">
            <v>0</v>
          </cell>
        </row>
        <row r="1266">
          <cell r="E1266" t="str">
            <v>KPEV 0.5sq-15Pr</v>
          </cell>
          <cell r="F1266" t="str">
            <v>ｍ</v>
          </cell>
          <cell r="G1266">
            <v>0</v>
          </cell>
          <cell r="H1266">
            <v>651</v>
          </cell>
          <cell r="I1266">
            <v>0</v>
          </cell>
          <cell r="J1266">
            <v>651</v>
          </cell>
          <cell r="K1266">
            <v>0</v>
          </cell>
          <cell r="L1266">
            <v>651</v>
          </cell>
          <cell r="M1266">
            <v>0</v>
          </cell>
          <cell r="N1266">
            <v>651</v>
          </cell>
          <cell r="O1266">
            <v>0</v>
          </cell>
          <cell r="P1266">
            <v>651</v>
          </cell>
          <cell r="Q1266">
            <v>0</v>
          </cell>
          <cell r="R1266">
            <v>651</v>
          </cell>
          <cell r="S1266">
            <v>0</v>
          </cell>
          <cell r="T1266">
            <v>651</v>
          </cell>
          <cell r="U1266">
            <v>0</v>
          </cell>
          <cell r="V1266">
            <v>651</v>
          </cell>
          <cell r="W1266">
            <v>0</v>
          </cell>
          <cell r="X1266">
            <v>651</v>
          </cell>
          <cell r="Y1266">
            <v>0</v>
          </cell>
          <cell r="Z1266">
            <v>651</v>
          </cell>
          <cell r="AA1266">
            <v>0</v>
          </cell>
          <cell r="AB1266">
            <v>0</v>
          </cell>
          <cell r="AC1266">
            <v>0</v>
          </cell>
          <cell r="AD1266">
            <v>1.7999999999999999E-2</v>
          </cell>
          <cell r="AE1266">
            <v>0</v>
          </cell>
          <cell r="AF1266">
            <v>0</v>
          </cell>
          <cell r="AG1266">
            <v>0</v>
          </cell>
          <cell r="AH1266">
            <v>0</v>
          </cell>
          <cell r="AI1266">
            <v>0</v>
          </cell>
          <cell r="AJ1266">
            <v>0</v>
          </cell>
          <cell r="AK1266">
            <v>0</v>
          </cell>
          <cell r="AL1266">
            <v>0</v>
          </cell>
        </row>
        <row r="1267">
          <cell r="E1267" t="str">
            <v>KPEV 0.5sq-20Pr</v>
          </cell>
          <cell r="F1267" t="str">
            <v>ｍ</v>
          </cell>
          <cell r="G1267">
            <v>0</v>
          </cell>
          <cell r="H1267">
            <v>857</v>
          </cell>
          <cell r="I1267">
            <v>0</v>
          </cell>
          <cell r="J1267">
            <v>857</v>
          </cell>
          <cell r="K1267">
            <v>0</v>
          </cell>
          <cell r="L1267">
            <v>857</v>
          </cell>
          <cell r="M1267">
            <v>0</v>
          </cell>
          <cell r="N1267">
            <v>857</v>
          </cell>
          <cell r="O1267">
            <v>0</v>
          </cell>
          <cell r="P1267">
            <v>857</v>
          </cell>
          <cell r="Q1267">
            <v>0</v>
          </cell>
          <cell r="R1267">
            <v>857</v>
          </cell>
          <cell r="S1267">
            <v>0</v>
          </cell>
          <cell r="T1267">
            <v>857</v>
          </cell>
          <cell r="U1267">
            <v>0</v>
          </cell>
          <cell r="V1267">
            <v>857</v>
          </cell>
          <cell r="W1267">
            <v>0</v>
          </cell>
          <cell r="X1267">
            <v>857</v>
          </cell>
          <cell r="Y1267">
            <v>0</v>
          </cell>
          <cell r="Z1267">
            <v>857</v>
          </cell>
          <cell r="AA1267">
            <v>0</v>
          </cell>
          <cell r="AB1267">
            <v>0</v>
          </cell>
          <cell r="AC1267">
            <v>0</v>
          </cell>
          <cell r="AD1267">
            <v>0.02</v>
          </cell>
          <cell r="AE1267">
            <v>0</v>
          </cell>
          <cell r="AF1267">
            <v>0</v>
          </cell>
          <cell r="AG1267">
            <v>0</v>
          </cell>
          <cell r="AH1267">
            <v>0</v>
          </cell>
          <cell r="AI1267">
            <v>0</v>
          </cell>
          <cell r="AJ1267">
            <v>0</v>
          </cell>
          <cell r="AK1267">
            <v>0</v>
          </cell>
          <cell r="AL1267">
            <v>0</v>
          </cell>
        </row>
        <row r="1268">
          <cell r="E1268" t="str">
            <v>KPEV 0.5sq-25Pr</v>
          </cell>
          <cell r="F1268" t="str">
            <v>ｍ</v>
          </cell>
          <cell r="G1268">
            <v>0</v>
          </cell>
          <cell r="H1268">
            <v>1067</v>
          </cell>
          <cell r="I1268">
            <v>0</v>
          </cell>
          <cell r="J1268">
            <v>1067</v>
          </cell>
          <cell r="K1268">
            <v>0</v>
          </cell>
          <cell r="L1268">
            <v>1067</v>
          </cell>
          <cell r="M1268">
            <v>0</v>
          </cell>
          <cell r="N1268">
            <v>1067</v>
          </cell>
          <cell r="O1268">
            <v>0</v>
          </cell>
          <cell r="P1268">
            <v>1067</v>
          </cell>
          <cell r="Q1268">
            <v>0</v>
          </cell>
          <cell r="R1268">
            <v>1067</v>
          </cell>
          <cell r="S1268">
            <v>0</v>
          </cell>
          <cell r="T1268">
            <v>1067</v>
          </cell>
          <cell r="U1268">
            <v>0</v>
          </cell>
          <cell r="V1268">
            <v>1067</v>
          </cell>
          <cell r="W1268">
            <v>0</v>
          </cell>
          <cell r="X1268">
            <v>1067</v>
          </cell>
          <cell r="Y1268">
            <v>0</v>
          </cell>
          <cell r="Z1268">
            <v>1067</v>
          </cell>
          <cell r="AA1268">
            <v>0</v>
          </cell>
          <cell r="AB1268">
            <v>0</v>
          </cell>
          <cell r="AC1268">
            <v>0</v>
          </cell>
          <cell r="AD1268">
            <v>2.1999999999999999E-2</v>
          </cell>
          <cell r="AE1268">
            <v>0</v>
          </cell>
          <cell r="AF1268">
            <v>0</v>
          </cell>
          <cell r="AG1268">
            <v>0</v>
          </cell>
          <cell r="AH1268">
            <v>0</v>
          </cell>
          <cell r="AI1268">
            <v>0</v>
          </cell>
          <cell r="AJ1268">
            <v>0</v>
          </cell>
          <cell r="AK1268">
            <v>0</v>
          </cell>
          <cell r="AL1268">
            <v>0</v>
          </cell>
        </row>
        <row r="1269">
          <cell r="E1269" t="str">
            <v>KPEV 0.5sq-30Pr</v>
          </cell>
          <cell r="F1269" t="str">
            <v>ｍ</v>
          </cell>
          <cell r="G1269">
            <v>0</v>
          </cell>
          <cell r="H1269">
            <v>1271</v>
          </cell>
          <cell r="I1269">
            <v>0</v>
          </cell>
          <cell r="J1269">
            <v>1271</v>
          </cell>
          <cell r="K1269">
            <v>0</v>
          </cell>
          <cell r="L1269">
            <v>1271</v>
          </cell>
          <cell r="M1269">
            <v>0</v>
          </cell>
          <cell r="N1269">
            <v>1271</v>
          </cell>
          <cell r="O1269">
            <v>0</v>
          </cell>
          <cell r="P1269">
            <v>1271</v>
          </cell>
          <cell r="Q1269">
            <v>0</v>
          </cell>
          <cell r="R1269">
            <v>1271</v>
          </cell>
          <cell r="S1269">
            <v>0</v>
          </cell>
          <cell r="T1269">
            <v>1271</v>
          </cell>
          <cell r="U1269">
            <v>0</v>
          </cell>
          <cell r="V1269">
            <v>1271</v>
          </cell>
          <cell r="W1269">
            <v>0</v>
          </cell>
          <cell r="X1269">
            <v>1271</v>
          </cell>
          <cell r="Y1269">
            <v>0</v>
          </cell>
          <cell r="Z1269">
            <v>1271</v>
          </cell>
          <cell r="AA1269">
            <v>0</v>
          </cell>
          <cell r="AB1269">
            <v>0</v>
          </cell>
          <cell r="AC1269">
            <v>0</v>
          </cell>
          <cell r="AD1269">
            <v>2.4E-2</v>
          </cell>
          <cell r="AE1269">
            <v>0</v>
          </cell>
          <cell r="AF1269">
            <v>0</v>
          </cell>
          <cell r="AG1269">
            <v>0</v>
          </cell>
          <cell r="AH1269">
            <v>0</v>
          </cell>
          <cell r="AI1269">
            <v>0</v>
          </cell>
          <cell r="AJ1269">
            <v>0</v>
          </cell>
          <cell r="AK1269">
            <v>0</v>
          </cell>
          <cell r="AL1269">
            <v>0</v>
          </cell>
        </row>
        <row r="1270">
          <cell r="E1270" t="str">
            <v>KPEV 0.5sq-40Pr</v>
          </cell>
          <cell r="F1270" t="str">
            <v>ｍ</v>
          </cell>
          <cell r="G1270">
            <v>0</v>
          </cell>
          <cell r="H1270">
            <v>1692</v>
          </cell>
          <cell r="I1270">
            <v>0</v>
          </cell>
          <cell r="J1270">
            <v>1692</v>
          </cell>
          <cell r="K1270">
            <v>0</v>
          </cell>
          <cell r="L1270">
            <v>1692</v>
          </cell>
          <cell r="M1270">
            <v>0</v>
          </cell>
          <cell r="N1270">
            <v>1692</v>
          </cell>
          <cell r="O1270">
            <v>0</v>
          </cell>
          <cell r="P1270">
            <v>1692</v>
          </cell>
          <cell r="Q1270">
            <v>0</v>
          </cell>
          <cell r="R1270">
            <v>1692</v>
          </cell>
          <cell r="S1270">
            <v>0</v>
          </cell>
          <cell r="T1270">
            <v>1692</v>
          </cell>
          <cell r="U1270">
            <v>0</v>
          </cell>
          <cell r="V1270">
            <v>1692</v>
          </cell>
          <cell r="W1270">
            <v>0</v>
          </cell>
          <cell r="X1270">
            <v>1692</v>
          </cell>
          <cell r="Y1270">
            <v>0</v>
          </cell>
          <cell r="Z1270">
            <v>1692</v>
          </cell>
          <cell r="AA1270">
            <v>0</v>
          </cell>
          <cell r="AB1270">
            <v>0</v>
          </cell>
          <cell r="AC1270">
            <v>0</v>
          </cell>
          <cell r="AD1270">
            <v>2.9000000000000001E-2</v>
          </cell>
          <cell r="AE1270">
            <v>0</v>
          </cell>
          <cell r="AF1270">
            <v>0</v>
          </cell>
          <cell r="AG1270">
            <v>0</v>
          </cell>
          <cell r="AH1270">
            <v>0</v>
          </cell>
          <cell r="AI1270">
            <v>0</v>
          </cell>
          <cell r="AJ1270">
            <v>0</v>
          </cell>
          <cell r="AK1270">
            <v>0</v>
          </cell>
          <cell r="AL1270">
            <v>0</v>
          </cell>
        </row>
        <row r="1271">
          <cell r="E1271" t="str">
            <v>KPEV 0.5sq-50Pr</v>
          </cell>
          <cell r="F1271" t="str">
            <v>ｍ</v>
          </cell>
          <cell r="G1271">
            <v>0</v>
          </cell>
          <cell r="H1271">
            <v>2084</v>
          </cell>
          <cell r="I1271">
            <v>0</v>
          </cell>
          <cell r="J1271">
            <v>2084</v>
          </cell>
          <cell r="K1271">
            <v>0</v>
          </cell>
          <cell r="L1271">
            <v>2084</v>
          </cell>
          <cell r="M1271">
            <v>0</v>
          </cell>
          <cell r="N1271">
            <v>2084</v>
          </cell>
          <cell r="O1271">
            <v>0</v>
          </cell>
          <cell r="P1271">
            <v>2084</v>
          </cell>
          <cell r="Q1271">
            <v>0</v>
          </cell>
          <cell r="R1271">
            <v>2084</v>
          </cell>
          <cell r="S1271">
            <v>0</v>
          </cell>
          <cell r="T1271">
            <v>2084</v>
          </cell>
          <cell r="U1271">
            <v>0</v>
          </cell>
          <cell r="V1271">
            <v>2084</v>
          </cell>
          <cell r="W1271">
            <v>0</v>
          </cell>
          <cell r="X1271">
            <v>2084</v>
          </cell>
          <cell r="Y1271">
            <v>0</v>
          </cell>
          <cell r="Z1271">
            <v>2084</v>
          </cell>
          <cell r="AA1271">
            <v>0</v>
          </cell>
          <cell r="AB1271">
            <v>0</v>
          </cell>
          <cell r="AC1271">
            <v>0</v>
          </cell>
          <cell r="AD1271">
            <v>3.9E-2</v>
          </cell>
          <cell r="AE1271">
            <v>0</v>
          </cell>
          <cell r="AF1271">
            <v>0</v>
          </cell>
          <cell r="AG1271">
            <v>0</v>
          </cell>
          <cell r="AH1271">
            <v>0</v>
          </cell>
          <cell r="AI1271">
            <v>0</v>
          </cell>
          <cell r="AJ1271">
            <v>0</v>
          </cell>
          <cell r="AK1271">
            <v>0</v>
          </cell>
          <cell r="AL1271">
            <v>0</v>
          </cell>
        </row>
        <row r="1272">
          <cell r="E1272" t="str">
            <v>KPEV 0.5sq-60Pr</v>
          </cell>
          <cell r="F1272" t="str">
            <v>ｍ</v>
          </cell>
          <cell r="G1272">
            <v>0</v>
          </cell>
          <cell r="H1272">
            <v>2491</v>
          </cell>
          <cell r="I1272">
            <v>0</v>
          </cell>
          <cell r="J1272">
            <v>2491</v>
          </cell>
          <cell r="K1272">
            <v>0</v>
          </cell>
          <cell r="L1272">
            <v>2491</v>
          </cell>
          <cell r="M1272">
            <v>0</v>
          </cell>
          <cell r="N1272">
            <v>2491</v>
          </cell>
          <cell r="O1272">
            <v>0</v>
          </cell>
          <cell r="P1272">
            <v>2491</v>
          </cell>
          <cell r="Q1272">
            <v>0</v>
          </cell>
          <cell r="R1272">
            <v>2491</v>
          </cell>
          <cell r="S1272">
            <v>0</v>
          </cell>
          <cell r="T1272">
            <v>2491</v>
          </cell>
          <cell r="U1272">
            <v>0</v>
          </cell>
          <cell r="V1272">
            <v>2491</v>
          </cell>
          <cell r="W1272">
            <v>0</v>
          </cell>
          <cell r="X1272">
            <v>2491</v>
          </cell>
          <cell r="Y1272">
            <v>0</v>
          </cell>
          <cell r="Z1272">
            <v>2491</v>
          </cell>
          <cell r="AA1272">
            <v>0</v>
          </cell>
          <cell r="AB1272">
            <v>0</v>
          </cell>
          <cell r="AC1272">
            <v>0</v>
          </cell>
          <cell r="AD1272">
            <v>5.0999999999999997E-2</v>
          </cell>
          <cell r="AE1272">
            <v>0</v>
          </cell>
          <cell r="AF1272">
            <v>0</v>
          </cell>
          <cell r="AG1272">
            <v>0</v>
          </cell>
          <cell r="AH1272">
            <v>0</v>
          </cell>
          <cell r="AI1272">
            <v>0</v>
          </cell>
          <cell r="AJ1272">
            <v>0</v>
          </cell>
          <cell r="AK1272">
            <v>0</v>
          </cell>
          <cell r="AL1272">
            <v>0</v>
          </cell>
        </row>
        <row r="1273">
          <cell r="E1273" t="str">
            <v>KPEV 0.5sq-70Pr</v>
          </cell>
          <cell r="F1273" t="str">
            <v>ｍ</v>
          </cell>
          <cell r="G1273">
            <v>0</v>
          </cell>
          <cell r="H1273">
            <v>2898</v>
          </cell>
          <cell r="I1273">
            <v>0</v>
          </cell>
          <cell r="J1273">
            <v>2898</v>
          </cell>
          <cell r="K1273">
            <v>0</v>
          </cell>
          <cell r="L1273">
            <v>2898</v>
          </cell>
          <cell r="M1273">
            <v>0</v>
          </cell>
          <cell r="N1273">
            <v>2898</v>
          </cell>
          <cell r="O1273">
            <v>0</v>
          </cell>
          <cell r="P1273">
            <v>2898</v>
          </cell>
          <cell r="Q1273">
            <v>0</v>
          </cell>
          <cell r="R1273">
            <v>2898</v>
          </cell>
          <cell r="S1273">
            <v>0</v>
          </cell>
          <cell r="T1273">
            <v>2898</v>
          </cell>
          <cell r="U1273">
            <v>0</v>
          </cell>
          <cell r="V1273">
            <v>2898</v>
          </cell>
          <cell r="W1273">
            <v>0</v>
          </cell>
          <cell r="X1273">
            <v>2898</v>
          </cell>
          <cell r="Y1273">
            <v>0</v>
          </cell>
          <cell r="Z1273">
            <v>2898</v>
          </cell>
          <cell r="AA1273">
            <v>0</v>
          </cell>
          <cell r="AB1273">
            <v>0</v>
          </cell>
          <cell r="AC1273">
            <v>0</v>
          </cell>
          <cell r="AD1273">
            <v>6.4000000000000001E-2</v>
          </cell>
          <cell r="AE1273">
            <v>0</v>
          </cell>
          <cell r="AF1273">
            <v>0</v>
          </cell>
          <cell r="AG1273">
            <v>0</v>
          </cell>
          <cell r="AH1273">
            <v>0</v>
          </cell>
          <cell r="AI1273">
            <v>0</v>
          </cell>
          <cell r="AJ1273">
            <v>0</v>
          </cell>
          <cell r="AK1273">
            <v>0</v>
          </cell>
          <cell r="AL1273">
            <v>0</v>
          </cell>
        </row>
        <row r="1274">
          <cell r="E1274" t="str">
            <v>KPEV 0.5sq-80Pr</v>
          </cell>
          <cell r="F1274" t="str">
            <v>ｍ</v>
          </cell>
          <cell r="G1274">
            <v>0</v>
          </cell>
          <cell r="H1274">
            <v>3298</v>
          </cell>
          <cell r="I1274">
            <v>0</v>
          </cell>
          <cell r="J1274">
            <v>3298</v>
          </cell>
          <cell r="K1274">
            <v>0</v>
          </cell>
          <cell r="L1274">
            <v>3298</v>
          </cell>
          <cell r="M1274">
            <v>0</v>
          </cell>
          <cell r="N1274">
            <v>3298</v>
          </cell>
          <cell r="O1274">
            <v>0</v>
          </cell>
          <cell r="P1274">
            <v>3298</v>
          </cell>
          <cell r="Q1274">
            <v>0</v>
          </cell>
          <cell r="R1274">
            <v>3298</v>
          </cell>
          <cell r="S1274">
            <v>0</v>
          </cell>
          <cell r="T1274">
            <v>3298</v>
          </cell>
          <cell r="U1274">
            <v>0</v>
          </cell>
          <cell r="V1274">
            <v>3298</v>
          </cell>
          <cell r="W1274">
            <v>0</v>
          </cell>
          <cell r="X1274">
            <v>3298</v>
          </cell>
          <cell r="Y1274">
            <v>0</v>
          </cell>
          <cell r="Z1274">
            <v>3298</v>
          </cell>
          <cell r="AA1274">
            <v>0</v>
          </cell>
          <cell r="AB1274">
            <v>0</v>
          </cell>
          <cell r="AC1274">
            <v>0</v>
          </cell>
          <cell r="AD1274">
            <v>8.3000000000000004E-2</v>
          </cell>
          <cell r="AE1274">
            <v>0</v>
          </cell>
          <cell r="AF1274">
            <v>0</v>
          </cell>
          <cell r="AG1274">
            <v>0</v>
          </cell>
          <cell r="AH1274">
            <v>0</v>
          </cell>
          <cell r="AI1274">
            <v>0</v>
          </cell>
          <cell r="AJ1274">
            <v>0</v>
          </cell>
          <cell r="AK1274">
            <v>0</v>
          </cell>
          <cell r="AL1274">
            <v>0</v>
          </cell>
        </row>
        <row r="1275">
          <cell r="E1275" t="str">
            <v>KPEV 0.5sq-100Pr</v>
          </cell>
          <cell r="F1275" t="str">
            <v>ｍ</v>
          </cell>
          <cell r="G1275">
            <v>0</v>
          </cell>
          <cell r="H1275">
            <v>4090</v>
          </cell>
          <cell r="I1275">
            <v>0</v>
          </cell>
          <cell r="J1275">
            <v>4090</v>
          </cell>
          <cell r="K1275">
            <v>0</v>
          </cell>
          <cell r="L1275">
            <v>4090</v>
          </cell>
          <cell r="M1275">
            <v>0</v>
          </cell>
          <cell r="N1275">
            <v>4090</v>
          </cell>
          <cell r="O1275">
            <v>0</v>
          </cell>
          <cell r="P1275">
            <v>4090</v>
          </cell>
          <cell r="Q1275">
            <v>0</v>
          </cell>
          <cell r="R1275">
            <v>4090</v>
          </cell>
          <cell r="S1275">
            <v>0</v>
          </cell>
          <cell r="T1275">
            <v>4090</v>
          </cell>
          <cell r="U1275">
            <v>0</v>
          </cell>
          <cell r="V1275">
            <v>4090</v>
          </cell>
          <cell r="W1275">
            <v>0</v>
          </cell>
          <cell r="X1275">
            <v>4090</v>
          </cell>
          <cell r="Y1275">
            <v>0</v>
          </cell>
          <cell r="Z1275">
            <v>4090</v>
          </cell>
          <cell r="AA1275">
            <v>0</v>
          </cell>
          <cell r="AB1275">
            <v>0</v>
          </cell>
          <cell r="AC1275">
            <v>0</v>
          </cell>
          <cell r="AD1275">
            <v>9.5000000000000001E-2</v>
          </cell>
          <cell r="AE1275">
            <v>0</v>
          </cell>
          <cell r="AF1275">
            <v>0</v>
          </cell>
          <cell r="AG1275">
            <v>0</v>
          </cell>
          <cell r="AH1275">
            <v>0</v>
          </cell>
          <cell r="AI1275">
            <v>0</v>
          </cell>
          <cell r="AJ1275">
            <v>0</v>
          </cell>
          <cell r="AK1275">
            <v>0</v>
          </cell>
          <cell r="AL1275">
            <v>0</v>
          </cell>
        </row>
        <row r="1276">
          <cell r="E1276" t="str">
            <v>KPEV 0.75sq-1Pr</v>
          </cell>
          <cell r="F1276" t="str">
            <v>ｍ</v>
          </cell>
          <cell r="G1276">
            <v>0</v>
          </cell>
          <cell r="H1276">
            <v>59.8</v>
          </cell>
          <cell r="I1276">
            <v>0</v>
          </cell>
          <cell r="J1276">
            <v>59.8</v>
          </cell>
          <cell r="K1276">
            <v>0</v>
          </cell>
          <cell r="L1276">
            <v>59.8</v>
          </cell>
          <cell r="M1276">
            <v>0</v>
          </cell>
          <cell r="N1276">
            <v>59.8</v>
          </cell>
          <cell r="O1276">
            <v>0</v>
          </cell>
          <cell r="P1276">
            <v>59.8</v>
          </cell>
          <cell r="Q1276">
            <v>0</v>
          </cell>
          <cell r="R1276">
            <v>59.8</v>
          </cell>
          <cell r="S1276">
            <v>0</v>
          </cell>
          <cell r="T1276">
            <v>59.8</v>
          </cell>
          <cell r="U1276">
            <v>0</v>
          </cell>
          <cell r="V1276">
            <v>59.8</v>
          </cell>
          <cell r="W1276">
            <v>0</v>
          </cell>
          <cell r="X1276">
            <v>59.8</v>
          </cell>
          <cell r="Y1276">
            <v>0</v>
          </cell>
          <cell r="Z1276">
            <v>59.8</v>
          </cell>
          <cell r="AA1276">
            <v>0</v>
          </cell>
          <cell r="AB1276">
            <v>0</v>
          </cell>
          <cell r="AC1276">
            <v>0</v>
          </cell>
          <cell r="AD1276">
            <v>1.6E-2</v>
          </cell>
          <cell r="AE1276">
            <v>0</v>
          </cell>
          <cell r="AF1276">
            <v>0</v>
          </cell>
          <cell r="AG1276">
            <v>0</v>
          </cell>
          <cell r="AH1276">
            <v>0</v>
          </cell>
          <cell r="AI1276">
            <v>0</v>
          </cell>
          <cell r="AJ1276">
            <v>0</v>
          </cell>
          <cell r="AK1276">
            <v>0</v>
          </cell>
          <cell r="AL1276">
            <v>0</v>
          </cell>
        </row>
        <row r="1277">
          <cell r="E1277" t="str">
            <v>KPEV 0.75sq-2Pr</v>
          </cell>
          <cell r="F1277" t="str">
            <v>ｍ</v>
          </cell>
          <cell r="G1277">
            <v>0</v>
          </cell>
          <cell r="H1277">
            <v>125</v>
          </cell>
          <cell r="I1277">
            <v>0</v>
          </cell>
          <cell r="J1277">
            <v>125</v>
          </cell>
          <cell r="K1277">
            <v>0</v>
          </cell>
          <cell r="L1277">
            <v>125</v>
          </cell>
          <cell r="M1277">
            <v>0</v>
          </cell>
          <cell r="N1277">
            <v>125</v>
          </cell>
          <cell r="O1277">
            <v>0</v>
          </cell>
          <cell r="P1277">
            <v>125</v>
          </cell>
          <cell r="Q1277">
            <v>0</v>
          </cell>
          <cell r="R1277">
            <v>125</v>
          </cell>
          <cell r="S1277">
            <v>0</v>
          </cell>
          <cell r="T1277">
            <v>125</v>
          </cell>
          <cell r="U1277">
            <v>0</v>
          </cell>
          <cell r="V1277">
            <v>125</v>
          </cell>
          <cell r="W1277">
            <v>0</v>
          </cell>
          <cell r="X1277">
            <v>125</v>
          </cell>
          <cell r="Y1277">
            <v>0</v>
          </cell>
          <cell r="Z1277">
            <v>125</v>
          </cell>
          <cell r="AA1277">
            <v>0</v>
          </cell>
          <cell r="AB1277">
            <v>0</v>
          </cell>
          <cell r="AC1277">
            <v>0</v>
          </cell>
          <cell r="AD1277">
            <v>1.7999999999999999E-2</v>
          </cell>
          <cell r="AE1277">
            <v>0</v>
          </cell>
          <cell r="AF1277">
            <v>0</v>
          </cell>
          <cell r="AG1277">
            <v>0</v>
          </cell>
          <cell r="AH1277">
            <v>0</v>
          </cell>
          <cell r="AI1277">
            <v>0</v>
          </cell>
          <cell r="AJ1277">
            <v>0</v>
          </cell>
          <cell r="AK1277">
            <v>0</v>
          </cell>
          <cell r="AL1277">
            <v>0</v>
          </cell>
        </row>
        <row r="1278">
          <cell r="E1278" t="str">
            <v>KPEV 0.75sq-5Pr</v>
          </cell>
          <cell r="F1278" t="str">
            <v>ｍ</v>
          </cell>
          <cell r="G1278">
            <v>0</v>
          </cell>
          <cell r="H1278">
            <v>244</v>
          </cell>
          <cell r="I1278">
            <v>0</v>
          </cell>
          <cell r="J1278">
            <v>244</v>
          </cell>
          <cell r="K1278">
            <v>0</v>
          </cell>
          <cell r="L1278">
            <v>244</v>
          </cell>
          <cell r="M1278">
            <v>0</v>
          </cell>
          <cell r="N1278">
            <v>244</v>
          </cell>
          <cell r="O1278">
            <v>0</v>
          </cell>
          <cell r="P1278">
            <v>244</v>
          </cell>
          <cell r="Q1278">
            <v>0</v>
          </cell>
          <cell r="R1278">
            <v>244</v>
          </cell>
          <cell r="S1278">
            <v>0</v>
          </cell>
          <cell r="T1278">
            <v>244</v>
          </cell>
          <cell r="U1278">
            <v>0</v>
          </cell>
          <cell r="V1278">
            <v>244</v>
          </cell>
          <cell r="W1278">
            <v>0</v>
          </cell>
          <cell r="X1278">
            <v>244</v>
          </cell>
          <cell r="Y1278">
            <v>0</v>
          </cell>
          <cell r="Z1278">
            <v>244</v>
          </cell>
          <cell r="AA1278">
            <v>0</v>
          </cell>
          <cell r="AB1278">
            <v>0</v>
          </cell>
          <cell r="AC1278">
            <v>0</v>
          </cell>
          <cell r="AD1278">
            <v>0.02</v>
          </cell>
          <cell r="AE1278">
            <v>0</v>
          </cell>
          <cell r="AF1278">
            <v>0</v>
          </cell>
          <cell r="AG1278">
            <v>0</v>
          </cell>
          <cell r="AH1278">
            <v>0</v>
          </cell>
          <cell r="AI1278">
            <v>0</v>
          </cell>
          <cell r="AJ1278">
            <v>0</v>
          </cell>
          <cell r="AK1278">
            <v>0</v>
          </cell>
          <cell r="AL1278">
            <v>0</v>
          </cell>
        </row>
        <row r="1279">
          <cell r="E1279" t="str">
            <v>KPEV 0.75sq-10Pr</v>
          </cell>
          <cell r="F1279" t="str">
            <v>ｍ</v>
          </cell>
          <cell r="G1279">
            <v>0</v>
          </cell>
          <cell r="H1279">
            <v>464</v>
          </cell>
          <cell r="I1279">
            <v>0</v>
          </cell>
          <cell r="J1279">
            <v>464</v>
          </cell>
          <cell r="K1279">
            <v>0</v>
          </cell>
          <cell r="L1279">
            <v>464</v>
          </cell>
          <cell r="M1279">
            <v>0</v>
          </cell>
          <cell r="N1279">
            <v>464</v>
          </cell>
          <cell r="O1279">
            <v>0</v>
          </cell>
          <cell r="P1279">
            <v>464</v>
          </cell>
          <cell r="Q1279">
            <v>0</v>
          </cell>
          <cell r="R1279">
            <v>464</v>
          </cell>
          <cell r="S1279">
            <v>0</v>
          </cell>
          <cell r="T1279">
            <v>464</v>
          </cell>
          <cell r="U1279">
            <v>0</v>
          </cell>
          <cell r="V1279">
            <v>464</v>
          </cell>
          <cell r="W1279">
            <v>0</v>
          </cell>
          <cell r="X1279">
            <v>464</v>
          </cell>
          <cell r="Y1279">
            <v>0</v>
          </cell>
          <cell r="Z1279">
            <v>464</v>
          </cell>
          <cell r="AA1279">
            <v>0</v>
          </cell>
          <cell r="AB1279">
            <v>0</v>
          </cell>
          <cell r="AC1279">
            <v>0</v>
          </cell>
          <cell r="AD1279">
            <v>2.1999999999999999E-2</v>
          </cell>
          <cell r="AE1279">
            <v>0</v>
          </cell>
          <cell r="AF1279">
            <v>0</v>
          </cell>
          <cell r="AG1279">
            <v>0</v>
          </cell>
          <cell r="AH1279">
            <v>0</v>
          </cell>
          <cell r="AI1279">
            <v>0</v>
          </cell>
          <cell r="AJ1279">
            <v>0</v>
          </cell>
          <cell r="AK1279">
            <v>0</v>
          </cell>
          <cell r="AL1279">
            <v>0</v>
          </cell>
        </row>
        <row r="1280">
          <cell r="E1280" t="str">
            <v>KPEV 0.75sq-15Pr</v>
          </cell>
          <cell r="F1280" t="str">
            <v>ｍ</v>
          </cell>
          <cell r="G1280">
            <v>0</v>
          </cell>
          <cell r="H1280">
            <v>680</v>
          </cell>
          <cell r="I1280">
            <v>0</v>
          </cell>
          <cell r="J1280">
            <v>680</v>
          </cell>
          <cell r="K1280">
            <v>0</v>
          </cell>
          <cell r="L1280">
            <v>680</v>
          </cell>
          <cell r="M1280">
            <v>0</v>
          </cell>
          <cell r="N1280">
            <v>680</v>
          </cell>
          <cell r="O1280">
            <v>0</v>
          </cell>
          <cell r="P1280">
            <v>680</v>
          </cell>
          <cell r="Q1280">
            <v>0</v>
          </cell>
          <cell r="R1280">
            <v>680</v>
          </cell>
          <cell r="S1280">
            <v>0</v>
          </cell>
          <cell r="T1280">
            <v>680</v>
          </cell>
          <cell r="U1280">
            <v>0</v>
          </cell>
          <cell r="V1280">
            <v>680</v>
          </cell>
          <cell r="W1280">
            <v>0</v>
          </cell>
          <cell r="X1280">
            <v>680</v>
          </cell>
          <cell r="Y1280">
            <v>0</v>
          </cell>
          <cell r="Z1280">
            <v>680</v>
          </cell>
          <cell r="AA1280">
            <v>0</v>
          </cell>
          <cell r="AB1280">
            <v>0</v>
          </cell>
          <cell r="AC1280">
            <v>0</v>
          </cell>
          <cell r="AD1280">
            <v>2.3E-2</v>
          </cell>
          <cell r="AE1280">
            <v>0</v>
          </cell>
          <cell r="AF1280">
            <v>0</v>
          </cell>
          <cell r="AG1280">
            <v>0</v>
          </cell>
          <cell r="AH1280">
            <v>0</v>
          </cell>
          <cell r="AI1280">
            <v>0</v>
          </cell>
          <cell r="AJ1280">
            <v>0</v>
          </cell>
          <cell r="AK1280">
            <v>0</v>
          </cell>
          <cell r="AL1280">
            <v>0</v>
          </cell>
        </row>
        <row r="1281">
          <cell r="E1281" t="str">
            <v>KPEV 0.75sq-20Pr</v>
          </cell>
          <cell r="F1281" t="str">
            <v>ｍ</v>
          </cell>
          <cell r="G1281">
            <v>0</v>
          </cell>
          <cell r="H1281">
            <v>893</v>
          </cell>
          <cell r="I1281">
            <v>0</v>
          </cell>
          <cell r="J1281">
            <v>893</v>
          </cell>
          <cell r="K1281">
            <v>0</v>
          </cell>
          <cell r="L1281">
            <v>893</v>
          </cell>
          <cell r="M1281">
            <v>0</v>
          </cell>
          <cell r="N1281">
            <v>893</v>
          </cell>
          <cell r="O1281">
            <v>0</v>
          </cell>
          <cell r="P1281">
            <v>893</v>
          </cell>
          <cell r="Q1281">
            <v>0</v>
          </cell>
          <cell r="R1281">
            <v>893</v>
          </cell>
          <cell r="S1281">
            <v>0</v>
          </cell>
          <cell r="T1281">
            <v>893</v>
          </cell>
          <cell r="U1281">
            <v>0</v>
          </cell>
          <cell r="V1281">
            <v>893</v>
          </cell>
          <cell r="W1281">
            <v>0</v>
          </cell>
          <cell r="X1281">
            <v>893</v>
          </cell>
          <cell r="Y1281">
            <v>0</v>
          </cell>
          <cell r="Z1281">
            <v>893</v>
          </cell>
          <cell r="AA1281">
            <v>0</v>
          </cell>
          <cell r="AB1281">
            <v>0</v>
          </cell>
          <cell r="AC1281">
            <v>0</v>
          </cell>
          <cell r="AD1281">
            <v>2.5000000000000001E-2</v>
          </cell>
          <cell r="AE1281">
            <v>0</v>
          </cell>
          <cell r="AF1281">
            <v>0</v>
          </cell>
          <cell r="AG1281">
            <v>0</v>
          </cell>
          <cell r="AH1281">
            <v>0</v>
          </cell>
          <cell r="AI1281">
            <v>0</v>
          </cell>
          <cell r="AJ1281">
            <v>0</v>
          </cell>
          <cell r="AK1281">
            <v>0</v>
          </cell>
          <cell r="AL1281">
            <v>0</v>
          </cell>
        </row>
        <row r="1282">
          <cell r="E1282" t="str">
            <v>KPEV 0.75sq-25Pr</v>
          </cell>
          <cell r="F1282" t="str">
            <v>ｍ</v>
          </cell>
          <cell r="G1282">
            <v>0</v>
          </cell>
          <cell r="H1282">
            <v>1119</v>
          </cell>
          <cell r="I1282">
            <v>0</v>
          </cell>
          <cell r="J1282">
            <v>1119</v>
          </cell>
          <cell r="K1282">
            <v>0</v>
          </cell>
          <cell r="L1282">
            <v>1119</v>
          </cell>
          <cell r="M1282">
            <v>0</v>
          </cell>
          <cell r="N1282">
            <v>1119</v>
          </cell>
          <cell r="O1282">
            <v>0</v>
          </cell>
          <cell r="P1282">
            <v>1119</v>
          </cell>
          <cell r="Q1282">
            <v>0</v>
          </cell>
          <cell r="R1282">
            <v>1119</v>
          </cell>
          <cell r="S1282">
            <v>0</v>
          </cell>
          <cell r="T1282">
            <v>1119</v>
          </cell>
          <cell r="U1282">
            <v>0</v>
          </cell>
          <cell r="V1282">
            <v>1119</v>
          </cell>
          <cell r="W1282">
            <v>0</v>
          </cell>
          <cell r="X1282">
            <v>1119</v>
          </cell>
          <cell r="Y1282">
            <v>0</v>
          </cell>
          <cell r="Z1282">
            <v>1119</v>
          </cell>
          <cell r="AA1282">
            <v>0</v>
          </cell>
          <cell r="AB1282">
            <v>0</v>
          </cell>
          <cell r="AC1282">
            <v>0</v>
          </cell>
          <cell r="AD1282">
            <v>2.8000000000000001E-2</v>
          </cell>
          <cell r="AE1282">
            <v>0</v>
          </cell>
          <cell r="AF1282">
            <v>0</v>
          </cell>
          <cell r="AG1282">
            <v>0</v>
          </cell>
          <cell r="AH1282">
            <v>0</v>
          </cell>
          <cell r="AI1282">
            <v>0</v>
          </cell>
          <cell r="AJ1282">
            <v>0</v>
          </cell>
          <cell r="AK1282">
            <v>0</v>
          </cell>
          <cell r="AL1282">
            <v>0</v>
          </cell>
        </row>
        <row r="1283">
          <cell r="E1283" t="str">
            <v>KPEV 0.75sq-30Pr</v>
          </cell>
          <cell r="F1283" t="str">
            <v>ｍ</v>
          </cell>
          <cell r="G1283">
            <v>0</v>
          </cell>
          <cell r="H1283">
            <v>1332</v>
          </cell>
          <cell r="I1283">
            <v>0</v>
          </cell>
          <cell r="J1283">
            <v>1332</v>
          </cell>
          <cell r="K1283">
            <v>0</v>
          </cell>
          <cell r="L1283">
            <v>1332</v>
          </cell>
          <cell r="M1283">
            <v>0</v>
          </cell>
          <cell r="N1283">
            <v>1332</v>
          </cell>
          <cell r="O1283">
            <v>0</v>
          </cell>
          <cell r="P1283">
            <v>1332</v>
          </cell>
          <cell r="Q1283">
            <v>0</v>
          </cell>
          <cell r="R1283">
            <v>1332</v>
          </cell>
          <cell r="S1283">
            <v>0</v>
          </cell>
          <cell r="T1283">
            <v>1332</v>
          </cell>
          <cell r="U1283">
            <v>0</v>
          </cell>
          <cell r="V1283">
            <v>1332</v>
          </cell>
          <cell r="W1283">
            <v>0</v>
          </cell>
          <cell r="X1283">
            <v>1332</v>
          </cell>
          <cell r="Y1283">
            <v>0</v>
          </cell>
          <cell r="Z1283">
            <v>1332</v>
          </cell>
          <cell r="AA1283">
            <v>0</v>
          </cell>
          <cell r="AB1283">
            <v>0</v>
          </cell>
          <cell r="AC1283">
            <v>0</v>
          </cell>
          <cell r="AD1283">
            <v>3.1E-2</v>
          </cell>
          <cell r="AE1283">
            <v>0</v>
          </cell>
          <cell r="AF1283">
            <v>0</v>
          </cell>
          <cell r="AG1283">
            <v>0</v>
          </cell>
          <cell r="AH1283">
            <v>0</v>
          </cell>
          <cell r="AI1283">
            <v>0</v>
          </cell>
          <cell r="AJ1283">
            <v>0</v>
          </cell>
          <cell r="AK1283">
            <v>0</v>
          </cell>
          <cell r="AL1283">
            <v>0</v>
          </cell>
        </row>
        <row r="1284">
          <cell r="E1284" t="str">
            <v>KPEV 0.75sq-40Pr</v>
          </cell>
          <cell r="F1284" t="str">
            <v>ｍ</v>
          </cell>
          <cell r="G1284">
            <v>0</v>
          </cell>
          <cell r="H1284">
            <v>1778</v>
          </cell>
          <cell r="I1284">
            <v>0</v>
          </cell>
          <cell r="J1284">
            <v>1778</v>
          </cell>
          <cell r="K1284">
            <v>0</v>
          </cell>
          <cell r="L1284">
            <v>1778</v>
          </cell>
          <cell r="M1284">
            <v>0</v>
          </cell>
          <cell r="N1284">
            <v>1778</v>
          </cell>
          <cell r="O1284">
            <v>0</v>
          </cell>
          <cell r="P1284">
            <v>1778</v>
          </cell>
          <cell r="Q1284">
            <v>0</v>
          </cell>
          <cell r="R1284">
            <v>1778</v>
          </cell>
          <cell r="S1284">
            <v>0</v>
          </cell>
          <cell r="T1284">
            <v>1778</v>
          </cell>
          <cell r="U1284">
            <v>0</v>
          </cell>
          <cell r="V1284">
            <v>1778</v>
          </cell>
          <cell r="W1284">
            <v>0</v>
          </cell>
          <cell r="X1284">
            <v>1778</v>
          </cell>
          <cell r="Y1284">
            <v>0</v>
          </cell>
          <cell r="Z1284">
            <v>1778</v>
          </cell>
          <cell r="AA1284">
            <v>0</v>
          </cell>
          <cell r="AB1284">
            <v>0</v>
          </cell>
          <cell r="AC1284">
            <v>0</v>
          </cell>
          <cell r="AD1284">
            <v>3.6999999999999998E-2</v>
          </cell>
          <cell r="AE1284">
            <v>0</v>
          </cell>
          <cell r="AF1284">
            <v>0</v>
          </cell>
          <cell r="AG1284">
            <v>0</v>
          </cell>
          <cell r="AH1284">
            <v>0</v>
          </cell>
          <cell r="AI1284">
            <v>0</v>
          </cell>
          <cell r="AJ1284">
            <v>0</v>
          </cell>
          <cell r="AK1284">
            <v>0</v>
          </cell>
          <cell r="AL1284">
            <v>0</v>
          </cell>
        </row>
        <row r="1285">
          <cell r="E1285" t="str">
            <v>KPEV 0.75sq-50Pr</v>
          </cell>
          <cell r="F1285" t="str">
            <v>ｍ</v>
          </cell>
          <cell r="G1285">
            <v>0</v>
          </cell>
          <cell r="H1285">
            <v>2196</v>
          </cell>
          <cell r="I1285">
            <v>0</v>
          </cell>
          <cell r="J1285">
            <v>2196</v>
          </cell>
          <cell r="K1285">
            <v>0</v>
          </cell>
          <cell r="L1285">
            <v>2196</v>
          </cell>
          <cell r="M1285">
            <v>0</v>
          </cell>
          <cell r="N1285">
            <v>2196</v>
          </cell>
          <cell r="O1285">
            <v>0</v>
          </cell>
          <cell r="P1285">
            <v>2196</v>
          </cell>
          <cell r="Q1285">
            <v>0</v>
          </cell>
          <cell r="R1285">
            <v>2196</v>
          </cell>
          <cell r="S1285">
            <v>0</v>
          </cell>
          <cell r="T1285">
            <v>2196</v>
          </cell>
          <cell r="U1285">
            <v>0</v>
          </cell>
          <cell r="V1285">
            <v>2196</v>
          </cell>
          <cell r="W1285">
            <v>0</v>
          </cell>
          <cell r="X1285">
            <v>2196</v>
          </cell>
          <cell r="Y1285">
            <v>0</v>
          </cell>
          <cell r="Z1285">
            <v>2196</v>
          </cell>
          <cell r="AA1285">
            <v>0</v>
          </cell>
          <cell r="AB1285">
            <v>0</v>
          </cell>
          <cell r="AC1285">
            <v>0</v>
          </cell>
          <cell r="AD1285">
            <v>0.05</v>
          </cell>
          <cell r="AE1285">
            <v>0</v>
          </cell>
          <cell r="AF1285">
            <v>0</v>
          </cell>
          <cell r="AG1285">
            <v>0</v>
          </cell>
          <cell r="AH1285">
            <v>0</v>
          </cell>
          <cell r="AI1285">
            <v>0</v>
          </cell>
          <cell r="AJ1285">
            <v>0</v>
          </cell>
          <cell r="AK1285">
            <v>0</v>
          </cell>
          <cell r="AL1285">
            <v>0</v>
          </cell>
        </row>
        <row r="1286">
          <cell r="E1286" t="str">
            <v>KPEV 0.75sq-60Pr</v>
          </cell>
          <cell r="F1286" t="str">
            <v>ｍ</v>
          </cell>
          <cell r="G1286">
            <v>0</v>
          </cell>
          <cell r="H1286">
            <v>2621</v>
          </cell>
          <cell r="I1286">
            <v>0</v>
          </cell>
          <cell r="J1286">
            <v>2621</v>
          </cell>
          <cell r="K1286">
            <v>0</v>
          </cell>
          <cell r="L1286">
            <v>2621</v>
          </cell>
          <cell r="M1286">
            <v>0</v>
          </cell>
          <cell r="N1286">
            <v>2621</v>
          </cell>
          <cell r="O1286">
            <v>0</v>
          </cell>
          <cell r="P1286">
            <v>2621</v>
          </cell>
          <cell r="Q1286">
            <v>0</v>
          </cell>
          <cell r="R1286">
            <v>2621</v>
          </cell>
          <cell r="S1286">
            <v>0</v>
          </cell>
          <cell r="T1286">
            <v>2621</v>
          </cell>
          <cell r="U1286">
            <v>0</v>
          </cell>
          <cell r="V1286">
            <v>2621</v>
          </cell>
          <cell r="W1286">
            <v>0</v>
          </cell>
          <cell r="X1286">
            <v>2621</v>
          </cell>
          <cell r="Y1286">
            <v>0</v>
          </cell>
          <cell r="Z1286">
            <v>2621</v>
          </cell>
          <cell r="AA1286">
            <v>0</v>
          </cell>
          <cell r="AB1286">
            <v>0</v>
          </cell>
          <cell r="AC1286">
            <v>0</v>
          </cell>
          <cell r="AD1286">
            <v>6.6000000000000003E-2</v>
          </cell>
          <cell r="AE1286">
            <v>0</v>
          </cell>
          <cell r="AF1286">
            <v>0</v>
          </cell>
          <cell r="AG1286">
            <v>0</v>
          </cell>
          <cell r="AH1286">
            <v>0</v>
          </cell>
          <cell r="AI1286">
            <v>0</v>
          </cell>
          <cell r="AJ1286">
            <v>0</v>
          </cell>
          <cell r="AK1286">
            <v>0</v>
          </cell>
          <cell r="AL1286">
            <v>0</v>
          </cell>
        </row>
        <row r="1287">
          <cell r="E1287" t="str">
            <v>KPEV 0.75sq-70Pr</v>
          </cell>
          <cell r="F1287" t="str">
            <v>ｍ</v>
          </cell>
          <cell r="G1287">
            <v>0</v>
          </cell>
          <cell r="H1287">
            <v>3045</v>
          </cell>
          <cell r="I1287">
            <v>0</v>
          </cell>
          <cell r="J1287">
            <v>3045</v>
          </cell>
          <cell r="K1287">
            <v>0</v>
          </cell>
          <cell r="L1287">
            <v>3045</v>
          </cell>
          <cell r="M1287">
            <v>0</v>
          </cell>
          <cell r="N1287">
            <v>3045</v>
          </cell>
          <cell r="O1287">
            <v>0</v>
          </cell>
          <cell r="P1287">
            <v>3045</v>
          </cell>
          <cell r="Q1287">
            <v>0</v>
          </cell>
          <cell r="R1287">
            <v>3045</v>
          </cell>
          <cell r="S1287">
            <v>0</v>
          </cell>
          <cell r="T1287">
            <v>3045</v>
          </cell>
          <cell r="U1287">
            <v>0</v>
          </cell>
          <cell r="V1287">
            <v>3045</v>
          </cell>
          <cell r="W1287">
            <v>0</v>
          </cell>
          <cell r="X1287">
            <v>3045</v>
          </cell>
          <cell r="Y1287">
            <v>0</v>
          </cell>
          <cell r="Z1287">
            <v>3045</v>
          </cell>
          <cell r="AA1287">
            <v>0</v>
          </cell>
          <cell r="AB1287">
            <v>0</v>
          </cell>
          <cell r="AC1287">
            <v>0</v>
          </cell>
          <cell r="AD1287">
            <v>8.3000000000000004E-2</v>
          </cell>
          <cell r="AE1287">
            <v>0</v>
          </cell>
          <cell r="AF1287">
            <v>0</v>
          </cell>
          <cell r="AG1287">
            <v>0</v>
          </cell>
          <cell r="AH1287">
            <v>0</v>
          </cell>
          <cell r="AI1287">
            <v>0</v>
          </cell>
          <cell r="AJ1287">
            <v>0</v>
          </cell>
          <cell r="AK1287">
            <v>0</v>
          </cell>
          <cell r="AL1287">
            <v>0</v>
          </cell>
        </row>
        <row r="1288">
          <cell r="E1288" t="str">
            <v>KPEV 0.75sq-80Pr</v>
          </cell>
          <cell r="F1288" t="str">
            <v>ｍ</v>
          </cell>
          <cell r="G1288">
            <v>0</v>
          </cell>
          <cell r="H1288">
            <v>3470</v>
          </cell>
          <cell r="I1288">
            <v>0</v>
          </cell>
          <cell r="J1288">
            <v>3470</v>
          </cell>
          <cell r="K1288">
            <v>0</v>
          </cell>
          <cell r="L1288">
            <v>3470</v>
          </cell>
          <cell r="M1288">
            <v>0</v>
          </cell>
          <cell r="N1288">
            <v>3470</v>
          </cell>
          <cell r="O1288">
            <v>0</v>
          </cell>
          <cell r="P1288">
            <v>3470</v>
          </cell>
          <cell r="Q1288">
            <v>0</v>
          </cell>
          <cell r="R1288">
            <v>3470</v>
          </cell>
          <cell r="S1288">
            <v>0</v>
          </cell>
          <cell r="T1288">
            <v>3470</v>
          </cell>
          <cell r="U1288">
            <v>0</v>
          </cell>
          <cell r="V1288">
            <v>3470</v>
          </cell>
          <cell r="W1288">
            <v>0</v>
          </cell>
          <cell r="X1288">
            <v>3470</v>
          </cell>
          <cell r="Y1288">
            <v>0</v>
          </cell>
          <cell r="Z1288">
            <v>3470</v>
          </cell>
          <cell r="AA1288">
            <v>0</v>
          </cell>
          <cell r="AB1288">
            <v>0</v>
          </cell>
          <cell r="AC1288">
            <v>0</v>
          </cell>
          <cell r="AD1288">
            <v>0.10299999999999999</v>
          </cell>
          <cell r="AE1288">
            <v>0</v>
          </cell>
          <cell r="AF1288">
            <v>0</v>
          </cell>
          <cell r="AG1288">
            <v>0</v>
          </cell>
          <cell r="AH1288">
            <v>0</v>
          </cell>
          <cell r="AI1288">
            <v>0</v>
          </cell>
          <cell r="AJ1288">
            <v>0</v>
          </cell>
          <cell r="AK1288">
            <v>0</v>
          </cell>
          <cell r="AL1288">
            <v>0</v>
          </cell>
        </row>
        <row r="1289">
          <cell r="E1289" t="str">
            <v>KPEV 0.75sq-100Pr</v>
          </cell>
          <cell r="F1289" t="str">
            <v>ｍ</v>
          </cell>
          <cell r="G1289">
            <v>0</v>
          </cell>
          <cell r="H1289">
            <v>4327</v>
          </cell>
          <cell r="I1289">
            <v>0</v>
          </cell>
          <cell r="J1289">
            <v>4327</v>
          </cell>
          <cell r="K1289">
            <v>0</v>
          </cell>
          <cell r="L1289">
            <v>4327</v>
          </cell>
          <cell r="M1289">
            <v>0</v>
          </cell>
          <cell r="N1289">
            <v>4327</v>
          </cell>
          <cell r="O1289">
            <v>0</v>
          </cell>
          <cell r="P1289">
            <v>4327</v>
          </cell>
          <cell r="Q1289">
            <v>0</v>
          </cell>
          <cell r="R1289">
            <v>4327</v>
          </cell>
          <cell r="S1289">
            <v>0</v>
          </cell>
          <cell r="T1289">
            <v>4327</v>
          </cell>
          <cell r="U1289">
            <v>0</v>
          </cell>
          <cell r="V1289">
            <v>4327</v>
          </cell>
          <cell r="W1289">
            <v>0</v>
          </cell>
          <cell r="X1289">
            <v>4327</v>
          </cell>
          <cell r="Y1289">
            <v>0</v>
          </cell>
          <cell r="Z1289">
            <v>4327</v>
          </cell>
          <cell r="AA1289">
            <v>0</v>
          </cell>
          <cell r="AB1289">
            <v>0</v>
          </cell>
          <cell r="AC1289">
            <v>0</v>
          </cell>
          <cell r="AD1289">
            <v>0.123</v>
          </cell>
          <cell r="AE1289">
            <v>0</v>
          </cell>
          <cell r="AF1289">
            <v>0</v>
          </cell>
          <cell r="AG1289">
            <v>0</v>
          </cell>
          <cell r="AH1289">
            <v>0</v>
          </cell>
          <cell r="AI1289">
            <v>0</v>
          </cell>
          <cell r="AJ1289">
            <v>0</v>
          </cell>
          <cell r="AK1289">
            <v>0</v>
          </cell>
          <cell r="AL1289">
            <v>0</v>
          </cell>
        </row>
        <row r="1290">
          <cell r="E1290" t="str">
            <v>KPEV 1.25sq-1Pr</v>
          </cell>
          <cell r="F1290" t="str">
            <v>ｍ</v>
          </cell>
          <cell r="G1290">
            <v>0</v>
          </cell>
          <cell r="H1290">
            <v>67.599999999999994</v>
          </cell>
          <cell r="I1290">
            <v>0</v>
          </cell>
          <cell r="J1290">
            <v>67.599999999999994</v>
          </cell>
          <cell r="K1290">
            <v>0</v>
          </cell>
          <cell r="L1290">
            <v>67.599999999999994</v>
          </cell>
          <cell r="M1290">
            <v>0</v>
          </cell>
          <cell r="N1290">
            <v>67.599999999999994</v>
          </cell>
          <cell r="O1290">
            <v>0</v>
          </cell>
          <cell r="P1290">
            <v>67.599999999999994</v>
          </cell>
          <cell r="Q1290">
            <v>0</v>
          </cell>
          <cell r="R1290">
            <v>67.599999999999994</v>
          </cell>
          <cell r="S1290">
            <v>0</v>
          </cell>
          <cell r="T1290">
            <v>67.599999999999994</v>
          </cell>
          <cell r="U1290">
            <v>0</v>
          </cell>
          <cell r="V1290">
            <v>67.599999999999994</v>
          </cell>
          <cell r="W1290">
            <v>0</v>
          </cell>
          <cell r="X1290">
            <v>67.599999999999994</v>
          </cell>
          <cell r="Y1290">
            <v>0</v>
          </cell>
          <cell r="Z1290">
            <v>67.599999999999994</v>
          </cell>
          <cell r="AA1290">
            <v>0</v>
          </cell>
          <cell r="AB1290">
            <v>0</v>
          </cell>
          <cell r="AC1290">
            <v>0</v>
          </cell>
          <cell r="AD1290">
            <v>2.1000000000000001E-2</v>
          </cell>
          <cell r="AE1290">
            <v>0</v>
          </cell>
          <cell r="AF1290">
            <v>0</v>
          </cell>
          <cell r="AG1290">
            <v>0</v>
          </cell>
          <cell r="AH1290">
            <v>0</v>
          </cell>
          <cell r="AI1290">
            <v>0</v>
          </cell>
          <cell r="AJ1290">
            <v>0</v>
          </cell>
          <cell r="AK1290">
            <v>0</v>
          </cell>
          <cell r="AL1290">
            <v>0</v>
          </cell>
        </row>
        <row r="1291">
          <cell r="E1291" t="str">
            <v>KPEV 1.25sq-2Pr</v>
          </cell>
          <cell r="F1291" t="str">
            <v>ｍ</v>
          </cell>
          <cell r="G1291">
            <v>0</v>
          </cell>
          <cell r="H1291">
            <v>155</v>
          </cell>
          <cell r="I1291">
            <v>0</v>
          </cell>
          <cell r="J1291">
            <v>155</v>
          </cell>
          <cell r="K1291">
            <v>0</v>
          </cell>
          <cell r="L1291">
            <v>155</v>
          </cell>
          <cell r="M1291">
            <v>0</v>
          </cell>
          <cell r="N1291">
            <v>155</v>
          </cell>
          <cell r="O1291">
            <v>0</v>
          </cell>
          <cell r="P1291">
            <v>155</v>
          </cell>
          <cell r="Q1291">
            <v>0</v>
          </cell>
          <cell r="R1291">
            <v>155</v>
          </cell>
          <cell r="S1291">
            <v>0</v>
          </cell>
          <cell r="T1291">
            <v>155</v>
          </cell>
          <cell r="U1291">
            <v>0</v>
          </cell>
          <cell r="V1291">
            <v>155</v>
          </cell>
          <cell r="W1291">
            <v>0</v>
          </cell>
          <cell r="X1291">
            <v>155</v>
          </cell>
          <cell r="Y1291">
            <v>0</v>
          </cell>
          <cell r="Z1291">
            <v>155</v>
          </cell>
          <cell r="AA1291">
            <v>0</v>
          </cell>
          <cell r="AB1291">
            <v>0</v>
          </cell>
          <cell r="AC1291">
            <v>0</v>
          </cell>
          <cell r="AD1291">
            <v>2.3E-2</v>
          </cell>
          <cell r="AE1291">
            <v>0</v>
          </cell>
          <cell r="AF1291">
            <v>0</v>
          </cell>
          <cell r="AG1291">
            <v>0</v>
          </cell>
          <cell r="AH1291">
            <v>0</v>
          </cell>
          <cell r="AI1291">
            <v>0</v>
          </cell>
          <cell r="AJ1291">
            <v>0</v>
          </cell>
          <cell r="AK1291">
            <v>0</v>
          </cell>
          <cell r="AL1291">
            <v>0</v>
          </cell>
        </row>
        <row r="1292">
          <cell r="E1292" t="str">
            <v>KPEV 1.25sq-5Pr</v>
          </cell>
          <cell r="F1292" t="str">
            <v>ｍ</v>
          </cell>
          <cell r="G1292">
            <v>0</v>
          </cell>
          <cell r="H1292">
            <v>315</v>
          </cell>
          <cell r="I1292">
            <v>0</v>
          </cell>
          <cell r="J1292">
            <v>315</v>
          </cell>
          <cell r="K1292">
            <v>0</v>
          </cell>
          <cell r="L1292">
            <v>315</v>
          </cell>
          <cell r="M1292">
            <v>0</v>
          </cell>
          <cell r="N1292">
            <v>315</v>
          </cell>
          <cell r="O1292">
            <v>0</v>
          </cell>
          <cell r="P1292">
            <v>315</v>
          </cell>
          <cell r="Q1292">
            <v>0</v>
          </cell>
          <cell r="R1292">
            <v>315</v>
          </cell>
          <cell r="S1292">
            <v>0</v>
          </cell>
          <cell r="T1292">
            <v>315</v>
          </cell>
          <cell r="U1292">
            <v>0</v>
          </cell>
          <cell r="V1292">
            <v>315</v>
          </cell>
          <cell r="W1292">
            <v>0</v>
          </cell>
          <cell r="X1292">
            <v>315</v>
          </cell>
          <cell r="Y1292">
            <v>0</v>
          </cell>
          <cell r="Z1292">
            <v>315</v>
          </cell>
          <cell r="AA1292">
            <v>0</v>
          </cell>
          <cell r="AB1292">
            <v>0</v>
          </cell>
          <cell r="AC1292">
            <v>0</v>
          </cell>
          <cell r="AD1292">
            <v>2.7E-2</v>
          </cell>
          <cell r="AE1292">
            <v>0</v>
          </cell>
          <cell r="AF1292">
            <v>0</v>
          </cell>
          <cell r="AG1292">
            <v>0</v>
          </cell>
          <cell r="AH1292">
            <v>0</v>
          </cell>
          <cell r="AI1292">
            <v>0</v>
          </cell>
          <cell r="AJ1292">
            <v>0</v>
          </cell>
          <cell r="AK1292">
            <v>0</v>
          </cell>
          <cell r="AL1292">
            <v>0</v>
          </cell>
        </row>
        <row r="1293">
          <cell r="E1293" t="str">
            <v>KPEV 1.25sq-10Pr</v>
          </cell>
          <cell r="F1293" t="str">
            <v>ｍ</v>
          </cell>
          <cell r="G1293">
            <v>0</v>
          </cell>
          <cell r="H1293">
            <v>586</v>
          </cell>
          <cell r="I1293">
            <v>0</v>
          </cell>
          <cell r="J1293">
            <v>586</v>
          </cell>
          <cell r="K1293">
            <v>0</v>
          </cell>
          <cell r="L1293">
            <v>586</v>
          </cell>
          <cell r="M1293">
            <v>0</v>
          </cell>
          <cell r="N1293">
            <v>586</v>
          </cell>
          <cell r="O1293">
            <v>0</v>
          </cell>
          <cell r="P1293">
            <v>586</v>
          </cell>
          <cell r="Q1293">
            <v>0</v>
          </cell>
          <cell r="R1293">
            <v>586</v>
          </cell>
          <cell r="S1293">
            <v>0</v>
          </cell>
          <cell r="T1293">
            <v>586</v>
          </cell>
          <cell r="U1293">
            <v>0</v>
          </cell>
          <cell r="V1293">
            <v>586</v>
          </cell>
          <cell r="W1293">
            <v>0</v>
          </cell>
          <cell r="X1293">
            <v>586</v>
          </cell>
          <cell r="Y1293">
            <v>0</v>
          </cell>
          <cell r="Z1293">
            <v>586</v>
          </cell>
          <cell r="AA1293">
            <v>0</v>
          </cell>
          <cell r="AB1293">
            <v>0</v>
          </cell>
          <cell r="AC1293">
            <v>0</v>
          </cell>
          <cell r="AD1293">
            <v>3.1E-2</v>
          </cell>
          <cell r="AE1293">
            <v>0</v>
          </cell>
          <cell r="AF1293">
            <v>0</v>
          </cell>
          <cell r="AG1293">
            <v>0</v>
          </cell>
          <cell r="AH1293">
            <v>0</v>
          </cell>
          <cell r="AI1293">
            <v>0</v>
          </cell>
          <cell r="AJ1293">
            <v>0</v>
          </cell>
          <cell r="AK1293">
            <v>0</v>
          </cell>
          <cell r="AL1293">
            <v>0</v>
          </cell>
        </row>
        <row r="1294">
          <cell r="E1294" t="str">
            <v>KPEV 1.25sq-15Pr</v>
          </cell>
          <cell r="F1294" t="str">
            <v>ｍ</v>
          </cell>
          <cell r="G1294">
            <v>0</v>
          </cell>
          <cell r="H1294">
            <v>838</v>
          </cell>
          <cell r="I1294">
            <v>0</v>
          </cell>
          <cell r="J1294">
            <v>838</v>
          </cell>
          <cell r="K1294">
            <v>0</v>
          </cell>
          <cell r="L1294">
            <v>838</v>
          </cell>
          <cell r="M1294">
            <v>0</v>
          </cell>
          <cell r="N1294">
            <v>838</v>
          </cell>
          <cell r="O1294">
            <v>0</v>
          </cell>
          <cell r="P1294">
            <v>838</v>
          </cell>
          <cell r="Q1294">
            <v>0</v>
          </cell>
          <cell r="R1294">
            <v>838</v>
          </cell>
          <cell r="S1294">
            <v>0</v>
          </cell>
          <cell r="T1294">
            <v>838</v>
          </cell>
          <cell r="U1294">
            <v>0</v>
          </cell>
          <cell r="V1294">
            <v>838</v>
          </cell>
          <cell r="W1294">
            <v>0</v>
          </cell>
          <cell r="X1294">
            <v>838</v>
          </cell>
          <cell r="Y1294">
            <v>0</v>
          </cell>
          <cell r="Z1294">
            <v>838</v>
          </cell>
          <cell r="AA1294">
            <v>0</v>
          </cell>
          <cell r="AB1294">
            <v>0</v>
          </cell>
          <cell r="AC1294">
            <v>0</v>
          </cell>
          <cell r="AD1294">
            <v>3.4000000000000002E-2</v>
          </cell>
          <cell r="AE1294">
            <v>0</v>
          </cell>
          <cell r="AF1294">
            <v>0</v>
          </cell>
          <cell r="AG1294">
            <v>0</v>
          </cell>
          <cell r="AH1294">
            <v>0</v>
          </cell>
          <cell r="AI1294">
            <v>0</v>
          </cell>
          <cell r="AJ1294">
            <v>0</v>
          </cell>
          <cell r="AK1294">
            <v>0</v>
          </cell>
          <cell r="AL1294">
            <v>0</v>
          </cell>
        </row>
        <row r="1295">
          <cell r="E1295" t="str">
            <v>KPEV 1.25sq-20Pr</v>
          </cell>
          <cell r="F1295" t="str">
            <v>ｍ</v>
          </cell>
          <cell r="G1295">
            <v>0</v>
          </cell>
          <cell r="H1295">
            <v>1101</v>
          </cell>
          <cell r="I1295">
            <v>0</v>
          </cell>
          <cell r="J1295">
            <v>1101</v>
          </cell>
          <cell r="K1295">
            <v>0</v>
          </cell>
          <cell r="L1295">
            <v>1101</v>
          </cell>
          <cell r="M1295">
            <v>0</v>
          </cell>
          <cell r="N1295">
            <v>1101</v>
          </cell>
          <cell r="O1295">
            <v>0</v>
          </cell>
          <cell r="P1295">
            <v>1101</v>
          </cell>
          <cell r="Q1295">
            <v>0</v>
          </cell>
          <cell r="R1295">
            <v>1101</v>
          </cell>
          <cell r="S1295">
            <v>0</v>
          </cell>
          <cell r="T1295">
            <v>1101</v>
          </cell>
          <cell r="U1295">
            <v>0</v>
          </cell>
          <cell r="V1295">
            <v>1101</v>
          </cell>
          <cell r="W1295">
            <v>0</v>
          </cell>
          <cell r="X1295">
            <v>1101</v>
          </cell>
          <cell r="Y1295">
            <v>0</v>
          </cell>
          <cell r="Z1295">
            <v>1101</v>
          </cell>
          <cell r="AA1295">
            <v>0</v>
          </cell>
          <cell r="AB1295">
            <v>0</v>
          </cell>
          <cell r="AC1295">
            <v>0</v>
          </cell>
          <cell r="AD1295">
            <v>3.9E-2</v>
          </cell>
          <cell r="AE1295">
            <v>0</v>
          </cell>
          <cell r="AF1295">
            <v>0</v>
          </cell>
          <cell r="AG1295">
            <v>0</v>
          </cell>
          <cell r="AH1295">
            <v>0</v>
          </cell>
          <cell r="AI1295">
            <v>0</v>
          </cell>
          <cell r="AJ1295">
            <v>0</v>
          </cell>
          <cell r="AK1295">
            <v>0</v>
          </cell>
          <cell r="AL1295">
            <v>0</v>
          </cell>
        </row>
        <row r="1296">
          <cell r="E1296" t="str">
            <v>KPEV 2.0sq-1Pr</v>
          </cell>
          <cell r="F1296" t="str">
            <v>ｍ</v>
          </cell>
          <cell r="G1296">
            <v>0</v>
          </cell>
          <cell r="H1296">
            <v>87.7</v>
          </cell>
          <cell r="I1296">
            <v>0</v>
          </cell>
          <cell r="J1296">
            <v>87.7</v>
          </cell>
          <cell r="K1296">
            <v>0</v>
          </cell>
          <cell r="L1296">
            <v>87.7</v>
          </cell>
          <cell r="M1296">
            <v>0</v>
          </cell>
          <cell r="N1296">
            <v>87.7</v>
          </cell>
          <cell r="O1296">
            <v>0</v>
          </cell>
          <cell r="P1296">
            <v>87.7</v>
          </cell>
          <cell r="Q1296">
            <v>0</v>
          </cell>
          <cell r="R1296">
            <v>87.7</v>
          </cell>
          <cell r="S1296">
            <v>0</v>
          </cell>
          <cell r="T1296">
            <v>87.7</v>
          </cell>
          <cell r="U1296">
            <v>0</v>
          </cell>
          <cell r="V1296">
            <v>87.7</v>
          </cell>
          <cell r="W1296">
            <v>0</v>
          </cell>
          <cell r="X1296">
            <v>87.7</v>
          </cell>
          <cell r="Y1296">
            <v>0</v>
          </cell>
          <cell r="Z1296">
            <v>87.7</v>
          </cell>
          <cell r="AA1296">
            <v>0</v>
          </cell>
          <cell r="AB1296">
            <v>0</v>
          </cell>
          <cell r="AC1296">
            <v>0</v>
          </cell>
          <cell r="AD1296">
            <v>2.7E-2</v>
          </cell>
          <cell r="AE1296">
            <v>0</v>
          </cell>
          <cell r="AF1296">
            <v>0</v>
          </cell>
          <cell r="AG1296">
            <v>0</v>
          </cell>
          <cell r="AH1296">
            <v>0</v>
          </cell>
          <cell r="AI1296">
            <v>0</v>
          </cell>
          <cell r="AJ1296">
            <v>0</v>
          </cell>
          <cell r="AK1296">
            <v>0</v>
          </cell>
          <cell r="AL1296">
            <v>0</v>
          </cell>
        </row>
        <row r="1297">
          <cell r="E1297" t="str">
            <v>KPEV 2.0sq-2Pr</v>
          </cell>
          <cell r="F1297" t="str">
            <v>ｍ</v>
          </cell>
          <cell r="G1297">
            <v>0</v>
          </cell>
          <cell r="H1297">
            <v>188</v>
          </cell>
          <cell r="I1297">
            <v>0</v>
          </cell>
          <cell r="J1297">
            <v>188</v>
          </cell>
          <cell r="K1297">
            <v>0</v>
          </cell>
          <cell r="L1297">
            <v>188</v>
          </cell>
          <cell r="M1297">
            <v>0</v>
          </cell>
          <cell r="N1297">
            <v>188</v>
          </cell>
          <cell r="O1297">
            <v>0</v>
          </cell>
          <cell r="P1297">
            <v>188</v>
          </cell>
          <cell r="Q1297">
            <v>0</v>
          </cell>
          <cell r="R1297">
            <v>188</v>
          </cell>
          <cell r="S1297">
            <v>0</v>
          </cell>
          <cell r="T1297">
            <v>188</v>
          </cell>
          <cell r="U1297">
            <v>0</v>
          </cell>
          <cell r="V1297">
            <v>188</v>
          </cell>
          <cell r="W1297">
            <v>0</v>
          </cell>
          <cell r="X1297">
            <v>188</v>
          </cell>
          <cell r="Y1297">
            <v>0</v>
          </cell>
          <cell r="Z1297">
            <v>188</v>
          </cell>
          <cell r="AA1297">
            <v>0</v>
          </cell>
          <cell r="AB1297">
            <v>0</v>
          </cell>
          <cell r="AC1297">
            <v>0</v>
          </cell>
          <cell r="AD1297">
            <v>2.9000000000000001E-2</v>
          </cell>
          <cell r="AE1297">
            <v>0</v>
          </cell>
          <cell r="AF1297">
            <v>0</v>
          </cell>
          <cell r="AG1297">
            <v>0</v>
          </cell>
          <cell r="AH1297">
            <v>0</v>
          </cell>
          <cell r="AI1297">
            <v>0</v>
          </cell>
          <cell r="AJ1297">
            <v>0</v>
          </cell>
          <cell r="AK1297">
            <v>0</v>
          </cell>
          <cell r="AL1297">
            <v>0</v>
          </cell>
        </row>
        <row r="1298">
          <cell r="E1298" t="str">
            <v>KPEV 2.0sq-5Pr</v>
          </cell>
          <cell r="F1298" t="str">
            <v>ｍ</v>
          </cell>
          <cell r="G1298">
            <v>0</v>
          </cell>
          <cell r="H1298">
            <v>418</v>
          </cell>
          <cell r="I1298">
            <v>0</v>
          </cell>
          <cell r="J1298">
            <v>418</v>
          </cell>
          <cell r="K1298">
            <v>0</v>
          </cell>
          <cell r="L1298">
            <v>418</v>
          </cell>
          <cell r="M1298">
            <v>0</v>
          </cell>
          <cell r="N1298">
            <v>418</v>
          </cell>
          <cell r="O1298">
            <v>0</v>
          </cell>
          <cell r="P1298">
            <v>418</v>
          </cell>
          <cell r="Q1298">
            <v>0</v>
          </cell>
          <cell r="R1298">
            <v>418</v>
          </cell>
          <cell r="S1298">
            <v>0</v>
          </cell>
          <cell r="T1298">
            <v>418</v>
          </cell>
          <cell r="U1298">
            <v>0</v>
          </cell>
          <cell r="V1298">
            <v>418</v>
          </cell>
          <cell r="W1298">
            <v>0</v>
          </cell>
          <cell r="X1298">
            <v>418</v>
          </cell>
          <cell r="Y1298">
            <v>0</v>
          </cell>
          <cell r="Z1298">
            <v>418</v>
          </cell>
          <cell r="AA1298">
            <v>0</v>
          </cell>
          <cell r="AB1298">
            <v>0</v>
          </cell>
          <cell r="AC1298">
            <v>0</v>
          </cell>
          <cell r="AD1298">
            <v>3.2000000000000001E-2</v>
          </cell>
          <cell r="AE1298">
            <v>0</v>
          </cell>
          <cell r="AF1298">
            <v>0</v>
          </cell>
          <cell r="AG1298">
            <v>0</v>
          </cell>
          <cell r="AH1298">
            <v>0</v>
          </cell>
          <cell r="AI1298">
            <v>0</v>
          </cell>
          <cell r="AJ1298">
            <v>0</v>
          </cell>
          <cell r="AK1298">
            <v>0</v>
          </cell>
          <cell r="AL1298">
            <v>0</v>
          </cell>
        </row>
        <row r="1299">
          <cell r="E1299" t="str">
            <v>KPEV 2.0sq-10Pr</v>
          </cell>
          <cell r="F1299" t="str">
            <v>ｍ</v>
          </cell>
          <cell r="G1299">
            <v>0</v>
          </cell>
          <cell r="H1299">
            <v>791</v>
          </cell>
          <cell r="I1299">
            <v>0</v>
          </cell>
          <cell r="J1299">
            <v>791</v>
          </cell>
          <cell r="K1299">
            <v>0</v>
          </cell>
          <cell r="L1299">
            <v>791</v>
          </cell>
          <cell r="M1299">
            <v>0</v>
          </cell>
          <cell r="N1299">
            <v>791</v>
          </cell>
          <cell r="O1299">
            <v>0</v>
          </cell>
          <cell r="P1299">
            <v>791</v>
          </cell>
          <cell r="Q1299">
            <v>0</v>
          </cell>
          <cell r="R1299">
            <v>791</v>
          </cell>
          <cell r="S1299">
            <v>0</v>
          </cell>
          <cell r="T1299">
            <v>791</v>
          </cell>
          <cell r="U1299">
            <v>0</v>
          </cell>
          <cell r="V1299">
            <v>791</v>
          </cell>
          <cell r="W1299">
            <v>0</v>
          </cell>
          <cell r="X1299">
            <v>791</v>
          </cell>
          <cell r="Y1299">
            <v>0</v>
          </cell>
          <cell r="Z1299">
            <v>791</v>
          </cell>
          <cell r="AA1299">
            <v>0</v>
          </cell>
          <cell r="AB1299">
            <v>0</v>
          </cell>
          <cell r="AC1299">
            <v>0</v>
          </cell>
          <cell r="AD1299">
            <v>3.6999999999999998E-2</v>
          </cell>
          <cell r="AE1299">
            <v>0</v>
          </cell>
          <cell r="AF1299">
            <v>0</v>
          </cell>
          <cell r="AG1299">
            <v>0</v>
          </cell>
          <cell r="AH1299">
            <v>0</v>
          </cell>
          <cell r="AI1299">
            <v>0</v>
          </cell>
          <cell r="AJ1299">
            <v>0</v>
          </cell>
          <cell r="AK1299">
            <v>0</v>
          </cell>
          <cell r="AL1299">
            <v>0</v>
          </cell>
        </row>
        <row r="1300">
          <cell r="E1300" t="str">
            <v>KPEV 2.0sq-15Pr</v>
          </cell>
          <cell r="F1300" t="str">
            <v>ｍ</v>
          </cell>
          <cell r="G1300">
            <v>0</v>
          </cell>
          <cell r="H1300">
            <v>1153</v>
          </cell>
          <cell r="I1300">
            <v>0</v>
          </cell>
          <cell r="J1300">
            <v>1153</v>
          </cell>
          <cell r="K1300">
            <v>0</v>
          </cell>
          <cell r="L1300">
            <v>1153</v>
          </cell>
          <cell r="M1300">
            <v>0</v>
          </cell>
          <cell r="N1300">
            <v>1153</v>
          </cell>
          <cell r="O1300">
            <v>0</v>
          </cell>
          <cell r="P1300">
            <v>1153</v>
          </cell>
          <cell r="Q1300">
            <v>0</v>
          </cell>
          <cell r="R1300">
            <v>1153</v>
          </cell>
          <cell r="S1300">
            <v>0</v>
          </cell>
          <cell r="T1300">
            <v>1153</v>
          </cell>
          <cell r="U1300">
            <v>0</v>
          </cell>
          <cell r="V1300">
            <v>1153</v>
          </cell>
          <cell r="W1300">
            <v>0</v>
          </cell>
          <cell r="X1300">
            <v>1153</v>
          </cell>
          <cell r="Y1300">
            <v>0</v>
          </cell>
          <cell r="Z1300">
            <v>1153</v>
          </cell>
          <cell r="AA1300">
            <v>0</v>
          </cell>
          <cell r="AB1300">
            <v>0</v>
          </cell>
          <cell r="AC1300">
            <v>0</v>
          </cell>
          <cell r="AD1300">
            <v>0.04</v>
          </cell>
          <cell r="AE1300">
            <v>0</v>
          </cell>
          <cell r="AF1300">
            <v>0</v>
          </cell>
          <cell r="AG1300">
            <v>0</v>
          </cell>
          <cell r="AH1300">
            <v>0</v>
          </cell>
          <cell r="AI1300">
            <v>0</v>
          </cell>
          <cell r="AJ1300">
            <v>0</v>
          </cell>
          <cell r="AK1300">
            <v>0</v>
          </cell>
          <cell r="AL1300">
            <v>0</v>
          </cell>
        </row>
        <row r="1301">
          <cell r="E1301" t="str">
            <v>KPEV 2.0sq-20Pr</v>
          </cell>
          <cell r="F1301" t="str">
            <v>ｍ</v>
          </cell>
          <cell r="G1301">
            <v>0</v>
          </cell>
          <cell r="H1301">
            <v>1531</v>
          </cell>
          <cell r="I1301">
            <v>0</v>
          </cell>
          <cell r="J1301">
            <v>1531</v>
          </cell>
          <cell r="K1301">
            <v>0</v>
          </cell>
          <cell r="L1301">
            <v>1531</v>
          </cell>
          <cell r="M1301">
            <v>0</v>
          </cell>
          <cell r="N1301">
            <v>1531</v>
          </cell>
          <cell r="O1301">
            <v>0</v>
          </cell>
          <cell r="P1301">
            <v>1531</v>
          </cell>
          <cell r="Q1301">
            <v>0</v>
          </cell>
          <cell r="R1301">
            <v>1531</v>
          </cell>
          <cell r="S1301">
            <v>0</v>
          </cell>
          <cell r="T1301">
            <v>1531</v>
          </cell>
          <cell r="U1301">
            <v>0</v>
          </cell>
          <cell r="V1301">
            <v>1531</v>
          </cell>
          <cell r="W1301">
            <v>0</v>
          </cell>
          <cell r="X1301">
            <v>1531</v>
          </cell>
          <cell r="Y1301">
            <v>0</v>
          </cell>
          <cell r="Z1301">
            <v>1531</v>
          </cell>
          <cell r="AA1301">
            <v>0</v>
          </cell>
          <cell r="AB1301">
            <v>0</v>
          </cell>
          <cell r="AC1301">
            <v>0</v>
          </cell>
          <cell r="AD1301">
            <v>4.7E-2</v>
          </cell>
          <cell r="AE1301">
            <v>0</v>
          </cell>
          <cell r="AF1301">
            <v>0</v>
          </cell>
          <cell r="AG1301">
            <v>0</v>
          </cell>
          <cell r="AH1301">
            <v>0</v>
          </cell>
          <cell r="AI1301">
            <v>0</v>
          </cell>
          <cell r="AJ1301">
            <v>0</v>
          </cell>
          <cell r="AK1301">
            <v>0</v>
          </cell>
          <cell r="AL1301">
            <v>0</v>
          </cell>
        </row>
        <row r="1302">
          <cell r="E1302" t="str">
            <v>KPEV-S 0.5sq-1Pr</v>
          </cell>
          <cell r="F1302" t="str">
            <v>ｍ</v>
          </cell>
          <cell r="G1302">
            <v>0</v>
          </cell>
          <cell r="H1302">
            <v>111</v>
          </cell>
          <cell r="I1302">
            <v>0</v>
          </cell>
          <cell r="J1302">
            <v>111</v>
          </cell>
          <cell r="K1302">
            <v>0</v>
          </cell>
          <cell r="L1302">
            <v>111</v>
          </cell>
          <cell r="M1302">
            <v>0</v>
          </cell>
          <cell r="N1302">
            <v>111</v>
          </cell>
          <cell r="O1302">
            <v>0</v>
          </cell>
          <cell r="P1302">
            <v>111</v>
          </cell>
          <cell r="Q1302">
            <v>0</v>
          </cell>
          <cell r="R1302">
            <v>111</v>
          </cell>
          <cell r="S1302">
            <v>0</v>
          </cell>
          <cell r="T1302">
            <v>111</v>
          </cell>
          <cell r="U1302">
            <v>0</v>
          </cell>
          <cell r="V1302">
            <v>111</v>
          </cell>
          <cell r="W1302">
            <v>0</v>
          </cell>
          <cell r="X1302">
            <v>111</v>
          </cell>
          <cell r="Y1302">
            <v>0</v>
          </cell>
          <cell r="Z1302">
            <v>111</v>
          </cell>
          <cell r="AA1302">
            <v>0</v>
          </cell>
          <cell r="AB1302">
            <v>0</v>
          </cell>
          <cell r="AC1302">
            <v>0</v>
          </cell>
          <cell r="AD1302">
            <v>1.2999999999999999E-2</v>
          </cell>
          <cell r="AE1302">
            <v>0</v>
          </cell>
          <cell r="AF1302">
            <v>0</v>
          </cell>
          <cell r="AG1302">
            <v>0</v>
          </cell>
          <cell r="AH1302">
            <v>0</v>
          </cell>
          <cell r="AI1302">
            <v>0</v>
          </cell>
          <cell r="AJ1302">
            <v>0</v>
          </cell>
          <cell r="AK1302">
            <v>0</v>
          </cell>
          <cell r="AL1302">
            <v>0</v>
          </cell>
        </row>
        <row r="1303">
          <cell r="E1303" t="str">
            <v>KPEV-S 0.5sq-2Pr</v>
          </cell>
          <cell r="F1303" t="str">
            <v>ｍ</v>
          </cell>
          <cell r="G1303">
            <v>0</v>
          </cell>
          <cell r="H1303">
            <v>181</v>
          </cell>
          <cell r="I1303">
            <v>0</v>
          </cell>
          <cell r="J1303">
            <v>181</v>
          </cell>
          <cell r="K1303">
            <v>0</v>
          </cell>
          <cell r="L1303">
            <v>181</v>
          </cell>
          <cell r="M1303">
            <v>0</v>
          </cell>
          <cell r="N1303">
            <v>181</v>
          </cell>
          <cell r="O1303">
            <v>0</v>
          </cell>
          <cell r="P1303">
            <v>181</v>
          </cell>
          <cell r="Q1303">
            <v>0</v>
          </cell>
          <cell r="R1303">
            <v>181</v>
          </cell>
          <cell r="S1303">
            <v>0</v>
          </cell>
          <cell r="T1303">
            <v>181</v>
          </cell>
          <cell r="U1303">
            <v>0</v>
          </cell>
          <cell r="V1303">
            <v>181</v>
          </cell>
          <cell r="W1303">
            <v>0</v>
          </cell>
          <cell r="X1303">
            <v>181</v>
          </cell>
          <cell r="Y1303">
            <v>0</v>
          </cell>
          <cell r="Z1303">
            <v>181</v>
          </cell>
          <cell r="AA1303">
            <v>0</v>
          </cell>
          <cell r="AB1303">
            <v>0</v>
          </cell>
          <cell r="AC1303">
            <v>0</v>
          </cell>
          <cell r="AD1303">
            <v>1.4E-2</v>
          </cell>
          <cell r="AE1303">
            <v>0</v>
          </cell>
          <cell r="AF1303">
            <v>0</v>
          </cell>
          <cell r="AG1303">
            <v>0</v>
          </cell>
          <cell r="AH1303">
            <v>0</v>
          </cell>
          <cell r="AI1303">
            <v>0</v>
          </cell>
          <cell r="AJ1303">
            <v>0</v>
          </cell>
          <cell r="AK1303">
            <v>0</v>
          </cell>
          <cell r="AL1303">
            <v>0</v>
          </cell>
        </row>
        <row r="1304">
          <cell r="E1304" t="str">
            <v>KPEV-S 0.5sq-5Pr</v>
          </cell>
          <cell r="F1304" t="str">
            <v>ｍ</v>
          </cell>
          <cell r="G1304">
            <v>0</v>
          </cell>
          <cell r="H1304">
            <v>312</v>
          </cell>
          <cell r="I1304">
            <v>0</v>
          </cell>
          <cell r="J1304">
            <v>312</v>
          </cell>
          <cell r="K1304">
            <v>0</v>
          </cell>
          <cell r="L1304">
            <v>312</v>
          </cell>
          <cell r="M1304">
            <v>0</v>
          </cell>
          <cell r="N1304">
            <v>312</v>
          </cell>
          <cell r="O1304">
            <v>0</v>
          </cell>
          <cell r="P1304">
            <v>312</v>
          </cell>
          <cell r="Q1304">
            <v>0</v>
          </cell>
          <cell r="R1304">
            <v>312</v>
          </cell>
          <cell r="S1304">
            <v>0</v>
          </cell>
          <cell r="T1304">
            <v>312</v>
          </cell>
          <cell r="U1304">
            <v>0</v>
          </cell>
          <cell r="V1304">
            <v>312</v>
          </cell>
          <cell r="W1304">
            <v>0</v>
          </cell>
          <cell r="X1304">
            <v>312</v>
          </cell>
          <cell r="Y1304">
            <v>0</v>
          </cell>
          <cell r="Z1304">
            <v>312</v>
          </cell>
          <cell r="AA1304">
            <v>0</v>
          </cell>
          <cell r="AB1304">
            <v>0</v>
          </cell>
          <cell r="AC1304">
            <v>0</v>
          </cell>
          <cell r="AD1304">
            <v>1.4999999999999999E-2</v>
          </cell>
          <cell r="AE1304">
            <v>0</v>
          </cell>
          <cell r="AF1304">
            <v>0</v>
          </cell>
          <cell r="AG1304">
            <v>0</v>
          </cell>
          <cell r="AH1304">
            <v>0</v>
          </cell>
          <cell r="AI1304">
            <v>0</v>
          </cell>
          <cell r="AJ1304">
            <v>0</v>
          </cell>
          <cell r="AK1304">
            <v>0</v>
          </cell>
          <cell r="AL1304">
            <v>0</v>
          </cell>
        </row>
        <row r="1305">
          <cell r="E1305" t="str">
            <v>KPEV-S 0.5sq-10Pr</v>
          </cell>
          <cell r="F1305" t="str">
            <v>ｍ</v>
          </cell>
          <cell r="G1305">
            <v>0</v>
          </cell>
          <cell r="H1305">
            <v>539</v>
          </cell>
          <cell r="I1305">
            <v>0</v>
          </cell>
          <cell r="J1305">
            <v>539</v>
          </cell>
          <cell r="K1305">
            <v>0</v>
          </cell>
          <cell r="L1305">
            <v>539</v>
          </cell>
          <cell r="M1305">
            <v>0</v>
          </cell>
          <cell r="N1305">
            <v>539</v>
          </cell>
          <cell r="O1305">
            <v>0</v>
          </cell>
          <cell r="P1305">
            <v>539</v>
          </cell>
          <cell r="Q1305">
            <v>0</v>
          </cell>
          <cell r="R1305">
            <v>539</v>
          </cell>
          <cell r="S1305">
            <v>0</v>
          </cell>
          <cell r="T1305">
            <v>539</v>
          </cell>
          <cell r="U1305">
            <v>0</v>
          </cell>
          <cell r="V1305">
            <v>539</v>
          </cell>
          <cell r="W1305">
            <v>0</v>
          </cell>
          <cell r="X1305">
            <v>539</v>
          </cell>
          <cell r="Y1305">
            <v>0</v>
          </cell>
          <cell r="Z1305">
            <v>539</v>
          </cell>
          <cell r="AA1305">
            <v>0</v>
          </cell>
          <cell r="AB1305">
            <v>0</v>
          </cell>
          <cell r="AC1305">
            <v>0</v>
          </cell>
          <cell r="AD1305">
            <v>1.7000000000000001E-2</v>
          </cell>
          <cell r="AE1305">
            <v>0</v>
          </cell>
          <cell r="AF1305">
            <v>0</v>
          </cell>
          <cell r="AG1305">
            <v>0</v>
          </cell>
          <cell r="AH1305">
            <v>0</v>
          </cell>
          <cell r="AI1305">
            <v>0</v>
          </cell>
          <cell r="AJ1305">
            <v>0</v>
          </cell>
          <cell r="AK1305">
            <v>0</v>
          </cell>
          <cell r="AL1305">
            <v>0</v>
          </cell>
        </row>
        <row r="1306">
          <cell r="E1306" t="str">
            <v>KPEV-S 0.5sq-15Pr</v>
          </cell>
          <cell r="F1306" t="str">
            <v>ｍ</v>
          </cell>
          <cell r="G1306">
            <v>0</v>
          </cell>
          <cell r="H1306">
            <v>750</v>
          </cell>
          <cell r="I1306">
            <v>0</v>
          </cell>
          <cell r="J1306">
            <v>750</v>
          </cell>
          <cell r="K1306">
            <v>0</v>
          </cell>
          <cell r="L1306">
            <v>750</v>
          </cell>
          <cell r="M1306">
            <v>0</v>
          </cell>
          <cell r="N1306">
            <v>750</v>
          </cell>
          <cell r="O1306">
            <v>0</v>
          </cell>
          <cell r="P1306">
            <v>750</v>
          </cell>
          <cell r="Q1306">
            <v>0</v>
          </cell>
          <cell r="R1306">
            <v>750</v>
          </cell>
          <cell r="S1306">
            <v>0</v>
          </cell>
          <cell r="T1306">
            <v>750</v>
          </cell>
          <cell r="U1306">
            <v>0</v>
          </cell>
          <cell r="V1306">
            <v>750</v>
          </cell>
          <cell r="W1306">
            <v>0</v>
          </cell>
          <cell r="X1306">
            <v>750</v>
          </cell>
          <cell r="Y1306">
            <v>0</v>
          </cell>
          <cell r="Z1306">
            <v>750</v>
          </cell>
          <cell r="AA1306">
            <v>0</v>
          </cell>
          <cell r="AB1306">
            <v>0</v>
          </cell>
          <cell r="AC1306">
            <v>0</v>
          </cell>
          <cell r="AD1306">
            <v>1.7999999999999999E-2</v>
          </cell>
          <cell r="AE1306">
            <v>0</v>
          </cell>
          <cell r="AF1306">
            <v>0</v>
          </cell>
          <cell r="AG1306">
            <v>0</v>
          </cell>
          <cell r="AH1306">
            <v>0</v>
          </cell>
          <cell r="AI1306">
            <v>0</v>
          </cell>
          <cell r="AJ1306">
            <v>0</v>
          </cell>
          <cell r="AK1306">
            <v>0</v>
          </cell>
          <cell r="AL1306">
            <v>0</v>
          </cell>
        </row>
        <row r="1307">
          <cell r="E1307" t="str">
            <v>KPEV-S 0.5sq-20Pr</v>
          </cell>
          <cell r="F1307" t="str">
            <v>ｍ</v>
          </cell>
          <cell r="G1307">
            <v>0</v>
          </cell>
          <cell r="H1307">
            <v>979</v>
          </cell>
          <cell r="I1307">
            <v>0</v>
          </cell>
          <cell r="J1307">
            <v>979</v>
          </cell>
          <cell r="K1307">
            <v>0</v>
          </cell>
          <cell r="L1307">
            <v>979</v>
          </cell>
          <cell r="M1307">
            <v>0</v>
          </cell>
          <cell r="N1307">
            <v>979</v>
          </cell>
          <cell r="O1307">
            <v>0</v>
          </cell>
          <cell r="P1307">
            <v>979</v>
          </cell>
          <cell r="Q1307">
            <v>0</v>
          </cell>
          <cell r="R1307">
            <v>979</v>
          </cell>
          <cell r="S1307">
            <v>0</v>
          </cell>
          <cell r="T1307">
            <v>979</v>
          </cell>
          <cell r="U1307">
            <v>0</v>
          </cell>
          <cell r="V1307">
            <v>979</v>
          </cell>
          <cell r="W1307">
            <v>0</v>
          </cell>
          <cell r="X1307">
            <v>979</v>
          </cell>
          <cell r="Y1307">
            <v>0</v>
          </cell>
          <cell r="Z1307">
            <v>979</v>
          </cell>
          <cell r="AA1307">
            <v>0</v>
          </cell>
          <cell r="AB1307">
            <v>0</v>
          </cell>
          <cell r="AC1307">
            <v>0</v>
          </cell>
          <cell r="AD1307">
            <v>0.02</v>
          </cell>
          <cell r="AE1307">
            <v>0</v>
          </cell>
          <cell r="AF1307">
            <v>0</v>
          </cell>
          <cell r="AG1307">
            <v>0</v>
          </cell>
          <cell r="AH1307">
            <v>0</v>
          </cell>
          <cell r="AI1307">
            <v>0</v>
          </cell>
          <cell r="AJ1307">
            <v>0</v>
          </cell>
          <cell r="AK1307">
            <v>0</v>
          </cell>
          <cell r="AL1307">
            <v>0</v>
          </cell>
        </row>
        <row r="1308">
          <cell r="E1308" t="str">
            <v>KPEV-S 0.5sq-25Pr</v>
          </cell>
          <cell r="F1308" t="str">
            <v>ｍ</v>
          </cell>
          <cell r="G1308">
            <v>0</v>
          </cell>
          <cell r="H1308">
            <v>1199</v>
          </cell>
          <cell r="I1308">
            <v>0</v>
          </cell>
          <cell r="J1308">
            <v>1199</v>
          </cell>
          <cell r="K1308">
            <v>0</v>
          </cell>
          <cell r="L1308">
            <v>1199</v>
          </cell>
          <cell r="M1308">
            <v>0</v>
          </cell>
          <cell r="N1308">
            <v>1199</v>
          </cell>
          <cell r="O1308">
            <v>0</v>
          </cell>
          <cell r="P1308">
            <v>1199</v>
          </cell>
          <cell r="Q1308">
            <v>0</v>
          </cell>
          <cell r="R1308">
            <v>1199</v>
          </cell>
          <cell r="S1308">
            <v>0</v>
          </cell>
          <cell r="T1308">
            <v>1199</v>
          </cell>
          <cell r="U1308">
            <v>0</v>
          </cell>
          <cell r="V1308">
            <v>1199</v>
          </cell>
          <cell r="W1308">
            <v>0</v>
          </cell>
          <cell r="X1308">
            <v>1199</v>
          </cell>
          <cell r="Y1308">
            <v>0</v>
          </cell>
          <cell r="Z1308">
            <v>1199</v>
          </cell>
          <cell r="AA1308">
            <v>0</v>
          </cell>
          <cell r="AB1308">
            <v>0</v>
          </cell>
          <cell r="AC1308">
            <v>0</v>
          </cell>
          <cell r="AD1308">
            <v>2.1999999999999999E-2</v>
          </cell>
          <cell r="AE1308">
            <v>0</v>
          </cell>
          <cell r="AF1308">
            <v>0</v>
          </cell>
          <cell r="AG1308">
            <v>0</v>
          </cell>
          <cell r="AH1308">
            <v>0</v>
          </cell>
          <cell r="AI1308">
            <v>0</v>
          </cell>
          <cell r="AJ1308">
            <v>0</v>
          </cell>
          <cell r="AK1308">
            <v>0</v>
          </cell>
          <cell r="AL1308">
            <v>0</v>
          </cell>
        </row>
        <row r="1309">
          <cell r="E1309" t="str">
            <v>KPEV-S 0.5sq-30Pr</v>
          </cell>
          <cell r="F1309" t="str">
            <v>ｍ</v>
          </cell>
          <cell r="G1309">
            <v>0</v>
          </cell>
          <cell r="H1309">
            <v>1425</v>
          </cell>
          <cell r="I1309">
            <v>0</v>
          </cell>
          <cell r="J1309">
            <v>1425</v>
          </cell>
          <cell r="K1309">
            <v>0</v>
          </cell>
          <cell r="L1309">
            <v>1425</v>
          </cell>
          <cell r="M1309">
            <v>0</v>
          </cell>
          <cell r="N1309">
            <v>1425</v>
          </cell>
          <cell r="O1309">
            <v>0</v>
          </cell>
          <cell r="P1309">
            <v>1425</v>
          </cell>
          <cell r="Q1309">
            <v>0</v>
          </cell>
          <cell r="R1309">
            <v>1425</v>
          </cell>
          <cell r="S1309">
            <v>0</v>
          </cell>
          <cell r="T1309">
            <v>1425</v>
          </cell>
          <cell r="U1309">
            <v>0</v>
          </cell>
          <cell r="V1309">
            <v>1425</v>
          </cell>
          <cell r="W1309">
            <v>0</v>
          </cell>
          <cell r="X1309">
            <v>1425</v>
          </cell>
          <cell r="Y1309">
            <v>0</v>
          </cell>
          <cell r="Z1309">
            <v>1425</v>
          </cell>
          <cell r="AA1309">
            <v>0</v>
          </cell>
          <cell r="AB1309">
            <v>0</v>
          </cell>
          <cell r="AC1309">
            <v>0</v>
          </cell>
          <cell r="AD1309">
            <v>2.4E-2</v>
          </cell>
          <cell r="AE1309">
            <v>0</v>
          </cell>
          <cell r="AF1309">
            <v>0</v>
          </cell>
          <cell r="AG1309">
            <v>0</v>
          </cell>
          <cell r="AH1309">
            <v>0</v>
          </cell>
          <cell r="AI1309">
            <v>0</v>
          </cell>
          <cell r="AJ1309">
            <v>0</v>
          </cell>
          <cell r="AK1309">
            <v>0</v>
          </cell>
          <cell r="AL1309">
            <v>0</v>
          </cell>
        </row>
        <row r="1310">
          <cell r="E1310" t="str">
            <v>KPEV-S 0.5sq-40Pr</v>
          </cell>
          <cell r="F1310" t="str">
            <v>ｍ</v>
          </cell>
          <cell r="G1310">
            <v>0</v>
          </cell>
          <cell r="H1310">
            <v>1872</v>
          </cell>
          <cell r="I1310">
            <v>0</v>
          </cell>
          <cell r="J1310">
            <v>1872</v>
          </cell>
          <cell r="K1310">
            <v>0</v>
          </cell>
          <cell r="L1310">
            <v>1872</v>
          </cell>
          <cell r="M1310">
            <v>0</v>
          </cell>
          <cell r="N1310">
            <v>1872</v>
          </cell>
          <cell r="O1310">
            <v>0</v>
          </cell>
          <cell r="P1310">
            <v>1872</v>
          </cell>
          <cell r="Q1310">
            <v>0</v>
          </cell>
          <cell r="R1310">
            <v>1872</v>
          </cell>
          <cell r="S1310">
            <v>0</v>
          </cell>
          <cell r="T1310">
            <v>1872</v>
          </cell>
          <cell r="U1310">
            <v>0</v>
          </cell>
          <cell r="V1310">
            <v>1872</v>
          </cell>
          <cell r="W1310">
            <v>0</v>
          </cell>
          <cell r="X1310">
            <v>1872</v>
          </cell>
          <cell r="Y1310">
            <v>0</v>
          </cell>
          <cell r="Z1310">
            <v>1872</v>
          </cell>
          <cell r="AA1310">
            <v>0</v>
          </cell>
          <cell r="AB1310">
            <v>0</v>
          </cell>
          <cell r="AC1310">
            <v>0</v>
          </cell>
          <cell r="AD1310">
            <v>2.9000000000000001E-2</v>
          </cell>
          <cell r="AE1310">
            <v>0</v>
          </cell>
          <cell r="AF1310">
            <v>0</v>
          </cell>
          <cell r="AG1310">
            <v>0</v>
          </cell>
          <cell r="AH1310">
            <v>0</v>
          </cell>
          <cell r="AI1310">
            <v>0</v>
          </cell>
          <cell r="AJ1310">
            <v>0</v>
          </cell>
          <cell r="AK1310">
            <v>0</v>
          </cell>
          <cell r="AL1310">
            <v>0</v>
          </cell>
        </row>
        <row r="1311">
          <cell r="E1311" t="str">
            <v>KPEV-S 0.5sq-50Pr</v>
          </cell>
          <cell r="F1311" t="str">
            <v>ｍ</v>
          </cell>
          <cell r="G1311">
            <v>0</v>
          </cell>
          <cell r="H1311">
            <v>2282</v>
          </cell>
          <cell r="I1311">
            <v>0</v>
          </cell>
          <cell r="J1311">
            <v>2282</v>
          </cell>
          <cell r="K1311">
            <v>0</v>
          </cell>
          <cell r="L1311">
            <v>2282</v>
          </cell>
          <cell r="M1311">
            <v>0</v>
          </cell>
          <cell r="N1311">
            <v>2282</v>
          </cell>
          <cell r="O1311">
            <v>0</v>
          </cell>
          <cell r="P1311">
            <v>2282</v>
          </cell>
          <cell r="Q1311">
            <v>0</v>
          </cell>
          <cell r="R1311">
            <v>2282</v>
          </cell>
          <cell r="S1311">
            <v>0</v>
          </cell>
          <cell r="T1311">
            <v>2282</v>
          </cell>
          <cell r="U1311">
            <v>0</v>
          </cell>
          <cell r="V1311">
            <v>2282</v>
          </cell>
          <cell r="W1311">
            <v>0</v>
          </cell>
          <cell r="X1311">
            <v>2282</v>
          </cell>
          <cell r="Y1311">
            <v>0</v>
          </cell>
          <cell r="Z1311">
            <v>2282</v>
          </cell>
          <cell r="AA1311">
            <v>0</v>
          </cell>
          <cell r="AB1311">
            <v>0</v>
          </cell>
          <cell r="AC1311">
            <v>0</v>
          </cell>
          <cell r="AD1311">
            <v>3.9E-2</v>
          </cell>
          <cell r="AE1311">
            <v>0</v>
          </cell>
          <cell r="AF1311">
            <v>0</v>
          </cell>
          <cell r="AG1311">
            <v>0</v>
          </cell>
          <cell r="AH1311">
            <v>0</v>
          </cell>
          <cell r="AI1311">
            <v>0</v>
          </cell>
          <cell r="AJ1311">
            <v>0</v>
          </cell>
          <cell r="AK1311">
            <v>0</v>
          </cell>
          <cell r="AL1311">
            <v>0</v>
          </cell>
        </row>
        <row r="1312">
          <cell r="E1312" t="str">
            <v>KPEV-S 0.5sq-60Pr</v>
          </cell>
          <cell r="F1312" t="str">
            <v>ｍ</v>
          </cell>
          <cell r="G1312">
            <v>0</v>
          </cell>
          <cell r="H1312">
            <v>2707</v>
          </cell>
          <cell r="I1312">
            <v>0</v>
          </cell>
          <cell r="J1312">
            <v>2707</v>
          </cell>
          <cell r="K1312">
            <v>0</v>
          </cell>
          <cell r="L1312">
            <v>2707</v>
          </cell>
          <cell r="M1312">
            <v>0</v>
          </cell>
          <cell r="N1312">
            <v>2707</v>
          </cell>
          <cell r="O1312">
            <v>0</v>
          </cell>
          <cell r="P1312">
            <v>2707</v>
          </cell>
          <cell r="Q1312">
            <v>0</v>
          </cell>
          <cell r="R1312">
            <v>2707</v>
          </cell>
          <cell r="S1312">
            <v>0</v>
          </cell>
          <cell r="T1312">
            <v>2707</v>
          </cell>
          <cell r="U1312">
            <v>0</v>
          </cell>
          <cell r="V1312">
            <v>2707</v>
          </cell>
          <cell r="W1312">
            <v>0</v>
          </cell>
          <cell r="X1312">
            <v>2707</v>
          </cell>
          <cell r="Y1312">
            <v>0</v>
          </cell>
          <cell r="Z1312">
            <v>2707</v>
          </cell>
          <cell r="AA1312">
            <v>0</v>
          </cell>
          <cell r="AB1312">
            <v>0</v>
          </cell>
          <cell r="AC1312">
            <v>0</v>
          </cell>
          <cell r="AD1312">
            <v>5.0999999999999997E-2</v>
          </cell>
          <cell r="AE1312">
            <v>0</v>
          </cell>
          <cell r="AF1312">
            <v>0</v>
          </cell>
          <cell r="AG1312">
            <v>0</v>
          </cell>
          <cell r="AH1312">
            <v>0</v>
          </cell>
          <cell r="AI1312">
            <v>0</v>
          </cell>
          <cell r="AJ1312">
            <v>0</v>
          </cell>
          <cell r="AK1312">
            <v>0</v>
          </cell>
          <cell r="AL1312">
            <v>0</v>
          </cell>
        </row>
        <row r="1313">
          <cell r="E1313" t="str">
            <v>KPEV-S 0.5sq-70Pr</v>
          </cell>
          <cell r="F1313" t="str">
            <v>ｍ</v>
          </cell>
          <cell r="G1313">
            <v>0</v>
          </cell>
          <cell r="H1313">
            <v>3132</v>
          </cell>
          <cell r="I1313">
            <v>0</v>
          </cell>
          <cell r="J1313">
            <v>3132</v>
          </cell>
          <cell r="K1313">
            <v>0</v>
          </cell>
          <cell r="L1313">
            <v>3132</v>
          </cell>
          <cell r="M1313">
            <v>0</v>
          </cell>
          <cell r="N1313">
            <v>3132</v>
          </cell>
          <cell r="O1313">
            <v>0</v>
          </cell>
          <cell r="P1313">
            <v>3132</v>
          </cell>
          <cell r="Q1313">
            <v>0</v>
          </cell>
          <cell r="R1313">
            <v>3132</v>
          </cell>
          <cell r="S1313">
            <v>0</v>
          </cell>
          <cell r="T1313">
            <v>3132</v>
          </cell>
          <cell r="U1313">
            <v>0</v>
          </cell>
          <cell r="V1313">
            <v>3132</v>
          </cell>
          <cell r="W1313">
            <v>0</v>
          </cell>
          <cell r="X1313">
            <v>3132</v>
          </cell>
          <cell r="Y1313">
            <v>0</v>
          </cell>
          <cell r="Z1313">
            <v>3132</v>
          </cell>
          <cell r="AA1313">
            <v>0</v>
          </cell>
          <cell r="AB1313">
            <v>0</v>
          </cell>
          <cell r="AC1313">
            <v>0</v>
          </cell>
          <cell r="AD1313">
            <v>6.4000000000000001E-2</v>
          </cell>
          <cell r="AE1313">
            <v>0</v>
          </cell>
          <cell r="AF1313">
            <v>0</v>
          </cell>
          <cell r="AG1313">
            <v>0</v>
          </cell>
          <cell r="AH1313">
            <v>0</v>
          </cell>
          <cell r="AI1313">
            <v>0</v>
          </cell>
          <cell r="AJ1313">
            <v>0</v>
          </cell>
          <cell r="AK1313">
            <v>0</v>
          </cell>
          <cell r="AL1313">
            <v>0</v>
          </cell>
        </row>
        <row r="1314">
          <cell r="E1314" t="str">
            <v>KPEV-S 0.5sq-80Pr</v>
          </cell>
          <cell r="F1314" t="str">
            <v>ｍ</v>
          </cell>
          <cell r="G1314">
            <v>0</v>
          </cell>
          <cell r="H1314">
            <v>3543</v>
          </cell>
          <cell r="I1314">
            <v>0</v>
          </cell>
          <cell r="J1314">
            <v>3543</v>
          </cell>
          <cell r="K1314">
            <v>0</v>
          </cell>
          <cell r="L1314">
            <v>3543</v>
          </cell>
          <cell r="M1314">
            <v>0</v>
          </cell>
          <cell r="N1314">
            <v>3543</v>
          </cell>
          <cell r="O1314">
            <v>0</v>
          </cell>
          <cell r="P1314">
            <v>3543</v>
          </cell>
          <cell r="Q1314">
            <v>0</v>
          </cell>
          <cell r="R1314">
            <v>3543</v>
          </cell>
          <cell r="S1314">
            <v>0</v>
          </cell>
          <cell r="T1314">
            <v>3543</v>
          </cell>
          <cell r="U1314">
            <v>0</v>
          </cell>
          <cell r="V1314">
            <v>3543</v>
          </cell>
          <cell r="W1314">
            <v>0</v>
          </cell>
          <cell r="X1314">
            <v>3543</v>
          </cell>
          <cell r="Y1314">
            <v>0</v>
          </cell>
          <cell r="Z1314">
            <v>3543</v>
          </cell>
          <cell r="AA1314">
            <v>0</v>
          </cell>
          <cell r="AB1314">
            <v>0</v>
          </cell>
          <cell r="AC1314">
            <v>0</v>
          </cell>
          <cell r="AD1314">
            <v>8.3000000000000004E-2</v>
          </cell>
          <cell r="AE1314">
            <v>0</v>
          </cell>
          <cell r="AF1314">
            <v>0</v>
          </cell>
          <cell r="AG1314">
            <v>0</v>
          </cell>
          <cell r="AH1314">
            <v>0</v>
          </cell>
          <cell r="AI1314">
            <v>0</v>
          </cell>
          <cell r="AJ1314">
            <v>0</v>
          </cell>
          <cell r="AK1314">
            <v>0</v>
          </cell>
          <cell r="AL1314">
            <v>0</v>
          </cell>
        </row>
        <row r="1315">
          <cell r="E1315" t="str">
            <v>KPEV-S 0.5sq-100Pr</v>
          </cell>
          <cell r="F1315" t="str">
            <v>ｍ</v>
          </cell>
          <cell r="G1315">
            <v>0</v>
          </cell>
          <cell r="H1315">
            <v>4363</v>
          </cell>
          <cell r="I1315">
            <v>0</v>
          </cell>
          <cell r="J1315">
            <v>4363</v>
          </cell>
          <cell r="K1315">
            <v>0</v>
          </cell>
          <cell r="L1315">
            <v>4363</v>
          </cell>
          <cell r="M1315">
            <v>0</v>
          </cell>
          <cell r="N1315">
            <v>4363</v>
          </cell>
          <cell r="O1315">
            <v>0</v>
          </cell>
          <cell r="P1315">
            <v>4363</v>
          </cell>
          <cell r="Q1315">
            <v>0</v>
          </cell>
          <cell r="R1315">
            <v>4363</v>
          </cell>
          <cell r="S1315">
            <v>0</v>
          </cell>
          <cell r="T1315">
            <v>4363</v>
          </cell>
          <cell r="U1315">
            <v>0</v>
          </cell>
          <cell r="V1315">
            <v>4363</v>
          </cell>
          <cell r="W1315">
            <v>0</v>
          </cell>
          <cell r="X1315">
            <v>4363</v>
          </cell>
          <cell r="Y1315">
            <v>0</v>
          </cell>
          <cell r="Z1315">
            <v>4363</v>
          </cell>
          <cell r="AA1315">
            <v>0</v>
          </cell>
          <cell r="AB1315">
            <v>0</v>
          </cell>
          <cell r="AC1315">
            <v>0</v>
          </cell>
          <cell r="AD1315">
            <v>9.5000000000000001E-2</v>
          </cell>
          <cell r="AE1315">
            <v>0</v>
          </cell>
          <cell r="AF1315">
            <v>0</v>
          </cell>
          <cell r="AG1315">
            <v>0</v>
          </cell>
          <cell r="AH1315">
            <v>0</v>
          </cell>
          <cell r="AI1315">
            <v>0</v>
          </cell>
          <cell r="AJ1315">
            <v>0</v>
          </cell>
          <cell r="AK1315">
            <v>0</v>
          </cell>
          <cell r="AL1315">
            <v>0</v>
          </cell>
        </row>
        <row r="1316">
          <cell r="E1316" t="str">
            <v>KPEV-S 0.75sq-1Pr</v>
          </cell>
          <cell r="F1316" t="str">
            <v>ｍ</v>
          </cell>
          <cell r="G1316">
            <v>0</v>
          </cell>
          <cell r="H1316">
            <v>114</v>
          </cell>
          <cell r="I1316">
            <v>0</v>
          </cell>
          <cell r="J1316">
            <v>114</v>
          </cell>
          <cell r="K1316">
            <v>0</v>
          </cell>
          <cell r="L1316">
            <v>114</v>
          </cell>
          <cell r="M1316">
            <v>0</v>
          </cell>
          <cell r="N1316">
            <v>114</v>
          </cell>
          <cell r="O1316">
            <v>0</v>
          </cell>
          <cell r="P1316">
            <v>114</v>
          </cell>
          <cell r="Q1316">
            <v>0</v>
          </cell>
          <cell r="R1316">
            <v>114</v>
          </cell>
          <cell r="S1316">
            <v>0</v>
          </cell>
          <cell r="T1316">
            <v>114</v>
          </cell>
          <cell r="U1316">
            <v>0</v>
          </cell>
          <cell r="V1316">
            <v>114</v>
          </cell>
          <cell r="W1316">
            <v>0</v>
          </cell>
          <cell r="X1316">
            <v>114</v>
          </cell>
          <cell r="Y1316">
            <v>0</v>
          </cell>
          <cell r="Z1316">
            <v>114</v>
          </cell>
          <cell r="AA1316">
            <v>0</v>
          </cell>
          <cell r="AB1316">
            <v>0</v>
          </cell>
          <cell r="AC1316">
            <v>0</v>
          </cell>
          <cell r="AD1316">
            <v>2.1000000000000001E-2</v>
          </cell>
          <cell r="AE1316">
            <v>0</v>
          </cell>
          <cell r="AF1316">
            <v>0</v>
          </cell>
          <cell r="AG1316">
            <v>0</v>
          </cell>
          <cell r="AH1316">
            <v>0</v>
          </cell>
          <cell r="AI1316">
            <v>0</v>
          </cell>
          <cell r="AJ1316">
            <v>0</v>
          </cell>
          <cell r="AK1316">
            <v>0</v>
          </cell>
          <cell r="AL1316">
            <v>0</v>
          </cell>
        </row>
        <row r="1317">
          <cell r="E1317" t="str">
            <v>KPEV-S 0.75sq-2Pr</v>
          </cell>
          <cell r="F1317" t="str">
            <v>ｍ</v>
          </cell>
          <cell r="G1317">
            <v>0</v>
          </cell>
          <cell r="H1317">
            <v>192</v>
          </cell>
          <cell r="I1317">
            <v>0</v>
          </cell>
          <cell r="J1317">
            <v>192</v>
          </cell>
          <cell r="K1317">
            <v>0</v>
          </cell>
          <cell r="L1317">
            <v>192</v>
          </cell>
          <cell r="M1317">
            <v>0</v>
          </cell>
          <cell r="N1317">
            <v>192</v>
          </cell>
          <cell r="O1317">
            <v>0</v>
          </cell>
          <cell r="P1317">
            <v>192</v>
          </cell>
          <cell r="Q1317">
            <v>0</v>
          </cell>
          <cell r="R1317">
            <v>192</v>
          </cell>
          <cell r="S1317">
            <v>0</v>
          </cell>
          <cell r="T1317">
            <v>192</v>
          </cell>
          <cell r="U1317">
            <v>0</v>
          </cell>
          <cell r="V1317">
            <v>192</v>
          </cell>
          <cell r="W1317">
            <v>0</v>
          </cell>
          <cell r="X1317">
            <v>192</v>
          </cell>
          <cell r="Y1317">
            <v>0</v>
          </cell>
          <cell r="Z1317">
            <v>192</v>
          </cell>
          <cell r="AA1317">
            <v>0</v>
          </cell>
          <cell r="AB1317">
            <v>0</v>
          </cell>
          <cell r="AC1317">
            <v>0</v>
          </cell>
          <cell r="AD1317">
            <v>2.3E-2</v>
          </cell>
          <cell r="AE1317">
            <v>0</v>
          </cell>
          <cell r="AF1317">
            <v>0</v>
          </cell>
          <cell r="AG1317">
            <v>0</v>
          </cell>
          <cell r="AH1317">
            <v>0</v>
          </cell>
          <cell r="AI1317">
            <v>0</v>
          </cell>
          <cell r="AJ1317">
            <v>0</v>
          </cell>
          <cell r="AK1317">
            <v>0</v>
          </cell>
          <cell r="AL1317">
            <v>0</v>
          </cell>
        </row>
        <row r="1318">
          <cell r="E1318" t="str">
            <v>KPEV-S 0.75sq-5Pr</v>
          </cell>
          <cell r="F1318" t="str">
            <v>ｍ</v>
          </cell>
          <cell r="G1318">
            <v>0</v>
          </cell>
          <cell r="H1318">
            <v>325</v>
          </cell>
          <cell r="I1318">
            <v>0</v>
          </cell>
          <cell r="J1318">
            <v>325</v>
          </cell>
          <cell r="K1318">
            <v>0</v>
          </cell>
          <cell r="L1318">
            <v>325</v>
          </cell>
          <cell r="M1318">
            <v>0</v>
          </cell>
          <cell r="N1318">
            <v>325</v>
          </cell>
          <cell r="O1318">
            <v>0</v>
          </cell>
          <cell r="P1318">
            <v>325</v>
          </cell>
          <cell r="Q1318">
            <v>0</v>
          </cell>
          <cell r="R1318">
            <v>325</v>
          </cell>
          <cell r="S1318">
            <v>0</v>
          </cell>
          <cell r="T1318">
            <v>325</v>
          </cell>
          <cell r="U1318">
            <v>0</v>
          </cell>
          <cell r="V1318">
            <v>325</v>
          </cell>
          <cell r="W1318">
            <v>0</v>
          </cell>
          <cell r="X1318">
            <v>325</v>
          </cell>
          <cell r="Y1318">
            <v>0</v>
          </cell>
          <cell r="Z1318">
            <v>325</v>
          </cell>
          <cell r="AA1318">
            <v>0</v>
          </cell>
          <cell r="AB1318">
            <v>0</v>
          </cell>
          <cell r="AC1318">
            <v>0</v>
          </cell>
          <cell r="AD1318">
            <v>2.5000000000000001E-2</v>
          </cell>
          <cell r="AE1318">
            <v>0</v>
          </cell>
          <cell r="AF1318">
            <v>0</v>
          </cell>
          <cell r="AG1318">
            <v>0</v>
          </cell>
          <cell r="AH1318">
            <v>0</v>
          </cell>
          <cell r="AI1318">
            <v>0</v>
          </cell>
          <cell r="AJ1318">
            <v>0</v>
          </cell>
          <cell r="AK1318">
            <v>0</v>
          </cell>
          <cell r="AL1318">
            <v>0</v>
          </cell>
        </row>
        <row r="1319">
          <cell r="E1319" t="str">
            <v>KPEV-S 0.75sq-10Pr</v>
          </cell>
          <cell r="F1319" t="str">
            <v>ｍ</v>
          </cell>
          <cell r="G1319">
            <v>0</v>
          </cell>
          <cell r="H1319">
            <v>562</v>
          </cell>
          <cell r="I1319">
            <v>0</v>
          </cell>
          <cell r="J1319">
            <v>562</v>
          </cell>
          <cell r="K1319">
            <v>0</v>
          </cell>
          <cell r="L1319">
            <v>562</v>
          </cell>
          <cell r="M1319">
            <v>0</v>
          </cell>
          <cell r="N1319">
            <v>562</v>
          </cell>
          <cell r="O1319">
            <v>0</v>
          </cell>
          <cell r="P1319">
            <v>562</v>
          </cell>
          <cell r="Q1319">
            <v>0</v>
          </cell>
          <cell r="R1319">
            <v>562</v>
          </cell>
          <cell r="S1319">
            <v>0</v>
          </cell>
          <cell r="T1319">
            <v>562</v>
          </cell>
          <cell r="U1319">
            <v>0</v>
          </cell>
          <cell r="V1319">
            <v>562</v>
          </cell>
          <cell r="W1319">
            <v>0</v>
          </cell>
          <cell r="X1319">
            <v>562</v>
          </cell>
          <cell r="Y1319">
            <v>0</v>
          </cell>
          <cell r="Z1319">
            <v>562</v>
          </cell>
          <cell r="AA1319">
            <v>0</v>
          </cell>
          <cell r="AB1319">
            <v>0</v>
          </cell>
          <cell r="AC1319">
            <v>0</v>
          </cell>
          <cell r="AD1319">
            <v>2.7E-2</v>
          </cell>
          <cell r="AE1319">
            <v>0</v>
          </cell>
          <cell r="AF1319">
            <v>0</v>
          </cell>
          <cell r="AG1319">
            <v>0</v>
          </cell>
          <cell r="AH1319">
            <v>0</v>
          </cell>
          <cell r="AI1319">
            <v>0</v>
          </cell>
          <cell r="AJ1319">
            <v>0</v>
          </cell>
          <cell r="AK1319">
            <v>0</v>
          </cell>
          <cell r="AL1319">
            <v>0</v>
          </cell>
        </row>
        <row r="1320">
          <cell r="E1320" t="str">
            <v>KPEV-S 0.75sq-15Pr</v>
          </cell>
          <cell r="F1320" t="str">
            <v>ｍ</v>
          </cell>
          <cell r="G1320">
            <v>0</v>
          </cell>
          <cell r="H1320">
            <v>795</v>
          </cell>
          <cell r="I1320">
            <v>0</v>
          </cell>
          <cell r="J1320">
            <v>795</v>
          </cell>
          <cell r="K1320">
            <v>0</v>
          </cell>
          <cell r="L1320">
            <v>795</v>
          </cell>
          <cell r="M1320">
            <v>0</v>
          </cell>
          <cell r="N1320">
            <v>795</v>
          </cell>
          <cell r="O1320">
            <v>0</v>
          </cell>
          <cell r="P1320">
            <v>795</v>
          </cell>
          <cell r="Q1320">
            <v>0</v>
          </cell>
          <cell r="R1320">
            <v>795</v>
          </cell>
          <cell r="S1320">
            <v>0</v>
          </cell>
          <cell r="T1320">
            <v>795</v>
          </cell>
          <cell r="U1320">
            <v>0</v>
          </cell>
          <cell r="V1320">
            <v>795</v>
          </cell>
          <cell r="W1320">
            <v>0</v>
          </cell>
          <cell r="X1320">
            <v>795</v>
          </cell>
          <cell r="Y1320">
            <v>0</v>
          </cell>
          <cell r="Z1320">
            <v>795</v>
          </cell>
          <cell r="AA1320">
            <v>0</v>
          </cell>
          <cell r="AB1320">
            <v>0</v>
          </cell>
          <cell r="AC1320">
            <v>0</v>
          </cell>
          <cell r="AD1320">
            <v>2.9000000000000001E-2</v>
          </cell>
          <cell r="AE1320">
            <v>0</v>
          </cell>
          <cell r="AF1320">
            <v>0</v>
          </cell>
          <cell r="AG1320">
            <v>0</v>
          </cell>
          <cell r="AH1320">
            <v>0</v>
          </cell>
          <cell r="AI1320">
            <v>0</v>
          </cell>
          <cell r="AJ1320">
            <v>0</v>
          </cell>
          <cell r="AK1320">
            <v>0</v>
          </cell>
          <cell r="AL1320">
            <v>0</v>
          </cell>
        </row>
        <row r="1321">
          <cell r="E1321" t="str">
            <v>KPEV-S 0.75sq-20Pr</v>
          </cell>
          <cell r="F1321" t="str">
            <v>ｍ</v>
          </cell>
          <cell r="G1321">
            <v>0</v>
          </cell>
          <cell r="H1321">
            <v>1024</v>
          </cell>
          <cell r="I1321">
            <v>0</v>
          </cell>
          <cell r="J1321">
            <v>1024</v>
          </cell>
          <cell r="K1321">
            <v>0</v>
          </cell>
          <cell r="L1321">
            <v>1024</v>
          </cell>
          <cell r="M1321">
            <v>0</v>
          </cell>
          <cell r="N1321">
            <v>1024</v>
          </cell>
          <cell r="O1321">
            <v>0</v>
          </cell>
          <cell r="P1321">
            <v>1024</v>
          </cell>
          <cell r="Q1321">
            <v>0</v>
          </cell>
          <cell r="R1321">
            <v>1024</v>
          </cell>
          <cell r="S1321">
            <v>0</v>
          </cell>
          <cell r="T1321">
            <v>1024</v>
          </cell>
          <cell r="U1321">
            <v>0</v>
          </cell>
          <cell r="V1321">
            <v>1024</v>
          </cell>
          <cell r="W1321">
            <v>0</v>
          </cell>
          <cell r="X1321">
            <v>1024</v>
          </cell>
          <cell r="Y1321">
            <v>0</v>
          </cell>
          <cell r="Z1321">
            <v>1024</v>
          </cell>
          <cell r="AA1321">
            <v>0</v>
          </cell>
          <cell r="AB1321">
            <v>0</v>
          </cell>
          <cell r="AC1321">
            <v>0</v>
          </cell>
          <cell r="AD1321">
            <v>3.1E-2</v>
          </cell>
          <cell r="AE1321">
            <v>0</v>
          </cell>
          <cell r="AF1321">
            <v>0</v>
          </cell>
          <cell r="AG1321">
            <v>0</v>
          </cell>
          <cell r="AH1321">
            <v>0</v>
          </cell>
          <cell r="AI1321">
            <v>0</v>
          </cell>
          <cell r="AJ1321">
            <v>0</v>
          </cell>
          <cell r="AK1321">
            <v>0</v>
          </cell>
          <cell r="AL1321">
            <v>0</v>
          </cell>
        </row>
        <row r="1322">
          <cell r="E1322" t="str">
            <v>KPEV-S 0.75sq-25Pr</v>
          </cell>
          <cell r="F1322" t="str">
            <v>ｍ</v>
          </cell>
          <cell r="G1322">
            <v>0</v>
          </cell>
          <cell r="H1322">
            <v>1260</v>
          </cell>
          <cell r="I1322">
            <v>0</v>
          </cell>
          <cell r="J1322">
            <v>1260</v>
          </cell>
          <cell r="K1322">
            <v>0</v>
          </cell>
          <cell r="L1322">
            <v>1260</v>
          </cell>
          <cell r="M1322">
            <v>0</v>
          </cell>
          <cell r="N1322">
            <v>1260</v>
          </cell>
          <cell r="O1322">
            <v>0</v>
          </cell>
          <cell r="P1322">
            <v>1260</v>
          </cell>
          <cell r="Q1322">
            <v>0</v>
          </cell>
          <cell r="R1322">
            <v>1260</v>
          </cell>
          <cell r="S1322">
            <v>0</v>
          </cell>
          <cell r="T1322">
            <v>1260</v>
          </cell>
          <cell r="U1322">
            <v>0</v>
          </cell>
          <cell r="V1322">
            <v>1260</v>
          </cell>
          <cell r="W1322">
            <v>0</v>
          </cell>
          <cell r="X1322">
            <v>1260</v>
          </cell>
          <cell r="Y1322">
            <v>0</v>
          </cell>
          <cell r="Z1322">
            <v>1260</v>
          </cell>
          <cell r="AA1322">
            <v>0</v>
          </cell>
          <cell r="AB1322">
            <v>0</v>
          </cell>
          <cell r="AC1322">
            <v>0</v>
          </cell>
          <cell r="AD1322">
            <v>3.4000000000000002E-2</v>
          </cell>
          <cell r="AE1322">
            <v>0</v>
          </cell>
          <cell r="AF1322">
            <v>0</v>
          </cell>
          <cell r="AG1322">
            <v>0</v>
          </cell>
          <cell r="AH1322">
            <v>0</v>
          </cell>
          <cell r="AI1322">
            <v>0</v>
          </cell>
          <cell r="AJ1322">
            <v>0</v>
          </cell>
          <cell r="AK1322">
            <v>0</v>
          </cell>
          <cell r="AL1322">
            <v>0</v>
          </cell>
        </row>
        <row r="1323">
          <cell r="E1323" t="str">
            <v>KPEV-S 0.75sq-30Pr</v>
          </cell>
          <cell r="F1323" t="str">
            <v>ｍ</v>
          </cell>
          <cell r="G1323">
            <v>0</v>
          </cell>
          <cell r="H1323">
            <v>1496</v>
          </cell>
          <cell r="I1323">
            <v>0</v>
          </cell>
          <cell r="J1323">
            <v>1496</v>
          </cell>
          <cell r="K1323">
            <v>0</v>
          </cell>
          <cell r="L1323">
            <v>1496</v>
          </cell>
          <cell r="M1323">
            <v>0</v>
          </cell>
          <cell r="N1323">
            <v>1496</v>
          </cell>
          <cell r="O1323">
            <v>0</v>
          </cell>
          <cell r="P1323">
            <v>1496</v>
          </cell>
          <cell r="Q1323">
            <v>0</v>
          </cell>
          <cell r="R1323">
            <v>1496</v>
          </cell>
          <cell r="S1323">
            <v>0</v>
          </cell>
          <cell r="T1323">
            <v>1496</v>
          </cell>
          <cell r="U1323">
            <v>0</v>
          </cell>
          <cell r="V1323">
            <v>1496</v>
          </cell>
          <cell r="W1323">
            <v>0</v>
          </cell>
          <cell r="X1323">
            <v>1496</v>
          </cell>
          <cell r="Y1323">
            <v>0</v>
          </cell>
          <cell r="Z1323">
            <v>1496</v>
          </cell>
          <cell r="AA1323">
            <v>0</v>
          </cell>
          <cell r="AB1323">
            <v>0</v>
          </cell>
          <cell r="AC1323">
            <v>0</v>
          </cell>
          <cell r="AD1323">
            <v>3.9E-2</v>
          </cell>
          <cell r="AE1323">
            <v>0</v>
          </cell>
          <cell r="AF1323">
            <v>0</v>
          </cell>
          <cell r="AG1323">
            <v>0</v>
          </cell>
          <cell r="AH1323">
            <v>0</v>
          </cell>
          <cell r="AI1323">
            <v>0</v>
          </cell>
          <cell r="AJ1323">
            <v>0</v>
          </cell>
          <cell r="AK1323">
            <v>0</v>
          </cell>
          <cell r="AL1323">
            <v>0</v>
          </cell>
        </row>
        <row r="1324">
          <cell r="E1324" t="str">
            <v>KPEV-S 0.75sq-40Pr</v>
          </cell>
          <cell r="F1324" t="str">
            <v>ｍ</v>
          </cell>
          <cell r="G1324">
            <v>0</v>
          </cell>
          <cell r="H1324">
            <v>1968</v>
          </cell>
          <cell r="I1324">
            <v>0</v>
          </cell>
          <cell r="J1324">
            <v>1968</v>
          </cell>
          <cell r="K1324">
            <v>0</v>
          </cell>
          <cell r="L1324">
            <v>1968</v>
          </cell>
          <cell r="M1324">
            <v>0</v>
          </cell>
          <cell r="N1324">
            <v>1968</v>
          </cell>
          <cell r="O1324">
            <v>0</v>
          </cell>
          <cell r="P1324">
            <v>1968</v>
          </cell>
          <cell r="Q1324">
            <v>0</v>
          </cell>
          <cell r="R1324">
            <v>1968</v>
          </cell>
          <cell r="S1324">
            <v>0</v>
          </cell>
          <cell r="T1324">
            <v>1968</v>
          </cell>
          <cell r="U1324">
            <v>0</v>
          </cell>
          <cell r="V1324">
            <v>1968</v>
          </cell>
          <cell r="W1324">
            <v>0</v>
          </cell>
          <cell r="X1324">
            <v>1968</v>
          </cell>
          <cell r="Y1324">
            <v>0</v>
          </cell>
          <cell r="Z1324">
            <v>1968</v>
          </cell>
          <cell r="AA1324">
            <v>0</v>
          </cell>
          <cell r="AB1324">
            <v>0</v>
          </cell>
          <cell r="AC1324">
            <v>0</v>
          </cell>
          <cell r="AD1324">
            <v>4.5999999999999999E-2</v>
          </cell>
          <cell r="AE1324">
            <v>0</v>
          </cell>
          <cell r="AF1324">
            <v>0</v>
          </cell>
          <cell r="AG1324">
            <v>0</v>
          </cell>
          <cell r="AH1324">
            <v>0</v>
          </cell>
          <cell r="AI1324">
            <v>0</v>
          </cell>
          <cell r="AJ1324">
            <v>0</v>
          </cell>
          <cell r="AK1324">
            <v>0</v>
          </cell>
          <cell r="AL1324">
            <v>0</v>
          </cell>
        </row>
        <row r="1325">
          <cell r="E1325" t="str">
            <v>KPEV-S 0.75sq-50Pr</v>
          </cell>
          <cell r="F1325" t="str">
            <v>ｍ</v>
          </cell>
          <cell r="G1325">
            <v>0</v>
          </cell>
          <cell r="H1325">
            <v>2412</v>
          </cell>
          <cell r="I1325">
            <v>0</v>
          </cell>
          <cell r="J1325">
            <v>2412</v>
          </cell>
          <cell r="K1325">
            <v>0</v>
          </cell>
          <cell r="L1325">
            <v>2412</v>
          </cell>
          <cell r="M1325">
            <v>0</v>
          </cell>
          <cell r="N1325">
            <v>2412</v>
          </cell>
          <cell r="O1325">
            <v>0</v>
          </cell>
          <cell r="P1325">
            <v>2412</v>
          </cell>
          <cell r="Q1325">
            <v>0</v>
          </cell>
          <cell r="R1325">
            <v>2412</v>
          </cell>
          <cell r="S1325">
            <v>0</v>
          </cell>
          <cell r="T1325">
            <v>2412</v>
          </cell>
          <cell r="U1325">
            <v>0</v>
          </cell>
          <cell r="V1325">
            <v>2412</v>
          </cell>
          <cell r="W1325">
            <v>0</v>
          </cell>
          <cell r="X1325">
            <v>2412</v>
          </cell>
          <cell r="Y1325">
            <v>0</v>
          </cell>
          <cell r="Z1325">
            <v>2412</v>
          </cell>
          <cell r="AA1325">
            <v>0</v>
          </cell>
          <cell r="AB1325">
            <v>0</v>
          </cell>
          <cell r="AC1325">
            <v>0</v>
          </cell>
          <cell r="AD1325">
            <v>6.2E-2</v>
          </cell>
          <cell r="AE1325">
            <v>0</v>
          </cell>
          <cell r="AF1325">
            <v>0</v>
          </cell>
          <cell r="AG1325">
            <v>0</v>
          </cell>
          <cell r="AH1325">
            <v>0</v>
          </cell>
          <cell r="AI1325">
            <v>0</v>
          </cell>
          <cell r="AJ1325">
            <v>0</v>
          </cell>
          <cell r="AK1325">
            <v>0</v>
          </cell>
          <cell r="AL1325">
            <v>0</v>
          </cell>
        </row>
        <row r="1326">
          <cell r="E1326" t="str">
            <v>KPEV-S 0.75sq-60Pr</v>
          </cell>
          <cell r="F1326" t="str">
            <v>ｍ</v>
          </cell>
          <cell r="G1326">
            <v>0</v>
          </cell>
          <cell r="H1326">
            <v>2855</v>
          </cell>
          <cell r="I1326">
            <v>0</v>
          </cell>
          <cell r="J1326">
            <v>2855</v>
          </cell>
          <cell r="K1326">
            <v>0</v>
          </cell>
          <cell r="L1326">
            <v>2855</v>
          </cell>
          <cell r="M1326">
            <v>0</v>
          </cell>
          <cell r="N1326">
            <v>2855</v>
          </cell>
          <cell r="O1326">
            <v>0</v>
          </cell>
          <cell r="P1326">
            <v>2855</v>
          </cell>
          <cell r="Q1326">
            <v>0</v>
          </cell>
          <cell r="R1326">
            <v>2855</v>
          </cell>
          <cell r="S1326">
            <v>0</v>
          </cell>
          <cell r="T1326">
            <v>2855</v>
          </cell>
          <cell r="U1326">
            <v>0</v>
          </cell>
          <cell r="V1326">
            <v>2855</v>
          </cell>
          <cell r="W1326">
            <v>0</v>
          </cell>
          <cell r="X1326">
            <v>2855</v>
          </cell>
          <cell r="Y1326">
            <v>0</v>
          </cell>
          <cell r="Z1326">
            <v>2855</v>
          </cell>
          <cell r="AA1326">
            <v>0</v>
          </cell>
          <cell r="AB1326">
            <v>0</v>
          </cell>
          <cell r="AC1326">
            <v>0</v>
          </cell>
          <cell r="AD1326">
            <v>8.2000000000000003E-2</v>
          </cell>
          <cell r="AE1326">
            <v>0</v>
          </cell>
          <cell r="AF1326">
            <v>0</v>
          </cell>
          <cell r="AG1326">
            <v>0</v>
          </cell>
          <cell r="AH1326">
            <v>0</v>
          </cell>
          <cell r="AI1326">
            <v>0</v>
          </cell>
          <cell r="AJ1326">
            <v>0</v>
          </cell>
          <cell r="AK1326">
            <v>0</v>
          </cell>
          <cell r="AL1326">
            <v>0</v>
          </cell>
        </row>
        <row r="1327">
          <cell r="E1327" t="str">
            <v>KPEV-S 0.75sq-70Pr</v>
          </cell>
          <cell r="F1327" t="str">
            <v>ｍ</v>
          </cell>
          <cell r="G1327">
            <v>0</v>
          </cell>
          <cell r="H1327">
            <v>3291</v>
          </cell>
          <cell r="I1327">
            <v>0</v>
          </cell>
          <cell r="J1327">
            <v>3291</v>
          </cell>
          <cell r="K1327">
            <v>0</v>
          </cell>
          <cell r="L1327">
            <v>3291</v>
          </cell>
          <cell r="M1327">
            <v>0</v>
          </cell>
          <cell r="N1327">
            <v>3291</v>
          </cell>
          <cell r="O1327">
            <v>0</v>
          </cell>
          <cell r="P1327">
            <v>3291</v>
          </cell>
          <cell r="Q1327">
            <v>0</v>
          </cell>
          <cell r="R1327">
            <v>3291</v>
          </cell>
          <cell r="S1327">
            <v>0</v>
          </cell>
          <cell r="T1327">
            <v>3291</v>
          </cell>
          <cell r="U1327">
            <v>0</v>
          </cell>
          <cell r="V1327">
            <v>3291</v>
          </cell>
          <cell r="W1327">
            <v>0</v>
          </cell>
          <cell r="X1327">
            <v>3291</v>
          </cell>
          <cell r="Y1327">
            <v>0</v>
          </cell>
          <cell r="Z1327">
            <v>3291</v>
          </cell>
          <cell r="AA1327">
            <v>0</v>
          </cell>
          <cell r="AB1327">
            <v>0</v>
          </cell>
          <cell r="AC1327">
            <v>0</v>
          </cell>
          <cell r="AD1327">
            <v>0.10299999999999999</v>
          </cell>
          <cell r="AE1327">
            <v>0</v>
          </cell>
          <cell r="AF1327">
            <v>0</v>
          </cell>
          <cell r="AG1327">
            <v>0</v>
          </cell>
          <cell r="AH1327">
            <v>0</v>
          </cell>
          <cell r="AI1327">
            <v>0</v>
          </cell>
          <cell r="AJ1327">
            <v>0</v>
          </cell>
          <cell r="AK1327">
            <v>0</v>
          </cell>
          <cell r="AL1327">
            <v>0</v>
          </cell>
        </row>
        <row r="1328">
          <cell r="E1328" t="str">
            <v>KPEV-S 0.75sq-80Pr</v>
          </cell>
          <cell r="F1328" t="str">
            <v>ｍ</v>
          </cell>
          <cell r="G1328">
            <v>0</v>
          </cell>
          <cell r="H1328">
            <v>3735</v>
          </cell>
          <cell r="I1328">
            <v>0</v>
          </cell>
          <cell r="J1328">
            <v>3735</v>
          </cell>
          <cell r="K1328">
            <v>0</v>
          </cell>
          <cell r="L1328">
            <v>3735</v>
          </cell>
          <cell r="M1328">
            <v>0</v>
          </cell>
          <cell r="N1328">
            <v>3735</v>
          </cell>
          <cell r="O1328">
            <v>0</v>
          </cell>
          <cell r="P1328">
            <v>3735</v>
          </cell>
          <cell r="Q1328">
            <v>0</v>
          </cell>
          <cell r="R1328">
            <v>3735</v>
          </cell>
          <cell r="S1328">
            <v>0</v>
          </cell>
          <cell r="T1328">
            <v>3735</v>
          </cell>
          <cell r="U1328">
            <v>0</v>
          </cell>
          <cell r="V1328">
            <v>3735</v>
          </cell>
          <cell r="W1328">
            <v>0</v>
          </cell>
          <cell r="X1328">
            <v>3735</v>
          </cell>
          <cell r="Y1328">
            <v>0</v>
          </cell>
          <cell r="Z1328">
            <v>3735</v>
          </cell>
          <cell r="AA1328">
            <v>0</v>
          </cell>
          <cell r="AB1328">
            <v>0</v>
          </cell>
          <cell r="AC1328">
            <v>0</v>
          </cell>
          <cell r="AD1328">
            <v>0.13300000000000001</v>
          </cell>
          <cell r="AE1328">
            <v>0</v>
          </cell>
          <cell r="AF1328">
            <v>0</v>
          </cell>
          <cell r="AG1328">
            <v>0</v>
          </cell>
          <cell r="AH1328">
            <v>0</v>
          </cell>
          <cell r="AI1328">
            <v>0</v>
          </cell>
          <cell r="AJ1328">
            <v>0</v>
          </cell>
          <cell r="AK1328">
            <v>0</v>
          </cell>
          <cell r="AL1328">
            <v>0</v>
          </cell>
        </row>
        <row r="1329">
          <cell r="E1329" t="str">
            <v>KPEV-S 0.75sq-100Pr</v>
          </cell>
          <cell r="F1329" t="str">
            <v>ｍ</v>
          </cell>
          <cell r="G1329">
            <v>0</v>
          </cell>
          <cell r="H1329">
            <v>4629</v>
          </cell>
          <cell r="I1329">
            <v>0</v>
          </cell>
          <cell r="J1329">
            <v>4629</v>
          </cell>
          <cell r="K1329">
            <v>0</v>
          </cell>
          <cell r="L1329">
            <v>4629</v>
          </cell>
          <cell r="M1329">
            <v>0</v>
          </cell>
          <cell r="N1329">
            <v>4629</v>
          </cell>
          <cell r="O1329">
            <v>0</v>
          </cell>
          <cell r="P1329">
            <v>4629</v>
          </cell>
          <cell r="Q1329">
            <v>0</v>
          </cell>
          <cell r="R1329">
            <v>4629</v>
          </cell>
          <cell r="S1329">
            <v>0</v>
          </cell>
          <cell r="T1329">
            <v>4629</v>
          </cell>
          <cell r="U1329">
            <v>0</v>
          </cell>
          <cell r="V1329">
            <v>4629</v>
          </cell>
          <cell r="W1329">
            <v>0</v>
          </cell>
          <cell r="X1329">
            <v>4629</v>
          </cell>
          <cell r="Y1329">
            <v>0</v>
          </cell>
          <cell r="Z1329">
            <v>4629</v>
          </cell>
          <cell r="AA1329">
            <v>0</v>
          </cell>
          <cell r="AB1329">
            <v>0</v>
          </cell>
          <cell r="AC1329">
            <v>0</v>
          </cell>
          <cell r="AD1329">
            <v>0.151</v>
          </cell>
          <cell r="AE1329">
            <v>0</v>
          </cell>
          <cell r="AF1329">
            <v>0</v>
          </cell>
          <cell r="AG1329">
            <v>0</v>
          </cell>
          <cell r="AH1329">
            <v>0</v>
          </cell>
          <cell r="AI1329">
            <v>0</v>
          </cell>
          <cell r="AJ1329">
            <v>0</v>
          </cell>
          <cell r="AK1329">
            <v>0</v>
          </cell>
          <cell r="AL1329">
            <v>0</v>
          </cell>
        </row>
        <row r="1330">
          <cell r="E1330" t="str">
            <v>KPEV-S 1.25sq-1Pr</v>
          </cell>
          <cell r="F1330" t="str">
            <v>ｍ</v>
          </cell>
          <cell r="G1330">
            <v>0</v>
          </cell>
          <cell r="H1330">
            <v>127</v>
          </cell>
          <cell r="I1330">
            <v>0</v>
          </cell>
          <cell r="J1330">
            <v>127</v>
          </cell>
          <cell r="K1330">
            <v>0</v>
          </cell>
          <cell r="L1330">
            <v>127</v>
          </cell>
          <cell r="M1330">
            <v>0</v>
          </cell>
          <cell r="N1330">
            <v>127</v>
          </cell>
          <cell r="O1330">
            <v>0</v>
          </cell>
          <cell r="P1330">
            <v>127</v>
          </cell>
          <cell r="Q1330">
            <v>0</v>
          </cell>
          <cell r="R1330">
            <v>127</v>
          </cell>
          <cell r="S1330">
            <v>0</v>
          </cell>
          <cell r="T1330">
            <v>127</v>
          </cell>
          <cell r="U1330">
            <v>0</v>
          </cell>
          <cell r="V1330">
            <v>127</v>
          </cell>
          <cell r="W1330">
            <v>0</v>
          </cell>
          <cell r="X1330">
            <v>127</v>
          </cell>
          <cell r="Y1330">
            <v>0</v>
          </cell>
          <cell r="Z1330">
            <v>127</v>
          </cell>
          <cell r="AA1330">
            <v>0</v>
          </cell>
          <cell r="AB1330">
            <v>0</v>
          </cell>
          <cell r="AC1330">
            <v>0</v>
          </cell>
          <cell r="AD1330">
            <v>2.1000000000000001E-2</v>
          </cell>
          <cell r="AE1330">
            <v>0</v>
          </cell>
          <cell r="AF1330">
            <v>0</v>
          </cell>
          <cell r="AG1330">
            <v>0</v>
          </cell>
          <cell r="AH1330">
            <v>0</v>
          </cell>
          <cell r="AI1330">
            <v>0</v>
          </cell>
          <cell r="AJ1330">
            <v>0</v>
          </cell>
          <cell r="AK1330">
            <v>0</v>
          </cell>
          <cell r="AL1330">
            <v>0</v>
          </cell>
        </row>
        <row r="1331">
          <cell r="E1331" t="str">
            <v>KPEV-S 1.25sq-2Pr</v>
          </cell>
          <cell r="F1331" t="str">
            <v>ｍ</v>
          </cell>
          <cell r="G1331">
            <v>0</v>
          </cell>
          <cell r="H1331">
            <v>232</v>
          </cell>
          <cell r="I1331">
            <v>0</v>
          </cell>
          <cell r="J1331">
            <v>232</v>
          </cell>
          <cell r="K1331">
            <v>0</v>
          </cell>
          <cell r="L1331">
            <v>232</v>
          </cell>
          <cell r="M1331">
            <v>0</v>
          </cell>
          <cell r="N1331">
            <v>232</v>
          </cell>
          <cell r="O1331">
            <v>0</v>
          </cell>
          <cell r="P1331">
            <v>232</v>
          </cell>
          <cell r="Q1331">
            <v>0</v>
          </cell>
          <cell r="R1331">
            <v>232</v>
          </cell>
          <cell r="S1331">
            <v>0</v>
          </cell>
          <cell r="T1331">
            <v>232</v>
          </cell>
          <cell r="U1331">
            <v>0</v>
          </cell>
          <cell r="V1331">
            <v>232</v>
          </cell>
          <cell r="W1331">
            <v>0</v>
          </cell>
          <cell r="X1331">
            <v>232</v>
          </cell>
          <cell r="Y1331">
            <v>0</v>
          </cell>
          <cell r="Z1331">
            <v>232</v>
          </cell>
          <cell r="AA1331">
            <v>0</v>
          </cell>
          <cell r="AB1331">
            <v>0</v>
          </cell>
          <cell r="AC1331">
            <v>0</v>
          </cell>
          <cell r="AD1331">
            <v>2.3E-2</v>
          </cell>
          <cell r="AE1331">
            <v>0</v>
          </cell>
          <cell r="AF1331">
            <v>0</v>
          </cell>
          <cell r="AG1331">
            <v>0</v>
          </cell>
          <cell r="AH1331">
            <v>0</v>
          </cell>
          <cell r="AI1331">
            <v>0</v>
          </cell>
          <cell r="AJ1331">
            <v>0</v>
          </cell>
          <cell r="AK1331">
            <v>0</v>
          </cell>
          <cell r="AL1331">
            <v>0</v>
          </cell>
        </row>
        <row r="1332">
          <cell r="E1332" t="str">
            <v>KPEV-S 1.25sq-5Pr</v>
          </cell>
          <cell r="F1332" t="str">
            <v>ｍ</v>
          </cell>
          <cell r="G1332">
            <v>0</v>
          </cell>
          <cell r="H1332">
            <v>408</v>
          </cell>
          <cell r="I1332">
            <v>0</v>
          </cell>
          <cell r="J1332">
            <v>408</v>
          </cell>
          <cell r="K1332">
            <v>0</v>
          </cell>
          <cell r="L1332">
            <v>408</v>
          </cell>
          <cell r="M1332">
            <v>0</v>
          </cell>
          <cell r="N1332">
            <v>408</v>
          </cell>
          <cell r="O1332">
            <v>0</v>
          </cell>
          <cell r="P1332">
            <v>408</v>
          </cell>
          <cell r="Q1332">
            <v>0</v>
          </cell>
          <cell r="R1332">
            <v>408</v>
          </cell>
          <cell r="S1332">
            <v>0</v>
          </cell>
          <cell r="T1332">
            <v>408</v>
          </cell>
          <cell r="U1332">
            <v>0</v>
          </cell>
          <cell r="V1332">
            <v>408</v>
          </cell>
          <cell r="W1332">
            <v>0</v>
          </cell>
          <cell r="X1332">
            <v>408</v>
          </cell>
          <cell r="Y1332">
            <v>0</v>
          </cell>
          <cell r="Z1332">
            <v>408</v>
          </cell>
          <cell r="AA1332">
            <v>0</v>
          </cell>
          <cell r="AB1332">
            <v>0</v>
          </cell>
          <cell r="AC1332">
            <v>0</v>
          </cell>
          <cell r="AD1332">
            <v>2.7E-2</v>
          </cell>
          <cell r="AE1332">
            <v>0</v>
          </cell>
          <cell r="AF1332">
            <v>0</v>
          </cell>
          <cell r="AG1332">
            <v>0</v>
          </cell>
          <cell r="AH1332">
            <v>0</v>
          </cell>
          <cell r="AI1332">
            <v>0</v>
          </cell>
          <cell r="AJ1332">
            <v>0</v>
          </cell>
          <cell r="AK1332">
            <v>0</v>
          </cell>
          <cell r="AL1332">
            <v>0</v>
          </cell>
        </row>
        <row r="1333">
          <cell r="E1333" t="str">
            <v>KPEV-S 1.25sq-10Pr</v>
          </cell>
          <cell r="F1333" t="str">
            <v>ｍ</v>
          </cell>
          <cell r="G1333">
            <v>0</v>
          </cell>
          <cell r="H1333">
            <v>701</v>
          </cell>
          <cell r="I1333">
            <v>0</v>
          </cell>
          <cell r="J1333">
            <v>701</v>
          </cell>
          <cell r="K1333">
            <v>0</v>
          </cell>
          <cell r="L1333">
            <v>701</v>
          </cell>
          <cell r="M1333">
            <v>0</v>
          </cell>
          <cell r="N1333">
            <v>701</v>
          </cell>
          <cell r="O1333">
            <v>0</v>
          </cell>
          <cell r="P1333">
            <v>701</v>
          </cell>
          <cell r="Q1333">
            <v>0</v>
          </cell>
          <cell r="R1333">
            <v>701</v>
          </cell>
          <cell r="S1333">
            <v>0</v>
          </cell>
          <cell r="T1333">
            <v>701</v>
          </cell>
          <cell r="U1333">
            <v>0</v>
          </cell>
          <cell r="V1333">
            <v>701</v>
          </cell>
          <cell r="W1333">
            <v>0</v>
          </cell>
          <cell r="X1333">
            <v>701</v>
          </cell>
          <cell r="Y1333">
            <v>0</v>
          </cell>
          <cell r="Z1333">
            <v>701</v>
          </cell>
          <cell r="AA1333">
            <v>0</v>
          </cell>
          <cell r="AB1333">
            <v>0</v>
          </cell>
          <cell r="AC1333">
            <v>0</v>
          </cell>
          <cell r="AD1333">
            <v>3.1E-2</v>
          </cell>
          <cell r="AE1333">
            <v>0</v>
          </cell>
          <cell r="AF1333">
            <v>0</v>
          </cell>
          <cell r="AG1333">
            <v>0</v>
          </cell>
          <cell r="AH1333">
            <v>0</v>
          </cell>
          <cell r="AI1333">
            <v>0</v>
          </cell>
          <cell r="AJ1333">
            <v>0</v>
          </cell>
          <cell r="AK1333">
            <v>0</v>
          </cell>
          <cell r="AL1333">
            <v>0</v>
          </cell>
        </row>
        <row r="1334">
          <cell r="E1334" t="str">
            <v>KPEV-S 1.25sq-15Pr</v>
          </cell>
          <cell r="F1334" t="str">
            <v>ｍ</v>
          </cell>
          <cell r="G1334">
            <v>0</v>
          </cell>
          <cell r="H1334">
            <v>979</v>
          </cell>
          <cell r="I1334">
            <v>0</v>
          </cell>
          <cell r="J1334">
            <v>979</v>
          </cell>
          <cell r="K1334">
            <v>0</v>
          </cell>
          <cell r="L1334">
            <v>979</v>
          </cell>
          <cell r="M1334">
            <v>0</v>
          </cell>
          <cell r="N1334">
            <v>979</v>
          </cell>
          <cell r="O1334">
            <v>0</v>
          </cell>
          <cell r="P1334">
            <v>979</v>
          </cell>
          <cell r="Q1334">
            <v>0</v>
          </cell>
          <cell r="R1334">
            <v>979</v>
          </cell>
          <cell r="S1334">
            <v>0</v>
          </cell>
          <cell r="T1334">
            <v>979</v>
          </cell>
          <cell r="U1334">
            <v>0</v>
          </cell>
          <cell r="V1334">
            <v>979</v>
          </cell>
          <cell r="W1334">
            <v>0</v>
          </cell>
          <cell r="X1334">
            <v>979</v>
          </cell>
          <cell r="Y1334">
            <v>0</v>
          </cell>
          <cell r="Z1334">
            <v>979</v>
          </cell>
          <cell r="AA1334">
            <v>0</v>
          </cell>
          <cell r="AB1334">
            <v>0</v>
          </cell>
          <cell r="AC1334">
            <v>0</v>
          </cell>
          <cell r="AD1334">
            <v>3.4000000000000002E-2</v>
          </cell>
          <cell r="AE1334">
            <v>0</v>
          </cell>
          <cell r="AF1334">
            <v>0</v>
          </cell>
          <cell r="AG1334">
            <v>0</v>
          </cell>
          <cell r="AH1334">
            <v>0</v>
          </cell>
          <cell r="AI1334">
            <v>0</v>
          </cell>
          <cell r="AJ1334">
            <v>0</v>
          </cell>
          <cell r="AK1334">
            <v>0</v>
          </cell>
          <cell r="AL1334">
            <v>0</v>
          </cell>
        </row>
        <row r="1335">
          <cell r="E1335" t="str">
            <v>KPEV-S 1.25sq-20Pr</v>
          </cell>
          <cell r="F1335" t="str">
            <v>ｍ</v>
          </cell>
          <cell r="G1335">
            <v>0</v>
          </cell>
          <cell r="H1335">
            <v>1259</v>
          </cell>
          <cell r="I1335">
            <v>0</v>
          </cell>
          <cell r="J1335">
            <v>1259</v>
          </cell>
          <cell r="K1335">
            <v>0</v>
          </cell>
          <cell r="L1335">
            <v>1259</v>
          </cell>
          <cell r="M1335">
            <v>0</v>
          </cell>
          <cell r="N1335">
            <v>1259</v>
          </cell>
          <cell r="O1335">
            <v>0</v>
          </cell>
          <cell r="P1335">
            <v>1259</v>
          </cell>
          <cell r="Q1335">
            <v>0</v>
          </cell>
          <cell r="R1335">
            <v>1259</v>
          </cell>
          <cell r="S1335">
            <v>0</v>
          </cell>
          <cell r="T1335">
            <v>1259</v>
          </cell>
          <cell r="U1335">
            <v>0</v>
          </cell>
          <cell r="V1335">
            <v>1259</v>
          </cell>
          <cell r="W1335">
            <v>0</v>
          </cell>
          <cell r="X1335">
            <v>1259</v>
          </cell>
          <cell r="Y1335">
            <v>0</v>
          </cell>
          <cell r="Z1335">
            <v>1259</v>
          </cell>
          <cell r="AA1335">
            <v>0</v>
          </cell>
          <cell r="AB1335">
            <v>0</v>
          </cell>
          <cell r="AC1335">
            <v>0</v>
          </cell>
          <cell r="AD1335">
            <v>3.9E-2</v>
          </cell>
          <cell r="AE1335">
            <v>0</v>
          </cell>
          <cell r="AF1335">
            <v>0</v>
          </cell>
          <cell r="AG1335">
            <v>0</v>
          </cell>
          <cell r="AH1335">
            <v>0</v>
          </cell>
          <cell r="AI1335">
            <v>0</v>
          </cell>
          <cell r="AJ1335">
            <v>0</v>
          </cell>
          <cell r="AK1335">
            <v>0</v>
          </cell>
          <cell r="AL1335">
            <v>0</v>
          </cell>
        </row>
        <row r="1336">
          <cell r="E1336" t="str">
            <v>KPEV-S 2.0sq-1Pr</v>
          </cell>
          <cell r="F1336" t="str">
            <v>ｍ</v>
          </cell>
          <cell r="G1336">
            <v>0</v>
          </cell>
          <cell r="H1336">
            <v>153</v>
          </cell>
          <cell r="I1336">
            <v>0</v>
          </cell>
          <cell r="J1336">
            <v>153</v>
          </cell>
          <cell r="K1336">
            <v>0</v>
          </cell>
          <cell r="L1336">
            <v>153</v>
          </cell>
          <cell r="M1336">
            <v>0</v>
          </cell>
          <cell r="N1336">
            <v>153</v>
          </cell>
          <cell r="O1336">
            <v>0</v>
          </cell>
          <cell r="P1336">
            <v>153</v>
          </cell>
          <cell r="Q1336">
            <v>0</v>
          </cell>
          <cell r="R1336">
            <v>153</v>
          </cell>
          <cell r="S1336">
            <v>0</v>
          </cell>
          <cell r="T1336">
            <v>153</v>
          </cell>
          <cell r="U1336">
            <v>0</v>
          </cell>
          <cell r="V1336">
            <v>153</v>
          </cell>
          <cell r="W1336">
            <v>0</v>
          </cell>
          <cell r="X1336">
            <v>153</v>
          </cell>
          <cell r="Y1336">
            <v>0</v>
          </cell>
          <cell r="Z1336">
            <v>153</v>
          </cell>
          <cell r="AA1336">
            <v>0</v>
          </cell>
          <cell r="AB1336">
            <v>0</v>
          </cell>
          <cell r="AC1336">
            <v>0</v>
          </cell>
          <cell r="AD1336">
            <v>2.7E-2</v>
          </cell>
          <cell r="AE1336">
            <v>0</v>
          </cell>
          <cell r="AF1336">
            <v>0</v>
          </cell>
          <cell r="AG1336">
            <v>0</v>
          </cell>
          <cell r="AH1336">
            <v>0</v>
          </cell>
          <cell r="AI1336">
            <v>0</v>
          </cell>
          <cell r="AJ1336">
            <v>0</v>
          </cell>
          <cell r="AK1336">
            <v>0</v>
          </cell>
          <cell r="AL1336">
            <v>0</v>
          </cell>
        </row>
        <row r="1337">
          <cell r="E1337" t="str">
            <v>KPEV-S 2.0sq-2Pr</v>
          </cell>
          <cell r="F1337" t="str">
            <v>ｍ</v>
          </cell>
          <cell r="G1337">
            <v>0</v>
          </cell>
          <cell r="H1337">
            <v>271</v>
          </cell>
          <cell r="I1337">
            <v>0</v>
          </cell>
          <cell r="J1337">
            <v>271</v>
          </cell>
          <cell r="K1337">
            <v>0</v>
          </cell>
          <cell r="L1337">
            <v>271</v>
          </cell>
          <cell r="M1337">
            <v>0</v>
          </cell>
          <cell r="N1337">
            <v>271</v>
          </cell>
          <cell r="O1337">
            <v>0</v>
          </cell>
          <cell r="P1337">
            <v>271</v>
          </cell>
          <cell r="Q1337">
            <v>0</v>
          </cell>
          <cell r="R1337">
            <v>271</v>
          </cell>
          <cell r="S1337">
            <v>0</v>
          </cell>
          <cell r="T1337">
            <v>271</v>
          </cell>
          <cell r="U1337">
            <v>0</v>
          </cell>
          <cell r="V1337">
            <v>271</v>
          </cell>
          <cell r="W1337">
            <v>0</v>
          </cell>
          <cell r="X1337">
            <v>271</v>
          </cell>
          <cell r="Y1337">
            <v>0</v>
          </cell>
          <cell r="Z1337">
            <v>271</v>
          </cell>
          <cell r="AA1337">
            <v>0</v>
          </cell>
          <cell r="AB1337">
            <v>0</v>
          </cell>
          <cell r="AC1337">
            <v>0</v>
          </cell>
          <cell r="AD1337">
            <v>2.9000000000000001E-2</v>
          </cell>
          <cell r="AE1337">
            <v>0</v>
          </cell>
          <cell r="AF1337">
            <v>0</v>
          </cell>
          <cell r="AG1337">
            <v>0</v>
          </cell>
          <cell r="AH1337">
            <v>0</v>
          </cell>
          <cell r="AI1337">
            <v>0</v>
          </cell>
          <cell r="AJ1337">
            <v>0</v>
          </cell>
          <cell r="AK1337">
            <v>0</v>
          </cell>
          <cell r="AL1337">
            <v>0</v>
          </cell>
        </row>
        <row r="1338">
          <cell r="E1338" t="str">
            <v>KPEV-S 2.0sq-5Pr</v>
          </cell>
          <cell r="F1338" t="str">
            <v>ｍ</v>
          </cell>
          <cell r="G1338">
            <v>0</v>
          </cell>
          <cell r="H1338">
            <v>523</v>
          </cell>
          <cell r="I1338">
            <v>0</v>
          </cell>
          <cell r="J1338">
            <v>523</v>
          </cell>
          <cell r="K1338">
            <v>0</v>
          </cell>
          <cell r="L1338">
            <v>523</v>
          </cell>
          <cell r="M1338">
            <v>0</v>
          </cell>
          <cell r="N1338">
            <v>523</v>
          </cell>
          <cell r="O1338">
            <v>0</v>
          </cell>
          <cell r="P1338">
            <v>523</v>
          </cell>
          <cell r="Q1338">
            <v>0</v>
          </cell>
          <cell r="R1338">
            <v>523</v>
          </cell>
          <cell r="S1338">
            <v>0</v>
          </cell>
          <cell r="T1338">
            <v>523</v>
          </cell>
          <cell r="U1338">
            <v>0</v>
          </cell>
          <cell r="V1338">
            <v>523</v>
          </cell>
          <cell r="W1338">
            <v>0</v>
          </cell>
          <cell r="X1338">
            <v>523</v>
          </cell>
          <cell r="Y1338">
            <v>0</v>
          </cell>
          <cell r="Z1338">
            <v>523</v>
          </cell>
          <cell r="AA1338">
            <v>0</v>
          </cell>
          <cell r="AB1338">
            <v>0</v>
          </cell>
          <cell r="AC1338">
            <v>0</v>
          </cell>
          <cell r="AD1338">
            <v>3.2000000000000001E-2</v>
          </cell>
          <cell r="AE1338">
            <v>0</v>
          </cell>
          <cell r="AF1338">
            <v>0</v>
          </cell>
          <cell r="AG1338">
            <v>0</v>
          </cell>
          <cell r="AH1338">
            <v>0</v>
          </cell>
          <cell r="AI1338">
            <v>0</v>
          </cell>
          <cell r="AJ1338">
            <v>0</v>
          </cell>
          <cell r="AK1338">
            <v>0</v>
          </cell>
          <cell r="AL1338">
            <v>0</v>
          </cell>
        </row>
        <row r="1339">
          <cell r="E1339" t="str">
            <v>KPEV-S 2.0sq-10Pr</v>
          </cell>
          <cell r="F1339" t="str">
            <v>ｍ</v>
          </cell>
          <cell r="G1339">
            <v>0</v>
          </cell>
          <cell r="H1339">
            <v>933</v>
          </cell>
          <cell r="I1339">
            <v>0</v>
          </cell>
          <cell r="J1339">
            <v>933</v>
          </cell>
          <cell r="K1339">
            <v>0</v>
          </cell>
          <cell r="L1339">
            <v>933</v>
          </cell>
          <cell r="M1339">
            <v>0</v>
          </cell>
          <cell r="N1339">
            <v>933</v>
          </cell>
          <cell r="O1339">
            <v>0</v>
          </cell>
          <cell r="P1339">
            <v>933</v>
          </cell>
          <cell r="Q1339">
            <v>0</v>
          </cell>
          <cell r="R1339">
            <v>933</v>
          </cell>
          <cell r="S1339">
            <v>0</v>
          </cell>
          <cell r="T1339">
            <v>933</v>
          </cell>
          <cell r="U1339">
            <v>0</v>
          </cell>
          <cell r="V1339">
            <v>933</v>
          </cell>
          <cell r="W1339">
            <v>0</v>
          </cell>
          <cell r="X1339">
            <v>933</v>
          </cell>
          <cell r="Y1339">
            <v>0</v>
          </cell>
          <cell r="Z1339">
            <v>933</v>
          </cell>
          <cell r="AA1339">
            <v>0</v>
          </cell>
          <cell r="AB1339">
            <v>0</v>
          </cell>
          <cell r="AC1339">
            <v>0</v>
          </cell>
          <cell r="AD1339">
            <v>3.6999999999999998E-2</v>
          </cell>
          <cell r="AE1339">
            <v>0</v>
          </cell>
          <cell r="AF1339">
            <v>0</v>
          </cell>
          <cell r="AG1339">
            <v>0</v>
          </cell>
          <cell r="AH1339">
            <v>0</v>
          </cell>
          <cell r="AI1339">
            <v>0</v>
          </cell>
          <cell r="AJ1339">
            <v>0</v>
          </cell>
          <cell r="AK1339">
            <v>0</v>
          </cell>
          <cell r="AL1339">
            <v>0</v>
          </cell>
        </row>
        <row r="1340">
          <cell r="E1340" t="str">
            <v>KPEV-S 2.0sq-15Pr</v>
          </cell>
          <cell r="F1340" t="str">
            <v>ｍ</v>
          </cell>
          <cell r="G1340">
            <v>0</v>
          </cell>
          <cell r="H1340">
            <v>1316</v>
          </cell>
          <cell r="I1340">
            <v>0</v>
          </cell>
          <cell r="J1340">
            <v>1316</v>
          </cell>
          <cell r="K1340">
            <v>0</v>
          </cell>
          <cell r="L1340">
            <v>1316</v>
          </cell>
          <cell r="M1340">
            <v>0</v>
          </cell>
          <cell r="N1340">
            <v>1316</v>
          </cell>
          <cell r="O1340">
            <v>0</v>
          </cell>
          <cell r="P1340">
            <v>1316</v>
          </cell>
          <cell r="Q1340">
            <v>0</v>
          </cell>
          <cell r="R1340">
            <v>1316</v>
          </cell>
          <cell r="S1340">
            <v>0</v>
          </cell>
          <cell r="T1340">
            <v>1316</v>
          </cell>
          <cell r="U1340">
            <v>0</v>
          </cell>
          <cell r="V1340">
            <v>1316</v>
          </cell>
          <cell r="W1340">
            <v>0</v>
          </cell>
          <cell r="X1340">
            <v>1316</v>
          </cell>
          <cell r="Y1340">
            <v>0</v>
          </cell>
          <cell r="Z1340">
            <v>1316</v>
          </cell>
          <cell r="AA1340">
            <v>0</v>
          </cell>
          <cell r="AB1340">
            <v>0</v>
          </cell>
          <cell r="AC1340">
            <v>0</v>
          </cell>
          <cell r="AD1340">
            <v>0.04</v>
          </cell>
          <cell r="AE1340">
            <v>0</v>
          </cell>
          <cell r="AF1340">
            <v>0</v>
          </cell>
          <cell r="AG1340">
            <v>0</v>
          </cell>
          <cell r="AH1340">
            <v>0</v>
          </cell>
          <cell r="AI1340">
            <v>0</v>
          </cell>
          <cell r="AJ1340">
            <v>0</v>
          </cell>
          <cell r="AK1340">
            <v>0</v>
          </cell>
          <cell r="AL1340">
            <v>0</v>
          </cell>
        </row>
        <row r="1341">
          <cell r="E1341" t="str">
            <v>KPEV-S 2.0sq-20Pr</v>
          </cell>
          <cell r="F1341" t="str">
            <v>ｍ</v>
          </cell>
          <cell r="G1341">
            <v>0</v>
          </cell>
          <cell r="H1341">
            <v>1729</v>
          </cell>
          <cell r="I1341">
            <v>0</v>
          </cell>
          <cell r="J1341">
            <v>1729</v>
          </cell>
          <cell r="K1341">
            <v>0</v>
          </cell>
          <cell r="L1341">
            <v>1729</v>
          </cell>
          <cell r="M1341">
            <v>0</v>
          </cell>
          <cell r="N1341">
            <v>1729</v>
          </cell>
          <cell r="O1341">
            <v>0</v>
          </cell>
          <cell r="P1341">
            <v>1729</v>
          </cell>
          <cell r="Q1341">
            <v>0</v>
          </cell>
          <cell r="R1341">
            <v>1729</v>
          </cell>
          <cell r="S1341">
            <v>0</v>
          </cell>
          <cell r="T1341">
            <v>1729</v>
          </cell>
          <cell r="U1341">
            <v>0</v>
          </cell>
          <cell r="V1341">
            <v>1729</v>
          </cell>
          <cell r="W1341">
            <v>0</v>
          </cell>
          <cell r="X1341">
            <v>1729</v>
          </cell>
          <cell r="Y1341">
            <v>0</v>
          </cell>
          <cell r="Z1341">
            <v>1729</v>
          </cell>
          <cell r="AA1341">
            <v>0</v>
          </cell>
          <cell r="AB1341">
            <v>0</v>
          </cell>
          <cell r="AC1341">
            <v>0</v>
          </cell>
          <cell r="AD1341">
            <v>4.7E-2</v>
          </cell>
          <cell r="AE1341">
            <v>0</v>
          </cell>
          <cell r="AF1341">
            <v>0</v>
          </cell>
          <cell r="AG1341">
            <v>0</v>
          </cell>
          <cell r="AH1341">
            <v>0</v>
          </cell>
          <cell r="AI1341">
            <v>0</v>
          </cell>
          <cell r="AJ1341">
            <v>0</v>
          </cell>
          <cell r="AK1341">
            <v>0</v>
          </cell>
          <cell r="AL1341">
            <v>0</v>
          </cell>
        </row>
        <row r="1342">
          <cell r="E1342" t="str">
            <v>SWVP 0.5-6C</v>
          </cell>
          <cell r="F1342" t="str">
            <v>ｍ</v>
          </cell>
          <cell r="G1342">
            <v>0</v>
          </cell>
          <cell r="H1342">
            <v>73.3</v>
          </cell>
          <cell r="I1342">
            <v>0</v>
          </cell>
          <cell r="J1342">
            <v>73.3</v>
          </cell>
          <cell r="K1342">
            <v>0</v>
          </cell>
          <cell r="L1342">
            <v>73.3</v>
          </cell>
          <cell r="M1342">
            <v>0</v>
          </cell>
          <cell r="N1342">
            <v>73.3</v>
          </cell>
          <cell r="O1342">
            <v>0</v>
          </cell>
          <cell r="P1342">
            <v>73.3</v>
          </cell>
          <cell r="Q1342">
            <v>0</v>
          </cell>
          <cell r="R1342">
            <v>73.3</v>
          </cell>
          <cell r="S1342">
            <v>0</v>
          </cell>
          <cell r="T1342">
            <v>73.3</v>
          </cell>
          <cell r="U1342">
            <v>0</v>
          </cell>
          <cell r="V1342">
            <v>73.3</v>
          </cell>
          <cell r="W1342">
            <v>0</v>
          </cell>
          <cell r="X1342">
            <v>73.3</v>
          </cell>
          <cell r="Y1342">
            <v>0</v>
          </cell>
          <cell r="Z1342">
            <v>73.3</v>
          </cell>
          <cell r="AA1342">
            <v>0</v>
          </cell>
          <cell r="AB1342">
            <v>0</v>
          </cell>
          <cell r="AC1342">
            <v>0</v>
          </cell>
          <cell r="AD1342">
            <v>1.4999999999999999E-2</v>
          </cell>
          <cell r="AE1342">
            <v>0</v>
          </cell>
          <cell r="AF1342">
            <v>0</v>
          </cell>
          <cell r="AG1342">
            <v>0</v>
          </cell>
          <cell r="AH1342">
            <v>0</v>
          </cell>
          <cell r="AI1342">
            <v>0</v>
          </cell>
          <cell r="AJ1342">
            <v>0</v>
          </cell>
          <cell r="AK1342">
            <v>0</v>
          </cell>
          <cell r="AL1342">
            <v>0</v>
          </cell>
        </row>
        <row r="1343">
          <cell r="E1343" t="str">
            <v>SWVP 0.5-12C</v>
          </cell>
          <cell r="F1343" t="str">
            <v>ｍ</v>
          </cell>
          <cell r="G1343">
            <v>0</v>
          </cell>
          <cell r="H1343">
            <v>100</v>
          </cell>
          <cell r="I1343">
            <v>0</v>
          </cell>
          <cell r="J1343">
            <v>100</v>
          </cell>
          <cell r="K1343">
            <v>0</v>
          </cell>
          <cell r="L1343">
            <v>100</v>
          </cell>
          <cell r="M1343">
            <v>0</v>
          </cell>
          <cell r="N1343">
            <v>100</v>
          </cell>
          <cell r="O1343">
            <v>0</v>
          </cell>
          <cell r="P1343">
            <v>100</v>
          </cell>
          <cell r="Q1343">
            <v>0</v>
          </cell>
          <cell r="R1343">
            <v>100</v>
          </cell>
          <cell r="S1343">
            <v>0</v>
          </cell>
          <cell r="T1343">
            <v>100</v>
          </cell>
          <cell r="U1343">
            <v>0</v>
          </cell>
          <cell r="V1343">
            <v>100</v>
          </cell>
          <cell r="W1343">
            <v>0</v>
          </cell>
          <cell r="X1343">
            <v>100</v>
          </cell>
          <cell r="Y1343">
            <v>0</v>
          </cell>
          <cell r="Z1343">
            <v>100</v>
          </cell>
          <cell r="AA1343">
            <v>0</v>
          </cell>
          <cell r="AB1343">
            <v>0</v>
          </cell>
          <cell r="AC1343">
            <v>0</v>
          </cell>
          <cell r="AD1343">
            <v>1.7000000000000001E-2</v>
          </cell>
          <cell r="AE1343">
            <v>0</v>
          </cell>
          <cell r="AF1343">
            <v>0</v>
          </cell>
          <cell r="AG1343">
            <v>0</v>
          </cell>
          <cell r="AH1343">
            <v>0</v>
          </cell>
          <cell r="AI1343">
            <v>0</v>
          </cell>
          <cell r="AJ1343">
            <v>0</v>
          </cell>
          <cell r="AK1343">
            <v>0</v>
          </cell>
          <cell r="AL1343">
            <v>0</v>
          </cell>
        </row>
        <row r="1344">
          <cell r="E1344" t="str">
            <v>SWVP 0.5-22C</v>
          </cell>
          <cell r="F1344" t="str">
            <v>ｍ</v>
          </cell>
          <cell r="G1344">
            <v>0</v>
          </cell>
          <cell r="H1344">
            <v>149</v>
          </cell>
          <cell r="I1344">
            <v>0</v>
          </cell>
          <cell r="J1344">
            <v>149</v>
          </cell>
          <cell r="K1344">
            <v>0</v>
          </cell>
          <cell r="L1344">
            <v>149</v>
          </cell>
          <cell r="M1344">
            <v>0</v>
          </cell>
          <cell r="N1344">
            <v>149</v>
          </cell>
          <cell r="O1344">
            <v>0</v>
          </cell>
          <cell r="P1344">
            <v>149</v>
          </cell>
          <cell r="Q1344">
            <v>0</v>
          </cell>
          <cell r="R1344">
            <v>149</v>
          </cell>
          <cell r="S1344">
            <v>0</v>
          </cell>
          <cell r="T1344">
            <v>149</v>
          </cell>
          <cell r="U1344">
            <v>0</v>
          </cell>
          <cell r="V1344">
            <v>149</v>
          </cell>
          <cell r="W1344">
            <v>0</v>
          </cell>
          <cell r="X1344">
            <v>149</v>
          </cell>
          <cell r="Y1344">
            <v>0</v>
          </cell>
          <cell r="Z1344">
            <v>149</v>
          </cell>
          <cell r="AA1344">
            <v>0</v>
          </cell>
          <cell r="AB1344">
            <v>0</v>
          </cell>
          <cell r="AC1344">
            <v>0</v>
          </cell>
          <cell r="AD1344">
            <v>0.02</v>
          </cell>
          <cell r="AE1344">
            <v>0</v>
          </cell>
          <cell r="AF1344">
            <v>0</v>
          </cell>
          <cell r="AG1344">
            <v>0</v>
          </cell>
          <cell r="AH1344">
            <v>0</v>
          </cell>
          <cell r="AI1344">
            <v>0</v>
          </cell>
          <cell r="AJ1344">
            <v>0</v>
          </cell>
          <cell r="AK1344">
            <v>0</v>
          </cell>
          <cell r="AL1344">
            <v>0</v>
          </cell>
        </row>
        <row r="1345">
          <cell r="E1345" t="str">
            <v>SWVP 0.5-24C</v>
          </cell>
          <cell r="F1345" t="str">
            <v>ｍ</v>
          </cell>
          <cell r="G1345">
            <v>0</v>
          </cell>
          <cell r="H1345">
            <v>153</v>
          </cell>
          <cell r="I1345">
            <v>0</v>
          </cell>
          <cell r="J1345">
            <v>153</v>
          </cell>
          <cell r="K1345">
            <v>0</v>
          </cell>
          <cell r="L1345">
            <v>153</v>
          </cell>
          <cell r="M1345">
            <v>0</v>
          </cell>
          <cell r="N1345">
            <v>153</v>
          </cell>
          <cell r="O1345">
            <v>0</v>
          </cell>
          <cell r="P1345">
            <v>153</v>
          </cell>
          <cell r="Q1345">
            <v>0</v>
          </cell>
          <cell r="R1345">
            <v>153</v>
          </cell>
          <cell r="S1345">
            <v>0</v>
          </cell>
          <cell r="T1345">
            <v>153</v>
          </cell>
          <cell r="U1345">
            <v>0</v>
          </cell>
          <cell r="V1345">
            <v>153</v>
          </cell>
          <cell r="W1345">
            <v>0</v>
          </cell>
          <cell r="X1345">
            <v>153</v>
          </cell>
          <cell r="Y1345">
            <v>0</v>
          </cell>
          <cell r="Z1345">
            <v>153</v>
          </cell>
          <cell r="AA1345">
            <v>0</v>
          </cell>
          <cell r="AB1345">
            <v>0</v>
          </cell>
          <cell r="AC1345">
            <v>0</v>
          </cell>
          <cell r="AD1345">
            <v>2.1000000000000001E-2</v>
          </cell>
          <cell r="AE1345">
            <v>0</v>
          </cell>
          <cell r="AF1345">
            <v>0</v>
          </cell>
          <cell r="AG1345">
            <v>0</v>
          </cell>
          <cell r="AH1345">
            <v>0</v>
          </cell>
          <cell r="AI1345">
            <v>0</v>
          </cell>
          <cell r="AJ1345">
            <v>0</v>
          </cell>
          <cell r="AK1345">
            <v>0</v>
          </cell>
          <cell r="AL1345">
            <v>0</v>
          </cell>
        </row>
        <row r="1346">
          <cell r="E1346" t="str">
            <v>SWVP 0.5-33C</v>
          </cell>
          <cell r="F1346" t="str">
            <v>ｍ</v>
          </cell>
          <cell r="G1346">
            <v>0</v>
          </cell>
          <cell r="H1346">
            <v>190</v>
          </cell>
          <cell r="I1346">
            <v>0</v>
          </cell>
          <cell r="J1346">
            <v>190</v>
          </cell>
          <cell r="K1346">
            <v>0</v>
          </cell>
          <cell r="L1346">
            <v>190</v>
          </cell>
          <cell r="M1346">
            <v>0</v>
          </cell>
          <cell r="N1346">
            <v>190</v>
          </cell>
          <cell r="O1346">
            <v>0</v>
          </cell>
          <cell r="P1346">
            <v>190</v>
          </cell>
          <cell r="Q1346">
            <v>0</v>
          </cell>
          <cell r="R1346">
            <v>190</v>
          </cell>
          <cell r="S1346">
            <v>0</v>
          </cell>
          <cell r="T1346">
            <v>190</v>
          </cell>
          <cell r="U1346">
            <v>0</v>
          </cell>
          <cell r="V1346">
            <v>190</v>
          </cell>
          <cell r="W1346">
            <v>0</v>
          </cell>
          <cell r="X1346">
            <v>190</v>
          </cell>
          <cell r="Y1346">
            <v>0</v>
          </cell>
          <cell r="Z1346">
            <v>190</v>
          </cell>
          <cell r="AA1346">
            <v>0</v>
          </cell>
          <cell r="AB1346">
            <v>0</v>
          </cell>
          <cell r="AC1346">
            <v>0</v>
          </cell>
          <cell r="AD1346">
            <v>2.1999999999999999E-2</v>
          </cell>
          <cell r="AE1346">
            <v>0</v>
          </cell>
          <cell r="AF1346">
            <v>0</v>
          </cell>
          <cell r="AG1346">
            <v>0</v>
          </cell>
          <cell r="AH1346">
            <v>0</v>
          </cell>
          <cell r="AI1346">
            <v>0</v>
          </cell>
          <cell r="AJ1346">
            <v>0</v>
          </cell>
          <cell r="AK1346">
            <v>0</v>
          </cell>
          <cell r="AL1346">
            <v>0</v>
          </cell>
        </row>
        <row r="1347">
          <cell r="E1347" t="str">
            <v>SWVP 0.5-40C</v>
          </cell>
          <cell r="F1347" t="str">
            <v>ｍ</v>
          </cell>
          <cell r="G1347">
            <v>0</v>
          </cell>
          <cell r="H1347">
            <v>225</v>
          </cell>
          <cell r="I1347">
            <v>0</v>
          </cell>
          <cell r="J1347">
            <v>225</v>
          </cell>
          <cell r="K1347">
            <v>0</v>
          </cell>
          <cell r="L1347">
            <v>225</v>
          </cell>
          <cell r="M1347">
            <v>0</v>
          </cell>
          <cell r="N1347">
            <v>225</v>
          </cell>
          <cell r="O1347">
            <v>0</v>
          </cell>
          <cell r="P1347">
            <v>225</v>
          </cell>
          <cell r="Q1347">
            <v>0</v>
          </cell>
          <cell r="R1347">
            <v>225</v>
          </cell>
          <cell r="S1347">
            <v>0</v>
          </cell>
          <cell r="T1347">
            <v>225</v>
          </cell>
          <cell r="U1347">
            <v>0</v>
          </cell>
          <cell r="V1347">
            <v>225</v>
          </cell>
          <cell r="W1347">
            <v>0</v>
          </cell>
          <cell r="X1347">
            <v>225</v>
          </cell>
          <cell r="Y1347">
            <v>0</v>
          </cell>
          <cell r="Z1347">
            <v>225</v>
          </cell>
          <cell r="AA1347">
            <v>0</v>
          </cell>
          <cell r="AB1347">
            <v>0</v>
          </cell>
          <cell r="AC1347">
            <v>0</v>
          </cell>
          <cell r="AD1347">
            <v>2.4E-2</v>
          </cell>
          <cell r="AE1347">
            <v>0</v>
          </cell>
          <cell r="AF1347">
            <v>0</v>
          </cell>
          <cell r="AG1347">
            <v>0</v>
          </cell>
          <cell r="AH1347">
            <v>0</v>
          </cell>
          <cell r="AI1347">
            <v>0</v>
          </cell>
          <cell r="AJ1347">
            <v>0</v>
          </cell>
          <cell r="AK1347">
            <v>0</v>
          </cell>
          <cell r="AL1347">
            <v>0</v>
          </cell>
        </row>
        <row r="1348">
          <cell r="E1348" t="str">
            <v>SWVP 0.5-48C</v>
          </cell>
          <cell r="F1348" t="str">
            <v>ｍ</v>
          </cell>
          <cell r="G1348">
            <v>0</v>
          </cell>
          <cell r="H1348">
            <v>251</v>
          </cell>
          <cell r="I1348">
            <v>0</v>
          </cell>
          <cell r="J1348">
            <v>251</v>
          </cell>
          <cell r="K1348">
            <v>0</v>
          </cell>
          <cell r="L1348">
            <v>251</v>
          </cell>
          <cell r="M1348">
            <v>0</v>
          </cell>
          <cell r="N1348">
            <v>251</v>
          </cell>
          <cell r="O1348">
            <v>0</v>
          </cell>
          <cell r="P1348">
            <v>251</v>
          </cell>
          <cell r="Q1348">
            <v>0</v>
          </cell>
          <cell r="R1348">
            <v>251</v>
          </cell>
          <cell r="S1348">
            <v>0</v>
          </cell>
          <cell r="T1348">
            <v>251</v>
          </cell>
          <cell r="U1348">
            <v>0</v>
          </cell>
          <cell r="V1348">
            <v>251</v>
          </cell>
          <cell r="W1348">
            <v>0</v>
          </cell>
          <cell r="X1348">
            <v>251</v>
          </cell>
          <cell r="Y1348">
            <v>0</v>
          </cell>
          <cell r="Z1348">
            <v>251</v>
          </cell>
          <cell r="AA1348">
            <v>0</v>
          </cell>
          <cell r="AB1348">
            <v>0</v>
          </cell>
          <cell r="AC1348">
            <v>0</v>
          </cell>
          <cell r="AD1348">
            <v>2.5999999999999999E-2</v>
          </cell>
          <cell r="AE1348">
            <v>0</v>
          </cell>
          <cell r="AF1348">
            <v>0</v>
          </cell>
          <cell r="AG1348">
            <v>0</v>
          </cell>
          <cell r="AH1348">
            <v>0</v>
          </cell>
          <cell r="AI1348">
            <v>0</v>
          </cell>
          <cell r="AJ1348">
            <v>0</v>
          </cell>
          <cell r="AK1348">
            <v>0</v>
          </cell>
          <cell r="AL1348">
            <v>0</v>
          </cell>
        </row>
        <row r="1349">
          <cell r="E1349" t="str">
            <v>SWVP 0.5-60C</v>
          </cell>
          <cell r="F1349" t="str">
            <v>ｍ</v>
          </cell>
          <cell r="G1349">
            <v>0</v>
          </cell>
          <cell r="H1349">
            <v>300</v>
          </cell>
          <cell r="I1349">
            <v>0</v>
          </cell>
          <cell r="J1349">
            <v>300</v>
          </cell>
          <cell r="K1349">
            <v>0</v>
          </cell>
          <cell r="L1349">
            <v>300</v>
          </cell>
          <cell r="M1349">
            <v>0</v>
          </cell>
          <cell r="N1349">
            <v>300</v>
          </cell>
          <cell r="O1349">
            <v>0</v>
          </cell>
          <cell r="P1349">
            <v>300</v>
          </cell>
          <cell r="Q1349">
            <v>0</v>
          </cell>
          <cell r="R1349">
            <v>300</v>
          </cell>
          <cell r="S1349">
            <v>0</v>
          </cell>
          <cell r="T1349">
            <v>300</v>
          </cell>
          <cell r="U1349">
            <v>0</v>
          </cell>
          <cell r="V1349">
            <v>300</v>
          </cell>
          <cell r="W1349">
            <v>0</v>
          </cell>
          <cell r="X1349">
            <v>300</v>
          </cell>
          <cell r="Y1349">
            <v>0</v>
          </cell>
          <cell r="Z1349">
            <v>300</v>
          </cell>
          <cell r="AA1349">
            <v>0</v>
          </cell>
          <cell r="AB1349">
            <v>0</v>
          </cell>
          <cell r="AC1349">
            <v>0</v>
          </cell>
          <cell r="AD1349">
            <v>2.9000000000000001E-2</v>
          </cell>
          <cell r="AE1349">
            <v>0</v>
          </cell>
          <cell r="AF1349">
            <v>0</v>
          </cell>
          <cell r="AG1349">
            <v>0</v>
          </cell>
          <cell r="AH1349">
            <v>0</v>
          </cell>
          <cell r="AI1349">
            <v>0</v>
          </cell>
          <cell r="AJ1349">
            <v>0</v>
          </cell>
          <cell r="AK1349">
            <v>0</v>
          </cell>
          <cell r="AL1349">
            <v>0</v>
          </cell>
        </row>
        <row r="1350">
          <cell r="E1350" t="str">
            <v>SWVP 0.5-75C</v>
          </cell>
          <cell r="F1350" t="str">
            <v>ｍ</v>
          </cell>
          <cell r="G1350">
            <v>0</v>
          </cell>
          <cell r="H1350">
            <v>364</v>
          </cell>
          <cell r="I1350">
            <v>0</v>
          </cell>
          <cell r="J1350">
            <v>364</v>
          </cell>
          <cell r="K1350">
            <v>0</v>
          </cell>
          <cell r="L1350">
            <v>364</v>
          </cell>
          <cell r="M1350">
            <v>0</v>
          </cell>
          <cell r="N1350">
            <v>364</v>
          </cell>
          <cell r="O1350">
            <v>0</v>
          </cell>
          <cell r="P1350">
            <v>364</v>
          </cell>
          <cell r="Q1350">
            <v>0</v>
          </cell>
          <cell r="R1350">
            <v>364</v>
          </cell>
          <cell r="S1350">
            <v>0</v>
          </cell>
          <cell r="T1350">
            <v>364</v>
          </cell>
          <cell r="U1350">
            <v>0</v>
          </cell>
          <cell r="V1350">
            <v>364</v>
          </cell>
          <cell r="W1350">
            <v>0</v>
          </cell>
          <cell r="X1350">
            <v>364</v>
          </cell>
          <cell r="Y1350">
            <v>0</v>
          </cell>
          <cell r="Z1350">
            <v>364</v>
          </cell>
          <cell r="AA1350">
            <v>0</v>
          </cell>
          <cell r="AB1350">
            <v>0</v>
          </cell>
          <cell r="AC1350">
            <v>0</v>
          </cell>
          <cell r="AD1350">
            <v>3.1E-2</v>
          </cell>
          <cell r="AE1350">
            <v>0</v>
          </cell>
          <cell r="AF1350">
            <v>0</v>
          </cell>
          <cell r="AG1350">
            <v>0</v>
          </cell>
          <cell r="AH1350">
            <v>0</v>
          </cell>
          <cell r="AI1350">
            <v>0</v>
          </cell>
          <cell r="AJ1350">
            <v>0</v>
          </cell>
          <cell r="AK1350">
            <v>0</v>
          </cell>
          <cell r="AL1350">
            <v>0</v>
          </cell>
        </row>
        <row r="1351">
          <cell r="E1351" t="str">
            <v>SWVP 0.5-80C</v>
          </cell>
          <cell r="F1351" t="str">
            <v>ｍ</v>
          </cell>
          <cell r="G1351">
            <v>0</v>
          </cell>
          <cell r="H1351">
            <v>399</v>
          </cell>
          <cell r="I1351">
            <v>0</v>
          </cell>
          <cell r="J1351">
            <v>399</v>
          </cell>
          <cell r="K1351">
            <v>0</v>
          </cell>
          <cell r="L1351">
            <v>399</v>
          </cell>
          <cell r="M1351">
            <v>0</v>
          </cell>
          <cell r="N1351">
            <v>399</v>
          </cell>
          <cell r="O1351">
            <v>0</v>
          </cell>
          <cell r="P1351">
            <v>399</v>
          </cell>
          <cell r="Q1351">
            <v>0</v>
          </cell>
          <cell r="R1351">
            <v>399</v>
          </cell>
          <cell r="S1351">
            <v>0</v>
          </cell>
          <cell r="T1351">
            <v>399</v>
          </cell>
          <cell r="U1351">
            <v>0</v>
          </cell>
          <cell r="V1351">
            <v>399</v>
          </cell>
          <cell r="W1351">
            <v>0</v>
          </cell>
          <cell r="X1351">
            <v>399</v>
          </cell>
          <cell r="Y1351">
            <v>0</v>
          </cell>
          <cell r="Z1351">
            <v>399</v>
          </cell>
          <cell r="AA1351">
            <v>0</v>
          </cell>
          <cell r="AB1351">
            <v>0</v>
          </cell>
          <cell r="AC1351">
            <v>0</v>
          </cell>
          <cell r="AD1351">
            <v>3.4000000000000002E-2</v>
          </cell>
          <cell r="AE1351">
            <v>0</v>
          </cell>
          <cell r="AF1351">
            <v>0</v>
          </cell>
          <cell r="AG1351">
            <v>0</v>
          </cell>
          <cell r="AH1351">
            <v>0</v>
          </cell>
          <cell r="AI1351">
            <v>0</v>
          </cell>
          <cell r="AJ1351">
            <v>0</v>
          </cell>
          <cell r="AK1351">
            <v>0</v>
          </cell>
          <cell r="AL1351">
            <v>0</v>
          </cell>
        </row>
        <row r="1352">
          <cell r="E1352" t="str">
            <v>SWVP 0.5-100C</v>
          </cell>
          <cell r="F1352" t="str">
            <v>ｍ</v>
          </cell>
          <cell r="G1352">
            <v>0</v>
          </cell>
          <cell r="H1352">
            <v>478</v>
          </cell>
          <cell r="I1352">
            <v>0</v>
          </cell>
          <cell r="J1352">
            <v>478</v>
          </cell>
          <cell r="K1352">
            <v>0</v>
          </cell>
          <cell r="L1352">
            <v>478</v>
          </cell>
          <cell r="M1352">
            <v>0</v>
          </cell>
          <cell r="N1352">
            <v>478</v>
          </cell>
          <cell r="O1352">
            <v>0</v>
          </cell>
          <cell r="P1352">
            <v>478</v>
          </cell>
          <cell r="Q1352">
            <v>0</v>
          </cell>
          <cell r="R1352">
            <v>478</v>
          </cell>
          <cell r="S1352">
            <v>0</v>
          </cell>
          <cell r="T1352">
            <v>478</v>
          </cell>
          <cell r="U1352">
            <v>0</v>
          </cell>
          <cell r="V1352">
            <v>478</v>
          </cell>
          <cell r="W1352">
            <v>0</v>
          </cell>
          <cell r="X1352">
            <v>478</v>
          </cell>
          <cell r="Y1352">
            <v>0</v>
          </cell>
          <cell r="Z1352">
            <v>478</v>
          </cell>
          <cell r="AA1352">
            <v>0</v>
          </cell>
          <cell r="AB1352">
            <v>0</v>
          </cell>
          <cell r="AC1352">
            <v>0</v>
          </cell>
          <cell r="AD1352">
            <v>3.9E-2</v>
          </cell>
          <cell r="AE1352">
            <v>0</v>
          </cell>
          <cell r="AF1352">
            <v>0</v>
          </cell>
          <cell r="AG1352">
            <v>0</v>
          </cell>
          <cell r="AH1352">
            <v>0</v>
          </cell>
          <cell r="AI1352">
            <v>0</v>
          </cell>
          <cell r="AJ1352">
            <v>0</v>
          </cell>
          <cell r="AK1352">
            <v>0</v>
          </cell>
          <cell r="AL1352">
            <v>0</v>
          </cell>
        </row>
        <row r="1353">
          <cell r="E1353" t="str">
            <v>SWVP 0.5-120C</v>
          </cell>
          <cell r="F1353" t="str">
            <v>ｍ</v>
          </cell>
          <cell r="G1353">
            <v>0</v>
          </cell>
          <cell r="H1353">
            <v>548</v>
          </cell>
          <cell r="I1353">
            <v>0</v>
          </cell>
          <cell r="J1353">
            <v>548</v>
          </cell>
          <cell r="K1353">
            <v>0</v>
          </cell>
          <cell r="L1353">
            <v>548</v>
          </cell>
          <cell r="M1353">
            <v>0</v>
          </cell>
          <cell r="N1353">
            <v>548</v>
          </cell>
          <cell r="O1353">
            <v>0</v>
          </cell>
          <cell r="P1353">
            <v>548</v>
          </cell>
          <cell r="Q1353">
            <v>0</v>
          </cell>
          <cell r="R1353">
            <v>548</v>
          </cell>
          <cell r="S1353">
            <v>0</v>
          </cell>
          <cell r="T1353">
            <v>548</v>
          </cell>
          <cell r="U1353">
            <v>0</v>
          </cell>
          <cell r="V1353">
            <v>548</v>
          </cell>
          <cell r="W1353">
            <v>0</v>
          </cell>
          <cell r="X1353">
            <v>548</v>
          </cell>
          <cell r="Y1353">
            <v>0</v>
          </cell>
          <cell r="Z1353">
            <v>548</v>
          </cell>
          <cell r="AA1353">
            <v>0</v>
          </cell>
          <cell r="AB1353">
            <v>0</v>
          </cell>
          <cell r="AC1353">
            <v>0</v>
          </cell>
          <cell r="AD1353">
            <v>4.3999999999999997E-2</v>
          </cell>
          <cell r="AE1353">
            <v>0</v>
          </cell>
          <cell r="AF1353">
            <v>0</v>
          </cell>
          <cell r="AG1353">
            <v>0</v>
          </cell>
          <cell r="AH1353">
            <v>0</v>
          </cell>
          <cell r="AI1353">
            <v>0</v>
          </cell>
          <cell r="AJ1353">
            <v>0</v>
          </cell>
          <cell r="AK1353">
            <v>0</v>
          </cell>
          <cell r="AL1353">
            <v>0</v>
          </cell>
        </row>
        <row r="1354">
          <cell r="E1354" t="str">
            <v>SWVP 0.5-150C</v>
          </cell>
          <cell r="F1354" t="str">
            <v>ｍ</v>
          </cell>
          <cell r="G1354">
            <v>0</v>
          </cell>
          <cell r="H1354">
            <v>663</v>
          </cell>
          <cell r="I1354">
            <v>0</v>
          </cell>
          <cell r="J1354">
            <v>663</v>
          </cell>
          <cell r="K1354">
            <v>0</v>
          </cell>
          <cell r="L1354">
            <v>663</v>
          </cell>
          <cell r="M1354">
            <v>0</v>
          </cell>
          <cell r="N1354">
            <v>663</v>
          </cell>
          <cell r="O1354">
            <v>0</v>
          </cell>
          <cell r="P1354">
            <v>663</v>
          </cell>
          <cell r="Q1354">
            <v>0</v>
          </cell>
          <cell r="R1354">
            <v>663</v>
          </cell>
          <cell r="S1354">
            <v>0</v>
          </cell>
          <cell r="T1354">
            <v>663</v>
          </cell>
          <cell r="U1354">
            <v>0</v>
          </cell>
          <cell r="V1354">
            <v>663</v>
          </cell>
          <cell r="W1354">
            <v>0</v>
          </cell>
          <cell r="X1354">
            <v>663</v>
          </cell>
          <cell r="Y1354">
            <v>0</v>
          </cell>
          <cell r="Z1354">
            <v>663</v>
          </cell>
          <cell r="AA1354">
            <v>0</v>
          </cell>
          <cell r="AB1354">
            <v>0</v>
          </cell>
          <cell r="AC1354">
            <v>0</v>
          </cell>
          <cell r="AD1354">
            <v>5.0999999999999997E-2</v>
          </cell>
          <cell r="AE1354">
            <v>0</v>
          </cell>
          <cell r="AF1354">
            <v>0</v>
          </cell>
          <cell r="AG1354">
            <v>0</v>
          </cell>
          <cell r="AH1354">
            <v>0</v>
          </cell>
          <cell r="AI1354">
            <v>0</v>
          </cell>
          <cell r="AJ1354">
            <v>0</v>
          </cell>
          <cell r="AK1354">
            <v>0</v>
          </cell>
          <cell r="AL1354">
            <v>0</v>
          </cell>
        </row>
        <row r="1355">
          <cell r="E1355" t="str">
            <v>構内0.4-10Pr</v>
          </cell>
          <cell r="F1355" t="str">
            <v>ｍ</v>
          </cell>
          <cell r="G1355">
            <v>0</v>
          </cell>
          <cell r="H1355">
            <v>117</v>
          </cell>
          <cell r="I1355">
            <v>0</v>
          </cell>
          <cell r="J1355">
            <v>117</v>
          </cell>
          <cell r="K1355">
            <v>0</v>
          </cell>
          <cell r="L1355">
            <v>117</v>
          </cell>
          <cell r="M1355">
            <v>0</v>
          </cell>
          <cell r="N1355">
            <v>117</v>
          </cell>
          <cell r="O1355">
            <v>0</v>
          </cell>
          <cell r="P1355">
            <v>117</v>
          </cell>
          <cell r="Q1355">
            <v>0</v>
          </cell>
          <cell r="R1355">
            <v>117</v>
          </cell>
          <cell r="S1355">
            <v>0</v>
          </cell>
          <cell r="T1355">
            <v>117</v>
          </cell>
          <cell r="U1355">
            <v>0</v>
          </cell>
          <cell r="V1355">
            <v>117</v>
          </cell>
          <cell r="W1355">
            <v>0</v>
          </cell>
          <cell r="X1355">
            <v>117</v>
          </cell>
          <cell r="Y1355">
            <v>0</v>
          </cell>
          <cell r="Z1355">
            <v>117</v>
          </cell>
          <cell r="AA1355">
            <v>0</v>
          </cell>
          <cell r="AB1355">
            <v>0</v>
          </cell>
          <cell r="AC1355">
            <v>0</v>
          </cell>
          <cell r="AD1355">
            <v>0.02</v>
          </cell>
          <cell r="AE1355">
            <v>0</v>
          </cell>
          <cell r="AF1355">
            <v>0</v>
          </cell>
          <cell r="AG1355">
            <v>0</v>
          </cell>
          <cell r="AH1355">
            <v>0</v>
          </cell>
          <cell r="AI1355">
            <v>0</v>
          </cell>
          <cell r="AJ1355">
            <v>0</v>
          </cell>
          <cell r="AK1355">
            <v>0</v>
          </cell>
          <cell r="AL1355">
            <v>0</v>
          </cell>
        </row>
        <row r="1356">
          <cell r="E1356" t="str">
            <v>構内0.4-20Pr</v>
          </cell>
          <cell r="F1356" t="str">
            <v>ｍ</v>
          </cell>
          <cell r="G1356">
            <v>0</v>
          </cell>
          <cell r="H1356">
            <v>168</v>
          </cell>
          <cell r="I1356">
            <v>0</v>
          </cell>
          <cell r="J1356">
            <v>168</v>
          </cell>
          <cell r="K1356">
            <v>0</v>
          </cell>
          <cell r="L1356">
            <v>168</v>
          </cell>
          <cell r="M1356">
            <v>0</v>
          </cell>
          <cell r="N1356">
            <v>168</v>
          </cell>
          <cell r="O1356">
            <v>0</v>
          </cell>
          <cell r="P1356">
            <v>168</v>
          </cell>
          <cell r="Q1356">
            <v>0</v>
          </cell>
          <cell r="R1356">
            <v>168</v>
          </cell>
          <cell r="S1356">
            <v>0</v>
          </cell>
          <cell r="T1356">
            <v>168</v>
          </cell>
          <cell r="U1356">
            <v>0</v>
          </cell>
          <cell r="V1356">
            <v>168</v>
          </cell>
          <cell r="W1356">
            <v>0</v>
          </cell>
          <cell r="X1356">
            <v>168</v>
          </cell>
          <cell r="Y1356">
            <v>0</v>
          </cell>
          <cell r="Z1356">
            <v>168</v>
          </cell>
          <cell r="AA1356">
            <v>0</v>
          </cell>
          <cell r="AB1356">
            <v>0</v>
          </cell>
          <cell r="AC1356">
            <v>0</v>
          </cell>
          <cell r="AD1356">
            <v>2.4E-2</v>
          </cell>
          <cell r="AE1356">
            <v>0</v>
          </cell>
          <cell r="AF1356">
            <v>0</v>
          </cell>
          <cell r="AG1356">
            <v>0</v>
          </cell>
          <cell r="AH1356">
            <v>0</v>
          </cell>
          <cell r="AI1356">
            <v>0</v>
          </cell>
          <cell r="AJ1356">
            <v>0</v>
          </cell>
          <cell r="AK1356">
            <v>0</v>
          </cell>
          <cell r="AL1356">
            <v>0</v>
          </cell>
        </row>
        <row r="1357">
          <cell r="E1357" t="str">
            <v>構内0.4-30Pr</v>
          </cell>
          <cell r="F1357" t="str">
            <v>ｍ</v>
          </cell>
          <cell r="G1357">
            <v>0</v>
          </cell>
          <cell r="H1357">
            <v>214</v>
          </cell>
          <cell r="I1357">
            <v>0</v>
          </cell>
          <cell r="J1357">
            <v>214</v>
          </cell>
          <cell r="K1357">
            <v>0</v>
          </cell>
          <cell r="L1357">
            <v>214</v>
          </cell>
          <cell r="M1357">
            <v>0</v>
          </cell>
          <cell r="N1357">
            <v>214</v>
          </cell>
          <cell r="O1357">
            <v>0</v>
          </cell>
          <cell r="P1357">
            <v>214</v>
          </cell>
          <cell r="Q1357">
            <v>0</v>
          </cell>
          <cell r="R1357">
            <v>214</v>
          </cell>
          <cell r="S1357">
            <v>0</v>
          </cell>
          <cell r="T1357">
            <v>214</v>
          </cell>
          <cell r="U1357">
            <v>0</v>
          </cell>
          <cell r="V1357">
            <v>214</v>
          </cell>
          <cell r="W1357">
            <v>0</v>
          </cell>
          <cell r="X1357">
            <v>214</v>
          </cell>
          <cell r="Y1357">
            <v>0</v>
          </cell>
          <cell r="Z1357">
            <v>214</v>
          </cell>
          <cell r="AA1357">
            <v>0</v>
          </cell>
          <cell r="AB1357">
            <v>0</v>
          </cell>
          <cell r="AC1357">
            <v>0</v>
          </cell>
          <cell r="AD1357">
            <v>2.9000000000000001E-2</v>
          </cell>
          <cell r="AE1357">
            <v>0</v>
          </cell>
          <cell r="AF1357">
            <v>0</v>
          </cell>
          <cell r="AG1357">
            <v>0</v>
          </cell>
          <cell r="AH1357">
            <v>0</v>
          </cell>
          <cell r="AI1357">
            <v>0</v>
          </cell>
          <cell r="AJ1357">
            <v>0</v>
          </cell>
          <cell r="AK1357">
            <v>0</v>
          </cell>
          <cell r="AL1357">
            <v>0</v>
          </cell>
        </row>
        <row r="1358">
          <cell r="E1358" t="str">
            <v>構内0.4-50Pr</v>
          </cell>
          <cell r="F1358" t="str">
            <v>ｍ</v>
          </cell>
          <cell r="G1358">
            <v>0</v>
          </cell>
          <cell r="H1358">
            <v>311</v>
          </cell>
          <cell r="I1358">
            <v>0</v>
          </cell>
          <cell r="J1358">
            <v>311</v>
          </cell>
          <cell r="K1358">
            <v>0</v>
          </cell>
          <cell r="L1358">
            <v>311</v>
          </cell>
          <cell r="M1358">
            <v>0</v>
          </cell>
          <cell r="N1358">
            <v>311</v>
          </cell>
          <cell r="O1358">
            <v>0</v>
          </cell>
          <cell r="P1358">
            <v>311</v>
          </cell>
          <cell r="Q1358">
            <v>0</v>
          </cell>
          <cell r="R1358">
            <v>311</v>
          </cell>
          <cell r="S1358">
            <v>0</v>
          </cell>
          <cell r="T1358">
            <v>311</v>
          </cell>
          <cell r="U1358">
            <v>0</v>
          </cell>
          <cell r="V1358">
            <v>311</v>
          </cell>
          <cell r="W1358">
            <v>0</v>
          </cell>
          <cell r="X1358">
            <v>311</v>
          </cell>
          <cell r="Y1358">
            <v>0</v>
          </cell>
          <cell r="Z1358">
            <v>311</v>
          </cell>
          <cell r="AA1358">
            <v>0</v>
          </cell>
          <cell r="AB1358">
            <v>0</v>
          </cell>
          <cell r="AC1358">
            <v>0</v>
          </cell>
          <cell r="AD1358">
            <v>3.9E-2</v>
          </cell>
          <cell r="AE1358">
            <v>0</v>
          </cell>
          <cell r="AF1358">
            <v>0</v>
          </cell>
          <cell r="AG1358">
            <v>0</v>
          </cell>
          <cell r="AH1358">
            <v>0</v>
          </cell>
          <cell r="AI1358">
            <v>0</v>
          </cell>
          <cell r="AJ1358">
            <v>0</v>
          </cell>
          <cell r="AK1358">
            <v>0</v>
          </cell>
          <cell r="AL1358">
            <v>0</v>
          </cell>
        </row>
        <row r="1359">
          <cell r="E1359" t="str">
            <v>構内0.4-100Pr</v>
          </cell>
          <cell r="F1359" t="str">
            <v>ｍ</v>
          </cell>
          <cell r="G1359">
            <v>0</v>
          </cell>
          <cell r="H1359">
            <v>547</v>
          </cell>
          <cell r="I1359">
            <v>0</v>
          </cell>
          <cell r="J1359">
            <v>547</v>
          </cell>
          <cell r="K1359">
            <v>0</v>
          </cell>
          <cell r="L1359">
            <v>547</v>
          </cell>
          <cell r="M1359">
            <v>0</v>
          </cell>
          <cell r="N1359">
            <v>547</v>
          </cell>
          <cell r="O1359">
            <v>0</v>
          </cell>
          <cell r="P1359">
            <v>547</v>
          </cell>
          <cell r="Q1359">
            <v>0</v>
          </cell>
          <cell r="R1359">
            <v>547</v>
          </cell>
          <cell r="S1359">
            <v>0</v>
          </cell>
          <cell r="T1359">
            <v>547</v>
          </cell>
          <cell r="U1359">
            <v>0</v>
          </cell>
          <cell r="V1359">
            <v>547</v>
          </cell>
          <cell r="W1359">
            <v>0</v>
          </cell>
          <cell r="X1359">
            <v>547</v>
          </cell>
          <cell r="Y1359">
            <v>0</v>
          </cell>
          <cell r="Z1359">
            <v>547</v>
          </cell>
          <cell r="AA1359">
            <v>0</v>
          </cell>
          <cell r="AB1359">
            <v>0</v>
          </cell>
          <cell r="AC1359">
            <v>0</v>
          </cell>
          <cell r="AD1359">
            <v>6.4000000000000001E-2</v>
          </cell>
          <cell r="AE1359">
            <v>0</v>
          </cell>
          <cell r="AF1359">
            <v>0</v>
          </cell>
          <cell r="AG1359">
            <v>0</v>
          </cell>
          <cell r="AH1359">
            <v>0</v>
          </cell>
          <cell r="AI1359">
            <v>0</v>
          </cell>
          <cell r="AJ1359">
            <v>0</v>
          </cell>
          <cell r="AK1359">
            <v>0</v>
          </cell>
          <cell r="AL1359">
            <v>0</v>
          </cell>
        </row>
        <row r="1360">
          <cell r="E1360" t="str">
            <v>構内0.4-200Pr</v>
          </cell>
          <cell r="F1360" t="str">
            <v>ｍ</v>
          </cell>
          <cell r="G1360">
            <v>0</v>
          </cell>
          <cell r="H1360">
            <v>974</v>
          </cell>
          <cell r="I1360">
            <v>0</v>
          </cell>
          <cell r="J1360">
            <v>974</v>
          </cell>
          <cell r="K1360">
            <v>0</v>
          </cell>
          <cell r="L1360">
            <v>974</v>
          </cell>
          <cell r="M1360">
            <v>0</v>
          </cell>
          <cell r="N1360">
            <v>974</v>
          </cell>
          <cell r="O1360">
            <v>0</v>
          </cell>
          <cell r="P1360">
            <v>974</v>
          </cell>
          <cell r="Q1360">
            <v>0</v>
          </cell>
          <cell r="R1360">
            <v>974</v>
          </cell>
          <cell r="S1360">
            <v>0</v>
          </cell>
          <cell r="T1360">
            <v>974</v>
          </cell>
          <cell r="U1360">
            <v>0</v>
          </cell>
          <cell r="V1360">
            <v>974</v>
          </cell>
          <cell r="W1360">
            <v>0</v>
          </cell>
          <cell r="X1360">
            <v>974</v>
          </cell>
          <cell r="Y1360">
            <v>0</v>
          </cell>
          <cell r="Z1360">
            <v>974</v>
          </cell>
          <cell r="AA1360">
            <v>0</v>
          </cell>
          <cell r="AB1360">
            <v>0</v>
          </cell>
          <cell r="AC1360">
            <v>0</v>
          </cell>
          <cell r="AD1360">
            <v>9.5000000000000001E-2</v>
          </cell>
          <cell r="AE1360">
            <v>0</v>
          </cell>
          <cell r="AF1360">
            <v>0</v>
          </cell>
          <cell r="AG1360">
            <v>0</v>
          </cell>
          <cell r="AH1360">
            <v>0</v>
          </cell>
          <cell r="AI1360">
            <v>0</v>
          </cell>
          <cell r="AJ1360">
            <v>0</v>
          </cell>
          <cell r="AK1360">
            <v>0</v>
          </cell>
          <cell r="AL1360">
            <v>0</v>
          </cell>
        </row>
        <row r="1361">
          <cell r="E1361" t="str">
            <v>構内0.5-10Pr</v>
          </cell>
          <cell r="F1361" t="str">
            <v>ｍ</v>
          </cell>
          <cell r="G1361">
            <v>0</v>
          </cell>
          <cell r="H1361">
            <v>136</v>
          </cell>
          <cell r="I1361">
            <v>0</v>
          </cell>
          <cell r="J1361">
            <v>136</v>
          </cell>
          <cell r="K1361">
            <v>0</v>
          </cell>
          <cell r="L1361">
            <v>136</v>
          </cell>
          <cell r="M1361">
            <v>0</v>
          </cell>
          <cell r="N1361">
            <v>136</v>
          </cell>
          <cell r="O1361">
            <v>0</v>
          </cell>
          <cell r="P1361">
            <v>136</v>
          </cell>
          <cell r="Q1361">
            <v>0</v>
          </cell>
          <cell r="R1361">
            <v>136</v>
          </cell>
          <cell r="S1361">
            <v>0</v>
          </cell>
          <cell r="T1361">
            <v>136</v>
          </cell>
          <cell r="U1361">
            <v>0</v>
          </cell>
          <cell r="V1361">
            <v>136</v>
          </cell>
          <cell r="W1361">
            <v>0</v>
          </cell>
          <cell r="X1361">
            <v>136</v>
          </cell>
          <cell r="Y1361">
            <v>0</v>
          </cell>
          <cell r="Z1361">
            <v>136</v>
          </cell>
          <cell r="AA1361">
            <v>0</v>
          </cell>
          <cell r="AB1361">
            <v>0</v>
          </cell>
          <cell r="AC1361">
            <v>0</v>
          </cell>
          <cell r="AD1361">
            <v>0.02</v>
          </cell>
          <cell r="AE1361">
            <v>0</v>
          </cell>
          <cell r="AF1361">
            <v>0</v>
          </cell>
          <cell r="AG1361">
            <v>0</v>
          </cell>
          <cell r="AH1361">
            <v>0</v>
          </cell>
          <cell r="AI1361">
            <v>0</v>
          </cell>
          <cell r="AJ1361">
            <v>0</v>
          </cell>
          <cell r="AK1361">
            <v>0</v>
          </cell>
          <cell r="AL1361">
            <v>0</v>
          </cell>
        </row>
        <row r="1362">
          <cell r="E1362" t="str">
            <v>構内0.5-20Pr</v>
          </cell>
          <cell r="F1362" t="str">
            <v>ｍ</v>
          </cell>
          <cell r="G1362">
            <v>0</v>
          </cell>
          <cell r="H1362">
            <v>205</v>
          </cell>
          <cell r="I1362">
            <v>0</v>
          </cell>
          <cell r="J1362">
            <v>205</v>
          </cell>
          <cell r="K1362">
            <v>0</v>
          </cell>
          <cell r="L1362">
            <v>205</v>
          </cell>
          <cell r="M1362">
            <v>0</v>
          </cell>
          <cell r="N1362">
            <v>205</v>
          </cell>
          <cell r="O1362">
            <v>0</v>
          </cell>
          <cell r="P1362">
            <v>205</v>
          </cell>
          <cell r="Q1362">
            <v>0</v>
          </cell>
          <cell r="R1362">
            <v>205</v>
          </cell>
          <cell r="S1362">
            <v>0</v>
          </cell>
          <cell r="T1362">
            <v>205</v>
          </cell>
          <cell r="U1362">
            <v>0</v>
          </cell>
          <cell r="V1362">
            <v>205</v>
          </cell>
          <cell r="W1362">
            <v>0</v>
          </cell>
          <cell r="X1362">
            <v>205</v>
          </cell>
          <cell r="Y1362">
            <v>0</v>
          </cell>
          <cell r="Z1362">
            <v>205</v>
          </cell>
          <cell r="AA1362">
            <v>0</v>
          </cell>
          <cell r="AB1362">
            <v>0</v>
          </cell>
          <cell r="AC1362">
            <v>0</v>
          </cell>
          <cell r="AD1362">
            <v>2.4E-2</v>
          </cell>
          <cell r="AE1362">
            <v>0</v>
          </cell>
          <cell r="AF1362">
            <v>0</v>
          </cell>
          <cell r="AG1362">
            <v>0</v>
          </cell>
          <cell r="AH1362">
            <v>0</v>
          </cell>
          <cell r="AI1362">
            <v>0</v>
          </cell>
          <cell r="AJ1362">
            <v>0</v>
          </cell>
          <cell r="AK1362">
            <v>0</v>
          </cell>
          <cell r="AL1362">
            <v>0</v>
          </cell>
        </row>
        <row r="1363">
          <cell r="E1363" t="str">
            <v>構内0.5-30Pr</v>
          </cell>
          <cell r="F1363" t="str">
            <v>ｍ</v>
          </cell>
          <cell r="G1363">
            <v>0</v>
          </cell>
          <cell r="H1363">
            <v>270</v>
          </cell>
          <cell r="I1363">
            <v>0</v>
          </cell>
          <cell r="J1363">
            <v>270</v>
          </cell>
          <cell r="K1363">
            <v>0</v>
          </cell>
          <cell r="L1363">
            <v>270</v>
          </cell>
          <cell r="M1363">
            <v>0</v>
          </cell>
          <cell r="N1363">
            <v>270</v>
          </cell>
          <cell r="O1363">
            <v>0</v>
          </cell>
          <cell r="P1363">
            <v>270</v>
          </cell>
          <cell r="Q1363">
            <v>0</v>
          </cell>
          <cell r="R1363">
            <v>270</v>
          </cell>
          <cell r="S1363">
            <v>0</v>
          </cell>
          <cell r="T1363">
            <v>270</v>
          </cell>
          <cell r="U1363">
            <v>0</v>
          </cell>
          <cell r="V1363">
            <v>270</v>
          </cell>
          <cell r="W1363">
            <v>0</v>
          </cell>
          <cell r="X1363">
            <v>270</v>
          </cell>
          <cell r="Y1363">
            <v>0</v>
          </cell>
          <cell r="Z1363">
            <v>270</v>
          </cell>
          <cell r="AA1363">
            <v>0</v>
          </cell>
          <cell r="AB1363">
            <v>0</v>
          </cell>
          <cell r="AC1363">
            <v>0</v>
          </cell>
          <cell r="AD1363">
            <v>2.9000000000000001E-2</v>
          </cell>
          <cell r="AE1363">
            <v>0</v>
          </cell>
          <cell r="AF1363">
            <v>0</v>
          </cell>
          <cell r="AG1363">
            <v>0</v>
          </cell>
          <cell r="AH1363">
            <v>0</v>
          </cell>
          <cell r="AI1363">
            <v>0</v>
          </cell>
          <cell r="AJ1363">
            <v>0</v>
          </cell>
          <cell r="AK1363">
            <v>0</v>
          </cell>
          <cell r="AL1363">
            <v>0</v>
          </cell>
        </row>
        <row r="1364">
          <cell r="E1364" t="str">
            <v>構内0.5-50Pr</v>
          </cell>
          <cell r="F1364" t="str">
            <v>ｍ</v>
          </cell>
          <cell r="G1364">
            <v>0</v>
          </cell>
          <cell r="H1364">
            <v>397</v>
          </cell>
          <cell r="I1364">
            <v>0</v>
          </cell>
          <cell r="J1364">
            <v>397</v>
          </cell>
          <cell r="K1364">
            <v>0</v>
          </cell>
          <cell r="L1364">
            <v>397</v>
          </cell>
          <cell r="M1364">
            <v>0</v>
          </cell>
          <cell r="N1364">
            <v>397</v>
          </cell>
          <cell r="O1364">
            <v>0</v>
          </cell>
          <cell r="P1364">
            <v>397</v>
          </cell>
          <cell r="Q1364">
            <v>0</v>
          </cell>
          <cell r="R1364">
            <v>397</v>
          </cell>
          <cell r="S1364">
            <v>0</v>
          </cell>
          <cell r="T1364">
            <v>397</v>
          </cell>
          <cell r="U1364">
            <v>0</v>
          </cell>
          <cell r="V1364">
            <v>397</v>
          </cell>
          <cell r="W1364">
            <v>0</v>
          </cell>
          <cell r="X1364">
            <v>397</v>
          </cell>
          <cell r="Y1364">
            <v>0</v>
          </cell>
          <cell r="Z1364">
            <v>397</v>
          </cell>
          <cell r="AA1364">
            <v>0</v>
          </cell>
          <cell r="AB1364">
            <v>0</v>
          </cell>
          <cell r="AC1364">
            <v>0</v>
          </cell>
          <cell r="AD1364">
            <v>3.9E-2</v>
          </cell>
          <cell r="AE1364">
            <v>0</v>
          </cell>
          <cell r="AF1364">
            <v>0</v>
          </cell>
          <cell r="AG1364">
            <v>0</v>
          </cell>
          <cell r="AH1364">
            <v>0</v>
          </cell>
          <cell r="AI1364">
            <v>0</v>
          </cell>
          <cell r="AJ1364">
            <v>0</v>
          </cell>
          <cell r="AK1364">
            <v>0</v>
          </cell>
          <cell r="AL1364">
            <v>0</v>
          </cell>
        </row>
        <row r="1365">
          <cell r="E1365" t="str">
            <v>構内0.5-100Pr</v>
          </cell>
          <cell r="F1365" t="str">
            <v>ｍ</v>
          </cell>
          <cell r="G1365">
            <v>0</v>
          </cell>
          <cell r="H1365">
            <v>713</v>
          </cell>
          <cell r="I1365">
            <v>0</v>
          </cell>
          <cell r="J1365">
            <v>713</v>
          </cell>
          <cell r="K1365">
            <v>0</v>
          </cell>
          <cell r="L1365">
            <v>713</v>
          </cell>
          <cell r="M1365">
            <v>0</v>
          </cell>
          <cell r="N1365">
            <v>713</v>
          </cell>
          <cell r="O1365">
            <v>0</v>
          </cell>
          <cell r="P1365">
            <v>713</v>
          </cell>
          <cell r="Q1365">
            <v>0</v>
          </cell>
          <cell r="R1365">
            <v>713</v>
          </cell>
          <cell r="S1365">
            <v>0</v>
          </cell>
          <cell r="T1365">
            <v>713</v>
          </cell>
          <cell r="U1365">
            <v>0</v>
          </cell>
          <cell r="V1365">
            <v>713</v>
          </cell>
          <cell r="W1365">
            <v>0</v>
          </cell>
          <cell r="X1365">
            <v>713</v>
          </cell>
          <cell r="Y1365">
            <v>0</v>
          </cell>
          <cell r="Z1365">
            <v>713</v>
          </cell>
          <cell r="AA1365">
            <v>0</v>
          </cell>
          <cell r="AB1365">
            <v>0</v>
          </cell>
          <cell r="AC1365">
            <v>0</v>
          </cell>
          <cell r="AD1365">
            <v>6.4000000000000001E-2</v>
          </cell>
          <cell r="AE1365">
            <v>0</v>
          </cell>
          <cell r="AF1365">
            <v>0</v>
          </cell>
          <cell r="AG1365">
            <v>0</v>
          </cell>
          <cell r="AH1365">
            <v>0</v>
          </cell>
          <cell r="AI1365">
            <v>0</v>
          </cell>
          <cell r="AJ1365">
            <v>0</v>
          </cell>
          <cell r="AK1365">
            <v>0</v>
          </cell>
          <cell r="AL1365">
            <v>0</v>
          </cell>
        </row>
        <row r="1366">
          <cell r="E1366" t="str">
            <v>構内0.5-200Pr</v>
          </cell>
          <cell r="F1366" t="str">
            <v>ｍ</v>
          </cell>
          <cell r="G1366">
            <v>0</v>
          </cell>
          <cell r="H1366">
            <v>1331</v>
          </cell>
          <cell r="I1366">
            <v>0</v>
          </cell>
          <cell r="J1366">
            <v>1331</v>
          </cell>
          <cell r="K1366">
            <v>0</v>
          </cell>
          <cell r="L1366">
            <v>1331</v>
          </cell>
          <cell r="M1366">
            <v>0</v>
          </cell>
          <cell r="N1366">
            <v>1331</v>
          </cell>
          <cell r="O1366">
            <v>0</v>
          </cell>
          <cell r="P1366">
            <v>1331</v>
          </cell>
          <cell r="Q1366">
            <v>0</v>
          </cell>
          <cell r="R1366">
            <v>1331</v>
          </cell>
          <cell r="S1366">
            <v>0</v>
          </cell>
          <cell r="T1366">
            <v>1331</v>
          </cell>
          <cell r="U1366">
            <v>0</v>
          </cell>
          <cell r="V1366">
            <v>1331</v>
          </cell>
          <cell r="W1366">
            <v>0</v>
          </cell>
          <cell r="X1366">
            <v>1331</v>
          </cell>
          <cell r="Y1366">
            <v>0</v>
          </cell>
          <cell r="Z1366">
            <v>1331</v>
          </cell>
          <cell r="AA1366">
            <v>0</v>
          </cell>
          <cell r="AB1366">
            <v>0</v>
          </cell>
          <cell r="AC1366">
            <v>0</v>
          </cell>
          <cell r="AD1366">
            <v>9.5000000000000001E-2</v>
          </cell>
          <cell r="AE1366">
            <v>0</v>
          </cell>
          <cell r="AF1366">
            <v>0</v>
          </cell>
          <cell r="AG1366">
            <v>0</v>
          </cell>
          <cell r="AH1366">
            <v>0</v>
          </cell>
          <cell r="AI1366">
            <v>0</v>
          </cell>
          <cell r="AJ1366">
            <v>0</v>
          </cell>
          <cell r="AK1366">
            <v>0</v>
          </cell>
          <cell r="AL1366">
            <v>0</v>
          </cell>
        </row>
        <row r="1367">
          <cell r="E1367" t="str">
            <v>構内0.65-10Pr</v>
          </cell>
          <cell r="F1367" t="str">
            <v>ｍ</v>
          </cell>
          <cell r="G1367">
            <v>0</v>
          </cell>
          <cell r="H1367">
            <v>178</v>
          </cell>
          <cell r="I1367">
            <v>0</v>
          </cell>
          <cell r="J1367">
            <v>178</v>
          </cell>
          <cell r="K1367">
            <v>0</v>
          </cell>
          <cell r="L1367">
            <v>178</v>
          </cell>
          <cell r="M1367">
            <v>0</v>
          </cell>
          <cell r="N1367">
            <v>178</v>
          </cell>
          <cell r="O1367">
            <v>0</v>
          </cell>
          <cell r="P1367">
            <v>178</v>
          </cell>
          <cell r="Q1367">
            <v>0</v>
          </cell>
          <cell r="R1367">
            <v>178</v>
          </cell>
          <cell r="S1367">
            <v>0</v>
          </cell>
          <cell r="T1367">
            <v>178</v>
          </cell>
          <cell r="U1367">
            <v>0</v>
          </cell>
          <cell r="V1367">
            <v>178</v>
          </cell>
          <cell r="W1367">
            <v>0</v>
          </cell>
          <cell r="X1367">
            <v>178</v>
          </cell>
          <cell r="Y1367">
            <v>0</v>
          </cell>
          <cell r="Z1367">
            <v>178</v>
          </cell>
          <cell r="AA1367">
            <v>0</v>
          </cell>
          <cell r="AB1367">
            <v>0</v>
          </cell>
          <cell r="AC1367">
            <v>0</v>
          </cell>
          <cell r="AD1367">
            <v>0.02</v>
          </cell>
          <cell r="AE1367">
            <v>0</v>
          </cell>
          <cell r="AF1367">
            <v>0</v>
          </cell>
          <cell r="AG1367">
            <v>0</v>
          </cell>
          <cell r="AH1367">
            <v>0</v>
          </cell>
          <cell r="AI1367">
            <v>0</v>
          </cell>
          <cell r="AJ1367">
            <v>0</v>
          </cell>
          <cell r="AK1367">
            <v>0</v>
          </cell>
          <cell r="AL1367">
            <v>0</v>
          </cell>
        </row>
        <row r="1368">
          <cell r="E1368" t="str">
            <v>構内0.65-20Pr</v>
          </cell>
          <cell r="F1368" t="str">
            <v>ｍ</v>
          </cell>
          <cell r="G1368">
            <v>0</v>
          </cell>
          <cell r="H1368">
            <v>285</v>
          </cell>
          <cell r="I1368">
            <v>0</v>
          </cell>
          <cell r="J1368">
            <v>285</v>
          </cell>
          <cell r="K1368">
            <v>0</v>
          </cell>
          <cell r="L1368">
            <v>285</v>
          </cell>
          <cell r="M1368">
            <v>0</v>
          </cell>
          <cell r="N1368">
            <v>285</v>
          </cell>
          <cell r="O1368">
            <v>0</v>
          </cell>
          <cell r="P1368">
            <v>285</v>
          </cell>
          <cell r="Q1368">
            <v>0</v>
          </cell>
          <cell r="R1368">
            <v>285</v>
          </cell>
          <cell r="S1368">
            <v>0</v>
          </cell>
          <cell r="T1368">
            <v>285</v>
          </cell>
          <cell r="U1368">
            <v>0</v>
          </cell>
          <cell r="V1368">
            <v>285</v>
          </cell>
          <cell r="W1368">
            <v>0</v>
          </cell>
          <cell r="X1368">
            <v>285</v>
          </cell>
          <cell r="Y1368">
            <v>0</v>
          </cell>
          <cell r="Z1368">
            <v>285</v>
          </cell>
          <cell r="AA1368">
            <v>0</v>
          </cell>
          <cell r="AB1368">
            <v>0</v>
          </cell>
          <cell r="AC1368">
            <v>0</v>
          </cell>
          <cell r="AD1368">
            <v>2.4E-2</v>
          </cell>
          <cell r="AE1368">
            <v>0</v>
          </cell>
          <cell r="AF1368">
            <v>0</v>
          </cell>
          <cell r="AG1368">
            <v>0</v>
          </cell>
          <cell r="AH1368">
            <v>0</v>
          </cell>
          <cell r="AI1368">
            <v>0</v>
          </cell>
          <cell r="AJ1368">
            <v>0</v>
          </cell>
          <cell r="AK1368">
            <v>0</v>
          </cell>
          <cell r="AL1368">
            <v>0</v>
          </cell>
        </row>
        <row r="1369">
          <cell r="E1369" t="str">
            <v>構内0.65-30Pr</v>
          </cell>
          <cell r="F1369" t="str">
            <v>ｍ</v>
          </cell>
          <cell r="G1369">
            <v>0</v>
          </cell>
          <cell r="H1369">
            <v>376</v>
          </cell>
          <cell r="I1369">
            <v>0</v>
          </cell>
          <cell r="J1369">
            <v>376</v>
          </cell>
          <cell r="K1369">
            <v>0</v>
          </cell>
          <cell r="L1369">
            <v>376</v>
          </cell>
          <cell r="M1369">
            <v>0</v>
          </cell>
          <cell r="N1369">
            <v>376</v>
          </cell>
          <cell r="O1369">
            <v>0</v>
          </cell>
          <cell r="P1369">
            <v>376</v>
          </cell>
          <cell r="Q1369">
            <v>0</v>
          </cell>
          <cell r="R1369">
            <v>376</v>
          </cell>
          <cell r="S1369">
            <v>0</v>
          </cell>
          <cell r="T1369">
            <v>376</v>
          </cell>
          <cell r="U1369">
            <v>0</v>
          </cell>
          <cell r="V1369">
            <v>376</v>
          </cell>
          <cell r="W1369">
            <v>0</v>
          </cell>
          <cell r="X1369">
            <v>376</v>
          </cell>
          <cell r="Y1369">
            <v>0</v>
          </cell>
          <cell r="Z1369">
            <v>376</v>
          </cell>
          <cell r="AA1369">
            <v>0</v>
          </cell>
          <cell r="AB1369">
            <v>0</v>
          </cell>
          <cell r="AC1369">
            <v>0</v>
          </cell>
          <cell r="AD1369">
            <v>2.9000000000000001E-2</v>
          </cell>
          <cell r="AE1369">
            <v>0</v>
          </cell>
          <cell r="AF1369">
            <v>0</v>
          </cell>
          <cell r="AG1369">
            <v>0</v>
          </cell>
          <cell r="AH1369">
            <v>0</v>
          </cell>
          <cell r="AI1369">
            <v>0</v>
          </cell>
          <cell r="AJ1369">
            <v>0</v>
          </cell>
          <cell r="AK1369">
            <v>0</v>
          </cell>
          <cell r="AL1369">
            <v>0</v>
          </cell>
        </row>
        <row r="1370">
          <cell r="E1370" t="str">
            <v>SD 0.65-1Pr</v>
          </cell>
          <cell r="F1370" t="str">
            <v>ｍ</v>
          </cell>
          <cell r="G1370">
            <v>0</v>
          </cell>
          <cell r="H1370">
            <v>64.8</v>
          </cell>
          <cell r="I1370">
            <v>0</v>
          </cell>
          <cell r="J1370">
            <v>64.8</v>
          </cell>
          <cell r="K1370">
            <v>0</v>
          </cell>
          <cell r="L1370">
            <v>64.8</v>
          </cell>
          <cell r="M1370">
            <v>0</v>
          </cell>
          <cell r="N1370">
            <v>64.8</v>
          </cell>
          <cell r="O1370">
            <v>0</v>
          </cell>
          <cell r="P1370">
            <v>64.8</v>
          </cell>
          <cell r="Q1370">
            <v>0</v>
          </cell>
          <cell r="R1370">
            <v>64.8</v>
          </cell>
          <cell r="S1370">
            <v>0</v>
          </cell>
          <cell r="T1370">
            <v>64.8</v>
          </cell>
          <cell r="U1370">
            <v>0</v>
          </cell>
          <cell r="V1370">
            <v>64.8</v>
          </cell>
          <cell r="W1370">
            <v>0</v>
          </cell>
          <cell r="X1370">
            <v>64.8</v>
          </cell>
          <cell r="Y1370">
            <v>0</v>
          </cell>
          <cell r="Z1370">
            <v>64.8</v>
          </cell>
          <cell r="AA1370">
            <v>0</v>
          </cell>
          <cell r="AB1370">
            <v>0</v>
          </cell>
          <cell r="AC1370">
            <v>0</v>
          </cell>
          <cell r="AD1370">
            <v>1.2E-2</v>
          </cell>
          <cell r="AE1370">
            <v>0</v>
          </cell>
          <cell r="AF1370">
            <v>0</v>
          </cell>
          <cell r="AG1370">
            <v>0</v>
          </cell>
          <cell r="AH1370">
            <v>0</v>
          </cell>
          <cell r="AI1370">
            <v>0</v>
          </cell>
          <cell r="AJ1370">
            <v>0</v>
          </cell>
          <cell r="AK1370">
            <v>0</v>
          </cell>
          <cell r="AL1370">
            <v>0</v>
          </cell>
        </row>
        <row r="1371">
          <cell r="E1371" t="str">
            <v>SD 0.65-2Pr</v>
          </cell>
          <cell r="F1371" t="str">
            <v>ｍ</v>
          </cell>
          <cell r="G1371">
            <v>0</v>
          </cell>
          <cell r="H1371">
            <v>91.1</v>
          </cell>
          <cell r="I1371">
            <v>0</v>
          </cell>
          <cell r="J1371">
            <v>91.1</v>
          </cell>
          <cell r="K1371">
            <v>0</v>
          </cell>
          <cell r="L1371">
            <v>91.1</v>
          </cell>
          <cell r="M1371">
            <v>0</v>
          </cell>
          <cell r="N1371">
            <v>91.1</v>
          </cell>
          <cell r="O1371">
            <v>0</v>
          </cell>
          <cell r="P1371">
            <v>91.1</v>
          </cell>
          <cell r="Q1371">
            <v>0</v>
          </cell>
          <cell r="R1371">
            <v>91.1</v>
          </cell>
          <cell r="S1371">
            <v>0</v>
          </cell>
          <cell r="T1371">
            <v>91.1</v>
          </cell>
          <cell r="U1371">
            <v>0</v>
          </cell>
          <cell r="V1371">
            <v>91.1</v>
          </cell>
          <cell r="W1371">
            <v>0</v>
          </cell>
          <cell r="X1371">
            <v>91.1</v>
          </cell>
          <cell r="Y1371">
            <v>0</v>
          </cell>
          <cell r="Z1371">
            <v>91.1</v>
          </cell>
          <cell r="AA1371">
            <v>0</v>
          </cell>
          <cell r="AB1371">
            <v>0</v>
          </cell>
          <cell r="AC1371">
            <v>0</v>
          </cell>
          <cell r="AD1371">
            <v>1.4E-2</v>
          </cell>
          <cell r="AE1371">
            <v>0</v>
          </cell>
          <cell r="AF1371">
            <v>0</v>
          </cell>
          <cell r="AG1371">
            <v>0</v>
          </cell>
          <cell r="AH1371">
            <v>0</v>
          </cell>
          <cell r="AI1371">
            <v>0</v>
          </cell>
          <cell r="AJ1371">
            <v>0</v>
          </cell>
          <cell r="AK1371">
            <v>0</v>
          </cell>
          <cell r="AL1371">
            <v>0</v>
          </cell>
        </row>
        <row r="1372">
          <cell r="E1372" t="str">
            <v>SD 0.65-6Pr</v>
          </cell>
          <cell r="F1372" t="str">
            <v>ｍ</v>
          </cell>
          <cell r="G1372">
            <v>0</v>
          </cell>
          <cell r="H1372">
            <v>166</v>
          </cell>
          <cell r="I1372">
            <v>0</v>
          </cell>
          <cell r="J1372">
            <v>166</v>
          </cell>
          <cell r="K1372">
            <v>0</v>
          </cell>
          <cell r="L1372">
            <v>166</v>
          </cell>
          <cell r="M1372">
            <v>0</v>
          </cell>
          <cell r="N1372">
            <v>166</v>
          </cell>
          <cell r="O1372">
            <v>0</v>
          </cell>
          <cell r="P1372">
            <v>166</v>
          </cell>
          <cell r="Q1372">
            <v>0</v>
          </cell>
          <cell r="R1372">
            <v>166</v>
          </cell>
          <cell r="S1372">
            <v>0</v>
          </cell>
          <cell r="T1372">
            <v>166</v>
          </cell>
          <cell r="U1372">
            <v>0</v>
          </cell>
          <cell r="V1372">
            <v>166</v>
          </cell>
          <cell r="W1372">
            <v>0</v>
          </cell>
          <cell r="X1372">
            <v>166</v>
          </cell>
          <cell r="Y1372">
            <v>0</v>
          </cell>
          <cell r="Z1372">
            <v>166</v>
          </cell>
          <cell r="AA1372">
            <v>0</v>
          </cell>
          <cell r="AB1372">
            <v>0</v>
          </cell>
          <cell r="AC1372">
            <v>0</v>
          </cell>
          <cell r="AD1372">
            <v>1.7999999999999999E-2</v>
          </cell>
          <cell r="AE1372">
            <v>0</v>
          </cell>
          <cell r="AF1372">
            <v>0</v>
          </cell>
          <cell r="AG1372">
            <v>0</v>
          </cell>
          <cell r="AH1372">
            <v>0</v>
          </cell>
          <cell r="AI1372">
            <v>0</v>
          </cell>
          <cell r="AJ1372">
            <v>0</v>
          </cell>
          <cell r="AK1372">
            <v>0</v>
          </cell>
          <cell r="AL1372">
            <v>0</v>
          </cell>
        </row>
        <row r="1373">
          <cell r="E1373" t="str">
            <v>SD 0.9-1Pr</v>
          </cell>
          <cell r="F1373" t="str">
            <v>ｍ</v>
          </cell>
          <cell r="G1373">
            <v>0</v>
          </cell>
          <cell r="H1373">
            <v>75.7</v>
          </cell>
          <cell r="I1373">
            <v>0</v>
          </cell>
          <cell r="J1373">
            <v>75.7</v>
          </cell>
          <cell r="K1373">
            <v>0</v>
          </cell>
          <cell r="L1373">
            <v>75.7</v>
          </cell>
          <cell r="M1373">
            <v>0</v>
          </cell>
          <cell r="N1373">
            <v>75.7</v>
          </cell>
          <cell r="O1373">
            <v>0</v>
          </cell>
          <cell r="P1373">
            <v>75.7</v>
          </cell>
          <cell r="Q1373">
            <v>0</v>
          </cell>
          <cell r="R1373">
            <v>75.7</v>
          </cell>
          <cell r="S1373">
            <v>0</v>
          </cell>
          <cell r="T1373">
            <v>75.7</v>
          </cell>
          <cell r="U1373">
            <v>0</v>
          </cell>
          <cell r="V1373">
            <v>75.7</v>
          </cell>
          <cell r="W1373">
            <v>0</v>
          </cell>
          <cell r="X1373">
            <v>75.7</v>
          </cell>
          <cell r="Y1373">
            <v>0</v>
          </cell>
          <cell r="Z1373">
            <v>75.7</v>
          </cell>
          <cell r="AA1373">
            <v>0</v>
          </cell>
          <cell r="AB1373">
            <v>0</v>
          </cell>
          <cell r="AC1373">
            <v>0</v>
          </cell>
          <cell r="AD1373">
            <v>1.6E-2</v>
          </cell>
          <cell r="AE1373">
            <v>0</v>
          </cell>
          <cell r="AF1373">
            <v>0</v>
          </cell>
          <cell r="AG1373">
            <v>0</v>
          </cell>
          <cell r="AH1373">
            <v>0</v>
          </cell>
          <cell r="AI1373">
            <v>0</v>
          </cell>
          <cell r="AJ1373">
            <v>0</v>
          </cell>
          <cell r="AK1373">
            <v>0</v>
          </cell>
          <cell r="AL1373">
            <v>0</v>
          </cell>
        </row>
        <row r="1374">
          <cell r="E1374" t="str">
            <v>SD 0.9-2Pr</v>
          </cell>
          <cell r="F1374" t="str">
            <v>ｍ</v>
          </cell>
          <cell r="G1374">
            <v>0</v>
          </cell>
          <cell r="H1374">
            <v>109</v>
          </cell>
          <cell r="I1374">
            <v>0</v>
          </cell>
          <cell r="J1374">
            <v>109</v>
          </cell>
          <cell r="K1374">
            <v>0</v>
          </cell>
          <cell r="L1374">
            <v>109</v>
          </cell>
          <cell r="M1374">
            <v>0</v>
          </cell>
          <cell r="N1374">
            <v>109</v>
          </cell>
          <cell r="O1374">
            <v>0</v>
          </cell>
          <cell r="P1374">
            <v>109</v>
          </cell>
          <cell r="Q1374">
            <v>0</v>
          </cell>
          <cell r="R1374">
            <v>109</v>
          </cell>
          <cell r="S1374">
            <v>0</v>
          </cell>
          <cell r="T1374">
            <v>109</v>
          </cell>
          <cell r="U1374">
            <v>0</v>
          </cell>
          <cell r="V1374">
            <v>109</v>
          </cell>
          <cell r="W1374">
            <v>0</v>
          </cell>
          <cell r="X1374">
            <v>109</v>
          </cell>
          <cell r="Y1374">
            <v>0</v>
          </cell>
          <cell r="Z1374">
            <v>109</v>
          </cell>
          <cell r="AA1374">
            <v>0</v>
          </cell>
          <cell r="AB1374">
            <v>0</v>
          </cell>
          <cell r="AC1374">
            <v>0</v>
          </cell>
          <cell r="AD1374">
            <v>1.7999999999999999E-2</v>
          </cell>
          <cell r="AE1374">
            <v>0</v>
          </cell>
          <cell r="AF1374">
            <v>0</v>
          </cell>
          <cell r="AG1374">
            <v>0</v>
          </cell>
          <cell r="AH1374">
            <v>0</v>
          </cell>
          <cell r="AI1374">
            <v>0</v>
          </cell>
          <cell r="AJ1374">
            <v>0</v>
          </cell>
          <cell r="AK1374">
            <v>0</v>
          </cell>
          <cell r="AL1374">
            <v>0</v>
          </cell>
        </row>
        <row r="1375">
          <cell r="E1375" t="str">
            <v>SD 0.9-6Pr</v>
          </cell>
          <cell r="F1375" t="str">
            <v>ｍ</v>
          </cell>
          <cell r="G1375">
            <v>0</v>
          </cell>
          <cell r="H1375">
            <v>231</v>
          </cell>
          <cell r="I1375">
            <v>0</v>
          </cell>
          <cell r="J1375">
            <v>231</v>
          </cell>
          <cell r="K1375">
            <v>0</v>
          </cell>
          <cell r="L1375">
            <v>231</v>
          </cell>
          <cell r="M1375">
            <v>0</v>
          </cell>
          <cell r="N1375">
            <v>231</v>
          </cell>
          <cell r="O1375">
            <v>0</v>
          </cell>
          <cell r="P1375">
            <v>231</v>
          </cell>
          <cell r="Q1375">
            <v>0</v>
          </cell>
          <cell r="R1375">
            <v>231</v>
          </cell>
          <cell r="S1375">
            <v>0</v>
          </cell>
          <cell r="T1375">
            <v>231</v>
          </cell>
          <cell r="U1375">
            <v>0</v>
          </cell>
          <cell r="V1375">
            <v>231</v>
          </cell>
          <cell r="W1375">
            <v>0</v>
          </cell>
          <cell r="X1375">
            <v>231</v>
          </cell>
          <cell r="Y1375">
            <v>0</v>
          </cell>
          <cell r="Z1375">
            <v>231</v>
          </cell>
          <cell r="AA1375">
            <v>0</v>
          </cell>
          <cell r="AB1375">
            <v>0</v>
          </cell>
          <cell r="AC1375">
            <v>0</v>
          </cell>
          <cell r="AD1375">
            <v>2.4E-2</v>
          </cell>
          <cell r="AE1375">
            <v>0</v>
          </cell>
          <cell r="AF1375">
            <v>0</v>
          </cell>
          <cell r="AG1375">
            <v>0</v>
          </cell>
          <cell r="AH1375">
            <v>0</v>
          </cell>
          <cell r="AI1375">
            <v>0</v>
          </cell>
          <cell r="AJ1375">
            <v>0</v>
          </cell>
          <cell r="AK1375">
            <v>0</v>
          </cell>
          <cell r="AL1375">
            <v>0</v>
          </cell>
        </row>
        <row r="1376">
          <cell r="E1376" t="str">
            <v>釦電話 0.4-10Pr</v>
          </cell>
          <cell r="F1376" t="str">
            <v>ｍ</v>
          </cell>
          <cell r="G1376">
            <v>0</v>
          </cell>
          <cell r="H1376">
            <v>81.5</v>
          </cell>
          <cell r="I1376">
            <v>0</v>
          </cell>
          <cell r="J1376">
            <v>81.5</v>
          </cell>
          <cell r="K1376">
            <v>0</v>
          </cell>
          <cell r="L1376">
            <v>81.5</v>
          </cell>
          <cell r="M1376">
            <v>0</v>
          </cell>
          <cell r="N1376">
            <v>81.5</v>
          </cell>
          <cell r="O1376">
            <v>0</v>
          </cell>
          <cell r="P1376">
            <v>81.5</v>
          </cell>
          <cell r="Q1376">
            <v>0</v>
          </cell>
          <cell r="R1376">
            <v>81.5</v>
          </cell>
          <cell r="S1376">
            <v>0</v>
          </cell>
          <cell r="T1376">
            <v>81.5</v>
          </cell>
          <cell r="U1376">
            <v>0</v>
          </cell>
          <cell r="V1376">
            <v>81.5</v>
          </cell>
          <cell r="W1376">
            <v>0</v>
          </cell>
          <cell r="X1376">
            <v>81.5</v>
          </cell>
          <cell r="Y1376">
            <v>0</v>
          </cell>
          <cell r="Z1376">
            <v>81.5</v>
          </cell>
          <cell r="AA1376">
            <v>0</v>
          </cell>
          <cell r="AB1376">
            <v>0</v>
          </cell>
          <cell r="AC1376">
            <v>0</v>
          </cell>
          <cell r="AD1376">
            <v>0.02</v>
          </cell>
          <cell r="AE1376">
            <v>0</v>
          </cell>
          <cell r="AF1376">
            <v>0</v>
          </cell>
          <cell r="AG1376">
            <v>0</v>
          </cell>
          <cell r="AH1376">
            <v>0</v>
          </cell>
          <cell r="AI1376">
            <v>0</v>
          </cell>
          <cell r="AJ1376">
            <v>0</v>
          </cell>
          <cell r="AK1376">
            <v>0</v>
          </cell>
          <cell r="AL1376">
            <v>0</v>
          </cell>
        </row>
        <row r="1377">
          <cell r="E1377" t="str">
            <v>釦電話 0.4-20Pr</v>
          </cell>
          <cell r="F1377" t="str">
            <v>ｍ</v>
          </cell>
          <cell r="G1377">
            <v>0</v>
          </cell>
          <cell r="H1377">
            <v>127</v>
          </cell>
          <cell r="I1377">
            <v>0</v>
          </cell>
          <cell r="J1377">
            <v>127</v>
          </cell>
          <cell r="K1377">
            <v>0</v>
          </cell>
          <cell r="L1377">
            <v>127</v>
          </cell>
          <cell r="M1377">
            <v>0</v>
          </cell>
          <cell r="N1377">
            <v>127</v>
          </cell>
          <cell r="O1377">
            <v>0</v>
          </cell>
          <cell r="P1377">
            <v>127</v>
          </cell>
          <cell r="Q1377">
            <v>0</v>
          </cell>
          <cell r="R1377">
            <v>127</v>
          </cell>
          <cell r="S1377">
            <v>0</v>
          </cell>
          <cell r="T1377">
            <v>127</v>
          </cell>
          <cell r="U1377">
            <v>0</v>
          </cell>
          <cell r="V1377">
            <v>127</v>
          </cell>
          <cell r="W1377">
            <v>0</v>
          </cell>
          <cell r="X1377">
            <v>127</v>
          </cell>
          <cell r="Y1377">
            <v>0</v>
          </cell>
          <cell r="Z1377">
            <v>127</v>
          </cell>
          <cell r="AA1377">
            <v>0</v>
          </cell>
          <cell r="AB1377">
            <v>0</v>
          </cell>
          <cell r="AC1377">
            <v>0</v>
          </cell>
          <cell r="AD1377">
            <v>2.4E-2</v>
          </cell>
          <cell r="AE1377">
            <v>0</v>
          </cell>
          <cell r="AF1377">
            <v>0</v>
          </cell>
          <cell r="AG1377">
            <v>0</v>
          </cell>
          <cell r="AH1377">
            <v>0</v>
          </cell>
          <cell r="AI1377">
            <v>0</v>
          </cell>
          <cell r="AJ1377">
            <v>0</v>
          </cell>
          <cell r="AK1377">
            <v>0</v>
          </cell>
          <cell r="AL1377">
            <v>0</v>
          </cell>
        </row>
        <row r="1378">
          <cell r="E1378" t="str">
            <v>釦電話 0.4-30Pr</v>
          </cell>
          <cell r="F1378" t="str">
            <v>ｍ</v>
          </cell>
          <cell r="G1378">
            <v>0</v>
          </cell>
          <cell r="H1378">
            <v>153</v>
          </cell>
          <cell r="I1378">
            <v>0</v>
          </cell>
          <cell r="J1378">
            <v>153</v>
          </cell>
          <cell r="K1378">
            <v>0</v>
          </cell>
          <cell r="L1378">
            <v>153</v>
          </cell>
          <cell r="M1378">
            <v>0</v>
          </cell>
          <cell r="N1378">
            <v>153</v>
          </cell>
          <cell r="O1378">
            <v>0</v>
          </cell>
          <cell r="P1378">
            <v>153</v>
          </cell>
          <cell r="Q1378">
            <v>0</v>
          </cell>
          <cell r="R1378">
            <v>153</v>
          </cell>
          <cell r="S1378">
            <v>0</v>
          </cell>
          <cell r="T1378">
            <v>153</v>
          </cell>
          <cell r="U1378">
            <v>0</v>
          </cell>
          <cell r="V1378">
            <v>153</v>
          </cell>
          <cell r="W1378">
            <v>0</v>
          </cell>
          <cell r="X1378">
            <v>153</v>
          </cell>
          <cell r="Y1378">
            <v>0</v>
          </cell>
          <cell r="Z1378">
            <v>153</v>
          </cell>
          <cell r="AA1378">
            <v>0</v>
          </cell>
          <cell r="AB1378">
            <v>0</v>
          </cell>
          <cell r="AC1378">
            <v>0</v>
          </cell>
          <cell r="AD1378">
            <v>2.9000000000000001E-2</v>
          </cell>
          <cell r="AE1378">
            <v>0</v>
          </cell>
          <cell r="AF1378">
            <v>0</v>
          </cell>
          <cell r="AG1378">
            <v>0</v>
          </cell>
          <cell r="AH1378">
            <v>0</v>
          </cell>
          <cell r="AI1378">
            <v>0</v>
          </cell>
          <cell r="AJ1378">
            <v>0</v>
          </cell>
          <cell r="AK1378">
            <v>0</v>
          </cell>
          <cell r="AL1378">
            <v>0</v>
          </cell>
        </row>
        <row r="1379">
          <cell r="E1379" t="str">
            <v>電子釦 0.4- 2Pr</v>
          </cell>
          <cell r="F1379" t="str">
            <v>ｍ</v>
          </cell>
          <cell r="G1379">
            <v>0</v>
          </cell>
          <cell r="H1379">
            <v>35</v>
          </cell>
          <cell r="I1379">
            <v>0</v>
          </cell>
          <cell r="J1379">
            <v>35</v>
          </cell>
          <cell r="K1379">
            <v>0</v>
          </cell>
          <cell r="L1379">
            <v>35</v>
          </cell>
          <cell r="M1379">
            <v>0</v>
          </cell>
          <cell r="N1379">
            <v>35</v>
          </cell>
          <cell r="O1379">
            <v>0</v>
          </cell>
          <cell r="P1379">
            <v>35</v>
          </cell>
          <cell r="Q1379">
            <v>0</v>
          </cell>
          <cell r="R1379">
            <v>35</v>
          </cell>
          <cell r="S1379">
            <v>0</v>
          </cell>
          <cell r="T1379">
            <v>35</v>
          </cell>
          <cell r="U1379">
            <v>0</v>
          </cell>
          <cell r="V1379">
            <v>35</v>
          </cell>
          <cell r="W1379">
            <v>0</v>
          </cell>
          <cell r="X1379">
            <v>35</v>
          </cell>
          <cell r="Y1379">
            <v>0</v>
          </cell>
          <cell r="Z1379">
            <v>35</v>
          </cell>
          <cell r="AA1379">
            <v>0</v>
          </cell>
          <cell r="AB1379">
            <v>0</v>
          </cell>
          <cell r="AC1379">
            <v>0</v>
          </cell>
          <cell r="AD1379">
            <v>1.4E-2</v>
          </cell>
          <cell r="AE1379">
            <v>0</v>
          </cell>
          <cell r="AF1379">
            <v>0</v>
          </cell>
          <cell r="AG1379">
            <v>0</v>
          </cell>
          <cell r="AH1379">
            <v>0</v>
          </cell>
          <cell r="AI1379">
            <v>0</v>
          </cell>
          <cell r="AJ1379">
            <v>0</v>
          </cell>
          <cell r="AK1379">
            <v>0</v>
          </cell>
          <cell r="AL1379">
            <v>0</v>
          </cell>
        </row>
        <row r="1380">
          <cell r="E1380" t="str">
            <v>電子釦 0.4- 3Pr</v>
          </cell>
          <cell r="F1380" t="str">
            <v>ｍ</v>
          </cell>
          <cell r="G1380">
            <v>0</v>
          </cell>
          <cell r="H1380">
            <v>41.4</v>
          </cell>
          <cell r="I1380">
            <v>0</v>
          </cell>
          <cell r="J1380">
            <v>41.4</v>
          </cell>
          <cell r="K1380">
            <v>0</v>
          </cell>
          <cell r="L1380">
            <v>41.4</v>
          </cell>
          <cell r="M1380">
            <v>0</v>
          </cell>
          <cell r="N1380">
            <v>41.4</v>
          </cell>
          <cell r="O1380">
            <v>0</v>
          </cell>
          <cell r="P1380">
            <v>41.4</v>
          </cell>
          <cell r="Q1380">
            <v>0</v>
          </cell>
          <cell r="R1380">
            <v>41.4</v>
          </cell>
          <cell r="S1380">
            <v>0</v>
          </cell>
          <cell r="T1380">
            <v>41.4</v>
          </cell>
          <cell r="U1380">
            <v>0</v>
          </cell>
          <cell r="V1380">
            <v>41.4</v>
          </cell>
          <cell r="W1380">
            <v>0</v>
          </cell>
          <cell r="X1380">
            <v>41.4</v>
          </cell>
          <cell r="Y1380">
            <v>0</v>
          </cell>
          <cell r="Z1380">
            <v>41.4</v>
          </cell>
          <cell r="AA1380">
            <v>0</v>
          </cell>
          <cell r="AB1380">
            <v>0</v>
          </cell>
          <cell r="AC1380">
            <v>0</v>
          </cell>
          <cell r="AD1380">
            <v>1.4999999999999999E-2</v>
          </cell>
          <cell r="AE1380">
            <v>0</v>
          </cell>
          <cell r="AF1380">
            <v>0</v>
          </cell>
          <cell r="AG1380">
            <v>0</v>
          </cell>
          <cell r="AH1380">
            <v>0</v>
          </cell>
          <cell r="AI1380">
            <v>0</v>
          </cell>
          <cell r="AJ1380">
            <v>0</v>
          </cell>
          <cell r="AK1380">
            <v>0</v>
          </cell>
          <cell r="AL1380">
            <v>0</v>
          </cell>
        </row>
        <row r="1381">
          <cell r="E1381" t="str">
            <v>電子釦 0.4- 4Pr</v>
          </cell>
          <cell r="F1381" t="str">
            <v>ｍ</v>
          </cell>
          <cell r="G1381">
            <v>0</v>
          </cell>
          <cell r="H1381">
            <v>46.6</v>
          </cell>
          <cell r="I1381">
            <v>0</v>
          </cell>
          <cell r="J1381">
            <v>46.6</v>
          </cell>
          <cell r="K1381">
            <v>0</v>
          </cell>
          <cell r="L1381">
            <v>46.6</v>
          </cell>
          <cell r="M1381">
            <v>0</v>
          </cell>
          <cell r="N1381">
            <v>46.6</v>
          </cell>
          <cell r="O1381">
            <v>0</v>
          </cell>
          <cell r="P1381">
            <v>46.6</v>
          </cell>
          <cell r="Q1381">
            <v>0</v>
          </cell>
          <cell r="R1381">
            <v>46.6</v>
          </cell>
          <cell r="S1381">
            <v>0</v>
          </cell>
          <cell r="T1381">
            <v>46.6</v>
          </cell>
          <cell r="U1381">
            <v>0</v>
          </cell>
          <cell r="V1381">
            <v>46.6</v>
          </cell>
          <cell r="W1381">
            <v>0</v>
          </cell>
          <cell r="X1381">
            <v>46.6</v>
          </cell>
          <cell r="Y1381">
            <v>0</v>
          </cell>
          <cell r="Z1381">
            <v>46.6</v>
          </cell>
          <cell r="AA1381">
            <v>0</v>
          </cell>
          <cell r="AB1381">
            <v>0</v>
          </cell>
          <cell r="AC1381">
            <v>0</v>
          </cell>
          <cell r="AD1381">
            <v>1.6E-2</v>
          </cell>
          <cell r="AE1381">
            <v>0</v>
          </cell>
          <cell r="AF1381">
            <v>0</v>
          </cell>
          <cell r="AG1381">
            <v>0</v>
          </cell>
          <cell r="AH1381">
            <v>0</v>
          </cell>
          <cell r="AI1381">
            <v>0</v>
          </cell>
          <cell r="AJ1381">
            <v>0</v>
          </cell>
          <cell r="AK1381">
            <v>0</v>
          </cell>
          <cell r="AL1381">
            <v>0</v>
          </cell>
        </row>
        <row r="1382">
          <cell r="E1382" t="str">
            <v>電子釦 0.4-10Pr</v>
          </cell>
          <cell r="F1382" t="str">
            <v>ｍ</v>
          </cell>
          <cell r="G1382">
            <v>0</v>
          </cell>
          <cell r="H1382">
            <v>135</v>
          </cell>
          <cell r="I1382">
            <v>0</v>
          </cell>
          <cell r="J1382">
            <v>135</v>
          </cell>
          <cell r="K1382">
            <v>0</v>
          </cell>
          <cell r="L1382">
            <v>135</v>
          </cell>
          <cell r="M1382">
            <v>0</v>
          </cell>
          <cell r="N1382">
            <v>135</v>
          </cell>
          <cell r="O1382">
            <v>0</v>
          </cell>
          <cell r="P1382">
            <v>135</v>
          </cell>
          <cell r="Q1382">
            <v>0</v>
          </cell>
          <cell r="R1382">
            <v>135</v>
          </cell>
          <cell r="S1382">
            <v>0</v>
          </cell>
          <cell r="T1382">
            <v>135</v>
          </cell>
          <cell r="U1382">
            <v>0</v>
          </cell>
          <cell r="V1382">
            <v>135</v>
          </cell>
          <cell r="W1382">
            <v>0</v>
          </cell>
          <cell r="X1382">
            <v>135</v>
          </cell>
          <cell r="Y1382">
            <v>0</v>
          </cell>
          <cell r="Z1382">
            <v>135</v>
          </cell>
          <cell r="AA1382">
            <v>0</v>
          </cell>
          <cell r="AB1382">
            <v>0</v>
          </cell>
          <cell r="AC1382">
            <v>0</v>
          </cell>
          <cell r="AD1382">
            <v>0.02</v>
          </cell>
          <cell r="AE1382">
            <v>0</v>
          </cell>
          <cell r="AF1382">
            <v>0</v>
          </cell>
          <cell r="AG1382">
            <v>0</v>
          </cell>
          <cell r="AH1382">
            <v>0</v>
          </cell>
          <cell r="AI1382">
            <v>0</v>
          </cell>
          <cell r="AJ1382">
            <v>0</v>
          </cell>
          <cell r="AK1382">
            <v>0</v>
          </cell>
          <cell r="AL1382">
            <v>0</v>
          </cell>
        </row>
        <row r="1383">
          <cell r="E1383" t="str">
            <v>電子釦 0.4-20Pr</v>
          </cell>
          <cell r="F1383" t="str">
            <v>ｍ</v>
          </cell>
          <cell r="G1383">
            <v>0</v>
          </cell>
          <cell r="H1383">
            <v>186</v>
          </cell>
          <cell r="I1383">
            <v>0</v>
          </cell>
          <cell r="J1383">
            <v>186</v>
          </cell>
          <cell r="K1383">
            <v>0</v>
          </cell>
          <cell r="L1383">
            <v>186</v>
          </cell>
          <cell r="M1383">
            <v>0</v>
          </cell>
          <cell r="N1383">
            <v>186</v>
          </cell>
          <cell r="O1383">
            <v>0</v>
          </cell>
          <cell r="P1383">
            <v>186</v>
          </cell>
          <cell r="Q1383">
            <v>0</v>
          </cell>
          <cell r="R1383">
            <v>186</v>
          </cell>
          <cell r="S1383">
            <v>0</v>
          </cell>
          <cell r="T1383">
            <v>186</v>
          </cell>
          <cell r="U1383">
            <v>0</v>
          </cell>
          <cell r="V1383">
            <v>186</v>
          </cell>
          <cell r="W1383">
            <v>0</v>
          </cell>
          <cell r="X1383">
            <v>186</v>
          </cell>
          <cell r="Y1383">
            <v>0</v>
          </cell>
          <cell r="Z1383">
            <v>186</v>
          </cell>
          <cell r="AA1383">
            <v>0</v>
          </cell>
          <cell r="AB1383">
            <v>0</v>
          </cell>
          <cell r="AC1383">
            <v>0</v>
          </cell>
          <cell r="AD1383">
            <v>2.4E-2</v>
          </cell>
          <cell r="AE1383">
            <v>0</v>
          </cell>
          <cell r="AF1383">
            <v>0</v>
          </cell>
          <cell r="AG1383">
            <v>0</v>
          </cell>
          <cell r="AH1383">
            <v>0</v>
          </cell>
          <cell r="AI1383">
            <v>0</v>
          </cell>
          <cell r="AJ1383">
            <v>0</v>
          </cell>
          <cell r="AK1383">
            <v>0</v>
          </cell>
          <cell r="AL1383">
            <v>0</v>
          </cell>
        </row>
        <row r="1384">
          <cell r="E1384" t="str">
            <v>TIVF 0.65-2C</v>
          </cell>
          <cell r="F1384" t="str">
            <v>ｍ</v>
          </cell>
          <cell r="G1384">
            <v>0</v>
          </cell>
          <cell r="H1384">
            <v>16</v>
          </cell>
          <cell r="I1384">
            <v>0</v>
          </cell>
          <cell r="J1384">
            <v>16</v>
          </cell>
          <cell r="K1384">
            <v>0</v>
          </cell>
          <cell r="L1384">
            <v>16</v>
          </cell>
          <cell r="M1384">
            <v>0</v>
          </cell>
          <cell r="N1384">
            <v>16</v>
          </cell>
          <cell r="O1384">
            <v>0</v>
          </cell>
          <cell r="P1384">
            <v>16</v>
          </cell>
          <cell r="Q1384">
            <v>0</v>
          </cell>
          <cell r="R1384">
            <v>16</v>
          </cell>
          <cell r="S1384">
            <v>0</v>
          </cell>
          <cell r="T1384">
            <v>16</v>
          </cell>
          <cell r="U1384">
            <v>0</v>
          </cell>
          <cell r="V1384">
            <v>16</v>
          </cell>
          <cell r="W1384">
            <v>0</v>
          </cell>
          <cell r="X1384">
            <v>16</v>
          </cell>
          <cell r="Y1384">
            <v>0</v>
          </cell>
          <cell r="Z1384">
            <v>16</v>
          </cell>
          <cell r="AA1384">
            <v>0</v>
          </cell>
          <cell r="AB1384">
            <v>0</v>
          </cell>
          <cell r="AC1384">
            <v>0</v>
          </cell>
          <cell r="AD1384">
            <v>1.2999999999999999E-2</v>
          </cell>
          <cell r="AE1384">
            <v>0</v>
          </cell>
          <cell r="AF1384">
            <v>0</v>
          </cell>
          <cell r="AG1384">
            <v>0</v>
          </cell>
          <cell r="AH1384">
            <v>0</v>
          </cell>
          <cell r="AI1384">
            <v>0</v>
          </cell>
          <cell r="AJ1384">
            <v>0</v>
          </cell>
          <cell r="AK1384">
            <v>0</v>
          </cell>
          <cell r="AL1384">
            <v>0</v>
          </cell>
        </row>
        <row r="1385">
          <cell r="E1385" t="str">
            <v>TIVF 0.65-3C</v>
          </cell>
          <cell r="F1385" t="str">
            <v>ｍ</v>
          </cell>
          <cell r="G1385">
            <v>0</v>
          </cell>
          <cell r="H1385">
            <v>19.8</v>
          </cell>
          <cell r="I1385">
            <v>0</v>
          </cell>
          <cell r="J1385">
            <v>19.8</v>
          </cell>
          <cell r="K1385">
            <v>0</v>
          </cell>
          <cell r="L1385">
            <v>19.8</v>
          </cell>
          <cell r="M1385">
            <v>0</v>
          </cell>
          <cell r="N1385">
            <v>19.8</v>
          </cell>
          <cell r="O1385">
            <v>0</v>
          </cell>
          <cell r="P1385">
            <v>19.8</v>
          </cell>
          <cell r="Q1385">
            <v>0</v>
          </cell>
          <cell r="R1385">
            <v>19.8</v>
          </cell>
          <cell r="S1385">
            <v>0</v>
          </cell>
          <cell r="T1385">
            <v>19.8</v>
          </cell>
          <cell r="U1385">
            <v>0</v>
          </cell>
          <cell r="V1385">
            <v>19.8</v>
          </cell>
          <cell r="W1385">
            <v>0</v>
          </cell>
          <cell r="X1385">
            <v>19.8</v>
          </cell>
          <cell r="Y1385">
            <v>0</v>
          </cell>
          <cell r="Z1385">
            <v>19.8</v>
          </cell>
          <cell r="AA1385">
            <v>0</v>
          </cell>
          <cell r="AB1385">
            <v>0</v>
          </cell>
          <cell r="AC1385">
            <v>0</v>
          </cell>
          <cell r="AD1385">
            <v>1.4E-2</v>
          </cell>
          <cell r="AE1385">
            <v>0</v>
          </cell>
          <cell r="AF1385">
            <v>0</v>
          </cell>
          <cell r="AG1385">
            <v>0</v>
          </cell>
          <cell r="AH1385">
            <v>0</v>
          </cell>
          <cell r="AI1385">
            <v>0</v>
          </cell>
          <cell r="AJ1385">
            <v>0</v>
          </cell>
          <cell r="AK1385">
            <v>0</v>
          </cell>
          <cell r="AL1385">
            <v>0</v>
          </cell>
        </row>
        <row r="1386">
          <cell r="E1386" t="str">
            <v>TIVF 0.8-2C</v>
          </cell>
          <cell r="F1386" t="str">
            <v>ｍ</v>
          </cell>
          <cell r="G1386">
            <v>0</v>
          </cell>
          <cell r="H1386">
            <v>18.2</v>
          </cell>
          <cell r="I1386">
            <v>0</v>
          </cell>
          <cell r="J1386">
            <v>18.2</v>
          </cell>
          <cell r="K1386">
            <v>0</v>
          </cell>
          <cell r="L1386">
            <v>18.2</v>
          </cell>
          <cell r="M1386">
            <v>0</v>
          </cell>
          <cell r="N1386">
            <v>18.2</v>
          </cell>
          <cell r="O1386">
            <v>0</v>
          </cell>
          <cell r="P1386">
            <v>18.2</v>
          </cell>
          <cell r="Q1386">
            <v>0</v>
          </cell>
          <cell r="R1386">
            <v>18.2</v>
          </cell>
          <cell r="S1386">
            <v>0</v>
          </cell>
          <cell r="T1386">
            <v>18.2</v>
          </cell>
          <cell r="U1386">
            <v>0</v>
          </cell>
          <cell r="V1386">
            <v>18.2</v>
          </cell>
          <cell r="W1386">
            <v>0</v>
          </cell>
          <cell r="X1386">
            <v>18.2</v>
          </cell>
          <cell r="Y1386">
            <v>0</v>
          </cell>
          <cell r="Z1386">
            <v>18.2</v>
          </cell>
          <cell r="AA1386">
            <v>0</v>
          </cell>
          <cell r="AB1386">
            <v>0</v>
          </cell>
          <cell r="AC1386">
            <v>0</v>
          </cell>
          <cell r="AD1386">
            <v>1.7000000000000001E-2</v>
          </cell>
          <cell r="AE1386">
            <v>0</v>
          </cell>
          <cell r="AF1386">
            <v>0</v>
          </cell>
          <cell r="AG1386">
            <v>0</v>
          </cell>
          <cell r="AH1386">
            <v>0</v>
          </cell>
          <cell r="AI1386">
            <v>0</v>
          </cell>
          <cell r="AJ1386">
            <v>0</v>
          </cell>
          <cell r="AK1386">
            <v>0</v>
          </cell>
          <cell r="AL1386">
            <v>0</v>
          </cell>
        </row>
        <row r="1387">
          <cell r="E1387" t="str">
            <v>TIVF 0.8-3C</v>
          </cell>
          <cell r="F1387" t="str">
            <v>ｍ</v>
          </cell>
          <cell r="G1387">
            <v>0</v>
          </cell>
          <cell r="H1387">
            <v>22.9</v>
          </cell>
          <cell r="I1387">
            <v>0</v>
          </cell>
          <cell r="J1387">
            <v>22.9</v>
          </cell>
          <cell r="K1387">
            <v>0</v>
          </cell>
          <cell r="L1387">
            <v>22.9</v>
          </cell>
          <cell r="M1387">
            <v>0</v>
          </cell>
          <cell r="N1387">
            <v>22.9</v>
          </cell>
          <cell r="O1387">
            <v>0</v>
          </cell>
          <cell r="P1387">
            <v>22.9</v>
          </cell>
          <cell r="Q1387">
            <v>0</v>
          </cell>
          <cell r="R1387">
            <v>22.9</v>
          </cell>
          <cell r="S1387">
            <v>0</v>
          </cell>
          <cell r="T1387">
            <v>22.9</v>
          </cell>
          <cell r="U1387">
            <v>0</v>
          </cell>
          <cell r="V1387">
            <v>22.9</v>
          </cell>
          <cell r="W1387">
            <v>0</v>
          </cell>
          <cell r="X1387">
            <v>22.9</v>
          </cell>
          <cell r="Y1387">
            <v>0</v>
          </cell>
          <cell r="Z1387">
            <v>22.9</v>
          </cell>
          <cell r="AA1387">
            <v>0</v>
          </cell>
          <cell r="AB1387">
            <v>0</v>
          </cell>
          <cell r="AC1387">
            <v>0</v>
          </cell>
          <cell r="AD1387">
            <v>1.7999999999999999E-2</v>
          </cell>
          <cell r="AE1387">
            <v>0</v>
          </cell>
          <cell r="AF1387">
            <v>0</v>
          </cell>
          <cell r="AG1387">
            <v>0</v>
          </cell>
          <cell r="AH1387">
            <v>0</v>
          </cell>
          <cell r="AI1387">
            <v>0</v>
          </cell>
          <cell r="AJ1387">
            <v>0</v>
          </cell>
          <cell r="AK1387">
            <v>0</v>
          </cell>
          <cell r="AL1387">
            <v>0</v>
          </cell>
        </row>
        <row r="1388">
          <cell r="E1388" t="str">
            <v>3C-2V</v>
          </cell>
          <cell r="F1388" t="str">
            <v>ｍ</v>
          </cell>
          <cell r="G1388">
            <v>0</v>
          </cell>
          <cell r="H1388">
            <v>51.3</v>
          </cell>
          <cell r="I1388">
            <v>0</v>
          </cell>
          <cell r="J1388">
            <v>51.3</v>
          </cell>
          <cell r="K1388">
            <v>0</v>
          </cell>
          <cell r="L1388">
            <v>51.3</v>
          </cell>
          <cell r="M1388">
            <v>0</v>
          </cell>
          <cell r="N1388">
            <v>51.3</v>
          </cell>
          <cell r="O1388">
            <v>0</v>
          </cell>
          <cell r="P1388">
            <v>51.3</v>
          </cell>
          <cell r="Q1388">
            <v>0</v>
          </cell>
          <cell r="R1388">
            <v>51.3</v>
          </cell>
          <cell r="S1388">
            <v>0</v>
          </cell>
          <cell r="T1388">
            <v>51.3</v>
          </cell>
          <cell r="U1388">
            <v>0</v>
          </cell>
          <cell r="V1388">
            <v>51.3</v>
          </cell>
          <cell r="W1388">
            <v>0</v>
          </cell>
          <cell r="X1388">
            <v>51.3</v>
          </cell>
          <cell r="Y1388">
            <v>0</v>
          </cell>
          <cell r="Z1388">
            <v>51.3</v>
          </cell>
          <cell r="AA1388">
            <v>0</v>
          </cell>
          <cell r="AB1388">
            <v>0</v>
          </cell>
          <cell r="AC1388">
            <v>0</v>
          </cell>
          <cell r="AD1388">
            <v>1.7000000000000001E-2</v>
          </cell>
          <cell r="AE1388">
            <v>0</v>
          </cell>
          <cell r="AF1388">
            <v>0</v>
          </cell>
          <cell r="AG1388">
            <v>0</v>
          </cell>
          <cell r="AH1388">
            <v>0</v>
          </cell>
          <cell r="AI1388">
            <v>0</v>
          </cell>
          <cell r="AJ1388">
            <v>0</v>
          </cell>
          <cell r="AK1388">
            <v>0</v>
          </cell>
          <cell r="AL1388">
            <v>0</v>
          </cell>
        </row>
        <row r="1389">
          <cell r="E1389" t="str">
            <v>3C-2W</v>
          </cell>
          <cell r="F1389" t="str">
            <v>ｍ</v>
          </cell>
          <cell r="G1389">
            <v>0</v>
          </cell>
          <cell r="H1389">
            <v>110</v>
          </cell>
          <cell r="I1389">
            <v>0</v>
          </cell>
          <cell r="J1389">
            <v>110</v>
          </cell>
          <cell r="K1389">
            <v>0</v>
          </cell>
          <cell r="L1389">
            <v>110</v>
          </cell>
          <cell r="M1389">
            <v>0</v>
          </cell>
          <cell r="N1389">
            <v>110</v>
          </cell>
          <cell r="O1389">
            <v>0</v>
          </cell>
          <cell r="P1389">
            <v>110</v>
          </cell>
          <cell r="Q1389">
            <v>0</v>
          </cell>
          <cell r="R1389">
            <v>110</v>
          </cell>
          <cell r="S1389">
            <v>0</v>
          </cell>
          <cell r="T1389">
            <v>110</v>
          </cell>
          <cell r="U1389">
            <v>0</v>
          </cell>
          <cell r="V1389">
            <v>110</v>
          </cell>
          <cell r="W1389">
            <v>0</v>
          </cell>
          <cell r="X1389">
            <v>110</v>
          </cell>
          <cell r="Y1389">
            <v>0</v>
          </cell>
          <cell r="Z1389">
            <v>110</v>
          </cell>
          <cell r="AA1389">
            <v>0</v>
          </cell>
          <cell r="AB1389">
            <v>0</v>
          </cell>
          <cell r="AC1389">
            <v>0</v>
          </cell>
          <cell r="AD1389">
            <v>1.7000000000000001E-2</v>
          </cell>
          <cell r="AE1389">
            <v>0</v>
          </cell>
          <cell r="AF1389">
            <v>0</v>
          </cell>
          <cell r="AG1389">
            <v>0</v>
          </cell>
          <cell r="AH1389">
            <v>0</v>
          </cell>
          <cell r="AI1389">
            <v>0</v>
          </cell>
          <cell r="AJ1389">
            <v>0</v>
          </cell>
          <cell r="AK1389">
            <v>0</v>
          </cell>
          <cell r="AL1389">
            <v>0</v>
          </cell>
        </row>
        <row r="1390">
          <cell r="E1390" t="str">
            <v>5C-2V</v>
          </cell>
          <cell r="F1390" t="str">
            <v>ｍ</v>
          </cell>
          <cell r="G1390">
            <v>0</v>
          </cell>
          <cell r="H1390">
            <v>69.099999999999994</v>
          </cell>
          <cell r="I1390">
            <v>0</v>
          </cell>
          <cell r="J1390">
            <v>69.099999999999994</v>
          </cell>
          <cell r="K1390">
            <v>0</v>
          </cell>
          <cell r="L1390">
            <v>69.099999999999994</v>
          </cell>
          <cell r="M1390">
            <v>0</v>
          </cell>
          <cell r="N1390">
            <v>69.099999999999994</v>
          </cell>
          <cell r="O1390">
            <v>0</v>
          </cell>
          <cell r="P1390">
            <v>69.099999999999994</v>
          </cell>
          <cell r="Q1390">
            <v>0</v>
          </cell>
          <cell r="R1390">
            <v>69.099999999999994</v>
          </cell>
          <cell r="S1390">
            <v>0</v>
          </cell>
          <cell r="T1390">
            <v>69.099999999999994</v>
          </cell>
          <cell r="U1390">
            <v>0</v>
          </cell>
          <cell r="V1390">
            <v>69.099999999999994</v>
          </cell>
          <cell r="W1390">
            <v>0</v>
          </cell>
          <cell r="X1390">
            <v>69.099999999999994</v>
          </cell>
          <cell r="Y1390">
            <v>0</v>
          </cell>
          <cell r="Z1390">
            <v>69.099999999999994</v>
          </cell>
          <cell r="AA1390">
            <v>0</v>
          </cell>
          <cell r="AB1390">
            <v>0</v>
          </cell>
          <cell r="AC1390">
            <v>0</v>
          </cell>
          <cell r="AD1390">
            <v>1.7000000000000001E-2</v>
          </cell>
          <cell r="AE1390">
            <v>0</v>
          </cell>
          <cell r="AF1390">
            <v>0</v>
          </cell>
          <cell r="AG1390">
            <v>0</v>
          </cell>
          <cell r="AH1390">
            <v>0</v>
          </cell>
          <cell r="AI1390">
            <v>0</v>
          </cell>
          <cell r="AJ1390">
            <v>0</v>
          </cell>
          <cell r="AK1390">
            <v>0</v>
          </cell>
          <cell r="AL1390">
            <v>0</v>
          </cell>
        </row>
        <row r="1391">
          <cell r="E1391" t="str">
            <v>5C-2W</v>
          </cell>
          <cell r="F1391" t="str">
            <v>ｍ</v>
          </cell>
          <cell r="G1391">
            <v>0</v>
          </cell>
          <cell r="H1391">
            <v>139</v>
          </cell>
          <cell r="I1391">
            <v>0</v>
          </cell>
          <cell r="J1391">
            <v>139</v>
          </cell>
          <cell r="K1391">
            <v>0</v>
          </cell>
          <cell r="L1391">
            <v>139</v>
          </cell>
          <cell r="M1391">
            <v>0</v>
          </cell>
          <cell r="N1391">
            <v>139</v>
          </cell>
          <cell r="O1391">
            <v>0</v>
          </cell>
          <cell r="P1391">
            <v>139</v>
          </cell>
          <cell r="Q1391">
            <v>0</v>
          </cell>
          <cell r="R1391">
            <v>139</v>
          </cell>
          <cell r="S1391">
            <v>0</v>
          </cell>
          <cell r="T1391">
            <v>139</v>
          </cell>
          <cell r="U1391">
            <v>0</v>
          </cell>
          <cell r="V1391">
            <v>139</v>
          </cell>
          <cell r="W1391">
            <v>0</v>
          </cell>
          <cell r="X1391">
            <v>139</v>
          </cell>
          <cell r="Y1391">
            <v>0</v>
          </cell>
          <cell r="Z1391">
            <v>139</v>
          </cell>
          <cell r="AA1391">
            <v>0</v>
          </cell>
          <cell r="AB1391">
            <v>0</v>
          </cell>
          <cell r="AC1391">
            <v>0</v>
          </cell>
          <cell r="AD1391">
            <v>0.02</v>
          </cell>
          <cell r="AE1391">
            <v>0</v>
          </cell>
          <cell r="AF1391">
            <v>0</v>
          </cell>
          <cell r="AG1391">
            <v>0</v>
          </cell>
          <cell r="AH1391">
            <v>0</v>
          </cell>
          <cell r="AI1391">
            <v>0</v>
          </cell>
          <cell r="AJ1391">
            <v>0</v>
          </cell>
          <cell r="AK1391">
            <v>0</v>
          </cell>
          <cell r="AL1391">
            <v>0</v>
          </cell>
        </row>
        <row r="1392">
          <cell r="E1392" t="str">
            <v>7C-2V</v>
          </cell>
          <cell r="F1392" t="str">
            <v>ｍ</v>
          </cell>
          <cell r="G1392">
            <v>0</v>
          </cell>
          <cell r="H1392">
            <v>165</v>
          </cell>
          <cell r="I1392">
            <v>0</v>
          </cell>
          <cell r="J1392">
            <v>165</v>
          </cell>
          <cell r="K1392">
            <v>0</v>
          </cell>
          <cell r="L1392">
            <v>165</v>
          </cell>
          <cell r="M1392">
            <v>0</v>
          </cell>
          <cell r="N1392">
            <v>165</v>
          </cell>
          <cell r="O1392">
            <v>0</v>
          </cell>
          <cell r="P1392">
            <v>165</v>
          </cell>
          <cell r="Q1392">
            <v>0</v>
          </cell>
          <cell r="R1392">
            <v>165</v>
          </cell>
          <cell r="S1392">
            <v>0</v>
          </cell>
          <cell r="T1392">
            <v>165</v>
          </cell>
          <cell r="U1392">
            <v>0</v>
          </cell>
          <cell r="V1392">
            <v>165</v>
          </cell>
          <cell r="W1392">
            <v>0</v>
          </cell>
          <cell r="X1392">
            <v>165</v>
          </cell>
          <cell r="Y1392">
            <v>0</v>
          </cell>
          <cell r="Z1392">
            <v>165</v>
          </cell>
          <cell r="AA1392">
            <v>0</v>
          </cell>
          <cell r="AB1392">
            <v>0</v>
          </cell>
          <cell r="AC1392">
            <v>0</v>
          </cell>
          <cell r="AD1392">
            <v>0.02</v>
          </cell>
          <cell r="AE1392">
            <v>0</v>
          </cell>
          <cell r="AF1392">
            <v>0</v>
          </cell>
          <cell r="AG1392">
            <v>0</v>
          </cell>
          <cell r="AH1392">
            <v>0</v>
          </cell>
          <cell r="AI1392">
            <v>0</v>
          </cell>
          <cell r="AJ1392">
            <v>0</v>
          </cell>
          <cell r="AK1392">
            <v>0</v>
          </cell>
          <cell r="AL1392">
            <v>0</v>
          </cell>
        </row>
        <row r="1393">
          <cell r="E1393" t="str">
            <v>10C-2V</v>
          </cell>
          <cell r="F1393" t="str">
            <v>ｍ</v>
          </cell>
          <cell r="G1393">
            <v>0</v>
          </cell>
          <cell r="H1393">
            <v>240</v>
          </cell>
          <cell r="I1393">
            <v>0</v>
          </cell>
          <cell r="J1393">
            <v>240</v>
          </cell>
          <cell r="K1393">
            <v>0</v>
          </cell>
          <cell r="L1393">
            <v>240</v>
          </cell>
          <cell r="M1393">
            <v>0</v>
          </cell>
          <cell r="N1393">
            <v>240</v>
          </cell>
          <cell r="O1393">
            <v>0</v>
          </cell>
          <cell r="P1393">
            <v>240</v>
          </cell>
          <cell r="Q1393">
            <v>0</v>
          </cell>
          <cell r="R1393">
            <v>240</v>
          </cell>
          <cell r="S1393">
            <v>0</v>
          </cell>
          <cell r="T1393">
            <v>240</v>
          </cell>
          <cell r="U1393">
            <v>0</v>
          </cell>
          <cell r="V1393">
            <v>240</v>
          </cell>
          <cell r="W1393">
            <v>0</v>
          </cell>
          <cell r="X1393">
            <v>240</v>
          </cell>
          <cell r="Y1393">
            <v>0</v>
          </cell>
          <cell r="Z1393">
            <v>240</v>
          </cell>
          <cell r="AA1393">
            <v>0</v>
          </cell>
          <cell r="AB1393">
            <v>0</v>
          </cell>
          <cell r="AC1393">
            <v>0</v>
          </cell>
          <cell r="AD1393">
            <v>0.02</v>
          </cell>
          <cell r="AE1393">
            <v>0</v>
          </cell>
          <cell r="AF1393">
            <v>0</v>
          </cell>
          <cell r="AG1393">
            <v>0</v>
          </cell>
          <cell r="AH1393">
            <v>0</v>
          </cell>
          <cell r="AI1393">
            <v>0</v>
          </cell>
          <cell r="AJ1393">
            <v>0</v>
          </cell>
          <cell r="AK1393">
            <v>0</v>
          </cell>
          <cell r="AL1393">
            <v>0</v>
          </cell>
        </row>
        <row r="1394">
          <cell r="E1394" t="str">
            <v>10C-2W</v>
          </cell>
          <cell r="F1394" t="str">
            <v>ｍ</v>
          </cell>
          <cell r="G1394">
            <v>0</v>
          </cell>
          <cell r="H1394">
            <v>321</v>
          </cell>
          <cell r="I1394">
            <v>0</v>
          </cell>
          <cell r="J1394">
            <v>321</v>
          </cell>
          <cell r="K1394">
            <v>0</v>
          </cell>
          <cell r="L1394">
            <v>321</v>
          </cell>
          <cell r="M1394">
            <v>0</v>
          </cell>
          <cell r="N1394">
            <v>321</v>
          </cell>
          <cell r="O1394">
            <v>0</v>
          </cell>
          <cell r="P1394">
            <v>321</v>
          </cell>
          <cell r="Q1394">
            <v>0</v>
          </cell>
          <cell r="R1394">
            <v>321</v>
          </cell>
          <cell r="S1394">
            <v>0</v>
          </cell>
          <cell r="T1394">
            <v>321</v>
          </cell>
          <cell r="U1394">
            <v>0</v>
          </cell>
          <cell r="V1394">
            <v>321</v>
          </cell>
          <cell r="W1394">
            <v>0</v>
          </cell>
          <cell r="X1394">
            <v>321</v>
          </cell>
          <cell r="Y1394">
            <v>0</v>
          </cell>
          <cell r="Z1394">
            <v>321</v>
          </cell>
          <cell r="AA1394">
            <v>0</v>
          </cell>
          <cell r="AB1394">
            <v>0</v>
          </cell>
          <cell r="AC1394">
            <v>0</v>
          </cell>
          <cell r="AD1394">
            <v>2.7E-2</v>
          </cell>
          <cell r="AE1394">
            <v>0</v>
          </cell>
          <cell r="AF1394">
            <v>0</v>
          </cell>
          <cell r="AG1394">
            <v>0</v>
          </cell>
          <cell r="AH1394">
            <v>0</v>
          </cell>
          <cell r="AI1394">
            <v>0</v>
          </cell>
          <cell r="AJ1394">
            <v>0</v>
          </cell>
          <cell r="AK1394">
            <v>0</v>
          </cell>
          <cell r="AL1394">
            <v>0</v>
          </cell>
        </row>
        <row r="1395">
          <cell r="E1395" t="str">
            <v>3D-2V</v>
          </cell>
          <cell r="F1395" t="str">
            <v>ｍ</v>
          </cell>
          <cell r="G1395">
            <v>0</v>
          </cell>
          <cell r="H1395">
            <v>71.8</v>
          </cell>
          <cell r="I1395">
            <v>0</v>
          </cell>
          <cell r="J1395">
            <v>71.8</v>
          </cell>
          <cell r="K1395">
            <v>0</v>
          </cell>
          <cell r="L1395">
            <v>71.8</v>
          </cell>
          <cell r="M1395">
            <v>0</v>
          </cell>
          <cell r="N1395">
            <v>71.8</v>
          </cell>
          <cell r="O1395">
            <v>0</v>
          </cell>
          <cell r="P1395">
            <v>71.8</v>
          </cell>
          <cell r="Q1395">
            <v>0</v>
          </cell>
          <cell r="R1395">
            <v>71.8</v>
          </cell>
          <cell r="S1395">
            <v>0</v>
          </cell>
          <cell r="T1395">
            <v>71.8</v>
          </cell>
          <cell r="U1395">
            <v>0</v>
          </cell>
          <cell r="V1395">
            <v>71.8</v>
          </cell>
          <cell r="W1395">
            <v>0</v>
          </cell>
          <cell r="X1395">
            <v>71.8</v>
          </cell>
          <cell r="Y1395">
            <v>0</v>
          </cell>
          <cell r="Z1395">
            <v>71.8</v>
          </cell>
          <cell r="AA1395">
            <v>0</v>
          </cell>
          <cell r="AB1395">
            <v>0</v>
          </cell>
          <cell r="AC1395">
            <v>0</v>
          </cell>
          <cell r="AD1395">
            <v>3.4000000000000002E-2</v>
          </cell>
          <cell r="AE1395">
            <v>0</v>
          </cell>
          <cell r="AF1395">
            <v>0</v>
          </cell>
          <cell r="AG1395">
            <v>0</v>
          </cell>
          <cell r="AH1395">
            <v>0</v>
          </cell>
          <cell r="AI1395">
            <v>0</v>
          </cell>
          <cell r="AJ1395">
            <v>0</v>
          </cell>
          <cell r="AK1395">
            <v>0</v>
          </cell>
          <cell r="AL1395">
            <v>0</v>
          </cell>
        </row>
        <row r="1396">
          <cell r="E1396" t="str">
            <v>3D-2W</v>
          </cell>
          <cell r="F1396" t="str">
            <v>ｍ</v>
          </cell>
          <cell r="G1396">
            <v>0</v>
          </cell>
          <cell r="H1396">
            <v>128</v>
          </cell>
          <cell r="I1396">
            <v>0</v>
          </cell>
          <cell r="J1396">
            <v>128</v>
          </cell>
          <cell r="K1396">
            <v>0</v>
          </cell>
          <cell r="L1396">
            <v>128</v>
          </cell>
          <cell r="M1396">
            <v>0</v>
          </cell>
          <cell r="N1396">
            <v>128</v>
          </cell>
          <cell r="O1396">
            <v>0</v>
          </cell>
          <cell r="P1396">
            <v>128</v>
          </cell>
          <cell r="Q1396">
            <v>0</v>
          </cell>
          <cell r="R1396">
            <v>128</v>
          </cell>
          <cell r="S1396">
            <v>0</v>
          </cell>
          <cell r="T1396">
            <v>128</v>
          </cell>
          <cell r="U1396">
            <v>0</v>
          </cell>
          <cell r="V1396">
            <v>128</v>
          </cell>
          <cell r="W1396">
            <v>0</v>
          </cell>
          <cell r="X1396">
            <v>128</v>
          </cell>
          <cell r="Y1396">
            <v>0</v>
          </cell>
          <cell r="Z1396">
            <v>128</v>
          </cell>
          <cell r="AA1396">
            <v>0</v>
          </cell>
          <cell r="AB1396">
            <v>0</v>
          </cell>
          <cell r="AC1396">
            <v>0</v>
          </cell>
          <cell r="AD1396">
            <v>3.4000000000000002E-2</v>
          </cell>
          <cell r="AE1396">
            <v>0</v>
          </cell>
          <cell r="AF1396">
            <v>0</v>
          </cell>
          <cell r="AG1396">
            <v>0</v>
          </cell>
          <cell r="AH1396">
            <v>0</v>
          </cell>
          <cell r="AI1396">
            <v>0</v>
          </cell>
          <cell r="AJ1396">
            <v>0</v>
          </cell>
          <cell r="AK1396">
            <v>0</v>
          </cell>
          <cell r="AL1396">
            <v>0</v>
          </cell>
        </row>
        <row r="1397">
          <cell r="E1397" t="str">
            <v>5D-2V</v>
          </cell>
          <cell r="F1397" t="str">
            <v>ｍ</v>
          </cell>
          <cell r="G1397">
            <v>0</v>
          </cell>
          <cell r="H1397">
            <v>96.4</v>
          </cell>
          <cell r="I1397">
            <v>0</v>
          </cell>
          <cell r="J1397">
            <v>96.4</v>
          </cell>
          <cell r="K1397">
            <v>0</v>
          </cell>
          <cell r="L1397">
            <v>96.4</v>
          </cell>
          <cell r="M1397">
            <v>0</v>
          </cell>
          <cell r="N1397">
            <v>96.4</v>
          </cell>
          <cell r="O1397">
            <v>0</v>
          </cell>
          <cell r="P1397">
            <v>96.4</v>
          </cell>
          <cell r="Q1397">
            <v>0</v>
          </cell>
          <cell r="R1397">
            <v>96.4</v>
          </cell>
          <cell r="S1397">
            <v>0</v>
          </cell>
          <cell r="T1397">
            <v>96.4</v>
          </cell>
          <cell r="U1397">
            <v>0</v>
          </cell>
          <cell r="V1397">
            <v>96.4</v>
          </cell>
          <cell r="W1397">
            <v>0</v>
          </cell>
          <cell r="X1397">
            <v>96.4</v>
          </cell>
          <cell r="Y1397">
            <v>0</v>
          </cell>
          <cell r="Z1397">
            <v>96.4</v>
          </cell>
          <cell r="AA1397">
            <v>0</v>
          </cell>
          <cell r="AB1397">
            <v>0</v>
          </cell>
          <cell r="AC1397">
            <v>0</v>
          </cell>
          <cell r="AD1397">
            <v>1.7000000000000001E-2</v>
          </cell>
          <cell r="AE1397">
            <v>0</v>
          </cell>
          <cell r="AF1397">
            <v>0</v>
          </cell>
          <cell r="AG1397">
            <v>0</v>
          </cell>
          <cell r="AH1397">
            <v>0</v>
          </cell>
          <cell r="AI1397">
            <v>0</v>
          </cell>
          <cell r="AJ1397">
            <v>0</v>
          </cell>
          <cell r="AK1397">
            <v>0</v>
          </cell>
          <cell r="AL1397">
            <v>0</v>
          </cell>
        </row>
        <row r="1398">
          <cell r="E1398" t="str">
            <v>5D-2W</v>
          </cell>
          <cell r="F1398" t="str">
            <v>ｍ</v>
          </cell>
          <cell r="G1398">
            <v>0</v>
          </cell>
          <cell r="H1398">
            <v>147</v>
          </cell>
          <cell r="I1398">
            <v>0</v>
          </cell>
          <cell r="J1398">
            <v>147</v>
          </cell>
          <cell r="K1398">
            <v>0</v>
          </cell>
          <cell r="L1398">
            <v>147</v>
          </cell>
          <cell r="M1398">
            <v>0</v>
          </cell>
          <cell r="N1398">
            <v>147</v>
          </cell>
          <cell r="O1398">
            <v>0</v>
          </cell>
          <cell r="P1398">
            <v>147</v>
          </cell>
          <cell r="Q1398">
            <v>0</v>
          </cell>
          <cell r="R1398">
            <v>147</v>
          </cell>
          <cell r="S1398">
            <v>0</v>
          </cell>
          <cell r="T1398">
            <v>147</v>
          </cell>
          <cell r="U1398">
            <v>0</v>
          </cell>
          <cell r="V1398">
            <v>147</v>
          </cell>
          <cell r="W1398">
            <v>0</v>
          </cell>
          <cell r="X1398">
            <v>147</v>
          </cell>
          <cell r="Y1398">
            <v>0</v>
          </cell>
          <cell r="Z1398">
            <v>147</v>
          </cell>
          <cell r="AA1398">
            <v>0</v>
          </cell>
          <cell r="AB1398">
            <v>0</v>
          </cell>
          <cell r="AC1398">
            <v>0</v>
          </cell>
          <cell r="AD1398">
            <v>0.02</v>
          </cell>
          <cell r="AE1398">
            <v>0</v>
          </cell>
          <cell r="AF1398">
            <v>0</v>
          </cell>
          <cell r="AG1398">
            <v>0</v>
          </cell>
          <cell r="AH1398">
            <v>0</v>
          </cell>
          <cell r="AI1398">
            <v>0</v>
          </cell>
          <cell r="AJ1398">
            <v>0</v>
          </cell>
          <cell r="AK1398">
            <v>0</v>
          </cell>
          <cell r="AL1398">
            <v>0</v>
          </cell>
        </row>
        <row r="1399">
          <cell r="E1399" t="str">
            <v>8D-2V</v>
          </cell>
          <cell r="F1399" t="str">
            <v>ｍ</v>
          </cell>
          <cell r="G1399">
            <v>0</v>
          </cell>
          <cell r="H1399">
            <v>203</v>
          </cell>
          <cell r="I1399">
            <v>0</v>
          </cell>
          <cell r="J1399">
            <v>203</v>
          </cell>
          <cell r="K1399">
            <v>0</v>
          </cell>
          <cell r="L1399">
            <v>203</v>
          </cell>
          <cell r="M1399">
            <v>0</v>
          </cell>
          <cell r="N1399">
            <v>203</v>
          </cell>
          <cell r="O1399">
            <v>0</v>
          </cell>
          <cell r="P1399">
            <v>203</v>
          </cell>
          <cell r="Q1399">
            <v>0</v>
          </cell>
          <cell r="R1399">
            <v>203</v>
          </cell>
          <cell r="S1399">
            <v>0</v>
          </cell>
          <cell r="T1399">
            <v>203</v>
          </cell>
          <cell r="U1399">
            <v>0</v>
          </cell>
          <cell r="V1399">
            <v>203</v>
          </cell>
          <cell r="W1399">
            <v>0</v>
          </cell>
          <cell r="X1399">
            <v>203</v>
          </cell>
          <cell r="Y1399">
            <v>0</v>
          </cell>
          <cell r="Z1399">
            <v>203</v>
          </cell>
          <cell r="AA1399">
            <v>0</v>
          </cell>
          <cell r="AB1399">
            <v>0</v>
          </cell>
          <cell r="AC1399">
            <v>0</v>
          </cell>
          <cell r="AD1399">
            <v>0.02</v>
          </cell>
          <cell r="AE1399">
            <v>0</v>
          </cell>
          <cell r="AF1399">
            <v>0</v>
          </cell>
          <cell r="AG1399">
            <v>0</v>
          </cell>
          <cell r="AH1399">
            <v>0</v>
          </cell>
          <cell r="AI1399">
            <v>0</v>
          </cell>
          <cell r="AJ1399">
            <v>0</v>
          </cell>
          <cell r="AK1399">
            <v>0</v>
          </cell>
          <cell r="AL1399">
            <v>0</v>
          </cell>
        </row>
        <row r="1400">
          <cell r="E1400" t="str">
            <v>8D-2W</v>
          </cell>
          <cell r="F1400" t="str">
            <v>ｍ</v>
          </cell>
          <cell r="G1400">
            <v>0</v>
          </cell>
          <cell r="H1400">
            <v>298</v>
          </cell>
          <cell r="I1400">
            <v>0</v>
          </cell>
          <cell r="J1400">
            <v>298</v>
          </cell>
          <cell r="K1400">
            <v>0</v>
          </cell>
          <cell r="L1400">
            <v>298</v>
          </cell>
          <cell r="M1400">
            <v>0</v>
          </cell>
          <cell r="N1400">
            <v>298</v>
          </cell>
          <cell r="O1400">
            <v>0</v>
          </cell>
          <cell r="P1400">
            <v>298</v>
          </cell>
          <cell r="Q1400">
            <v>0</v>
          </cell>
          <cell r="R1400">
            <v>298</v>
          </cell>
          <cell r="S1400">
            <v>0</v>
          </cell>
          <cell r="T1400">
            <v>298</v>
          </cell>
          <cell r="U1400">
            <v>0</v>
          </cell>
          <cell r="V1400">
            <v>298</v>
          </cell>
          <cell r="W1400">
            <v>0</v>
          </cell>
          <cell r="X1400">
            <v>298</v>
          </cell>
          <cell r="Y1400">
            <v>0</v>
          </cell>
          <cell r="Z1400">
            <v>298</v>
          </cell>
          <cell r="AA1400">
            <v>0</v>
          </cell>
          <cell r="AB1400">
            <v>0</v>
          </cell>
          <cell r="AC1400">
            <v>0</v>
          </cell>
          <cell r="AD1400">
            <v>3.3000000000000002E-2</v>
          </cell>
          <cell r="AE1400">
            <v>0</v>
          </cell>
          <cell r="AF1400">
            <v>0</v>
          </cell>
          <cell r="AG1400">
            <v>0</v>
          </cell>
          <cell r="AH1400">
            <v>0</v>
          </cell>
          <cell r="AI1400">
            <v>0</v>
          </cell>
          <cell r="AJ1400">
            <v>0</v>
          </cell>
          <cell r="AK1400">
            <v>0</v>
          </cell>
          <cell r="AL1400">
            <v>0</v>
          </cell>
        </row>
        <row r="1401">
          <cell r="E1401" t="str">
            <v>10D-2V</v>
          </cell>
          <cell r="F1401" t="str">
            <v>ｍ</v>
          </cell>
          <cell r="G1401">
            <v>0</v>
          </cell>
          <cell r="H1401">
            <v>273</v>
          </cell>
          <cell r="I1401">
            <v>0</v>
          </cell>
          <cell r="J1401">
            <v>273</v>
          </cell>
          <cell r="K1401">
            <v>0</v>
          </cell>
          <cell r="L1401">
            <v>273</v>
          </cell>
          <cell r="M1401">
            <v>0</v>
          </cell>
          <cell r="N1401">
            <v>273</v>
          </cell>
          <cell r="O1401">
            <v>0</v>
          </cell>
          <cell r="P1401">
            <v>273</v>
          </cell>
          <cell r="Q1401">
            <v>0</v>
          </cell>
          <cell r="R1401">
            <v>273</v>
          </cell>
          <cell r="S1401">
            <v>0</v>
          </cell>
          <cell r="T1401">
            <v>273</v>
          </cell>
          <cell r="U1401">
            <v>0</v>
          </cell>
          <cell r="V1401">
            <v>273</v>
          </cell>
          <cell r="W1401">
            <v>0</v>
          </cell>
          <cell r="X1401">
            <v>273</v>
          </cell>
          <cell r="Y1401">
            <v>0</v>
          </cell>
          <cell r="Z1401">
            <v>273</v>
          </cell>
          <cell r="AA1401">
            <v>0</v>
          </cell>
          <cell r="AB1401">
            <v>0</v>
          </cell>
          <cell r="AC1401">
            <v>0</v>
          </cell>
          <cell r="AD1401">
            <v>3.3000000000000002E-2</v>
          </cell>
          <cell r="AE1401">
            <v>0</v>
          </cell>
          <cell r="AF1401">
            <v>0</v>
          </cell>
          <cell r="AG1401">
            <v>0</v>
          </cell>
          <cell r="AH1401">
            <v>0</v>
          </cell>
          <cell r="AI1401">
            <v>0</v>
          </cell>
          <cell r="AJ1401">
            <v>0</v>
          </cell>
          <cell r="AK1401">
            <v>0</v>
          </cell>
          <cell r="AL1401">
            <v>0</v>
          </cell>
        </row>
        <row r="1402">
          <cell r="E1402" t="str">
            <v>S-5C-FB</v>
          </cell>
          <cell r="F1402" t="str">
            <v>ｍ</v>
          </cell>
          <cell r="G1402">
            <v>0</v>
          </cell>
          <cell r="H1402">
            <v>64.8</v>
          </cell>
          <cell r="I1402">
            <v>0</v>
          </cell>
          <cell r="J1402">
            <v>64.8</v>
          </cell>
          <cell r="K1402">
            <v>0</v>
          </cell>
          <cell r="L1402">
            <v>64.8</v>
          </cell>
          <cell r="M1402">
            <v>0</v>
          </cell>
          <cell r="N1402">
            <v>64.8</v>
          </cell>
          <cell r="O1402">
            <v>0</v>
          </cell>
          <cell r="P1402">
            <v>64.8</v>
          </cell>
          <cell r="Q1402">
            <v>0</v>
          </cell>
          <cell r="R1402">
            <v>64.8</v>
          </cell>
          <cell r="S1402">
            <v>0</v>
          </cell>
          <cell r="T1402">
            <v>64.8</v>
          </cell>
          <cell r="U1402">
            <v>0</v>
          </cell>
          <cell r="V1402">
            <v>64.8</v>
          </cell>
          <cell r="W1402">
            <v>0</v>
          </cell>
          <cell r="X1402">
            <v>64.8</v>
          </cell>
          <cell r="Y1402">
            <v>0</v>
          </cell>
          <cell r="Z1402">
            <v>64.8</v>
          </cell>
          <cell r="AA1402">
            <v>0</v>
          </cell>
          <cell r="AB1402">
            <v>0</v>
          </cell>
          <cell r="AC1402">
            <v>0</v>
          </cell>
          <cell r="AD1402">
            <v>3.4000000000000002E-2</v>
          </cell>
          <cell r="AE1402">
            <v>0</v>
          </cell>
          <cell r="AF1402">
            <v>0</v>
          </cell>
          <cell r="AG1402">
            <v>0</v>
          </cell>
          <cell r="AH1402">
            <v>0</v>
          </cell>
          <cell r="AI1402">
            <v>0</v>
          </cell>
          <cell r="AJ1402">
            <v>0</v>
          </cell>
          <cell r="AK1402">
            <v>0</v>
          </cell>
          <cell r="AL1402">
            <v>0</v>
          </cell>
        </row>
        <row r="1403">
          <cell r="E1403" t="str">
            <v>S-7C-FB</v>
          </cell>
          <cell r="F1403" t="str">
            <v>ｍ</v>
          </cell>
          <cell r="G1403">
            <v>0</v>
          </cell>
          <cell r="H1403">
            <v>133</v>
          </cell>
          <cell r="I1403">
            <v>0</v>
          </cell>
          <cell r="J1403">
            <v>133</v>
          </cell>
          <cell r="K1403">
            <v>0</v>
          </cell>
          <cell r="L1403">
            <v>133</v>
          </cell>
          <cell r="M1403">
            <v>0</v>
          </cell>
          <cell r="N1403">
            <v>133</v>
          </cell>
          <cell r="O1403">
            <v>0</v>
          </cell>
          <cell r="P1403">
            <v>133</v>
          </cell>
          <cell r="Q1403">
            <v>0</v>
          </cell>
          <cell r="R1403">
            <v>133</v>
          </cell>
          <cell r="S1403">
            <v>0</v>
          </cell>
          <cell r="T1403">
            <v>133</v>
          </cell>
          <cell r="U1403">
            <v>0</v>
          </cell>
          <cell r="V1403">
            <v>133</v>
          </cell>
          <cell r="W1403">
            <v>0</v>
          </cell>
          <cell r="X1403">
            <v>133</v>
          </cell>
          <cell r="Y1403">
            <v>0</v>
          </cell>
          <cell r="Z1403">
            <v>133</v>
          </cell>
          <cell r="AA1403">
            <v>0</v>
          </cell>
          <cell r="AB1403">
            <v>0</v>
          </cell>
          <cell r="AC1403">
            <v>0</v>
          </cell>
          <cell r="AD1403">
            <v>0.02</v>
          </cell>
          <cell r="AE1403">
            <v>0</v>
          </cell>
          <cell r="AF1403">
            <v>0</v>
          </cell>
          <cell r="AG1403">
            <v>0</v>
          </cell>
          <cell r="AH1403">
            <v>0</v>
          </cell>
          <cell r="AI1403">
            <v>0</v>
          </cell>
          <cell r="AJ1403">
            <v>0</v>
          </cell>
          <cell r="AK1403">
            <v>0</v>
          </cell>
          <cell r="AL1403">
            <v>0</v>
          </cell>
        </row>
        <row r="1404">
          <cell r="E1404" t="str">
            <v>S-10C-FB</v>
          </cell>
          <cell r="F1404" t="str">
            <v>ｍ</v>
          </cell>
          <cell r="G1404">
            <v>0</v>
          </cell>
          <cell r="H1404">
            <v>247</v>
          </cell>
          <cell r="I1404">
            <v>0</v>
          </cell>
          <cell r="J1404">
            <v>247</v>
          </cell>
          <cell r="K1404">
            <v>0</v>
          </cell>
          <cell r="L1404">
            <v>247</v>
          </cell>
          <cell r="M1404">
            <v>0</v>
          </cell>
          <cell r="N1404">
            <v>247</v>
          </cell>
          <cell r="O1404">
            <v>0</v>
          </cell>
          <cell r="P1404">
            <v>247</v>
          </cell>
          <cell r="Q1404">
            <v>0</v>
          </cell>
          <cell r="R1404">
            <v>247</v>
          </cell>
          <cell r="S1404">
            <v>0</v>
          </cell>
          <cell r="T1404">
            <v>247</v>
          </cell>
          <cell r="U1404">
            <v>0</v>
          </cell>
          <cell r="V1404">
            <v>247</v>
          </cell>
          <cell r="W1404">
            <v>0</v>
          </cell>
          <cell r="X1404">
            <v>247</v>
          </cell>
          <cell r="Y1404">
            <v>0</v>
          </cell>
          <cell r="Z1404">
            <v>247</v>
          </cell>
          <cell r="AA1404">
            <v>0</v>
          </cell>
          <cell r="AB1404">
            <v>0</v>
          </cell>
          <cell r="AC1404">
            <v>0</v>
          </cell>
          <cell r="AD1404">
            <v>2.7E-2</v>
          </cell>
          <cell r="AE1404">
            <v>0</v>
          </cell>
          <cell r="AF1404">
            <v>0</v>
          </cell>
          <cell r="AG1404">
            <v>0</v>
          </cell>
          <cell r="AH1404">
            <v>0</v>
          </cell>
          <cell r="AI1404">
            <v>0</v>
          </cell>
          <cell r="AJ1404">
            <v>0</v>
          </cell>
          <cell r="AK1404">
            <v>0</v>
          </cell>
          <cell r="AL1404">
            <v>0</v>
          </cell>
        </row>
        <row r="1405">
          <cell r="E1405" t="str">
            <v>S-5C-HFL</v>
          </cell>
          <cell r="F1405" t="str">
            <v>ｍ</v>
          </cell>
          <cell r="G1405">
            <v>0</v>
          </cell>
          <cell r="H1405">
            <v>86.3</v>
          </cell>
          <cell r="I1405">
            <v>0</v>
          </cell>
          <cell r="J1405">
            <v>86.3</v>
          </cell>
          <cell r="K1405">
            <v>0</v>
          </cell>
          <cell r="L1405">
            <v>86.3</v>
          </cell>
          <cell r="M1405">
            <v>0</v>
          </cell>
          <cell r="N1405">
            <v>86.3</v>
          </cell>
          <cell r="O1405">
            <v>0</v>
          </cell>
          <cell r="P1405">
            <v>86.3</v>
          </cell>
          <cell r="Q1405">
            <v>0</v>
          </cell>
          <cell r="R1405">
            <v>86.3</v>
          </cell>
          <cell r="S1405">
            <v>0</v>
          </cell>
          <cell r="T1405">
            <v>86.3</v>
          </cell>
          <cell r="U1405">
            <v>0</v>
          </cell>
          <cell r="V1405">
            <v>86.3</v>
          </cell>
          <cell r="W1405">
            <v>0</v>
          </cell>
          <cell r="X1405">
            <v>86.3</v>
          </cell>
          <cell r="Y1405">
            <v>0</v>
          </cell>
          <cell r="Z1405">
            <v>86.3</v>
          </cell>
          <cell r="AA1405">
            <v>0</v>
          </cell>
          <cell r="AB1405">
            <v>0</v>
          </cell>
          <cell r="AC1405">
            <v>0</v>
          </cell>
          <cell r="AD1405">
            <v>3.4000000000000002E-2</v>
          </cell>
          <cell r="AE1405">
            <v>0</v>
          </cell>
          <cell r="AF1405">
            <v>0</v>
          </cell>
          <cell r="AG1405">
            <v>0</v>
          </cell>
          <cell r="AH1405">
            <v>0</v>
          </cell>
          <cell r="AI1405">
            <v>0</v>
          </cell>
          <cell r="AJ1405">
            <v>0</v>
          </cell>
          <cell r="AK1405">
            <v>0</v>
          </cell>
          <cell r="AL1405">
            <v>0</v>
          </cell>
        </row>
        <row r="1406">
          <cell r="E1406" t="str">
            <v>S-7C-HFL</v>
          </cell>
          <cell r="F1406" t="str">
            <v>ｍ</v>
          </cell>
          <cell r="G1406">
            <v>0</v>
          </cell>
          <cell r="H1406">
            <v>157</v>
          </cell>
          <cell r="I1406">
            <v>0</v>
          </cell>
          <cell r="J1406">
            <v>157</v>
          </cell>
          <cell r="K1406">
            <v>0</v>
          </cell>
          <cell r="L1406">
            <v>157</v>
          </cell>
          <cell r="M1406">
            <v>0</v>
          </cell>
          <cell r="N1406">
            <v>157</v>
          </cell>
          <cell r="O1406">
            <v>0</v>
          </cell>
          <cell r="P1406">
            <v>157</v>
          </cell>
          <cell r="Q1406">
            <v>0</v>
          </cell>
          <cell r="R1406">
            <v>157</v>
          </cell>
          <cell r="S1406">
            <v>0</v>
          </cell>
          <cell r="T1406">
            <v>157</v>
          </cell>
          <cell r="U1406">
            <v>0</v>
          </cell>
          <cell r="V1406">
            <v>157</v>
          </cell>
          <cell r="W1406">
            <v>0</v>
          </cell>
          <cell r="X1406">
            <v>157</v>
          </cell>
          <cell r="Y1406">
            <v>0</v>
          </cell>
          <cell r="Z1406">
            <v>157</v>
          </cell>
          <cell r="AA1406">
            <v>0</v>
          </cell>
          <cell r="AB1406">
            <v>0</v>
          </cell>
          <cell r="AC1406">
            <v>0</v>
          </cell>
          <cell r="AD1406">
            <v>0.02</v>
          </cell>
          <cell r="AE1406">
            <v>0</v>
          </cell>
          <cell r="AF1406">
            <v>0</v>
          </cell>
          <cell r="AG1406">
            <v>0</v>
          </cell>
          <cell r="AH1406">
            <v>0</v>
          </cell>
          <cell r="AI1406">
            <v>0</v>
          </cell>
          <cell r="AJ1406">
            <v>0</v>
          </cell>
          <cell r="AK1406">
            <v>0</v>
          </cell>
          <cell r="AL1406">
            <v>0</v>
          </cell>
        </row>
        <row r="1407">
          <cell r="E1407" t="str">
            <v>S-10C-HFL</v>
          </cell>
          <cell r="F1407" t="str">
            <v>ｍ</v>
          </cell>
          <cell r="G1407">
            <v>0</v>
          </cell>
          <cell r="H1407">
            <v>243</v>
          </cell>
          <cell r="I1407">
            <v>0</v>
          </cell>
          <cell r="J1407">
            <v>243</v>
          </cell>
          <cell r="K1407">
            <v>0</v>
          </cell>
          <cell r="L1407">
            <v>243</v>
          </cell>
          <cell r="M1407">
            <v>0</v>
          </cell>
          <cell r="N1407">
            <v>243</v>
          </cell>
          <cell r="O1407">
            <v>0</v>
          </cell>
          <cell r="P1407">
            <v>243</v>
          </cell>
          <cell r="Q1407">
            <v>0</v>
          </cell>
          <cell r="R1407">
            <v>243</v>
          </cell>
          <cell r="S1407">
            <v>0</v>
          </cell>
          <cell r="T1407">
            <v>243</v>
          </cell>
          <cell r="U1407">
            <v>0</v>
          </cell>
          <cell r="V1407">
            <v>243</v>
          </cell>
          <cell r="W1407">
            <v>0</v>
          </cell>
          <cell r="X1407">
            <v>243</v>
          </cell>
          <cell r="Y1407">
            <v>0</v>
          </cell>
          <cell r="Z1407">
            <v>243</v>
          </cell>
          <cell r="AA1407">
            <v>0</v>
          </cell>
          <cell r="AB1407">
            <v>0</v>
          </cell>
          <cell r="AC1407">
            <v>0</v>
          </cell>
          <cell r="AD1407">
            <v>2.7E-2</v>
          </cell>
          <cell r="AE1407">
            <v>0</v>
          </cell>
          <cell r="AF1407">
            <v>0</v>
          </cell>
          <cell r="AG1407">
            <v>0</v>
          </cell>
          <cell r="AH1407">
            <v>0</v>
          </cell>
          <cell r="AI1407">
            <v>0</v>
          </cell>
          <cell r="AJ1407">
            <v>0</v>
          </cell>
          <cell r="AK1407">
            <v>0</v>
          </cell>
          <cell r="AL1407">
            <v>0</v>
          </cell>
        </row>
        <row r="1408">
          <cell r="E1408" t="str">
            <v>S-5C-HFL-SS</v>
          </cell>
          <cell r="F1408" t="str">
            <v>ｍ</v>
          </cell>
          <cell r="G1408">
            <v>0</v>
          </cell>
          <cell r="H1408">
            <v>159</v>
          </cell>
          <cell r="I1408">
            <v>0</v>
          </cell>
          <cell r="J1408">
            <v>159</v>
          </cell>
          <cell r="K1408">
            <v>0</v>
          </cell>
          <cell r="L1408">
            <v>159</v>
          </cell>
          <cell r="M1408">
            <v>0</v>
          </cell>
          <cell r="N1408">
            <v>159</v>
          </cell>
          <cell r="O1408">
            <v>0</v>
          </cell>
          <cell r="P1408">
            <v>159</v>
          </cell>
          <cell r="Q1408">
            <v>0</v>
          </cell>
          <cell r="R1408">
            <v>159</v>
          </cell>
          <cell r="S1408">
            <v>0</v>
          </cell>
          <cell r="T1408">
            <v>159</v>
          </cell>
          <cell r="U1408">
            <v>0</v>
          </cell>
          <cell r="V1408">
            <v>159</v>
          </cell>
          <cell r="W1408">
            <v>0</v>
          </cell>
          <cell r="X1408">
            <v>159</v>
          </cell>
          <cell r="Y1408">
            <v>0</v>
          </cell>
          <cell r="Z1408">
            <v>159</v>
          </cell>
          <cell r="AA1408">
            <v>0</v>
          </cell>
          <cell r="AB1408">
            <v>0</v>
          </cell>
          <cell r="AC1408">
            <v>0</v>
          </cell>
          <cell r="AD1408">
            <v>0.02</v>
          </cell>
          <cell r="AE1408">
            <v>0</v>
          </cell>
          <cell r="AF1408">
            <v>0</v>
          </cell>
          <cell r="AG1408">
            <v>0</v>
          </cell>
          <cell r="AH1408">
            <v>0</v>
          </cell>
          <cell r="AI1408">
            <v>0</v>
          </cell>
          <cell r="AJ1408">
            <v>0</v>
          </cell>
          <cell r="AK1408">
            <v>0</v>
          </cell>
          <cell r="AL1408">
            <v>0</v>
          </cell>
        </row>
        <row r="1409">
          <cell r="E1409" t="str">
            <v>S-7C-HFL-SS</v>
          </cell>
          <cell r="F1409" t="str">
            <v>ｍ</v>
          </cell>
          <cell r="G1409">
            <v>0</v>
          </cell>
          <cell r="H1409">
            <v>235</v>
          </cell>
          <cell r="I1409">
            <v>0</v>
          </cell>
          <cell r="J1409">
            <v>235</v>
          </cell>
          <cell r="K1409">
            <v>0</v>
          </cell>
          <cell r="L1409">
            <v>235</v>
          </cell>
          <cell r="M1409">
            <v>0</v>
          </cell>
          <cell r="N1409">
            <v>235</v>
          </cell>
          <cell r="O1409">
            <v>0</v>
          </cell>
          <cell r="P1409">
            <v>235</v>
          </cell>
          <cell r="Q1409">
            <v>0</v>
          </cell>
          <cell r="R1409">
            <v>235</v>
          </cell>
          <cell r="S1409">
            <v>0</v>
          </cell>
          <cell r="T1409">
            <v>235</v>
          </cell>
          <cell r="U1409">
            <v>0</v>
          </cell>
          <cell r="V1409">
            <v>235</v>
          </cell>
          <cell r="W1409">
            <v>0</v>
          </cell>
          <cell r="X1409">
            <v>235</v>
          </cell>
          <cell r="Y1409">
            <v>0</v>
          </cell>
          <cell r="Z1409">
            <v>235</v>
          </cell>
          <cell r="AA1409">
            <v>0</v>
          </cell>
          <cell r="AB1409">
            <v>0</v>
          </cell>
          <cell r="AC1409">
            <v>0</v>
          </cell>
          <cell r="AD1409">
            <v>2.7E-2</v>
          </cell>
          <cell r="AE1409">
            <v>0</v>
          </cell>
          <cell r="AF1409">
            <v>0</v>
          </cell>
          <cell r="AG1409">
            <v>0</v>
          </cell>
          <cell r="AH1409">
            <v>0</v>
          </cell>
          <cell r="AI1409">
            <v>0</v>
          </cell>
          <cell r="AJ1409">
            <v>0</v>
          </cell>
          <cell r="AK1409">
            <v>0</v>
          </cell>
          <cell r="AL1409">
            <v>0</v>
          </cell>
        </row>
        <row r="1410">
          <cell r="E1410" t="str">
            <v>S-10C-HFL-SS</v>
          </cell>
          <cell r="F1410" t="str">
            <v>ｍ</v>
          </cell>
          <cell r="G1410">
            <v>0</v>
          </cell>
          <cell r="H1410">
            <v>325</v>
          </cell>
          <cell r="I1410">
            <v>0</v>
          </cell>
          <cell r="J1410">
            <v>325</v>
          </cell>
          <cell r="K1410">
            <v>0</v>
          </cell>
          <cell r="L1410">
            <v>325</v>
          </cell>
          <cell r="M1410">
            <v>0</v>
          </cell>
          <cell r="N1410">
            <v>325</v>
          </cell>
          <cell r="O1410">
            <v>0</v>
          </cell>
          <cell r="P1410">
            <v>325</v>
          </cell>
          <cell r="Q1410">
            <v>0</v>
          </cell>
          <cell r="R1410">
            <v>325</v>
          </cell>
          <cell r="S1410">
            <v>0</v>
          </cell>
          <cell r="T1410">
            <v>325</v>
          </cell>
          <cell r="U1410">
            <v>0</v>
          </cell>
          <cell r="V1410">
            <v>325</v>
          </cell>
          <cell r="W1410">
            <v>0</v>
          </cell>
          <cell r="X1410">
            <v>325</v>
          </cell>
          <cell r="Y1410">
            <v>0</v>
          </cell>
          <cell r="Z1410">
            <v>325</v>
          </cell>
          <cell r="AA1410">
            <v>0</v>
          </cell>
          <cell r="AB1410">
            <v>0</v>
          </cell>
          <cell r="AC1410">
            <v>0</v>
          </cell>
          <cell r="AD1410">
            <v>3.4000000000000002E-2</v>
          </cell>
          <cell r="AE1410">
            <v>0</v>
          </cell>
          <cell r="AF1410">
            <v>0</v>
          </cell>
          <cell r="AG1410">
            <v>0</v>
          </cell>
          <cell r="AH1410">
            <v>0</v>
          </cell>
          <cell r="AI1410">
            <v>0</v>
          </cell>
          <cell r="AJ1410">
            <v>0</v>
          </cell>
          <cell r="AK1410">
            <v>0</v>
          </cell>
          <cell r="AL1410">
            <v>0</v>
          </cell>
        </row>
        <row r="1411">
          <cell r="E1411" t="str">
            <v>LAN 10BASE-5</v>
          </cell>
          <cell r="F1411" t="str">
            <v>ｍ</v>
          </cell>
          <cell r="G1411">
            <v>0</v>
          </cell>
          <cell r="H1411">
            <v>293</v>
          </cell>
          <cell r="I1411">
            <v>0</v>
          </cell>
          <cell r="J1411">
            <v>293</v>
          </cell>
          <cell r="K1411">
            <v>0</v>
          </cell>
          <cell r="L1411">
            <v>293</v>
          </cell>
          <cell r="M1411">
            <v>0</v>
          </cell>
          <cell r="N1411">
            <v>293</v>
          </cell>
          <cell r="O1411">
            <v>0</v>
          </cell>
          <cell r="P1411">
            <v>293</v>
          </cell>
          <cell r="Q1411">
            <v>0</v>
          </cell>
          <cell r="R1411">
            <v>293</v>
          </cell>
          <cell r="S1411">
            <v>0</v>
          </cell>
          <cell r="T1411">
            <v>293</v>
          </cell>
          <cell r="U1411">
            <v>0</v>
          </cell>
          <cell r="V1411">
            <v>293</v>
          </cell>
          <cell r="W1411">
            <v>0</v>
          </cell>
          <cell r="X1411">
            <v>293</v>
          </cell>
          <cell r="Y1411">
            <v>0</v>
          </cell>
          <cell r="Z1411">
            <v>293</v>
          </cell>
          <cell r="AA1411">
            <v>0</v>
          </cell>
          <cell r="AB1411">
            <v>0</v>
          </cell>
          <cell r="AC1411">
            <v>0</v>
          </cell>
          <cell r="AD1411">
            <v>0.04</v>
          </cell>
          <cell r="AE1411">
            <v>0</v>
          </cell>
          <cell r="AF1411">
            <v>0</v>
          </cell>
          <cell r="AG1411">
            <v>0</v>
          </cell>
          <cell r="AH1411">
            <v>0</v>
          </cell>
          <cell r="AI1411">
            <v>0</v>
          </cell>
          <cell r="AJ1411">
            <v>0</v>
          </cell>
          <cell r="AK1411">
            <v>0</v>
          </cell>
          <cell r="AL1411">
            <v>0</v>
          </cell>
        </row>
        <row r="1412">
          <cell r="E1412" t="str">
            <v>LAN 10BASE-2</v>
          </cell>
          <cell r="F1412" t="str">
            <v>ｍ</v>
          </cell>
          <cell r="G1412">
            <v>0</v>
          </cell>
          <cell r="H1412">
            <v>64</v>
          </cell>
          <cell r="I1412">
            <v>0</v>
          </cell>
          <cell r="J1412">
            <v>64</v>
          </cell>
          <cell r="K1412">
            <v>0</v>
          </cell>
          <cell r="L1412">
            <v>64</v>
          </cell>
          <cell r="M1412">
            <v>0</v>
          </cell>
          <cell r="N1412">
            <v>64</v>
          </cell>
          <cell r="O1412">
            <v>0</v>
          </cell>
          <cell r="P1412">
            <v>64</v>
          </cell>
          <cell r="Q1412">
            <v>0</v>
          </cell>
          <cell r="R1412">
            <v>64</v>
          </cell>
          <cell r="S1412">
            <v>0</v>
          </cell>
          <cell r="T1412">
            <v>64</v>
          </cell>
          <cell r="U1412">
            <v>0</v>
          </cell>
          <cell r="V1412">
            <v>64</v>
          </cell>
          <cell r="W1412">
            <v>0</v>
          </cell>
          <cell r="X1412">
            <v>64</v>
          </cell>
          <cell r="Y1412">
            <v>0</v>
          </cell>
          <cell r="Z1412">
            <v>64</v>
          </cell>
          <cell r="AA1412">
            <v>0</v>
          </cell>
          <cell r="AB1412">
            <v>0</v>
          </cell>
          <cell r="AC1412">
            <v>0</v>
          </cell>
          <cell r="AD1412">
            <v>2.3E-2</v>
          </cell>
          <cell r="AE1412">
            <v>0</v>
          </cell>
          <cell r="AF1412">
            <v>0</v>
          </cell>
          <cell r="AG1412">
            <v>0</v>
          </cell>
          <cell r="AH1412">
            <v>0</v>
          </cell>
          <cell r="AI1412">
            <v>0</v>
          </cell>
          <cell r="AJ1412">
            <v>0</v>
          </cell>
          <cell r="AK1412">
            <v>0</v>
          </cell>
          <cell r="AL1412">
            <v>0</v>
          </cell>
        </row>
        <row r="1413">
          <cell r="E1413" t="str">
            <v>LAN cat5e 4Pr</v>
          </cell>
          <cell r="F1413" t="str">
            <v>ｍ</v>
          </cell>
          <cell r="G1413">
            <v>0</v>
          </cell>
          <cell r="H1413">
            <v>36</v>
          </cell>
          <cell r="I1413">
            <v>0</v>
          </cell>
          <cell r="J1413">
            <v>36</v>
          </cell>
          <cell r="K1413">
            <v>0</v>
          </cell>
          <cell r="L1413">
            <v>36</v>
          </cell>
          <cell r="M1413">
            <v>0</v>
          </cell>
          <cell r="N1413">
            <v>36</v>
          </cell>
          <cell r="O1413">
            <v>0</v>
          </cell>
          <cell r="P1413">
            <v>36</v>
          </cell>
          <cell r="Q1413">
            <v>0</v>
          </cell>
          <cell r="R1413">
            <v>36</v>
          </cell>
          <cell r="S1413">
            <v>0</v>
          </cell>
          <cell r="T1413">
            <v>36</v>
          </cell>
          <cell r="U1413">
            <v>0</v>
          </cell>
          <cell r="V1413">
            <v>36</v>
          </cell>
          <cell r="W1413">
            <v>0</v>
          </cell>
          <cell r="X1413">
            <v>36</v>
          </cell>
          <cell r="Y1413">
            <v>0</v>
          </cell>
          <cell r="Z1413">
            <v>36</v>
          </cell>
          <cell r="AA1413">
            <v>0</v>
          </cell>
          <cell r="AB1413">
            <v>0</v>
          </cell>
          <cell r="AC1413">
            <v>0</v>
          </cell>
          <cell r="AD1413">
            <v>1.6E-2</v>
          </cell>
          <cell r="AE1413">
            <v>0</v>
          </cell>
          <cell r="AF1413">
            <v>0</v>
          </cell>
          <cell r="AG1413">
            <v>0</v>
          </cell>
          <cell r="AH1413">
            <v>0</v>
          </cell>
          <cell r="AI1413">
            <v>0</v>
          </cell>
          <cell r="AJ1413">
            <v>0</v>
          </cell>
          <cell r="AK1413">
            <v>0</v>
          </cell>
          <cell r="AL1413">
            <v>0</v>
          </cell>
        </row>
        <row r="1414">
          <cell r="E1414" t="str">
            <v>LAN cat5e 8Pr</v>
          </cell>
          <cell r="F1414" t="str">
            <v>ｍ</v>
          </cell>
          <cell r="G1414">
            <v>0</v>
          </cell>
          <cell r="H1414">
            <v>105</v>
          </cell>
          <cell r="I1414">
            <v>0</v>
          </cell>
          <cell r="J1414">
            <v>105</v>
          </cell>
          <cell r="K1414">
            <v>0</v>
          </cell>
          <cell r="L1414">
            <v>105</v>
          </cell>
          <cell r="M1414">
            <v>0</v>
          </cell>
          <cell r="N1414">
            <v>105</v>
          </cell>
          <cell r="O1414">
            <v>0</v>
          </cell>
          <cell r="P1414">
            <v>105</v>
          </cell>
          <cell r="Q1414">
            <v>0</v>
          </cell>
          <cell r="R1414">
            <v>105</v>
          </cell>
          <cell r="S1414">
            <v>0</v>
          </cell>
          <cell r="T1414">
            <v>105</v>
          </cell>
          <cell r="U1414">
            <v>0</v>
          </cell>
          <cell r="V1414">
            <v>105</v>
          </cell>
          <cell r="W1414">
            <v>0</v>
          </cell>
          <cell r="X1414">
            <v>105</v>
          </cell>
          <cell r="Y1414">
            <v>0</v>
          </cell>
          <cell r="Z1414">
            <v>105</v>
          </cell>
          <cell r="AA1414">
            <v>0</v>
          </cell>
          <cell r="AB1414">
            <v>0</v>
          </cell>
          <cell r="AC1414">
            <v>0</v>
          </cell>
          <cell r="AD1414">
            <v>0.02</v>
          </cell>
          <cell r="AE1414">
            <v>0</v>
          </cell>
          <cell r="AF1414">
            <v>0</v>
          </cell>
          <cell r="AG1414">
            <v>0</v>
          </cell>
          <cell r="AH1414">
            <v>0</v>
          </cell>
          <cell r="AI1414">
            <v>0</v>
          </cell>
          <cell r="AJ1414">
            <v>0</v>
          </cell>
          <cell r="AK1414">
            <v>0</v>
          </cell>
          <cell r="AL1414">
            <v>0</v>
          </cell>
        </row>
        <row r="1415">
          <cell r="E1415" t="str">
            <v>LAN cat5e 24Pr</v>
          </cell>
          <cell r="F1415" t="str">
            <v>ｍ</v>
          </cell>
          <cell r="G1415">
            <v>0</v>
          </cell>
          <cell r="H1415">
            <v>331</v>
          </cell>
          <cell r="I1415">
            <v>0</v>
          </cell>
          <cell r="J1415">
            <v>331</v>
          </cell>
          <cell r="K1415">
            <v>0</v>
          </cell>
          <cell r="L1415">
            <v>331</v>
          </cell>
          <cell r="M1415">
            <v>0</v>
          </cell>
          <cell r="N1415">
            <v>331</v>
          </cell>
          <cell r="O1415">
            <v>0</v>
          </cell>
          <cell r="P1415">
            <v>331</v>
          </cell>
          <cell r="Q1415">
            <v>0</v>
          </cell>
          <cell r="R1415">
            <v>331</v>
          </cell>
          <cell r="S1415">
            <v>0</v>
          </cell>
          <cell r="T1415">
            <v>331</v>
          </cell>
          <cell r="U1415">
            <v>0</v>
          </cell>
          <cell r="V1415">
            <v>331</v>
          </cell>
          <cell r="W1415">
            <v>0</v>
          </cell>
          <cell r="X1415">
            <v>331</v>
          </cell>
          <cell r="Y1415">
            <v>0</v>
          </cell>
          <cell r="Z1415">
            <v>331</v>
          </cell>
          <cell r="AA1415">
            <v>0</v>
          </cell>
          <cell r="AB1415">
            <v>0</v>
          </cell>
          <cell r="AC1415">
            <v>0</v>
          </cell>
          <cell r="AD1415">
            <v>2.1999999999999999E-2</v>
          </cell>
          <cell r="AE1415">
            <v>0</v>
          </cell>
          <cell r="AF1415">
            <v>0</v>
          </cell>
          <cell r="AG1415">
            <v>0</v>
          </cell>
          <cell r="AH1415">
            <v>0</v>
          </cell>
          <cell r="AI1415">
            <v>0</v>
          </cell>
          <cell r="AJ1415">
            <v>0</v>
          </cell>
          <cell r="AK1415">
            <v>0</v>
          </cell>
          <cell r="AL1415">
            <v>0</v>
          </cell>
        </row>
        <row r="1416">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row>
        <row r="1417">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row>
        <row r="1418">
          <cell r="E1418">
            <v>0</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row>
        <row r="1419">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row>
        <row r="1420">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row>
        <row r="1421">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row>
        <row r="1422">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row>
        <row r="1423">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row>
        <row r="1424">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row>
        <row r="1425">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row>
        <row r="1426">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row>
        <row r="1427">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row>
        <row r="1428">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row>
        <row r="1429">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row>
        <row r="1430">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row>
        <row r="1431">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row>
        <row r="1432">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row>
        <row r="1433">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row>
        <row r="1434">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row>
        <row r="1435">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row>
        <row r="1436">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row>
        <row r="1437">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row>
        <row r="1438">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row>
        <row r="1439">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row>
        <row r="1440">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row>
        <row r="1441">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row>
        <row r="1442">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row>
        <row r="1443">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row>
        <row r="1444">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row>
        <row r="1445">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row>
        <row r="1446">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row>
        <row r="1447">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row>
        <row r="1448">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row>
        <row r="1449">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row>
        <row r="1450">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row>
        <row r="1451">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row>
        <row r="1452">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row>
        <row r="1453">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row>
        <row r="1454">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row>
        <row r="1455">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row>
        <row r="1456">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row>
        <row r="1457">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row>
        <row r="1458">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row>
        <row r="1459">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row>
        <row r="1460">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row>
        <row r="1461">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row>
        <row r="1462">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row>
        <row r="1463">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row>
        <row r="1464">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row>
        <row r="1465">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row>
        <row r="1466">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row>
        <row r="1467">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row>
        <row r="1468">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row>
        <row r="1469">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row>
        <row r="1470">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row>
        <row r="1471">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row>
        <row r="1472">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row>
        <row r="1473">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row>
        <row r="1474">
          <cell r="E1474">
            <v>0</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row>
        <row r="1475">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row>
        <row r="1476">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row>
        <row r="1477">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row>
        <row r="1478">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row>
        <row r="1479">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row>
        <row r="1480">
          <cell r="E1480" t="str">
            <v>CVV 1.25sq-2C</v>
          </cell>
          <cell r="F1480" t="str">
            <v>ｍ</v>
          </cell>
          <cell r="G1480">
            <v>0</v>
          </cell>
          <cell r="H1480">
            <v>59.4</v>
          </cell>
          <cell r="I1480">
            <v>0</v>
          </cell>
          <cell r="J1480">
            <v>60.3</v>
          </cell>
          <cell r="K1480">
            <v>0</v>
          </cell>
          <cell r="L1480">
            <v>60.3</v>
          </cell>
          <cell r="M1480">
            <v>0</v>
          </cell>
          <cell r="N1480">
            <v>58.5</v>
          </cell>
          <cell r="O1480">
            <v>0</v>
          </cell>
          <cell r="P1480">
            <v>57.1</v>
          </cell>
          <cell r="Q1480">
            <v>0</v>
          </cell>
          <cell r="R1480">
            <v>59.4</v>
          </cell>
          <cell r="S1480">
            <v>0</v>
          </cell>
          <cell r="T1480">
            <v>59.4</v>
          </cell>
          <cell r="U1480">
            <v>0</v>
          </cell>
          <cell r="V1480">
            <v>60.3</v>
          </cell>
          <cell r="W1480">
            <v>0</v>
          </cell>
          <cell r="X1480">
            <v>58.5</v>
          </cell>
          <cell r="Y1480">
            <v>0</v>
          </cell>
          <cell r="Z1480">
            <v>60.3</v>
          </cell>
          <cell r="AA1480">
            <v>0</v>
          </cell>
          <cell r="AB1480">
            <v>0</v>
          </cell>
          <cell r="AC1480">
            <v>0</v>
          </cell>
          <cell r="AD1480">
            <v>1.4999999999999999E-2</v>
          </cell>
          <cell r="AE1480">
            <v>0</v>
          </cell>
          <cell r="AF1480">
            <v>0</v>
          </cell>
          <cell r="AG1480">
            <v>0</v>
          </cell>
          <cell r="AH1480">
            <v>0</v>
          </cell>
          <cell r="AI1480">
            <v>0</v>
          </cell>
          <cell r="AJ1480">
            <v>0</v>
          </cell>
          <cell r="AK1480">
            <v>0</v>
          </cell>
          <cell r="AL1480">
            <v>0</v>
          </cell>
        </row>
        <row r="1481">
          <cell r="E1481" t="str">
            <v>CVV 2sq-2C</v>
          </cell>
          <cell r="F1481" t="str">
            <v>ｍ</v>
          </cell>
          <cell r="G1481">
            <v>0</v>
          </cell>
          <cell r="H1481">
            <v>78.7</v>
          </cell>
          <cell r="I1481">
            <v>0</v>
          </cell>
          <cell r="J1481">
            <v>80</v>
          </cell>
          <cell r="K1481">
            <v>0</v>
          </cell>
          <cell r="L1481">
            <v>80</v>
          </cell>
          <cell r="M1481">
            <v>0</v>
          </cell>
          <cell r="N1481">
            <v>77.5</v>
          </cell>
          <cell r="O1481">
            <v>0</v>
          </cell>
          <cell r="P1481">
            <v>75.599999999999994</v>
          </cell>
          <cell r="Q1481">
            <v>0</v>
          </cell>
          <cell r="R1481">
            <v>78.7</v>
          </cell>
          <cell r="S1481">
            <v>0</v>
          </cell>
          <cell r="T1481">
            <v>78.7</v>
          </cell>
          <cell r="U1481">
            <v>0</v>
          </cell>
          <cell r="V1481">
            <v>80</v>
          </cell>
          <cell r="W1481">
            <v>0</v>
          </cell>
          <cell r="X1481">
            <v>77.5</v>
          </cell>
          <cell r="Y1481">
            <v>0</v>
          </cell>
          <cell r="Z1481">
            <v>80</v>
          </cell>
          <cell r="AA1481">
            <v>0</v>
          </cell>
          <cell r="AB1481">
            <v>0</v>
          </cell>
          <cell r="AC1481">
            <v>0</v>
          </cell>
          <cell r="AD1481">
            <v>1.7000000000000001E-2</v>
          </cell>
          <cell r="AE1481">
            <v>0</v>
          </cell>
          <cell r="AF1481">
            <v>0</v>
          </cell>
          <cell r="AG1481">
            <v>0</v>
          </cell>
          <cell r="AH1481">
            <v>0</v>
          </cell>
          <cell r="AI1481">
            <v>0</v>
          </cell>
          <cell r="AJ1481">
            <v>0</v>
          </cell>
          <cell r="AK1481">
            <v>0</v>
          </cell>
          <cell r="AL1481">
            <v>0</v>
          </cell>
        </row>
        <row r="1482">
          <cell r="E1482" t="str">
            <v>CVV 3.5sq-2C</v>
          </cell>
          <cell r="F1482" t="str">
            <v>ｍ</v>
          </cell>
          <cell r="G1482">
            <v>0</v>
          </cell>
          <cell r="H1482">
            <v>115</v>
          </cell>
          <cell r="I1482">
            <v>0</v>
          </cell>
          <cell r="J1482">
            <v>116</v>
          </cell>
          <cell r="K1482">
            <v>0</v>
          </cell>
          <cell r="L1482">
            <v>116</v>
          </cell>
          <cell r="M1482">
            <v>0</v>
          </cell>
          <cell r="N1482">
            <v>113</v>
          </cell>
          <cell r="O1482">
            <v>0</v>
          </cell>
          <cell r="P1482">
            <v>110</v>
          </cell>
          <cell r="Q1482">
            <v>0</v>
          </cell>
          <cell r="R1482">
            <v>115</v>
          </cell>
          <cell r="S1482">
            <v>0</v>
          </cell>
          <cell r="T1482">
            <v>115</v>
          </cell>
          <cell r="U1482">
            <v>0</v>
          </cell>
          <cell r="V1482">
            <v>116</v>
          </cell>
          <cell r="W1482">
            <v>0</v>
          </cell>
          <cell r="X1482">
            <v>113</v>
          </cell>
          <cell r="Y1482">
            <v>0</v>
          </cell>
          <cell r="Z1482">
            <v>116</v>
          </cell>
          <cell r="AA1482">
            <v>0</v>
          </cell>
          <cell r="AB1482">
            <v>0</v>
          </cell>
          <cell r="AC1482">
            <v>0</v>
          </cell>
          <cell r="AD1482">
            <v>1.7999999999999999E-2</v>
          </cell>
          <cell r="AE1482">
            <v>0</v>
          </cell>
          <cell r="AF1482">
            <v>0</v>
          </cell>
          <cell r="AG1482">
            <v>0</v>
          </cell>
          <cell r="AH1482">
            <v>0</v>
          </cell>
          <cell r="AI1482">
            <v>0</v>
          </cell>
          <cell r="AJ1482">
            <v>0</v>
          </cell>
          <cell r="AK1482">
            <v>0</v>
          </cell>
          <cell r="AL1482">
            <v>0</v>
          </cell>
        </row>
        <row r="1483">
          <cell r="E1483" t="str">
            <v>CVV 5.5sq-2C</v>
          </cell>
          <cell r="F1483" t="str">
            <v>ｍ</v>
          </cell>
          <cell r="G1483">
            <v>0</v>
          </cell>
          <cell r="H1483">
            <v>163</v>
          </cell>
          <cell r="I1483">
            <v>0</v>
          </cell>
          <cell r="J1483">
            <v>165</v>
          </cell>
          <cell r="K1483">
            <v>0</v>
          </cell>
          <cell r="L1483">
            <v>165</v>
          </cell>
          <cell r="M1483">
            <v>0</v>
          </cell>
          <cell r="N1483">
            <v>160</v>
          </cell>
          <cell r="O1483">
            <v>0</v>
          </cell>
          <cell r="P1483">
            <v>156</v>
          </cell>
          <cell r="Q1483">
            <v>0</v>
          </cell>
          <cell r="R1483">
            <v>163</v>
          </cell>
          <cell r="S1483">
            <v>0</v>
          </cell>
          <cell r="T1483">
            <v>163</v>
          </cell>
          <cell r="U1483">
            <v>0</v>
          </cell>
          <cell r="V1483">
            <v>165</v>
          </cell>
          <cell r="W1483">
            <v>0</v>
          </cell>
          <cell r="X1483">
            <v>160</v>
          </cell>
          <cell r="Y1483">
            <v>0</v>
          </cell>
          <cell r="Z1483">
            <v>165</v>
          </cell>
          <cell r="AA1483">
            <v>0</v>
          </cell>
          <cell r="AB1483">
            <v>0</v>
          </cell>
          <cell r="AC1483">
            <v>0</v>
          </cell>
          <cell r="AD1483">
            <v>2.1000000000000001E-2</v>
          </cell>
          <cell r="AE1483">
            <v>0</v>
          </cell>
          <cell r="AF1483">
            <v>0</v>
          </cell>
          <cell r="AG1483">
            <v>0</v>
          </cell>
          <cell r="AH1483">
            <v>0</v>
          </cell>
          <cell r="AI1483">
            <v>0</v>
          </cell>
          <cell r="AJ1483">
            <v>0</v>
          </cell>
          <cell r="AK1483">
            <v>0</v>
          </cell>
          <cell r="AL1483">
            <v>0</v>
          </cell>
        </row>
        <row r="1484">
          <cell r="E1484" t="str">
            <v>CVV 8sq-2C</v>
          </cell>
          <cell r="F1484" t="str">
            <v>ｍ</v>
          </cell>
          <cell r="G1484">
            <v>0</v>
          </cell>
          <cell r="H1484">
            <v>221</v>
          </cell>
          <cell r="I1484">
            <v>0</v>
          </cell>
          <cell r="J1484">
            <v>225</v>
          </cell>
          <cell r="K1484">
            <v>0</v>
          </cell>
          <cell r="L1484">
            <v>225</v>
          </cell>
          <cell r="M1484">
            <v>0</v>
          </cell>
          <cell r="N1484">
            <v>218</v>
          </cell>
          <cell r="O1484">
            <v>0</v>
          </cell>
          <cell r="P1484">
            <v>213</v>
          </cell>
          <cell r="Q1484">
            <v>0</v>
          </cell>
          <cell r="R1484">
            <v>221</v>
          </cell>
          <cell r="S1484">
            <v>0</v>
          </cell>
          <cell r="T1484">
            <v>221</v>
          </cell>
          <cell r="U1484">
            <v>0</v>
          </cell>
          <cell r="V1484">
            <v>225</v>
          </cell>
          <cell r="W1484">
            <v>0</v>
          </cell>
          <cell r="X1484">
            <v>218</v>
          </cell>
          <cell r="Y1484">
            <v>0</v>
          </cell>
          <cell r="Z1484">
            <v>225</v>
          </cell>
          <cell r="AA1484">
            <v>0</v>
          </cell>
          <cell r="AB1484">
            <v>0</v>
          </cell>
          <cell r="AC1484">
            <v>0</v>
          </cell>
          <cell r="AD1484">
            <v>2.5999999999999999E-2</v>
          </cell>
          <cell r="AE1484">
            <v>0</v>
          </cell>
          <cell r="AF1484">
            <v>0</v>
          </cell>
          <cell r="AG1484">
            <v>0</v>
          </cell>
          <cell r="AH1484">
            <v>0</v>
          </cell>
          <cell r="AI1484">
            <v>0</v>
          </cell>
          <cell r="AJ1484">
            <v>0</v>
          </cell>
          <cell r="AK1484">
            <v>0</v>
          </cell>
          <cell r="AL1484">
            <v>0</v>
          </cell>
        </row>
        <row r="1485">
          <cell r="E1485" t="str">
            <v>CVV 1.25sq-3C</v>
          </cell>
          <cell r="F1485" t="str">
            <v>ｍ</v>
          </cell>
          <cell r="G1485">
            <v>0</v>
          </cell>
          <cell r="H1485">
            <v>80</v>
          </cell>
          <cell r="I1485">
            <v>0</v>
          </cell>
          <cell r="J1485">
            <v>81.3</v>
          </cell>
          <cell r="K1485">
            <v>0</v>
          </cell>
          <cell r="L1485">
            <v>81.3</v>
          </cell>
          <cell r="M1485">
            <v>0</v>
          </cell>
          <cell r="N1485">
            <v>78.8</v>
          </cell>
          <cell r="O1485">
            <v>0</v>
          </cell>
          <cell r="P1485">
            <v>76.900000000000006</v>
          </cell>
          <cell r="Q1485">
            <v>0</v>
          </cell>
          <cell r="R1485">
            <v>80</v>
          </cell>
          <cell r="S1485">
            <v>0</v>
          </cell>
          <cell r="T1485">
            <v>80</v>
          </cell>
          <cell r="U1485">
            <v>0</v>
          </cell>
          <cell r="V1485">
            <v>81.3</v>
          </cell>
          <cell r="W1485">
            <v>0</v>
          </cell>
          <cell r="X1485">
            <v>78.8</v>
          </cell>
          <cell r="Y1485">
            <v>0</v>
          </cell>
          <cell r="Z1485">
            <v>81.3</v>
          </cell>
          <cell r="AA1485">
            <v>0</v>
          </cell>
          <cell r="AB1485">
            <v>0</v>
          </cell>
          <cell r="AC1485">
            <v>0</v>
          </cell>
          <cell r="AD1485">
            <v>1.7000000000000001E-2</v>
          </cell>
          <cell r="AE1485">
            <v>0</v>
          </cell>
          <cell r="AF1485">
            <v>0</v>
          </cell>
          <cell r="AG1485">
            <v>0</v>
          </cell>
          <cell r="AH1485">
            <v>0</v>
          </cell>
          <cell r="AI1485">
            <v>0</v>
          </cell>
          <cell r="AJ1485">
            <v>0</v>
          </cell>
          <cell r="AK1485">
            <v>0</v>
          </cell>
          <cell r="AL1485">
            <v>0</v>
          </cell>
        </row>
        <row r="1486">
          <cell r="E1486" t="str">
            <v>CVV 2sq-3C</v>
          </cell>
          <cell r="F1486" t="str">
            <v>ｍ</v>
          </cell>
          <cell r="G1486">
            <v>0</v>
          </cell>
          <cell r="H1486">
            <v>108</v>
          </cell>
          <cell r="I1486">
            <v>0</v>
          </cell>
          <cell r="J1486">
            <v>109</v>
          </cell>
          <cell r="K1486">
            <v>0</v>
          </cell>
          <cell r="L1486">
            <v>109</v>
          </cell>
          <cell r="M1486">
            <v>0</v>
          </cell>
          <cell r="N1486">
            <v>106</v>
          </cell>
          <cell r="O1486">
            <v>0</v>
          </cell>
          <cell r="P1486">
            <v>103</v>
          </cell>
          <cell r="Q1486">
            <v>0</v>
          </cell>
          <cell r="R1486">
            <v>108</v>
          </cell>
          <cell r="S1486">
            <v>0</v>
          </cell>
          <cell r="T1486">
            <v>108</v>
          </cell>
          <cell r="U1486">
            <v>0</v>
          </cell>
          <cell r="V1486">
            <v>109</v>
          </cell>
          <cell r="W1486">
            <v>0</v>
          </cell>
          <cell r="X1486">
            <v>106</v>
          </cell>
          <cell r="Y1486">
            <v>0</v>
          </cell>
          <cell r="Z1486">
            <v>109</v>
          </cell>
          <cell r="AA1486">
            <v>0</v>
          </cell>
          <cell r="AB1486">
            <v>0</v>
          </cell>
          <cell r="AC1486">
            <v>0</v>
          </cell>
          <cell r="AD1486">
            <v>1.9E-2</v>
          </cell>
          <cell r="AE1486">
            <v>0</v>
          </cell>
          <cell r="AF1486">
            <v>0</v>
          </cell>
          <cell r="AG1486">
            <v>0</v>
          </cell>
          <cell r="AH1486">
            <v>0</v>
          </cell>
          <cell r="AI1486">
            <v>0</v>
          </cell>
          <cell r="AJ1486">
            <v>0</v>
          </cell>
          <cell r="AK1486">
            <v>0</v>
          </cell>
          <cell r="AL1486">
            <v>0</v>
          </cell>
        </row>
        <row r="1487">
          <cell r="E1487" t="str">
            <v>CVV 3.5sq-3C</v>
          </cell>
          <cell r="F1487" t="str">
            <v>ｍ</v>
          </cell>
          <cell r="G1487">
            <v>0</v>
          </cell>
          <cell r="H1487">
            <v>161</v>
          </cell>
          <cell r="I1487">
            <v>0</v>
          </cell>
          <cell r="J1487">
            <v>163</v>
          </cell>
          <cell r="K1487">
            <v>0</v>
          </cell>
          <cell r="L1487">
            <v>163</v>
          </cell>
          <cell r="M1487">
            <v>0</v>
          </cell>
          <cell r="N1487">
            <v>158</v>
          </cell>
          <cell r="O1487">
            <v>0</v>
          </cell>
          <cell r="P1487">
            <v>154</v>
          </cell>
          <cell r="Q1487">
            <v>0</v>
          </cell>
          <cell r="R1487">
            <v>161</v>
          </cell>
          <cell r="S1487">
            <v>0</v>
          </cell>
          <cell r="T1487">
            <v>161</v>
          </cell>
          <cell r="U1487">
            <v>0</v>
          </cell>
          <cell r="V1487">
            <v>163</v>
          </cell>
          <cell r="W1487">
            <v>0</v>
          </cell>
          <cell r="X1487">
            <v>158</v>
          </cell>
          <cell r="Y1487">
            <v>0</v>
          </cell>
          <cell r="Z1487">
            <v>163</v>
          </cell>
          <cell r="AA1487">
            <v>0</v>
          </cell>
          <cell r="AB1487">
            <v>0</v>
          </cell>
          <cell r="AC1487">
            <v>0</v>
          </cell>
          <cell r="AD1487">
            <v>2.1000000000000001E-2</v>
          </cell>
          <cell r="AE1487">
            <v>0</v>
          </cell>
          <cell r="AF1487">
            <v>0</v>
          </cell>
          <cell r="AG1487">
            <v>0</v>
          </cell>
          <cell r="AH1487">
            <v>0</v>
          </cell>
          <cell r="AI1487">
            <v>0</v>
          </cell>
          <cell r="AJ1487">
            <v>0</v>
          </cell>
          <cell r="AK1487">
            <v>0</v>
          </cell>
          <cell r="AL1487">
            <v>0</v>
          </cell>
        </row>
        <row r="1488">
          <cell r="E1488" t="str">
            <v>CVV 5.5sq-3C</v>
          </cell>
          <cell r="F1488" t="str">
            <v>ｍ</v>
          </cell>
          <cell r="G1488">
            <v>0</v>
          </cell>
          <cell r="H1488">
            <v>229</v>
          </cell>
          <cell r="I1488">
            <v>0</v>
          </cell>
          <cell r="J1488">
            <v>233</v>
          </cell>
          <cell r="K1488">
            <v>0</v>
          </cell>
          <cell r="L1488">
            <v>233</v>
          </cell>
          <cell r="M1488">
            <v>0</v>
          </cell>
          <cell r="N1488">
            <v>226</v>
          </cell>
          <cell r="O1488">
            <v>0</v>
          </cell>
          <cell r="P1488">
            <v>220</v>
          </cell>
          <cell r="Q1488">
            <v>0</v>
          </cell>
          <cell r="R1488">
            <v>229</v>
          </cell>
          <cell r="S1488">
            <v>0</v>
          </cell>
          <cell r="T1488">
            <v>229</v>
          </cell>
          <cell r="U1488">
            <v>0</v>
          </cell>
          <cell r="V1488">
            <v>233</v>
          </cell>
          <cell r="W1488">
            <v>0</v>
          </cell>
          <cell r="X1488">
            <v>226</v>
          </cell>
          <cell r="Y1488">
            <v>0</v>
          </cell>
          <cell r="Z1488">
            <v>233</v>
          </cell>
          <cell r="AA1488">
            <v>0</v>
          </cell>
          <cell r="AB1488">
            <v>0</v>
          </cell>
          <cell r="AC1488">
            <v>0</v>
          </cell>
          <cell r="AD1488">
            <v>2.4E-2</v>
          </cell>
          <cell r="AE1488">
            <v>0</v>
          </cell>
          <cell r="AF1488">
            <v>0</v>
          </cell>
          <cell r="AG1488">
            <v>0</v>
          </cell>
          <cell r="AH1488">
            <v>0</v>
          </cell>
          <cell r="AI1488">
            <v>0</v>
          </cell>
          <cell r="AJ1488">
            <v>0</v>
          </cell>
          <cell r="AK1488">
            <v>0</v>
          </cell>
          <cell r="AL1488">
            <v>0</v>
          </cell>
        </row>
        <row r="1489">
          <cell r="E1489" t="str">
            <v>CVV 8sq-3C</v>
          </cell>
          <cell r="F1489" t="str">
            <v>ｍ</v>
          </cell>
          <cell r="G1489">
            <v>0</v>
          </cell>
          <cell r="H1489">
            <v>314</v>
          </cell>
          <cell r="I1489">
            <v>0</v>
          </cell>
          <cell r="J1489">
            <v>319</v>
          </cell>
          <cell r="K1489">
            <v>0</v>
          </cell>
          <cell r="L1489">
            <v>319</v>
          </cell>
          <cell r="M1489">
            <v>0</v>
          </cell>
          <cell r="N1489">
            <v>309</v>
          </cell>
          <cell r="O1489">
            <v>0</v>
          </cell>
          <cell r="P1489">
            <v>302</v>
          </cell>
          <cell r="Q1489">
            <v>0</v>
          </cell>
          <cell r="R1489">
            <v>314</v>
          </cell>
          <cell r="S1489">
            <v>0</v>
          </cell>
          <cell r="T1489">
            <v>314</v>
          </cell>
          <cell r="U1489">
            <v>0</v>
          </cell>
          <cell r="V1489">
            <v>319</v>
          </cell>
          <cell r="W1489">
            <v>0</v>
          </cell>
          <cell r="X1489">
            <v>309</v>
          </cell>
          <cell r="Y1489">
            <v>0</v>
          </cell>
          <cell r="Z1489">
            <v>319</v>
          </cell>
          <cell r="AA1489">
            <v>0</v>
          </cell>
          <cell r="AB1489">
            <v>0</v>
          </cell>
          <cell r="AC1489">
            <v>0</v>
          </cell>
          <cell r="AD1489">
            <v>0.03</v>
          </cell>
          <cell r="AE1489">
            <v>0</v>
          </cell>
          <cell r="AF1489">
            <v>0</v>
          </cell>
          <cell r="AG1489">
            <v>0</v>
          </cell>
          <cell r="AH1489">
            <v>0</v>
          </cell>
          <cell r="AI1489">
            <v>0</v>
          </cell>
          <cell r="AJ1489">
            <v>0</v>
          </cell>
          <cell r="AK1489">
            <v>0</v>
          </cell>
          <cell r="AL1489">
            <v>0</v>
          </cell>
        </row>
        <row r="1490">
          <cell r="E1490" t="str">
            <v>CVV 1.25sq-4C</v>
          </cell>
          <cell r="F1490" t="str">
            <v>ｍ</v>
          </cell>
          <cell r="G1490">
            <v>0</v>
          </cell>
          <cell r="H1490">
            <v>106</v>
          </cell>
          <cell r="I1490">
            <v>0</v>
          </cell>
          <cell r="J1490">
            <v>107</v>
          </cell>
          <cell r="K1490">
            <v>0</v>
          </cell>
          <cell r="L1490">
            <v>107</v>
          </cell>
          <cell r="M1490">
            <v>0</v>
          </cell>
          <cell r="N1490">
            <v>104</v>
          </cell>
          <cell r="O1490">
            <v>0</v>
          </cell>
          <cell r="P1490">
            <v>101</v>
          </cell>
          <cell r="Q1490">
            <v>0</v>
          </cell>
          <cell r="R1490">
            <v>106</v>
          </cell>
          <cell r="S1490">
            <v>0</v>
          </cell>
          <cell r="T1490">
            <v>106</v>
          </cell>
          <cell r="U1490">
            <v>0</v>
          </cell>
          <cell r="V1490">
            <v>107</v>
          </cell>
          <cell r="W1490">
            <v>0</v>
          </cell>
          <cell r="X1490">
            <v>104</v>
          </cell>
          <cell r="Y1490">
            <v>0</v>
          </cell>
          <cell r="Z1490">
            <v>107</v>
          </cell>
          <cell r="AA1490">
            <v>0</v>
          </cell>
          <cell r="AB1490">
            <v>0</v>
          </cell>
          <cell r="AC1490">
            <v>0</v>
          </cell>
          <cell r="AD1490">
            <v>1.9E-2</v>
          </cell>
          <cell r="AE1490">
            <v>0</v>
          </cell>
          <cell r="AF1490">
            <v>0</v>
          </cell>
          <cell r="AG1490">
            <v>0</v>
          </cell>
          <cell r="AH1490">
            <v>0</v>
          </cell>
          <cell r="AI1490">
            <v>0</v>
          </cell>
          <cell r="AJ1490">
            <v>0</v>
          </cell>
          <cell r="AK1490">
            <v>0</v>
          </cell>
          <cell r="AL1490">
            <v>0</v>
          </cell>
        </row>
        <row r="1491">
          <cell r="E1491" t="str">
            <v>CVV 2sq-4C</v>
          </cell>
          <cell r="F1491" t="str">
            <v>ｍ</v>
          </cell>
          <cell r="G1491">
            <v>0</v>
          </cell>
          <cell r="H1491">
            <v>145</v>
          </cell>
          <cell r="I1491">
            <v>0</v>
          </cell>
          <cell r="J1491">
            <v>147</v>
          </cell>
          <cell r="K1491">
            <v>0</v>
          </cell>
          <cell r="L1491">
            <v>147</v>
          </cell>
          <cell r="M1491">
            <v>0</v>
          </cell>
          <cell r="N1491">
            <v>142</v>
          </cell>
          <cell r="O1491">
            <v>0</v>
          </cell>
          <cell r="P1491">
            <v>139</v>
          </cell>
          <cell r="Q1491">
            <v>0</v>
          </cell>
          <cell r="R1491">
            <v>145</v>
          </cell>
          <cell r="S1491">
            <v>0</v>
          </cell>
          <cell r="T1491">
            <v>145</v>
          </cell>
          <cell r="U1491">
            <v>0</v>
          </cell>
          <cell r="V1491">
            <v>147</v>
          </cell>
          <cell r="W1491">
            <v>0</v>
          </cell>
          <cell r="X1491">
            <v>142</v>
          </cell>
          <cell r="Y1491">
            <v>0</v>
          </cell>
          <cell r="Z1491">
            <v>147</v>
          </cell>
          <cell r="AA1491">
            <v>0</v>
          </cell>
          <cell r="AB1491">
            <v>0</v>
          </cell>
          <cell r="AC1491">
            <v>0</v>
          </cell>
          <cell r="AD1491">
            <v>2.1999999999999999E-2</v>
          </cell>
          <cell r="AE1491">
            <v>0</v>
          </cell>
          <cell r="AF1491">
            <v>0</v>
          </cell>
          <cell r="AG1491">
            <v>0</v>
          </cell>
          <cell r="AH1491">
            <v>0</v>
          </cell>
          <cell r="AI1491">
            <v>0</v>
          </cell>
          <cell r="AJ1491">
            <v>0</v>
          </cell>
          <cell r="AK1491">
            <v>0</v>
          </cell>
          <cell r="AL1491">
            <v>0</v>
          </cell>
        </row>
        <row r="1492">
          <cell r="E1492" t="str">
            <v>CVV 3.5sq-4C</v>
          </cell>
          <cell r="F1492" t="str">
            <v>ｍ</v>
          </cell>
          <cell r="G1492">
            <v>0</v>
          </cell>
          <cell r="H1492">
            <v>211</v>
          </cell>
          <cell r="I1492">
            <v>0</v>
          </cell>
          <cell r="J1492">
            <v>215</v>
          </cell>
          <cell r="K1492">
            <v>0</v>
          </cell>
          <cell r="L1492">
            <v>215</v>
          </cell>
          <cell r="M1492">
            <v>0</v>
          </cell>
          <cell r="N1492">
            <v>208</v>
          </cell>
          <cell r="O1492">
            <v>0</v>
          </cell>
          <cell r="P1492">
            <v>203</v>
          </cell>
          <cell r="Q1492">
            <v>0</v>
          </cell>
          <cell r="R1492">
            <v>211</v>
          </cell>
          <cell r="S1492">
            <v>0</v>
          </cell>
          <cell r="T1492">
            <v>211</v>
          </cell>
          <cell r="U1492">
            <v>0</v>
          </cell>
          <cell r="V1492">
            <v>215</v>
          </cell>
          <cell r="W1492">
            <v>0</v>
          </cell>
          <cell r="X1492">
            <v>208</v>
          </cell>
          <cell r="Y1492">
            <v>0</v>
          </cell>
          <cell r="Z1492">
            <v>215</v>
          </cell>
          <cell r="AA1492">
            <v>0</v>
          </cell>
          <cell r="AB1492">
            <v>0</v>
          </cell>
          <cell r="AC1492">
            <v>0</v>
          </cell>
          <cell r="AD1492">
            <v>2.3E-2</v>
          </cell>
          <cell r="AE1492">
            <v>0</v>
          </cell>
          <cell r="AF1492">
            <v>0</v>
          </cell>
          <cell r="AG1492">
            <v>0</v>
          </cell>
          <cell r="AH1492">
            <v>0</v>
          </cell>
          <cell r="AI1492">
            <v>0</v>
          </cell>
          <cell r="AJ1492">
            <v>0</v>
          </cell>
          <cell r="AK1492">
            <v>0</v>
          </cell>
          <cell r="AL1492">
            <v>0</v>
          </cell>
        </row>
        <row r="1493">
          <cell r="E1493" t="str">
            <v>CVV 5.5sq-4C</v>
          </cell>
          <cell r="F1493" t="str">
            <v>ｍ</v>
          </cell>
          <cell r="G1493">
            <v>0</v>
          </cell>
          <cell r="H1493">
            <v>303</v>
          </cell>
          <cell r="I1493">
            <v>0</v>
          </cell>
          <cell r="J1493">
            <v>308</v>
          </cell>
          <cell r="K1493">
            <v>0</v>
          </cell>
          <cell r="L1493">
            <v>308</v>
          </cell>
          <cell r="M1493">
            <v>0</v>
          </cell>
          <cell r="N1493">
            <v>299</v>
          </cell>
          <cell r="O1493">
            <v>0</v>
          </cell>
          <cell r="P1493">
            <v>292</v>
          </cell>
          <cell r="Q1493">
            <v>0</v>
          </cell>
          <cell r="R1493">
            <v>303</v>
          </cell>
          <cell r="S1493">
            <v>0</v>
          </cell>
          <cell r="T1493">
            <v>303</v>
          </cell>
          <cell r="U1493">
            <v>0</v>
          </cell>
          <cell r="V1493">
            <v>308</v>
          </cell>
          <cell r="W1493">
            <v>0</v>
          </cell>
          <cell r="X1493">
            <v>299</v>
          </cell>
          <cell r="Y1493">
            <v>0</v>
          </cell>
          <cell r="Z1493">
            <v>308</v>
          </cell>
          <cell r="AA1493">
            <v>0</v>
          </cell>
          <cell r="AB1493">
            <v>0</v>
          </cell>
          <cell r="AC1493">
            <v>0</v>
          </cell>
          <cell r="AD1493">
            <v>2.8000000000000001E-2</v>
          </cell>
          <cell r="AE1493">
            <v>0</v>
          </cell>
          <cell r="AF1493">
            <v>0</v>
          </cell>
          <cell r="AG1493">
            <v>0</v>
          </cell>
          <cell r="AH1493">
            <v>0</v>
          </cell>
          <cell r="AI1493">
            <v>0</v>
          </cell>
          <cell r="AJ1493">
            <v>0</v>
          </cell>
          <cell r="AK1493">
            <v>0</v>
          </cell>
          <cell r="AL1493">
            <v>0</v>
          </cell>
        </row>
        <row r="1494">
          <cell r="E1494" t="str">
            <v>CVV 8sq-4C</v>
          </cell>
          <cell r="F1494" t="str">
            <v>ｍ</v>
          </cell>
          <cell r="G1494">
            <v>0</v>
          </cell>
          <cell r="H1494">
            <v>413</v>
          </cell>
          <cell r="I1494">
            <v>0</v>
          </cell>
          <cell r="J1494">
            <v>419</v>
          </cell>
          <cell r="K1494">
            <v>0</v>
          </cell>
          <cell r="L1494">
            <v>419</v>
          </cell>
          <cell r="M1494">
            <v>0</v>
          </cell>
          <cell r="N1494">
            <v>406</v>
          </cell>
          <cell r="O1494">
            <v>0</v>
          </cell>
          <cell r="P1494">
            <v>397</v>
          </cell>
          <cell r="Q1494">
            <v>0</v>
          </cell>
          <cell r="R1494">
            <v>413</v>
          </cell>
          <cell r="S1494">
            <v>0</v>
          </cell>
          <cell r="T1494">
            <v>413</v>
          </cell>
          <cell r="U1494">
            <v>0</v>
          </cell>
          <cell r="V1494">
            <v>419</v>
          </cell>
          <cell r="W1494">
            <v>0</v>
          </cell>
          <cell r="X1494">
            <v>406</v>
          </cell>
          <cell r="Y1494">
            <v>0</v>
          </cell>
          <cell r="Z1494">
            <v>419</v>
          </cell>
          <cell r="AA1494">
            <v>0</v>
          </cell>
          <cell r="AB1494">
            <v>0</v>
          </cell>
          <cell r="AC1494">
            <v>0</v>
          </cell>
          <cell r="AD1494">
            <v>3.4000000000000002E-2</v>
          </cell>
          <cell r="AE1494">
            <v>0</v>
          </cell>
          <cell r="AF1494">
            <v>0</v>
          </cell>
          <cell r="AG1494">
            <v>0</v>
          </cell>
          <cell r="AH1494">
            <v>0</v>
          </cell>
          <cell r="AI1494">
            <v>0</v>
          </cell>
          <cell r="AJ1494">
            <v>0</v>
          </cell>
          <cell r="AK1494">
            <v>0</v>
          </cell>
          <cell r="AL1494">
            <v>0</v>
          </cell>
        </row>
        <row r="1495">
          <cell r="E1495" t="str">
            <v>CVV 1.25sq-5C</v>
          </cell>
          <cell r="F1495" t="str">
            <v>ｍ</v>
          </cell>
          <cell r="G1495">
            <v>0</v>
          </cell>
          <cell r="H1495">
            <v>120</v>
          </cell>
          <cell r="I1495">
            <v>0</v>
          </cell>
          <cell r="J1495">
            <v>122</v>
          </cell>
          <cell r="K1495">
            <v>0</v>
          </cell>
          <cell r="L1495">
            <v>122</v>
          </cell>
          <cell r="M1495">
            <v>0</v>
          </cell>
          <cell r="N1495">
            <v>118</v>
          </cell>
          <cell r="O1495">
            <v>0</v>
          </cell>
          <cell r="P1495">
            <v>115</v>
          </cell>
          <cell r="Q1495">
            <v>0</v>
          </cell>
          <cell r="R1495">
            <v>120</v>
          </cell>
          <cell r="S1495">
            <v>0</v>
          </cell>
          <cell r="T1495">
            <v>120</v>
          </cell>
          <cell r="U1495">
            <v>0</v>
          </cell>
          <cell r="V1495">
            <v>122</v>
          </cell>
          <cell r="W1495">
            <v>0</v>
          </cell>
          <cell r="X1495">
            <v>118</v>
          </cell>
          <cell r="Y1495">
            <v>0</v>
          </cell>
          <cell r="Z1495">
            <v>122</v>
          </cell>
          <cell r="AA1495">
            <v>0</v>
          </cell>
          <cell r="AB1495">
            <v>0</v>
          </cell>
          <cell r="AC1495">
            <v>0</v>
          </cell>
          <cell r="AD1495">
            <v>2.5000000000000001E-2</v>
          </cell>
          <cell r="AE1495">
            <v>0</v>
          </cell>
          <cell r="AF1495">
            <v>0</v>
          </cell>
          <cell r="AG1495">
            <v>0</v>
          </cell>
          <cell r="AH1495">
            <v>0</v>
          </cell>
          <cell r="AI1495">
            <v>0</v>
          </cell>
          <cell r="AJ1495">
            <v>0</v>
          </cell>
          <cell r="AK1495">
            <v>0</v>
          </cell>
          <cell r="AL1495">
            <v>0</v>
          </cell>
        </row>
        <row r="1496">
          <cell r="E1496" t="str">
            <v>CVV 2sq-5C</v>
          </cell>
          <cell r="F1496" t="str">
            <v>ｍ</v>
          </cell>
          <cell r="G1496">
            <v>0</v>
          </cell>
          <cell r="H1496">
            <v>167</v>
          </cell>
          <cell r="I1496">
            <v>0</v>
          </cell>
          <cell r="J1496">
            <v>170</v>
          </cell>
          <cell r="K1496">
            <v>0</v>
          </cell>
          <cell r="L1496">
            <v>170</v>
          </cell>
          <cell r="M1496">
            <v>0</v>
          </cell>
          <cell r="N1496">
            <v>164</v>
          </cell>
          <cell r="O1496">
            <v>0</v>
          </cell>
          <cell r="P1496">
            <v>161</v>
          </cell>
          <cell r="Q1496">
            <v>0</v>
          </cell>
          <cell r="R1496">
            <v>167</v>
          </cell>
          <cell r="S1496">
            <v>0</v>
          </cell>
          <cell r="T1496">
            <v>167</v>
          </cell>
          <cell r="U1496">
            <v>0</v>
          </cell>
          <cell r="V1496">
            <v>170</v>
          </cell>
          <cell r="W1496">
            <v>0</v>
          </cell>
          <cell r="X1496">
            <v>164</v>
          </cell>
          <cell r="Y1496">
            <v>0</v>
          </cell>
          <cell r="Z1496">
            <v>170</v>
          </cell>
          <cell r="AA1496">
            <v>0</v>
          </cell>
          <cell r="AB1496">
            <v>0</v>
          </cell>
          <cell r="AC1496">
            <v>0</v>
          </cell>
          <cell r="AD1496">
            <v>2.8000000000000001E-2</v>
          </cell>
          <cell r="AE1496">
            <v>0</v>
          </cell>
          <cell r="AF1496">
            <v>0</v>
          </cell>
          <cell r="AG1496">
            <v>0</v>
          </cell>
          <cell r="AH1496">
            <v>0</v>
          </cell>
          <cell r="AI1496">
            <v>0</v>
          </cell>
          <cell r="AJ1496">
            <v>0</v>
          </cell>
          <cell r="AK1496">
            <v>0</v>
          </cell>
          <cell r="AL1496">
            <v>0</v>
          </cell>
        </row>
        <row r="1497">
          <cell r="E1497" t="str">
            <v>CVV 3.5sq-5C</v>
          </cell>
          <cell r="F1497" t="str">
            <v>ｍ</v>
          </cell>
          <cell r="G1497">
            <v>0</v>
          </cell>
          <cell r="H1497">
            <v>250</v>
          </cell>
          <cell r="I1497">
            <v>0</v>
          </cell>
          <cell r="J1497">
            <v>254</v>
          </cell>
          <cell r="K1497">
            <v>0</v>
          </cell>
          <cell r="L1497">
            <v>254</v>
          </cell>
          <cell r="M1497">
            <v>0</v>
          </cell>
          <cell r="N1497">
            <v>246</v>
          </cell>
          <cell r="O1497">
            <v>0</v>
          </cell>
          <cell r="P1497">
            <v>240</v>
          </cell>
          <cell r="Q1497">
            <v>0</v>
          </cell>
          <cell r="R1497">
            <v>250</v>
          </cell>
          <cell r="S1497">
            <v>0</v>
          </cell>
          <cell r="T1497">
            <v>250</v>
          </cell>
          <cell r="U1497">
            <v>0</v>
          </cell>
          <cell r="V1497">
            <v>254</v>
          </cell>
          <cell r="W1497">
            <v>0</v>
          </cell>
          <cell r="X1497">
            <v>246</v>
          </cell>
          <cell r="Y1497">
            <v>0</v>
          </cell>
          <cell r="Z1497">
            <v>254</v>
          </cell>
          <cell r="AA1497">
            <v>0</v>
          </cell>
          <cell r="AB1497">
            <v>0</v>
          </cell>
          <cell r="AC1497">
            <v>0</v>
          </cell>
          <cell r="AD1497">
            <v>0.03</v>
          </cell>
          <cell r="AE1497">
            <v>0</v>
          </cell>
          <cell r="AF1497">
            <v>0</v>
          </cell>
          <cell r="AG1497">
            <v>0</v>
          </cell>
          <cell r="AH1497">
            <v>0</v>
          </cell>
          <cell r="AI1497">
            <v>0</v>
          </cell>
          <cell r="AJ1497">
            <v>0</v>
          </cell>
          <cell r="AK1497">
            <v>0</v>
          </cell>
          <cell r="AL1497">
            <v>0</v>
          </cell>
        </row>
        <row r="1498">
          <cell r="E1498" t="str">
            <v>CVV 5.5sq-5C</v>
          </cell>
          <cell r="F1498" t="str">
            <v>ｍ</v>
          </cell>
          <cell r="G1498">
            <v>0</v>
          </cell>
          <cell r="H1498">
            <v>371</v>
          </cell>
          <cell r="I1498">
            <v>0</v>
          </cell>
          <cell r="J1498">
            <v>376</v>
          </cell>
          <cell r="K1498">
            <v>0</v>
          </cell>
          <cell r="L1498">
            <v>376</v>
          </cell>
          <cell r="M1498">
            <v>0</v>
          </cell>
          <cell r="N1498">
            <v>365</v>
          </cell>
          <cell r="O1498">
            <v>0</v>
          </cell>
          <cell r="P1498">
            <v>356</v>
          </cell>
          <cell r="Q1498">
            <v>0</v>
          </cell>
          <cell r="R1498">
            <v>371</v>
          </cell>
          <cell r="S1498">
            <v>0</v>
          </cell>
          <cell r="T1498">
            <v>371</v>
          </cell>
          <cell r="U1498">
            <v>0</v>
          </cell>
          <cell r="V1498">
            <v>376</v>
          </cell>
          <cell r="W1498">
            <v>0</v>
          </cell>
          <cell r="X1498">
            <v>365</v>
          </cell>
          <cell r="Y1498">
            <v>0</v>
          </cell>
          <cell r="Z1498">
            <v>376</v>
          </cell>
          <cell r="AA1498">
            <v>0</v>
          </cell>
          <cell r="AB1498">
            <v>0</v>
          </cell>
          <cell r="AC1498">
            <v>0</v>
          </cell>
          <cell r="AD1498">
            <v>3.6999999999999998E-2</v>
          </cell>
          <cell r="AE1498">
            <v>0</v>
          </cell>
          <cell r="AF1498">
            <v>0</v>
          </cell>
          <cell r="AG1498">
            <v>0</v>
          </cell>
          <cell r="AH1498">
            <v>0</v>
          </cell>
          <cell r="AI1498">
            <v>0</v>
          </cell>
          <cell r="AJ1498">
            <v>0</v>
          </cell>
          <cell r="AK1498">
            <v>0</v>
          </cell>
          <cell r="AL1498">
            <v>0</v>
          </cell>
        </row>
        <row r="1499">
          <cell r="E1499" t="str">
            <v>CVV 8sq-5C</v>
          </cell>
          <cell r="F1499" t="str">
            <v>ｍ</v>
          </cell>
          <cell r="G1499">
            <v>0</v>
          </cell>
          <cell r="H1499">
            <v>531</v>
          </cell>
          <cell r="I1499">
            <v>0</v>
          </cell>
          <cell r="J1499">
            <v>539</v>
          </cell>
          <cell r="K1499">
            <v>0</v>
          </cell>
          <cell r="L1499">
            <v>539</v>
          </cell>
          <cell r="M1499">
            <v>0</v>
          </cell>
          <cell r="N1499">
            <v>522</v>
          </cell>
          <cell r="O1499">
            <v>0</v>
          </cell>
          <cell r="P1499">
            <v>510</v>
          </cell>
          <cell r="Q1499">
            <v>0</v>
          </cell>
          <cell r="R1499">
            <v>531</v>
          </cell>
          <cell r="S1499">
            <v>0</v>
          </cell>
          <cell r="T1499">
            <v>531</v>
          </cell>
          <cell r="U1499">
            <v>0</v>
          </cell>
          <cell r="V1499">
            <v>539</v>
          </cell>
          <cell r="W1499">
            <v>0</v>
          </cell>
          <cell r="X1499">
            <v>522</v>
          </cell>
          <cell r="Y1499">
            <v>0</v>
          </cell>
          <cell r="Z1499">
            <v>539</v>
          </cell>
          <cell r="AA1499">
            <v>0</v>
          </cell>
          <cell r="AB1499">
            <v>0</v>
          </cell>
          <cell r="AC1499">
            <v>0</v>
          </cell>
          <cell r="AD1499">
            <v>4.3999999999999997E-2</v>
          </cell>
          <cell r="AE1499">
            <v>0</v>
          </cell>
          <cell r="AF1499">
            <v>0</v>
          </cell>
          <cell r="AG1499">
            <v>0</v>
          </cell>
          <cell r="AH1499">
            <v>0</v>
          </cell>
          <cell r="AI1499">
            <v>0</v>
          </cell>
          <cell r="AJ1499">
            <v>0</v>
          </cell>
          <cell r="AK1499">
            <v>0</v>
          </cell>
          <cell r="AL1499">
            <v>0</v>
          </cell>
        </row>
        <row r="1500">
          <cell r="E1500" t="str">
            <v>CVV 1.25sq-6C</v>
          </cell>
          <cell r="F1500" t="str">
            <v>ｍ</v>
          </cell>
          <cell r="G1500">
            <v>0</v>
          </cell>
          <cell r="H1500">
            <v>140</v>
          </cell>
          <cell r="I1500">
            <v>0</v>
          </cell>
          <cell r="J1500">
            <v>142</v>
          </cell>
          <cell r="K1500">
            <v>0</v>
          </cell>
          <cell r="L1500">
            <v>142</v>
          </cell>
          <cell r="M1500">
            <v>0</v>
          </cell>
          <cell r="N1500">
            <v>138</v>
          </cell>
          <cell r="O1500">
            <v>0</v>
          </cell>
          <cell r="P1500">
            <v>135</v>
          </cell>
          <cell r="Q1500">
            <v>0</v>
          </cell>
          <cell r="R1500">
            <v>140</v>
          </cell>
          <cell r="S1500">
            <v>0</v>
          </cell>
          <cell r="T1500">
            <v>140</v>
          </cell>
          <cell r="U1500">
            <v>0</v>
          </cell>
          <cell r="V1500">
            <v>142</v>
          </cell>
          <cell r="W1500">
            <v>0</v>
          </cell>
          <cell r="X1500">
            <v>138</v>
          </cell>
          <cell r="Y1500">
            <v>0</v>
          </cell>
          <cell r="Z1500">
            <v>142</v>
          </cell>
          <cell r="AA1500">
            <v>0</v>
          </cell>
          <cell r="AB1500">
            <v>0</v>
          </cell>
          <cell r="AC1500">
            <v>0</v>
          </cell>
          <cell r="AD1500">
            <v>2.5000000000000001E-2</v>
          </cell>
          <cell r="AE1500">
            <v>0</v>
          </cell>
          <cell r="AF1500">
            <v>0</v>
          </cell>
          <cell r="AG1500">
            <v>0</v>
          </cell>
          <cell r="AH1500">
            <v>0</v>
          </cell>
          <cell r="AI1500">
            <v>0</v>
          </cell>
          <cell r="AJ1500">
            <v>0</v>
          </cell>
          <cell r="AK1500">
            <v>0</v>
          </cell>
          <cell r="AL1500">
            <v>0</v>
          </cell>
        </row>
        <row r="1501">
          <cell r="E1501" t="str">
            <v>CVV 2sq-6C</v>
          </cell>
          <cell r="F1501" t="str">
            <v>ｍ</v>
          </cell>
          <cell r="G1501">
            <v>0</v>
          </cell>
          <cell r="H1501">
            <v>203</v>
          </cell>
          <cell r="I1501">
            <v>0</v>
          </cell>
          <cell r="J1501">
            <v>206</v>
          </cell>
          <cell r="K1501">
            <v>0</v>
          </cell>
          <cell r="L1501">
            <v>206</v>
          </cell>
          <cell r="M1501">
            <v>0</v>
          </cell>
          <cell r="N1501">
            <v>200</v>
          </cell>
          <cell r="O1501">
            <v>0</v>
          </cell>
          <cell r="P1501">
            <v>195</v>
          </cell>
          <cell r="Q1501">
            <v>0</v>
          </cell>
          <cell r="R1501">
            <v>203</v>
          </cell>
          <cell r="S1501">
            <v>0</v>
          </cell>
          <cell r="T1501">
            <v>203</v>
          </cell>
          <cell r="U1501">
            <v>0</v>
          </cell>
          <cell r="V1501">
            <v>206</v>
          </cell>
          <cell r="W1501">
            <v>0</v>
          </cell>
          <cell r="X1501">
            <v>200</v>
          </cell>
          <cell r="Y1501">
            <v>0</v>
          </cell>
          <cell r="Z1501">
            <v>206</v>
          </cell>
          <cell r="AA1501">
            <v>0</v>
          </cell>
          <cell r="AB1501">
            <v>0</v>
          </cell>
          <cell r="AC1501">
            <v>0</v>
          </cell>
          <cell r="AD1501">
            <v>2.8000000000000001E-2</v>
          </cell>
          <cell r="AE1501">
            <v>0</v>
          </cell>
          <cell r="AF1501">
            <v>0</v>
          </cell>
          <cell r="AG1501">
            <v>0</v>
          </cell>
          <cell r="AH1501">
            <v>0</v>
          </cell>
          <cell r="AI1501">
            <v>0</v>
          </cell>
          <cell r="AJ1501">
            <v>0</v>
          </cell>
          <cell r="AK1501">
            <v>0</v>
          </cell>
          <cell r="AL1501">
            <v>0</v>
          </cell>
        </row>
        <row r="1502">
          <cell r="E1502" t="str">
            <v>CVV 3.5sq-6C</v>
          </cell>
          <cell r="F1502" t="str">
            <v>ｍ</v>
          </cell>
          <cell r="G1502">
            <v>0</v>
          </cell>
          <cell r="H1502">
            <v>301</v>
          </cell>
          <cell r="I1502">
            <v>0</v>
          </cell>
          <cell r="J1502">
            <v>306</v>
          </cell>
          <cell r="K1502">
            <v>0</v>
          </cell>
          <cell r="L1502">
            <v>306</v>
          </cell>
          <cell r="M1502">
            <v>0</v>
          </cell>
          <cell r="N1502">
            <v>296</v>
          </cell>
          <cell r="O1502">
            <v>0</v>
          </cell>
          <cell r="P1502">
            <v>289</v>
          </cell>
          <cell r="Q1502">
            <v>0</v>
          </cell>
          <cell r="R1502">
            <v>301</v>
          </cell>
          <cell r="S1502">
            <v>0</v>
          </cell>
          <cell r="T1502">
            <v>301</v>
          </cell>
          <cell r="U1502">
            <v>0</v>
          </cell>
          <cell r="V1502">
            <v>306</v>
          </cell>
          <cell r="W1502">
            <v>0</v>
          </cell>
          <cell r="X1502">
            <v>296</v>
          </cell>
          <cell r="Y1502">
            <v>0</v>
          </cell>
          <cell r="Z1502">
            <v>306</v>
          </cell>
          <cell r="AA1502">
            <v>0</v>
          </cell>
          <cell r="AB1502">
            <v>0</v>
          </cell>
          <cell r="AC1502">
            <v>0</v>
          </cell>
          <cell r="AD1502">
            <v>0.03</v>
          </cell>
          <cell r="AE1502">
            <v>0</v>
          </cell>
          <cell r="AF1502">
            <v>0</v>
          </cell>
          <cell r="AG1502">
            <v>0</v>
          </cell>
          <cell r="AH1502">
            <v>0</v>
          </cell>
          <cell r="AI1502">
            <v>0</v>
          </cell>
          <cell r="AJ1502">
            <v>0</v>
          </cell>
          <cell r="AK1502">
            <v>0</v>
          </cell>
          <cell r="AL1502">
            <v>0</v>
          </cell>
        </row>
        <row r="1503">
          <cell r="E1503" t="str">
            <v>CVV 5.5sq-6C</v>
          </cell>
          <cell r="F1503" t="str">
            <v>ｍ</v>
          </cell>
          <cell r="G1503">
            <v>0</v>
          </cell>
          <cell r="H1503">
            <v>442</v>
          </cell>
          <cell r="I1503">
            <v>0</v>
          </cell>
          <cell r="J1503">
            <v>449</v>
          </cell>
          <cell r="K1503">
            <v>0</v>
          </cell>
          <cell r="L1503">
            <v>449</v>
          </cell>
          <cell r="M1503">
            <v>0</v>
          </cell>
          <cell r="N1503">
            <v>435</v>
          </cell>
          <cell r="O1503">
            <v>0</v>
          </cell>
          <cell r="P1503">
            <v>425</v>
          </cell>
          <cell r="Q1503">
            <v>0</v>
          </cell>
          <cell r="R1503">
            <v>442</v>
          </cell>
          <cell r="S1503">
            <v>0</v>
          </cell>
          <cell r="T1503">
            <v>442</v>
          </cell>
          <cell r="U1503">
            <v>0</v>
          </cell>
          <cell r="V1503">
            <v>449</v>
          </cell>
          <cell r="W1503">
            <v>0</v>
          </cell>
          <cell r="X1503">
            <v>435</v>
          </cell>
          <cell r="Y1503">
            <v>0</v>
          </cell>
          <cell r="Z1503">
            <v>449</v>
          </cell>
          <cell r="AA1503">
            <v>0</v>
          </cell>
          <cell r="AB1503">
            <v>0</v>
          </cell>
          <cell r="AC1503">
            <v>0</v>
          </cell>
          <cell r="AD1503">
            <v>3.6999999999999998E-2</v>
          </cell>
          <cell r="AE1503">
            <v>0</v>
          </cell>
          <cell r="AF1503">
            <v>0</v>
          </cell>
          <cell r="AG1503">
            <v>0</v>
          </cell>
          <cell r="AH1503">
            <v>0</v>
          </cell>
          <cell r="AI1503">
            <v>0</v>
          </cell>
          <cell r="AJ1503">
            <v>0</v>
          </cell>
          <cell r="AK1503">
            <v>0</v>
          </cell>
          <cell r="AL1503">
            <v>0</v>
          </cell>
        </row>
        <row r="1504">
          <cell r="E1504" t="str">
            <v>CVV 8sq-6C</v>
          </cell>
          <cell r="F1504" t="str">
            <v>ｍ</v>
          </cell>
          <cell r="G1504">
            <v>0</v>
          </cell>
          <cell r="H1504">
            <v>618</v>
          </cell>
          <cell r="I1504">
            <v>0</v>
          </cell>
          <cell r="J1504">
            <v>627</v>
          </cell>
          <cell r="K1504">
            <v>0</v>
          </cell>
          <cell r="L1504">
            <v>627</v>
          </cell>
          <cell r="M1504">
            <v>0</v>
          </cell>
          <cell r="N1504">
            <v>608</v>
          </cell>
          <cell r="O1504">
            <v>0</v>
          </cell>
          <cell r="P1504">
            <v>593</v>
          </cell>
          <cell r="Q1504">
            <v>0</v>
          </cell>
          <cell r="R1504">
            <v>618</v>
          </cell>
          <cell r="S1504">
            <v>0</v>
          </cell>
          <cell r="T1504">
            <v>618</v>
          </cell>
          <cell r="U1504">
            <v>0</v>
          </cell>
          <cell r="V1504">
            <v>627</v>
          </cell>
          <cell r="W1504">
            <v>0</v>
          </cell>
          <cell r="X1504">
            <v>608</v>
          </cell>
          <cell r="Y1504">
            <v>0</v>
          </cell>
          <cell r="Z1504">
            <v>627</v>
          </cell>
          <cell r="AA1504">
            <v>0</v>
          </cell>
          <cell r="AB1504">
            <v>0</v>
          </cell>
          <cell r="AC1504">
            <v>0</v>
          </cell>
          <cell r="AD1504">
            <v>4.3999999999999997E-2</v>
          </cell>
          <cell r="AE1504">
            <v>0</v>
          </cell>
          <cell r="AF1504">
            <v>0</v>
          </cell>
          <cell r="AG1504">
            <v>0</v>
          </cell>
          <cell r="AH1504">
            <v>0</v>
          </cell>
          <cell r="AI1504">
            <v>0</v>
          </cell>
          <cell r="AJ1504">
            <v>0</v>
          </cell>
          <cell r="AK1504">
            <v>0</v>
          </cell>
          <cell r="AL1504">
            <v>0</v>
          </cell>
        </row>
        <row r="1505">
          <cell r="E1505" t="str">
            <v>CVV 1.25sq-7C</v>
          </cell>
          <cell r="F1505" t="str">
            <v>ｍ</v>
          </cell>
          <cell r="G1505">
            <v>0</v>
          </cell>
          <cell r="H1505">
            <v>162</v>
          </cell>
          <cell r="I1505">
            <v>0</v>
          </cell>
          <cell r="J1505">
            <v>164</v>
          </cell>
          <cell r="K1505">
            <v>0</v>
          </cell>
          <cell r="L1505">
            <v>164</v>
          </cell>
          <cell r="M1505">
            <v>0</v>
          </cell>
          <cell r="N1505">
            <v>159</v>
          </cell>
          <cell r="O1505">
            <v>0</v>
          </cell>
          <cell r="P1505">
            <v>156</v>
          </cell>
          <cell r="Q1505">
            <v>0</v>
          </cell>
          <cell r="R1505">
            <v>162</v>
          </cell>
          <cell r="S1505">
            <v>0</v>
          </cell>
          <cell r="T1505">
            <v>162</v>
          </cell>
          <cell r="U1505">
            <v>0</v>
          </cell>
          <cell r="V1505">
            <v>164</v>
          </cell>
          <cell r="W1505">
            <v>0</v>
          </cell>
          <cell r="X1505">
            <v>159</v>
          </cell>
          <cell r="Y1505">
            <v>0</v>
          </cell>
          <cell r="Z1505">
            <v>164</v>
          </cell>
          <cell r="AA1505">
            <v>0</v>
          </cell>
          <cell r="AB1505">
            <v>0</v>
          </cell>
          <cell r="AC1505">
            <v>0</v>
          </cell>
          <cell r="AD1505">
            <v>0.03</v>
          </cell>
          <cell r="AE1505">
            <v>0</v>
          </cell>
          <cell r="AF1505">
            <v>0</v>
          </cell>
          <cell r="AG1505">
            <v>0</v>
          </cell>
          <cell r="AH1505">
            <v>0</v>
          </cell>
          <cell r="AI1505">
            <v>0</v>
          </cell>
          <cell r="AJ1505">
            <v>0</v>
          </cell>
          <cell r="AK1505">
            <v>0</v>
          </cell>
          <cell r="AL1505">
            <v>0</v>
          </cell>
        </row>
        <row r="1506">
          <cell r="E1506" t="str">
            <v>CVV 2sq-7C</v>
          </cell>
          <cell r="F1506" t="str">
            <v>ｍ</v>
          </cell>
          <cell r="G1506">
            <v>0</v>
          </cell>
          <cell r="H1506">
            <v>230</v>
          </cell>
          <cell r="I1506">
            <v>0</v>
          </cell>
          <cell r="J1506">
            <v>234</v>
          </cell>
          <cell r="K1506">
            <v>0</v>
          </cell>
          <cell r="L1506">
            <v>234</v>
          </cell>
          <cell r="M1506">
            <v>0</v>
          </cell>
          <cell r="N1506">
            <v>227</v>
          </cell>
          <cell r="O1506">
            <v>0</v>
          </cell>
          <cell r="P1506">
            <v>221</v>
          </cell>
          <cell r="Q1506">
            <v>0</v>
          </cell>
          <cell r="R1506">
            <v>230</v>
          </cell>
          <cell r="S1506">
            <v>0</v>
          </cell>
          <cell r="T1506">
            <v>230</v>
          </cell>
          <cell r="U1506">
            <v>0</v>
          </cell>
          <cell r="V1506">
            <v>234</v>
          </cell>
          <cell r="W1506">
            <v>0</v>
          </cell>
          <cell r="X1506">
            <v>227</v>
          </cell>
          <cell r="Y1506">
            <v>0</v>
          </cell>
          <cell r="Z1506">
            <v>234</v>
          </cell>
          <cell r="AA1506">
            <v>0</v>
          </cell>
          <cell r="AB1506">
            <v>0</v>
          </cell>
          <cell r="AC1506">
            <v>0</v>
          </cell>
          <cell r="AD1506">
            <v>3.4000000000000002E-2</v>
          </cell>
          <cell r="AE1506">
            <v>0</v>
          </cell>
          <cell r="AF1506">
            <v>0</v>
          </cell>
          <cell r="AG1506">
            <v>0</v>
          </cell>
          <cell r="AH1506">
            <v>0</v>
          </cell>
          <cell r="AI1506">
            <v>0</v>
          </cell>
          <cell r="AJ1506">
            <v>0</v>
          </cell>
          <cell r="AK1506">
            <v>0</v>
          </cell>
          <cell r="AL1506">
            <v>0</v>
          </cell>
        </row>
        <row r="1507">
          <cell r="E1507" t="str">
            <v>CVV 3.5sq-7C</v>
          </cell>
          <cell r="F1507" t="str">
            <v>ｍ</v>
          </cell>
          <cell r="G1507">
            <v>0</v>
          </cell>
          <cell r="H1507">
            <v>361</v>
          </cell>
          <cell r="I1507">
            <v>0</v>
          </cell>
          <cell r="J1507">
            <v>357</v>
          </cell>
          <cell r="K1507">
            <v>0</v>
          </cell>
          <cell r="L1507">
            <v>357</v>
          </cell>
          <cell r="M1507">
            <v>0</v>
          </cell>
          <cell r="N1507">
            <v>346</v>
          </cell>
          <cell r="O1507">
            <v>0</v>
          </cell>
          <cell r="P1507">
            <v>338</v>
          </cell>
          <cell r="Q1507">
            <v>0</v>
          </cell>
          <cell r="R1507">
            <v>361</v>
          </cell>
          <cell r="S1507">
            <v>0</v>
          </cell>
          <cell r="T1507">
            <v>361</v>
          </cell>
          <cell r="U1507">
            <v>0</v>
          </cell>
          <cell r="V1507">
            <v>357</v>
          </cell>
          <cell r="W1507">
            <v>0</v>
          </cell>
          <cell r="X1507">
            <v>346</v>
          </cell>
          <cell r="Y1507">
            <v>0</v>
          </cell>
          <cell r="Z1507">
            <v>357</v>
          </cell>
          <cell r="AA1507">
            <v>0</v>
          </cell>
          <cell r="AB1507">
            <v>0</v>
          </cell>
          <cell r="AC1507">
            <v>0</v>
          </cell>
          <cell r="AD1507">
            <v>3.6999999999999998E-2</v>
          </cell>
          <cell r="AE1507">
            <v>0</v>
          </cell>
          <cell r="AF1507">
            <v>0</v>
          </cell>
          <cell r="AG1507">
            <v>0</v>
          </cell>
          <cell r="AH1507">
            <v>0</v>
          </cell>
          <cell r="AI1507">
            <v>0</v>
          </cell>
          <cell r="AJ1507">
            <v>0</v>
          </cell>
          <cell r="AK1507">
            <v>0</v>
          </cell>
          <cell r="AL1507">
            <v>0</v>
          </cell>
        </row>
        <row r="1508">
          <cell r="E1508" t="str">
            <v>CVV 5.5sq-7C</v>
          </cell>
          <cell r="F1508" t="str">
            <v>ｍ</v>
          </cell>
          <cell r="G1508">
            <v>0</v>
          </cell>
          <cell r="H1508">
            <v>516</v>
          </cell>
          <cell r="I1508">
            <v>0</v>
          </cell>
          <cell r="J1508">
            <v>524</v>
          </cell>
          <cell r="K1508">
            <v>0</v>
          </cell>
          <cell r="L1508">
            <v>524</v>
          </cell>
          <cell r="M1508">
            <v>0</v>
          </cell>
          <cell r="N1508">
            <v>508</v>
          </cell>
          <cell r="O1508">
            <v>0</v>
          </cell>
          <cell r="P1508">
            <v>496</v>
          </cell>
          <cell r="Q1508">
            <v>0</v>
          </cell>
          <cell r="R1508">
            <v>516</v>
          </cell>
          <cell r="S1508">
            <v>0</v>
          </cell>
          <cell r="T1508">
            <v>516</v>
          </cell>
          <cell r="U1508">
            <v>0</v>
          </cell>
          <cell r="V1508">
            <v>524</v>
          </cell>
          <cell r="W1508">
            <v>0</v>
          </cell>
          <cell r="X1508">
            <v>508</v>
          </cell>
          <cell r="Y1508">
            <v>0</v>
          </cell>
          <cell r="Z1508">
            <v>524</v>
          </cell>
          <cell r="AA1508">
            <v>0</v>
          </cell>
          <cell r="AB1508">
            <v>0</v>
          </cell>
          <cell r="AC1508">
            <v>0</v>
          </cell>
          <cell r="AD1508">
            <v>4.3999999999999997E-2</v>
          </cell>
          <cell r="AE1508">
            <v>0</v>
          </cell>
          <cell r="AF1508">
            <v>0</v>
          </cell>
          <cell r="AG1508">
            <v>0</v>
          </cell>
          <cell r="AH1508">
            <v>0</v>
          </cell>
          <cell r="AI1508">
            <v>0</v>
          </cell>
          <cell r="AJ1508">
            <v>0</v>
          </cell>
          <cell r="AK1508">
            <v>0</v>
          </cell>
          <cell r="AL1508">
            <v>0</v>
          </cell>
        </row>
        <row r="1509">
          <cell r="E1509" t="str">
            <v>CVV 8sq-7C</v>
          </cell>
          <cell r="F1509" t="str">
            <v>ｍ</v>
          </cell>
          <cell r="G1509">
            <v>0</v>
          </cell>
          <cell r="H1509">
            <v>708</v>
          </cell>
          <cell r="I1509">
            <v>0</v>
          </cell>
          <cell r="J1509">
            <v>719</v>
          </cell>
          <cell r="K1509">
            <v>0</v>
          </cell>
          <cell r="L1509">
            <v>719</v>
          </cell>
          <cell r="M1509">
            <v>0</v>
          </cell>
          <cell r="N1509">
            <v>697</v>
          </cell>
          <cell r="O1509">
            <v>0</v>
          </cell>
          <cell r="P1509">
            <v>680</v>
          </cell>
          <cell r="Q1509">
            <v>0</v>
          </cell>
          <cell r="R1509">
            <v>708</v>
          </cell>
          <cell r="S1509">
            <v>0</v>
          </cell>
          <cell r="T1509">
            <v>708</v>
          </cell>
          <cell r="U1509">
            <v>0</v>
          </cell>
          <cell r="V1509">
            <v>719</v>
          </cell>
          <cell r="W1509">
            <v>0</v>
          </cell>
          <cell r="X1509">
            <v>697</v>
          </cell>
          <cell r="Y1509">
            <v>0</v>
          </cell>
          <cell r="Z1509">
            <v>719</v>
          </cell>
          <cell r="AA1509">
            <v>0</v>
          </cell>
          <cell r="AB1509">
            <v>0</v>
          </cell>
          <cell r="AC1509">
            <v>0</v>
          </cell>
          <cell r="AD1509">
            <v>5.3999999999999999E-2</v>
          </cell>
          <cell r="AE1509">
            <v>0</v>
          </cell>
          <cell r="AF1509">
            <v>0</v>
          </cell>
          <cell r="AG1509">
            <v>0</v>
          </cell>
          <cell r="AH1509">
            <v>0</v>
          </cell>
          <cell r="AI1509">
            <v>0</v>
          </cell>
          <cell r="AJ1509">
            <v>0</v>
          </cell>
          <cell r="AK1509">
            <v>0</v>
          </cell>
          <cell r="AL1509">
            <v>0</v>
          </cell>
        </row>
        <row r="1510">
          <cell r="E1510" t="str">
            <v>CVV 1.25sq-8C</v>
          </cell>
          <cell r="F1510" t="str">
            <v>ｍ</v>
          </cell>
          <cell r="G1510">
            <v>0</v>
          </cell>
          <cell r="H1510">
            <v>188</v>
          </cell>
          <cell r="I1510">
            <v>0</v>
          </cell>
          <cell r="J1510">
            <v>190</v>
          </cell>
          <cell r="K1510">
            <v>0</v>
          </cell>
          <cell r="L1510">
            <v>190</v>
          </cell>
          <cell r="M1510">
            <v>0</v>
          </cell>
          <cell r="N1510">
            <v>185</v>
          </cell>
          <cell r="O1510">
            <v>0</v>
          </cell>
          <cell r="P1510">
            <v>180</v>
          </cell>
          <cell r="Q1510">
            <v>0</v>
          </cell>
          <cell r="R1510">
            <v>188</v>
          </cell>
          <cell r="S1510">
            <v>0</v>
          </cell>
          <cell r="T1510">
            <v>188</v>
          </cell>
          <cell r="U1510">
            <v>0</v>
          </cell>
          <cell r="V1510">
            <v>190</v>
          </cell>
          <cell r="W1510">
            <v>0</v>
          </cell>
          <cell r="X1510">
            <v>185</v>
          </cell>
          <cell r="Y1510">
            <v>0</v>
          </cell>
          <cell r="Z1510">
            <v>190</v>
          </cell>
          <cell r="AA1510">
            <v>0</v>
          </cell>
          <cell r="AB1510">
            <v>0</v>
          </cell>
          <cell r="AC1510">
            <v>0</v>
          </cell>
          <cell r="AD1510">
            <v>3.4000000000000002E-2</v>
          </cell>
          <cell r="AE1510">
            <v>0</v>
          </cell>
          <cell r="AF1510">
            <v>0</v>
          </cell>
          <cell r="AG1510">
            <v>0</v>
          </cell>
          <cell r="AH1510">
            <v>0</v>
          </cell>
          <cell r="AI1510">
            <v>0</v>
          </cell>
          <cell r="AJ1510">
            <v>0</v>
          </cell>
          <cell r="AK1510">
            <v>0</v>
          </cell>
          <cell r="AL1510">
            <v>0</v>
          </cell>
        </row>
        <row r="1511">
          <cell r="E1511" t="str">
            <v>CVV 2sq-8C</v>
          </cell>
          <cell r="F1511" t="str">
            <v>ｍ</v>
          </cell>
          <cell r="G1511">
            <v>0</v>
          </cell>
          <cell r="H1511">
            <v>263</v>
          </cell>
          <cell r="I1511">
            <v>0</v>
          </cell>
          <cell r="J1511">
            <v>267</v>
          </cell>
          <cell r="K1511">
            <v>0</v>
          </cell>
          <cell r="L1511">
            <v>267</v>
          </cell>
          <cell r="M1511">
            <v>0</v>
          </cell>
          <cell r="N1511">
            <v>259</v>
          </cell>
          <cell r="O1511">
            <v>0</v>
          </cell>
          <cell r="P1511">
            <v>253</v>
          </cell>
          <cell r="Q1511">
            <v>0</v>
          </cell>
          <cell r="R1511">
            <v>263</v>
          </cell>
          <cell r="S1511">
            <v>0</v>
          </cell>
          <cell r="T1511">
            <v>263</v>
          </cell>
          <cell r="U1511">
            <v>0</v>
          </cell>
          <cell r="V1511">
            <v>267</v>
          </cell>
          <cell r="W1511">
            <v>0</v>
          </cell>
          <cell r="X1511">
            <v>259</v>
          </cell>
          <cell r="Y1511">
            <v>0</v>
          </cell>
          <cell r="Z1511">
            <v>267</v>
          </cell>
          <cell r="AA1511">
            <v>0</v>
          </cell>
          <cell r="AB1511">
            <v>0</v>
          </cell>
          <cell r="AC1511">
            <v>0</v>
          </cell>
          <cell r="AD1511">
            <v>3.6999999999999998E-2</v>
          </cell>
          <cell r="AE1511">
            <v>0</v>
          </cell>
          <cell r="AF1511">
            <v>0</v>
          </cell>
          <cell r="AG1511">
            <v>0</v>
          </cell>
          <cell r="AH1511">
            <v>0</v>
          </cell>
          <cell r="AI1511">
            <v>0</v>
          </cell>
          <cell r="AJ1511">
            <v>0</v>
          </cell>
          <cell r="AK1511">
            <v>0</v>
          </cell>
          <cell r="AL1511">
            <v>0</v>
          </cell>
        </row>
        <row r="1512">
          <cell r="E1512" t="str">
            <v>CVV 3.5sq-8C</v>
          </cell>
          <cell r="F1512" t="str">
            <v>ｍ</v>
          </cell>
          <cell r="G1512">
            <v>0</v>
          </cell>
          <cell r="H1512">
            <v>413</v>
          </cell>
          <cell r="I1512">
            <v>0</v>
          </cell>
          <cell r="J1512">
            <v>419</v>
          </cell>
          <cell r="K1512">
            <v>0</v>
          </cell>
          <cell r="L1512">
            <v>419</v>
          </cell>
          <cell r="M1512">
            <v>0</v>
          </cell>
          <cell r="N1512">
            <v>406</v>
          </cell>
          <cell r="O1512">
            <v>0</v>
          </cell>
          <cell r="P1512">
            <v>397</v>
          </cell>
          <cell r="Q1512">
            <v>0</v>
          </cell>
          <cell r="R1512">
            <v>413</v>
          </cell>
          <cell r="S1512">
            <v>0</v>
          </cell>
          <cell r="T1512">
            <v>413</v>
          </cell>
          <cell r="U1512">
            <v>0</v>
          </cell>
          <cell r="V1512">
            <v>419</v>
          </cell>
          <cell r="W1512">
            <v>0</v>
          </cell>
          <cell r="X1512">
            <v>406</v>
          </cell>
          <cell r="Y1512">
            <v>0</v>
          </cell>
          <cell r="Z1512">
            <v>419</v>
          </cell>
          <cell r="AA1512">
            <v>0</v>
          </cell>
          <cell r="AB1512">
            <v>0</v>
          </cell>
          <cell r="AC1512">
            <v>0</v>
          </cell>
          <cell r="AD1512">
            <v>4.3999999999999997E-2</v>
          </cell>
          <cell r="AE1512">
            <v>0</v>
          </cell>
          <cell r="AF1512">
            <v>0</v>
          </cell>
          <cell r="AG1512">
            <v>0</v>
          </cell>
          <cell r="AH1512">
            <v>0</v>
          </cell>
          <cell r="AI1512">
            <v>0</v>
          </cell>
          <cell r="AJ1512">
            <v>0</v>
          </cell>
          <cell r="AK1512">
            <v>0</v>
          </cell>
          <cell r="AL1512">
            <v>0</v>
          </cell>
        </row>
        <row r="1513">
          <cell r="E1513" t="str">
            <v>CVV 5.5sq-8C</v>
          </cell>
          <cell r="F1513" t="str">
            <v>ｍ</v>
          </cell>
          <cell r="G1513">
            <v>0</v>
          </cell>
          <cell r="H1513">
            <v>608</v>
          </cell>
          <cell r="I1513">
            <v>0</v>
          </cell>
          <cell r="J1513">
            <v>618</v>
          </cell>
          <cell r="K1513">
            <v>0</v>
          </cell>
          <cell r="L1513">
            <v>618</v>
          </cell>
          <cell r="M1513">
            <v>0</v>
          </cell>
          <cell r="N1513">
            <v>599</v>
          </cell>
          <cell r="O1513">
            <v>0</v>
          </cell>
          <cell r="P1513">
            <v>584</v>
          </cell>
          <cell r="Q1513">
            <v>0</v>
          </cell>
          <cell r="R1513">
            <v>608</v>
          </cell>
          <cell r="S1513">
            <v>0</v>
          </cell>
          <cell r="T1513">
            <v>608</v>
          </cell>
          <cell r="U1513">
            <v>0</v>
          </cell>
          <cell r="V1513">
            <v>618</v>
          </cell>
          <cell r="W1513">
            <v>0</v>
          </cell>
          <cell r="X1513">
            <v>599</v>
          </cell>
          <cell r="Y1513">
            <v>0</v>
          </cell>
          <cell r="Z1513">
            <v>618</v>
          </cell>
          <cell r="AA1513">
            <v>0</v>
          </cell>
          <cell r="AB1513">
            <v>0</v>
          </cell>
          <cell r="AC1513">
            <v>0</v>
          </cell>
          <cell r="AD1513">
            <v>4.3999999999999997E-2</v>
          </cell>
          <cell r="AE1513">
            <v>0</v>
          </cell>
          <cell r="AF1513">
            <v>0</v>
          </cell>
          <cell r="AG1513">
            <v>0</v>
          </cell>
          <cell r="AH1513">
            <v>0</v>
          </cell>
          <cell r="AI1513">
            <v>0</v>
          </cell>
          <cell r="AJ1513">
            <v>0</v>
          </cell>
          <cell r="AK1513">
            <v>0</v>
          </cell>
          <cell r="AL1513">
            <v>0</v>
          </cell>
        </row>
        <row r="1514">
          <cell r="E1514" t="str">
            <v>CVV 8sq-8C</v>
          </cell>
          <cell r="F1514" t="str">
            <v>ｍ</v>
          </cell>
          <cell r="G1514">
            <v>0</v>
          </cell>
          <cell r="H1514">
            <v>874</v>
          </cell>
          <cell r="I1514">
            <v>0</v>
          </cell>
          <cell r="J1514">
            <v>888</v>
          </cell>
          <cell r="K1514">
            <v>0</v>
          </cell>
          <cell r="L1514">
            <v>888</v>
          </cell>
          <cell r="M1514">
            <v>0</v>
          </cell>
          <cell r="N1514">
            <v>861</v>
          </cell>
          <cell r="O1514">
            <v>0</v>
          </cell>
          <cell r="P1514">
            <v>840</v>
          </cell>
          <cell r="Q1514">
            <v>0</v>
          </cell>
          <cell r="R1514">
            <v>874</v>
          </cell>
          <cell r="S1514">
            <v>0</v>
          </cell>
          <cell r="T1514">
            <v>874</v>
          </cell>
          <cell r="U1514">
            <v>0</v>
          </cell>
          <cell r="V1514">
            <v>888</v>
          </cell>
          <cell r="W1514">
            <v>0</v>
          </cell>
          <cell r="X1514">
            <v>861</v>
          </cell>
          <cell r="Y1514">
            <v>0</v>
          </cell>
          <cell r="Z1514">
            <v>888</v>
          </cell>
          <cell r="AA1514">
            <v>0</v>
          </cell>
          <cell r="AB1514">
            <v>0</v>
          </cell>
          <cell r="AC1514">
            <v>0</v>
          </cell>
          <cell r="AD1514">
            <v>5.3999999999999999E-2</v>
          </cell>
          <cell r="AE1514">
            <v>0</v>
          </cell>
          <cell r="AF1514">
            <v>0</v>
          </cell>
          <cell r="AG1514">
            <v>0</v>
          </cell>
          <cell r="AH1514">
            <v>0</v>
          </cell>
          <cell r="AI1514">
            <v>0</v>
          </cell>
          <cell r="AJ1514">
            <v>0</v>
          </cell>
          <cell r="AK1514">
            <v>0</v>
          </cell>
          <cell r="AL1514">
            <v>0</v>
          </cell>
        </row>
        <row r="1515">
          <cell r="E1515" t="str">
            <v>CVV 1.25sq-10C</v>
          </cell>
          <cell r="F1515" t="str">
            <v>ｍ</v>
          </cell>
          <cell r="G1515">
            <v>0</v>
          </cell>
          <cell r="H1515">
            <v>232</v>
          </cell>
          <cell r="I1515">
            <v>0</v>
          </cell>
          <cell r="J1515">
            <v>236</v>
          </cell>
          <cell r="K1515">
            <v>0</v>
          </cell>
          <cell r="L1515">
            <v>236</v>
          </cell>
          <cell r="M1515">
            <v>0</v>
          </cell>
          <cell r="N1515">
            <v>229</v>
          </cell>
          <cell r="O1515">
            <v>0</v>
          </cell>
          <cell r="P1515">
            <v>223</v>
          </cell>
          <cell r="Q1515">
            <v>0</v>
          </cell>
          <cell r="R1515">
            <v>232</v>
          </cell>
          <cell r="S1515">
            <v>0</v>
          </cell>
          <cell r="T1515">
            <v>232</v>
          </cell>
          <cell r="U1515">
            <v>0</v>
          </cell>
          <cell r="V1515">
            <v>236</v>
          </cell>
          <cell r="W1515">
            <v>0</v>
          </cell>
          <cell r="X1515">
            <v>229</v>
          </cell>
          <cell r="Y1515">
            <v>0</v>
          </cell>
          <cell r="Z1515">
            <v>236</v>
          </cell>
          <cell r="AA1515">
            <v>0</v>
          </cell>
          <cell r="AB1515">
            <v>0</v>
          </cell>
          <cell r="AC1515">
            <v>0</v>
          </cell>
          <cell r="AD1515">
            <v>3.6999999999999998E-2</v>
          </cell>
          <cell r="AE1515">
            <v>0</v>
          </cell>
          <cell r="AF1515">
            <v>0</v>
          </cell>
          <cell r="AG1515">
            <v>0</v>
          </cell>
          <cell r="AH1515">
            <v>0</v>
          </cell>
          <cell r="AI1515">
            <v>0</v>
          </cell>
          <cell r="AJ1515">
            <v>0</v>
          </cell>
          <cell r="AK1515">
            <v>0</v>
          </cell>
          <cell r="AL1515">
            <v>0</v>
          </cell>
        </row>
        <row r="1516">
          <cell r="E1516" t="str">
            <v>CVV 2sq-10C</v>
          </cell>
          <cell r="F1516" t="str">
            <v>ｍ</v>
          </cell>
          <cell r="G1516">
            <v>0</v>
          </cell>
          <cell r="H1516">
            <v>324</v>
          </cell>
          <cell r="I1516">
            <v>0</v>
          </cell>
          <cell r="J1516">
            <v>330</v>
          </cell>
          <cell r="K1516">
            <v>0</v>
          </cell>
          <cell r="L1516">
            <v>330</v>
          </cell>
          <cell r="M1516">
            <v>0</v>
          </cell>
          <cell r="N1516">
            <v>319</v>
          </cell>
          <cell r="O1516">
            <v>0</v>
          </cell>
          <cell r="P1516">
            <v>312</v>
          </cell>
          <cell r="Q1516">
            <v>0</v>
          </cell>
          <cell r="R1516">
            <v>324</v>
          </cell>
          <cell r="S1516">
            <v>0</v>
          </cell>
          <cell r="T1516">
            <v>324</v>
          </cell>
          <cell r="U1516">
            <v>0</v>
          </cell>
          <cell r="V1516">
            <v>330</v>
          </cell>
          <cell r="W1516">
            <v>0</v>
          </cell>
          <cell r="X1516">
            <v>319</v>
          </cell>
          <cell r="Y1516">
            <v>0</v>
          </cell>
          <cell r="Z1516">
            <v>330</v>
          </cell>
          <cell r="AA1516">
            <v>0</v>
          </cell>
          <cell r="AB1516">
            <v>0</v>
          </cell>
          <cell r="AC1516">
            <v>0</v>
          </cell>
          <cell r="AD1516">
            <v>4.2000000000000003E-2</v>
          </cell>
          <cell r="AE1516">
            <v>0</v>
          </cell>
          <cell r="AF1516">
            <v>0</v>
          </cell>
          <cell r="AG1516">
            <v>0</v>
          </cell>
          <cell r="AH1516">
            <v>0</v>
          </cell>
          <cell r="AI1516">
            <v>0</v>
          </cell>
          <cell r="AJ1516">
            <v>0</v>
          </cell>
          <cell r="AK1516">
            <v>0</v>
          </cell>
          <cell r="AL1516">
            <v>0</v>
          </cell>
        </row>
        <row r="1517">
          <cell r="E1517" t="str">
            <v>CVV 3.5sq-10C</v>
          </cell>
          <cell r="F1517" t="str">
            <v>ｍ</v>
          </cell>
          <cell r="G1517">
            <v>0</v>
          </cell>
          <cell r="H1517">
            <v>488</v>
          </cell>
          <cell r="I1517">
            <v>0</v>
          </cell>
          <cell r="J1517">
            <v>496</v>
          </cell>
          <cell r="K1517">
            <v>0</v>
          </cell>
          <cell r="L1517">
            <v>496</v>
          </cell>
          <cell r="M1517">
            <v>0</v>
          </cell>
          <cell r="N1517">
            <v>481</v>
          </cell>
          <cell r="O1517">
            <v>0</v>
          </cell>
          <cell r="P1517">
            <v>469</v>
          </cell>
          <cell r="Q1517">
            <v>0</v>
          </cell>
          <cell r="R1517">
            <v>488</v>
          </cell>
          <cell r="S1517">
            <v>0</v>
          </cell>
          <cell r="T1517">
            <v>488</v>
          </cell>
          <cell r="U1517">
            <v>0</v>
          </cell>
          <cell r="V1517">
            <v>496</v>
          </cell>
          <cell r="W1517">
            <v>0</v>
          </cell>
          <cell r="X1517">
            <v>481</v>
          </cell>
          <cell r="Y1517">
            <v>0</v>
          </cell>
          <cell r="Z1517">
            <v>496</v>
          </cell>
          <cell r="AA1517">
            <v>0</v>
          </cell>
          <cell r="AB1517">
            <v>0</v>
          </cell>
          <cell r="AC1517">
            <v>0</v>
          </cell>
          <cell r="AD1517">
            <v>4.4999999999999998E-2</v>
          </cell>
          <cell r="AE1517">
            <v>0</v>
          </cell>
          <cell r="AF1517">
            <v>0</v>
          </cell>
          <cell r="AG1517">
            <v>0</v>
          </cell>
          <cell r="AH1517">
            <v>0</v>
          </cell>
          <cell r="AI1517">
            <v>0</v>
          </cell>
          <cell r="AJ1517">
            <v>0</v>
          </cell>
          <cell r="AK1517">
            <v>0</v>
          </cell>
          <cell r="AL1517">
            <v>0</v>
          </cell>
        </row>
        <row r="1518">
          <cell r="E1518" t="str">
            <v>CVV 5.5sq-10C</v>
          </cell>
          <cell r="F1518" t="str">
            <v>ｍ</v>
          </cell>
          <cell r="G1518">
            <v>0</v>
          </cell>
          <cell r="H1518">
            <v>731</v>
          </cell>
          <cell r="I1518">
            <v>0</v>
          </cell>
          <cell r="J1518">
            <v>742</v>
          </cell>
          <cell r="K1518">
            <v>0</v>
          </cell>
          <cell r="L1518">
            <v>742</v>
          </cell>
          <cell r="M1518">
            <v>0</v>
          </cell>
          <cell r="N1518">
            <v>719</v>
          </cell>
          <cell r="O1518">
            <v>0</v>
          </cell>
          <cell r="P1518">
            <v>702</v>
          </cell>
          <cell r="Q1518">
            <v>0</v>
          </cell>
          <cell r="R1518">
            <v>731</v>
          </cell>
          <cell r="S1518">
            <v>0</v>
          </cell>
          <cell r="T1518">
            <v>731</v>
          </cell>
          <cell r="U1518">
            <v>0</v>
          </cell>
          <cell r="V1518">
            <v>742</v>
          </cell>
          <cell r="W1518">
            <v>0</v>
          </cell>
          <cell r="X1518">
            <v>719</v>
          </cell>
          <cell r="Y1518">
            <v>0</v>
          </cell>
          <cell r="Z1518">
            <v>742</v>
          </cell>
          <cell r="AA1518">
            <v>0</v>
          </cell>
          <cell r="AB1518">
            <v>0</v>
          </cell>
          <cell r="AC1518">
            <v>0</v>
          </cell>
          <cell r="AD1518">
            <v>5.3999999999999999E-2</v>
          </cell>
          <cell r="AE1518">
            <v>0</v>
          </cell>
          <cell r="AF1518">
            <v>0</v>
          </cell>
          <cell r="AG1518">
            <v>0</v>
          </cell>
          <cell r="AH1518">
            <v>0</v>
          </cell>
          <cell r="AI1518">
            <v>0</v>
          </cell>
          <cell r="AJ1518">
            <v>0</v>
          </cell>
          <cell r="AK1518">
            <v>0</v>
          </cell>
          <cell r="AL1518">
            <v>0</v>
          </cell>
        </row>
        <row r="1519">
          <cell r="E1519" t="str">
            <v>CVV 8sq-10C</v>
          </cell>
          <cell r="F1519" t="str">
            <v>ｍ</v>
          </cell>
          <cell r="G1519">
            <v>0</v>
          </cell>
          <cell r="H1519">
            <v>1094</v>
          </cell>
          <cell r="I1519">
            <v>0</v>
          </cell>
          <cell r="J1519">
            <v>1111</v>
          </cell>
          <cell r="K1519">
            <v>0</v>
          </cell>
          <cell r="L1519">
            <v>1111</v>
          </cell>
          <cell r="M1519">
            <v>0</v>
          </cell>
          <cell r="N1519">
            <v>1077</v>
          </cell>
          <cell r="O1519">
            <v>0</v>
          </cell>
          <cell r="P1519">
            <v>1051</v>
          </cell>
          <cell r="Q1519">
            <v>0</v>
          </cell>
          <cell r="R1519">
            <v>1094</v>
          </cell>
          <cell r="S1519">
            <v>0</v>
          </cell>
          <cell r="T1519">
            <v>1094</v>
          </cell>
          <cell r="U1519">
            <v>0</v>
          </cell>
          <cell r="V1519">
            <v>1111</v>
          </cell>
          <cell r="W1519">
            <v>0</v>
          </cell>
          <cell r="X1519">
            <v>1077</v>
          </cell>
          <cell r="Y1519">
            <v>0</v>
          </cell>
          <cell r="Z1519">
            <v>1111</v>
          </cell>
          <cell r="AA1519">
            <v>0</v>
          </cell>
          <cell r="AB1519">
            <v>0</v>
          </cell>
          <cell r="AC1519">
            <v>0</v>
          </cell>
          <cell r="AD1519">
            <v>6.6000000000000003E-2</v>
          </cell>
          <cell r="AE1519">
            <v>0</v>
          </cell>
          <cell r="AF1519">
            <v>0</v>
          </cell>
          <cell r="AG1519">
            <v>0</v>
          </cell>
          <cell r="AH1519">
            <v>0</v>
          </cell>
          <cell r="AI1519">
            <v>0</v>
          </cell>
          <cell r="AJ1519">
            <v>0</v>
          </cell>
          <cell r="AK1519">
            <v>0</v>
          </cell>
          <cell r="AL1519">
            <v>0</v>
          </cell>
        </row>
        <row r="1520">
          <cell r="E1520" t="str">
            <v>CVV 1.25sq-12C</v>
          </cell>
          <cell r="F1520" t="str">
            <v>ｍ</v>
          </cell>
          <cell r="G1520">
            <v>0</v>
          </cell>
          <cell r="H1520">
            <v>276</v>
          </cell>
          <cell r="I1520">
            <v>0</v>
          </cell>
          <cell r="J1520">
            <v>281</v>
          </cell>
          <cell r="K1520">
            <v>0</v>
          </cell>
          <cell r="L1520">
            <v>281</v>
          </cell>
          <cell r="M1520">
            <v>0</v>
          </cell>
          <cell r="N1520">
            <v>272</v>
          </cell>
          <cell r="O1520">
            <v>0</v>
          </cell>
          <cell r="P1520">
            <v>266</v>
          </cell>
          <cell r="Q1520">
            <v>0</v>
          </cell>
          <cell r="R1520">
            <v>276</v>
          </cell>
          <cell r="S1520">
            <v>0</v>
          </cell>
          <cell r="T1520">
            <v>276</v>
          </cell>
          <cell r="U1520">
            <v>0</v>
          </cell>
          <cell r="V1520">
            <v>281</v>
          </cell>
          <cell r="W1520">
            <v>0</v>
          </cell>
          <cell r="X1520">
            <v>272</v>
          </cell>
          <cell r="Y1520">
            <v>0</v>
          </cell>
          <cell r="Z1520">
            <v>281</v>
          </cell>
          <cell r="AA1520">
            <v>0</v>
          </cell>
          <cell r="AB1520">
            <v>0</v>
          </cell>
          <cell r="AC1520">
            <v>0</v>
          </cell>
          <cell r="AD1520">
            <v>4.2999999999999997E-2</v>
          </cell>
          <cell r="AE1520">
            <v>0</v>
          </cell>
          <cell r="AF1520">
            <v>0</v>
          </cell>
          <cell r="AG1520">
            <v>0</v>
          </cell>
          <cell r="AH1520">
            <v>0</v>
          </cell>
          <cell r="AI1520">
            <v>0</v>
          </cell>
          <cell r="AJ1520">
            <v>0</v>
          </cell>
          <cell r="AK1520">
            <v>0</v>
          </cell>
          <cell r="AL1520">
            <v>0</v>
          </cell>
        </row>
        <row r="1521">
          <cell r="E1521" t="str">
            <v>CVV 2sq-12C</v>
          </cell>
          <cell r="F1521" t="str">
            <v>ｍ</v>
          </cell>
          <cell r="G1521">
            <v>0</v>
          </cell>
          <cell r="H1521">
            <v>386</v>
          </cell>
          <cell r="I1521">
            <v>0</v>
          </cell>
          <cell r="J1521">
            <v>392</v>
          </cell>
          <cell r="K1521">
            <v>0</v>
          </cell>
          <cell r="L1521">
            <v>392</v>
          </cell>
          <cell r="M1521">
            <v>0</v>
          </cell>
          <cell r="N1521">
            <v>380</v>
          </cell>
          <cell r="O1521">
            <v>0</v>
          </cell>
          <cell r="P1521">
            <v>371</v>
          </cell>
          <cell r="Q1521">
            <v>0</v>
          </cell>
          <cell r="R1521">
            <v>386</v>
          </cell>
          <cell r="S1521">
            <v>0</v>
          </cell>
          <cell r="T1521">
            <v>386</v>
          </cell>
          <cell r="U1521">
            <v>0</v>
          </cell>
          <cell r="V1521">
            <v>392</v>
          </cell>
          <cell r="W1521">
            <v>0</v>
          </cell>
          <cell r="X1521">
            <v>380</v>
          </cell>
          <cell r="Y1521">
            <v>0</v>
          </cell>
          <cell r="Z1521">
            <v>392</v>
          </cell>
          <cell r="AA1521">
            <v>0</v>
          </cell>
          <cell r="AB1521">
            <v>0</v>
          </cell>
          <cell r="AC1521">
            <v>0</v>
          </cell>
          <cell r="AD1521">
            <v>4.8000000000000001E-2</v>
          </cell>
          <cell r="AE1521">
            <v>0</v>
          </cell>
          <cell r="AF1521">
            <v>0</v>
          </cell>
          <cell r="AG1521">
            <v>0</v>
          </cell>
          <cell r="AH1521">
            <v>0</v>
          </cell>
          <cell r="AI1521">
            <v>0</v>
          </cell>
          <cell r="AJ1521">
            <v>0</v>
          </cell>
          <cell r="AK1521">
            <v>0</v>
          </cell>
          <cell r="AL1521">
            <v>0</v>
          </cell>
        </row>
        <row r="1522">
          <cell r="E1522" t="str">
            <v>CVV 3.5sq-12C</v>
          </cell>
          <cell r="F1522" t="str">
            <v>ｍ</v>
          </cell>
          <cell r="G1522">
            <v>0</v>
          </cell>
          <cell r="H1522">
            <v>582</v>
          </cell>
          <cell r="I1522">
            <v>0</v>
          </cell>
          <cell r="J1522">
            <v>592</v>
          </cell>
          <cell r="K1522">
            <v>0</v>
          </cell>
          <cell r="L1522">
            <v>592</v>
          </cell>
          <cell r="M1522">
            <v>0</v>
          </cell>
          <cell r="N1522">
            <v>573</v>
          </cell>
          <cell r="O1522">
            <v>0</v>
          </cell>
          <cell r="P1522">
            <v>560</v>
          </cell>
          <cell r="Q1522">
            <v>0</v>
          </cell>
          <cell r="R1522">
            <v>582</v>
          </cell>
          <cell r="S1522">
            <v>0</v>
          </cell>
          <cell r="T1522">
            <v>582</v>
          </cell>
          <cell r="U1522">
            <v>0</v>
          </cell>
          <cell r="V1522">
            <v>592</v>
          </cell>
          <cell r="W1522">
            <v>0</v>
          </cell>
          <cell r="X1522">
            <v>573</v>
          </cell>
          <cell r="Y1522">
            <v>0</v>
          </cell>
          <cell r="Z1522">
            <v>592</v>
          </cell>
          <cell r="AA1522">
            <v>0</v>
          </cell>
          <cell r="AB1522">
            <v>0</v>
          </cell>
          <cell r="AC1522">
            <v>0</v>
          </cell>
          <cell r="AD1522">
            <v>5.2999999999999999E-2</v>
          </cell>
          <cell r="AE1522">
            <v>0</v>
          </cell>
          <cell r="AF1522">
            <v>0</v>
          </cell>
          <cell r="AG1522">
            <v>0</v>
          </cell>
          <cell r="AH1522">
            <v>0</v>
          </cell>
          <cell r="AI1522">
            <v>0</v>
          </cell>
          <cell r="AJ1522">
            <v>0</v>
          </cell>
          <cell r="AK1522">
            <v>0</v>
          </cell>
          <cell r="AL1522">
            <v>0</v>
          </cell>
        </row>
        <row r="1523">
          <cell r="E1523" t="str">
            <v>CVV 5.5sq-12C</v>
          </cell>
          <cell r="F1523" t="str">
            <v>ｍ</v>
          </cell>
          <cell r="G1523">
            <v>0</v>
          </cell>
          <cell r="H1523">
            <v>857</v>
          </cell>
          <cell r="I1523">
            <v>0</v>
          </cell>
          <cell r="J1523">
            <v>870</v>
          </cell>
          <cell r="K1523">
            <v>0</v>
          </cell>
          <cell r="L1523">
            <v>870</v>
          </cell>
          <cell r="M1523">
            <v>0</v>
          </cell>
          <cell r="N1523">
            <v>844</v>
          </cell>
          <cell r="O1523">
            <v>0</v>
          </cell>
          <cell r="P1523">
            <v>823</v>
          </cell>
          <cell r="Q1523">
            <v>0</v>
          </cell>
          <cell r="R1523">
            <v>857</v>
          </cell>
          <cell r="S1523">
            <v>0</v>
          </cell>
          <cell r="T1523">
            <v>857</v>
          </cell>
          <cell r="U1523">
            <v>0</v>
          </cell>
          <cell r="V1523">
            <v>870</v>
          </cell>
          <cell r="W1523">
            <v>0</v>
          </cell>
          <cell r="X1523">
            <v>844</v>
          </cell>
          <cell r="Y1523">
            <v>0</v>
          </cell>
          <cell r="Z1523">
            <v>870</v>
          </cell>
          <cell r="AA1523">
            <v>0</v>
          </cell>
          <cell r="AB1523">
            <v>0</v>
          </cell>
          <cell r="AC1523">
            <v>0</v>
          </cell>
          <cell r="AD1523">
            <v>6.3E-2</v>
          </cell>
          <cell r="AE1523">
            <v>0</v>
          </cell>
          <cell r="AF1523">
            <v>0</v>
          </cell>
          <cell r="AG1523">
            <v>0</v>
          </cell>
          <cell r="AH1523">
            <v>0</v>
          </cell>
          <cell r="AI1523">
            <v>0</v>
          </cell>
          <cell r="AJ1523">
            <v>0</v>
          </cell>
          <cell r="AK1523">
            <v>0</v>
          </cell>
          <cell r="AL1523">
            <v>0</v>
          </cell>
        </row>
        <row r="1524">
          <cell r="E1524" t="str">
            <v>CVV 8sq-12C</v>
          </cell>
          <cell r="F1524" t="str">
            <v>ｍ</v>
          </cell>
          <cell r="G1524">
            <v>0</v>
          </cell>
          <cell r="H1524">
            <v>1290</v>
          </cell>
          <cell r="I1524">
            <v>0</v>
          </cell>
          <cell r="J1524">
            <v>1310</v>
          </cell>
          <cell r="K1524">
            <v>0</v>
          </cell>
          <cell r="L1524">
            <v>1310</v>
          </cell>
          <cell r="M1524">
            <v>0</v>
          </cell>
          <cell r="N1524">
            <v>1270</v>
          </cell>
          <cell r="O1524">
            <v>0</v>
          </cell>
          <cell r="P1524">
            <v>1240</v>
          </cell>
          <cell r="Q1524">
            <v>0</v>
          </cell>
          <cell r="R1524">
            <v>1290</v>
          </cell>
          <cell r="S1524">
            <v>0</v>
          </cell>
          <cell r="T1524">
            <v>1290</v>
          </cell>
          <cell r="U1524">
            <v>0</v>
          </cell>
          <cell r="V1524">
            <v>1310</v>
          </cell>
          <cell r="W1524">
            <v>0</v>
          </cell>
          <cell r="X1524">
            <v>1270</v>
          </cell>
          <cell r="Y1524">
            <v>0</v>
          </cell>
          <cell r="Z1524">
            <v>1310</v>
          </cell>
          <cell r="AA1524">
            <v>0</v>
          </cell>
          <cell r="AB1524">
            <v>0</v>
          </cell>
          <cell r="AC1524">
            <v>0</v>
          </cell>
          <cell r="AD1524">
            <v>7.6999999999999999E-2</v>
          </cell>
          <cell r="AE1524">
            <v>0</v>
          </cell>
          <cell r="AF1524">
            <v>0</v>
          </cell>
          <cell r="AG1524">
            <v>0</v>
          </cell>
          <cell r="AH1524">
            <v>0</v>
          </cell>
          <cell r="AI1524">
            <v>0</v>
          </cell>
          <cell r="AJ1524">
            <v>0</v>
          </cell>
          <cell r="AK1524">
            <v>0</v>
          </cell>
          <cell r="AL1524">
            <v>0</v>
          </cell>
        </row>
        <row r="1525">
          <cell r="E1525" t="str">
            <v>CVV 1.25sq-15C</v>
          </cell>
          <cell r="F1525" t="str">
            <v>ｍ</v>
          </cell>
          <cell r="G1525">
            <v>0</v>
          </cell>
          <cell r="H1525">
            <v>342</v>
          </cell>
          <cell r="I1525">
            <v>0</v>
          </cell>
          <cell r="J1525">
            <v>347</v>
          </cell>
          <cell r="K1525">
            <v>0</v>
          </cell>
          <cell r="L1525">
            <v>347</v>
          </cell>
          <cell r="M1525">
            <v>0</v>
          </cell>
          <cell r="N1525">
            <v>336</v>
          </cell>
          <cell r="O1525">
            <v>0</v>
          </cell>
          <cell r="P1525">
            <v>328</v>
          </cell>
          <cell r="Q1525">
            <v>0</v>
          </cell>
          <cell r="R1525">
            <v>342</v>
          </cell>
          <cell r="S1525">
            <v>0</v>
          </cell>
          <cell r="T1525">
            <v>342</v>
          </cell>
          <cell r="U1525">
            <v>0</v>
          </cell>
          <cell r="V1525">
            <v>347</v>
          </cell>
          <cell r="W1525">
            <v>0</v>
          </cell>
          <cell r="X1525">
            <v>336</v>
          </cell>
          <cell r="Y1525">
            <v>0</v>
          </cell>
          <cell r="Z1525">
            <v>347</v>
          </cell>
          <cell r="AA1525">
            <v>0</v>
          </cell>
          <cell r="AB1525">
            <v>0</v>
          </cell>
          <cell r="AC1525">
            <v>0</v>
          </cell>
          <cell r="AD1525">
            <v>5.3999999999999999E-2</v>
          </cell>
          <cell r="AE1525">
            <v>0</v>
          </cell>
          <cell r="AF1525">
            <v>0</v>
          </cell>
          <cell r="AG1525">
            <v>0</v>
          </cell>
          <cell r="AH1525">
            <v>0</v>
          </cell>
          <cell r="AI1525">
            <v>0</v>
          </cell>
          <cell r="AJ1525">
            <v>0</v>
          </cell>
          <cell r="AK1525">
            <v>0</v>
          </cell>
          <cell r="AL1525">
            <v>0</v>
          </cell>
        </row>
        <row r="1526">
          <cell r="E1526" t="str">
            <v>CVV 2sq-15C</v>
          </cell>
          <cell r="F1526" t="str">
            <v>ｍ</v>
          </cell>
          <cell r="G1526">
            <v>0</v>
          </cell>
          <cell r="H1526">
            <v>479</v>
          </cell>
          <cell r="I1526">
            <v>0</v>
          </cell>
          <cell r="J1526">
            <v>487</v>
          </cell>
          <cell r="K1526">
            <v>0</v>
          </cell>
          <cell r="L1526">
            <v>487</v>
          </cell>
          <cell r="M1526">
            <v>0</v>
          </cell>
          <cell r="N1526">
            <v>472</v>
          </cell>
          <cell r="O1526">
            <v>0</v>
          </cell>
          <cell r="P1526">
            <v>451</v>
          </cell>
          <cell r="Q1526">
            <v>0</v>
          </cell>
          <cell r="R1526">
            <v>479</v>
          </cell>
          <cell r="S1526">
            <v>0</v>
          </cell>
          <cell r="T1526">
            <v>479</v>
          </cell>
          <cell r="U1526">
            <v>0</v>
          </cell>
          <cell r="V1526">
            <v>487</v>
          </cell>
          <cell r="W1526">
            <v>0</v>
          </cell>
          <cell r="X1526">
            <v>472</v>
          </cell>
          <cell r="Y1526">
            <v>0</v>
          </cell>
          <cell r="Z1526">
            <v>487</v>
          </cell>
          <cell r="AA1526">
            <v>0</v>
          </cell>
          <cell r="AB1526">
            <v>0</v>
          </cell>
          <cell r="AC1526">
            <v>0</v>
          </cell>
          <cell r="AD1526">
            <v>0.06</v>
          </cell>
          <cell r="AE1526">
            <v>0</v>
          </cell>
          <cell r="AF1526">
            <v>0</v>
          </cell>
          <cell r="AG1526">
            <v>0</v>
          </cell>
          <cell r="AH1526">
            <v>0</v>
          </cell>
          <cell r="AI1526">
            <v>0</v>
          </cell>
          <cell r="AJ1526">
            <v>0</v>
          </cell>
          <cell r="AK1526">
            <v>0</v>
          </cell>
          <cell r="AL1526">
            <v>0</v>
          </cell>
        </row>
        <row r="1527">
          <cell r="E1527" t="str">
            <v>CVV 3.5sq-15C</v>
          </cell>
          <cell r="F1527" t="str">
            <v>ｍ</v>
          </cell>
          <cell r="G1527">
            <v>0</v>
          </cell>
          <cell r="H1527">
            <v>721</v>
          </cell>
          <cell r="I1527">
            <v>0</v>
          </cell>
          <cell r="J1527">
            <v>732</v>
          </cell>
          <cell r="K1527">
            <v>0</v>
          </cell>
          <cell r="L1527">
            <v>732</v>
          </cell>
          <cell r="M1527">
            <v>0</v>
          </cell>
          <cell r="N1527">
            <v>709</v>
          </cell>
          <cell r="O1527">
            <v>0</v>
          </cell>
          <cell r="P1527">
            <v>692</v>
          </cell>
          <cell r="Q1527">
            <v>0</v>
          </cell>
          <cell r="R1527">
            <v>721</v>
          </cell>
          <cell r="S1527">
            <v>0</v>
          </cell>
          <cell r="T1527">
            <v>721</v>
          </cell>
          <cell r="U1527">
            <v>0</v>
          </cell>
          <cell r="V1527">
            <v>732</v>
          </cell>
          <cell r="W1527">
            <v>0</v>
          </cell>
          <cell r="X1527">
            <v>709</v>
          </cell>
          <cell r="Y1527">
            <v>0</v>
          </cell>
          <cell r="Z1527">
            <v>732</v>
          </cell>
          <cell r="AA1527">
            <v>0</v>
          </cell>
          <cell r="AB1527">
            <v>0</v>
          </cell>
          <cell r="AC1527">
            <v>0</v>
          </cell>
          <cell r="AD1527">
            <v>6.6000000000000003E-2</v>
          </cell>
          <cell r="AE1527">
            <v>0</v>
          </cell>
          <cell r="AF1527">
            <v>0</v>
          </cell>
          <cell r="AG1527">
            <v>0</v>
          </cell>
          <cell r="AH1527">
            <v>0</v>
          </cell>
          <cell r="AI1527">
            <v>0</v>
          </cell>
          <cell r="AJ1527">
            <v>0</v>
          </cell>
          <cell r="AK1527">
            <v>0</v>
          </cell>
          <cell r="AL1527">
            <v>0</v>
          </cell>
        </row>
        <row r="1528">
          <cell r="E1528" t="str">
            <v>CVV 5.5sq-15C</v>
          </cell>
          <cell r="F1528" t="str">
            <v>ｍ</v>
          </cell>
          <cell r="G1528">
            <v>0</v>
          </cell>
          <cell r="H1528">
            <v>1057</v>
          </cell>
          <cell r="I1528">
            <v>0</v>
          </cell>
          <cell r="J1528">
            <v>1073</v>
          </cell>
          <cell r="K1528">
            <v>0</v>
          </cell>
          <cell r="L1528">
            <v>1073</v>
          </cell>
          <cell r="M1528">
            <v>0</v>
          </cell>
          <cell r="N1528">
            <v>1040</v>
          </cell>
          <cell r="O1528">
            <v>0</v>
          </cell>
          <cell r="P1528">
            <v>1015</v>
          </cell>
          <cell r="Q1528">
            <v>0</v>
          </cell>
          <cell r="R1528">
            <v>1057</v>
          </cell>
          <cell r="S1528">
            <v>0</v>
          </cell>
          <cell r="T1528">
            <v>1057</v>
          </cell>
          <cell r="U1528">
            <v>0</v>
          </cell>
          <cell r="V1528">
            <v>1073</v>
          </cell>
          <cell r="W1528">
            <v>0</v>
          </cell>
          <cell r="X1528">
            <v>1040</v>
          </cell>
          <cell r="Y1528">
            <v>0</v>
          </cell>
          <cell r="Z1528">
            <v>1073</v>
          </cell>
          <cell r="AA1528">
            <v>0</v>
          </cell>
          <cell r="AB1528">
            <v>0</v>
          </cell>
          <cell r="AC1528">
            <v>0</v>
          </cell>
          <cell r="AD1528">
            <v>7.8E-2</v>
          </cell>
          <cell r="AE1528">
            <v>0</v>
          </cell>
          <cell r="AF1528">
            <v>0</v>
          </cell>
          <cell r="AG1528">
            <v>0</v>
          </cell>
          <cell r="AH1528">
            <v>0</v>
          </cell>
          <cell r="AI1528">
            <v>0</v>
          </cell>
          <cell r="AJ1528">
            <v>0</v>
          </cell>
          <cell r="AK1528">
            <v>0</v>
          </cell>
          <cell r="AL1528">
            <v>0</v>
          </cell>
        </row>
        <row r="1529">
          <cell r="E1529" t="str">
            <v>CVV 1.25sq-20C</v>
          </cell>
          <cell r="F1529" t="str">
            <v>ｍ</v>
          </cell>
          <cell r="G1529">
            <v>0</v>
          </cell>
          <cell r="H1529">
            <v>452</v>
          </cell>
          <cell r="I1529">
            <v>0</v>
          </cell>
          <cell r="J1529">
            <v>459</v>
          </cell>
          <cell r="K1529">
            <v>0</v>
          </cell>
          <cell r="L1529">
            <v>459</v>
          </cell>
          <cell r="M1529">
            <v>0</v>
          </cell>
          <cell r="N1529">
            <v>445</v>
          </cell>
          <cell r="O1529">
            <v>0</v>
          </cell>
          <cell r="P1529">
            <v>434</v>
          </cell>
          <cell r="Q1529">
            <v>0</v>
          </cell>
          <cell r="R1529">
            <v>452</v>
          </cell>
          <cell r="S1529">
            <v>0</v>
          </cell>
          <cell r="T1529">
            <v>452</v>
          </cell>
          <cell r="U1529">
            <v>0</v>
          </cell>
          <cell r="V1529">
            <v>459</v>
          </cell>
          <cell r="W1529">
            <v>0</v>
          </cell>
          <cell r="X1529">
            <v>445</v>
          </cell>
          <cell r="Y1529">
            <v>0</v>
          </cell>
          <cell r="Z1529">
            <v>459</v>
          </cell>
          <cell r="AA1529">
            <v>0</v>
          </cell>
          <cell r="AB1529">
            <v>0</v>
          </cell>
          <cell r="AC1529">
            <v>0</v>
          </cell>
          <cell r="AD1529">
            <v>6.3E-2</v>
          </cell>
          <cell r="AE1529">
            <v>0</v>
          </cell>
          <cell r="AF1529">
            <v>0</v>
          </cell>
          <cell r="AG1529">
            <v>0</v>
          </cell>
          <cell r="AH1529">
            <v>0</v>
          </cell>
          <cell r="AI1529">
            <v>0</v>
          </cell>
          <cell r="AJ1529">
            <v>0</v>
          </cell>
          <cell r="AK1529">
            <v>0</v>
          </cell>
          <cell r="AL1529">
            <v>0</v>
          </cell>
        </row>
        <row r="1530">
          <cell r="E1530" t="str">
            <v>CVV 2sq-20C</v>
          </cell>
          <cell r="F1530" t="str">
            <v>ｍ</v>
          </cell>
          <cell r="G1530">
            <v>0</v>
          </cell>
          <cell r="H1530">
            <v>634</v>
          </cell>
          <cell r="I1530">
            <v>0</v>
          </cell>
          <cell r="J1530">
            <v>644</v>
          </cell>
          <cell r="K1530">
            <v>0</v>
          </cell>
          <cell r="L1530">
            <v>644</v>
          </cell>
          <cell r="M1530">
            <v>0</v>
          </cell>
          <cell r="N1530">
            <v>624</v>
          </cell>
          <cell r="O1530">
            <v>0</v>
          </cell>
          <cell r="P1530">
            <v>609</v>
          </cell>
          <cell r="Q1530">
            <v>0</v>
          </cell>
          <cell r="R1530">
            <v>634</v>
          </cell>
          <cell r="S1530">
            <v>0</v>
          </cell>
          <cell r="T1530">
            <v>634</v>
          </cell>
          <cell r="U1530">
            <v>0</v>
          </cell>
          <cell r="V1530">
            <v>644</v>
          </cell>
          <cell r="W1530">
            <v>0</v>
          </cell>
          <cell r="X1530">
            <v>624</v>
          </cell>
          <cell r="Y1530">
            <v>0</v>
          </cell>
          <cell r="Z1530">
            <v>644</v>
          </cell>
          <cell r="AA1530">
            <v>0</v>
          </cell>
          <cell r="AB1530">
            <v>0</v>
          </cell>
          <cell r="AC1530">
            <v>0</v>
          </cell>
          <cell r="AD1530">
            <v>7.0000000000000007E-2</v>
          </cell>
          <cell r="AE1530">
            <v>0</v>
          </cell>
          <cell r="AF1530">
            <v>0</v>
          </cell>
          <cell r="AG1530">
            <v>0</v>
          </cell>
          <cell r="AH1530">
            <v>0</v>
          </cell>
          <cell r="AI1530">
            <v>0</v>
          </cell>
          <cell r="AJ1530">
            <v>0</v>
          </cell>
          <cell r="AK1530">
            <v>0</v>
          </cell>
          <cell r="AL1530">
            <v>0</v>
          </cell>
        </row>
        <row r="1531">
          <cell r="E1531" t="str">
            <v>CVV 3.5sq-20C</v>
          </cell>
          <cell r="F1531" t="str">
            <v>ｍ</v>
          </cell>
          <cell r="G1531">
            <v>0</v>
          </cell>
          <cell r="H1531">
            <v>963</v>
          </cell>
          <cell r="I1531">
            <v>0</v>
          </cell>
          <cell r="J1531">
            <v>978</v>
          </cell>
          <cell r="K1531">
            <v>0</v>
          </cell>
          <cell r="L1531">
            <v>978</v>
          </cell>
          <cell r="M1531">
            <v>0</v>
          </cell>
          <cell r="N1531">
            <v>948</v>
          </cell>
          <cell r="O1531">
            <v>0</v>
          </cell>
          <cell r="P1531">
            <v>925</v>
          </cell>
          <cell r="Q1531">
            <v>0</v>
          </cell>
          <cell r="R1531">
            <v>963</v>
          </cell>
          <cell r="S1531">
            <v>0</v>
          </cell>
          <cell r="T1531">
            <v>963</v>
          </cell>
          <cell r="U1531">
            <v>0</v>
          </cell>
          <cell r="V1531">
            <v>978</v>
          </cell>
          <cell r="W1531">
            <v>0</v>
          </cell>
          <cell r="X1531">
            <v>948</v>
          </cell>
          <cell r="Y1531">
            <v>0</v>
          </cell>
          <cell r="Z1531">
            <v>978</v>
          </cell>
          <cell r="AA1531">
            <v>0</v>
          </cell>
          <cell r="AB1531">
            <v>0</v>
          </cell>
          <cell r="AC1531">
            <v>0</v>
          </cell>
          <cell r="AD1531">
            <v>7.6999999999999999E-2</v>
          </cell>
          <cell r="AE1531">
            <v>0</v>
          </cell>
          <cell r="AF1531">
            <v>0</v>
          </cell>
          <cell r="AG1531">
            <v>0</v>
          </cell>
          <cell r="AH1531">
            <v>0</v>
          </cell>
          <cell r="AI1531">
            <v>0</v>
          </cell>
          <cell r="AJ1531">
            <v>0</v>
          </cell>
          <cell r="AK1531">
            <v>0</v>
          </cell>
          <cell r="AL1531">
            <v>0</v>
          </cell>
        </row>
        <row r="1532">
          <cell r="E1532" t="str">
            <v>CVV 5.5sq-20C</v>
          </cell>
          <cell r="F1532" t="str">
            <v>ｍ</v>
          </cell>
          <cell r="G1532">
            <v>0</v>
          </cell>
          <cell r="H1532">
            <v>1408</v>
          </cell>
          <cell r="I1532">
            <v>0</v>
          </cell>
          <cell r="J1532">
            <v>1430</v>
          </cell>
          <cell r="K1532">
            <v>0</v>
          </cell>
          <cell r="L1532">
            <v>1430</v>
          </cell>
          <cell r="M1532">
            <v>0</v>
          </cell>
          <cell r="N1532">
            <v>1386</v>
          </cell>
          <cell r="O1532">
            <v>0</v>
          </cell>
          <cell r="P1532">
            <v>1353</v>
          </cell>
          <cell r="Q1532">
            <v>0</v>
          </cell>
          <cell r="R1532">
            <v>1408</v>
          </cell>
          <cell r="S1532">
            <v>0</v>
          </cell>
          <cell r="T1532">
            <v>1408</v>
          </cell>
          <cell r="U1532">
            <v>0</v>
          </cell>
          <cell r="V1532">
            <v>1430</v>
          </cell>
          <cell r="W1532">
            <v>0</v>
          </cell>
          <cell r="X1532">
            <v>1386</v>
          </cell>
          <cell r="Y1532">
            <v>0</v>
          </cell>
          <cell r="Z1532">
            <v>1430</v>
          </cell>
          <cell r="AA1532">
            <v>0</v>
          </cell>
          <cell r="AB1532">
            <v>0</v>
          </cell>
          <cell r="AC1532">
            <v>0</v>
          </cell>
          <cell r="AD1532">
            <v>9.0999999999999998E-2</v>
          </cell>
          <cell r="AE1532">
            <v>0</v>
          </cell>
          <cell r="AF1532">
            <v>0</v>
          </cell>
          <cell r="AG1532">
            <v>0</v>
          </cell>
          <cell r="AH1532">
            <v>0</v>
          </cell>
          <cell r="AI1532">
            <v>0</v>
          </cell>
          <cell r="AJ1532">
            <v>0</v>
          </cell>
          <cell r="AK1532">
            <v>0</v>
          </cell>
          <cell r="AL1532">
            <v>0</v>
          </cell>
        </row>
        <row r="1533">
          <cell r="E1533" t="str">
            <v>CVV 1.25sq-30C</v>
          </cell>
          <cell r="F1533" t="str">
            <v>ｍ</v>
          </cell>
          <cell r="G1533">
            <v>0</v>
          </cell>
          <cell r="H1533">
            <v>652</v>
          </cell>
          <cell r="I1533">
            <v>0</v>
          </cell>
          <cell r="J1533">
            <v>662</v>
          </cell>
          <cell r="K1533">
            <v>0</v>
          </cell>
          <cell r="L1533">
            <v>662</v>
          </cell>
          <cell r="M1533">
            <v>0</v>
          </cell>
          <cell r="N1533">
            <v>642</v>
          </cell>
          <cell r="O1533">
            <v>0</v>
          </cell>
          <cell r="P1533">
            <v>627</v>
          </cell>
          <cell r="Q1533">
            <v>0</v>
          </cell>
          <cell r="R1533">
            <v>652</v>
          </cell>
          <cell r="S1533">
            <v>0</v>
          </cell>
          <cell r="T1533">
            <v>652</v>
          </cell>
          <cell r="U1533">
            <v>0</v>
          </cell>
          <cell r="V1533">
            <v>662</v>
          </cell>
          <cell r="W1533">
            <v>0</v>
          </cell>
          <cell r="X1533">
            <v>642</v>
          </cell>
          <cell r="Y1533">
            <v>0</v>
          </cell>
          <cell r="Z1533">
            <v>662</v>
          </cell>
          <cell r="AA1533">
            <v>0</v>
          </cell>
          <cell r="AB1533">
            <v>0</v>
          </cell>
          <cell r="AC1533">
            <v>0</v>
          </cell>
          <cell r="AD1533">
            <v>7.4999999999999997E-2</v>
          </cell>
          <cell r="AE1533">
            <v>0</v>
          </cell>
          <cell r="AF1533">
            <v>0</v>
          </cell>
          <cell r="AG1533">
            <v>0</v>
          </cell>
          <cell r="AH1533">
            <v>0</v>
          </cell>
          <cell r="AI1533">
            <v>0</v>
          </cell>
          <cell r="AJ1533">
            <v>0</v>
          </cell>
          <cell r="AK1533">
            <v>0</v>
          </cell>
          <cell r="AL1533">
            <v>0</v>
          </cell>
        </row>
        <row r="1534">
          <cell r="E1534" t="str">
            <v>CVV 2sq-30C</v>
          </cell>
          <cell r="F1534" t="str">
            <v>ｍ</v>
          </cell>
          <cell r="G1534">
            <v>0</v>
          </cell>
          <cell r="H1534">
            <v>932</v>
          </cell>
          <cell r="I1534">
            <v>0</v>
          </cell>
          <cell r="J1534">
            <v>946</v>
          </cell>
          <cell r="K1534">
            <v>0</v>
          </cell>
          <cell r="L1534">
            <v>946</v>
          </cell>
          <cell r="M1534">
            <v>0</v>
          </cell>
          <cell r="N1534">
            <v>917</v>
          </cell>
          <cell r="O1534">
            <v>0</v>
          </cell>
          <cell r="P1534">
            <v>895</v>
          </cell>
          <cell r="Q1534">
            <v>0</v>
          </cell>
          <cell r="R1534">
            <v>932</v>
          </cell>
          <cell r="S1534">
            <v>0</v>
          </cell>
          <cell r="T1534">
            <v>932</v>
          </cell>
          <cell r="U1534">
            <v>0</v>
          </cell>
          <cell r="V1534">
            <v>946</v>
          </cell>
          <cell r="W1534">
            <v>0</v>
          </cell>
          <cell r="X1534">
            <v>917</v>
          </cell>
          <cell r="Y1534">
            <v>0</v>
          </cell>
          <cell r="Z1534">
            <v>946</v>
          </cell>
          <cell r="AA1534">
            <v>0</v>
          </cell>
          <cell r="AB1534">
            <v>0</v>
          </cell>
          <cell r="AC1534">
            <v>0</v>
          </cell>
          <cell r="AD1534">
            <v>8.3000000000000004E-2</v>
          </cell>
          <cell r="AE1534">
            <v>0</v>
          </cell>
          <cell r="AF1534">
            <v>0</v>
          </cell>
          <cell r="AG1534">
            <v>0</v>
          </cell>
          <cell r="AH1534">
            <v>0</v>
          </cell>
          <cell r="AI1534">
            <v>0</v>
          </cell>
          <cell r="AJ1534">
            <v>0</v>
          </cell>
          <cell r="AK1534">
            <v>0</v>
          </cell>
          <cell r="AL1534">
            <v>0</v>
          </cell>
        </row>
        <row r="1535">
          <cell r="E1535" t="str">
            <v>CVV 3.5sq-30C</v>
          </cell>
          <cell r="F1535" t="str">
            <v>ｍ</v>
          </cell>
          <cell r="G1535">
            <v>0</v>
          </cell>
          <cell r="H1535">
            <v>1430</v>
          </cell>
          <cell r="I1535">
            <v>0</v>
          </cell>
          <cell r="J1535">
            <v>1453</v>
          </cell>
          <cell r="K1535">
            <v>0</v>
          </cell>
          <cell r="L1535">
            <v>1453</v>
          </cell>
          <cell r="M1535">
            <v>0</v>
          </cell>
          <cell r="N1535">
            <v>1408</v>
          </cell>
          <cell r="O1535">
            <v>0</v>
          </cell>
          <cell r="P1535">
            <v>1375</v>
          </cell>
          <cell r="Q1535">
            <v>0</v>
          </cell>
          <cell r="R1535">
            <v>1430</v>
          </cell>
          <cell r="S1535">
            <v>0</v>
          </cell>
          <cell r="T1535">
            <v>1430</v>
          </cell>
          <cell r="U1535">
            <v>0</v>
          </cell>
          <cell r="V1535">
            <v>1453</v>
          </cell>
          <cell r="W1535">
            <v>0</v>
          </cell>
          <cell r="X1535">
            <v>1408</v>
          </cell>
          <cell r="Y1535">
            <v>0</v>
          </cell>
          <cell r="Z1535">
            <v>1453</v>
          </cell>
          <cell r="AA1535">
            <v>0</v>
          </cell>
          <cell r="AB1535">
            <v>0</v>
          </cell>
          <cell r="AC1535">
            <v>0</v>
          </cell>
          <cell r="AD1535">
            <v>9.0999999999999998E-2</v>
          </cell>
          <cell r="AE1535">
            <v>0</v>
          </cell>
          <cell r="AF1535">
            <v>0</v>
          </cell>
          <cell r="AG1535">
            <v>0</v>
          </cell>
          <cell r="AH1535">
            <v>0</v>
          </cell>
          <cell r="AI1535">
            <v>0</v>
          </cell>
          <cell r="AJ1535">
            <v>0</v>
          </cell>
          <cell r="AK1535">
            <v>0</v>
          </cell>
          <cell r="AL1535">
            <v>0</v>
          </cell>
        </row>
        <row r="1536">
          <cell r="E1536" t="str">
            <v>CEE 1.25sq-2C</v>
          </cell>
          <cell r="F1536" t="str">
            <v>ｍ</v>
          </cell>
          <cell r="G1536">
            <v>0</v>
          </cell>
          <cell r="H1536">
            <v>106</v>
          </cell>
          <cell r="I1536">
            <v>0</v>
          </cell>
          <cell r="J1536">
            <v>107</v>
          </cell>
          <cell r="K1536">
            <v>0</v>
          </cell>
          <cell r="L1536">
            <v>107</v>
          </cell>
          <cell r="M1536">
            <v>0</v>
          </cell>
          <cell r="N1536">
            <v>104</v>
          </cell>
          <cell r="O1536">
            <v>0</v>
          </cell>
          <cell r="P1536">
            <v>101</v>
          </cell>
          <cell r="Q1536">
            <v>0</v>
          </cell>
          <cell r="R1536">
            <v>106</v>
          </cell>
          <cell r="S1536">
            <v>0</v>
          </cell>
          <cell r="T1536">
            <v>106</v>
          </cell>
          <cell r="U1536">
            <v>0</v>
          </cell>
          <cell r="V1536">
            <v>107</v>
          </cell>
          <cell r="W1536">
            <v>0</v>
          </cell>
          <cell r="X1536">
            <v>104</v>
          </cell>
          <cell r="Y1536">
            <v>0</v>
          </cell>
          <cell r="Z1536">
            <v>107</v>
          </cell>
          <cell r="AA1536">
            <v>0</v>
          </cell>
          <cell r="AB1536">
            <v>0</v>
          </cell>
          <cell r="AC1536">
            <v>0</v>
          </cell>
          <cell r="AD1536">
            <v>1.4999999999999999E-2</v>
          </cell>
          <cell r="AE1536">
            <v>0</v>
          </cell>
          <cell r="AF1536">
            <v>0</v>
          </cell>
          <cell r="AG1536">
            <v>0</v>
          </cell>
          <cell r="AH1536">
            <v>0</v>
          </cell>
          <cell r="AI1536">
            <v>0</v>
          </cell>
          <cell r="AJ1536">
            <v>0</v>
          </cell>
          <cell r="AK1536">
            <v>0</v>
          </cell>
          <cell r="AL1536">
            <v>0</v>
          </cell>
        </row>
        <row r="1537">
          <cell r="E1537" t="str">
            <v>CEE 2sq-2C</v>
          </cell>
          <cell r="F1537" t="str">
            <v>ｍ</v>
          </cell>
          <cell r="G1537">
            <v>0</v>
          </cell>
          <cell r="H1537">
            <v>129</v>
          </cell>
          <cell r="I1537">
            <v>0</v>
          </cell>
          <cell r="J1537">
            <v>131</v>
          </cell>
          <cell r="K1537">
            <v>0</v>
          </cell>
          <cell r="L1537">
            <v>131</v>
          </cell>
          <cell r="M1537">
            <v>0</v>
          </cell>
          <cell r="N1537">
            <v>127</v>
          </cell>
          <cell r="O1537">
            <v>0</v>
          </cell>
          <cell r="P1537">
            <v>124</v>
          </cell>
          <cell r="Q1537">
            <v>0</v>
          </cell>
          <cell r="R1537">
            <v>129</v>
          </cell>
          <cell r="S1537">
            <v>0</v>
          </cell>
          <cell r="T1537">
            <v>129</v>
          </cell>
          <cell r="U1537">
            <v>0</v>
          </cell>
          <cell r="V1537">
            <v>131</v>
          </cell>
          <cell r="W1537">
            <v>0</v>
          </cell>
          <cell r="X1537">
            <v>127</v>
          </cell>
          <cell r="Y1537">
            <v>0</v>
          </cell>
          <cell r="Z1537">
            <v>131</v>
          </cell>
          <cell r="AA1537">
            <v>0</v>
          </cell>
          <cell r="AB1537">
            <v>0</v>
          </cell>
          <cell r="AC1537">
            <v>0</v>
          </cell>
          <cell r="AD1537">
            <v>1.7000000000000001E-2</v>
          </cell>
          <cell r="AE1537">
            <v>0</v>
          </cell>
          <cell r="AF1537">
            <v>0</v>
          </cell>
          <cell r="AG1537">
            <v>0</v>
          </cell>
          <cell r="AH1537">
            <v>0</v>
          </cell>
          <cell r="AI1537">
            <v>0</v>
          </cell>
          <cell r="AJ1537">
            <v>0</v>
          </cell>
          <cell r="AK1537">
            <v>0</v>
          </cell>
          <cell r="AL1537">
            <v>0</v>
          </cell>
        </row>
        <row r="1538">
          <cell r="E1538" t="str">
            <v>CEE 3.5sq-2C</v>
          </cell>
          <cell r="F1538" t="str">
            <v>ｍ</v>
          </cell>
          <cell r="G1538">
            <v>0</v>
          </cell>
          <cell r="H1538">
            <v>172</v>
          </cell>
          <cell r="I1538">
            <v>0</v>
          </cell>
          <cell r="J1538">
            <v>175</v>
          </cell>
          <cell r="K1538">
            <v>0</v>
          </cell>
          <cell r="L1538">
            <v>175</v>
          </cell>
          <cell r="M1538">
            <v>0</v>
          </cell>
          <cell r="N1538">
            <v>169</v>
          </cell>
          <cell r="O1538">
            <v>0</v>
          </cell>
          <cell r="P1538">
            <v>165</v>
          </cell>
          <cell r="Q1538">
            <v>0</v>
          </cell>
          <cell r="R1538">
            <v>172</v>
          </cell>
          <cell r="S1538">
            <v>0</v>
          </cell>
          <cell r="T1538">
            <v>172</v>
          </cell>
          <cell r="U1538">
            <v>0</v>
          </cell>
          <cell r="V1538">
            <v>175</v>
          </cell>
          <cell r="W1538">
            <v>0</v>
          </cell>
          <cell r="X1538">
            <v>169</v>
          </cell>
          <cell r="Y1538">
            <v>0</v>
          </cell>
          <cell r="Z1538">
            <v>175</v>
          </cell>
          <cell r="AA1538">
            <v>0</v>
          </cell>
          <cell r="AB1538">
            <v>0</v>
          </cell>
          <cell r="AC1538">
            <v>0</v>
          </cell>
          <cell r="AD1538">
            <v>1.7999999999999999E-2</v>
          </cell>
          <cell r="AE1538">
            <v>0</v>
          </cell>
          <cell r="AF1538">
            <v>0</v>
          </cell>
          <cell r="AG1538">
            <v>0</v>
          </cell>
          <cell r="AH1538">
            <v>0</v>
          </cell>
          <cell r="AI1538">
            <v>0</v>
          </cell>
          <cell r="AJ1538">
            <v>0</v>
          </cell>
          <cell r="AK1538">
            <v>0</v>
          </cell>
          <cell r="AL1538">
            <v>0</v>
          </cell>
        </row>
        <row r="1539">
          <cell r="E1539" t="str">
            <v>CEE 5.5sq-2C</v>
          </cell>
          <cell r="F1539" t="str">
            <v>ｍ</v>
          </cell>
          <cell r="G1539">
            <v>0</v>
          </cell>
          <cell r="H1539">
            <v>236</v>
          </cell>
          <cell r="I1539">
            <v>0</v>
          </cell>
          <cell r="J1539">
            <v>239</v>
          </cell>
          <cell r="K1539">
            <v>0</v>
          </cell>
          <cell r="L1539">
            <v>239</v>
          </cell>
          <cell r="M1539">
            <v>0</v>
          </cell>
          <cell r="N1539">
            <v>232</v>
          </cell>
          <cell r="O1539">
            <v>0</v>
          </cell>
          <cell r="P1539">
            <v>226</v>
          </cell>
          <cell r="Q1539">
            <v>0</v>
          </cell>
          <cell r="R1539">
            <v>236</v>
          </cell>
          <cell r="S1539">
            <v>0</v>
          </cell>
          <cell r="T1539">
            <v>236</v>
          </cell>
          <cell r="U1539">
            <v>0</v>
          </cell>
          <cell r="V1539">
            <v>239</v>
          </cell>
          <cell r="W1539">
            <v>0</v>
          </cell>
          <cell r="X1539">
            <v>232</v>
          </cell>
          <cell r="Y1539">
            <v>0</v>
          </cell>
          <cell r="Z1539">
            <v>239</v>
          </cell>
          <cell r="AA1539">
            <v>0</v>
          </cell>
          <cell r="AB1539">
            <v>0</v>
          </cell>
          <cell r="AC1539">
            <v>0</v>
          </cell>
          <cell r="AD1539">
            <v>2.1000000000000001E-2</v>
          </cell>
          <cell r="AE1539">
            <v>0</v>
          </cell>
          <cell r="AF1539">
            <v>0</v>
          </cell>
          <cell r="AG1539">
            <v>0</v>
          </cell>
          <cell r="AH1539">
            <v>0</v>
          </cell>
          <cell r="AI1539">
            <v>0</v>
          </cell>
          <cell r="AJ1539">
            <v>0</v>
          </cell>
          <cell r="AK1539">
            <v>0</v>
          </cell>
          <cell r="AL1539">
            <v>0</v>
          </cell>
        </row>
        <row r="1540">
          <cell r="E1540" t="str">
            <v>CEE 8sq-2C</v>
          </cell>
          <cell r="F1540" t="str">
            <v>ｍ</v>
          </cell>
          <cell r="G1540">
            <v>0</v>
          </cell>
          <cell r="H1540">
            <v>306</v>
          </cell>
          <cell r="I1540">
            <v>0</v>
          </cell>
          <cell r="J1540">
            <v>311</v>
          </cell>
          <cell r="K1540">
            <v>0</v>
          </cell>
          <cell r="L1540">
            <v>311</v>
          </cell>
          <cell r="M1540">
            <v>0</v>
          </cell>
          <cell r="N1540">
            <v>301</v>
          </cell>
          <cell r="O1540">
            <v>0</v>
          </cell>
          <cell r="P1540">
            <v>294</v>
          </cell>
          <cell r="Q1540">
            <v>0</v>
          </cell>
          <cell r="R1540">
            <v>306</v>
          </cell>
          <cell r="S1540">
            <v>0</v>
          </cell>
          <cell r="T1540">
            <v>306</v>
          </cell>
          <cell r="U1540">
            <v>0</v>
          </cell>
          <cell r="V1540">
            <v>311</v>
          </cell>
          <cell r="W1540">
            <v>0</v>
          </cell>
          <cell r="X1540">
            <v>301</v>
          </cell>
          <cell r="Y1540">
            <v>0</v>
          </cell>
          <cell r="Z1540">
            <v>311</v>
          </cell>
          <cell r="AA1540">
            <v>0</v>
          </cell>
          <cell r="AB1540">
            <v>0</v>
          </cell>
          <cell r="AC1540">
            <v>0</v>
          </cell>
          <cell r="AD1540">
            <v>2.5999999999999999E-2</v>
          </cell>
          <cell r="AE1540">
            <v>0</v>
          </cell>
          <cell r="AF1540">
            <v>0</v>
          </cell>
          <cell r="AG1540">
            <v>0</v>
          </cell>
          <cell r="AH1540">
            <v>0</v>
          </cell>
          <cell r="AI1540">
            <v>0</v>
          </cell>
          <cell r="AJ1540">
            <v>0</v>
          </cell>
          <cell r="AK1540">
            <v>0</v>
          </cell>
          <cell r="AL1540">
            <v>0</v>
          </cell>
        </row>
        <row r="1541">
          <cell r="E1541" t="str">
            <v>CEE 1.25sq-3C</v>
          </cell>
          <cell r="F1541" t="str">
            <v>ｍ</v>
          </cell>
          <cell r="G1541">
            <v>0</v>
          </cell>
          <cell r="H1541">
            <v>129</v>
          </cell>
          <cell r="I1541">
            <v>0</v>
          </cell>
          <cell r="J1541">
            <v>131</v>
          </cell>
          <cell r="K1541">
            <v>0</v>
          </cell>
          <cell r="L1541">
            <v>131</v>
          </cell>
          <cell r="M1541">
            <v>0</v>
          </cell>
          <cell r="N1541">
            <v>127</v>
          </cell>
          <cell r="O1541">
            <v>0</v>
          </cell>
          <cell r="P1541">
            <v>124</v>
          </cell>
          <cell r="Q1541">
            <v>0</v>
          </cell>
          <cell r="R1541">
            <v>129</v>
          </cell>
          <cell r="S1541">
            <v>0</v>
          </cell>
          <cell r="T1541">
            <v>129</v>
          </cell>
          <cell r="U1541">
            <v>0</v>
          </cell>
          <cell r="V1541">
            <v>131</v>
          </cell>
          <cell r="W1541">
            <v>0</v>
          </cell>
          <cell r="X1541">
            <v>127</v>
          </cell>
          <cell r="Y1541">
            <v>0</v>
          </cell>
          <cell r="Z1541">
            <v>131</v>
          </cell>
          <cell r="AA1541">
            <v>0</v>
          </cell>
          <cell r="AB1541">
            <v>0</v>
          </cell>
          <cell r="AC1541">
            <v>0</v>
          </cell>
          <cell r="AD1541">
            <v>1.7000000000000001E-2</v>
          </cell>
          <cell r="AE1541">
            <v>0</v>
          </cell>
          <cell r="AF1541">
            <v>0</v>
          </cell>
          <cell r="AG1541">
            <v>0</v>
          </cell>
          <cell r="AH1541">
            <v>0</v>
          </cell>
          <cell r="AI1541">
            <v>0</v>
          </cell>
          <cell r="AJ1541">
            <v>0</v>
          </cell>
          <cell r="AK1541">
            <v>0</v>
          </cell>
          <cell r="AL1541">
            <v>0</v>
          </cell>
        </row>
        <row r="1542">
          <cell r="E1542" t="str">
            <v>CEE 2sq-3C</v>
          </cell>
          <cell r="F1542" t="str">
            <v>ｍ</v>
          </cell>
          <cell r="G1542">
            <v>0</v>
          </cell>
          <cell r="H1542">
            <v>161</v>
          </cell>
          <cell r="I1542">
            <v>0</v>
          </cell>
          <cell r="J1542">
            <v>163</v>
          </cell>
          <cell r="K1542">
            <v>0</v>
          </cell>
          <cell r="L1542">
            <v>163</v>
          </cell>
          <cell r="M1542">
            <v>0</v>
          </cell>
          <cell r="N1542">
            <v>158</v>
          </cell>
          <cell r="O1542">
            <v>0</v>
          </cell>
          <cell r="P1542">
            <v>154</v>
          </cell>
          <cell r="Q1542">
            <v>0</v>
          </cell>
          <cell r="R1542">
            <v>161</v>
          </cell>
          <cell r="S1542">
            <v>0</v>
          </cell>
          <cell r="T1542">
            <v>161</v>
          </cell>
          <cell r="U1542">
            <v>0</v>
          </cell>
          <cell r="V1542">
            <v>163</v>
          </cell>
          <cell r="W1542">
            <v>0</v>
          </cell>
          <cell r="X1542">
            <v>158</v>
          </cell>
          <cell r="Y1542">
            <v>0</v>
          </cell>
          <cell r="Z1542">
            <v>163</v>
          </cell>
          <cell r="AA1542">
            <v>0</v>
          </cell>
          <cell r="AB1542">
            <v>0</v>
          </cell>
          <cell r="AC1542">
            <v>0</v>
          </cell>
          <cell r="AD1542">
            <v>1.9E-2</v>
          </cell>
          <cell r="AE1542">
            <v>0</v>
          </cell>
          <cell r="AF1542">
            <v>0</v>
          </cell>
          <cell r="AG1542">
            <v>0</v>
          </cell>
          <cell r="AH1542">
            <v>0</v>
          </cell>
          <cell r="AI1542">
            <v>0</v>
          </cell>
          <cell r="AJ1542">
            <v>0</v>
          </cell>
          <cell r="AK1542">
            <v>0</v>
          </cell>
          <cell r="AL1542">
            <v>0</v>
          </cell>
        </row>
        <row r="1543">
          <cell r="E1543" t="str">
            <v>CEE 3.5sq-3C</v>
          </cell>
          <cell r="F1543" t="str">
            <v>ｍ</v>
          </cell>
          <cell r="G1543">
            <v>0</v>
          </cell>
          <cell r="H1543">
            <v>227</v>
          </cell>
          <cell r="I1543">
            <v>0</v>
          </cell>
          <cell r="J1543">
            <v>231</v>
          </cell>
          <cell r="K1543">
            <v>0</v>
          </cell>
          <cell r="L1543">
            <v>231</v>
          </cell>
          <cell r="M1543">
            <v>0</v>
          </cell>
          <cell r="N1543">
            <v>224</v>
          </cell>
          <cell r="O1543">
            <v>0</v>
          </cell>
          <cell r="P1543">
            <v>218</v>
          </cell>
          <cell r="Q1543">
            <v>0</v>
          </cell>
          <cell r="R1543">
            <v>227</v>
          </cell>
          <cell r="S1543">
            <v>0</v>
          </cell>
          <cell r="T1543">
            <v>227</v>
          </cell>
          <cell r="U1543">
            <v>0</v>
          </cell>
          <cell r="V1543">
            <v>231</v>
          </cell>
          <cell r="W1543">
            <v>0</v>
          </cell>
          <cell r="X1543">
            <v>224</v>
          </cell>
          <cell r="Y1543">
            <v>0</v>
          </cell>
          <cell r="Z1543">
            <v>231</v>
          </cell>
          <cell r="AA1543">
            <v>0</v>
          </cell>
          <cell r="AB1543">
            <v>0</v>
          </cell>
          <cell r="AC1543">
            <v>0</v>
          </cell>
          <cell r="AD1543">
            <v>2.1000000000000001E-2</v>
          </cell>
          <cell r="AE1543">
            <v>0</v>
          </cell>
          <cell r="AF1543">
            <v>0</v>
          </cell>
          <cell r="AG1543">
            <v>0</v>
          </cell>
          <cell r="AH1543">
            <v>0</v>
          </cell>
          <cell r="AI1543">
            <v>0</v>
          </cell>
          <cell r="AJ1543">
            <v>0</v>
          </cell>
          <cell r="AK1543">
            <v>0</v>
          </cell>
          <cell r="AL1543">
            <v>0</v>
          </cell>
        </row>
        <row r="1544">
          <cell r="E1544" t="str">
            <v>CEE 5.5sq-3C</v>
          </cell>
          <cell r="F1544" t="str">
            <v>ｍ</v>
          </cell>
          <cell r="G1544">
            <v>0</v>
          </cell>
          <cell r="H1544">
            <v>309</v>
          </cell>
          <cell r="I1544">
            <v>0</v>
          </cell>
          <cell r="J1544">
            <v>314</v>
          </cell>
          <cell r="K1544">
            <v>0</v>
          </cell>
          <cell r="L1544">
            <v>314</v>
          </cell>
          <cell r="M1544">
            <v>0</v>
          </cell>
          <cell r="N1544">
            <v>304</v>
          </cell>
          <cell r="O1544">
            <v>0</v>
          </cell>
          <cell r="P1544">
            <v>297</v>
          </cell>
          <cell r="Q1544">
            <v>0</v>
          </cell>
          <cell r="R1544">
            <v>309</v>
          </cell>
          <cell r="S1544">
            <v>0</v>
          </cell>
          <cell r="T1544">
            <v>309</v>
          </cell>
          <cell r="U1544">
            <v>0</v>
          </cell>
          <cell r="V1544">
            <v>314</v>
          </cell>
          <cell r="W1544">
            <v>0</v>
          </cell>
          <cell r="X1544">
            <v>304</v>
          </cell>
          <cell r="Y1544">
            <v>0</v>
          </cell>
          <cell r="Z1544">
            <v>314</v>
          </cell>
          <cell r="AA1544">
            <v>0</v>
          </cell>
          <cell r="AB1544">
            <v>0</v>
          </cell>
          <cell r="AC1544">
            <v>0</v>
          </cell>
          <cell r="AD1544">
            <v>2.4E-2</v>
          </cell>
          <cell r="AE1544">
            <v>0</v>
          </cell>
          <cell r="AF1544">
            <v>0</v>
          </cell>
          <cell r="AG1544">
            <v>0</v>
          </cell>
          <cell r="AH1544">
            <v>0</v>
          </cell>
          <cell r="AI1544">
            <v>0</v>
          </cell>
          <cell r="AJ1544">
            <v>0</v>
          </cell>
          <cell r="AK1544">
            <v>0</v>
          </cell>
          <cell r="AL1544">
            <v>0</v>
          </cell>
        </row>
        <row r="1545">
          <cell r="E1545" t="str">
            <v>CEE 8sq-3C</v>
          </cell>
          <cell r="F1545" t="str">
            <v>ｍ</v>
          </cell>
          <cell r="G1545">
            <v>0</v>
          </cell>
          <cell r="H1545">
            <v>408</v>
          </cell>
          <cell r="I1545">
            <v>0</v>
          </cell>
          <cell r="J1545">
            <v>415</v>
          </cell>
          <cell r="K1545">
            <v>0</v>
          </cell>
          <cell r="L1545">
            <v>415</v>
          </cell>
          <cell r="M1545">
            <v>0</v>
          </cell>
          <cell r="N1545">
            <v>402</v>
          </cell>
          <cell r="O1545">
            <v>0</v>
          </cell>
          <cell r="P1545">
            <v>392</v>
          </cell>
          <cell r="Q1545">
            <v>0</v>
          </cell>
          <cell r="R1545">
            <v>408</v>
          </cell>
          <cell r="S1545">
            <v>0</v>
          </cell>
          <cell r="T1545">
            <v>408</v>
          </cell>
          <cell r="U1545">
            <v>0</v>
          </cell>
          <cell r="V1545">
            <v>415</v>
          </cell>
          <cell r="W1545">
            <v>0</v>
          </cell>
          <cell r="X1545">
            <v>402</v>
          </cell>
          <cell r="Y1545">
            <v>0</v>
          </cell>
          <cell r="Z1545">
            <v>415</v>
          </cell>
          <cell r="AA1545">
            <v>0</v>
          </cell>
          <cell r="AB1545">
            <v>0</v>
          </cell>
          <cell r="AC1545">
            <v>0</v>
          </cell>
          <cell r="AD1545">
            <v>0.03</v>
          </cell>
          <cell r="AE1545">
            <v>0</v>
          </cell>
          <cell r="AF1545">
            <v>0</v>
          </cell>
          <cell r="AG1545">
            <v>0</v>
          </cell>
          <cell r="AH1545">
            <v>0</v>
          </cell>
          <cell r="AI1545">
            <v>0</v>
          </cell>
          <cell r="AJ1545">
            <v>0</v>
          </cell>
          <cell r="AK1545">
            <v>0</v>
          </cell>
          <cell r="AL1545">
            <v>0</v>
          </cell>
        </row>
        <row r="1546">
          <cell r="E1546" t="str">
            <v>CEE 1.25sq-4C</v>
          </cell>
          <cell r="F1546" t="str">
            <v>ｍ</v>
          </cell>
          <cell r="G1546">
            <v>0</v>
          </cell>
          <cell r="H1546">
            <v>162</v>
          </cell>
          <cell r="I1546">
            <v>0</v>
          </cell>
          <cell r="J1546">
            <v>164</v>
          </cell>
          <cell r="K1546">
            <v>0</v>
          </cell>
          <cell r="L1546">
            <v>164</v>
          </cell>
          <cell r="M1546">
            <v>0</v>
          </cell>
          <cell r="N1546">
            <v>159</v>
          </cell>
          <cell r="O1546">
            <v>0</v>
          </cell>
          <cell r="P1546">
            <v>156</v>
          </cell>
          <cell r="Q1546">
            <v>0</v>
          </cell>
          <cell r="R1546">
            <v>162</v>
          </cell>
          <cell r="S1546">
            <v>0</v>
          </cell>
          <cell r="T1546">
            <v>162</v>
          </cell>
          <cell r="U1546">
            <v>0</v>
          </cell>
          <cell r="V1546">
            <v>164</v>
          </cell>
          <cell r="W1546">
            <v>0</v>
          </cell>
          <cell r="X1546">
            <v>159</v>
          </cell>
          <cell r="Y1546">
            <v>0</v>
          </cell>
          <cell r="Z1546">
            <v>164</v>
          </cell>
          <cell r="AA1546">
            <v>0</v>
          </cell>
          <cell r="AB1546">
            <v>0</v>
          </cell>
          <cell r="AC1546">
            <v>0</v>
          </cell>
          <cell r="AD1546">
            <v>1.9E-2</v>
          </cell>
          <cell r="AE1546">
            <v>0</v>
          </cell>
          <cell r="AF1546">
            <v>0</v>
          </cell>
          <cell r="AG1546">
            <v>0</v>
          </cell>
          <cell r="AH1546">
            <v>0</v>
          </cell>
          <cell r="AI1546">
            <v>0</v>
          </cell>
          <cell r="AJ1546">
            <v>0</v>
          </cell>
          <cell r="AK1546">
            <v>0</v>
          </cell>
          <cell r="AL1546">
            <v>0</v>
          </cell>
        </row>
        <row r="1547">
          <cell r="E1547" t="str">
            <v>CEE 2sq-4C</v>
          </cell>
          <cell r="F1547" t="str">
            <v>ｍ</v>
          </cell>
          <cell r="G1547">
            <v>0</v>
          </cell>
          <cell r="H1547">
            <v>208</v>
          </cell>
          <cell r="I1547">
            <v>0</v>
          </cell>
          <cell r="J1547">
            <v>211</v>
          </cell>
          <cell r="K1547">
            <v>0</v>
          </cell>
          <cell r="L1547">
            <v>211</v>
          </cell>
          <cell r="M1547">
            <v>0</v>
          </cell>
          <cell r="N1547">
            <v>205</v>
          </cell>
          <cell r="O1547">
            <v>0</v>
          </cell>
          <cell r="P1547">
            <v>200</v>
          </cell>
          <cell r="Q1547">
            <v>0</v>
          </cell>
          <cell r="R1547">
            <v>208</v>
          </cell>
          <cell r="S1547">
            <v>0</v>
          </cell>
          <cell r="T1547">
            <v>208</v>
          </cell>
          <cell r="U1547">
            <v>0</v>
          </cell>
          <cell r="V1547">
            <v>211</v>
          </cell>
          <cell r="W1547">
            <v>0</v>
          </cell>
          <cell r="X1547">
            <v>205</v>
          </cell>
          <cell r="Y1547">
            <v>0</v>
          </cell>
          <cell r="Z1547">
            <v>211</v>
          </cell>
          <cell r="AA1547">
            <v>0</v>
          </cell>
          <cell r="AB1547">
            <v>0</v>
          </cell>
          <cell r="AC1547">
            <v>0</v>
          </cell>
          <cell r="AD1547">
            <v>2.1999999999999999E-2</v>
          </cell>
          <cell r="AE1547">
            <v>0</v>
          </cell>
          <cell r="AF1547">
            <v>0</v>
          </cell>
          <cell r="AG1547">
            <v>0</v>
          </cell>
          <cell r="AH1547">
            <v>0</v>
          </cell>
          <cell r="AI1547">
            <v>0</v>
          </cell>
          <cell r="AJ1547">
            <v>0</v>
          </cell>
          <cell r="AK1547">
            <v>0</v>
          </cell>
          <cell r="AL1547">
            <v>0</v>
          </cell>
        </row>
        <row r="1548">
          <cell r="E1548" t="str">
            <v>CEE 3.5sq-4C</v>
          </cell>
          <cell r="F1548" t="str">
            <v>ｍ</v>
          </cell>
          <cell r="G1548">
            <v>0</v>
          </cell>
          <cell r="H1548">
            <v>288</v>
          </cell>
          <cell r="I1548">
            <v>0</v>
          </cell>
          <cell r="J1548">
            <v>293</v>
          </cell>
          <cell r="K1548">
            <v>0</v>
          </cell>
          <cell r="L1548">
            <v>293</v>
          </cell>
          <cell r="M1548">
            <v>0</v>
          </cell>
          <cell r="N1548">
            <v>284</v>
          </cell>
          <cell r="O1548">
            <v>0</v>
          </cell>
          <cell r="P1548">
            <v>277</v>
          </cell>
          <cell r="Q1548">
            <v>0</v>
          </cell>
          <cell r="R1548">
            <v>288</v>
          </cell>
          <cell r="S1548">
            <v>0</v>
          </cell>
          <cell r="T1548">
            <v>288</v>
          </cell>
          <cell r="U1548">
            <v>0</v>
          </cell>
          <cell r="V1548">
            <v>293</v>
          </cell>
          <cell r="W1548">
            <v>0</v>
          </cell>
          <cell r="X1548">
            <v>284</v>
          </cell>
          <cell r="Y1548">
            <v>0</v>
          </cell>
          <cell r="Z1548">
            <v>293</v>
          </cell>
          <cell r="AA1548">
            <v>0</v>
          </cell>
          <cell r="AB1548">
            <v>0</v>
          </cell>
          <cell r="AC1548">
            <v>0</v>
          </cell>
          <cell r="AD1548">
            <v>2.3E-2</v>
          </cell>
          <cell r="AE1548">
            <v>0</v>
          </cell>
          <cell r="AF1548">
            <v>0</v>
          </cell>
          <cell r="AG1548">
            <v>0</v>
          </cell>
          <cell r="AH1548">
            <v>0</v>
          </cell>
          <cell r="AI1548">
            <v>0</v>
          </cell>
          <cell r="AJ1548">
            <v>0</v>
          </cell>
          <cell r="AK1548">
            <v>0</v>
          </cell>
          <cell r="AL1548">
            <v>0</v>
          </cell>
        </row>
        <row r="1549">
          <cell r="E1549" t="str">
            <v>CEE 5.5sq-4C</v>
          </cell>
          <cell r="F1549" t="str">
            <v>ｍ</v>
          </cell>
          <cell r="G1549">
            <v>0</v>
          </cell>
          <cell r="H1549">
            <v>393</v>
          </cell>
          <cell r="I1549">
            <v>0</v>
          </cell>
          <cell r="J1549">
            <v>399</v>
          </cell>
          <cell r="K1549">
            <v>0</v>
          </cell>
          <cell r="L1549">
            <v>399</v>
          </cell>
          <cell r="M1549">
            <v>0</v>
          </cell>
          <cell r="N1549">
            <v>387</v>
          </cell>
          <cell r="O1549">
            <v>0</v>
          </cell>
          <cell r="P1549">
            <v>378</v>
          </cell>
          <cell r="Q1549">
            <v>0</v>
          </cell>
          <cell r="R1549">
            <v>393</v>
          </cell>
          <cell r="S1549">
            <v>0</v>
          </cell>
          <cell r="T1549">
            <v>393</v>
          </cell>
          <cell r="U1549">
            <v>0</v>
          </cell>
          <cell r="V1549">
            <v>399</v>
          </cell>
          <cell r="W1549">
            <v>0</v>
          </cell>
          <cell r="X1549">
            <v>387</v>
          </cell>
          <cell r="Y1549">
            <v>0</v>
          </cell>
          <cell r="Z1549">
            <v>399</v>
          </cell>
          <cell r="AA1549">
            <v>0</v>
          </cell>
          <cell r="AB1549">
            <v>0</v>
          </cell>
          <cell r="AC1549">
            <v>0</v>
          </cell>
          <cell r="AD1549">
            <v>2.8000000000000001E-2</v>
          </cell>
          <cell r="AE1549">
            <v>0</v>
          </cell>
          <cell r="AF1549">
            <v>0</v>
          </cell>
          <cell r="AG1549">
            <v>0</v>
          </cell>
          <cell r="AH1549">
            <v>0</v>
          </cell>
          <cell r="AI1549">
            <v>0</v>
          </cell>
          <cell r="AJ1549">
            <v>0</v>
          </cell>
          <cell r="AK1549">
            <v>0</v>
          </cell>
          <cell r="AL1549">
            <v>0</v>
          </cell>
        </row>
        <row r="1550">
          <cell r="E1550" t="str">
            <v>CEE 8sq-4C</v>
          </cell>
          <cell r="F1550" t="str">
            <v>ｍ</v>
          </cell>
          <cell r="G1550">
            <v>0</v>
          </cell>
          <cell r="H1550">
            <v>563</v>
          </cell>
          <cell r="I1550">
            <v>0</v>
          </cell>
          <cell r="J1550">
            <v>572</v>
          </cell>
          <cell r="K1550">
            <v>0</v>
          </cell>
          <cell r="L1550">
            <v>572</v>
          </cell>
          <cell r="M1550">
            <v>0</v>
          </cell>
          <cell r="N1550">
            <v>554</v>
          </cell>
          <cell r="O1550">
            <v>0</v>
          </cell>
          <cell r="P1550">
            <v>541</v>
          </cell>
          <cell r="Q1550">
            <v>0</v>
          </cell>
          <cell r="R1550">
            <v>563</v>
          </cell>
          <cell r="S1550">
            <v>0</v>
          </cell>
          <cell r="T1550">
            <v>563</v>
          </cell>
          <cell r="U1550">
            <v>0</v>
          </cell>
          <cell r="V1550">
            <v>572</v>
          </cell>
          <cell r="W1550">
            <v>0</v>
          </cell>
          <cell r="X1550">
            <v>554</v>
          </cell>
          <cell r="Y1550">
            <v>0</v>
          </cell>
          <cell r="Z1550">
            <v>572</v>
          </cell>
          <cell r="AA1550">
            <v>0</v>
          </cell>
          <cell r="AB1550">
            <v>0</v>
          </cell>
          <cell r="AC1550">
            <v>0</v>
          </cell>
          <cell r="AD1550">
            <v>3.4000000000000002E-2</v>
          </cell>
          <cell r="AE1550">
            <v>0</v>
          </cell>
          <cell r="AF1550">
            <v>0</v>
          </cell>
          <cell r="AG1550">
            <v>0</v>
          </cell>
          <cell r="AH1550">
            <v>0</v>
          </cell>
          <cell r="AI1550">
            <v>0</v>
          </cell>
          <cell r="AJ1550">
            <v>0</v>
          </cell>
          <cell r="AK1550">
            <v>0</v>
          </cell>
          <cell r="AL1550">
            <v>0</v>
          </cell>
        </row>
        <row r="1551">
          <cell r="E1551" t="str">
            <v>CEE 1.25sq-5C</v>
          </cell>
          <cell r="F1551" t="str">
            <v>ｍ</v>
          </cell>
          <cell r="G1551">
            <v>0</v>
          </cell>
          <cell r="H1551">
            <v>183</v>
          </cell>
          <cell r="I1551">
            <v>0</v>
          </cell>
          <cell r="J1551">
            <v>186</v>
          </cell>
          <cell r="K1551">
            <v>0</v>
          </cell>
          <cell r="L1551">
            <v>186</v>
          </cell>
          <cell r="M1551">
            <v>0</v>
          </cell>
          <cell r="N1551">
            <v>180</v>
          </cell>
          <cell r="O1551">
            <v>0</v>
          </cell>
          <cell r="P1551">
            <v>176</v>
          </cell>
          <cell r="Q1551">
            <v>0</v>
          </cell>
          <cell r="R1551">
            <v>183</v>
          </cell>
          <cell r="S1551">
            <v>0</v>
          </cell>
          <cell r="T1551">
            <v>183</v>
          </cell>
          <cell r="U1551">
            <v>0</v>
          </cell>
          <cell r="V1551">
            <v>186</v>
          </cell>
          <cell r="W1551">
            <v>0</v>
          </cell>
          <cell r="X1551">
            <v>180</v>
          </cell>
          <cell r="Y1551">
            <v>0</v>
          </cell>
          <cell r="Z1551">
            <v>186</v>
          </cell>
          <cell r="AA1551">
            <v>0</v>
          </cell>
          <cell r="AB1551">
            <v>0</v>
          </cell>
          <cell r="AC1551">
            <v>0</v>
          </cell>
          <cell r="AD1551">
            <v>2.5000000000000001E-2</v>
          </cell>
          <cell r="AE1551">
            <v>0</v>
          </cell>
          <cell r="AF1551">
            <v>0</v>
          </cell>
          <cell r="AG1551">
            <v>0</v>
          </cell>
          <cell r="AH1551">
            <v>0</v>
          </cell>
          <cell r="AI1551">
            <v>0</v>
          </cell>
          <cell r="AJ1551">
            <v>0</v>
          </cell>
          <cell r="AK1551">
            <v>0</v>
          </cell>
          <cell r="AL1551">
            <v>0</v>
          </cell>
        </row>
        <row r="1552">
          <cell r="E1552" t="str">
            <v>CEE 2sq-5C</v>
          </cell>
          <cell r="F1552" t="str">
            <v>ｍ</v>
          </cell>
          <cell r="G1552">
            <v>0</v>
          </cell>
          <cell r="H1552">
            <v>237</v>
          </cell>
          <cell r="I1552">
            <v>0</v>
          </cell>
          <cell r="J1552">
            <v>241</v>
          </cell>
          <cell r="K1552">
            <v>0</v>
          </cell>
          <cell r="L1552">
            <v>241</v>
          </cell>
          <cell r="M1552">
            <v>0</v>
          </cell>
          <cell r="N1552">
            <v>234</v>
          </cell>
          <cell r="O1552">
            <v>0</v>
          </cell>
          <cell r="P1552">
            <v>228</v>
          </cell>
          <cell r="Q1552">
            <v>0</v>
          </cell>
          <cell r="R1552">
            <v>237</v>
          </cell>
          <cell r="S1552">
            <v>0</v>
          </cell>
          <cell r="T1552">
            <v>237</v>
          </cell>
          <cell r="U1552">
            <v>0</v>
          </cell>
          <cell r="V1552">
            <v>241</v>
          </cell>
          <cell r="W1552">
            <v>0</v>
          </cell>
          <cell r="X1552">
            <v>234</v>
          </cell>
          <cell r="Y1552">
            <v>0</v>
          </cell>
          <cell r="Z1552">
            <v>241</v>
          </cell>
          <cell r="AA1552">
            <v>0</v>
          </cell>
          <cell r="AB1552">
            <v>0</v>
          </cell>
          <cell r="AC1552">
            <v>0</v>
          </cell>
          <cell r="AD1552">
            <v>2.8000000000000001E-2</v>
          </cell>
          <cell r="AE1552">
            <v>0</v>
          </cell>
          <cell r="AF1552">
            <v>0</v>
          </cell>
          <cell r="AG1552">
            <v>0</v>
          </cell>
          <cell r="AH1552">
            <v>0</v>
          </cell>
          <cell r="AI1552">
            <v>0</v>
          </cell>
          <cell r="AJ1552">
            <v>0</v>
          </cell>
          <cell r="AK1552">
            <v>0</v>
          </cell>
          <cell r="AL1552">
            <v>0</v>
          </cell>
        </row>
        <row r="1553">
          <cell r="E1553" t="str">
            <v>CEE 3.5sq-5C</v>
          </cell>
          <cell r="F1553" t="str">
            <v>ｍ</v>
          </cell>
          <cell r="G1553">
            <v>0</v>
          </cell>
          <cell r="H1553">
            <v>332</v>
          </cell>
          <cell r="I1553">
            <v>0</v>
          </cell>
          <cell r="J1553">
            <v>337</v>
          </cell>
          <cell r="K1553">
            <v>0</v>
          </cell>
          <cell r="L1553">
            <v>337</v>
          </cell>
          <cell r="M1553">
            <v>0</v>
          </cell>
          <cell r="N1553">
            <v>326</v>
          </cell>
          <cell r="O1553">
            <v>0</v>
          </cell>
          <cell r="P1553">
            <v>319</v>
          </cell>
          <cell r="Q1553">
            <v>0</v>
          </cell>
          <cell r="R1553">
            <v>332</v>
          </cell>
          <cell r="S1553">
            <v>0</v>
          </cell>
          <cell r="T1553">
            <v>332</v>
          </cell>
          <cell r="U1553">
            <v>0</v>
          </cell>
          <cell r="V1553">
            <v>337</v>
          </cell>
          <cell r="W1553">
            <v>0</v>
          </cell>
          <cell r="X1553">
            <v>326</v>
          </cell>
          <cell r="Y1553">
            <v>0</v>
          </cell>
          <cell r="Z1553">
            <v>337</v>
          </cell>
          <cell r="AA1553">
            <v>0</v>
          </cell>
          <cell r="AB1553">
            <v>0</v>
          </cell>
          <cell r="AC1553">
            <v>0</v>
          </cell>
          <cell r="AD1553">
            <v>0.03</v>
          </cell>
          <cell r="AE1553">
            <v>0</v>
          </cell>
          <cell r="AF1553">
            <v>0</v>
          </cell>
          <cell r="AG1553">
            <v>0</v>
          </cell>
          <cell r="AH1553">
            <v>0</v>
          </cell>
          <cell r="AI1553">
            <v>0</v>
          </cell>
          <cell r="AJ1553">
            <v>0</v>
          </cell>
          <cell r="AK1553">
            <v>0</v>
          </cell>
          <cell r="AL1553">
            <v>0</v>
          </cell>
        </row>
        <row r="1554">
          <cell r="E1554" t="str">
            <v>CEE 5.5sq-5C</v>
          </cell>
          <cell r="F1554" t="str">
            <v>ｍ</v>
          </cell>
          <cell r="G1554">
            <v>0</v>
          </cell>
          <cell r="H1554">
            <v>518</v>
          </cell>
          <cell r="I1554">
            <v>0</v>
          </cell>
          <cell r="J1554">
            <v>527</v>
          </cell>
          <cell r="K1554">
            <v>0</v>
          </cell>
          <cell r="L1554">
            <v>527</v>
          </cell>
          <cell r="M1554">
            <v>0</v>
          </cell>
          <cell r="N1554">
            <v>510</v>
          </cell>
          <cell r="O1554">
            <v>0</v>
          </cell>
          <cell r="P1554">
            <v>498</v>
          </cell>
          <cell r="Q1554">
            <v>0</v>
          </cell>
          <cell r="R1554">
            <v>518</v>
          </cell>
          <cell r="S1554">
            <v>0</v>
          </cell>
          <cell r="T1554">
            <v>518</v>
          </cell>
          <cell r="U1554">
            <v>0</v>
          </cell>
          <cell r="V1554">
            <v>527</v>
          </cell>
          <cell r="W1554">
            <v>0</v>
          </cell>
          <cell r="X1554">
            <v>510</v>
          </cell>
          <cell r="Y1554">
            <v>0</v>
          </cell>
          <cell r="Z1554">
            <v>527</v>
          </cell>
          <cell r="AA1554">
            <v>0</v>
          </cell>
          <cell r="AB1554">
            <v>0</v>
          </cell>
          <cell r="AC1554">
            <v>0</v>
          </cell>
          <cell r="AD1554">
            <v>3.6999999999999998E-2</v>
          </cell>
          <cell r="AE1554">
            <v>0</v>
          </cell>
          <cell r="AF1554">
            <v>0</v>
          </cell>
          <cell r="AG1554">
            <v>0</v>
          </cell>
          <cell r="AH1554">
            <v>0</v>
          </cell>
          <cell r="AI1554">
            <v>0</v>
          </cell>
          <cell r="AJ1554">
            <v>0</v>
          </cell>
          <cell r="AK1554">
            <v>0</v>
          </cell>
          <cell r="AL1554">
            <v>0</v>
          </cell>
        </row>
        <row r="1555">
          <cell r="E1555" t="str">
            <v>CEE 8sq-5C</v>
          </cell>
          <cell r="F1555" t="str">
            <v>ｍ</v>
          </cell>
          <cell r="G1555">
            <v>0</v>
          </cell>
          <cell r="H1555">
            <v>707</v>
          </cell>
          <cell r="I1555">
            <v>0</v>
          </cell>
          <cell r="J1555">
            <v>718</v>
          </cell>
          <cell r="K1555">
            <v>0</v>
          </cell>
          <cell r="L1555">
            <v>718</v>
          </cell>
          <cell r="M1555">
            <v>0</v>
          </cell>
          <cell r="N1555">
            <v>696</v>
          </cell>
          <cell r="O1555">
            <v>0</v>
          </cell>
          <cell r="P1555">
            <v>679</v>
          </cell>
          <cell r="Q1555">
            <v>0</v>
          </cell>
          <cell r="R1555">
            <v>707</v>
          </cell>
          <cell r="S1555">
            <v>0</v>
          </cell>
          <cell r="T1555">
            <v>707</v>
          </cell>
          <cell r="U1555">
            <v>0</v>
          </cell>
          <cell r="V1555">
            <v>718</v>
          </cell>
          <cell r="W1555">
            <v>0</v>
          </cell>
          <cell r="X1555">
            <v>696</v>
          </cell>
          <cell r="Y1555">
            <v>0</v>
          </cell>
          <cell r="Z1555">
            <v>718</v>
          </cell>
          <cell r="AA1555">
            <v>0</v>
          </cell>
          <cell r="AB1555">
            <v>0</v>
          </cell>
          <cell r="AC1555">
            <v>0</v>
          </cell>
          <cell r="AD1555">
            <v>4.3999999999999997E-2</v>
          </cell>
          <cell r="AE1555">
            <v>0</v>
          </cell>
          <cell r="AF1555">
            <v>0</v>
          </cell>
          <cell r="AG1555">
            <v>0</v>
          </cell>
          <cell r="AH1555">
            <v>0</v>
          </cell>
          <cell r="AI1555">
            <v>0</v>
          </cell>
          <cell r="AJ1555">
            <v>0</v>
          </cell>
          <cell r="AK1555">
            <v>0</v>
          </cell>
          <cell r="AL1555">
            <v>0</v>
          </cell>
        </row>
        <row r="1556">
          <cell r="E1556" t="str">
            <v>CEE 1.25sq-6C</v>
          </cell>
          <cell r="F1556" t="str">
            <v>ｍ</v>
          </cell>
          <cell r="G1556">
            <v>0</v>
          </cell>
          <cell r="H1556">
            <v>212</v>
          </cell>
          <cell r="I1556">
            <v>0</v>
          </cell>
          <cell r="J1556">
            <v>215</v>
          </cell>
          <cell r="K1556">
            <v>0</v>
          </cell>
          <cell r="L1556">
            <v>215</v>
          </cell>
          <cell r="M1556">
            <v>0</v>
          </cell>
          <cell r="N1556">
            <v>209</v>
          </cell>
          <cell r="O1556">
            <v>0</v>
          </cell>
          <cell r="P1556">
            <v>204</v>
          </cell>
          <cell r="Q1556">
            <v>0</v>
          </cell>
          <cell r="R1556">
            <v>212</v>
          </cell>
          <cell r="S1556">
            <v>0</v>
          </cell>
          <cell r="T1556">
            <v>212</v>
          </cell>
          <cell r="U1556">
            <v>0</v>
          </cell>
          <cell r="V1556">
            <v>215</v>
          </cell>
          <cell r="W1556">
            <v>0</v>
          </cell>
          <cell r="X1556">
            <v>209</v>
          </cell>
          <cell r="Y1556">
            <v>0</v>
          </cell>
          <cell r="Z1556">
            <v>215</v>
          </cell>
          <cell r="AA1556">
            <v>0</v>
          </cell>
          <cell r="AB1556">
            <v>0</v>
          </cell>
          <cell r="AC1556">
            <v>0</v>
          </cell>
          <cell r="AD1556">
            <v>2.5000000000000001E-2</v>
          </cell>
          <cell r="AE1556">
            <v>0</v>
          </cell>
          <cell r="AF1556">
            <v>0</v>
          </cell>
          <cell r="AG1556">
            <v>0</v>
          </cell>
          <cell r="AH1556">
            <v>0</v>
          </cell>
          <cell r="AI1556">
            <v>0</v>
          </cell>
          <cell r="AJ1556">
            <v>0</v>
          </cell>
          <cell r="AK1556">
            <v>0</v>
          </cell>
          <cell r="AL1556">
            <v>0</v>
          </cell>
        </row>
        <row r="1557">
          <cell r="E1557" t="str">
            <v>CEE 2sq-6C</v>
          </cell>
          <cell r="F1557" t="str">
            <v>ｍ</v>
          </cell>
          <cell r="G1557">
            <v>0</v>
          </cell>
          <cell r="H1557">
            <v>284</v>
          </cell>
          <cell r="I1557">
            <v>0</v>
          </cell>
          <cell r="J1557">
            <v>288</v>
          </cell>
          <cell r="K1557">
            <v>0</v>
          </cell>
          <cell r="L1557">
            <v>288</v>
          </cell>
          <cell r="M1557">
            <v>0</v>
          </cell>
          <cell r="N1557">
            <v>279</v>
          </cell>
          <cell r="O1557">
            <v>0</v>
          </cell>
          <cell r="P1557">
            <v>272</v>
          </cell>
          <cell r="Q1557">
            <v>0</v>
          </cell>
          <cell r="R1557">
            <v>284</v>
          </cell>
          <cell r="S1557">
            <v>0</v>
          </cell>
          <cell r="T1557">
            <v>284</v>
          </cell>
          <cell r="U1557">
            <v>0</v>
          </cell>
          <cell r="V1557">
            <v>288</v>
          </cell>
          <cell r="W1557">
            <v>0</v>
          </cell>
          <cell r="X1557">
            <v>279</v>
          </cell>
          <cell r="Y1557">
            <v>0</v>
          </cell>
          <cell r="Z1557">
            <v>288</v>
          </cell>
          <cell r="AA1557">
            <v>0</v>
          </cell>
          <cell r="AB1557">
            <v>0</v>
          </cell>
          <cell r="AC1557">
            <v>0</v>
          </cell>
          <cell r="AD1557">
            <v>2.8000000000000001E-2</v>
          </cell>
          <cell r="AE1557">
            <v>0</v>
          </cell>
          <cell r="AF1557">
            <v>0</v>
          </cell>
          <cell r="AG1557">
            <v>0</v>
          </cell>
          <cell r="AH1557">
            <v>0</v>
          </cell>
          <cell r="AI1557">
            <v>0</v>
          </cell>
          <cell r="AJ1557">
            <v>0</v>
          </cell>
          <cell r="AK1557">
            <v>0</v>
          </cell>
          <cell r="AL1557">
            <v>0</v>
          </cell>
        </row>
        <row r="1558">
          <cell r="E1558" t="str">
            <v>CEE 3.5sq-6C</v>
          </cell>
          <cell r="F1558" t="str">
            <v>ｍ</v>
          </cell>
          <cell r="G1558">
            <v>0</v>
          </cell>
          <cell r="H1558">
            <v>393</v>
          </cell>
          <cell r="I1558">
            <v>0</v>
          </cell>
          <cell r="J1558">
            <v>399</v>
          </cell>
          <cell r="K1558">
            <v>0</v>
          </cell>
          <cell r="L1558">
            <v>399</v>
          </cell>
          <cell r="M1558">
            <v>0</v>
          </cell>
          <cell r="N1558">
            <v>387</v>
          </cell>
          <cell r="O1558">
            <v>0</v>
          </cell>
          <cell r="P1558">
            <v>378</v>
          </cell>
          <cell r="Q1558">
            <v>0</v>
          </cell>
          <cell r="R1558">
            <v>393</v>
          </cell>
          <cell r="S1558">
            <v>0</v>
          </cell>
          <cell r="T1558">
            <v>393</v>
          </cell>
          <cell r="U1558">
            <v>0</v>
          </cell>
          <cell r="V1558">
            <v>399</v>
          </cell>
          <cell r="W1558">
            <v>0</v>
          </cell>
          <cell r="X1558">
            <v>387</v>
          </cell>
          <cell r="Y1558">
            <v>0</v>
          </cell>
          <cell r="Z1558">
            <v>399</v>
          </cell>
          <cell r="AA1558">
            <v>0</v>
          </cell>
          <cell r="AB1558">
            <v>0</v>
          </cell>
          <cell r="AC1558">
            <v>0</v>
          </cell>
          <cell r="AD1558">
            <v>0.03</v>
          </cell>
          <cell r="AE1558">
            <v>0</v>
          </cell>
          <cell r="AF1558">
            <v>0</v>
          </cell>
          <cell r="AG1558">
            <v>0</v>
          </cell>
          <cell r="AH1558">
            <v>0</v>
          </cell>
          <cell r="AI1558">
            <v>0</v>
          </cell>
          <cell r="AJ1558">
            <v>0</v>
          </cell>
          <cell r="AK1558">
            <v>0</v>
          </cell>
          <cell r="AL1558">
            <v>0</v>
          </cell>
        </row>
        <row r="1559">
          <cell r="E1559" t="str">
            <v>CEE 5.5sq-6C</v>
          </cell>
          <cell r="F1559" t="str">
            <v>ｍ</v>
          </cell>
          <cell r="G1559">
            <v>0</v>
          </cell>
          <cell r="H1559">
            <v>606</v>
          </cell>
          <cell r="I1559">
            <v>0</v>
          </cell>
          <cell r="J1559">
            <v>616</v>
          </cell>
          <cell r="K1559">
            <v>0</v>
          </cell>
          <cell r="L1559">
            <v>616</v>
          </cell>
          <cell r="M1559">
            <v>0</v>
          </cell>
          <cell r="N1559">
            <v>597</v>
          </cell>
          <cell r="O1559">
            <v>0</v>
          </cell>
          <cell r="P1559">
            <v>582</v>
          </cell>
          <cell r="Q1559">
            <v>0</v>
          </cell>
          <cell r="R1559">
            <v>606</v>
          </cell>
          <cell r="S1559">
            <v>0</v>
          </cell>
          <cell r="T1559">
            <v>606</v>
          </cell>
          <cell r="U1559">
            <v>0</v>
          </cell>
          <cell r="V1559">
            <v>616</v>
          </cell>
          <cell r="W1559">
            <v>0</v>
          </cell>
          <cell r="X1559">
            <v>597</v>
          </cell>
          <cell r="Y1559">
            <v>0</v>
          </cell>
          <cell r="Z1559">
            <v>616</v>
          </cell>
          <cell r="AA1559">
            <v>0</v>
          </cell>
          <cell r="AB1559">
            <v>0</v>
          </cell>
          <cell r="AC1559">
            <v>0</v>
          </cell>
          <cell r="AD1559">
            <v>3.6999999999999998E-2</v>
          </cell>
          <cell r="AE1559">
            <v>0</v>
          </cell>
          <cell r="AF1559">
            <v>0</v>
          </cell>
          <cell r="AG1559">
            <v>0</v>
          </cell>
          <cell r="AH1559">
            <v>0</v>
          </cell>
          <cell r="AI1559">
            <v>0</v>
          </cell>
          <cell r="AJ1559">
            <v>0</v>
          </cell>
          <cell r="AK1559">
            <v>0</v>
          </cell>
          <cell r="AL1559">
            <v>0</v>
          </cell>
        </row>
        <row r="1560">
          <cell r="E1560" t="str">
            <v>CEE 8sq-6C</v>
          </cell>
          <cell r="F1560" t="str">
            <v>ｍ</v>
          </cell>
          <cell r="G1560">
            <v>0</v>
          </cell>
          <cell r="H1560">
            <v>826</v>
          </cell>
          <cell r="I1560">
            <v>0</v>
          </cell>
          <cell r="J1560">
            <v>839</v>
          </cell>
          <cell r="K1560">
            <v>0</v>
          </cell>
          <cell r="L1560">
            <v>839</v>
          </cell>
          <cell r="M1560">
            <v>0</v>
          </cell>
          <cell r="N1560">
            <v>813</v>
          </cell>
          <cell r="O1560">
            <v>0</v>
          </cell>
          <cell r="P1560">
            <v>793</v>
          </cell>
          <cell r="Q1560">
            <v>0</v>
          </cell>
          <cell r="R1560">
            <v>826</v>
          </cell>
          <cell r="S1560">
            <v>0</v>
          </cell>
          <cell r="T1560">
            <v>826</v>
          </cell>
          <cell r="U1560">
            <v>0</v>
          </cell>
          <cell r="V1560">
            <v>839</v>
          </cell>
          <cell r="W1560">
            <v>0</v>
          </cell>
          <cell r="X1560">
            <v>813</v>
          </cell>
          <cell r="Y1560">
            <v>0</v>
          </cell>
          <cell r="Z1560">
            <v>839</v>
          </cell>
          <cell r="AA1560">
            <v>0</v>
          </cell>
          <cell r="AB1560">
            <v>0</v>
          </cell>
          <cell r="AC1560">
            <v>0</v>
          </cell>
          <cell r="AD1560">
            <v>4.3999999999999997E-2</v>
          </cell>
          <cell r="AE1560">
            <v>0</v>
          </cell>
          <cell r="AF1560">
            <v>0</v>
          </cell>
          <cell r="AG1560">
            <v>0</v>
          </cell>
          <cell r="AH1560">
            <v>0</v>
          </cell>
          <cell r="AI1560">
            <v>0</v>
          </cell>
          <cell r="AJ1560">
            <v>0</v>
          </cell>
          <cell r="AK1560">
            <v>0</v>
          </cell>
          <cell r="AL1560">
            <v>0</v>
          </cell>
        </row>
        <row r="1561">
          <cell r="E1561" t="str">
            <v>CEE 1.25sq-7C</v>
          </cell>
          <cell r="F1561" t="str">
            <v>ｍ</v>
          </cell>
          <cell r="G1561">
            <v>0</v>
          </cell>
          <cell r="H1561">
            <v>236</v>
          </cell>
          <cell r="I1561">
            <v>0</v>
          </cell>
          <cell r="J1561">
            <v>239</v>
          </cell>
          <cell r="K1561">
            <v>0</v>
          </cell>
          <cell r="L1561">
            <v>239</v>
          </cell>
          <cell r="M1561">
            <v>0</v>
          </cell>
          <cell r="N1561">
            <v>232</v>
          </cell>
          <cell r="O1561">
            <v>0</v>
          </cell>
          <cell r="P1561">
            <v>226</v>
          </cell>
          <cell r="Q1561">
            <v>0</v>
          </cell>
          <cell r="R1561">
            <v>236</v>
          </cell>
          <cell r="S1561">
            <v>0</v>
          </cell>
          <cell r="T1561">
            <v>236</v>
          </cell>
          <cell r="U1561">
            <v>0</v>
          </cell>
          <cell r="V1561">
            <v>239</v>
          </cell>
          <cell r="W1561">
            <v>0</v>
          </cell>
          <cell r="X1561">
            <v>232</v>
          </cell>
          <cell r="Y1561">
            <v>0</v>
          </cell>
          <cell r="Z1561">
            <v>239</v>
          </cell>
          <cell r="AA1561">
            <v>0</v>
          </cell>
          <cell r="AB1561">
            <v>0</v>
          </cell>
          <cell r="AC1561">
            <v>0</v>
          </cell>
          <cell r="AD1561">
            <v>0.03</v>
          </cell>
          <cell r="AE1561">
            <v>0</v>
          </cell>
          <cell r="AF1561">
            <v>0</v>
          </cell>
          <cell r="AG1561">
            <v>0</v>
          </cell>
          <cell r="AH1561">
            <v>0</v>
          </cell>
          <cell r="AI1561">
            <v>0</v>
          </cell>
          <cell r="AJ1561">
            <v>0</v>
          </cell>
          <cell r="AK1561">
            <v>0</v>
          </cell>
          <cell r="AL1561">
            <v>0</v>
          </cell>
        </row>
        <row r="1562">
          <cell r="E1562" t="str">
            <v>CEE 2sq-7C</v>
          </cell>
          <cell r="F1562" t="str">
            <v>ｍ</v>
          </cell>
          <cell r="G1562">
            <v>0</v>
          </cell>
          <cell r="H1562">
            <v>314</v>
          </cell>
          <cell r="I1562">
            <v>0</v>
          </cell>
          <cell r="J1562">
            <v>319</v>
          </cell>
          <cell r="K1562">
            <v>0</v>
          </cell>
          <cell r="L1562">
            <v>319</v>
          </cell>
          <cell r="M1562">
            <v>0</v>
          </cell>
          <cell r="N1562">
            <v>309</v>
          </cell>
          <cell r="O1562">
            <v>0</v>
          </cell>
          <cell r="P1562">
            <v>301</v>
          </cell>
          <cell r="Q1562">
            <v>0</v>
          </cell>
          <cell r="R1562">
            <v>314</v>
          </cell>
          <cell r="S1562">
            <v>0</v>
          </cell>
          <cell r="T1562">
            <v>314</v>
          </cell>
          <cell r="U1562">
            <v>0</v>
          </cell>
          <cell r="V1562">
            <v>319</v>
          </cell>
          <cell r="W1562">
            <v>0</v>
          </cell>
          <cell r="X1562">
            <v>309</v>
          </cell>
          <cell r="Y1562">
            <v>0</v>
          </cell>
          <cell r="Z1562">
            <v>319</v>
          </cell>
          <cell r="AA1562">
            <v>0</v>
          </cell>
          <cell r="AB1562">
            <v>0</v>
          </cell>
          <cell r="AC1562">
            <v>0</v>
          </cell>
          <cell r="AD1562">
            <v>3.4000000000000002E-2</v>
          </cell>
          <cell r="AE1562">
            <v>0</v>
          </cell>
          <cell r="AF1562">
            <v>0</v>
          </cell>
          <cell r="AG1562">
            <v>0</v>
          </cell>
          <cell r="AH1562">
            <v>0</v>
          </cell>
          <cell r="AI1562">
            <v>0</v>
          </cell>
          <cell r="AJ1562">
            <v>0</v>
          </cell>
          <cell r="AK1562">
            <v>0</v>
          </cell>
          <cell r="AL1562">
            <v>0</v>
          </cell>
        </row>
        <row r="1563">
          <cell r="E1563" t="str">
            <v>CEE 3.5sq-7C</v>
          </cell>
          <cell r="F1563" t="str">
            <v>ｍ</v>
          </cell>
          <cell r="G1563">
            <v>0</v>
          </cell>
          <cell r="H1563">
            <v>447</v>
          </cell>
          <cell r="I1563">
            <v>0</v>
          </cell>
          <cell r="J1563">
            <v>454</v>
          </cell>
          <cell r="K1563">
            <v>0</v>
          </cell>
          <cell r="L1563">
            <v>454</v>
          </cell>
          <cell r="M1563">
            <v>0</v>
          </cell>
          <cell r="N1563">
            <v>440</v>
          </cell>
          <cell r="O1563">
            <v>0</v>
          </cell>
          <cell r="P1563">
            <v>430</v>
          </cell>
          <cell r="Q1563">
            <v>0</v>
          </cell>
          <cell r="R1563">
            <v>447</v>
          </cell>
          <cell r="S1563">
            <v>0</v>
          </cell>
          <cell r="T1563">
            <v>447</v>
          </cell>
          <cell r="U1563">
            <v>0</v>
          </cell>
          <cell r="V1563">
            <v>454</v>
          </cell>
          <cell r="W1563">
            <v>0</v>
          </cell>
          <cell r="X1563">
            <v>440</v>
          </cell>
          <cell r="Y1563">
            <v>0</v>
          </cell>
          <cell r="Z1563">
            <v>454</v>
          </cell>
          <cell r="AA1563">
            <v>0</v>
          </cell>
          <cell r="AB1563">
            <v>0</v>
          </cell>
          <cell r="AC1563">
            <v>0</v>
          </cell>
          <cell r="AD1563">
            <v>3.6999999999999998E-2</v>
          </cell>
          <cell r="AE1563">
            <v>0</v>
          </cell>
          <cell r="AF1563">
            <v>0</v>
          </cell>
          <cell r="AG1563">
            <v>0</v>
          </cell>
          <cell r="AH1563">
            <v>0</v>
          </cell>
          <cell r="AI1563">
            <v>0</v>
          </cell>
          <cell r="AJ1563">
            <v>0</v>
          </cell>
          <cell r="AK1563">
            <v>0</v>
          </cell>
          <cell r="AL1563">
            <v>0</v>
          </cell>
        </row>
        <row r="1564">
          <cell r="E1564" t="str">
            <v>CEE 5.5sq-7C</v>
          </cell>
          <cell r="F1564" t="str">
            <v>ｍ</v>
          </cell>
          <cell r="G1564">
            <v>0</v>
          </cell>
          <cell r="H1564">
            <v>683</v>
          </cell>
          <cell r="I1564">
            <v>0</v>
          </cell>
          <cell r="J1564">
            <v>694</v>
          </cell>
          <cell r="K1564">
            <v>0</v>
          </cell>
          <cell r="L1564">
            <v>694</v>
          </cell>
          <cell r="M1564">
            <v>0</v>
          </cell>
          <cell r="N1564">
            <v>672</v>
          </cell>
          <cell r="O1564">
            <v>0</v>
          </cell>
          <cell r="P1564">
            <v>656</v>
          </cell>
          <cell r="Q1564">
            <v>0</v>
          </cell>
          <cell r="R1564">
            <v>683</v>
          </cell>
          <cell r="S1564">
            <v>0</v>
          </cell>
          <cell r="T1564">
            <v>683</v>
          </cell>
          <cell r="U1564">
            <v>0</v>
          </cell>
          <cell r="V1564">
            <v>694</v>
          </cell>
          <cell r="W1564">
            <v>0</v>
          </cell>
          <cell r="X1564">
            <v>672</v>
          </cell>
          <cell r="Y1564">
            <v>0</v>
          </cell>
          <cell r="Z1564">
            <v>694</v>
          </cell>
          <cell r="AA1564">
            <v>0</v>
          </cell>
          <cell r="AB1564">
            <v>0</v>
          </cell>
          <cell r="AC1564">
            <v>0</v>
          </cell>
          <cell r="AD1564">
            <v>4.3999999999999997E-2</v>
          </cell>
          <cell r="AE1564">
            <v>0</v>
          </cell>
          <cell r="AF1564">
            <v>0</v>
          </cell>
          <cell r="AG1564">
            <v>0</v>
          </cell>
          <cell r="AH1564">
            <v>0</v>
          </cell>
          <cell r="AI1564">
            <v>0</v>
          </cell>
          <cell r="AJ1564">
            <v>0</v>
          </cell>
          <cell r="AK1564">
            <v>0</v>
          </cell>
          <cell r="AL1564">
            <v>0</v>
          </cell>
        </row>
        <row r="1565">
          <cell r="E1565" t="str">
            <v>CEE 8sq-7C</v>
          </cell>
          <cell r="F1565" t="str">
            <v>ｍ</v>
          </cell>
          <cell r="G1565">
            <v>0</v>
          </cell>
          <cell r="H1565">
            <v>925</v>
          </cell>
          <cell r="I1565">
            <v>0</v>
          </cell>
          <cell r="J1565">
            <v>940</v>
          </cell>
          <cell r="K1565">
            <v>0</v>
          </cell>
          <cell r="L1565">
            <v>940</v>
          </cell>
          <cell r="M1565">
            <v>0</v>
          </cell>
          <cell r="N1565">
            <v>911</v>
          </cell>
          <cell r="O1565">
            <v>0</v>
          </cell>
          <cell r="P1565">
            <v>889</v>
          </cell>
          <cell r="Q1565">
            <v>0</v>
          </cell>
          <cell r="R1565">
            <v>925</v>
          </cell>
          <cell r="S1565">
            <v>0</v>
          </cell>
          <cell r="T1565">
            <v>925</v>
          </cell>
          <cell r="U1565">
            <v>0</v>
          </cell>
          <cell r="V1565">
            <v>940</v>
          </cell>
          <cell r="W1565">
            <v>0</v>
          </cell>
          <cell r="X1565">
            <v>911</v>
          </cell>
          <cell r="Y1565">
            <v>0</v>
          </cell>
          <cell r="Z1565">
            <v>940</v>
          </cell>
          <cell r="AA1565">
            <v>0</v>
          </cell>
          <cell r="AB1565">
            <v>0</v>
          </cell>
          <cell r="AC1565">
            <v>0</v>
          </cell>
          <cell r="AD1565">
            <v>5.3999999999999999E-2</v>
          </cell>
          <cell r="AE1565">
            <v>0</v>
          </cell>
          <cell r="AF1565">
            <v>0</v>
          </cell>
          <cell r="AG1565">
            <v>0</v>
          </cell>
          <cell r="AH1565">
            <v>0</v>
          </cell>
          <cell r="AI1565">
            <v>0</v>
          </cell>
          <cell r="AJ1565">
            <v>0</v>
          </cell>
          <cell r="AK1565">
            <v>0</v>
          </cell>
          <cell r="AL1565">
            <v>0</v>
          </cell>
        </row>
        <row r="1566">
          <cell r="E1566" t="str">
            <v>CEE 1.25sq-8C</v>
          </cell>
          <cell r="F1566" t="str">
            <v>ｍ</v>
          </cell>
          <cell r="G1566">
            <v>0</v>
          </cell>
          <cell r="H1566">
            <v>273</v>
          </cell>
          <cell r="I1566">
            <v>0</v>
          </cell>
          <cell r="J1566">
            <v>277</v>
          </cell>
          <cell r="K1566">
            <v>0</v>
          </cell>
          <cell r="L1566">
            <v>277</v>
          </cell>
          <cell r="M1566">
            <v>0</v>
          </cell>
          <cell r="N1566">
            <v>268</v>
          </cell>
          <cell r="O1566">
            <v>0</v>
          </cell>
          <cell r="P1566">
            <v>262</v>
          </cell>
          <cell r="Q1566">
            <v>0</v>
          </cell>
          <cell r="R1566">
            <v>273</v>
          </cell>
          <cell r="S1566">
            <v>0</v>
          </cell>
          <cell r="T1566">
            <v>273</v>
          </cell>
          <cell r="U1566">
            <v>0</v>
          </cell>
          <cell r="V1566">
            <v>277</v>
          </cell>
          <cell r="W1566">
            <v>0</v>
          </cell>
          <cell r="X1566">
            <v>268</v>
          </cell>
          <cell r="Y1566">
            <v>0</v>
          </cell>
          <cell r="Z1566">
            <v>277</v>
          </cell>
          <cell r="AA1566">
            <v>0</v>
          </cell>
          <cell r="AB1566">
            <v>0</v>
          </cell>
          <cell r="AC1566">
            <v>0</v>
          </cell>
          <cell r="AD1566">
            <v>3.4000000000000002E-2</v>
          </cell>
          <cell r="AE1566">
            <v>0</v>
          </cell>
          <cell r="AF1566">
            <v>0</v>
          </cell>
          <cell r="AG1566">
            <v>0</v>
          </cell>
          <cell r="AH1566">
            <v>0</v>
          </cell>
          <cell r="AI1566">
            <v>0</v>
          </cell>
          <cell r="AJ1566">
            <v>0</v>
          </cell>
          <cell r="AK1566">
            <v>0</v>
          </cell>
          <cell r="AL1566">
            <v>0</v>
          </cell>
        </row>
        <row r="1567">
          <cell r="E1567" t="str">
            <v>CEE 2sq-8C</v>
          </cell>
          <cell r="F1567" t="str">
            <v>ｍ</v>
          </cell>
          <cell r="G1567">
            <v>0</v>
          </cell>
          <cell r="H1567">
            <v>355</v>
          </cell>
          <cell r="I1567">
            <v>0</v>
          </cell>
          <cell r="J1567">
            <v>361</v>
          </cell>
          <cell r="K1567">
            <v>0</v>
          </cell>
          <cell r="L1567">
            <v>361</v>
          </cell>
          <cell r="M1567">
            <v>0</v>
          </cell>
          <cell r="N1567">
            <v>350</v>
          </cell>
          <cell r="O1567">
            <v>0</v>
          </cell>
          <cell r="P1567">
            <v>341</v>
          </cell>
          <cell r="Q1567">
            <v>0</v>
          </cell>
          <cell r="R1567">
            <v>355</v>
          </cell>
          <cell r="S1567">
            <v>0</v>
          </cell>
          <cell r="T1567">
            <v>355</v>
          </cell>
          <cell r="U1567">
            <v>0</v>
          </cell>
          <cell r="V1567">
            <v>361</v>
          </cell>
          <cell r="W1567">
            <v>0</v>
          </cell>
          <cell r="X1567">
            <v>350</v>
          </cell>
          <cell r="Y1567">
            <v>0</v>
          </cell>
          <cell r="Z1567">
            <v>361</v>
          </cell>
          <cell r="AA1567">
            <v>0</v>
          </cell>
          <cell r="AB1567">
            <v>0</v>
          </cell>
          <cell r="AC1567">
            <v>0</v>
          </cell>
          <cell r="AD1567">
            <v>3.6999999999999998E-2</v>
          </cell>
          <cell r="AE1567">
            <v>0</v>
          </cell>
          <cell r="AF1567">
            <v>0</v>
          </cell>
          <cell r="AG1567">
            <v>0</v>
          </cell>
          <cell r="AH1567">
            <v>0</v>
          </cell>
          <cell r="AI1567">
            <v>0</v>
          </cell>
          <cell r="AJ1567">
            <v>0</v>
          </cell>
          <cell r="AK1567">
            <v>0</v>
          </cell>
          <cell r="AL1567">
            <v>0</v>
          </cell>
        </row>
        <row r="1568">
          <cell r="E1568" t="str">
            <v>CEE 3.5sq-8C</v>
          </cell>
          <cell r="F1568" t="str">
            <v>ｍ</v>
          </cell>
          <cell r="G1568">
            <v>0</v>
          </cell>
          <cell r="H1568">
            <v>529</v>
          </cell>
          <cell r="I1568">
            <v>0</v>
          </cell>
          <cell r="J1568">
            <v>538</v>
          </cell>
          <cell r="K1568">
            <v>0</v>
          </cell>
          <cell r="L1568">
            <v>538</v>
          </cell>
          <cell r="M1568">
            <v>0</v>
          </cell>
          <cell r="N1568">
            <v>521</v>
          </cell>
          <cell r="O1568">
            <v>0</v>
          </cell>
          <cell r="P1568">
            <v>509</v>
          </cell>
          <cell r="Q1568">
            <v>0</v>
          </cell>
          <cell r="R1568">
            <v>529</v>
          </cell>
          <cell r="S1568">
            <v>0</v>
          </cell>
          <cell r="T1568">
            <v>529</v>
          </cell>
          <cell r="U1568">
            <v>0</v>
          </cell>
          <cell r="V1568">
            <v>538</v>
          </cell>
          <cell r="W1568">
            <v>0</v>
          </cell>
          <cell r="X1568">
            <v>521</v>
          </cell>
          <cell r="Y1568">
            <v>0</v>
          </cell>
          <cell r="Z1568">
            <v>538</v>
          </cell>
          <cell r="AA1568">
            <v>0</v>
          </cell>
          <cell r="AB1568">
            <v>0</v>
          </cell>
          <cell r="AC1568">
            <v>0</v>
          </cell>
          <cell r="AD1568">
            <v>4.3999999999999997E-2</v>
          </cell>
          <cell r="AE1568">
            <v>0</v>
          </cell>
          <cell r="AF1568">
            <v>0</v>
          </cell>
          <cell r="AG1568">
            <v>0</v>
          </cell>
          <cell r="AH1568">
            <v>0</v>
          </cell>
          <cell r="AI1568">
            <v>0</v>
          </cell>
          <cell r="AJ1568">
            <v>0</v>
          </cell>
          <cell r="AK1568">
            <v>0</v>
          </cell>
          <cell r="AL1568">
            <v>0</v>
          </cell>
        </row>
        <row r="1569">
          <cell r="E1569" t="str">
            <v>CEE 5.5sq-8C</v>
          </cell>
          <cell r="F1569" t="str">
            <v>ｍ</v>
          </cell>
          <cell r="G1569">
            <v>0</v>
          </cell>
          <cell r="H1569">
            <v>811</v>
          </cell>
          <cell r="I1569">
            <v>0</v>
          </cell>
          <cell r="J1569">
            <v>824</v>
          </cell>
          <cell r="K1569">
            <v>0</v>
          </cell>
          <cell r="L1569">
            <v>824</v>
          </cell>
          <cell r="M1569">
            <v>0</v>
          </cell>
          <cell r="N1569">
            <v>798</v>
          </cell>
          <cell r="O1569">
            <v>0</v>
          </cell>
          <cell r="P1569">
            <v>779</v>
          </cell>
          <cell r="Q1569">
            <v>0</v>
          </cell>
          <cell r="R1569">
            <v>811</v>
          </cell>
          <cell r="S1569">
            <v>0</v>
          </cell>
          <cell r="T1569">
            <v>811</v>
          </cell>
          <cell r="U1569">
            <v>0</v>
          </cell>
          <cell r="V1569">
            <v>824</v>
          </cell>
          <cell r="W1569">
            <v>0</v>
          </cell>
          <cell r="X1569">
            <v>798</v>
          </cell>
          <cell r="Y1569">
            <v>0</v>
          </cell>
          <cell r="Z1569">
            <v>824</v>
          </cell>
          <cell r="AA1569">
            <v>0</v>
          </cell>
          <cell r="AB1569">
            <v>0</v>
          </cell>
          <cell r="AC1569">
            <v>0</v>
          </cell>
          <cell r="AD1569">
            <v>4.3999999999999997E-2</v>
          </cell>
          <cell r="AE1569">
            <v>0</v>
          </cell>
          <cell r="AF1569">
            <v>0</v>
          </cell>
          <cell r="AG1569">
            <v>0</v>
          </cell>
          <cell r="AH1569">
            <v>0</v>
          </cell>
          <cell r="AI1569">
            <v>0</v>
          </cell>
          <cell r="AJ1569">
            <v>0</v>
          </cell>
          <cell r="AK1569">
            <v>0</v>
          </cell>
          <cell r="AL1569">
            <v>0</v>
          </cell>
        </row>
        <row r="1570">
          <cell r="E1570" t="str">
            <v>CEE 8sq-8C</v>
          </cell>
          <cell r="F1570" t="str">
            <v>ｍ</v>
          </cell>
          <cell r="G1570">
            <v>0</v>
          </cell>
          <cell r="H1570">
            <v>1034</v>
          </cell>
          <cell r="I1570">
            <v>0</v>
          </cell>
          <cell r="J1570">
            <v>1050</v>
          </cell>
          <cell r="K1570">
            <v>0</v>
          </cell>
          <cell r="L1570">
            <v>1050</v>
          </cell>
          <cell r="M1570">
            <v>0</v>
          </cell>
          <cell r="N1570">
            <v>1018</v>
          </cell>
          <cell r="O1570">
            <v>0</v>
          </cell>
          <cell r="P1570">
            <v>994</v>
          </cell>
          <cell r="Q1570">
            <v>0</v>
          </cell>
          <cell r="R1570">
            <v>1034</v>
          </cell>
          <cell r="S1570">
            <v>0</v>
          </cell>
          <cell r="T1570">
            <v>1034</v>
          </cell>
          <cell r="U1570">
            <v>0</v>
          </cell>
          <cell r="V1570">
            <v>1050</v>
          </cell>
          <cell r="W1570">
            <v>0</v>
          </cell>
          <cell r="X1570">
            <v>1018</v>
          </cell>
          <cell r="Y1570">
            <v>0</v>
          </cell>
          <cell r="Z1570">
            <v>1050</v>
          </cell>
          <cell r="AA1570">
            <v>0</v>
          </cell>
          <cell r="AB1570">
            <v>0</v>
          </cell>
          <cell r="AC1570">
            <v>0</v>
          </cell>
          <cell r="AD1570">
            <v>5.3999999999999999E-2</v>
          </cell>
          <cell r="AE1570">
            <v>0</v>
          </cell>
          <cell r="AF1570">
            <v>0</v>
          </cell>
          <cell r="AG1570">
            <v>0</v>
          </cell>
          <cell r="AH1570">
            <v>0</v>
          </cell>
          <cell r="AI1570">
            <v>0</v>
          </cell>
          <cell r="AJ1570">
            <v>0</v>
          </cell>
          <cell r="AK1570">
            <v>0</v>
          </cell>
          <cell r="AL1570">
            <v>0</v>
          </cell>
        </row>
        <row r="1571">
          <cell r="E1571" t="str">
            <v>CEE 1.25sq-10C</v>
          </cell>
          <cell r="F1571" t="str">
            <v>ｍ</v>
          </cell>
          <cell r="G1571">
            <v>0</v>
          </cell>
          <cell r="H1571">
            <v>333</v>
          </cell>
          <cell r="I1571">
            <v>0</v>
          </cell>
          <cell r="J1571">
            <v>338</v>
          </cell>
          <cell r="K1571">
            <v>0</v>
          </cell>
          <cell r="L1571">
            <v>338</v>
          </cell>
          <cell r="M1571">
            <v>0</v>
          </cell>
          <cell r="N1571">
            <v>328</v>
          </cell>
          <cell r="O1571">
            <v>0</v>
          </cell>
          <cell r="P1571">
            <v>320</v>
          </cell>
          <cell r="Q1571">
            <v>0</v>
          </cell>
          <cell r="R1571">
            <v>333</v>
          </cell>
          <cell r="S1571">
            <v>0</v>
          </cell>
          <cell r="T1571">
            <v>333</v>
          </cell>
          <cell r="U1571">
            <v>0</v>
          </cell>
          <cell r="V1571">
            <v>338</v>
          </cell>
          <cell r="W1571">
            <v>0</v>
          </cell>
          <cell r="X1571">
            <v>328</v>
          </cell>
          <cell r="Y1571">
            <v>0</v>
          </cell>
          <cell r="Z1571">
            <v>338</v>
          </cell>
          <cell r="AA1571">
            <v>0</v>
          </cell>
          <cell r="AB1571">
            <v>0</v>
          </cell>
          <cell r="AC1571">
            <v>0</v>
          </cell>
          <cell r="AD1571">
            <v>3.6999999999999998E-2</v>
          </cell>
          <cell r="AE1571">
            <v>0</v>
          </cell>
          <cell r="AF1571">
            <v>0</v>
          </cell>
          <cell r="AG1571">
            <v>0</v>
          </cell>
          <cell r="AH1571">
            <v>0</v>
          </cell>
          <cell r="AI1571">
            <v>0</v>
          </cell>
          <cell r="AJ1571">
            <v>0</v>
          </cell>
          <cell r="AK1571">
            <v>0</v>
          </cell>
          <cell r="AL1571">
            <v>0</v>
          </cell>
        </row>
        <row r="1572">
          <cell r="E1572" t="str">
            <v>CEE 2sq-10C</v>
          </cell>
          <cell r="F1572" t="str">
            <v>ｍ</v>
          </cell>
          <cell r="G1572">
            <v>0</v>
          </cell>
          <cell r="H1572">
            <v>438</v>
          </cell>
          <cell r="I1572">
            <v>0</v>
          </cell>
          <cell r="J1572">
            <v>445</v>
          </cell>
          <cell r="K1572">
            <v>0</v>
          </cell>
          <cell r="L1572">
            <v>445</v>
          </cell>
          <cell r="M1572">
            <v>0</v>
          </cell>
          <cell r="N1572">
            <v>432</v>
          </cell>
          <cell r="O1572">
            <v>0</v>
          </cell>
          <cell r="P1572">
            <v>421</v>
          </cell>
          <cell r="Q1572">
            <v>0</v>
          </cell>
          <cell r="R1572">
            <v>438</v>
          </cell>
          <cell r="S1572">
            <v>0</v>
          </cell>
          <cell r="T1572">
            <v>438</v>
          </cell>
          <cell r="U1572">
            <v>0</v>
          </cell>
          <cell r="V1572">
            <v>445</v>
          </cell>
          <cell r="W1572">
            <v>0</v>
          </cell>
          <cell r="X1572">
            <v>432</v>
          </cell>
          <cell r="Y1572">
            <v>0</v>
          </cell>
          <cell r="Z1572">
            <v>445</v>
          </cell>
          <cell r="AA1572">
            <v>0</v>
          </cell>
          <cell r="AB1572">
            <v>0</v>
          </cell>
          <cell r="AC1572">
            <v>0</v>
          </cell>
          <cell r="AD1572">
            <v>4.2000000000000003E-2</v>
          </cell>
          <cell r="AE1572">
            <v>0</v>
          </cell>
          <cell r="AF1572">
            <v>0</v>
          </cell>
          <cell r="AG1572">
            <v>0</v>
          </cell>
          <cell r="AH1572">
            <v>0</v>
          </cell>
          <cell r="AI1572">
            <v>0</v>
          </cell>
          <cell r="AJ1572">
            <v>0</v>
          </cell>
          <cell r="AK1572">
            <v>0</v>
          </cell>
          <cell r="AL1572">
            <v>0</v>
          </cell>
        </row>
        <row r="1573">
          <cell r="E1573" t="str">
            <v>CEE 3.5sq-10C</v>
          </cell>
          <cell r="F1573" t="str">
            <v>ｍ</v>
          </cell>
          <cell r="G1573">
            <v>0</v>
          </cell>
          <cell r="H1573">
            <v>620</v>
          </cell>
          <cell r="I1573">
            <v>0</v>
          </cell>
          <cell r="J1573">
            <v>629</v>
          </cell>
          <cell r="K1573">
            <v>0</v>
          </cell>
          <cell r="L1573">
            <v>629</v>
          </cell>
          <cell r="M1573">
            <v>0</v>
          </cell>
          <cell r="N1573">
            <v>610</v>
          </cell>
          <cell r="O1573">
            <v>0</v>
          </cell>
          <cell r="P1573">
            <v>595</v>
          </cell>
          <cell r="Q1573">
            <v>0</v>
          </cell>
          <cell r="R1573">
            <v>620</v>
          </cell>
          <cell r="S1573">
            <v>0</v>
          </cell>
          <cell r="T1573">
            <v>620</v>
          </cell>
          <cell r="U1573">
            <v>0</v>
          </cell>
          <cell r="V1573">
            <v>629</v>
          </cell>
          <cell r="W1573">
            <v>0</v>
          </cell>
          <cell r="X1573">
            <v>610</v>
          </cell>
          <cell r="Y1573">
            <v>0</v>
          </cell>
          <cell r="Z1573">
            <v>629</v>
          </cell>
          <cell r="AA1573">
            <v>0</v>
          </cell>
          <cell r="AB1573">
            <v>0</v>
          </cell>
          <cell r="AC1573">
            <v>0</v>
          </cell>
          <cell r="AD1573">
            <v>4.4999999999999998E-2</v>
          </cell>
          <cell r="AE1573">
            <v>0</v>
          </cell>
          <cell r="AF1573">
            <v>0</v>
          </cell>
          <cell r="AG1573">
            <v>0</v>
          </cell>
          <cell r="AH1573">
            <v>0</v>
          </cell>
          <cell r="AI1573">
            <v>0</v>
          </cell>
          <cell r="AJ1573">
            <v>0</v>
          </cell>
          <cell r="AK1573">
            <v>0</v>
          </cell>
          <cell r="AL1573">
            <v>0</v>
          </cell>
        </row>
        <row r="1574">
          <cell r="E1574" t="str">
            <v>CEE 5.5sq-10C</v>
          </cell>
          <cell r="F1574" t="str">
            <v>ｍ</v>
          </cell>
          <cell r="G1574">
            <v>0</v>
          </cell>
          <cell r="H1574">
            <v>982</v>
          </cell>
          <cell r="I1574">
            <v>0</v>
          </cell>
          <cell r="J1574">
            <v>997</v>
          </cell>
          <cell r="K1574">
            <v>0</v>
          </cell>
          <cell r="L1574">
            <v>997</v>
          </cell>
          <cell r="M1574">
            <v>0</v>
          </cell>
          <cell r="N1574">
            <v>966</v>
          </cell>
          <cell r="O1574">
            <v>0</v>
          </cell>
          <cell r="P1574">
            <v>943</v>
          </cell>
          <cell r="Q1574">
            <v>0</v>
          </cell>
          <cell r="R1574">
            <v>982</v>
          </cell>
          <cell r="S1574">
            <v>0</v>
          </cell>
          <cell r="T1574">
            <v>982</v>
          </cell>
          <cell r="U1574">
            <v>0</v>
          </cell>
          <cell r="V1574">
            <v>997</v>
          </cell>
          <cell r="W1574">
            <v>0</v>
          </cell>
          <cell r="X1574">
            <v>966</v>
          </cell>
          <cell r="Y1574">
            <v>0</v>
          </cell>
          <cell r="Z1574">
            <v>997</v>
          </cell>
          <cell r="AA1574">
            <v>0</v>
          </cell>
          <cell r="AB1574">
            <v>0</v>
          </cell>
          <cell r="AC1574">
            <v>0</v>
          </cell>
          <cell r="AD1574">
            <v>5.3999999999999999E-2</v>
          </cell>
          <cell r="AE1574">
            <v>0</v>
          </cell>
          <cell r="AF1574">
            <v>0</v>
          </cell>
          <cell r="AG1574">
            <v>0</v>
          </cell>
          <cell r="AH1574">
            <v>0</v>
          </cell>
          <cell r="AI1574">
            <v>0</v>
          </cell>
          <cell r="AJ1574">
            <v>0</v>
          </cell>
          <cell r="AK1574">
            <v>0</v>
          </cell>
          <cell r="AL1574">
            <v>0</v>
          </cell>
        </row>
        <row r="1575">
          <cell r="E1575" t="str">
            <v>CEE 8sq-10C</v>
          </cell>
          <cell r="F1575" t="str">
            <v>ｍ</v>
          </cell>
          <cell r="G1575">
            <v>0</v>
          </cell>
          <cell r="H1575">
            <v>1309</v>
          </cell>
          <cell r="I1575">
            <v>0</v>
          </cell>
          <cell r="J1575">
            <v>1329</v>
          </cell>
          <cell r="K1575">
            <v>0</v>
          </cell>
          <cell r="L1575">
            <v>1329</v>
          </cell>
          <cell r="M1575">
            <v>0</v>
          </cell>
          <cell r="N1575">
            <v>1288</v>
          </cell>
          <cell r="O1575">
            <v>0</v>
          </cell>
          <cell r="P1575">
            <v>1258</v>
          </cell>
          <cell r="Q1575">
            <v>0</v>
          </cell>
          <cell r="R1575">
            <v>1309</v>
          </cell>
          <cell r="S1575">
            <v>0</v>
          </cell>
          <cell r="T1575">
            <v>1309</v>
          </cell>
          <cell r="U1575">
            <v>0</v>
          </cell>
          <cell r="V1575">
            <v>1329</v>
          </cell>
          <cell r="W1575">
            <v>0</v>
          </cell>
          <cell r="X1575">
            <v>1288</v>
          </cell>
          <cell r="Y1575">
            <v>0</v>
          </cell>
          <cell r="Z1575">
            <v>1329</v>
          </cell>
          <cell r="AA1575">
            <v>0</v>
          </cell>
          <cell r="AB1575">
            <v>0</v>
          </cell>
          <cell r="AC1575">
            <v>0</v>
          </cell>
          <cell r="AD1575">
            <v>6.6000000000000003E-2</v>
          </cell>
          <cell r="AE1575">
            <v>0</v>
          </cell>
          <cell r="AF1575">
            <v>0</v>
          </cell>
          <cell r="AG1575">
            <v>0</v>
          </cell>
          <cell r="AH1575">
            <v>0</v>
          </cell>
          <cell r="AI1575">
            <v>0</v>
          </cell>
          <cell r="AJ1575">
            <v>0</v>
          </cell>
          <cell r="AK1575">
            <v>0</v>
          </cell>
          <cell r="AL1575">
            <v>0</v>
          </cell>
        </row>
        <row r="1576">
          <cell r="E1576" t="str">
            <v>CEE 1.25sq-12C</v>
          </cell>
          <cell r="F1576" t="str">
            <v>ｍ</v>
          </cell>
          <cell r="G1576">
            <v>0</v>
          </cell>
          <cell r="H1576">
            <v>389</v>
          </cell>
          <cell r="I1576">
            <v>0</v>
          </cell>
          <cell r="J1576">
            <v>395</v>
          </cell>
          <cell r="K1576">
            <v>0</v>
          </cell>
          <cell r="L1576">
            <v>395</v>
          </cell>
          <cell r="M1576">
            <v>0</v>
          </cell>
          <cell r="N1576">
            <v>383</v>
          </cell>
          <cell r="O1576">
            <v>0</v>
          </cell>
          <cell r="P1576">
            <v>374</v>
          </cell>
          <cell r="Q1576">
            <v>0</v>
          </cell>
          <cell r="R1576">
            <v>389</v>
          </cell>
          <cell r="S1576">
            <v>0</v>
          </cell>
          <cell r="T1576">
            <v>389</v>
          </cell>
          <cell r="U1576">
            <v>0</v>
          </cell>
          <cell r="V1576">
            <v>395</v>
          </cell>
          <cell r="W1576">
            <v>0</v>
          </cell>
          <cell r="X1576">
            <v>383</v>
          </cell>
          <cell r="Y1576">
            <v>0</v>
          </cell>
          <cell r="Z1576">
            <v>395</v>
          </cell>
          <cell r="AA1576">
            <v>0</v>
          </cell>
          <cell r="AB1576">
            <v>0</v>
          </cell>
          <cell r="AC1576">
            <v>0</v>
          </cell>
          <cell r="AD1576">
            <v>4.2999999999999997E-2</v>
          </cell>
          <cell r="AE1576">
            <v>0</v>
          </cell>
          <cell r="AF1576">
            <v>0</v>
          </cell>
          <cell r="AG1576">
            <v>0</v>
          </cell>
          <cell r="AH1576">
            <v>0</v>
          </cell>
          <cell r="AI1576">
            <v>0</v>
          </cell>
          <cell r="AJ1576">
            <v>0</v>
          </cell>
          <cell r="AK1576">
            <v>0</v>
          </cell>
          <cell r="AL1576">
            <v>0</v>
          </cell>
        </row>
        <row r="1577">
          <cell r="E1577" t="str">
            <v>CEE 2sq-12C</v>
          </cell>
          <cell r="F1577" t="str">
            <v>ｍ</v>
          </cell>
          <cell r="G1577">
            <v>0</v>
          </cell>
          <cell r="H1577">
            <v>505</v>
          </cell>
          <cell r="I1577">
            <v>0</v>
          </cell>
          <cell r="J1577">
            <v>514</v>
          </cell>
          <cell r="K1577">
            <v>0</v>
          </cell>
          <cell r="L1577">
            <v>514</v>
          </cell>
          <cell r="M1577">
            <v>0</v>
          </cell>
          <cell r="N1577">
            <v>498</v>
          </cell>
          <cell r="O1577">
            <v>0</v>
          </cell>
          <cell r="P1577">
            <v>486</v>
          </cell>
          <cell r="Q1577">
            <v>0</v>
          </cell>
          <cell r="R1577">
            <v>505</v>
          </cell>
          <cell r="S1577">
            <v>0</v>
          </cell>
          <cell r="T1577">
            <v>505</v>
          </cell>
          <cell r="U1577">
            <v>0</v>
          </cell>
          <cell r="V1577">
            <v>514</v>
          </cell>
          <cell r="W1577">
            <v>0</v>
          </cell>
          <cell r="X1577">
            <v>498</v>
          </cell>
          <cell r="Y1577">
            <v>0</v>
          </cell>
          <cell r="Z1577">
            <v>514</v>
          </cell>
          <cell r="AA1577">
            <v>0</v>
          </cell>
          <cell r="AB1577">
            <v>0</v>
          </cell>
          <cell r="AC1577">
            <v>0</v>
          </cell>
          <cell r="AD1577">
            <v>4.8000000000000001E-2</v>
          </cell>
          <cell r="AE1577">
            <v>0</v>
          </cell>
          <cell r="AF1577">
            <v>0</v>
          </cell>
          <cell r="AG1577">
            <v>0</v>
          </cell>
          <cell r="AH1577">
            <v>0</v>
          </cell>
          <cell r="AI1577">
            <v>0</v>
          </cell>
          <cell r="AJ1577">
            <v>0</v>
          </cell>
          <cell r="AK1577">
            <v>0</v>
          </cell>
          <cell r="AL1577">
            <v>0</v>
          </cell>
        </row>
        <row r="1578">
          <cell r="E1578" t="str">
            <v>CEE 3.5sq-12C</v>
          </cell>
          <cell r="F1578" t="str">
            <v>ｍ</v>
          </cell>
          <cell r="G1578">
            <v>0</v>
          </cell>
          <cell r="H1578">
            <v>753</v>
          </cell>
          <cell r="I1578">
            <v>0</v>
          </cell>
          <cell r="J1578">
            <v>764</v>
          </cell>
          <cell r="K1578">
            <v>0</v>
          </cell>
          <cell r="L1578">
            <v>764</v>
          </cell>
          <cell r="M1578">
            <v>0</v>
          </cell>
          <cell r="N1578">
            <v>741</v>
          </cell>
          <cell r="O1578">
            <v>0</v>
          </cell>
          <cell r="P1578">
            <v>723</v>
          </cell>
          <cell r="Q1578">
            <v>0</v>
          </cell>
          <cell r="R1578">
            <v>753</v>
          </cell>
          <cell r="S1578">
            <v>0</v>
          </cell>
          <cell r="T1578">
            <v>753</v>
          </cell>
          <cell r="U1578">
            <v>0</v>
          </cell>
          <cell r="V1578">
            <v>764</v>
          </cell>
          <cell r="W1578">
            <v>0</v>
          </cell>
          <cell r="X1578">
            <v>741</v>
          </cell>
          <cell r="Y1578">
            <v>0</v>
          </cell>
          <cell r="Z1578">
            <v>764</v>
          </cell>
          <cell r="AA1578">
            <v>0</v>
          </cell>
          <cell r="AB1578">
            <v>0</v>
          </cell>
          <cell r="AC1578">
            <v>0</v>
          </cell>
          <cell r="AD1578">
            <v>5.2999999999999999E-2</v>
          </cell>
          <cell r="AE1578">
            <v>0</v>
          </cell>
          <cell r="AF1578">
            <v>0</v>
          </cell>
          <cell r="AG1578">
            <v>0</v>
          </cell>
          <cell r="AH1578">
            <v>0</v>
          </cell>
          <cell r="AI1578">
            <v>0</v>
          </cell>
          <cell r="AJ1578">
            <v>0</v>
          </cell>
          <cell r="AK1578">
            <v>0</v>
          </cell>
          <cell r="AL1578">
            <v>0</v>
          </cell>
        </row>
        <row r="1579">
          <cell r="E1579" t="str">
            <v>CEE 5.5sq-12C</v>
          </cell>
          <cell r="F1579" t="str">
            <v>ｍ</v>
          </cell>
          <cell r="G1579">
            <v>0</v>
          </cell>
          <cell r="H1579">
            <v>1137</v>
          </cell>
          <cell r="I1579">
            <v>0</v>
          </cell>
          <cell r="J1579">
            <v>1154</v>
          </cell>
          <cell r="K1579">
            <v>0</v>
          </cell>
          <cell r="L1579">
            <v>1154</v>
          </cell>
          <cell r="M1579">
            <v>0</v>
          </cell>
          <cell r="N1579">
            <v>1119</v>
          </cell>
          <cell r="O1579">
            <v>0</v>
          </cell>
          <cell r="P1579">
            <v>1092</v>
          </cell>
          <cell r="Q1579">
            <v>0</v>
          </cell>
          <cell r="R1579">
            <v>1137</v>
          </cell>
          <cell r="S1579">
            <v>0</v>
          </cell>
          <cell r="T1579">
            <v>1137</v>
          </cell>
          <cell r="U1579">
            <v>0</v>
          </cell>
          <cell r="V1579">
            <v>1154</v>
          </cell>
          <cell r="W1579">
            <v>0</v>
          </cell>
          <cell r="X1579">
            <v>1119</v>
          </cell>
          <cell r="Y1579">
            <v>0</v>
          </cell>
          <cell r="Z1579">
            <v>1154</v>
          </cell>
          <cell r="AA1579">
            <v>0</v>
          </cell>
          <cell r="AB1579">
            <v>0</v>
          </cell>
          <cell r="AC1579">
            <v>0</v>
          </cell>
          <cell r="AD1579">
            <v>6.3E-2</v>
          </cell>
          <cell r="AE1579">
            <v>0</v>
          </cell>
          <cell r="AF1579">
            <v>0</v>
          </cell>
          <cell r="AG1579">
            <v>0</v>
          </cell>
          <cell r="AH1579">
            <v>0</v>
          </cell>
          <cell r="AI1579">
            <v>0</v>
          </cell>
          <cell r="AJ1579">
            <v>0</v>
          </cell>
          <cell r="AK1579">
            <v>0</v>
          </cell>
          <cell r="AL1579">
            <v>0</v>
          </cell>
        </row>
        <row r="1580">
          <cell r="E1580" t="str">
            <v>CEE 8sq-12C</v>
          </cell>
          <cell r="F1580" t="str">
            <v>ｍ</v>
          </cell>
          <cell r="G1580">
            <v>0</v>
          </cell>
          <cell r="H1580">
            <v>1523</v>
          </cell>
          <cell r="I1580">
            <v>0</v>
          </cell>
          <cell r="J1580">
            <v>1546</v>
          </cell>
          <cell r="K1580">
            <v>0</v>
          </cell>
          <cell r="L1580">
            <v>1546</v>
          </cell>
          <cell r="M1580">
            <v>0</v>
          </cell>
          <cell r="N1580">
            <v>1499</v>
          </cell>
          <cell r="O1580">
            <v>0</v>
          </cell>
          <cell r="P1580">
            <v>1463</v>
          </cell>
          <cell r="Q1580">
            <v>0</v>
          </cell>
          <cell r="R1580">
            <v>1523</v>
          </cell>
          <cell r="S1580">
            <v>0</v>
          </cell>
          <cell r="T1580">
            <v>1523</v>
          </cell>
          <cell r="U1580">
            <v>0</v>
          </cell>
          <cell r="V1580">
            <v>1546</v>
          </cell>
          <cell r="W1580">
            <v>0</v>
          </cell>
          <cell r="X1580">
            <v>1499</v>
          </cell>
          <cell r="Y1580">
            <v>0</v>
          </cell>
          <cell r="Z1580">
            <v>1546</v>
          </cell>
          <cell r="AA1580">
            <v>0</v>
          </cell>
          <cell r="AB1580">
            <v>0</v>
          </cell>
          <cell r="AC1580">
            <v>0</v>
          </cell>
          <cell r="AD1580">
            <v>7.6999999999999999E-2</v>
          </cell>
          <cell r="AE1580">
            <v>0</v>
          </cell>
          <cell r="AF1580">
            <v>0</v>
          </cell>
          <cell r="AG1580">
            <v>0</v>
          </cell>
          <cell r="AH1580">
            <v>0</v>
          </cell>
          <cell r="AI1580">
            <v>0</v>
          </cell>
          <cell r="AJ1580">
            <v>0</v>
          </cell>
          <cell r="AK1580">
            <v>0</v>
          </cell>
          <cell r="AL1580">
            <v>0</v>
          </cell>
        </row>
        <row r="1581">
          <cell r="E1581" t="str">
            <v>CEE 1.25sq-15C</v>
          </cell>
          <cell r="F1581" t="str">
            <v>ｍ</v>
          </cell>
          <cell r="G1581">
            <v>0</v>
          </cell>
          <cell r="H1581">
            <v>469</v>
          </cell>
          <cell r="I1581">
            <v>0</v>
          </cell>
          <cell r="J1581">
            <v>476</v>
          </cell>
          <cell r="K1581">
            <v>0</v>
          </cell>
          <cell r="L1581">
            <v>476</v>
          </cell>
          <cell r="M1581">
            <v>0</v>
          </cell>
          <cell r="N1581">
            <v>462</v>
          </cell>
          <cell r="O1581">
            <v>0</v>
          </cell>
          <cell r="P1581">
            <v>451</v>
          </cell>
          <cell r="Q1581">
            <v>0</v>
          </cell>
          <cell r="R1581">
            <v>469</v>
          </cell>
          <cell r="S1581">
            <v>0</v>
          </cell>
          <cell r="T1581">
            <v>469</v>
          </cell>
          <cell r="U1581">
            <v>0</v>
          </cell>
          <cell r="V1581">
            <v>476</v>
          </cell>
          <cell r="W1581">
            <v>0</v>
          </cell>
          <cell r="X1581">
            <v>462</v>
          </cell>
          <cell r="Y1581">
            <v>0</v>
          </cell>
          <cell r="Z1581">
            <v>476</v>
          </cell>
          <cell r="AA1581">
            <v>0</v>
          </cell>
          <cell r="AB1581">
            <v>0</v>
          </cell>
          <cell r="AC1581">
            <v>0</v>
          </cell>
          <cell r="AD1581">
            <v>5.3999999999999999E-2</v>
          </cell>
          <cell r="AE1581">
            <v>0</v>
          </cell>
          <cell r="AF1581">
            <v>0</v>
          </cell>
          <cell r="AG1581">
            <v>0</v>
          </cell>
          <cell r="AH1581">
            <v>0</v>
          </cell>
          <cell r="AI1581">
            <v>0</v>
          </cell>
          <cell r="AJ1581">
            <v>0</v>
          </cell>
          <cell r="AK1581">
            <v>0</v>
          </cell>
          <cell r="AL1581">
            <v>0</v>
          </cell>
        </row>
        <row r="1582">
          <cell r="E1582" t="str">
            <v>CEE 2sq-15C</v>
          </cell>
          <cell r="F1582" t="str">
            <v>ｍ</v>
          </cell>
          <cell r="G1582">
            <v>0</v>
          </cell>
          <cell r="H1582">
            <v>623</v>
          </cell>
          <cell r="I1582">
            <v>0</v>
          </cell>
          <cell r="J1582">
            <v>632</v>
          </cell>
          <cell r="K1582">
            <v>0</v>
          </cell>
          <cell r="L1582">
            <v>632</v>
          </cell>
          <cell r="M1582">
            <v>0</v>
          </cell>
          <cell r="N1582">
            <v>613</v>
          </cell>
          <cell r="O1582">
            <v>0</v>
          </cell>
          <cell r="P1582">
            <v>598</v>
          </cell>
          <cell r="Q1582">
            <v>0</v>
          </cell>
          <cell r="R1582">
            <v>623</v>
          </cell>
          <cell r="S1582">
            <v>0</v>
          </cell>
          <cell r="T1582">
            <v>623</v>
          </cell>
          <cell r="U1582">
            <v>0</v>
          </cell>
          <cell r="V1582">
            <v>632</v>
          </cell>
          <cell r="W1582">
            <v>0</v>
          </cell>
          <cell r="X1582">
            <v>613</v>
          </cell>
          <cell r="Y1582">
            <v>0</v>
          </cell>
          <cell r="Z1582">
            <v>632</v>
          </cell>
          <cell r="AA1582">
            <v>0</v>
          </cell>
          <cell r="AB1582">
            <v>0</v>
          </cell>
          <cell r="AC1582">
            <v>0</v>
          </cell>
          <cell r="AD1582">
            <v>0.06</v>
          </cell>
          <cell r="AE1582">
            <v>0</v>
          </cell>
          <cell r="AF1582">
            <v>0</v>
          </cell>
          <cell r="AG1582">
            <v>0</v>
          </cell>
          <cell r="AH1582">
            <v>0</v>
          </cell>
          <cell r="AI1582">
            <v>0</v>
          </cell>
          <cell r="AJ1582">
            <v>0</v>
          </cell>
          <cell r="AK1582">
            <v>0</v>
          </cell>
          <cell r="AL1582">
            <v>0</v>
          </cell>
        </row>
        <row r="1583">
          <cell r="E1583" t="str">
            <v>CEE 3.5sq-15C</v>
          </cell>
          <cell r="F1583" t="str">
            <v>ｍ</v>
          </cell>
          <cell r="G1583">
            <v>0</v>
          </cell>
          <cell r="H1583">
            <v>886</v>
          </cell>
          <cell r="I1583">
            <v>0</v>
          </cell>
          <cell r="J1583">
            <v>900</v>
          </cell>
          <cell r="K1583">
            <v>0</v>
          </cell>
          <cell r="L1583">
            <v>900</v>
          </cell>
          <cell r="M1583">
            <v>0</v>
          </cell>
          <cell r="N1583">
            <v>872</v>
          </cell>
          <cell r="O1583">
            <v>0</v>
          </cell>
          <cell r="P1583">
            <v>851</v>
          </cell>
          <cell r="Q1583">
            <v>0</v>
          </cell>
          <cell r="R1583">
            <v>886</v>
          </cell>
          <cell r="S1583">
            <v>0</v>
          </cell>
          <cell r="T1583">
            <v>886</v>
          </cell>
          <cell r="U1583">
            <v>0</v>
          </cell>
          <cell r="V1583">
            <v>900</v>
          </cell>
          <cell r="W1583">
            <v>0</v>
          </cell>
          <cell r="X1583">
            <v>872</v>
          </cell>
          <cell r="Y1583">
            <v>0</v>
          </cell>
          <cell r="Z1583">
            <v>900</v>
          </cell>
          <cell r="AA1583">
            <v>0</v>
          </cell>
          <cell r="AB1583">
            <v>0</v>
          </cell>
          <cell r="AC1583">
            <v>0</v>
          </cell>
          <cell r="AD1583">
            <v>6.6000000000000003E-2</v>
          </cell>
          <cell r="AE1583">
            <v>0</v>
          </cell>
          <cell r="AF1583">
            <v>0</v>
          </cell>
          <cell r="AG1583">
            <v>0</v>
          </cell>
          <cell r="AH1583">
            <v>0</v>
          </cell>
          <cell r="AI1583">
            <v>0</v>
          </cell>
          <cell r="AJ1583">
            <v>0</v>
          </cell>
          <cell r="AK1583">
            <v>0</v>
          </cell>
          <cell r="AL1583">
            <v>0</v>
          </cell>
        </row>
        <row r="1584">
          <cell r="E1584" t="str">
            <v>CEE 5.5sq-15C</v>
          </cell>
          <cell r="F1584" t="str">
            <v>ｍ</v>
          </cell>
          <cell r="G1584">
            <v>0</v>
          </cell>
          <cell r="H1584">
            <v>1382</v>
          </cell>
          <cell r="I1584">
            <v>0</v>
          </cell>
          <cell r="J1584">
            <v>1404</v>
          </cell>
          <cell r="K1584">
            <v>0</v>
          </cell>
          <cell r="L1584">
            <v>1404</v>
          </cell>
          <cell r="M1584">
            <v>0</v>
          </cell>
          <cell r="N1584">
            <v>1361</v>
          </cell>
          <cell r="O1584">
            <v>0</v>
          </cell>
          <cell r="P1584">
            <v>1328</v>
          </cell>
          <cell r="Q1584">
            <v>0</v>
          </cell>
          <cell r="R1584">
            <v>1382</v>
          </cell>
          <cell r="S1584">
            <v>0</v>
          </cell>
          <cell r="T1584">
            <v>1382</v>
          </cell>
          <cell r="U1584">
            <v>0</v>
          </cell>
          <cell r="V1584">
            <v>1404</v>
          </cell>
          <cell r="W1584">
            <v>0</v>
          </cell>
          <cell r="X1584">
            <v>1361</v>
          </cell>
          <cell r="Y1584">
            <v>0</v>
          </cell>
          <cell r="Z1584">
            <v>1404</v>
          </cell>
          <cell r="AA1584">
            <v>0</v>
          </cell>
          <cell r="AB1584">
            <v>0</v>
          </cell>
          <cell r="AC1584">
            <v>0</v>
          </cell>
          <cell r="AD1584">
            <v>7.8E-2</v>
          </cell>
          <cell r="AE1584">
            <v>0</v>
          </cell>
          <cell r="AF1584">
            <v>0</v>
          </cell>
          <cell r="AG1584">
            <v>0</v>
          </cell>
          <cell r="AH1584">
            <v>0</v>
          </cell>
          <cell r="AI1584">
            <v>0</v>
          </cell>
          <cell r="AJ1584">
            <v>0</v>
          </cell>
          <cell r="AK1584">
            <v>0</v>
          </cell>
          <cell r="AL1584">
            <v>0</v>
          </cell>
        </row>
        <row r="1585">
          <cell r="E1585" t="str">
            <v>CEE 1.25sq-20C</v>
          </cell>
          <cell r="F1585" t="str">
            <v>ｍ</v>
          </cell>
          <cell r="G1585">
            <v>0</v>
          </cell>
          <cell r="H1585">
            <v>608</v>
          </cell>
          <cell r="I1585">
            <v>0</v>
          </cell>
          <cell r="J1585">
            <v>618</v>
          </cell>
          <cell r="K1585">
            <v>0</v>
          </cell>
          <cell r="L1585">
            <v>618</v>
          </cell>
          <cell r="M1585">
            <v>0</v>
          </cell>
          <cell r="N1585">
            <v>599</v>
          </cell>
          <cell r="O1585">
            <v>0</v>
          </cell>
          <cell r="P1585">
            <v>584</v>
          </cell>
          <cell r="Q1585">
            <v>0</v>
          </cell>
          <cell r="R1585">
            <v>608</v>
          </cell>
          <cell r="S1585">
            <v>0</v>
          </cell>
          <cell r="T1585">
            <v>608</v>
          </cell>
          <cell r="U1585">
            <v>0</v>
          </cell>
          <cell r="V1585">
            <v>618</v>
          </cell>
          <cell r="W1585">
            <v>0</v>
          </cell>
          <cell r="X1585">
            <v>599</v>
          </cell>
          <cell r="Y1585">
            <v>0</v>
          </cell>
          <cell r="Z1585">
            <v>618</v>
          </cell>
          <cell r="AA1585">
            <v>0</v>
          </cell>
          <cell r="AB1585">
            <v>0</v>
          </cell>
          <cell r="AC1585">
            <v>0</v>
          </cell>
          <cell r="AD1585">
            <v>6.3E-2</v>
          </cell>
          <cell r="AE1585">
            <v>0</v>
          </cell>
          <cell r="AF1585">
            <v>0</v>
          </cell>
          <cell r="AG1585">
            <v>0</v>
          </cell>
          <cell r="AH1585">
            <v>0</v>
          </cell>
          <cell r="AI1585">
            <v>0</v>
          </cell>
          <cell r="AJ1585">
            <v>0</v>
          </cell>
          <cell r="AK1585">
            <v>0</v>
          </cell>
          <cell r="AL1585">
            <v>0</v>
          </cell>
        </row>
        <row r="1586">
          <cell r="E1586" t="str">
            <v>CEE 2sq-20C</v>
          </cell>
          <cell r="F1586" t="str">
            <v>ｍ</v>
          </cell>
          <cell r="G1586">
            <v>0</v>
          </cell>
          <cell r="H1586">
            <v>811</v>
          </cell>
          <cell r="I1586">
            <v>0</v>
          </cell>
          <cell r="J1586">
            <v>824</v>
          </cell>
          <cell r="K1586">
            <v>0</v>
          </cell>
          <cell r="L1586">
            <v>824</v>
          </cell>
          <cell r="M1586">
            <v>0</v>
          </cell>
          <cell r="N1586">
            <v>798</v>
          </cell>
          <cell r="O1586">
            <v>0</v>
          </cell>
          <cell r="P1586">
            <v>779</v>
          </cell>
          <cell r="Q1586">
            <v>0</v>
          </cell>
          <cell r="R1586">
            <v>811</v>
          </cell>
          <cell r="S1586">
            <v>0</v>
          </cell>
          <cell r="T1586">
            <v>811</v>
          </cell>
          <cell r="U1586">
            <v>0</v>
          </cell>
          <cell r="V1586">
            <v>824</v>
          </cell>
          <cell r="W1586">
            <v>0</v>
          </cell>
          <cell r="X1586">
            <v>798</v>
          </cell>
          <cell r="Y1586">
            <v>0</v>
          </cell>
          <cell r="Z1586">
            <v>824</v>
          </cell>
          <cell r="AA1586">
            <v>0</v>
          </cell>
          <cell r="AB1586">
            <v>0</v>
          </cell>
          <cell r="AC1586">
            <v>0</v>
          </cell>
          <cell r="AD1586">
            <v>7.0000000000000007E-2</v>
          </cell>
          <cell r="AE1586">
            <v>0</v>
          </cell>
          <cell r="AF1586">
            <v>0</v>
          </cell>
          <cell r="AG1586">
            <v>0</v>
          </cell>
          <cell r="AH1586">
            <v>0</v>
          </cell>
          <cell r="AI1586">
            <v>0</v>
          </cell>
          <cell r="AJ1586">
            <v>0</v>
          </cell>
          <cell r="AK1586">
            <v>0</v>
          </cell>
          <cell r="AL1586">
            <v>0</v>
          </cell>
        </row>
        <row r="1587">
          <cell r="E1587" t="str">
            <v>CEE 3.5sq-20C</v>
          </cell>
          <cell r="F1587" t="str">
            <v>ｍ</v>
          </cell>
          <cell r="G1587">
            <v>0</v>
          </cell>
          <cell r="H1587">
            <v>1213</v>
          </cell>
          <cell r="I1587">
            <v>0</v>
          </cell>
          <cell r="J1587">
            <v>1232</v>
          </cell>
          <cell r="K1587">
            <v>0</v>
          </cell>
          <cell r="L1587">
            <v>1232</v>
          </cell>
          <cell r="M1587">
            <v>0</v>
          </cell>
          <cell r="N1587">
            <v>1194</v>
          </cell>
          <cell r="O1587">
            <v>0</v>
          </cell>
          <cell r="P1587">
            <v>1166</v>
          </cell>
          <cell r="Q1587">
            <v>0</v>
          </cell>
          <cell r="R1587">
            <v>1213</v>
          </cell>
          <cell r="S1587">
            <v>0</v>
          </cell>
          <cell r="T1587">
            <v>1213</v>
          </cell>
          <cell r="U1587">
            <v>0</v>
          </cell>
          <cell r="V1587">
            <v>1232</v>
          </cell>
          <cell r="W1587">
            <v>0</v>
          </cell>
          <cell r="X1587">
            <v>1194</v>
          </cell>
          <cell r="Y1587">
            <v>0</v>
          </cell>
          <cell r="Z1587">
            <v>1232</v>
          </cell>
          <cell r="AA1587">
            <v>0</v>
          </cell>
          <cell r="AB1587">
            <v>0</v>
          </cell>
          <cell r="AC1587">
            <v>0</v>
          </cell>
          <cell r="AD1587">
            <v>7.6999999999999999E-2</v>
          </cell>
          <cell r="AE1587">
            <v>0</v>
          </cell>
          <cell r="AF1587">
            <v>0</v>
          </cell>
          <cell r="AG1587">
            <v>0</v>
          </cell>
          <cell r="AH1587">
            <v>0</v>
          </cell>
          <cell r="AI1587">
            <v>0</v>
          </cell>
          <cell r="AJ1587">
            <v>0</v>
          </cell>
          <cell r="AK1587">
            <v>0</v>
          </cell>
          <cell r="AL1587">
            <v>0</v>
          </cell>
        </row>
        <row r="1588">
          <cell r="E1588" t="str">
            <v>CEE 5.5sq-20C</v>
          </cell>
          <cell r="F1588" t="str">
            <v>ｍ</v>
          </cell>
          <cell r="G1588">
            <v>0</v>
          </cell>
          <cell r="H1588">
            <v>1830</v>
          </cell>
          <cell r="I1588">
            <v>0</v>
          </cell>
          <cell r="J1588">
            <v>1858</v>
          </cell>
          <cell r="K1588">
            <v>0</v>
          </cell>
          <cell r="L1588">
            <v>1858</v>
          </cell>
          <cell r="M1588">
            <v>0</v>
          </cell>
          <cell r="N1588">
            <v>1801</v>
          </cell>
          <cell r="O1588">
            <v>0</v>
          </cell>
          <cell r="P1588">
            <v>1758</v>
          </cell>
          <cell r="Q1588">
            <v>0</v>
          </cell>
          <cell r="R1588">
            <v>1830</v>
          </cell>
          <cell r="S1588">
            <v>0</v>
          </cell>
          <cell r="T1588">
            <v>1830</v>
          </cell>
          <cell r="U1588">
            <v>0</v>
          </cell>
          <cell r="V1588">
            <v>1858</v>
          </cell>
          <cell r="W1588">
            <v>0</v>
          </cell>
          <cell r="X1588">
            <v>1801</v>
          </cell>
          <cell r="Y1588">
            <v>0</v>
          </cell>
          <cell r="Z1588">
            <v>1858</v>
          </cell>
          <cell r="AA1588">
            <v>0</v>
          </cell>
          <cell r="AB1588">
            <v>0</v>
          </cell>
          <cell r="AC1588">
            <v>0</v>
          </cell>
          <cell r="AD1588">
            <v>9.0999999999999998E-2</v>
          </cell>
          <cell r="AE1588">
            <v>0</v>
          </cell>
          <cell r="AF1588">
            <v>0</v>
          </cell>
          <cell r="AG1588">
            <v>0</v>
          </cell>
          <cell r="AH1588">
            <v>0</v>
          </cell>
          <cell r="AI1588">
            <v>0</v>
          </cell>
          <cell r="AJ1588">
            <v>0</v>
          </cell>
          <cell r="AK1588">
            <v>0</v>
          </cell>
          <cell r="AL1588">
            <v>0</v>
          </cell>
        </row>
        <row r="1589">
          <cell r="E1589" t="str">
            <v>CEE 1.25sq-30C</v>
          </cell>
          <cell r="F1589" t="str">
            <v>ｍ</v>
          </cell>
          <cell r="G1589">
            <v>0</v>
          </cell>
          <cell r="H1589">
            <v>862</v>
          </cell>
          <cell r="I1589">
            <v>0</v>
          </cell>
          <cell r="J1589">
            <v>876</v>
          </cell>
          <cell r="K1589">
            <v>0</v>
          </cell>
          <cell r="L1589">
            <v>876</v>
          </cell>
          <cell r="M1589">
            <v>0</v>
          </cell>
          <cell r="N1589">
            <v>849</v>
          </cell>
          <cell r="O1589">
            <v>0</v>
          </cell>
          <cell r="P1589">
            <v>828</v>
          </cell>
          <cell r="Q1589">
            <v>0</v>
          </cell>
          <cell r="R1589">
            <v>862</v>
          </cell>
          <cell r="S1589">
            <v>0</v>
          </cell>
          <cell r="T1589">
            <v>862</v>
          </cell>
          <cell r="U1589">
            <v>0</v>
          </cell>
          <cell r="V1589">
            <v>876</v>
          </cell>
          <cell r="W1589">
            <v>0</v>
          </cell>
          <cell r="X1589">
            <v>849</v>
          </cell>
          <cell r="Y1589">
            <v>0</v>
          </cell>
          <cell r="Z1589">
            <v>876</v>
          </cell>
          <cell r="AA1589">
            <v>0</v>
          </cell>
          <cell r="AB1589">
            <v>0</v>
          </cell>
          <cell r="AC1589">
            <v>0</v>
          </cell>
          <cell r="AD1589">
            <v>7.4999999999999997E-2</v>
          </cell>
          <cell r="AE1589">
            <v>0</v>
          </cell>
          <cell r="AF1589">
            <v>0</v>
          </cell>
          <cell r="AG1589">
            <v>0</v>
          </cell>
          <cell r="AH1589">
            <v>0</v>
          </cell>
          <cell r="AI1589">
            <v>0</v>
          </cell>
          <cell r="AJ1589">
            <v>0</v>
          </cell>
          <cell r="AK1589">
            <v>0</v>
          </cell>
          <cell r="AL1589">
            <v>0</v>
          </cell>
        </row>
        <row r="1590">
          <cell r="E1590" t="str">
            <v>CEE 2sq-30C</v>
          </cell>
          <cell r="F1590" t="str">
            <v>ｍ</v>
          </cell>
          <cell r="G1590">
            <v>0</v>
          </cell>
          <cell r="H1590">
            <v>1178</v>
          </cell>
          <cell r="I1590">
            <v>0</v>
          </cell>
          <cell r="J1590">
            <v>1196</v>
          </cell>
          <cell r="K1590">
            <v>0</v>
          </cell>
          <cell r="L1590">
            <v>1196</v>
          </cell>
          <cell r="M1590">
            <v>0</v>
          </cell>
          <cell r="N1590">
            <v>1159</v>
          </cell>
          <cell r="O1590">
            <v>0</v>
          </cell>
          <cell r="P1590">
            <v>1132</v>
          </cell>
          <cell r="Q1590">
            <v>0</v>
          </cell>
          <cell r="R1590">
            <v>1178</v>
          </cell>
          <cell r="S1590">
            <v>0</v>
          </cell>
          <cell r="T1590">
            <v>1178</v>
          </cell>
          <cell r="U1590">
            <v>0</v>
          </cell>
          <cell r="V1590">
            <v>1196</v>
          </cell>
          <cell r="W1590">
            <v>0</v>
          </cell>
          <cell r="X1590">
            <v>1159</v>
          </cell>
          <cell r="Y1590">
            <v>0</v>
          </cell>
          <cell r="Z1590">
            <v>1196</v>
          </cell>
          <cell r="AA1590">
            <v>0</v>
          </cell>
          <cell r="AB1590">
            <v>0</v>
          </cell>
          <cell r="AC1590">
            <v>0</v>
          </cell>
          <cell r="AD1590">
            <v>8.3000000000000004E-2</v>
          </cell>
          <cell r="AE1590">
            <v>0</v>
          </cell>
          <cell r="AF1590">
            <v>0</v>
          </cell>
          <cell r="AG1590">
            <v>0</v>
          </cell>
          <cell r="AH1590">
            <v>0</v>
          </cell>
          <cell r="AI1590">
            <v>0</v>
          </cell>
          <cell r="AJ1590">
            <v>0</v>
          </cell>
          <cell r="AK1590">
            <v>0</v>
          </cell>
          <cell r="AL1590">
            <v>0</v>
          </cell>
        </row>
        <row r="1591">
          <cell r="E1591" t="str">
            <v>CEE 3.5sq-30C</v>
          </cell>
          <cell r="F1591" t="str">
            <v>ｍ</v>
          </cell>
          <cell r="G1591">
            <v>0</v>
          </cell>
          <cell r="H1591">
            <v>1901</v>
          </cell>
          <cell r="I1591">
            <v>0</v>
          </cell>
          <cell r="J1591">
            <v>1931</v>
          </cell>
          <cell r="K1591">
            <v>0</v>
          </cell>
          <cell r="L1591">
            <v>1931</v>
          </cell>
          <cell r="M1591">
            <v>0</v>
          </cell>
          <cell r="N1591">
            <v>1872</v>
          </cell>
          <cell r="O1591">
            <v>0</v>
          </cell>
          <cell r="P1591">
            <v>1827</v>
          </cell>
          <cell r="Q1591">
            <v>0</v>
          </cell>
          <cell r="R1591">
            <v>1901</v>
          </cell>
          <cell r="S1591">
            <v>0</v>
          </cell>
          <cell r="T1591">
            <v>1901</v>
          </cell>
          <cell r="U1591">
            <v>0</v>
          </cell>
          <cell r="V1591">
            <v>1931</v>
          </cell>
          <cell r="W1591">
            <v>0</v>
          </cell>
          <cell r="X1591">
            <v>1872</v>
          </cell>
          <cell r="Y1591">
            <v>0</v>
          </cell>
          <cell r="Z1591">
            <v>1931</v>
          </cell>
          <cell r="AA1591">
            <v>0</v>
          </cell>
          <cell r="AB1591">
            <v>0</v>
          </cell>
          <cell r="AC1591">
            <v>0</v>
          </cell>
          <cell r="AD1591">
            <v>9.0999999999999998E-2</v>
          </cell>
          <cell r="AE1591">
            <v>0</v>
          </cell>
          <cell r="AF1591">
            <v>0</v>
          </cell>
          <cell r="AG1591">
            <v>0</v>
          </cell>
          <cell r="AH1591">
            <v>0</v>
          </cell>
          <cell r="AI1591">
            <v>0</v>
          </cell>
          <cell r="AJ1591">
            <v>0</v>
          </cell>
          <cell r="AK1591">
            <v>0</v>
          </cell>
          <cell r="AL1591">
            <v>0</v>
          </cell>
        </row>
        <row r="1592">
          <cell r="E1592" t="str">
            <v>CVVS 1.25sq-2C</v>
          </cell>
          <cell r="F1592" t="str">
            <v>ｍ</v>
          </cell>
          <cell r="G1592">
            <v>0</v>
          </cell>
          <cell r="H1592">
            <v>127</v>
          </cell>
          <cell r="I1592">
            <v>0</v>
          </cell>
          <cell r="J1592">
            <v>127</v>
          </cell>
          <cell r="K1592">
            <v>0</v>
          </cell>
          <cell r="L1592">
            <v>127</v>
          </cell>
          <cell r="M1592">
            <v>0</v>
          </cell>
          <cell r="N1592">
            <v>127</v>
          </cell>
          <cell r="O1592">
            <v>0</v>
          </cell>
          <cell r="P1592">
            <v>127</v>
          </cell>
          <cell r="Q1592">
            <v>0</v>
          </cell>
          <cell r="R1592">
            <v>127</v>
          </cell>
          <cell r="S1592">
            <v>0</v>
          </cell>
          <cell r="T1592">
            <v>127</v>
          </cell>
          <cell r="U1592">
            <v>0</v>
          </cell>
          <cell r="V1592">
            <v>127</v>
          </cell>
          <cell r="W1592">
            <v>0</v>
          </cell>
          <cell r="X1592">
            <v>127</v>
          </cell>
          <cell r="Y1592">
            <v>0</v>
          </cell>
          <cell r="Z1592">
            <v>127</v>
          </cell>
          <cell r="AA1592">
            <v>0</v>
          </cell>
          <cell r="AB1592">
            <v>0</v>
          </cell>
          <cell r="AC1592">
            <v>0</v>
          </cell>
          <cell r="AD1592">
            <v>1.4999999999999999E-2</v>
          </cell>
          <cell r="AE1592">
            <v>0</v>
          </cell>
          <cell r="AF1592">
            <v>0</v>
          </cell>
          <cell r="AG1592">
            <v>0</v>
          </cell>
          <cell r="AH1592">
            <v>0</v>
          </cell>
          <cell r="AI1592">
            <v>0</v>
          </cell>
          <cell r="AJ1592">
            <v>0</v>
          </cell>
          <cell r="AK1592">
            <v>0</v>
          </cell>
          <cell r="AL1592">
            <v>0</v>
          </cell>
        </row>
        <row r="1593">
          <cell r="E1593" t="str">
            <v>CVVS 2sq-2C</v>
          </cell>
          <cell r="F1593" t="str">
            <v>ｍ</v>
          </cell>
          <cell r="G1593">
            <v>0</v>
          </cell>
          <cell r="H1593">
            <v>153</v>
          </cell>
          <cell r="I1593">
            <v>0</v>
          </cell>
          <cell r="J1593">
            <v>153</v>
          </cell>
          <cell r="K1593">
            <v>0</v>
          </cell>
          <cell r="L1593">
            <v>153</v>
          </cell>
          <cell r="M1593">
            <v>0</v>
          </cell>
          <cell r="N1593">
            <v>153</v>
          </cell>
          <cell r="O1593">
            <v>0</v>
          </cell>
          <cell r="P1593">
            <v>153</v>
          </cell>
          <cell r="Q1593">
            <v>0</v>
          </cell>
          <cell r="R1593">
            <v>153</v>
          </cell>
          <cell r="S1593">
            <v>0</v>
          </cell>
          <cell r="T1593">
            <v>153</v>
          </cell>
          <cell r="U1593">
            <v>0</v>
          </cell>
          <cell r="V1593">
            <v>153</v>
          </cell>
          <cell r="W1593">
            <v>0</v>
          </cell>
          <cell r="X1593">
            <v>153</v>
          </cell>
          <cell r="Y1593">
            <v>0</v>
          </cell>
          <cell r="Z1593">
            <v>153</v>
          </cell>
          <cell r="AA1593">
            <v>0</v>
          </cell>
          <cell r="AB1593">
            <v>0</v>
          </cell>
          <cell r="AC1593">
            <v>0</v>
          </cell>
          <cell r="AD1593">
            <v>1.7000000000000001E-2</v>
          </cell>
          <cell r="AE1593">
            <v>0</v>
          </cell>
          <cell r="AF1593">
            <v>0</v>
          </cell>
          <cell r="AG1593">
            <v>0</v>
          </cell>
          <cell r="AH1593">
            <v>0</v>
          </cell>
          <cell r="AI1593">
            <v>0</v>
          </cell>
          <cell r="AJ1593">
            <v>0</v>
          </cell>
          <cell r="AK1593">
            <v>0</v>
          </cell>
          <cell r="AL1593">
            <v>0</v>
          </cell>
        </row>
        <row r="1594">
          <cell r="E1594" t="str">
            <v>CVVS 3.5sq-2C</v>
          </cell>
          <cell r="F1594" t="str">
            <v>ｍ</v>
          </cell>
          <cell r="G1594">
            <v>0</v>
          </cell>
          <cell r="H1594">
            <v>193</v>
          </cell>
          <cell r="I1594">
            <v>0</v>
          </cell>
          <cell r="J1594">
            <v>193</v>
          </cell>
          <cell r="K1594">
            <v>0</v>
          </cell>
          <cell r="L1594">
            <v>193</v>
          </cell>
          <cell r="M1594">
            <v>0</v>
          </cell>
          <cell r="N1594">
            <v>193</v>
          </cell>
          <cell r="O1594">
            <v>0</v>
          </cell>
          <cell r="P1594">
            <v>193</v>
          </cell>
          <cell r="Q1594">
            <v>0</v>
          </cell>
          <cell r="R1594">
            <v>193</v>
          </cell>
          <cell r="S1594">
            <v>0</v>
          </cell>
          <cell r="T1594">
            <v>193</v>
          </cell>
          <cell r="U1594">
            <v>0</v>
          </cell>
          <cell r="V1594">
            <v>193</v>
          </cell>
          <cell r="W1594">
            <v>0</v>
          </cell>
          <cell r="X1594">
            <v>193</v>
          </cell>
          <cell r="Y1594">
            <v>0</v>
          </cell>
          <cell r="Z1594">
            <v>193</v>
          </cell>
          <cell r="AA1594">
            <v>0</v>
          </cell>
          <cell r="AB1594">
            <v>0</v>
          </cell>
          <cell r="AC1594">
            <v>0</v>
          </cell>
          <cell r="AD1594">
            <v>1.7999999999999999E-2</v>
          </cell>
          <cell r="AE1594">
            <v>0</v>
          </cell>
          <cell r="AF1594">
            <v>0</v>
          </cell>
          <cell r="AG1594">
            <v>0</v>
          </cell>
          <cell r="AH1594">
            <v>0</v>
          </cell>
          <cell r="AI1594">
            <v>0</v>
          </cell>
          <cell r="AJ1594">
            <v>0</v>
          </cell>
          <cell r="AK1594">
            <v>0</v>
          </cell>
          <cell r="AL1594">
            <v>0</v>
          </cell>
        </row>
        <row r="1595">
          <cell r="E1595" t="str">
            <v>CVVS 5.5sq-2C</v>
          </cell>
          <cell r="F1595" t="str">
            <v>ｍ</v>
          </cell>
          <cell r="G1595">
            <v>0</v>
          </cell>
          <cell r="H1595">
            <v>253</v>
          </cell>
          <cell r="I1595">
            <v>0</v>
          </cell>
          <cell r="J1595">
            <v>253</v>
          </cell>
          <cell r="K1595">
            <v>0</v>
          </cell>
          <cell r="L1595">
            <v>253</v>
          </cell>
          <cell r="M1595">
            <v>0</v>
          </cell>
          <cell r="N1595">
            <v>253</v>
          </cell>
          <cell r="O1595">
            <v>0</v>
          </cell>
          <cell r="P1595">
            <v>253</v>
          </cell>
          <cell r="Q1595">
            <v>0</v>
          </cell>
          <cell r="R1595">
            <v>253</v>
          </cell>
          <cell r="S1595">
            <v>0</v>
          </cell>
          <cell r="T1595">
            <v>253</v>
          </cell>
          <cell r="U1595">
            <v>0</v>
          </cell>
          <cell r="V1595">
            <v>253</v>
          </cell>
          <cell r="W1595">
            <v>0</v>
          </cell>
          <cell r="X1595">
            <v>253</v>
          </cell>
          <cell r="Y1595">
            <v>0</v>
          </cell>
          <cell r="Z1595">
            <v>253</v>
          </cell>
          <cell r="AA1595">
            <v>0</v>
          </cell>
          <cell r="AB1595">
            <v>0</v>
          </cell>
          <cell r="AC1595">
            <v>0</v>
          </cell>
          <cell r="AD1595">
            <v>2.1000000000000001E-2</v>
          </cell>
          <cell r="AE1595">
            <v>0</v>
          </cell>
          <cell r="AF1595">
            <v>0</v>
          </cell>
          <cell r="AG1595">
            <v>0</v>
          </cell>
          <cell r="AH1595">
            <v>0</v>
          </cell>
          <cell r="AI1595">
            <v>0</v>
          </cell>
          <cell r="AJ1595">
            <v>0</v>
          </cell>
          <cell r="AK1595">
            <v>0</v>
          </cell>
          <cell r="AL1595">
            <v>0</v>
          </cell>
        </row>
        <row r="1596">
          <cell r="E1596" t="str">
            <v>CVVS 1.25sq-3C</v>
          </cell>
          <cell r="F1596" t="str">
            <v>ｍ</v>
          </cell>
          <cell r="G1596">
            <v>0</v>
          </cell>
          <cell r="H1596">
            <v>153</v>
          </cell>
          <cell r="I1596">
            <v>0</v>
          </cell>
          <cell r="J1596">
            <v>153</v>
          </cell>
          <cell r="K1596">
            <v>0</v>
          </cell>
          <cell r="L1596">
            <v>153</v>
          </cell>
          <cell r="M1596">
            <v>0</v>
          </cell>
          <cell r="N1596">
            <v>153</v>
          </cell>
          <cell r="O1596">
            <v>0</v>
          </cell>
          <cell r="P1596">
            <v>153</v>
          </cell>
          <cell r="Q1596">
            <v>0</v>
          </cell>
          <cell r="R1596">
            <v>153</v>
          </cell>
          <cell r="S1596">
            <v>0</v>
          </cell>
          <cell r="T1596">
            <v>153</v>
          </cell>
          <cell r="U1596">
            <v>0</v>
          </cell>
          <cell r="V1596">
            <v>153</v>
          </cell>
          <cell r="W1596">
            <v>0</v>
          </cell>
          <cell r="X1596">
            <v>153</v>
          </cell>
          <cell r="Y1596">
            <v>0</v>
          </cell>
          <cell r="Z1596">
            <v>153</v>
          </cell>
          <cell r="AA1596">
            <v>0</v>
          </cell>
          <cell r="AB1596">
            <v>0</v>
          </cell>
          <cell r="AC1596">
            <v>0</v>
          </cell>
          <cell r="AD1596">
            <v>1.9E-2</v>
          </cell>
          <cell r="AE1596">
            <v>0</v>
          </cell>
          <cell r="AF1596">
            <v>0</v>
          </cell>
          <cell r="AG1596">
            <v>0</v>
          </cell>
          <cell r="AH1596">
            <v>0</v>
          </cell>
          <cell r="AI1596">
            <v>0</v>
          </cell>
          <cell r="AJ1596">
            <v>0</v>
          </cell>
          <cell r="AK1596">
            <v>0</v>
          </cell>
          <cell r="AL1596">
            <v>0</v>
          </cell>
        </row>
        <row r="1597">
          <cell r="E1597" t="str">
            <v>CVVS 2sq-3C</v>
          </cell>
          <cell r="F1597" t="str">
            <v>ｍ</v>
          </cell>
          <cell r="G1597">
            <v>0</v>
          </cell>
          <cell r="H1597">
            <v>183</v>
          </cell>
          <cell r="I1597">
            <v>0</v>
          </cell>
          <cell r="J1597">
            <v>183</v>
          </cell>
          <cell r="K1597">
            <v>0</v>
          </cell>
          <cell r="L1597">
            <v>183</v>
          </cell>
          <cell r="M1597">
            <v>0</v>
          </cell>
          <cell r="N1597">
            <v>183</v>
          </cell>
          <cell r="O1597">
            <v>0</v>
          </cell>
          <cell r="P1597">
            <v>183</v>
          </cell>
          <cell r="Q1597">
            <v>0</v>
          </cell>
          <cell r="R1597">
            <v>183</v>
          </cell>
          <cell r="S1597">
            <v>0</v>
          </cell>
          <cell r="T1597">
            <v>183</v>
          </cell>
          <cell r="U1597">
            <v>0</v>
          </cell>
          <cell r="V1597">
            <v>183</v>
          </cell>
          <cell r="W1597">
            <v>0</v>
          </cell>
          <cell r="X1597">
            <v>183</v>
          </cell>
          <cell r="Y1597">
            <v>0</v>
          </cell>
          <cell r="Z1597">
            <v>183</v>
          </cell>
          <cell r="AA1597">
            <v>0</v>
          </cell>
          <cell r="AB1597">
            <v>0</v>
          </cell>
          <cell r="AC1597">
            <v>0</v>
          </cell>
          <cell r="AD1597">
            <v>2.1000000000000001E-2</v>
          </cell>
          <cell r="AE1597">
            <v>0</v>
          </cell>
          <cell r="AF1597">
            <v>0</v>
          </cell>
          <cell r="AG1597">
            <v>0</v>
          </cell>
          <cell r="AH1597">
            <v>0</v>
          </cell>
          <cell r="AI1597">
            <v>0</v>
          </cell>
          <cell r="AJ1597">
            <v>0</v>
          </cell>
          <cell r="AK1597">
            <v>0</v>
          </cell>
          <cell r="AL1597">
            <v>0</v>
          </cell>
        </row>
        <row r="1598">
          <cell r="E1598" t="str">
            <v>CVVS 3.5sq-3C</v>
          </cell>
          <cell r="F1598" t="str">
            <v>ｍ</v>
          </cell>
          <cell r="G1598">
            <v>0</v>
          </cell>
          <cell r="H1598">
            <v>246</v>
          </cell>
          <cell r="I1598">
            <v>0</v>
          </cell>
          <cell r="J1598">
            <v>246</v>
          </cell>
          <cell r="K1598">
            <v>0</v>
          </cell>
          <cell r="L1598">
            <v>246</v>
          </cell>
          <cell r="M1598">
            <v>0</v>
          </cell>
          <cell r="N1598">
            <v>246</v>
          </cell>
          <cell r="O1598">
            <v>0</v>
          </cell>
          <cell r="P1598">
            <v>246</v>
          </cell>
          <cell r="Q1598">
            <v>0</v>
          </cell>
          <cell r="R1598">
            <v>246</v>
          </cell>
          <cell r="S1598">
            <v>0</v>
          </cell>
          <cell r="T1598">
            <v>246</v>
          </cell>
          <cell r="U1598">
            <v>0</v>
          </cell>
          <cell r="V1598">
            <v>246</v>
          </cell>
          <cell r="W1598">
            <v>0</v>
          </cell>
          <cell r="X1598">
            <v>246</v>
          </cell>
          <cell r="Y1598">
            <v>0</v>
          </cell>
          <cell r="Z1598">
            <v>246</v>
          </cell>
          <cell r="AA1598">
            <v>0</v>
          </cell>
          <cell r="AB1598">
            <v>0</v>
          </cell>
          <cell r="AC1598">
            <v>0</v>
          </cell>
          <cell r="AD1598">
            <v>2.4E-2</v>
          </cell>
          <cell r="AE1598">
            <v>0</v>
          </cell>
          <cell r="AF1598">
            <v>0</v>
          </cell>
          <cell r="AG1598">
            <v>0</v>
          </cell>
          <cell r="AH1598">
            <v>0</v>
          </cell>
          <cell r="AI1598">
            <v>0</v>
          </cell>
          <cell r="AJ1598">
            <v>0</v>
          </cell>
          <cell r="AK1598">
            <v>0</v>
          </cell>
          <cell r="AL1598">
            <v>0</v>
          </cell>
        </row>
        <row r="1599">
          <cell r="E1599" t="str">
            <v>CVVS 5.5sq-3C</v>
          </cell>
          <cell r="F1599" t="str">
            <v>ｍ</v>
          </cell>
          <cell r="G1599">
            <v>0</v>
          </cell>
          <cell r="H1599">
            <v>326</v>
          </cell>
          <cell r="I1599">
            <v>0</v>
          </cell>
          <cell r="J1599">
            <v>326</v>
          </cell>
          <cell r="K1599">
            <v>0</v>
          </cell>
          <cell r="L1599">
            <v>326</v>
          </cell>
          <cell r="M1599">
            <v>0</v>
          </cell>
          <cell r="N1599">
            <v>326</v>
          </cell>
          <cell r="O1599">
            <v>0</v>
          </cell>
          <cell r="P1599">
            <v>326</v>
          </cell>
          <cell r="Q1599">
            <v>0</v>
          </cell>
          <cell r="R1599">
            <v>326</v>
          </cell>
          <cell r="S1599">
            <v>0</v>
          </cell>
          <cell r="T1599">
            <v>326</v>
          </cell>
          <cell r="U1599">
            <v>0</v>
          </cell>
          <cell r="V1599">
            <v>326</v>
          </cell>
          <cell r="W1599">
            <v>0</v>
          </cell>
          <cell r="X1599">
            <v>326</v>
          </cell>
          <cell r="Y1599">
            <v>0</v>
          </cell>
          <cell r="Z1599">
            <v>326</v>
          </cell>
          <cell r="AA1599">
            <v>0</v>
          </cell>
          <cell r="AB1599">
            <v>0</v>
          </cell>
          <cell r="AC1599">
            <v>0</v>
          </cell>
          <cell r="AD1599">
            <v>0.03</v>
          </cell>
          <cell r="AE1599">
            <v>0</v>
          </cell>
          <cell r="AF1599">
            <v>0</v>
          </cell>
          <cell r="AG1599">
            <v>0</v>
          </cell>
          <cell r="AH1599">
            <v>0</v>
          </cell>
          <cell r="AI1599">
            <v>0</v>
          </cell>
          <cell r="AJ1599">
            <v>0</v>
          </cell>
          <cell r="AK1599">
            <v>0</v>
          </cell>
          <cell r="AL1599">
            <v>0</v>
          </cell>
        </row>
        <row r="1600">
          <cell r="E1600" t="str">
            <v>CVVS 1.25sq-4C</v>
          </cell>
          <cell r="F1600" t="str">
            <v>ｍ</v>
          </cell>
          <cell r="G1600">
            <v>0</v>
          </cell>
          <cell r="H1600">
            <v>181</v>
          </cell>
          <cell r="I1600">
            <v>0</v>
          </cell>
          <cell r="J1600">
            <v>181</v>
          </cell>
          <cell r="K1600">
            <v>0</v>
          </cell>
          <cell r="L1600">
            <v>181</v>
          </cell>
          <cell r="M1600">
            <v>0</v>
          </cell>
          <cell r="N1600">
            <v>181</v>
          </cell>
          <cell r="O1600">
            <v>0</v>
          </cell>
          <cell r="P1600">
            <v>181</v>
          </cell>
          <cell r="Q1600">
            <v>0</v>
          </cell>
          <cell r="R1600">
            <v>181</v>
          </cell>
          <cell r="S1600">
            <v>0</v>
          </cell>
          <cell r="T1600">
            <v>181</v>
          </cell>
          <cell r="U1600">
            <v>0</v>
          </cell>
          <cell r="V1600">
            <v>181</v>
          </cell>
          <cell r="W1600">
            <v>0</v>
          </cell>
          <cell r="X1600">
            <v>181</v>
          </cell>
          <cell r="Y1600">
            <v>0</v>
          </cell>
          <cell r="Z1600">
            <v>181</v>
          </cell>
          <cell r="AA1600">
            <v>0</v>
          </cell>
          <cell r="AB1600">
            <v>0</v>
          </cell>
          <cell r="AC1600">
            <v>0</v>
          </cell>
          <cell r="AD1600">
            <v>2.1999999999999999E-2</v>
          </cell>
          <cell r="AE1600">
            <v>0</v>
          </cell>
          <cell r="AF1600">
            <v>0</v>
          </cell>
          <cell r="AG1600">
            <v>0</v>
          </cell>
          <cell r="AH1600">
            <v>0</v>
          </cell>
          <cell r="AI1600">
            <v>0</v>
          </cell>
          <cell r="AJ1600">
            <v>0</v>
          </cell>
          <cell r="AK1600">
            <v>0</v>
          </cell>
          <cell r="AL1600">
            <v>0</v>
          </cell>
        </row>
        <row r="1601">
          <cell r="E1601" t="str">
            <v>CVVS 2sq-4C</v>
          </cell>
          <cell r="F1601" t="str">
            <v>ｍ</v>
          </cell>
          <cell r="G1601">
            <v>0</v>
          </cell>
          <cell r="H1601">
            <v>225</v>
          </cell>
          <cell r="I1601">
            <v>0</v>
          </cell>
          <cell r="J1601">
            <v>225</v>
          </cell>
          <cell r="K1601">
            <v>0</v>
          </cell>
          <cell r="L1601">
            <v>225</v>
          </cell>
          <cell r="M1601">
            <v>0</v>
          </cell>
          <cell r="N1601">
            <v>225</v>
          </cell>
          <cell r="O1601">
            <v>0</v>
          </cell>
          <cell r="P1601">
            <v>225</v>
          </cell>
          <cell r="Q1601">
            <v>0</v>
          </cell>
          <cell r="R1601">
            <v>225</v>
          </cell>
          <cell r="S1601">
            <v>0</v>
          </cell>
          <cell r="T1601">
            <v>225</v>
          </cell>
          <cell r="U1601">
            <v>0</v>
          </cell>
          <cell r="V1601">
            <v>225</v>
          </cell>
          <cell r="W1601">
            <v>0</v>
          </cell>
          <cell r="X1601">
            <v>225</v>
          </cell>
          <cell r="Y1601">
            <v>0</v>
          </cell>
          <cell r="Z1601">
            <v>225</v>
          </cell>
          <cell r="AA1601">
            <v>0</v>
          </cell>
          <cell r="AB1601">
            <v>0</v>
          </cell>
          <cell r="AC1601">
            <v>0</v>
          </cell>
          <cell r="AD1601">
            <v>2.3E-2</v>
          </cell>
          <cell r="AE1601">
            <v>0</v>
          </cell>
          <cell r="AF1601">
            <v>0</v>
          </cell>
          <cell r="AG1601">
            <v>0</v>
          </cell>
          <cell r="AH1601">
            <v>0</v>
          </cell>
          <cell r="AI1601">
            <v>0</v>
          </cell>
          <cell r="AJ1601">
            <v>0</v>
          </cell>
          <cell r="AK1601">
            <v>0</v>
          </cell>
          <cell r="AL1601">
            <v>0</v>
          </cell>
        </row>
        <row r="1602">
          <cell r="E1602" t="str">
            <v>CVVS 3.5sq-4C</v>
          </cell>
          <cell r="F1602" t="str">
            <v>ｍ</v>
          </cell>
          <cell r="G1602">
            <v>0</v>
          </cell>
          <cell r="H1602">
            <v>302</v>
          </cell>
          <cell r="I1602">
            <v>0</v>
          </cell>
          <cell r="J1602">
            <v>302</v>
          </cell>
          <cell r="K1602">
            <v>0</v>
          </cell>
          <cell r="L1602">
            <v>302</v>
          </cell>
          <cell r="M1602">
            <v>0</v>
          </cell>
          <cell r="N1602">
            <v>302</v>
          </cell>
          <cell r="O1602">
            <v>0</v>
          </cell>
          <cell r="P1602">
            <v>302</v>
          </cell>
          <cell r="Q1602">
            <v>0</v>
          </cell>
          <cell r="R1602">
            <v>302</v>
          </cell>
          <cell r="S1602">
            <v>0</v>
          </cell>
          <cell r="T1602">
            <v>302</v>
          </cell>
          <cell r="U1602">
            <v>0</v>
          </cell>
          <cell r="V1602">
            <v>302</v>
          </cell>
          <cell r="W1602">
            <v>0</v>
          </cell>
          <cell r="X1602">
            <v>302</v>
          </cell>
          <cell r="Y1602">
            <v>0</v>
          </cell>
          <cell r="Z1602">
            <v>302</v>
          </cell>
          <cell r="AA1602">
            <v>0</v>
          </cell>
          <cell r="AB1602">
            <v>0</v>
          </cell>
          <cell r="AC1602">
            <v>0</v>
          </cell>
          <cell r="AD1602">
            <v>2.8000000000000001E-2</v>
          </cell>
          <cell r="AE1602">
            <v>0</v>
          </cell>
          <cell r="AF1602">
            <v>0</v>
          </cell>
          <cell r="AG1602">
            <v>0</v>
          </cell>
          <cell r="AH1602">
            <v>0</v>
          </cell>
          <cell r="AI1602">
            <v>0</v>
          </cell>
          <cell r="AJ1602">
            <v>0</v>
          </cell>
          <cell r="AK1602">
            <v>0</v>
          </cell>
          <cell r="AL1602">
            <v>0</v>
          </cell>
        </row>
        <row r="1603">
          <cell r="E1603" t="str">
            <v>CVVS 5.5sq-4C</v>
          </cell>
          <cell r="F1603" t="str">
            <v>ｍ</v>
          </cell>
          <cell r="G1603">
            <v>0</v>
          </cell>
          <cell r="H1603">
            <v>409</v>
          </cell>
          <cell r="I1603">
            <v>0</v>
          </cell>
          <cell r="J1603">
            <v>409</v>
          </cell>
          <cell r="K1603">
            <v>0</v>
          </cell>
          <cell r="L1603">
            <v>409</v>
          </cell>
          <cell r="M1603">
            <v>0</v>
          </cell>
          <cell r="N1603">
            <v>409</v>
          </cell>
          <cell r="O1603">
            <v>0</v>
          </cell>
          <cell r="P1603">
            <v>409</v>
          </cell>
          <cell r="Q1603">
            <v>0</v>
          </cell>
          <cell r="R1603">
            <v>409</v>
          </cell>
          <cell r="S1603">
            <v>0</v>
          </cell>
          <cell r="T1603">
            <v>409</v>
          </cell>
          <cell r="U1603">
            <v>0</v>
          </cell>
          <cell r="V1603">
            <v>409</v>
          </cell>
          <cell r="W1603">
            <v>0</v>
          </cell>
          <cell r="X1603">
            <v>409</v>
          </cell>
          <cell r="Y1603">
            <v>0</v>
          </cell>
          <cell r="Z1603">
            <v>409</v>
          </cell>
          <cell r="AA1603">
            <v>0</v>
          </cell>
          <cell r="AB1603">
            <v>0</v>
          </cell>
          <cell r="AC1603">
            <v>0</v>
          </cell>
          <cell r="AD1603">
            <v>3.4000000000000002E-2</v>
          </cell>
          <cell r="AE1603">
            <v>0</v>
          </cell>
          <cell r="AF1603">
            <v>0</v>
          </cell>
          <cell r="AG1603">
            <v>0</v>
          </cell>
          <cell r="AH1603">
            <v>0</v>
          </cell>
          <cell r="AI1603">
            <v>0</v>
          </cell>
          <cell r="AJ1603">
            <v>0</v>
          </cell>
          <cell r="AK1603">
            <v>0</v>
          </cell>
          <cell r="AL1603">
            <v>0</v>
          </cell>
        </row>
        <row r="1604">
          <cell r="E1604" t="str">
            <v>CVVS 1.25sq-5C</v>
          </cell>
          <cell r="F1604" t="str">
            <v>ｍ</v>
          </cell>
          <cell r="G1604">
            <v>0</v>
          </cell>
          <cell r="H1604">
            <v>199</v>
          </cell>
          <cell r="I1604">
            <v>0</v>
          </cell>
          <cell r="J1604">
            <v>199</v>
          </cell>
          <cell r="K1604">
            <v>0</v>
          </cell>
          <cell r="L1604">
            <v>199</v>
          </cell>
          <cell r="M1604">
            <v>0</v>
          </cell>
          <cell r="N1604">
            <v>199</v>
          </cell>
          <cell r="O1604">
            <v>0</v>
          </cell>
          <cell r="P1604">
            <v>199</v>
          </cell>
          <cell r="Q1604">
            <v>0</v>
          </cell>
          <cell r="R1604">
            <v>199</v>
          </cell>
          <cell r="S1604">
            <v>0</v>
          </cell>
          <cell r="T1604">
            <v>199</v>
          </cell>
          <cell r="U1604">
            <v>0</v>
          </cell>
          <cell r="V1604">
            <v>199</v>
          </cell>
          <cell r="W1604">
            <v>0</v>
          </cell>
          <cell r="X1604">
            <v>199</v>
          </cell>
          <cell r="Y1604">
            <v>0</v>
          </cell>
          <cell r="Z1604">
            <v>199</v>
          </cell>
          <cell r="AA1604">
            <v>0</v>
          </cell>
          <cell r="AB1604">
            <v>0</v>
          </cell>
          <cell r="AC1604">
            <v>0</v>
          </cell>
          <cell r="AD1604">
            <v>2.5000000000000001E-2</v>
          </cell>
          <cell r="AE1604">
            <v>0</v>
          </cell>
          <cell r="AF1604">
            <v>0</v>
          </cell>
          <cell r="AG1604">
            <v>0</v>
          </cell>
          <cell r="AH1604">
            <v>0</v>
          </cell>
          <cell r="AI1604">
            <v>0</v>
          </cell>
          <cell r="AJ1604">
            <v>0</v>
          </cell>
          <cell r="AK1604">
            <v>0</v>
          </cell>
          <cell r="AL1604">
            <v>0</v>
          </cell>
        </row>
        <row r="1605">
          <cell r="E1605" t="str">
            <v>CVVS 2sq-5C</v>
          </cell>
          <cell r="F1605" t="str">
            <v>ｍ</v>
          </cell>
          <cell r="G1605">
            <v>0</v>
          </cell>
          <cell r="H1605">
            <v>252</v>
          </cell>
          <cell r="I1605">
            <v>0</v>
          </cell>
          <cell r="J1605">
            <v>252</v>
          </cell>
          <cell r="K1605">
            <v>0</v>
          </cell>
          <cell r="L1605">
            <v>252</v>
          </cell>
          <cell r="M1605">
            <v>0</v>
          </cell>
          <cell r="N1605">
            <v>252</v>
          </cell>
          <cell r="O1605">
            <v>0</v>
          </cell>
          <cell r="P1605">
            <v>252</v>
          </cell>
          <cell r="Q1605">
            <v>0</v>
          </cell>
          <cell r="R1605">
            <v>252</v>
          </cell>
          <cell r="S1605">
            <v>0</v>
          </cell>
          <cell r="T1605">
            <v>252</v>
          </cell>
          <cell r="U1605">
            <v>0</v>
          </cell>
          <cell r="V1605">
            <v>252</v>
          </cell>
          <cell r="W1605">
            <v>0</v>
          </cell>
          <cell r="X1605">
            <v>252</v>
          </cell>
          <cell r="Y1605">
            <v>0</v>
          </cell>
          <cell r="Z1605">
            <v>252</v>
          </cell>
          <cell r="AA1605">
            <v>0</v>
          </cell>
          <cell r="AB1605">
            <v>0</v>
          </cell>
          <cell r="AC1605">
            <v>0</v>
          </cell>
          <cell r="AD1605">
            <v>2.8000000000000001E-2</v>
          </cell>
          <cell r="AE1605">
            <v>0</v>
          </cell>
          <cell r="AF1605">
            <v>0</v>
          </cell>
          <cell r="AG1605">
            <v>0</v>
          </cell>
          <cell r="AH1605">
            <v>0</v>
          </cell>
          <cell r="AI1605">
            <v>0</v>
          </cell>
          <cell r="AJ1605">
            <v>0</v>
          </cell>
          <cell r="AK1605">
            <v>0</v>
          </cell>
          <cell r="AL1605">
            <v>0</v>
          </cell>
        </row>
        <row r="1606">
          <cell r="E1606" t="str">
            <v>CVVS 3.5sq-5C</v>
          </cell>
          <cell r="F1606" t="str">
            <v>ｍ</v>
          </cell>
          <cell r="G1606">
            <v>0</v>
          </cell>
          <cell r="H1606">
            <v>347</v>
          </cell>
          <cell r="I1606">
            <v>0</v>
          </cell>
          <cell r="J1606">
            <v>347</v>
          </cell>
          <cell r="K1606">
            <v>0</v>
          </cell>
          <cell r="L1606">
            <v>347</v>
          </cell>
          <cell r="M1606">
            <v>0</v>
          </cell>
          <cell r="N1606">
            <v>347</v>
          </cell>
          <cell r="O1606">
            <v>0</v>
          </cell>
          <cell r="P1606">
            <v>347</v>
          </cell>
          <cell r="Q1606">
            <v>0</v>
          </cell>
          <cell r="R1606">
            <v>347</v>
          </cell>
          <cell r="S1606">
            <v>0</v>
          </cell>
          <cell r="T1606">
            <v>347</v>
          </cell>
          <cell r="U1606">
            <v>0</v>
          </cell>
          <cell r="V1606">
            <v>347</v>
          </cell>
          <cell r="W1606">
            <v>0</v>
          </cell>
          <cell r="X1606">
            <v>347</v>
          </cell>
          <cell r="Y1606">
            <v>0</v>
          </cell>
          <cell r="Z1606">
            <v>347</v>
          </cell>
          <cell r="AA1606">
            <v>0</v>
          </cell>
          <cell r="AB1606">
            <v>0</v>
          </cell>
          <cell r="AC1606">
            <v>0</v>
          </cell>
          <cell r="AD1606">
            <v>0.03</v>
          </cell>
          <cell r="AE1606">
            <v>0</v>
          </cell>
          <cell r="AF1606">
            <v>0</v>
          </cell>
          <cell r="AG1606">
            <v>0</v>
          </cell>
          <cell r="AH1606">
            <v>0</v>
          </cell>
          <cell r="AI1606">
            <v>0</v>
          </cell>
          <cell r="AJ1606">
            <v>0</v>
          </cell>
          <cell r="AK1606">
            <v>0</v>
          </cell>
          <cell r="AL1606">
            <v>0</v>
          </cell>
        </row>
        <row r="1607">
          <cell r="E1607" t="str">
            <v>CVVS 5.5sq-5C</v>
          </cell>
          <cell r="F1607" t="str">
            <v>ｍ</v>
          </cell>
          <cell r="G1607">
            <v>0</v>
          </cell>
          <cell r="H1607">
            <v>498</v>
          </cell>
          <cell r="I1607">
            <v>0</v>
          </cell>
          <cell r="J1607">
            <v>498</v>
          </cell>
          <cell r="K1607">
            <v>0</v>
          </cell>
          <cell r="L1607">
            <v>498</v>
          </cell>
          <cell r="M1607">
            <v>0</v>
          </cell>
          <cell r="N1607">
            <v>498</v>
          </cell>
          <cell r="O1607">
            <v>0</v>
          </cell>
          <cell r="P1607">
            <v>498</v>
          </cell>
          <cell r="Q1607">
            <v>0</v>
          </cell>
          <cell r="R1607">
            <v>498</v>
          </cell>
          <cell r="S1607">
            <v>0</v>
          </cell>
          <cell r="T1607">
            <v>498</v>
          </cell>
          <cell r="U1607">
            <v>0</v>
          </cell>
          <cell r="V1607">
            <v>498</v>
          </cell>
          <cell r="W1607">
            <v>0</v>
          </cell>
          <cell r="X1607">
            <v>498</v>
          </cell>
          <cell r="Y1607">
            <v>0</v>
          </cell>
          <cell r="Z1607">
            <v>498</v>
          </cell>
          <cell r="AA1607">
            <v>0</v>
          </cell>
          <cell r="AB1607">
            <v>0</v>
          </cell>
          <cell r="AC1607">
            <v>0</v>
          </cell>
          <cell r="AD1607">
            <v>3.6999999999999998E-2</v>
          </cell>
          <cell r="AE1607">
            <v>0</v>
          </cell>
          <cell r="AF1607">
            <v>0</v>
          </cell>
          <cell r="AG1607">
            <v>0</v>
          </cell>
          <cell r="AH1607">
            <v>0</v>
          </cell>
          <cell r="AI1607">
            <v>0</v>
          </cell>
          <cell r="AJ1607">
            <v>0</v>
          </cell>
          <cell r="AK1607">
            <v>0</v>
          </cell>
          <cell r="AL1607">
            <v>0</v>
          </cell>
        </row>
        <row r="1608">
          <cell r="E1608" t="str">
            <v>CVVS 1.25sq-6C</v>
          </cell>
          <cell r="F1608" t="str">
            <v>ｍ</v>
          </cell>
          <cell r="G1608">
            <v>0</v>
          </cell>
          <cell r="H1608">
            <v>225</v>
          </cell>
          <cell r="I1608">
            <v>0</v>
          </cell>
          <cell r="J1608">
            <v>225</v>
          </cell>
          <cell r="K1608">
            <v>0</v>
          </cell>
          <cell r="L1608">
            <v>225</v>
          </cell>
          <cell r="M1608">
            <v>0</v>
          </cell>
          <cell r="N1608">
            <v>225</v>
          </cell>
          <cell r="O1608">
            <v>0</v>
          </cell>
          <cell r="P1608">
            <v>225</v>
          </cell>
          <cell r="Q1608">
            <v>0</v>
          </cell>
          <cell r="R1608">
            <v>225</v>
          </cell>
          <cell r="S1608">
            <v>0</v>
          </cell>
          <cell r="T1608">
            <v>225</v>
          </cell>
          <cell r="U1608">
            <v>0</v>
          </cell>
          <cell r="V1608">
            <v>225</v>
          </cell>
          <cell r="W1608">
            <v>0</v>
          </cell>
          <cell r="X1608">
            <v>225</v>
          </cell>
          <cell r="Y1608">
            <v>0</v>
          </cell>
          <cell r="Z1608">
            <v>225</v>
          </cell>
          <cell r="AA1608">
            <v>0</v>
          </cell>
          <cell r="AB1608">
            <v>0</v>
          </cell>
          <cell r="AC1608">
            <v>0</v>
          </cell>
          <cell r="AD1608">
            <v>2.5000000000000001E-2</v>
          </cell>
          <cell r="AE1608">
            <v>0</v>
          </cell>
          <cell r="AF1608">
            <v>0</v>
          </cell>
          <cell r="AG1608">
            <v>0</v>
          </cell>
          <cell r="AH1608">
            <v>0</v>
          </cell>
          <cell r="AI1608">
            <v>0</v>
          </cell>
          <cell r="AJ1608">
            <v>0</v>
          </cell>
          <cell r="AK1608">
            <v>0</v>
          </cell>
          <cell r="AL1608">
            <v>0</v>
          </cell>
        </row>
        <row r="1609">
          <cell r="E1609" t="str">
            <v>CVVS 2sq-6C</v>
          </cell>
          <cell r="F1609" t="str">
            <v>ｍ</v>
          </cell>
          <cell r="G1609">
            <v>0</v>
          </cell>
          <cell r="H1609">
            <v>294</v>
          </cell>
          <cell r="I1609">
            <v>0</v>
          </cell>
          <cell r="J1609">
            <v>294</v>
          </cell>
          <cell r="K1609">
            <v>0</v>
          </cell>
          <cell r="L1609">
            <v>294</v>
          </cell>
          <cell r="M1609">
            <v>0</v>
          </cell>
          <cell r="N1609">
            <v>294</v>
          </cell>
          <cell r="O1609">
            <v>0</v>
          </cell>
          <cell r="P1609">
            <v>294</v>
          </cell>
          <cell r="Q1609">
            <v>0</v>
          </cell>
          <cell r="R1609">
            <v>294</v>
          </cell>
          <cell r="S1609">
            <v>0</v>
          </cell>
          <cell r="T1609">
            <v>294</v>
          </cell>
          <cell r="U1609">
            <v>0</v>
          </cell>
          <cell r="V1609">
            <v>294</v>
          </cell>
          <cell r="W1609">
            <v>0</v>
          </cell>
          <cell r="X1609">
            <v>294</v>
          </cell>
          <cell r="Y1609">
            <v>0</v>
          </cell>
          <cell r="Z1609">
            <v>294</v>
          </cell>
          <cell r="AA1609">
            <v>0</v>
          </cell>
          <cell r="AB1609">
            <v>0</v>
          </cell>
          <cell r="AC1609">
            <v>0</v>
          </cell>
          <cell r="AD1609">
            <v>2.8000000000000001E-2</v>
          </cell>
          <cell r="AE1609">
            <v>0</v>
          </cell>
          <cell r="AF1609">
            <v>0</v>
          </cell>
          <cell r="AG1609">
            <v>0</v>
          </cell>
          <cell r="AH1609">
            <v>0</v>
          </cell>
          <cell r="AI1609">
            <v>0</v>
          </cell>
          <cell r="AJ1609">
            <v>0</v>
          </cell>
          <cell r="AK1609">
            <v>0</v>
          </cell>
          <cell r="AL1609">
            <v>0</v>
          </cell>
        </row>
        <row r="1610">
          <cell r="E1610" t="str">
            <v>CVVS 3.5sq-6C</v>
          </cell>
          <cell r="F1610" t="str">
            <v>ｍ</v>
          </cell>
          <cell r="G1610">
            <v>0</v>
          </cell>
          <cell r="H1610">
            <v>405</v>
          </cell>
          <cell r="I1610">
            <v>0</v>
          </cell>
          <cell r="J1610">
            <v>405</v>
          </cell>
          <cell r="K1610">
            <v>0</v>
          </cell>
          <cell r="L1610">
            <v>405</v>
          </cell>
          <cell r="M1610">
            <v>0</v>
          </cell>
          <cell r="N1610">
            <v>405</v>
          </cell>
          <cell r="O1610">
            <v>0</v>
          </cell>
          <cell r="P1610">
            <v>405</v>
          </cell>
          <cell r="Q1610">
            <v>0</v>
          </cell>
          <cell r="R1610">
            <v>405</v>
          </cell>
          <cell r="S1610">
            <v>0</v>
          </cell>
          <cell r="T1610">
            <v>405</v>
          </cell>
          <cell r="U1610">
            <v>0</v>
          </cell>
          <cell r="V1610">
            <v>405</v>
          </cell>
          <cell r="W1610">
            <v>0</v>
          </cell>
          <cell r="X1610">
            <v>405</v>
          </cell>
          <cell r="Y1610">
            <v>0</v>
          </cell>
          <cell r="Z1610">
            <v>405</v>
          </cell>
          <cell r="AA1610">
            <v>0</v>
          </cell>
          <cell r="AB1610">
            <v>0</v>
          </cell>
          <cell r="AC1610">
            <v>0</v>
          </cell>
          <cell r="AD1610">
            <v>0.03</v>
          </cell>
          <cell r="AE1610">
            <v>0</v>
          </cell>
          <cell r="AF1610">
            <v>0</v>
          </cell>
          <cell r="AG1610">
            <v>0</v>
          </cell>
          <cell r="AH1610">
            <v>0</v>
          </cell>
          <cell r="AI1610">
            <v>0</v>
          </cell>
          <cell r="AJ1610">
            <v>0</v>
          </cell>
          <cell r="AK1610">
            <v>0</v>
          </cell>
          <cell r="AL1610">
            <v>0</v>
          </cell>
        </row>
        <row r="1611">
          <cell r="E1611" t="str">
            <v>CVVS 5.5sq-6C</v>
          </cell>
          <cell r="F1611" t="str">
            <v>ｍ</v>
          </cell>
          <cell r="G1611">
            <v>0</v>
          </cell>
          <cell r="H1611">
            <v>660</v>
          </cell>
          <cell r="I1611">
            <v>0</v>
          </cell>
          <cell r="J1611">
            <v>660</v>
          </cell>
          <cell r="K1611">
            <v>0</v>
          </cell>
          <cell r="L1611">
            <v>660</v>
          </cell>
          <cell r="M1611">
            <v>0</v>
          </cell>
          <cell r="N1611">
            <v>660</v>
          </cell>
          <cell r="O1611">
            <v>0</v>
          </cell>
          <cell r="P1611">
            <v>660</v>
          </cell>
          <cell r="Q1611">
            <v>0</v>
          </cell>
          <cell r="R1611">
            <v>660</v>
          </cell>
          <cell r="S1611">
            <v>0</v>
          </cell>
          <cell r="T1611">
            <v>660</v>
          </cell>
          <cell r="U1611">
            <v>0</v>
          </cell>
          <cell r="V1611">
            <v>660</v>
          </cell>
          <cell r="W1611">
            <v>0</v>
          </cell>
          <cell r="X1611">
            <v>660</v>
          </cell>
          <cell r="Y1611">
            <v>0</v>
          </cell>
          <cell r="Z1611">
            <v>660</v>
          </cell>
          <cell r="AA1611">
            <v>0</v>
          </cell>
          <cell r="AB1611">
            <v>0</v>
          </cell>
          <cell r="AC1611">
            <v>0</v>
          </cell>
          <cell r="AD1611">
            <v>3.6999999999999998E-2</v>
          </cell>
          <cell r="AE1611">
            <v>0</v>
          </cell>
          <cell r="AF1611">
            <v>0</v>
          </cell>
          <cell r="AG1611">
            <v>0</v>
          </cell>
          <cell r="AH1611">
            <v>0</v>
          </cell>
          <cell r="AI1611">
            <v>0</v>
          </cell>
          <cell r="AJ1611">
            <v>0</v>
          </cell>
          <cell r="AK1611">
            <v>0</v>
          </cell>
          <cell r="AL1611">
            <v>0</v>
          </cell>
        </row>
        <row r="1612">
          <cell r="E1612" t="str">
            <v>CVVS 1.25sq-7C</v>
          </cell>
          <cell r="F1612" t="str">
            <v>ｍ</v>
          </cell>
          <cell r="G1612">
            <v>0</v>
          </cell>
          <cell r="H1612">
            <v>246</v>
          </cell>
          <cell r="I1612">
            <v>0</v>
          </cell>
          <cell r="J1612">
            <v>246</v>
          </cell>
          <cell r="K1612">
            <v>0</v>
          </cell>
          <cell r="L1612">
            <v>246</v>
          </cell>
          <cell r="M1612">
            <v>0</v>
          </cell>
          <cell r="N1612">
            <v>246</v>
          </cell>
          <cell r="O1612">
            <v>0</v>
          </cell>
          <cell r="P1612">
            <v>246</v>
          </cell>
          <cell r="Q1612">
            <v>0</v>
          </cell>
          <cell r="R1612">
            <v>246</v>
          </cell>
          <cell r="S1612">
            <v>0</v>
          </cell>
          <cell r="T1612">
            <v>246</v>
          </cell>
          <cell r="U1612">
            <v>0</v>
          </cell>
          <cell r="V1612">
            <v>246</v>
          </cell>
          <cell r="W1612">
            <v>0</v>
          </cell>
          <cell r="X1612">
            <v>246</v>
          </cell>
          <cell r="Y1612">
            <v>0</v>
          </cell>
          <cell r="Z1612">
            <v>246</v>
          </cell>
          <cell r="AA1612">
            <v>0</v>
          </cell>
          <cell r="AB1612">
            <v>0</v>
          </cell>
          <cell r="AC1612">
            <v>0</v>
          </cell>
          <cell r="AD1612">
            <v>0.03</v>
          </cell>
          <cell r="AE1612">
            <v>0</v>
          </cell>
          <cell r="AF1612">
            <v>0</v>
          </cell>
          <cell r="AG1612">
            <v>0</v>
          </cell>
          <cell r="AH1612">
            <v>0</v>
          </cell>
          <cell r="AI1612">
            <v>0</v>
          </cell>
          <cell r="AJ1612">
            <v>0</v>
          </cell>
          <cell r="AK1612">
            <v>0</v>
          </cell>
          <cell r="AL1612">
            <v>0</v>
          </cell>
        </row>
        <row r="1613">
          <cell r="E1613" t="str">
            <v>CVVS 2sq-7C</v>
          </cell>
          <cell r="F1613" t="str">
            <v>ｍ</v>
          </cell>
          <cell r="G1613">
            <v>0</v>
          </cell>
          <cell r="H1613">
            <v>323</v>
          </cell>
          <cell r="I1613">
            <v>0</v>
          </cell>
          <cell r="J1613">
            <v>323</v>
          </cell>
          <cell r="K1613">
            <v>0</v>
          </cell>
          <cell r="L1613">
            <v>323</v>
          </cell>
          <cell r="M1613">
            <v>0</v>
          </cell>
          <cell r="N1613">
            <v>323</v>
          </cell>
          <cell r="O1613">
            <v>0</v>
          </cell>
          <cell r="P1613">
            <v>323</v>
          </cell>
          <cell r="Q1613">
            <v>0</v>
          </cell>
          <cell r="R1613">
            <v>323</v>
          </cell>
          <cell r="S1613">
            <v>0</v>
          </cell>
          <cell r="T1613">
            <v>323</v>
          </cell>
          <cell r="U1613">
            <v>0</v>
          </cell>
          <cell r="V1613">
            <v>323</v>
          </cell>
          <cell r="W1613">
            <v>0</v>
          </cell>
          <cell r="X1613">
            <v>323</v>
          </cell>
          <cell r="Y1613">
            <v>0</v>
          </cell>
          <cell r="Z1613">
            <v>323</v>
          </cell>
          <cell r="AA1613">
            <v>0</v>
          </cell>
          <cell r="AB1613">
            <v>0</v>
          </cell>
          <cell r="AC1613">
            <v>0</v>
          </cell>
          <cell r="AD1613">
            <v>3.4000000000000002E-2</v>
          </cell>
          <cell r="AE1613">
            <v>0</v>
          </cell>
          <cell r="AF1613">
            <v>0</v>
          </cell>
          <cell r="AG1613">
            <v>0</v>
          </cell>
          <cell r="AH1613">
            <v>0</v>
          </cell>
          <cell r="AI1613">
            <v>0</v>
          </cell>
          <cell r="AJ1613">
            <v>0</v>
          </cell>
          <cell r="AK1613">
            <v>0</v>
          </cell>
          <cell r="AL1613">
            <v>0</v>
          </cell>
        </row>
        <row r="1614">
          <cell r="E1614" t="str">
            <v>CVVS 3.5sq-7C</v>
          </cell>
          <cell r="F1614" t="str">
            <v>ｍ</v>
          </cell>
          <cell r="G1614">
            <v>0</v>
          </cell>
          <cell r="H1614">
            <v>458</v>
          </cell>
          <cell r="I1614">
            <v>0</v>
          </cell>
          <cell r="J1614">
            <v>458</v>
          </cell>
          <cell r="K1614">
            <v>0</v>
          </cell>
          <cell r="L1614">
            <v>458</v>
          </cell>
          <cell r="M1614">
            <v>0</v>
          </cell>
          <cell r="N1614">
            <v>458</v>
          </cell>
          <cell r="O1614">
            <v>0</v>
          </cell>
          <cell r="P1614">
            <v>458</v>
          </cell>
          <cell r="Q1614">
            <v>0</v>
          </cell>
          <cell r="R1614">
            <v>458</v>
          </cell>
          <cell r="S1614">
            <v>0</v>
          </cell>
          <cell r="T1614">
            <v>458</v>
          </cell>
          <cell r="U1614">
            <v>0</v>
          </cell>
          <cell r="V1614">
            <v>458</v>
          </cell>
          <cell r="W1614">
            <v>0</v>
          </cell>
          <cell r="X1614">
            <v>458</v>
          </cell>
          <cell r="Y1614">
            <v>0</v>
          </cell>
          <cell r="Z1614">
            <v>458</v>
          </cell>
          <cell r="AA1614">
            <v>0</v>
          </cell>
          <cell r="AB1614">
            <v>0</v>
          </cell>
          <cell r="AC1614">
            <v>0</v>
          </cell>
          <cell r="AD1614">
            <v>3.6999999999999998E-2</v>
          </cell>
          <cell r="AE1614">
            <v>0</v>
          </cell>
          <cell r="AF1614">
            <v>0</v>
          </cell>
          <cell r="AG1614">
            <v>0</v>
          </cell>
          <cell r="AH1614">
            <v>0</v>
          </cell>
          <cell r="AI1614">
            <v>0</v>
          </cell>
          <cell r="AJ1614">
            <v>0</v>
          </cell>
          <cell r="AK1614">
            <v>0</v>
          </cell>
          <cell r="AL1614">
            <v>0</v>
          </cell>
        </row>
        <row r="1615">
          <cell r="E1615" t="str">
            <v>CVVS 5.5sq-7C</v>
          </cell>
          <cell r="F1615" t="str">
            <v>ｍ</v>
          </cell>
          <cell r="G1615">
            <v>0</v>
          </cell>
          <cell r="H1615">
            <v>737</v>
          </cell>
          <cell r="I1615">
            <v>0</v>
          </cell>
          <cell r="J1615">
            <v>737</v>
          </cell>
          <cell r="K1615">
            <v>0</v>
          </cell>
          <cell r="L1615">
            <v>737</v>
          </cell>
          <cell r="M1615">
            <v>0</v>
          </cell>
          <cell r="N1615">
            <v>737</v>
          </cell>
          <cell r="O1615">
            <v>0</v>
          </cell>
          <cell r="P1615">
            <v>737</v>
          </cell>
          <cell r="Q1615">
            <v>0</v>
          </cell>
          <cell r="R1615">
            <v>737</v>
          </cell>
          <cell r="S1615">
            <v>0</v>
          </cell>
          <cell r="T1615">
            <v>737</v>
          </cell>
          <cell r="U1615">
            <v>0</v>
          </cell>
          <cell r="V1615">
            <v>737</v>
          </cell>
          <cell r="W1615">
            <v>0</v>
          </cell>
          <cell r="X1615">
            <v>737</v>
          </cell>
          <cell r="Y1615">
            <v>0</v>
          </cell>
          <cell r="Z1615">
            <v>737</v>
          </cell>
          <cell r="AA1615">
            <v>0</v>
          </cell>
          <cell r="AB1615">
            <v>0</v>
          </cell>
          <cell r="AC1615">
            <v>0</v>
          </cell>
          <cell r="AD1615">
            <v>4.3999999999999997E-2</v>
          </cell>
          <cell r="AE1615">
            <v>0</v>
          </cell>
          <cell r="AF1615">
            <v>0</v>
          </cell>
          <cell r="AG1615">
            <v>0</v>
          </cell>
          <cell r="AH1615">
            <v>0</v>
          </cell>
          <cell r="AI1615">
            <v>0</v>
          </cell>
          <cell r="AJ1615">
            <v>0</v>
          </cell>
          <cell r="AK1615">
            <v>0</v>
          </cell>
          <cell r="AL1615">
            <v>0</v>
          </cell>
        </row>
        <row r="1616">
          <cell r="E1616" t="str">
            <v>CVVS 1.25sq-8C</v>
          </cell>
          <cell r="F1616" t="str">
            <v>ｍ</v>
          </cell>
          <cell r="G1616">
            <v>0</v>
          </cell>
          <cell r="H1616">
            <v>279</v>
          </cell>
          <cell r="I1616">
            <v>0</v>
          </cell>
          <cell r="J1616">
            <v>279</v>
          </cell>
          <cell r="K1616">
            <v>0</v>
          </cell>
          <cell r="L1616">
            <v>279</v>
          </cell>
          <cell r="M1616">
            <v>0</v>
          </cell>
          <cell r="N1616">
            <v>279</v>
          </cell>
          <cell r="O1616">
            <v>0</v>
          </cell>
          <cell r="P1616">
            <v>279</v>
          </cell>
          <cell r="Q1616">
            <v>0</v>
          </cell>
          <cell r="R1616">
            <v>279</v>
          </cell>
          <cell r="S1616">
            <v>0</v>
          </cell>
          <cell r="T1616">
            <v>279</v>
          </cell>
          <cell r="U1616">
            <v>0</v>
          </cell>
          <cell r="V1616">
            <v>279</v>
          </cell>
          <cell r="W1616">
            <v>0</v>
          </cell>
          <cell r="X1616">
            <v>279</v>
          </cell>
          <cell r="Y1616">
            <v>0</v>
          </cell>
          <cell r="Z1616">
            <v>279</v>
          </cell>
          <cell r="AA1616">
            <v>0</v>
          </cell>
          <cell r="AB1616">
            <v>0</v>
          </cell>
          <cell r="AC1616">
            <v>0</v>
          </cell>
          <cell r="AD1616">
            <v>3.4000000000000002E-2</v>
          </cell>
          <cell r="AE1616">
            <v>0</v>
          </cell>
          <cell r="AF1616">
            <v>0</v>
          </cell>
          <cell r="AG1616">
            <v>0</v>
          </cell>
          <cell r="AH1616">
            <v>0</v>
          </cell>
          <cell r="AI1616">
            <v>0</v>
          </cell>
          <cell r="AJ1616">
            <v>0</v>
          </cell>
          <cell r="AK1616">
            <v>0</v>
          </cell>
          <cell r="AL1616">
            <v>0</v>
          </cell>
        </row>
        <row r="1617">
          <cell r="E1617" t="str">
            <v>CVVS 2sq-8C</v>
          </cell>
          <cell r="F1617" t="str">
            <v>ｍ</v>
          </cell>
          <cell r="G1617">
            <v>0</v>
          </cell>
          <cell r="H1617">
            <v>362</v>
          </cell>
          <cell r="I1617">
            <v>0</v>
          </cell>
          <cell r="J1617">
            <v>362</v>
          </cell>
          <cell r="K1617">
            <v>0</v>
          </cell>
          <cell r="L1617">
            <v>362</v>
          </cell>
          <cell r="M1617">
            <v>0</v>
          </cell>
          <cell r="N1617">
            <v>362</v>
          </cell>
          <cell r="O1617">
            <v>0</v>
          </cell>
          <cell r="P1617">
            <v>362</v>
          </cell>
          <cell r="Q1617">
            <v>0</v>
          </cell>
          <cell r="R1617">
            <v>362</v>
          </cell>
          <cell r="S1617">
            <v>0</v>
          </cell>
          <cell r="T1617">
            <v>362</v>
          </cell>
          <cell r="U1617">
            <v>0</v>
          </cell>
          <cell r="V1617">
            <v>362</v>
          </cell>
          <cell r="W1617">
            <v>0</v>
          </cell>
          <cell r="X1617">
            <v>362</v>
          </cell>
          <cell r="Y1617">
            <v>0</v>
          </cell>
          <cell r="Z1617">
            <v>362</v>
          </cell>
          <cell r="AA1617">
            <v>0</v>
          </cell>
          <cell r="AB1617">
            <v>0</v>
          </cell>
          <cell r="AC1617">
            <v>0</v>
          </cell>
          <cell r="AD1617">
            <v>3.6999999999999998E-2</v>
          </cell>
          <cell r="AE1617">
            <v>0</v>
          </cell>
          <cell r="AF1617">
            <v>0</v>
          </cell>
          <cell r="AG1617">
            <v>0</v>
          </cell>
          <cell r="AH1617">
            <v>0</v>
          </cell>
          <cell r="AI1617">
            <v>0</v>
          </cell>
          <cell r="AJ1617">
            <v>0</v>
          </cell>
          <cell r="AK1617">
            <v>0</v>
          </cell>
          <cell r="AL1617">
            <v>0</v>
          </cell>
        </row>
        <row r="1618">
          <cell r="E1618" t="str">
            <v>CVVS 3.5sq-8C</v>
          </cell>
          <cell r="F1618" t="str">
            <v>ｍ</v>
          </cell>
          <cell r="G1618">
            <v>0</v>
          </cell>
          <cell r="H1618">
            <v>631</v>
          </cell>
          <cell r="I1618">
            <v>0</v>
          </cell>
          <cell r="J1618">
            <v>631</v>
          </cell>
          <cell r="K1618">
            <v>0</v>
          </cell>
          <cell r="L1618">
            <v>631</v>
          </cell>
          <cell r="M1618">
            <v>0</v>
          </cell>
          <cell r="N1618">
            <v>631</v>
          </cell>
          <cell r="O1618">
            <v>0</v>
          </cell>
          <cell r="P1618">
            <v>631</v>
          </cell>
          <cell r="Q1618">
            <v>0</v>
          </cell>
          <cell r="R1618">
            <v>631</v>
          </cell>
          <cell r="S1618">
            <v>0</v>
          </cell>
          <cell r="T1618">
            <v>631</v>
          </cell>
          <cell r="U1618">
            <v>0</v>
          </cell>
          <cell r="V1618">
            <v>631</v>
          </cell>
          <cell r="W1618">
            <v>0</v>
          </cell>
          <cell r="X1618">
            <v>631</v>
          </cell>
          <cell r="Y1618">
            <v>0</v>
          </cell>
          <cell r="Z1618">
            <v>631</v>
          </cell>
          <cell r="AA1618">
            <v>0</v>
          </cell>
          <cell r="AB1618">
            <v>0</v>
          </cell>
          <cell r="AC1618">
            <v>0</v>
          </cell>
          <cell r="AD1618">
            <v>4.3999999999999997E-2</v>
          </cell>
          <cell r="AE1618">
            <v>0</v>
          </cell>
          <cell r="AF1618">
            <v>0</v>
          </cell>
          <cell r="AG1618">
            <v>0</v>
          </cell>
          <cell r="AH1618">
            <v>0</v>
          </cell>
          <cell r="AI1618">
            <v>0</v>
          </cell>
          <cell r="AJ1618">
            <v>0</v>
          </cell>
          <cell r="AK1618">
            <v>0</v>
          </cell>
          <cell r="AL1618">
            <v>0</v>
          </cell>
        </row>
        <row r="1619">
          <cell r="E1619" t="str">
            <v>CVVS 5.5sq-8C</v>
          </cell>
          <cell r="F1619" t="str">
            <v>ｍ</v>
          </cell>
          <cell r="G1619">
            <v>0</v>
          </cell>
          <cell r="H1619">
            <v>859</v>
          </cell>
          <cell r="I1619">
            <v>0</v>
          </cell>
          <cell r="J1619">
            <v>859</v>
          </cell>
          <cell r="K1619">
            <v>0</v>
          </cell>
          <cell r="L1619">
            <v>859</v>
          </cell>
          <cell r="M1619">
            <v>0</v>
          </cell>
          <cell r="N1619">
            <v>859</v>
          </cell>
          <cell r="O1619">
            <v>0</v>
          </cell>
          <cell r="P1619">
            <v>859</v>
          </cell>
          <cell r="Q1619">
            <v>0</v>
          </cell>
          <cell r="R1619">
            <v>859</v>
          </cell>
          <cell r="S1619">
            <v>0</v>
          </cell>
          <cell r="T1619">
            <v>859</v>
          </cell>
          <cell r="U1619">
            <v>0</v>
          </cell>
          <cell r="V1619">
            <v>859</v>
          </cell>
          <cell r="W1619">
            <v>0</v>
          </cell>
          <cell r="X1619">
            <v>859</v>
          </cell>
          <cell r="Y1619">
            <v>0</v>
          </cell>
          <cell r="Z1619">
            <v>859</v>
          </cell>
          <cell r="AA1619">
            <v>0</v>
          </cell>
          <cell r="AB1619">
            <v>0</v>
          </cell>
          <cell r="AC1619">
            <v>0</v>
          </cell>
          <cell r="AD1619">
            <v>4.3999999999999997E-2</v>
          </cell>
          <cell r="AE1619">
            <v>0</v>
          </cell>
          <cell r="AF1619">
            <v>0</v>
          </cell>
          <cell r="AG1619">
            <v>0</v>
          </cell>
          <cell r="AH1619">
            <v>0</v>
          </cell>
          <cell r="AI1619">
            <v>0</v>
          </cell>
          <cell r="AJ1619">
            <v>0</v>
          </cell>
          <cell r="AK1619">
            <v>0</v>
          </cell>
          <cell r="AL1619">
            <v>0</v>
          </cell>
        </row>
        <row r="1620">
          <cell r="E1620" t="str">
            <v>CVVS 1.25sq-10C</v>
          </cell>
          <cell r="F1620" t="str">
            <v>ｍ</v>
          </cell>
          <cell r="G1620">
            <v>0</v>
          </cell>
          <cell r="H1620">
            <v>335</v>
          </cell>
          <cell r="I1620">
            <v>0</v>
          </cell>
          <cell r="J1620">
            <v>335</v>
          </cell>
          <cell r="K1620">
            <v>0</v>
          </cell>
          <cell r="L1620">
            <v>335</v>
          </cell>
          <cell r="M1620">
            <v>0</v>
          </cell>
          <cell r="N1620">
            <v>335</v>
          </cell>
          <cell r="O1620">
            <v>0</v>
          </cell>
          <cell r="P1620">
            <v>335</v>
          </cell>
          <cell r="Q1620">
            <v>0</v>
          </cell>
          <cell r="R1620">
            <v>335</v>
          </cell>
          <cell r="S1620">
            <v>0</v>
          </cell>
          <cell r="T1620">
            <v>335</v>
          </cell>
          <cell r="U1620">
            <v>0</v>
          </cell>
          <cell r="V1620">
            <v>335</v>
          </cell>
          <cell r="W1620">
            <v>0</v>
          </cell>
          <cell r="X1620">
            <v>335</v>
          </cell>
          <cell r="Y1620">
            <v>0</v>
          </cell>
          <cell r="Z1620">
            <v>335</v>
          </cell>
          <cell r="AA1620">
            <v>0</v>
          </cell>
          <cell r="AB1620">
            <v>0</v>
          </cell>
          <cell r="AC1620">
            <v>0</v>
          </cell>
          <cell r="AD1620">
            <v>3.6999999999999998E-2</v>
          </cell>
          <cell r="AE1620">
            <v>0</v>
          </cell>
          <cell r="AF1620">
            <v>0</v>
          </cell>
          <cell r="AG1620">
            <v>0</v>
          </cell>
          <cell r="AH1620">
            <v>0</v>
          </cell>
          <cell r="AI1620">
            <v>0</v>
          </cell>
          <cell r="AJ1620">
            <v>0</v>
          </cell>
          <cell r="AK1620">
            <v>0</v>
          </cell>
          <cell r="AL1620">
            <v>0</v>
          </cell>
        </row>
        <row r="1621">
          <cell r="E1621" t="str">
            <v>CVVS 2sq-10C</v>
          </cell>
          <cell r="F1621" t="str">
            <v>ｍ</v>
          </cell>
          <cell r="G1621">
            <v>0</v>
          </cell>
          <cell r="H1621">
            <v>440</v>
          </cell>
          <cell r="I1621">
            <v>0</v>
          </cell>
          <cell r="J1621">
            <v>440</v>
          </cell>
          <cell r="K1621">
            <v>0</v>
          </cell>
          <cell r="L1621">
            <v>440</v>
          </cell>
          <cell r="M1621">
            <v>0</v>
          </cell>
          <cell r="N1621">
            <v>440</v>
          </cell>
          <cell r="O1621">
            <v>0</v>
          </cell>
          <cell r="P1621">
            <v>440</v>
          </cell>
          <cell r="Q1621">
            <v>0</v>
          </cell>
          <cell r="R1621">
            <v>440</v>
          </cell>
          <cell r="S1621">
            <v>0</v>
          </cell>
          <cell r="T1621">
            <v>440</v>
          </cell>
          <cell r="U1621">
            <v>0</v>
          </cell>
          <cell r="V1621">
            <v>440</v>
          </cell>
          <cell r="W1621">
            <v>0</v>
          </cell>
          <cell r="X1621">
            <v>440</v>
          </cell>
          <cell r="Y1621">
            <v>0</v>
          </cell>
          <cell r="Z1621">
            <v>440</v>
          </cell>
          <cell r="AA1621">
            <v>0</v>
          </cell>
          <cell r="AB1621">
            <v>0</v>
          </cell>
          <cell r="AC1621">
            <v>0</v>
          </cell>
          <cell r="AD1621">
            <v>4.2000000000000003E-2</v>
          </cell>
          <cell r="AE1621">
            <v>0</v>
          </cell>
          <cell r="AF1621">
            <v>0</v>
          </cell>
          <cell r="AG1621">
            <v>0</v>
          </cell>
          <cell r="AH1621">
            <v>0</v>
          </cell>
          <cell r="AI1621">
            <v>0</v>
          </cell>
          <cell r="AJ1621">
            <v>0</v>
          </cell>
          <cell r="AK1621">
            <v>0</v>
          </cell>
          <cell r="AL1621">
            <v>0</v>
          </cell>
        </row>
        <row r="1622">
          <cell r="E1622" t="str">
            <v>CVVS 3.5sq-10C</v>
          </cell>
          <cell r="F1622" t="str">
            <v>ｍ</v>
          </cell>
          <cell r="G1622">
            <v>0</v>
          </cell>
          <cell r="H1622">
            <v>622</v>
          </cell>
          <cell r="I1622">
            <v>0</v>
          </cell>
          <cell r="J1622">
            <v>622</v>
          </cell>
          <cell r="K1622">
            <v>0</v>
          </cell>
          <cell r="L1622">
            <v>622</v>
          </cell>
          <cell r="M1622">
            <v>0</v>
          </cell>
          <cell r="N1622">
            <v>622</v>
          </cell>
          <cell r="O1622">
            <v>0</v>
          </cell>
          <cell r="P1622">
            <v>622</v>
          </cell>
          <cell r="Q1622">
            <v>0</v>
          </cell>
          <cell r="R1622">
            <v>622</v>
          </cell>
          <cell r="S1622">
            <v>0</v>
          </cell>
          <cell r="T1622">
            <v>622</v>
          </cell>
          <cell r="U1622">
            <v>0</v>
          </cell>
          <cell r="V1622">
            <v>622</v>
          </cell>
          <cell r="W1622">
            <v>0</v>
          </cell>
          <cell r="X1622">
            <v>622</v>
          </cell>
          <cell r="Y1622">
            <v>0</v>
          </cell>
          <cell r="Z1622">
            <v>622</v>
          </cell>
          <cell r="AA1622">
            <v>0</v>
          </cell>
          <cell r="AB1622">
            <v>0</v>
          </cell>
          <cell r="AC1622">
            <v>0</v>
          </cell>
          <cell r="AD1622">
            <v>4.4999999999999998E-2</v>
          </cell>
          <cell r="AE1622">
            <v>0</v>
          </cell>
          <cell r="AF1622">
            <v>0</v>
          </cell>
          <cell r="AG1622">
            <v>0</v>
          </cell>
          <cell r="AH1622">
            <v>0</v>
          </cell>
          <cell r="AI1622">
            <v>0</v>
          </cell>
          <cell r="AJ1622">
            <v>0</v>
          </cell>
          <cell r="AK1622">
            <v>0</v>
          </cell>
          <cell r="AL1622">
            <v>0</v>
          </cell>
        </row>
        <row r="1623">
          <cell r="E1623" t="str">
            <v>CVVS 5.5sq-10C</v>
          </cell>
          <cell r="F1623" t="str">
            <v>ｍ</v>
          </cell>
          <cell r="G1623">
            <v>0</v>
          </cell>
          <cell r="H1623">
            <v>1026</v>
          </cell>
          <cell r="I1623">
            <v>0</v>
          </cell>
          <cell r="J1623">
            <v>1026</v>
          </cell>
          <cell r="K1623">
            <v>0</v>
          </cell>
          <cell r="L1623">
            <v>1026</v>
          </cell>
          <cell r="M1623">
            <v>0</v>
          </cell>
          <cell r="N1623">
            <v>1026</v>
          </cell>
          <cell r="O1623">
            <v>0</v>
          </cell>
          <cell r="P1623">
            <v>1026</v>
          </cell>
          <cell r="Q1623">
            <v>0</v>
          </cell>
          <cell r="R1623">
            <v>1026</v>
          </cell>
          <cell r="S1623">
            <v>0</v>
          </cell>
          <cell r="T1623">
            <v>1026</v>
          </cell>
          <cell r="U1623">
            <v>0</v>
          </cell>
          <cell r="V1623">
            <v>1026</v>
          </cell>
          <cell r="W1623">
            <v>0</v>
          </cell>
          <cell r="X1623">
            <v>1026</v>
          </cell>
          <cell r="Y1623">
            <v>0</v>
          </cell>
          <cell r="Z1623">
            <v>1026</v>
          </cell>
          <cell r="AA1623">
            <v>0</v>
          </cell>
          <cell r="AB1623">
            <v>0</v>
          </cell>
          <cell r="AC1623">
            <v>0</v>
          </cell>
          <cell r="AD1623">
            <v>5.3999999999999999E-2</v>
          </cell>
          <cell r="AE1623">
            <v>0</v>
          </cell>
          <cell r="AF1623">
            <v>0</v>
          </cell>
          <cell r="AG1623">
            <v>0</v>
          </cell>
          <cell r="AH1623">
            <v>0</v>
          </cell>
          <cell r="AI1623">
            <v>0</v>
          </cell>
          <cell r="AJ1623">
            <v>0</v>
          </cell>
          <cell r="AK1623">
            <v>0</v>
          </cell>
          <cell r="AL1623">
            <v>0</v>
          </cell>
        </row>
        <row r="1624">
          <cell r="E1624" t="str">
            <v>CVVS 1.25sq-12C</v>
          </cell>
          <cell r="F1624" t="str">
            <v>ｍ</v>
          </cell>
          <cell r="G1624">
            <v>0</v>
          </cell>
          <cell r="H1624">
            <v>387</v>
          </cell>
          <cell r="I1624">
            <v>0</v>
          </cell>
          <cell r="J1624">
            <v>387</v>
          </cell>
          <cell r="K1624">
            <v>0</v>
          </cell>
          <cell r="L1624">
            <v>387</v>
          </cell>
          <cell r="M1624">
            <v>0</v>
          </cell>
          <cell r="N1624">
            <v>387</v>
          </cell>
          <cell r="O1624">
            <v>0</v>
          </cell>
          <cell r="P1624">
            <v>387</v>
          </cell>
          <cell r="Q1624">
            <v>0</v>
          </cell>
          <cell r="R1624">
            <v>387</v>
          </cell>
          <cell r="S1624">
            <v>0</v>
          </cell>
          <cell r="T1624">
            <v>387</v>
          </cell>
          <cell r="U1624">
            <v>0</v>
          </cell>
          <cell r="V1624">
            <v>387</v>
          </cell>
          <cell r="W1624">
            <v>0</v>
          </cell>
          <cell r="X1624">
            <v>387</v>
          </cell>
          <cell r="Y1624">
            <v>0</v>
          </cell>
          <cell r="Z1624">
            <v>387</v>
          </cell>
          <cell r="AA1624">
            <v>0</v>
          </cell>
          <cell r="AB1624">
            <v>0</v>
          </cell>
          <cell r="AC1624">
            <v>0</v>
          </cell>
          <cell r="AD1624">
            <v>4.2999999999999997E-2</v>
          </cell>
          <cell r="AE1624">
            <v>0</v>
          </cell>
          <cell r="AF1624">
            <v>0</v>
          </cell>
          <cell r="AG1624">
            <v>0</v>
          </cell>
          <cell r="AH1624">
            <v>0</v>
          </cell>
          <cell r="AI1624">
            <v>0</v>
          </cell>
          <cell r="AJ1624">
            <v>0</v>
          </cell>
          <cell r="AK1624">
            <v>0</v>
          </cell>
          <cell r="AL1624">
            <v>0</v>
          </cell>
        </row>
        <row r="1625">
          <cell r="E1625" t="str">
            <v>CVVS 2sq-12C</v>
          </cell>
          <cell r="F1625" t="str">
            <v>ｍ</v>
          </cell>
          <cell r="G1625">
            <v>0</v>
          </cell>
          <cell r="H1625">
            <v>504</v>
          </cell>
          <cell r="I1625">
            <v>0</v>
          </cell>
          <cell r="J1625">
            <v>504</v>
          </cell>
          <cell r="K1625">
            <v>0</v>
          </cell>
          <cell r="L1625">
            <v>504</v>
          </cell>
          <cell r="M1625">
            <v>0</v>
          </cell>
          <cell r="N1625">
            <v>504</v>
          </cell>
          <cell r="O1625">
            <v>0</v>
          </cell>
          <cell r="P1625">
            <v>504</v>
          </cell>
          <cell r="Q1625">
            <v>0</v>
          </cell>
          <cell r="R1625">
            <v>504</v>
          </cell>
          <cell r="S1625">
            <v>0</v>
          </cell>
          <cell r="T1625">
            <v>504</v>
          </cell>
          <cell r="U1625">
            <v>0</v>
          </cell>
          <cell r="V1625">
            <v>504</v>
          </cell>
          <cell r="W1625">
            <v>0</v>
          </cell>
          <cell r="X1625">
            <v>504</v>
          </cell>
          <cell r="Y1625">
            <v>0</v>
          </cell>
          <cell r="Z1625">
            <v>504</v>
          </cell>
          <cell r="AA1625">
            <v>0</v>
          </cell>
          <cell r="AB1625">
            <v>0</v>
          </cell>
          <cell r="AC1625">
            <v>0</v>
          </cell>
          <cell r="AD1625">
            <v>4.8000000000000001E-2</v>
          </cell>
          <cell r="AE1625">
            <v>0</v>
          </cell>
          <cell r="AF1625">
            <v>0</v>
          </cell>
          <cell r="AG1625">
            <v>0</v>
          </cell>
          <cell r="AH1625">
            <v>0</v>
          </cell>
          <cell r="AI1625">
            <v>0</v>
          </cell>
          <cell r="AJ1625">
            <v>0</v>
          </cell>
          <cell r="AK1625">
            <v>0</v>
          </cell>
          <cell r="AL1625">
            <v>0</v>
          </cell>
        </row>
        <row r="1626">
          <cell r="E1626" t="str">
            <v>CVVS 3.5sq-12C</v>
          </cell>
          <cell r="F1626" t="str">
            <v>ｍ</v>
          </cell>
          <cell r="G1626">
            <v>0</v>
          </cell>
          <cell r="H1626">
            <v>737</v>
          </cell>
          <cell r="I1626">
            <v>0</v>
          </cell>
          <cell r="J1626">
            <v>737</v>
          </cell>
          <cell r="K1626">
            <v>0</v>
          </cell>
          <cell r="L1626">
            <v>737</v>
          </cell>
          <cell r="M1626">
            <v>0</v>
          </cell>
          <cell r="N1626">
            <v>737</v>
          </cell>
          <cell r="O1626">
            <v>0</v>
          </cell>
          <cell r="P1626">
            <v>737</v>
          </cell>
          <cell r="Q1626">
            <v>0</v>
          </cell>
          <cell r="R1626">
            <v>737</v>
          </cell>
          <cell r="S1626">
            <v>0</v>
          </cell>
          <cell r="T1626">
            <v>737</v>
          </cell>
          <cell r="U1626">
            <v>0</v>
          </cell>
          <cell r="V1626">
            <v>737</v>
          </cell>
          <cell r="W1626">
            <v>0</v>
          </cell>
          <cell r="X1626">
            <v>737</v>
          </cell>
          <cell r="Y1626">
            <v>0</v>
          </cell>
          <cell r="Z1626">
            <v>737</v>
          </cell>
          <cell r="AA1626">
            <v>0</v>
          </cell>
          <cell r="AB1626">
            <v>0</v>
          </cell>
          <cell r="AC1626">
            <v>0</v>
          </cell>
          <cell r="AD1626">
            <v>5.2999999999999999E-2</v>
          </cell>
          <cell r="AE1626">
            <v>0</v>
          </cell>
          <cell r="AF1626">
            <v>0</v>
          </cell>
          <cell r="AG1626">
            <v>0</v>
          </cell>
          <cell r="AH1626">
            <v>0</v>
          </cell>
          <cell r="AI1626">
            <v>0</v>
          </cell>
          <cell r="AJ1626">
            <v>0</v>
          </cell>
          <cell r="AK1626">
            <v>0</v>
          </cell>
          <cell r="AL1626">
            <v>0</v>
          </cell>
        </row>
        <row r="1627">
          <cell r="E1627" t="str">
            <v>CVVS 5.5sq-12C</v>
          </cell>
          <cell r="F1627" t="str">
            <v>ｍ</v>
          </cell>
          <cell r="G1627">
            <v>0</v>
          </cell>
          <cell r="H1627">
            <v>1179</v>
          </cell>
          <cell r="I1627">
            <v>0</v>
          </cell>
          <cell r="J1627">
            <v>1179</v>
          </cell>
          <cell r="K1627">
            <v>0</v>
          </cell>
          <cell r="L1627">
            <v>1179</v>
          </cell>
          <cell r="M1627">
            <v>0</v>
          </cell>
          <cell r="N1627">
            <v>1179</v>
          </cell>
          <cell r="O1627">
            <v>0</v>
          </cell>
          <cell r="P1627">
            <v>1179</v>
          </cell>
          <cell r="Q1627">
            <v>0</v>
          </cell>
          <cell r="R1627">
            <v>1179</v>
          </cell>
          <cell r="S1627">
            <v>0</v>
          </cell>
          <cell r="T1627">
            <v>1179</v>
          </cell>
          <cell r="U1627">
            <v>0</v>
          </cell>
          <cell r="V1627">
            <v>1179</v>
          </cell>
          <cell r="W1627">
            <v>0</v>
          </cell>
          <cell r="X1627">
            <v>1179</v>
          </cell>
          <cell r="Y1627">
            <v>0</v>
          </cell>
          <cell r="Z1627">
            <v>1179</v>
          </cell>
          <cell r="AA1627">
            <v>0</v>
          </cell>
          <cell r="AB1627">
            <v>0</v>
          </cell>
          <cell r="AC1627">
            <v>0</v>
          </cell>
          <cell r="AD1627">
            <v>6.3E-2</v>
          </cell>
          <cell r="AE1627">
            <v>0</v>
          </cell>
          <cell r="AF1627">
            <v>0</v>
          </cell>
          <cell r="AG1627">
            <v>0</v>
          </cell>
          <cell r="AH1627">
            <v>0</v>
          </cell>
          <cell r="AI1627">
            <v>0</v>
          </cell>
          <cell r="AJ1627">
            <v>0</v>
          </cell>
          <cell r="AK1627">
            <v>0</v>
          </cell>
          <cell r="AL1627">
            <v>0</v>
          </cell>
        </row>
        <row r="1628">
          <cell r="E1628" t="str">
            <v>CVVS 1.25sq-15C</v>
          </cell>
          <cell r="F1628" t="str">
            <v>ｍ</v>
          </cell>
          <cell r="G1628">
            <v>0</v>
          </cell>
          <cell r="H1628">
            <v>458</v>
          </cell>
          <cell r="I1628">
            <v>0</v>
          </cell>
          <cell r="J1628">
            <v>458</v>
          </cell>
          <cell r="K1628">
            <v>0</v>
          </cell>
          <cell r="L1628">
            <v>458</v>
          </cell>
          <cell r="M1628">
            <v>0</v>
          </cell>
          <cell r="N1628">
            <v>458</v>
          </cell>
          <cell r="O1628">
            <v>0</v>
          </cell>
          <cell r="P1628">
            <v>458</v>
          </cell>
          <cell r="Q1628">
            <v>0</v>
          </cell>
          <cell r="R1628">
            <v>458</v>
          </cell>
          <cell r="S1628">
            <v>0</v>
          </cell>
          <cell r="T1628">
            <v>458</v>
          </cell>
          <cell r="U1628">
            <v>0</v>
          </cell>
          <cell r="V1628">
            <v>458</v>
          </cell>
          <cell r="W1628">
            <v>0</v>
          </cell>
          <cell r="X1628">
            <v>458</v>
          </cell>
          <cell r="Y1628">
            <v>0</v>
          </cell>
          <cell r="Z1628">
            <v>458</v>
          </cell>
          <cell r="AA1628">
            <v>0</v>
          </cell>
          <cell r="AB1628">
            <v>0</v>
          </cell>
          <cell r="AC1628">
            <v>0</v>
          </cell>
          <cell r="AD1628">
            <v>5.3999999999999999E-2</v>
          </cell>
          <cell r="AE1628">
            <v>0</v>
          </cell>
          <cell r="AF1628">
            <v>0</v>
          </cell>
          <cell r="AG1628">
            <v>0</v>
          </cell>
          <cell r="AH1628">
            <v>0</v>
          </cell>
          <cell r="AI1628">
            <v>0</v>
          </cell>
          <cell r="AJ1628">
            <v>0</v>
          </cell>
          <cell r="AK1628">
            <v>0</v>
          </cell>
          <cell r="AL1628">
            <v>0</v>
          </cell>
        </row>
        <row r="1629">
          <cell r="E1629" t="str">
            <v>CVVS 2sq-15C</v>
          </cell>
          <cell r="F1629" t="str">
            <v>ｍ</v>
          </cell>
          <cell r="G1629">
            <v>0</v>
          </cell>
          <cell r="H1629">
            <v>611</v>
          </cell>
          <cell r="I1629">
            <v>0</v>
          </cell>
          <cell r="J1629">
            <v>611</v>
          </cell>
          <cell r="K1629">
            <v>0</v>
          </cell>
          <cell r="L1629">
            <v>611</v>
          </cell>
          <cell r="M1629">
            <v>0</v>
          </cell>
          <cell r="N1629">
            <v>611</v>
          </cell>
          <cell r="O1629">
            <v>0</v>
          </cell>
          <cell r="P1629">
            <v>611</v>
          </cell>
          <cell r="Q1629">
            <v>0</v>
          </cell>
          <cell r="R1629">
            <v>611</v>
          </cell>
          <cell r="S1629">
            <v>0</v>
          </cell>
          <cell r="T1629">
            <v>611</v>
          </cell>
          <cell r="U1629">
            <v>0</v>
          </cell>
          <cell r="V1629">
            <v>611</v>
          </cell>
          <cell r="W1629">
            <v>0</v>
          </cell>
          <cell r="X1629">
            <v>611</v>
          </cell>
          <cell r="Y1629">
            <v>0</v>
          </cell>
          <cell r="Z1629">
            <v>611</v>
          </cell>
          <cell r="AA1629">
            <v>0</v>
          </cell>
          <cell r="AB1629">
            <v>0</v>
          </cell>
          <cell r="AC1629">
            <v>0</v>
          </cell>
          <cell r="AD1629">
            <v>0.06</v>
          </cell>
          <cell r="AE1629">
            <v>0</v>
          </cell>
          <cell r="AF1629">
            <v>0</v>
          </cell>
          <cell r="AG1629">
            <v>0</v>
          </cell>
          <cell r="AH1629">
            <v>0</v>
          </cell>
          <cell r="AI1629">
            <v>0</v>
          </cell>
          <cell r="AJ1629">
            <v>0</v>
          </cell>
          <cell r="AK1629">
            <v>0</v>
          </cell>
          <cell r="AL1629">
            <v>0</v>
          </cell>
        </row>
        <row r="1630">
          <cell r="E1630" t="str">
            <v>CVVS 3.5sq-15C</v>
          </cell>
          <cell r="F1630" t="str">
            <v>ｍ</v>
          </cell>
          <cell r="G1630">
            <v>0</v>
          </cell>
          <cell r="H1630">
            <v>892</v>
          </cell>
          <cell r="I1630">
            <v>0</v>
          </cell>
          <cell r="J1630">
            <v>892</v>
          </cell>
          <cell r="K1630">
            <v>0</v>
          </cell>
          <cell r="L1630">
            <v>892</v>
          </cell>
          <cell r="M1630">
            <v>0</v>
          </cell>
          <cell r="N1630">
            <v>892</v>
          </cell>
          <cell r="O1630">
            <v>0</v>
          </cell>
          <cell r="P1630">
            <v>892</v>
          </cell>
          <cell r="Q1630">
            <v>0</v>
          </cell>
          <cell r="R1630">
            <v>892</v>
          </cell>
          <cell r="S1630">
            <v>0</v>
          </cell>
          <cell r="T1630">
            <v>892</v>
          </cell>
          <cell r="U1630">
            <v>0</v>
          </cell>
          <cell r="V1630">
            <v>892</v>
          </cell>
          <cell r="W1630">
            <v>0</v>
          </cell>
          <cell r="X1630">
            <v>892</v>
          </cell>
          <cell r="Y1630">
            <v>0</v>
          </cell>
          <cell r="Z1630">
            <v>892</v>
          </cell>
          <cell r="AA1630">
            <v>0</v>
          </cell>
          <cell r="AB1630">
            <v>0</v>
          </cell>
          <cell r="AC1630">
            <v>0</v>
          </cell>
          <cell r="AD1630">
            <v>6.6000000000000003E-2</v>
          </cell>
          <cell r="AE1630">
            <v>0</v>
          </cell>
          <cell r="AF1630">
            <v>0</v>
          </cell>
          <cell r="AG1630">
            <v>0</v>
          </cell>
          <cell r="AH1630">
            <v>0</v>
          </cell>
          <cell r="AI1630">
            <v>0</v>
          </cell>
          <cell r="AJ1630">
            <v>0</v>
          </cell>
          <cell r="AK1630">
            <v>0</v>
          </cell>
          <cell r="AL1630">
            <v>0</v>
          </cell>
        </row>
        <row r="1631">
          <cell r="E1631" t="str">
            <v>CVVS 5.5sq-15C</v>
          </cell>
          <cell r="F1631" t="str">
            <v>ｍ</v>
          </cell>
          <cell r="G1631">
            <v>0</v>
          </cell>
          <cell r="H1631">
            <v>1424</v>
          </cell>
          <cell r="I1631">
            <v>0</v>
          </cell>
          <cell r="J1631">
            <v>1424</v>
          </cell>
          <cell r="K1631">
            <v>0</v>
          </cell>
          <cell r="L1631">
            <v>1424</v>
          </cell>
          <cell r="M1631">
            <v>0</v>
          </cell>
          <cell r="N1631">
            <v>1424</v>
          </cell>
          <cell r="O1631">
            <v>0</v>
          </cell>
          <cell r="P1631">
            <v>1424</v>
          </cell>
          <cell r="Q1631">
            <v>0</v>
          </cell>
          <cell r="R1631">
            <v>1424</v>
          </cell>
          <cell r="S1631">
            <v>0</v>
          </cell>
          <cell r="T1631">
            <v>1424</v>
          </cell>
          <cell r="U1631">
            <v>0</v>
          </cell>
          <cell r="V1631">
            <v>1424</v>
          </cell>
          <cell r="W1631">
            <v>0</v>
          </cell>
          <cell r="X1631">
            <v>1424</v>
          </cell>
          <cell r="Y1631">
            <v>0</v>
          </cell>
          <cell r="Z1631">
            <v>1424</v>
          </cell>
          <cell r="AA1631">
            <v>0</v>
          </cell>
          <cell r="AB1631">
            <v>0</v>
          </cell>
          <cell r="AC1631">
            <v>0</v>
          </cell>
          <cell r="AD1631">
            <v>7.8E-2</v>
          </cell>
          <cell r="AE1631">
            <v>0</v>
          </cell>
          <cell r="AF1631">
            <v>0</v>
          </cell>
          <cell r="AG1631">
            <v>0</v>
          </cell>
          <cell r="AH1631">
            <v>0</v>
          </cell>
          <cell r="AI1631">
            <v>0</v>
          </cell>
          <cell r="AJ1631">
            <v>0</v>
          </cell>
          <cell r="AK1631">
            <v>0</v>
          </cell>
          <cell r="AL1631">
            <v>0</v>
          </cell>
        </row>
        <row r="1632">
          <cell r="E1632" t="str">
            <v>CVVS 1.25sq-20C</v>
          </cell>
          <cell r="F1632" t="str">
            <v>ｍ</v>
          </cell>
          <cell r="G1632">
            <v>0</v>
          </cell>
          <cell r="H1632">
            <v>583</v>
          </cell>
          <cell r="I1632">
            <v>0</v>
          </cell>
          <cell r="J1632">
            <v>583</v>
          </cell>
          <cell r="K1632">
            <v>0</v>
          </cell>
          <cell r="L1632">
            <v>583</v>
          </cell>
          <cell r="M1632">
            <v>0</v>
          </cell>
          <cell r="N1632">
            <v>583</v>
          </cell>
          <cell r="O1632">
            <v>0</v>
          </cell>
          <cell r="P1632">
            <v>583</v>
          </cell>
          <cell r="Q1632">
            <v>0</v>
          </cell>
          <cell r="R1632">
            <v>583</v>
          </cell>
          <cell r="S1632">
            <v>0</v>
          </cell>
          <cell r="T1632">
            <v>583</v>
          </cell>
          <cell r="U1632">
            <v>0</v>
          </cell>
          <cell r="V1632">
            <v>583</v>
          </cell>
          <cell r="W1632">
            <v>0</v>
          </cell>
          <cell r="X1632">
            <v>583</v>
          </cell>
          <cell r="Y1632">
            <v>0</v>
          </cell>
          <cell r="Z1632">
            <v>583</v>
          </cell>
          <cell r="AA1632">
            <v>0</v>
          </cell>
          <cell r="AB1632">
            <v>0</v>
          </cell>
          <cell r="AC1632">
            <v>0</v>
          </cell>
          <cell r="AD1632">
            <v>6.3E-2</v>
          </cell>
          <cell r="AE1632">
            <v>0</v>
          </cell>
          <cell r="AF1632">
            <v>0</v>
          </cell>
          <cell r="AG1632">
            <v>0</v>
          </cell>
          <cell r="AH1632">
            <v>0</v>
          </cell>
          <cell r="AI1632">
            <v>0</v>
          </cell>
          <cell r="AJ1632">
            <v>0</v>
          </cell>
          <cell r="AK1632">
            <v>0</v>
          </cell>
          <cell r="AL1632">
            <v>0</v>
          </cell>
        </row>
        <row r="1633">
          <cell r="E1633" t="str">
            <v>CVVS 2sq-20C</v>
          </cell>
          <cell r="F1633" t="str">
            <v>ｍ</v>
          </cell>
          <cell r="G1633">
            <v>0</v>
          </cell>
          <cell r="H1633">
            <v>783</v>
          </cell>
          <cell r="I1633">
            <v>0</v>
          </cell>
          <cell r="J1633">
            <v>783</v>
          </cell>
          <cell r="K1633">
            <v>0</v>
          </cell>
          <cell r="L1633">
            <v>783</v>
          </cell>
          <cell r="M1633">
            <v>0</v>
          </cell>
          <cell r="N1633">
            <v>783</v>
          </cell>
          <cell r="O1633">
            <v>0</v>
          </cell>
          <cell r="P1633">
            <v>783</v>
          </cell>
          <cell r="Q1633">
            <v>0</v>
          </cell>
          <cell r="R1633">
            <v>783</v>
          </cell>
          <cell r="S1633">
            <v>0</v>
          </cell>
          <cell r="T1633">
            <v>783</v>
          </cell>
          <cell r="U1633">
            <v>0</v>
          </cell>
          <cell r="V1633">
            <v>783</v>
          </cell>
          <cell r="W1633">
            <v>0</v>
          </cell>
          <cell r="X1633">
            <v>783</v>
          </cell>
          <cell r="Y1633">
            <v>0</v>
          </cell>
          <cell r="Z1633">
            <v>783</v>
          </cell>
          <cell r="AA1633">
            <v>0</v>
          </cell>
          <cell r="AB1633">
            <v>0</v>
          </cell>
          <cell r="AC1633">
            <v>0</v>
          </cell>
          <cell r="AD1633">
            <v>7.0000000000000007E-2</v>
          </cell>
          <cell r="AE1633">
            <v>0</v>
          </cell>
          <cell r="AF1633">
            <v>0</v>
          </cell>
          <cell r="AG1633">
            <v>0</v>
          </cell>
          <cell r="AH1633">
            <v>0</v>
          </cell>
          <cell r="AI1633">
            <v>0</v>
          </cell>
          <cell r="AJ1633">
            <v>0</v>
          </cell>
          <cell r="AK1633">
            <v>0</v>
          </cell>
          <cell r="AL1633">
            <v>0</v>
          </cell>
        </row>
        <row r="1634">
          <cell r="E1634" t="str">
            <v>CVVS 3.5sq-20C</v>
          </cell>
          <cell r="F1634" t="str">
            <v>ｍ</v>
          </cell>
          <cell r="G1634">
            <v>0</v>
          </cell>
          <cell r="H1634">
            <v>1164</v>
          </cell>
          <cell r="I1634">
            <v>0</v>
          </cell>
          <cell r="J1634">
            <v>1164</v>
          </cell>
          <cell r="K1634">
            <v>0</v>
          </cell>
          <cell r="L1634">
            <v>1164</v>
          </cell>
          <cell r="M1634">
            <v>0</v>
          </cell>
          <cell r="N1634">
            <v>1164</v>
          </cell>
          <cell r="O1634">
            <v>0</v>
          </cell>
          <cell r="P1634">
            <v>1164</v>
          </cell>
          <cell r="Q1634">
            <v>0</v>
          </cell>
          <cell r="R1634">
            <v>1164</v>
          </cell>
          <cell r="S1634">
            <v>0</v>
          </cell>
          <cell r="T1634">
            <v>1164</v>
          </cell>
          <cell r="U1634">
            <v>0</v>
          </cell>
          <cell r="V1634">
            <v>1164</v>
          </cell>
          <cell r="W1634">
            <v>0</v>
          </cell>
          <cell r="X1634">
            <v>1164</v>
          </cell>
          <cell r="Y1634">
            <v>0</v>
          </cell>
          <cell r="Z1634">
            <v>1164</v>
          </cell>
          <cell r="AA1634">
            <v>0</v>
          </cell>
          <cell r="AB1634">
            <v>0</v>
          </cell>
          <cell r="AC1634">
            <v>0</v>
          </cell>
          <cell r="AD1634">
            <v>7.6999999999999999E-2</v>
          </cell>
          <cell r="AE1634">
            <v>0</v>
          </cell>
          <cell r="AF1634">
            <v>0</v>
          </cell>
          <cell r="AG1634">
            <v>0</v>
          </cell>
          <cell r="AH1634">
            <v>0</v>
          </cell>
          <cell r="AI1634">
            <v>0</v>
          </cell>
          <cell r="AJ1634">
            <v>0</v>
          </cell>
          <cell r="AK1634">
            <v>0</v>
          </cell>
          <cell r="AL1634">
            <v>0</v>
          </cell>
        </row>
        <row r="1635">
          <cell r="E1635" t="str">
            <v>CVVS 5.5sq-20C</v>
          </cell>
          <cell r="F1635" t="str">
            <v>ｍ</v>
          </cell>
          <cell r="G1635">
            <v>0</v>
          </cell>
          <cell r="H1635">
            <v>1844</v>
          </cell>
          <cell r="I1635">
            <v>0</v>
          </cell>
          <cell r="J1635">
            <v>1844</v>
          </cell>
          <cell r="K1635">
            <v>0</v>
          </cell>
          <cell r="L1635">
            <v>1844</v>
          </cell>
          <cell r="M1635">
            <v>0</v>
          </cell>
          <cell r="N1635">
            <v>1844</v>
          </cell>
          <cell r="O1635">
            <v>0</v>
          </cell>
          <cell r="P1635">
            <v>1844</v>
          </cell>
          <cell r="Q1635">
            <v>0</v>
          </cell>
          <cell r="R1635">
            <v>1844</v>
          </cell>
          <cell r="S1635">
            <v>0</v>
          </cell>
          <cell r="T1635">
            <v>1844</v>
          </cell>
          <cell r="U1635">
            <v>0</v>
          </cell>
          <cell r="V1635">
            <v>1844</v>
          </cell>
          <cell r="W1635">
            <v>0</v>
          </cell>
          <cell r="X1635">
            <v>1844</v>
          </cell>
          <cell r="Y1635">
            <v>0</v>
          </cell>
          <cell r="Z1635">
            <v>1844</v>
          </cell>
          <cell r="AA1635">
            <v>0</v>
          </cell>
          <cell r="AB1635">
            <v>0</v>
          </cell>
          <cell r="AC1635">
            <v>0</v>
          </cell>
          <cell r="AD1635">
            <v>9.0999999999999998E-2</v>
          </cell>
          <cell r="AE1635">
            <v>0</v>
          </cell>
          <cell r="AF1635">
            <v>0</v>
          </cell>
          <cell r="AG1635">
            <v>0</v>
          </cell>
          <cell r="AH1635">
            <v>0</v>
          </cell>
          <cell r="AI1635">
            <v>0</v>
          </cell>
          <cell r="AJ1635">
            <v>0</v>
          </cell>
          <cell r="AK1635">
            <v>0</v>
          </cell>
          <cell r="AL1635">
            <v>0</v>
          </cell>
        </row>
        <row r="1636">
          <cell r="E1636" t="str">
            <v>CEES 1.25sq-2C</v>
          </cell>
          <cell r="F1636" t="str">
            <v>ｍ</v>
          </cell>
          <cell r="G1636">
            <v>0</v>
          </cell>
          <cell r="H1636">
            <v>169</v>
          </cell>
          <cell r="I1636">
            <v>0</v>
          </cell>
          <cell r="J1636">
            <v>169</v>
          </cell>
          <cell r="K1636">
            <v>0</v>
          </cell>
          <cell r="L1636">
            <v>169</v>
          </cell>
          <cell r="M1636">
            <v>0</v>
          </cell>
          <cell r="N1636">
            <v>169</v>
          </cell>
          <cell r="O1636">
            <v>0</v>
          </cell>
          <cell r="P1636">
            <v>169</v>
          </cell>
          <cell r="Q1636">
            <v>0</v>
          </cell>
          <cell r="R1636">
            <v>169</v>
          </cell>
          <cell r="S1636">
            <v>0</v>
          </cell>
          <cell r="T1636">
            <v>169</v>
          </cell>
          <cell r="U1636">
            <v>0</v>
          </cell>
          <cell r="V1636">
            <v>169</v>
          </cell>
          <cell r="W1636">
            <v>0</v>
          </cell>
          <cell r="X1636">
            <v>169</v>
          </cell>
          <cell r="Y1636">
            <v>0</v>
          </cell>
          <cell r="Z1636">
            <v>169</v>
          </cell>
          <cell r="AA1636">
            <v>0</v>
          </cell>
          <cell r="AB1636">
            <v>0</v>
          </cell>
          <cell r="AC1636">
            <v>0</v>
          </cell>
          <cell r="AD1636">
            <v>1.4999999999999999E-2</v>
          </cell>
          <cell r="AE1636">
            <v>0</v>
          </cell>
          <cell r="AF1636">
            <v>0</v>
          </cell>
          <cell r="AG1636">
            <v>0</v>
          </cell>
          <cell r="AH1636">
            <v>0</v>
          </cell>
          <cell r="AI1636">
            <v>0</v>
          </cell>
          <cell r="AJ1636">
            <v>0</v>
          </cell>
          <cell r="AK1636">
            <v>0</v>
          </cell>
          <cell r="AL1636">
            <v>0</v>
          </cell>
        </row>
        <row r="1637">
          <cell r="E1637" t="str">
            <v>CEES 2sq-2C</v>
          </cell>
          <cell r="F1637" t="str">
            <v>ｍ</v>
          </cell>
          <cell r="G1637">
            <v>0</v>
          </cell>
          <cell r="H1637">
            <v>199</v>
          </cell>
          <cell r="I1637">
            <v>0</v>
          </cell>
          <cell r="J1637">
            <v>199</v>
          </cell>
          <cell r="K1637">
            <v>0</v>
          </cell>
          <cell r="L1637">
            <v>199</v>
          </cell>
          <cell r="M1637">
            <v>0</v>
          </cell>
          <cell r="N1637">
            <v>199</v>
          </cell>
          <cell r="O1637">
            <v>0</v>
          </cell>
          <cell r="P1637">
            <v>199</v>
          </cell>
          <cell r="Q1637">
            <v>0</v>
          </cell>
          <cell r="R1637">
            <v>199</v>
          </cell>
          <cell r="S1637">
            <v>0</v>
          </cell>
          <cell r="T1637">
            <v>199</v>
          </cell>
          <cell r="U1637">
            <v>0</v>
          </cell>
          <cell r="V1637">
            <v>199</v>
          </cell>
          <cell r="W1637">
            <v>0</v>
          </cell>
          <cell r="X1637">
            <v>199</v>
          </cell>
          <cell r="Y1637">
            <v>0</v>
          </cell>
          <cell r="Z1637">
            <v>199</v>
          </cell>
          <cell r="AA1637">
            <v>0</v>
          </cell>
          <cell r="AB1637">
            <v>0</v>
          </cell>
          <cell r="AC1637">
            <v>0</v>
          </cell>
          <cell r="AD1637">
            <v>1.7000000000000001E-2</v>
          </cell>
          <cell r="AE1637">
            <v>0</v>
          </cell>
          <cell r="AF1637">
            <v>0</v>
          </cell>
          <cell r="AG1637">
            <v>0</v>
          </cell>
          <cell r="AH1637">
            <v>0</v>
          </cell>
          <cell r="AI1637">
            <v>0</v>
          </cell>
          <cell r="AJ1637">
            <v>0</v>
          </cell>
          <cell r="AK1637">
            <v>0</v>
          </cell>
          <cell r="AL1637">
            <v>0</v>
          </cell>
        </row>
        <row r="1638">
          <cell r="E1638" t="str">
            <v>CEES 3.5sq-2C</v>
          </cell>
          <cell r="F1638" t="str">
            <v>ｍ</v>
          </cell>
          <cell r="G1638">
            <v>0</v>
          </cell>
          <cell r="H1638">
            <v>298</v>
          </cell>
          <cell r="I1638">
            <v>0</v>
          </cell>
          <cell r="J1638">
            <v>298</v>
          </cell>
          <cell r="K1638">
            <v>0</v>
          </cell>
          <cell r="L1638">
            <v>298</v>
          </cell>
          <cell r="M1638">
            <v>0</v>
          </cell>
          <cell r="N1638">
            <v>298</v>
          </cell>
          <cell r="O1638">
            <v>0</v>
          </cell>
          <cell r="P1638">
            <v>298</v>
          </cell>
          <cell r="Q1638">
            <v>0</v>
          </cell>
          <cell r="R1638">
            <v>298</v>
          </cell>
          <cell r="S1638">
            <v>0</v>
          </cell>
          <cell r="T1638">
            <v>298</v>
          </cell>
          <cell r="U1638">
            <v>0</v>
          </cell>
          <cell r="V1638">
            <v>298</v>
          </cell>
          <cell r="W1638">
            <v>0</v>
          </cell>
          <cell r="X1638">
            <v>298</v>
          </cell>
          <cell r="Y1638">
            <v>0</v>
          </cell>
          <cell r="Z1638">
            <v>298</v>
          </cell>
          <cell r="AA1638">
            <v>0</v>
          </cell>
          <cell r="AB1638">
            <v>0</v>
          </cell>
          <cell r="AC1638">
            <v>0</v>
          </cell>
          <cell r="AD1638">
            <v>1.7999999999999999E-2</v>
          </cell>
          <cell r="AE1638">
            <v>0</v>
          </cell>
          <cell r="AF1638">
            <v>0</v>
          </cell>
          <cell r="AG1638">
            <v>0</v>
          </cell>
          <cell r="AH1638">
            <v>0</v>
          </cell>
          <cell r="AI1638">
            <v>0</v>
          </cell>
          <cell r="AJ1638">
            <v>0</v>
          </cell>
          <cell r="AK1638">
            <v>0</v>
          </cell>
          <cell r="AL1638">
            <v>0</v>
          </cell>
        </row>
        <row r="1639">
          <cell r="E1639" t="str">
            <v>CEES 5.5sq-2C</v>
          </cell>
          <cell r="F1639" t="str">
            <v>ｍ</v>
          </cell>
          <cell r="G1639">
            <v>0</v>
          </cell>
          <cell r="H1639">
            <v>360</v>
          </cell>
          <cell r="I1639">
            <v>0</v>
          </cell>
          <cell r="J1639">
            <v>360</v>
          </cell>
          <cell r="K1639">
            <v>0</v>
          </cell>
          <cell r="L1639">
            <v>360</v>
          </cell>
          <cell r="M1639">
            <v>0</v>
          </cell>
          <cell r="N1639">
            <v>360</v>
          </cell>
          <cell r="O1639">
            <v>0</v>
          </cell>
          <cell r="P1639">
            <v>360</v>
          </cell>
          <cell r="Q1639">
            <v>0</v>
          </cell>
          <cell r="R1639">
            <v>360</v>
          </cell>
          <cell r="S1639">
            <v>0</v>
          </cell>
          <cell r="T1639">
            <v>360</v>
          </cell>
          <cell r="U1639">
            <v>0</v>
          </cell>
          <cell r="V1639">
            <v>360</v>
          </cell>
          <cell r="W1639">
            <v>0</v>
          </cell>
          <cell r="X1639">
            <v>360</v>
          </cell>
          <cell r="Y1639">
            <v>0</v>
          </cell>
          <cell r="Z1639">
            <v>360</v>
          </cell>
          <cell r="AA1639">
            <v>0</v>
          </cell>
          <cell r="AB1639">
            <v>0</v>
          </cell>
          <cell r="AC1639">
            <v>0</v>
          </cell>
          <cell r="AD1639">
            <v>2.1000000000000001E-2</v>
          </cell>
          <cell r="AE1639">
            <v>0</v>
          </cell>
          <cell r="AF1639">
            <v>0</v>
          </cell>
          <cell r="AG1639">
            <v>0</v>
          </cell>
          <cell r="AH1639">
            <v>0</v>
          </cell>
          <cell r="AI1639">
            <v>0</v>
          </cell>
          <cell r="AJ1639">
            <v>0</v>
          </cell>
          <cell r="AK1639">
            <v>0</v>
          </cell>
          <cell r="AL1639">
            <v>0</v>
          </cell>
        </row>
        <row r="1640">
          <cell r="E1640" t="str">
            <v>CEES 1.25sq-3C</v>
          </cell>
          <cell r="F1640" t="str">
            <v>ｍ</v>
          </cell>
          <cell r="G1640">
            <v>0</v>
          </cell>
          <cell r="H1640">
            <v>199</v>
          </cell>
          <cell r="I1640">
            <v>0</v>
          </cell>
          <cell r="J1640">
            <v>199</v>
          </cell>
          <cell r="K1640">
            <v>0</v>
          </cell>
          <cell r="L1640">
            <v>199</v>
          </cell>
          <cell r="M1640">
            <v>0</v>
          </cell>
          <cell r="N1640">
            <v>199</v>
          </cell>
          <cell r="O1640">
            <v>0</v>
          </cell>
          <cell r="P1640">
            <v>199</v>
          </cell>
          <cell r="Q1640">
            <v>0</v>
          </cell>
          <cell r="R1640">
            <v>199</v>
          </cell>
          <cell r="S1640">
            <v>0</v>
          </cell>
          <cell r="T1640">
            <v>199</v>
          </cell>
          <cell r="U1640">
            <v>0</v>
          </cell>
          <cell r="V1640">
            <v>199</v>
          </cell>
          <cell r="W1640">
            <v>0</v>
          </cell>
          <cell r="X1640">
            <v>199</v>
          </cell>
          <cell r="Y1640">
            <v>0</v>
          </cell>
          <cell r="Z1640">
            <v>199</v>
          </cell>
          <cell r="AA1640">
            <v>0</v>
          </cell>
          <cell r="AB1640">
            <v>0</v>
          </cell>
          <cell r="AC1640">
            <v>0</v>
          </cell>
          <cell r="AD1640">
            <v>1.9E-2</v>
          </cell>
          <cell r="AE1640">
            <v>0</v>
          </cell>
          <cell r="AF1640">
            <v>0</v>
          </cell>
          <cell r="AG1640">
            <v>0</v>
          </cell>
          <cell r="AH1640">
            <v>0</v>
          </cell>
          <cell r="AI1640">
            <v>0</v>
          </cell>
          <cell r="AJ1640">
            <v>0</v>
          </cell>
          <cell r="AK1640">
            <v>0</v>
          </cell>
          <cell r="AL1640">
            <v>0</v>
          </cell>
        </row>
        <row r="1641">
          <cell r="E1641" t="str">
            <v>CEES 2sq-3C</v>
          </cell>
          <cell r="F1641" t="str">
            <v>ｍ</v>
          </cell>
          <cell r="G1641">
            <v>0</v>
          </cell>
          <cell r="H1641">
            <v>284</v>
          </cell>
          <cell r="I1641">
            <v>0</v>
          </cell>
          <cell r="J1641">
            <v>284</v>
          </cell>
          <cell r="K1641">
            <v>0</v>
          </cell>
          <cell r="L1641">
            <v>284</v>
          </cell>
          <cell r="M1641">
            <v>0</v>
          </cell>
          <cell r="N1641">
            <v>284</v>
          </cell>
          <cell r="O1641">
            <v>0</v>
          </cell>
          <cell r="P1641">
            <v>284</v>
          </cell>
          <cell r="Q1641">
            <v>0</v>
          </cell>
          <cell r="R1641">
            <v>284</v>
          </cell>
          <cell r="S1641">
            <v>0</v>
          </cell>
          <cell r="T1641">
            <v>284</v>
          </cell>
          <cell r="U1641">
            <v>0</v>
          </cell>
          <cell r="V1641">
            <v>284</v>
          </cell>
          <cell r="W1641">
            <v>0</v>
          </cell>
          <cell r="X1641">
            <v>284</v>
          </cell>
          <cell r="Y1641">
            <v>0</v>
          </cell>
          <cell r="Z1641">
            <v>284</v>
          </cell>
          <cell r="AA1641">
            <v>0</v>
          </cell>
          <cell r="AB1641">
            <v>0</v>
          </cell>
          <cell r="AC1641">
            <v>0</v>
          </cell>
          <cell r="AD1641">
            <v>2.1000000000000001E-2</v>
          </cell>
          <cell r="AE1641">
            <v>0</v>
          </cell>
          <cell r="AF1641">
            <v>0</v>
          </cell>
          <cell r="AG1641">
            <v>0</v>
          </cell>
          <cell r="AH1641">
            <v>0</v>
          </cell>
          <cell r="AI1641">
            <v>0</v>
          </cell>
          <cell r="AJ1641">
            <v>0</v>
          </cell>
          <cell r="AK1641">
            <v>0</v>
          </cell>
          <cell r="AL1641">
            <v>0</v>
          </cell>
        </row>
        <row r="1642">
          <cell r="E1642" t="str">
            <v>CEES 3.5sq-3C</v>
          </cell>
          <cell r="F1642" t="str">
            <v>ｍ</v>
          </cell>
          <cell r="G1642">
            <v>0</v>
          </cell>
          <cell r="H1642">
            <v>363</v>
          </cell>
          <cell r="I1642">
            <v>0</v>
          </cell>
          <cell r="J1642">
            <v>363</v>
          </cell>
          <cell r="K1642">
            <v>0</v>
          </cell>
          <cell r="L1642">
            <v>363</v>
          </cell>
          <cell r="M1642">
            <v>0</v>
          </cell>
          <cell r="N1642">
            <v>363</v>
          </cell>
          <cell r="O1642">
            <v>0</v>
          </cell>
          <cell r="P1642">
            <v>363</v>
          </cell>
          <cell r="Q1642">
            <v>0</v>
          </cell>
          <cell r="R1642">
            <v>363</v>
          </cell>
          <cell r="S1642">
            <v>0</v>
          </cell>
          <cell r="T1642">
            <v>363</v>
          </cell>
          <cell r="U1642">
            <v>0</v>
          </cell>
          <cell r="V1642">
            <v>363</v>
          </cell>
          <cell r="W1642">
            <v>0</v>
          </cell>
          <cell r="X1642">
            <v>363</v>
          </cell>
          <cell r="Y1642">
            <v>0</v>
          </cell>
          <cell r="Z1642">
            <v>363</v>
          </cell>
          <cell r="AA1642">
            <v>0</v>
          </cell>
          <cell r="AB1642">
            <v>0</v>
          </cell>
          <cell r="AC1642">
            <v>0</v>
          </cell>
          <cell r="AD1642">
            <v>2.4E-2</v>
          </cell>
          <cell r="AE1642">
            <v>0</v>
          </cell>
          <cell r="AF1642">
            <v>0</v>
          </cell>
          <cell r="AG1642">
            <v>0</v>
          </cell>
          <cell r="AH1642">
            <v>0</v>
          </cell>
          <cell r="AI1642">
            <v>0</v>
          </cell>
          <cell r="AJ1642">
            <v>0</v>
          </cell>
          <cell r="AK1642">
            <v>0</v>
          </cell>
          <cell r="AL1642">
            <v>0</v>
          </cell>
        </row>
        <row r="1643">
          <cell r="E1643" t="str">
            <v>CEES 5.5sq-3C</v>
          </cell>
          <cell r="F1643" t="str">
            <v>ｍ</v>
          </cell>
          <cell r="G1643">
            <v>0</v>
          </cell>
          <cell r="H1643">
            <v>446</v>
          </cell>
          <cell r="I1643">
            <v>0</v>
          </cell>
          <cell r="J1643">
            <v>446</v>
          </cell>
          <cell r="K1643">
            <v>0</v>
          </cell>
          <cell r="L1643">
            <v>446</v>
          </cell>
          <cell r="M1643">
            <v>0</v>
          </cell>
          <cell r="N1643">
            <v>446</v>
          </cell>
          <cell r="O1643">
            <v>0</v>
          </cell>
          <cell r="P1643">
            <v>446</v>
          </cell>
          <cell r="Q1643">
            <v>0</v>
          </cell>
          <cell r="R1643">
            <v>446</v>
          </cell>
          <cell r="S1643">
            <v>0</v>
          </cell>
          <cell r="T1643">
            <v>446</v>
          </cell>
          <cell r="U1643">
            <v>0</v>
          </cell>
          <cell r="V1643">
            <v>446</v>
          </cell>
          <cell r="W1643">
            <v>0</v>
          </cell>
          <cell r="X1643">
            <v>446</v>
          </cell>
          <cell r="Y1643">
            <v>0</v>
          </cell>
          <cell r="Z1643">
            <v>446</v>
          </cell>
          <cell r="AA1643">
            <v>0</v>
          </cell>
          <cell r="AB1643">
            <v>0</v>
          </cell>
          <cell r="AC1643">
            <v>0</v>
          </cell>
          <cell r="AD1643">
            <v>0.03</v>
          </cell>
          <cell r="AE1643">
            <v>0</v>
          </cell>
          <cell r="AF1643">
            <v>0</v>
          </cell>
          <cell r="AG1643">
            <v>0</v>
          </cell>
          <cell r="AH1643">
            <v>0</v>
          </cell>
          <cell r="AI1643">
            <v>0</v>
          </cell>
          <cell r="AJ1643">
            <v>0</v>
          </cell>
          <cell r="AK1643">
            <v>0</v>
          </cell>
          <cell r="AL1643">
            <v>0</v>
          </cell>
        </row>
        <row r="1644">
          <cell r="E1644" t="str">
            <v>CEES 1.25sq-4C</v>
          </cell>
          <cell r="F1644" t="str">
            <v>ｍ</v>
          </cell>
          <cell r="G1644">
            <v>0</v>
          </cell>
          <cell r="H1644">
            <v>284</v>
          </cell>
          <cell r="I1644">
            <v>0</v>
          </cell>
          <cell r="J1644">
            <v>284</v>
          </cell>
          <cell r="K1644">
            <v>0</v>
          </cell>
          <cell r="L1644">
            <v>284</v>
          </cell>
          <cell r="M1644">
            <v>0</v>
          </cell>
          <cell r="N1644">
            <v>284</v>
          </cell>
          <cell r="O1644">
            <v>0</v>
          </cell>
          <cell r="P1644">
            <v>284</v>
          </cell>
          <cell r="Q1644">
            <v>0</v>
          </cell>
          <cell r="R1644">
            <v>284</v>
          </cell>
          <cell r="S1644">
            <v>0</v>
          </cell>
          <cell r="T1644">
            <v>284</v>
          </cell>
          <cell r="U1644">
            <v>0</v>
          </cell>
          <cell r="V1644">
            <v>284</v>
          </cell>
          <cell r="W1644">
            <v>0</v>
          </cell>
          <cell r="X1644">
            <v>284</v>
          </cell>
          <cell r="Y1644">
            <v>0</v>
          </cell>
          <cell r="Z1644">
            <v>284</v>
          </cell>
          <cell r="AA1644">
            <v>0</v>
          </cell>
          <cell r="AB1644">
            <v>0</v>
          </cell>
          <cell r="AC1644">
            <v>0</v>
          </cell>
          <cell r="AD1644">
            <v>2.1999999999999999E-2</v>
          </cell>
          <cell r="AE1644">
            <v>0</v>
          </cell>
          <cell r="AF1644">
            <v>0</v>
          </cell>
          <cell r="AG1644">
            <v>0</v>
          </cell>
          <cell r="AH1644">
            <v>0</v>
          </cell>
          <cell r="AI1644">
            <v>0</v>
          </cell>
          <cell r="AJ1644">
            <v>0</v>
          </cell>
          <cell r="AK1644">
            <v>0</v>
          </cell>
          <cell r="AL1644">
            <v>0</v>
          </cell>
        </row>
        <row r="1645">
          <cell r="E1645" t="str">
            <v>CEES 2sq-4C</v>
          </cell>
          <cell r="F1645" t="str">
            <v>ｍ</v>
          </cell>
          <cell r="G1645">
            <v>0</v>
          </cell>
          <cell r="H1645">
            <v>341</v>
          </cell>
          <cell r="I1645">
            <v>0</v>
          </cell>
          <cell r="J1645">
            <v>341</v>
          </cell>
          <cell r="K1645">
            <v>0</v>
          </cell>
          <cell r="L1645">
            <v>341</v>
          </cell>
          <cell r="M1645">
            <v>0</v>
          </cell>
          <cell r="N1645">
            <v>341</v>
          </cell>
          <cell r="O1645">
            <v>0</v>
          </cell>
          <cell r="P1645">
            <v>341</v>
          </cell>
          <cell r="Q1645">
            <v>0</v>
          </cell>
          <cell r="R1645">
            <v>341</v>
          </cell>
          <cell r="S1645">
            <v>0</v>
          </cell>
          <cell r="T1645">
            <v>341</v>
          </cell>
          <cell r="U1645">
            <v>0</v>
          </cell>
          <cell r="V1645">
            <v>341</v>
          </cell>
          <cell r="W1645">
            <v>0</v>
          </cell>
          <cell r="X1645">
            <v>341</v>
          </cell>
          <cell r="Y1645">
            <v>0</v>
          </cell>
          <cell r="Z1645">
            <v>341</v>
          </cell>
          <cell r="AA1645">
            <v>0</v>
          </cell>
          <cell r="AB1645">
            <v>0</v>
          </cell>
          <cell r="AC1645">
            <v>0</v>
          </cell>
          <cell r="AD1645">
            <v>2.3E-2</v>
          </cell>
          <cell r="AE1645">
            <v>0</v>
          </cell>
          <cell r="AF1645">
            <v>0</v>
          </cell>
          <cell r="AG1645">
            <v>0</v>
          </cell>
          <cell r="AH1645">
            <v>0</v>
          </cell>
          <cell r="AI1645">
            <v>0</v>
          </cell>
          <cell r="AJ1645">
            <v>0</v>
          </cell>
          <cell r="AK1645">
            <v>0</v>
          </cell>
          <cell r="AL1645">
            <v>0</v>
          </cell>
        </row>
        <row r="1646">
          <cell r="E1646" t="str">
            <v>CEES 3.5sq-4C</v>
          </cell>
          <cell r="F1646" t="str">
            <v>ｍ</v>
          </cell>
          <cell r="G1646">
            <v>0</v>
          </cell>
          <cell r="H1646">
            <v>430</v>
          </cell>
          <cell r="I1646">
            <v>0</v>
          </cell>
          <cell r="J1646">
            <v>430</v>
          </cell>
          <cell r="K1646">
            <v>0</v>
          </cell>
          <cell r="L1646">
            <v>430</v>
          </cell>
          <cell r="M1646">
            <v>0</v>
          </cell>
          <cell r="N1646">
            <v>430</v>
          </cell>
          <cell r="O1646">
            <v>0</v>
          </cell>
          <cell r="P1646">
            <v>430</v>
          </cell>
          <cell r="Q1646">
            <v>0</v>
          </cell>
          <cell r="R1646">
            <v>430</v>
          </cell>
          <cell r="S1646">
            <v>0</v>
          </cell>
          <cell r="T1646">
            <v>430</v>
          </cell>
          <cell r="U1646">
            <v>0</v>
          </cell>
          <cell r="V1646">
            <v>430</v>
          </cell>
          <cell r="W1646">
            <v>0</v>
          </cell>
          <cell r="X1646">
            <v>430</v>
          </cell>
          <cell r="Y1646">
            <v>0</v>
          </cell>
          <cell r="Z1646">
            <v>430</v>
          </cell>
          <cell r="AA1646">
            <v>0</v>
          </cell>
          <cell r="AB1646">
            <v>0</v>
          </cell>
          <cell r="AC1646">
            <v>0</v>
          </cell>
          <cell r="AD1646">
            <v>2.8000000000000001E-2</v>
          </cell>
          <cell r="AE1646">
            <v>0</v>
          </cell>
          <cell r="AF1646">
            <v>0</v>
          </cell>
          <cell r="AG1646">
            <v>0</v>
          </cell>
          <cell r="AH1646">
            <v>0</v>
          </cell>
          <cell r="AI1646">
            <v>0</v>
          </cell>
          <cell r="AJ1646">
            <v>0</v>
          </cell>
          <cell r="AK1646">
            <v>0</v>
          </cell>
          <cell r="AL1646">
            <v>0</v>
          </cell>
        </row>
        <row r="1647">
          <cell r="E1647" t="str">
            <v>CEES 5.5sq-4C</v>
          </cell>
          <cell r="F1647" t="str">
            <v>ｍ</v>
          </cell>
          <cell r="G1647">
            <v>0</v>
          </cell>
          <cell r="H1647">
            <v>526</v>
          </cell>
          <cell r="I1647">
            <v>0</v>
          </cell>
          <cell r="J1647">
            <v>526</v>
          </cell>
          <cell r="K1647">
            <v>0</v>
          </cell>
          <cell r="L1647">
            <v>526</v>
          </cell>
          <cell r="M1647">
            <v>0</v>
          </cell>
          <cell r="N1647">
            <v>526</v>
          </cell>
          <cell r="O1647">
            <v>0</v>
          </cell>
          <cell r="P1647">
            <v>526</v>
          </cell>
          <cell r="Q1647">
            <v>0</v>
          </cell>
          <cell r="R1647">
            <v>526</v>
          </cell>
          <cell r="S1647">
            <v>0</v>
          </cell>
          <cell r="T1647">
            <v>526</v>
          </cell>
          <cell r="U1647">
            <v>0</v>
          </cell>
          <cell r="V1647">
            <v>526</v>
          </cell>
          <cell r="W1647">
            <v>0</v>
          </cell>
          <cell r="X1647">
            <v>526</v>
          </cell>
          <cell r="Y1647">
            <v>0</v>
          </cell>
          <cell r="Z1647">
            <v>526</v>
          </cell>
          <cell r="AA1647">
            <v>0</v>
          </cell>
          <cell r="AB1647">
            <v>0</v>
          </cell>
          <cell r="AC1647">
            <v>0</v>
          </cell>
          <cell r="AD1647">
            <v>3.4000000000000002E-2</v>
          </cell>
          <cell r="AE1647">
            <v>0</v>
          </cell>
          <cell r="AF1647">
            <v>0</v>
          </cell>
          <cell r="AG1647">
            <v>0</v>
          </cell>
          <cell r="AH1647">
            <v>0</v>
          </cell>
          <cell r="AI1647">
            <v>0</v>
          </cell>
          <cell r="AJ1647">
            <v>0</v>
          </cell>
          <cell r="AK1647">
            <v>0</v>
          </cell>
          <cell r="AL1647">
            <v>0</v>
          </cell>
        </row>
        <row r="1648">
          <cell r="E1648" t="str">
            <v>CEES 1.25sq-5C</v>
          </cell>
          <cell r="F1648" t="str">
            <v>ｍ</v>
          </cell>
          <cell r="G1648">
            <v>0</v>
          </cell>
          <cell r="H1648">
            <v>310</v>
          </cell>
          <cell r="I1648">
            <v>0</v>
          </cell>
          <cell r="J1648">
            <v>310</v>
          </cell>
          <cell r="K1648">
            <v>0</v>
          </cell>
          <cell r="L1648">
            <v>310</v>
          </cell>
          <cell r="M1648">
            <v>0</v>
          </cell>
          <cell r="N1648">
            <v>310</v>
          </cell>
          <cell r="O1648">
            <v>0</v>
          </cell>
          <cell r="P1648">
            <v>310</v>
          </cell>
          <cell r="Q1648">
            <v>0</v>
          </cell>
          <cell r="R1648">
            <v>310</v>
          </cell>
          <cell r="S1648">
            <v>0</v>
          </cell>
          <cell r="T1648">
            <v>310</v>
          </cell>
          <cell r="U1648">
            <v>0</v>
          </cell>
          <cell r="V1648">
            <v>310</v>
          </cell>
          <cell r="W1648">
            <v>0</v>
          </cell>
          <cell r="X1648">
            <v>310</v>
          </cell>
          <cell r="Y1648">
            <v>0</v>
          </cell>
          <cell r="Z1648">
            <v>310</v>
          </cell>
          <cell r="AA1648">
            <v>0</v>
          </cell>
          <cell r="AB1648">
            <v>0</v>
          </cell>
          <cell r="AC1648">
            <v>0</v>
          </cell>
          <cell r="AD1648">
            <v>2.5000000000000001E-2</v>
          </cell>
          <cell r="AE1648">
            <v>0</v>
          </cell>
          <cell r="AF1648">
            <v>0</v>
          </cell>
          <cell r="AG1648">
            <v>0</v>
          </cell>
          <cell r="AH1648">
            <v>0</v>
          </cell>
          <cell r="AI1648">
            <v>0</v>
          </cell>
          <cell r="AJ1648">
            <v>0</v>
          </cell>
          <cell r="AK1648">
            <v>0</v>
          </cell>
          <cell r="AL1648">
            <v>0</v>
          </cell>
        </row>
        <row r="1649">
          <cell r="E1649" t="str">
            <v>CEES 2sq-5C</v>
          </cell>
          <cell r="F1649" t="str">
            <v>ｍ</v>
          </cell>
          <cell r="G1649">
            <v>0</v>
          </cell>
          <cell r="H1649">
            <v>374</v>
          </cell>
          <cell r="I1649">
            <v>0</v>
          </cell>
          <cell r="J1649">
            <v>374</v>
          </cell>
          <cell r="K1649">
            <v>0</v>
          </cell>
          <cell r="L1649">
            <v>374</v>
          </cell>
          <cell r="M1649">
            <v>0</v>
          </cell>
          <cell r="N1649">
            <v>374</v>
          </cell>
          <cell r="O1649">
            <v>0</v>
          </cell>
          <cell r="P1649">
            <v>374</v>
          </cell>
          <cell r="Q1649">
            <v>0</v>
          </cell>
          <cell r="R1649">
            <v>374</v>
          </cell>
          <cell r="S1649">
            <v>0</v>
          </cell>
          <cell r="T1649">
            <v>374</v>
          </cell>
          <cell r="U1649">
            <v>0</v>
          </cell>
          <cell r="V1649">
            <v>374</v>
          </cell>
          <cell r="W1649">
            <v>0</v>
          </cell>
          <cell r="X1649">
            <v>374</v>
          </cell>
          <cell r="Y1649">
            <v>0</v>
          </cell>
          <cell r="Z1649">
            <v>374</v>
          </cell>
          <cell r="AA1649">
            <v>0</v>
          </cell>
          <cell r="AB1649">
            <v>0</v>
          </cell>
          <cell r="AC1649">
            <v>0</v>
          </cell>
          <cell r="AD1649">
            <v>2.8000000000000001E-2</v>
          </cell>
          <cell r="AE1649">
            <v>0</v>
          </cell>
          <cell r="AF1649">
            <v>0</v>
          </cell>
          <cell r="AG1649">
            <v>0</v>
          </cell>
          <cell r="AH1649">
            <v>0</v>
          </cell>
          <cell r="AI1649">
            <v>0</v>
          </cell>
          <cell r="AJ1649">
            <v>0</v>
          </cell>
          <cell r="AK1649">
            <v>0</v>
          </cell>
          <cell r="AL1649">
            <v>0</v>
          </cell>
        </row>
        <row r="1650">
          <cell r="E1650" t="str">
            <v>CEES 3.5sq-5C</v>
          </cell>
          <cell r="F1650" t="str">
            <v>ｍ</v>
          </cell>
          <cell r="G1650">
            <v>0</v>
          </cell>
          <cell r="H1650">
            <v>471</v>
          </cell>
          <cell r="I1650">
            <v>0</v>
          </cell>
          <cell r="J1650">
            <v>471</v>
          </cell>
          <cell r="K1650">
            <v>0</v>
          </cell>
          <cell r="L1650">
            <v>471</v>
          </cell>
          <cell r="M1650">
            <v>0</v>
          </cell>
          <cell r="N1650">
            <v>471</v>
          </cell>
          <cell r="O1650">
            <v>0</v>
          </cell>
          <cell r="P1650">
            <v>471</v>
          </cell>
          <cell r="Q1650">
            <v>0</v>
          </cell>
          <cell r="R1650">
            <v>471</v>
          </cell>
          <cell r="S1650">
            <v>0</v>
          </cell>
          <cell r="T1650">
            <v>471</v>
          </cell>
          <cell r="U1650">
            <v>0</v>
          </cell>
          <cell r="V1650">
            <v>471</v>
          </cell>
          <cell r="W1650">
            <v>0</v>
          </cell>
          <cell r="X1650">
            <v>471</v>
          </cell>
          <cell r="Y1650">
            <v>0</v>
          </cell>
          <cell r="Z1650">
            <v>471</v>
          </cell>
          <cell r="AA1650">
            <v>0</v>
          </cell>
          <cell r="AB1650">
            <v>0</v>
          </cell>
          <cell r="AC1650">
            <v>0</v>
          </cell>
          <cell r="AD1650">
            <v>0.03</v>
          </cell>
          <cell r="AE1650">
            <v>0</v>
          </cell>
          <cell r="AF1650">
            <v>0</v>
          </cell>
          <cell r="AG1650">
            <v>0</v>
          </cell>
          <cell r="AH1650">
            <v>0</v>
          </cell>
          <cell r="AI1650">
            <v>0</v>
          </cell>
          <cell r="AJ1650">
            <v>0</v>
          </cell>
          <cell r="AK1650">
            <v>0</v>
          </cell>
          <cell r="AL1650">
            <v>0</v>
          </cell>
        </row>
        <row r="1651">
          <cell r="E1651" t="str">
            <v>CEES 5.5sq-5C</v>
          </cell>
          <cell r="F1651" t="str">
            <v>ｍ</v>
          </cell>
          <cell r="G1651">
            <v>0</v>
          </cell>
          <cell r="H1651">
            <v>622</v>
          </cell>
          <cell r="I1651">
            <v>0</v>
          </cell>
          <cell r="J1651">
            <v>622</v>
          </cell>
          <cell r="K1651">
            <v>0</v>
          </cell>
          <cell r="L1651">
            <v>622</v>
          </cell>
          <cell r="M1651">
            <v>0</v>
          </cell>
          <cell r="N1651">
            <v>622</v>
          </cell>
          <cell r="O1651">
            <v>0</v>
          </cell>
          <cell r="P1651">
            <v>622</v>
          </cell>
          <cell r="Q1651">
            <v>0</v>
          </cell>
          <cell r="R1651">
            <v>622</v>
          </cell>
          <cell r="S1651">
            <v>0</v>
          </cell>
          <cell r="T1651">
            <v>622</v>
          </cell>
          <cell r="U1651">
            <v>0</v>
          </cell>
          <cell r="V1651">
            <v>622</v>
          </cell>
          <cell r="W1651">
            <v>0</v>
          </cell>
          <cell r="X1651">
            <v>622</v>
          </cell>
          <cell r="Y1651">
            <v>0</v>
          </cell>
          <cell r="Z1651">
            <v>622</v>
          </cell>
          <cell r="AA1651">
            <v>0</v>
          </cell>
          <cell r="AB1651">
            <v>0</v>
          </cell>
          <cell r="AC1651">
            <v>0</v>
          </cell>
          <cell r="AD1651">
            <v>3.6999999999999998E-2</v>
          </cell>
          <cell r="AE1651">
            <v>0</v>
          </cell>
          <cell r="AF1651">
            <v>0</v>
          </cell>
          <cell r="AG1651">
            <v>0</v>
          </cell>
          <cell r="AH1651">
            <v>0</v>
          </cell>
          <cell r="AI1651">
            <v>0</v>
          </cell>
          <cell r="AJ1651">
            <v>0</v>
          </cell>
          <cell r="AK1651">
            <v>0</v>
          </cell>
          <cell r="AL1651">
            <v>0</v>
          </cell>
        </row>
        <row r="1652">
          <cell r="E1652" t="str">
            <v>CEES 1.25sq-6C</v>
          </cell>
          <cell r="F1652" t="str">
            <v>ｍ</v>
          </cell>
          <cell r="G1652">
            <v>0</v>
          </cell>
          <cell r="H1652">
            <v>345</v>
          </cell>
          <cell r="I1652">
            <v>0</v>
          </cell>
          <cell r="J1652">
            <v>345</v>
          </cell>
          <cell r="K1652">
            <v>0</v>
          </cell>
          <cell r="L1652">
            <v>345</v>
          </cell>
          <cell r="M1652">
            <v>0</v>
          </cell>
          <cell r="N1652">
            <v>345</v>
          </cell>
          <cell r="O1652">
            <v>0</v>
          </cell>
          <cell r="P1652">
            <v>345</v>
          </cell>
          <cell r="Q1652">
            <v>0</v>
          </cell>
          <cell r="R1652">
            <v>345</v>
          </cell>
          <cell r="S1652">
            <v>0</v>
          </cell>
          <cell r="T1652">
            <v>345</v>
          </cell>
          <cell r="U1652">
            <v>0</v>
          </cell>
          <cell r="V1652">
            <v>345</v>
          </cell>
          <cell r="W1652">
            <v>0</v>
          </cell>
          <cell r="X1652">
            <v>345</v>
          </cell>
          <cell r="Y1652">
            <v>0</v>
          </cell>
          <cell r="Z1652">
            <v>345</v>
          </cell>
          <cell r="AA1652">
            <v>0</v>
          </cell>
          <cell r="AB1652">
            <v>0</v>
          </cell>
          <cell r="AC1652">
            <v>0</v>
          </cell>
          <cell r="AD1652">
            <v>2.5000000000000001E-2</v>
          </cell>
          <cell r="AE1652">
            <v>0</v>
          </cell>
          <cell r="AF1652">
            <v>0</v>
          </cell>
          <cell r="AG1652">
            <v>0</v>
          </cell>
          <cell r="AH1652">
            <v>0</v>
          </cell>
          <cell r="AI1652">
            <v>0</v>
          </cell>
          <cell r="AJ1652">
            <v>0</v>
          </cell>
          <cell r="AK1652">
            <v>0</v>
          </cell>
          <cell r="AL1652">
            <v>0</v>
          </cell>
        </row>
        <row r="1653">
          <cell r="E1653" t="str">
            <v>CEES 2sq-6C</v>
          </cell>
          <cell r="F1653" t="str">
            <v>ｍ</v>
          </cell>
          <cell r="G1653">
            <v>0</v>
          </cell>
          <cell r="H1653">
            <v>426</v>
          </cell>
          <cell r="I1653">
            <v>0</v>
          </cell>
          <cell r="J1653">
            <v>426</v>
          </cell>
          <cell r="K1653">
            <v>0</v>
          </cell>
          <cell r="L1653">
            <v>426</v>
          </cell>
          <cell r="M1653">
            <v>0</v>
          </cell>
          <cell r="N1653">
            <v>426</v>
          </cell>
          <cell r="O1653">
            <v>0</v>
          </cell>
          <cell r="P1653">
            <v>426</v>
          </cell>
          <cell r="Q1653">
            <v>0</v>
          </cell>
          <cell r="R1653">
            <v>426</v>
          </cell>
          <cell r="S1653">
            <v>0</v>
          </cell>
          <cell r="T1653">
            <v>426</v>
          </cell>
          <cell r="U1653">
            <v>0</v>
          </cell>
          <cell r="V1653">
            <v>426</v>
          </cell>
          <cell r="W1653">
            <v>0</v>
          </cell>
          <cell r="X1653">
            <v>426</v>
          </cell>
          <cell r="Y1653">
            <v>0</v>
          </cell>
          <cell r="Z1653">
            <v>426</v>
          </cell>
          <cell r="AA1653">
            <v>0</v>
          </cell>
          <cell r="AB1653">
            <v>0</v>
          </cell>
          <cell r="AC1653">
            <v>0</v>
          </cell>
          <cell r="AD1653">
            <v>2.8000000000000001E-2</v>
          </cell>
          <cell r="AE1653">
            <v>0</v>
          </cell>
          <cell r="AF1653">
            <v>0</v>
          </cell>
          <cell r="AG1653">
            <v>0</v>
          </cell>
          <cell r="AH1653">
            <v>0</v>
          </cell>
          <cell r="AI1653">
            <v>0</v>
          </cell>
          <cell r="AJ1653">
            <v>0</v>
          </cell>
          <cell r="AK1653">
            <v>0</v>
          </cell>
          <cell r="AL1653">
            <v>0</v>
          </cell>
        </row>
        <row r="1654">
          <cell r="E1654" t="str">
            <v>CEES 3.5sq-6C</v>
          </cell>
          <cell r="F1654" t="str">
            <v>ｍ</v>
          </cell>
          <cell r="G1654">
            <v>0</v>
          </cell>
          <cell r="H1654">
            <v>532</v>
          </cell>
          <cell r="I1654">
            <v>0</v>
          </cell>
          <cell r="J1654">
            <v>532</v>
          </cell>
          <cell r="K1654">
            <v>0</v>
          </cell>
          <cell r="L1654">
            <v>532</v>
          </cell>
          <cell r="M1654">
            <v>0</v>
          </cell>
          <cell r="N1654">
            <v>532</v>
          </cell>
          <cell r="O1654">
            <v>0</v>
          </cell>
          <cell r="P1654">
            <v>532</v>
          </cell>
          <cell r="Q1654">
            <v>0</v>
          </cell>
          <cell r="R1654">
            <v>532</v>
          </cell>
          <cell r="S1654">
            <v>0</v>
          </cell>
          <cell r="T1654">
            <v>532</v>
          </cell>
          <cell r="U1654">
            <v>0</v>
          </cell>
          <cell r="V1654">
            <v>532</v>
          </cell>
          <cell r="W1654">
            <v>0</v>
          </cell>
          <cell r="X1654">
            <v>532</v>
          </cell>
          <cell r="Y1654">
            <v>0</v>
          </cell>
          <cell r="Z1654">
            <v>532</v>
          </cell>
          <cell r="AA1654">
            <v>0</v>
          </cell>
          <cell r="AB1654">
            <v>0</v>
          </cell>
          <cell r="AC1654">
            <v>0</v>
          </cell>
          <cell r="AD1654">
            <v>0.03</v>
          </cell>
          <cell r="AE1654">
            <v>0</v>
          </cell>
          <cell r="AF1654">
            <v>0</v>
          </cell>
          <cell r="AG1654">
            <v>0</v>
          </cell>
          <cell r="AH1654">
            <v>0</v>
          </cell>
          <cell r="AI1654">
            <v>0</v>
          </cell>
          <cell r="AJ1654">
            <v>0</v>
          </cell>
          <cell r="AK1654">
            <v>0</v>
          </cell>
          <cell r="AL1654">
            <v>0</v>
          </cell>
        </row>
        <row r="1655">
          <cell r="E1655" t="str">
            <v>CEES 5.5sq-6C</v>
          </cell>
          <cell r="F1655" t="str">
            <v>ｍ</v>
          </cell>
          <cell r="G1655">
            <v>0</v>
          </cell>
          <cell r="H1655">
            <v>706</v>
          </cell>
          <cell r="I1655">
            <v>0</v>
          </cell>
          <cell r="J1655">
            <v>706</v>
          </cell>
          <cell r="K1655">
            <v>0</v>
          </cell>
          <cell r="L1655">
            <v>706</v>
          </cell>
          <cell r="M1655">
            <v>0</v>
          </cell>
          <cell r="N1655">
            <v>706</v>
          </cell>
          <cell r="O1655">
            <v>0</v>
          </cell>
          <cell r="P1655">
            <v>706</v>
          </cell>
          <cell r="Q1655">
            <v>0</v>
          </cell>
          <cell r="R1655">
            <v>706</v>
          </cell>
          <cell r="S1655">
            <v>0</v>
          </cell>
          <cell r="T1655">
            <v>706</v>
          </cell>
          <cell r="U1655">
            <v>0</v>
          </cell>
          <cell r="V1655">
            <v>706</v>
          </cell>
          <cell r="W1655">
            <v>0</v>
          </cell>
          <cell r="X1655">
            <v>706</v>
          </cell>
          <cell r="Y1655">
            <v>0</v>
          </cell>
          <cell r="Z1655">
            <v>706</v>
          </cell>
          <cell r="AA1655">
            <v>0</v>
          </cell>
          <cell r="AB1655">
            <v>0</v>
          </cell>
          <cell r="AC1655">
            <v>0</v>
          </cell>
          <cell r="AD1655">
            <v>3.6999999999999998E-2</v>
          </cell>
          <cell r="AE1655">
            <v>0</v>
          </cell>
          <cell r="AF1655">
            <v>0</v>
          </cell>
          <cell r="AG1655">
            <v>0</v>
          </cell>
          <cell r="AH1655">
            <v>0</v>
          </cell>
          <cell r="AI1655">
            <v>0</v>
          </cell>
          <cell r="AJ1655">
            <v>0</v>
          </cell>
          <cell r="AK1655">
            <v>0</v>
          </cell>
          <cell r="AL1655">
            <v>0</v>
          </cell>
        </row>
        <row r="1656">
          <cell r="E1656" t="str">
            <v>CEES 1.25sq-7C</v>
          </cell>
          <cell r="F1656" t="str">
            <v>ｍ</v>
          </cell>
          <cell r="G1656">
            <v>0</v>
          </cell>
          <cell r="H1656">
            <v>371</v>
          </cell>
          <cell r="I1656">
            <v>0</v>
          </cell>
          <cell r="J1656">
            <v>371</v>
          </cell>
          <cell r="K1656">
            <v>0</v>
          </cell>
          <cell r="L1656">
            <v>371</v>
          </cell>
          <cell r="M1656">
            <v>0</v>
          </cell>
          <cell r="N1656">
            <v>371</v>
          </cell>
          <cell r="O1656">
            <v>0</v>
          </cell>
          <cell r="P1656">
            <v>371</v>
          </cell>
          <cell r="Q1656">
            <v>0</v>
          </cell>
          <cell r="R1656">
            <v>371</v>
          </cell>
          <cell r="S1656">
            <v>0</v>
          </cell>
          <cell r="T1656">
            <v>371</v>
          </cell>
          <cell r="U1656">
            <v>0</v>
          </cell>
          <cell r="V1656">
            <v>371</v>
          </cell>
          <cell r="W1656">
            <v>0</v>
          </cell>
          <cell r="X1656">
            <v>371</v>
          </cell>
          <cell r="Y1656">
            <v>0</v>
          </cell>
          <cell r="Z1656">
            <v>371</v>
          </cell>
          <cell r="AA1656">
            <v>0</v>
          </cell>
          <cell r="AB1656">
            <v>0</v>
          </cell>
          <cell r="AC1656">
            <v>0</v>
          </cell>
          <cell r="AD1656">
            <v>0.03</v>
          </cell>
          <cell r="AE1656">
            <v>0</v>
          </cell>
          <cell r="AF1656">
            <v>0</v>
          </cell>
          <cell r="AG1656">
            <v>0</v>
          </cell>
          <cell r="AH1656">
            <v>0</v>
          </cell>
          <cell r="AI1656">
            <v>0</v>
          </cell>
          <cell r="AJ1656">
            <v>0</v>
          </cell>
          <cell r="AK1656">
            <v>0</v>
          </cell>
          <cell r="AL1656">
            <v>0</v>
          </cell>
        </row>
        <row r="1657">
          <cell r="E1657" t="str">
            <v>CEES 2sq-7C</v>
          </cell>
          <cell r="F1657" t="str">
            <v>ｍ</v>
          </cell>
          <cell r="G1657">
            <v>0</v>
          </cell>
          <cell r="H1657">
            <v>459</v>
          </cell>
          <cell r="I1657">
            <v>0</v>
          </cell>
          <cell r="J1657">
            <v>459</v>
          </cell>
          <cell r="K1657">
            <v>0</v>
          </cell>
          <cell r="L1657">
            <v>459</v>
          </cell>
          <cell r="M1657">
            <v>0</v>
          </cell>
          <cell r="N1657">
            <v>459</v>
          </cell>
          <cell r="O1657">
            <v>0</v>
          </cell>
          <cell r="P1657">
            <v>459</v>
          </cell>
          <cell r="Q1657">
            <v>0</v>
          </cell>
          <cell r="R1657">
            <v>459</v>
          </cell>
          <cell r="S1657">
            <v>0</v>
          </cell>
          <cell r="T1657">
            <v>459</v>
          </cell>
          <cell r="U1657">
            <v>0</v>
          </cell>
          <cell r="V1657">
            <v>459</v>
          </cell>
          <cell r="W1657">
            <v>0</v>
          </cell>
          <cell r="X1657">
            <v>459</v>
          </cell>
          <cell r="Y1657">
            <v>0</v>
          </cell>
          <cell r="Z1657">
            <v>459</v>
          </cell>
          <cell r="AA1657">
            <v>0</v>
          </cell>
          <cell r="AB1657">
            <v>0</v>
          </cell>
          <cell r="AC1657">
            <v>0</v>
          </cell>
          <cell r="AD1657">
            <v>3.4000000000000002E-2</v>
          </cell>
          <cell r="AE1657">
            <v>0</v>
          </cell>
          <cell r="AF1657">
            <v>0</v>
          </cell>
          <cell r="AG1657">
            <v>0</v>
          </cell>
          <cell r="AH1657">
            <v>0</v>
          </cell>
          <cell r="AI1657">
            <v>0</v>
          </cell>
          <cell r="AJ1657">
            <v>0</v>
          </cell>
          <cell r="AK1657">
            <v>0</v>
          </cell>
          <cell r="AL1657">
            <v>0</v>
          </cell>
        </row>
        <row r="1658">
          <cell r="E1658" t="str">
            <v>CEES 3.5sq-7C</v>
          </cell>
          <cell r="F1658" t="str">
            <v>ｍ</v>
          </cell>
          <cell r="G1658">
            <v>0</v>
          </cell>
          <cell r="H1658">
            <v>587</v>
          </cell>
          <cell r="I1658">
            <v>0</v>
          </cell>
          <cell r="J1658">
            <v>587</v>
          </cell>
          <cell r="K1658">
            <v>0</v>
          </cell>
          <cell r="L1658">
            <v>587</v>
          </cell>
          <cell r="M1658">
            <v>0</v>
          </cell>
          <cell r="N1658">
            <v>587</v>
          </cell>
          <cell r="O1658">
            <v>0</v>
          </cell>
          <cell r="P1658">
            <v>587</v>
          </cell>
          <cell r="Q1658">
            <v>0</v>
          </cell>
          <cell r="R1658">
            <v>587</v>
          </cell>
          <cell r="S1658">
            <v>0</v>
          </cell>
          <cell r="T1658">
            <v>587</v>
          </cell>
          <cell r="U1658">
            <v>0</v>
          </cell>
          <cell r="V1658">
            <v>587</v>
          </cell>
          <cell r="W1658">
            <v>0</v>
          </cell>
          <cell r="X1658">
            <v>587</v>
          </cell>
          <cell r="Y1658">
            <v>0</v>
          </cell>
          <cell r="Z1658">
            <v>587</v>
          </cell>
          <cell r="AA1658">
            <v>0</v>
          </cell>
          <cell r="AB1658">
            <v>0</v>
          </cell>
          <cell r="AC1658">
            <v>0</v>
          </cell>
          <cell r="AD1658">
            <v>3.6999999999999998E-2</v>
          </cell>
          <cell r="AE1658">
            <v>0</v>
          </cell>
          <cell r="AF1658">
            <v>0</v>
          </cell>
          <cell r="AG1658">
            <v>0</v>
          </cell>
          <cell r="AH1658">
            <v>0</v>
          </cell>
          <cell r="AI1658">
            <v>0</v>
          </cell>
          <cell r="AJ1658">
            <v>0</v>
          </cell>
          <cell r="AK1658">
            <v>0</v>
          </cell>
          <cell r="AL1658">
            <v>0</v>
          </cell>
        </row>
        <row r="1659">
          <cell r="E1659" t="str">
            <v>CEES 5.5sq-7C</v>
          </cell>
          <cell r="F1659" t="str">
            <v>ｍ</v>
          </cell>
          <cell r="G1659">
            <v>0</v>
          </cell>
          <cell r="H1659">
            <v>785</v>
          </cell>
          <cell r="I1659">
            <v>0</v>
          </cell>
          <cell r="J1659">
            <v>785</v>
          </cell>
          <cell r="K1659">
            <v>0</v>
          </cell>
          <cell r="L1659">
            <v>785</v>
          </cell>
          <cell r="M1659">
            <v>0</v>
          </cell>
          <cell r="N1659">
            <v>785</v>
          </cell>
          <cell r="O1659">
            <v>0</v>
          </cell>
          <cell r="P1659">
            <v>785</v>
          </cell>
          <cell r="Q1659">
            <v>0</v>
          </cell>
          <cell r="R1659">
            <v>785</v>
          </cell>
          <cell r="S1659">
            <v>0</v>
          </cell>
          <cell r="T1659">
            <v>785</v>
          </cell>
          <cell r="U1659">
            <v>0</v>
          </cell>
          <cell r="V1659">
            <v>785</v>
          </cell>
          <cell r="W1659">
            <v>0</v>
          </cell>
          <cell r="X1659">
            <v>785</v>
          </cell>
          <cell r="Y1659">
            <v>0</v>
          </cell>
          <cell r="Z1659">
            <v>785</v>
          </cell>
          <cell r="AA1659">
            <v>0</v>
          </cell>
          <cell r="AB1659">
            <v>0</v>
          </cell>
          <cell r="AC1659">
            <v>0</v>
          </cell>
          <cell r="AD1659">
            <v>4.3999999999999997E-2</v>
          </cell>
          <cell r="AE1659">
            <v>0</v>
          </cell>
          <cell r="AF1659">
            <v>0</v>
          </cell>
          <cell r="AG1659">
            <v>0</v>
          </cell>
          <cell r="AH1659">
            <v>0</v>
          </cell>
          <cell r="AI1659">
            <v>0</v>
          </cell>
          <cell r="AJ1659">
            <v>0</v>
          </cell>
          <cell r="AK1659">
            <v>0</v>
          </cell>
          <cell r="AL1659">
            <v>0</v>
          </cell>
        </row>
        <row r="1660">
          <cell r="E1660" t="str">
            <v>CEES 1.25sq-8C</v>
          </cell>
          <cell r="F1660" t="str">
            <v>ｍ</v>
          </cell>
          <cell r="G1660">
            <v>0</v>
          </cell>
          <cell r="H1660">
            <v>412</v>
          </cell>
          <cell r="I1660">
            <v>0</v>
          </cell>
          <cell r="J1660">
            <v>412</v>
          </cell>
          <cell r="K1660">
            <v>0</v>
          </cell>
          <cell r="L1660">
            <v>412</v>
          </cell>
          <cell r="M1660">
            <v>0</v>
          </cell>
          <cell r="N1660">
            <v>412</v>
          </cell>
          <cell r="O1660">
            <v>0</v>
          </cell>
          <cell r="P1660">
            <v>412</v>
          </cell>
          <cell r="Q1660">
            <v>0</v>
          </cell>
          <cell r="R1660">
            <v>412</v>
          </cell>
          <cell r="S1660">
            <v>0</v>
          </cell>
          <cell r="T1660">
            <v>412</v>
          </cell>
          <cell r="U1660">
            <v>0</v>
          </cell>
          <cell r="V1660">
            <v>412</v>
          </cell>
          <cell r="W1660">
            <v>0</v>
          </cell>
          <cell r="X1660">
            <v>412</v>
          </cell>
          <cell r="Y1660">
            <v>0</v>
          </cell>
          <cell r="Z1660">
            <v>412</v>
          </cell>
          <cell r="AA1660">
            <v>0</v>
          </cell>
          <cell r="AB1660">
            <v>0</v>
          </cell>
          <cell r="AC1660">
            <v>0</v>
          </cell>
          <cell r="AD1660">
            <v>3.4000000000000002E-2</v>
          </cell>
          <cell r="AE1660">
            <v>0</v>
          </cell>
          <cell r="AF1660">
            <v>0</v>
          </cell>
          <cell r="AG1660">
            <v>0</v>
          </cell>
          <cell r="AH1660">
            <v>0</v>
          </cell>
          <cell r="AI1660">
            <v>0</v>
          </cell>
          <cell r="AJ1660">
            <v>0</v>
          </cell>
          <cell r="AK1660">
            <v>0</v>
          </cell>
          <cell r="AL1660">
            <v>0</v>
          </cell>
        </row>
        <row r="1661">
          <cell r="E1661" t="str">
            <v>CEES 2sq-8C</v>
          </cell>
          <cell r="F1661" t="str">
            <v>ｍ</v>
          </cell>
          <cell r="G1661">
            <v>0</v>
          </cell>
          <cell r="H1661">
            <v>510</v>
          </cell>
          <cell r="I1661">
            <v>0</v>
          </cell>
          <cell r="J1661">
            <v>510</v>
          </cell>
          <cell r="K1661">
            <v>0</v>
          </cell>
          <cell r="L1661">
            <v>510</v>
          </cell>
          <cell r="M1661">
            <v>0</v>
          </cell>
          <cell r="N1661">
            <v>510</v>
          </cell>
          <cell r="O1661">
            <v>0</v>
          </cell>
          <cell r="P1661">
            <v>510</v>
          </cell>
          <cell r="Q1661">
            <v>0</v>
          </cell>
          <cell r="R1661">
            <v>510</v>
          </cell>
          <cell r="S1661">
            <v>0</v>
          </cell>
          <cell r="T1661">
            <v>510</v>
          </cell>
          <cell r="U1661">
            <v>0</v>
          </cell>
          <cell r="V1661">
            <v>510</v>
          </cell>
          <cell r="W1661">
            <v>0</v>
          </cell>
          <cell r="X1661">
            <v>510</v>
          </cell>
          <cell r="Y1661">
            <v>0</v>
          </cell>
          <cell r="Z1661">
            <v>510</v>
          </cell>
          <cell r="AA1661">
            <v>0</v>
          </cell>
          <cell r="AB1661">
            <v>0</v>
          </cell>
          <cell r="AC1661">
            <v>0</v>
          </cell>
          <cell r="AD1661">
            <v>3.6999999999999998E-2</v>
          </cell>
          <cell r="AE1661">
            <v>0</v>
          </cell>
          <cell r="AF1661">
            <v>0</v>
          </cell>
          <cell r="AG1661">
            <v>0</v>
          </cell>
          <cell r="AH1661">
            <v>0</v>
          </cell>
          <cell r="AI1661">
            <v>0</v>
          </cell>
          <cell r="AJ1661">
            <v>0</v>
          </cell>
          <cell r="AK1661">
            <v>0</v>
          </cell>
          <cell r="AL1661">
            <v>0</v>
          </cell>
        </row>
        <row r="1662">
          <cell r="E1662" t="str">
            <v>CEES 3.5sq-8C</v>
          </cell>
          <cell r="F1662" t="str">
            <v>ｍ</v>
          </cell>
          <cell r="G1662">
            <v>0</v>
          </cell>
          <cell r="H1662">
            <v>655</v>
          </cell>
          <cell r="I1662">
            <v>0</v>
          </cell>
          <cell r="J1662">
            <v>655</v>
          </cell>
          <cell r="K1662">
            <v>0</v>
          </cell>
          <cell r="L1662">
            <v>655</v>
          </cell>
          <cell r="M1662">
            <v>0</v>
          </cell>
          <cell r="N1662">
            <v>655</v>
          </cell>
          <cell r="O1662">
            <v>0</v>
          </cell>
          <cell r="P1662">
            <v>655</v>
          </cell>
          <cell r="Q1662">
            <v>0</v>
          </cell>
          <cell r="R1662">
            <v>655</v>
          </cell>
          <cell r="S1662">
            <v>0</v>
          </cell>
          <cell r="T1662">
            <v>655</v>
          </cell>
          <cell r="U1662">
            <v>0</v>
          </cell>
          <cell r="V1662">
            <v>655</v>
          </cell>
          <cell r="W1662">
            <v>0</v>
          </cell>
          <cell r="X1662">
            <v>655</v>
          </cell>
          <cell r="Y1662">
            <v>0</v>
          </cell>
          <cell r="Z1662">
            <v>655</v>
          </cell>
          <cell r="AA1662">
            <v>0</v>
          </cell>
          <cell r="AB1662">
            <v>0</v>
          </cell>
          <cell r="AC1662">
            <v>0</v>
          </cell>
          <cell r="AD1662">
            <v>4.3999999999999997E-2</v>
          </cell>
          <cell r="AE1662">
            <v>0</v>
          </cell>
          <cell r="AF1662">
            <v>0</v>
          </cell>
          <cell r="AG1662">
            <v>0</v>
          </cell>
          <cell r="AH1662">
            <v>0</v>
          </cell>
          <cell r="AI1662">
            <v>0</v>
          </cell>
          <cell r="AJ1662">
            <v>0</v>
          </cell>
          <cell r="AK1662">
            <v>0</v>
          </cell>
          <cell r="AL1662">
            <v>0</v>
          </cell>
        </row>
        <row r="1663">
          <cell r="E1663" t="str">
            <v>CEES 5.5sq-8C</v>
          </cell>
          <cell r="F1663" t="str">
            <v>ｍ</v>
          </cell>
          <cell r="G1663">
            <v>0</v>
          </cell>
          <cell r="H1663">
            <v>891</v>
          </cell>
          <cell r="I1663">
            <v>0</v>
          </cell>
          <cell r="J1663">
            <v>891</v>
          </cell>
          <cell r="K1663">
            <v>0</v>
          </cell>
          <cell r="L1663">
            <v>891</v>
          </cell>
          <cell r="M1663">
            <v>0</v>
          </cell>
          <cell r="N1663">
            <v>891</v>
          </cell>
          <cell r="O1663">
            <v>0</v>
          </cell>
          <cell r="P1663">
            <v>891</v>
          </cell>
          <cell r="Q1663">
            <v>0</v>
          </cell>
          <cell r="R1663">
            <v>891</v>
          </cell>
          <cell r="S1663">
            <v>0</v>
          </cell>
          <cell r="T1663">
            <v>891</v>
          </cell>
          <cell r="U1663">
            <v>0</v>
          </cell>
          <cell r="V1663">
            <v>891</v>
          </cell>
          <cell r="W1663">
            <v>0</v>
          </cell>
          <cell r="X1663">
            <v>891</v>
          </cell>
          <cell r="Y1663">
            <v>0</v>
          </cell>
          <cell r="Z1663">
            <v>891</v>
          </cell>
          <cell r="AA1663">
            <v>0</v>
          </cell>
          <cell r="AB1663">
            <v>0</v>
          </cell>
          <cell r="AC1663">
            <v>0</v>
          </cell>
          <cell r="AD1663">
            <v>4.3999999999999997E-2</v>
          </cell>
          <cell r="AE1663">
            <v>0</v>
          </cell>
          <cell r="AF1663">
            <v>0</v>
          </cell>
          <cell r="AG1663">
            <v>0</v>
          </cell>
          <cell r="AH1663">
            <v>0</v>
          </cell>
          <cell r="AI1663">
            <v>0</v>
          </cell>
          <cell r="AJ1663">
            <v>0</v>
          </cell>
          <cell r="AK1663">
            <v>0</v>
          </cell>
          <cell r="AL1663">
            <v>0</v>
          </cell>
        </row>
        <row r="1664">
          <cell r="E1664" t="str">
            <v>CEES 1.25sq-10C</v>
          </cell>
          <cell r="F1664" t="str">
            <v>ｍ</v>
          </cell>
          <cell r="G1664">
            <v>0</v>
          </cell>
          <cell r="H1664">
            <v>489</v>
          </cell>
          <cell r="I1664">
            <v>0</v>
          </cell>
          <cell r="J1664">
            <v>489</v>
          </cell>
          <cell r="K1664">
            <v>0</v>
          </cell>
          <cell r="L1664">
            <v>489</v>
          </cell>
          <cell r="M1664">
            <v>0</v>
          </cell>
          <cell r="N1664">
            <v>489</v>
          </cell>
          <cell r="O1664">
            <v>0</v>
          </cell>
          <cell r="P1664">
            <v>489</v>
          </cell>
          <cell r="Q1664">
            <v>0</v>
          </cell>
          <cell r="R1664">
            <v>489</v>
          </cell>
          <cell r="S1664">
            <v>0</v>
          </cell>
          <cell r="T1664">
            <v>489</v>
          </cell>
          <cell r="U1664">
            <v>0</v>
          </cell>
          <cell r="V1664">
            <v>489</v>
          </cell>
          <cell r="W1664">
            <v>0</v>
          </cell>
          <cell r="X1664">
            <v>489</v>
          </cell>
          <cell r="Y1664">
            <v>0</v>
          </cell>
          <cell r="Z1664">
            <v>489</v>
          </cell>
          <cell r="AA1664">
            <v>0</v>
          </cell>
          <cell r="AB1664">
            <v>0</v>
          </cell>
          <cell r="AC1664">
            <v>0</v>
          </cell>
          <cell r="AD1664">
            <v>3.6999999999999998E-2</v>
          </cell>
          <cell r="AE1664">
            <v>0</v>
          </cell>
          <cell r="AF1664">
            <v>0</v>
          </cell>
          <cell r="AG1664">
            <v>0</v>
          </cell>
          <cell r="AH1664">
            <v>0</v>
          </cell>
          <cell r="AI1664">
            <v>0</v>
          </cell>
          <cell r="AJ1664">
            <v>0</v>
          </cell>
          <cell r="AK1664">
            <v>0</v>
          </cell>
          <cell r="AL1664">
            <v>0</v>
          </cell>
        </row>
        <row r="1665">
          <cell r="E1665" t="str">
            <v>CEES 2sq-10C</v>
          </cell>
          <cell r="F1665" t="str">
            <v>ｍ</v>
          </cell>
          <cell r="G1665">
            <v>0</v>
          </cell>
          <cell r="H1665">
            <v>614</v>
          </cell>
          <cell r="I1665">
            <v>0</v>
          </cell>
          <cell r="J1665">
            <v>614</v>
          </cell>
          <cell r="K1665">
            <v>0</v>
          </cell>
          <cell r="L1665">
            <v>614</v>
          </cell>
          <cell r="M1665">
            <v>0</v>
          </cell>
          <cell r="N1665">
            <v>614</v>
          </cell>
          <cell r="O1665">
            <v>0</v>
          </cell>
          <cell r="P1665">
            <v>614</v>
          </cell>
          <cell r="Q1665">
            <v>0</v>
          </cell>
          <cell r="R1665">
            <v>614</v>
          </cell>
          <cell r="S1665">
            <v>0</v>
          </cell>
          <cell r="T1665">
            <v>614</v>
          </cell>
          <cell r="U1665">
            <v>0</v>
          </cell>
          <cell r="V1665">
            <v>614</v>
          </cell>
          <cell r="W1665">
            <v>0</v>
          </cell>
          <cell r="X1665">
            <v>614</v>
          </cell>
          <cell r="Y1665">
            <v>0</v>
          </cell>
          <cell r="Z1665">
            <v>614</v>
          </cell>
          <cell r="AA1665">
            <v>0</v>
          </cell>
          <cell r="AB1665">
            <v>0</v>
          </cell>
          <cell r="AC1665">
            <v>0</v>
          </cell>
          <cell r="AD1665">
            <v>4.2000000000000003E-2</v>
          </cell>
          <cell r="AE1665">
            <v>0</v>
          </cell>
          <cell r="AF1665">
            <v>0</v>
          </cell>
          <cell r="AG1665">
            <v>0</v>
          </cell>
          <cell r="AH1665">
            <v>0</v>
          </cell>
          <cell r="AI1665">
            <v>0</v>
          </cell>
          <cell r="AJ1665">
            <v>0</v>
          </cell>
          <cell r="AK1665">
            <v>0</v>
          </cell>
          <cell r="AL1665">
            <v>0</v>
          </cell>
        </row>
        <row r="1666">
          <cell r="E1666" t="str">
            <v>CEES 3.5sq-10C</v>
          </cell>
          <cell r="F1666" t="str">
            <v>ｍ</v>
          </cell>
          <cell r="G1666">
            <v>0</v>
          </cell>
          <cell r="H1666">
            <v>792</v>
          </cell>
          <cell r="I1666">
            <v>0</v>
          </cell>
          <cell r="J1666">
            <v>792</v>
          </cell>
          <cell r="K1666">
            <v>0</v>
          </cell>
          <cell r="L1666">
            <v>792</v>
          </cell>
          <cell r="M1666">
            <v>0</v>
          </cell>
          <cell r="N1666">
            <v>792</v>
          </cell>
          <cell r="O1666">
            <v>0</v>
          </cell>
          <cell r="P1666">
            <v>792</v>
          </cell>
          <cell r="Q1666">
            <v>0</v>
          </cell>
          <cell r="R1666">
            <v>792</v>
          </cell>
          <cell r="S1666">
            <v>0</v>
          </cell>
          <cell r="T1666">
            <v>792</v>
          </cell>
          <cell r="U1666">
            <v>0</v>
          </cell>
          <cell r="V1666">
            <v>792</v>
          </cell>
          <cell r="W1666">
            <v>0</v>
          </cell>
          <cell r="X1666">
            <v>792</v>
          </cell>
          <cell r="Y1666">
            <v>0</v>
          </cell>
          <cell r="Z1666">
            <v>792</v>
          </cell>
          <cell r="AA1666">
            <v>0</v>
          </cell>
          <cell r="AB1666">
            <v>0</v>
          </cell>
          <cell r="AC1666">
            <v>0</v>
          </cell>
          <cell r="AD1666">
            <v>4.4999999999999998E-2</v>
          </cell>
          <cell r="AE1666">
            <v>0</v>
          </cell>
          <cell r="AF1666">
            <v>0</v>
          </cell>
          <cell r="AG1666">
            <v>0</v>
          </cell>
          <cell r="AH1666">
            <v>0</v>
          </cell>
          <cell r="AI1666">
            <v>0</v>
          </cell>
          <cell r="AJ1666">
            <v>0</v>
          </cell>
          <cell r="AK1666">
            <v>0</v>
          </cell>
          <cell r="AL1666">
            <v>0</v>
          </cell>
        </row>
        <row r="1667">
          <cell r="E1667" t="str">
            <v>CEES 5.5sq-10C</v>
          </cell>
          <cell r="F1667" t="str">
            <v>ｍ</v>
          </cell>
          <cell r="G1667">
            <v>0</v>
          </cell>
          <cell r="H1667">
            <v>1076</v>
          </cell>
          <cell r="I1667">
            <v>0</v>
          </cell>
          <cell r="J1667">
            <v>1076</v>
          </cell>
          <cell r="K1667">
            <v>0</v>
          </cell>
          <cell r="L1667">
            <v>1076</v>
          </cell>
          <cell r="M1667">
            <v>0</v>
          </cell>
          <cell r="N1667">
            <v>1076</v>
          </cell>
          <cell r="O1667">
            <v>0</v>
          </cell>
          <cell r="P1667">
            <v>1076</v>
          </cell>
          <cell r="Q1667">
            <v>0</v>
          </cell>
          <cell r="R1667">
            <v>1076</v>
          </cell>
          <cell r="S1667">
            <v>0</v>
          </cell>
          <cell r="T1667">
            <v>1076</v>
          </cell>
          <cell r="U1667">
            <v>0</v>
          </cell>
          <cell r="V1667">
            <v>1076</v>
          </cell>
          <cell r="W1667">
            <v>0</v>
          </cell>
          <cell r="X1667">
            <v>1076</v>
          </cell>
          <cell r="Y1667">
            <v>0</v>
          </cell>
          <cell r="Z1667">
            <v>1076</v>
          </cell>
          <cell r="AA1667">
            <v>0</v>
          </cell>
          <cell r="AB1667">
            <v>0</v>
          </cell>
          <cell r="AC1667">
            <v>0</v>
          </cell>
          <cell r="AD1667">
            <v>5.3999999999999999E-2</v>
          </cell>
          <cell r="AE1667">
            <v>0</v>
          </cell>
          <cell r="AF1667">
            <v>0</v>
          </cell>
          <cell r="AG1667">
            <v>0</v>
          </cell>
          <cell r="AH1667">
            <v>0</v>
          </cell>
          <cell r="AI1667">
            <v>0</v>
          </cell>
          <cell r="AJ1667">
            <v>0</v>
          </cell>
          <cell r="AK1667">
            <v>0</v>
          </cell>
          <cell r="AL1667">
            <v>0</v>
          </cell>
        </row>
        <row r="1668">
          <cell r="E1668" t="str">
            <v>CEES 1.25sq-12C</v>
          </cell>
          <cell r="F1668" t="str">
            <v>ｍ</v>
          </cell>
          <cell r="G1668">
            <v>0</v>
          </cell>
          <cell r="H1668">
            <v>554</v>
          </cell>
          <cell r="I1668">
            <v>0</v>
          </cell>
          <cell r="J1668">
            <v>554</v>
          </cell>
          <cell r="K1668">
            <v>0</v>
          </cell>
          <cell r="L1668">
            <v>554</v>
          </cell>
          <cell r="M1668">
            <v>0</v>
          </cell>
          <cell r="N1668">
            <v>554</v>
          </cell>
          <cell r="O1668">
            <v>0</v>
          </cell>
          <cell r="P1668">
            <v>554</v>
          </cell>
          <cell r="Q1668">
            <v>0</v>
          </cell>
          <cell r="R1668">
            <v>554</v>
          </cell>
          <cell r="S1668">
            <v>0</v>
          </cell>
          <cell r="T1668">
            <v>554</v>
          </cell>
          <cell r="U1668">
            <v>0</v>
          </cell>
          <cell r="V1668">
            <v>554</v>
          </cell>
          <cell r="W1668">
            <v>0</v>
          </cell>
          <cell r="X1668">
            <v>554</v>
          </cell>
          <cell r="Y1668">
            <v>0</v>
          </cell>
          <cell r="Z1668">
            <v>554</v>
          </cell>
          <cell r="AA1668">
            <v>0</v>
          </cell>
          <cell r="AB1668">
            <v>0</v>
          </cell>
          <cell r="AC1668">
            <v>0</v>
          </cell>
          <cell r="AD1668">
            <v>4.2999999999999997E-2</v>
          </cell>
          <cell r="AE1668">
            <v>0</v>
          </cell>
          <cell r="AF1668">
            <v>0</v>
          </cell>
          <cell r="AG1668">
            <v>0</v>
          </cell>
          <cell r="AH1668">
            <v>0</v>
          </cell>
          <cell r="AI1668">
            <v>0</v>
          </cell>
          <cell r="AJ1668">
            <v>0</v>
          </cell>
          <cell r="AK1668">
            <v>0</v>
          </cell>
          <cell r="AL1668">
            <v>0</v>
          </cell>
        </row>
        <row r="1669">
          <cell r="E1669" t="str">
            <v>CEES 2sq-12C</v>
          </cell>
          <cell r="F1669" t="str">
            <v>ｍ</v>
          </cell>
          <cell r="G1669">
            <v>0</v>
          </cell>
          <cell r="H1669">
            <v>688</v>
          </cell>
          <cell r="I1669">
            <v>0</v>
          </cell>
          <cell r="J1669">
            <v>688</v>
          </cell>
          <cell r="K1669">
            <v>0</v>
          </cell>
          <cell r="L1669">
            <v>688</v>
          </cell>
          <cell r="M1669">
            <v>0</v>
          </cell>
          <cell r="N1669">
            <v>688</v>
          </cell>
          <cell r="O1669">
            <v>0</v>
          </cell>
          <cell r="P1669">
            <v>688</v>
          </cell>
          <cell r="Q1669">
            <v>0</v>
          </cell>
          <cell r="R1669">
            <v>688</v>
          </cell>
          <cell r="S1669">
            <v>0</v>
          </cell>
          <cell r="T1669">
            <v>688</v>
          </cell>
          <cell r="U1669">
            <v>0</v>
          </cell>
          <cell r="V1669">
            <v>688</v>
          </cell>
          <cell r="W1669">
            <v>0</v>
          </cell>
          <cell r="X1669">
            <v>688</v>
          </cell>
          <cell r="Y1669">
            <v>0</v>
          </cell>
          <cell r="Z1669">
            <v>688</v>
          </cell>
          <cell r="AA1669">
            <v>0</v>
          </cell>
          <cell r="AB1669">
            <v>0</v>
          </cell>
          <cell r="AC1669">
            <v>0</v>
          </cell>
          <cell r="AD1669">
            <v>4.8000000000000001E-2</v>
          </cell>
          <cell r="AE1669">
            <v>0</v>
          </cell>
          <cell r="AF1669">
            <v>0</v>
          </cell>
          <cell r="AG1669">
            <v>0</v>
          </cell>
          <cell r="AH1669">
            <v>0</v>
          </cell>
          <cell r="AI1669">
            <v>0</v>
          </cell>
          <cell r="AJ1669">
            <v>0</v>
          </cell>
          <cell r="AK1669">
            <v>0</v>
          </cell>
          <cell r="AL1669">
            <v>0</v>
          </cell>
        </row>
        <row r="1670">
          <cell r="E1670" t="str">
            <v>CEES 3.5sq-12C</v>
          </cell>
          <cell r="F1670" t="str">
            <v>ｍ</v>
          </cell>
          <cell r="G1670">
            <v>0</v>
          </cell>
          <cell r="H1670">
            <v>911</v>
          </cell>
          <cell r="I1670">
            <v>0</v>
          </cell>
          <cell r="J1670">
            <v>911</v>
          </cell>
          <cell r="K1670">
            <v>0</v>
          </cell>
          <cell r="L1670">
            <v>911</v>
          </cell>
          <cell r="M1670">
            <v>0</v>
          </cell>
          <cell r="N1670">
            <v>911</v>
          </cell>
          <cell r="O1670">
            <v>0</v>
          </cell>
          <cell r="P1670">
            <v>911</v>
          </cell>
          <cell r="Q1670">
            <v>0</v>
          </cell>
          <cell r="R1670">
            <v>911</v>
          </cell>
          <cell r="S1670">
            <v>0</v>
          </cell>
          <cell r="T1670">
            <v>911</v>
          </cell>
          <cell r="U1670">
            <v>0</v>
          </cell>
          <cell r="V1670">
            <v>911</v>
          </cell>
          <cell r="W1670">
            <v>0</v>
          </cell>
          <cell r="X1670">
            <v>911</v>
          </cell>
          <cell r="Y1670">
            <v>0</v>
          </cell>
          <cell r="Z1670">
            <v>911</v>
          </cell>
          <cell r="AA1670">
            <v>0</v>
          </cell>
          <cell r="AB1670">
            <v>0</v>
          </cell>
          <cell r="AC1670">
            <v>0</v>
          </cell>
          <cell r="AD1670">
            <v>5.2999999999999999E-2</v>
          </cell>
          <cell r="AE1670">
            <v>0</v>
          </cell>
          <cell r="AF1670">
            <v>0</v>
          </cell>
          <cell r="AG1670">
            <v>0</v>
          </cell>
          <cell r="AH1670">
            <v>0</v>
          </cell>
          <cell r="AI1670">
            <v>0</v>
          </cell>
          <cell r="AJ1670">
            <v>0</v>
          </cell>
          <cell r="AK1670">
            <v>0</v>
          </cell>
          <cell r="AL1670">
            <v>0</v>
          </cell>
        </row>
        <row r="1671">
          <cell r="E1671" t="str">
            <v>CEES 5.5sq-12C</v>
          </cell>
          <cell r="F1671" t="str">
            <v>ｍ</v>
          </cell>
          <cell r="G1671">
            <v>0</v>
          </cell>
          <cell r="H1671">
            <v>1254</v>
          </cell>
          <cell r="I1671">
            <v>0</v>
          </cell>
          <cell r="J1671">
            <v>1254</v>
          </cell>
          <cell r="K1671">
            <v>0</v>
          </cell>
          <cell r="L1671">
            <v>1254</v>
          </cell>
          <cell r="M1671">
            <v>0</v>
          </cell>
          <cell r="N1671">
            <v>1254</v>
          </cell>
          <cell r="O1671">
            <v>0</v>
          </cell>
          <cell r="P1671">
            <v>1254</v>
          </cell>
          <cell r="Q1671">
            <v>0</v>
          </cell>
          <cell r="R1671">
            <v>1254</v>
          </cell>
          <cell r="S1671">
            <v>0</v>
          </cell>
          <cell r="T1671">
            <v>1254</v>
          </cell>
          <cell r="U1671">
            <v>0</v>
          </cell>
          <cell r="V1671">
            <v>1254</v>
          </cell>
          <cell r="W1671">
            <v>0</v>
          </cell>
          <cell r="X1671">
            <v>1254</v>
          </cell>
          <cell r="Y1671">
            <v>0</v>
          </cell>
          <cell r="Z1671">
            <v>1254</v>
          </cell>
          <cell r="AA1671">
            <v>0</v>
          </cell>
          <cell r="AB1671">
            <v>0</v>
          </cell>
          <cell r="AC1671">
            <v>0</v>
          </cell>
          <cell r="AD1671">
            <v>6.3E-2</v>
          </cell>
          <cell r="AE1671">
            <v>0</v>
          </cell>
          <cell r="AF1671">
            <v>0</v>
          </cell>
          <cell r="AG1671">
            <v>0</v>
          </cell>
          <cell r="AH1671">
            <v>0</v>
          </cell>
          <cell r="AI1671">
            <v>0</v>
          </cell>
          <cell r="AJ1671">
            <v>0</v>
          </cell>
          <cell r="AK1671">
            <v>0</v>
          </cell>
          <cell r="AL1671">
            <v>0</v>
          </cell>
        </row>
        <row r="1672">
          <cell r="E1672" t="str">
            <v>CEES 1.25sq-15C</v>
          </cell>
          <cell r="F1672" t="str">
            <v>ｍ</v>
          </cell>
          <cell r="G1672">
            <v>0</v>
          </cell>
          <cell r="H1672">
            <v>646</v>
          </cell>
          <cell r="I1672">
            <v>0</v>
          </cell>
          <cell r="J1672">
            <v>646</v>
          </cell>
          <cell r="K1672">
            <v>0</v>
          </cell>
          <cell r="L1672">
            <v>646</v>
          </cell>
          <cell r="M1672">
            <v>0</v>
          </cell>
          <cell r="N1672">
            <v>646</v>
          </cell>
          <cell r="O1672">
            <v>0</v>
          </cell>
          <cell r="P1672">
            <v>646</v>
          </cell>
          <cell r="Q1672">
            <v>0</v>
          </cell>
          <cell r="R1672">
            <v>646</v>
          </cell>
          <cell r="S1672">
            <v>0</v>
          </cell>
          <cell r="T1672">
            <v>646</v>
          </cell>
          <cell r="U1672">
            <v>0</v>
          </cell>
          <cell r="V1672">
            <v>646</v>
          </cell>
          <cell r="W1672">
            <v>0</v>
          </cell>
          <cell r="X1672">
            <v>646</v>
          </cell>
          <cell r="Y1672">
            <v>0</v>
          </cell>
          <cell r="Z1672">
            <v>646</v>
          </cell>
          <cell r="AA1672">
            <v>0</v>
          </cell>
          <cell r="AB1672">
            <v>0</v>
          </cell>
          <cell r="AC1672">
            <v>0</v>
          </cell>
          <cell r="AD1672">
            <v>5.3999999999999999E-2</v>
          </cell>
          <cell r="AE1672">
            <v>0</v>
          </cell>
          <cell r="AF1672">
            <v>0</v>
          </cell>
          <cell r="AG1672">
            <v>0</v>
          </cell>
          <cell r="AH1672">
            <v>0</v>
          </cell>
          <cell r="AI1672">
            <v>0</v>
          </cell>
          <cell r="AJ1672">
            <v>0</v>
          </cell>
          <cell r="AK1672">
            <v>0</v>
          </cell>
          <cell r="AL1672">
            <v>0</v>
          </cell>
        </row>
        <row r="1673">
          <cell r="E1673" t="str">
            <v>CEES 2sq-15C</v>
          </cell>
          <cell r="F1673" t="str">
            <v>ｍ</v>
          </cell>
          <cell r="G1673">
            <v>0</v>
          </cell>
          <cell r="H1673">
            <v>824</v>
          </cell>
          <cell r="I1673">
            <v>0</v>
          </cell>
          <cell r="J1673">
            <v>824</v>
          </cell>
          <cell r="K1673">
            <v>0</v>
          </cell>
          <cell r="L1673">
            <v>824</v>
          </cell>
          <cell r="M1673">
            <v>0</v>
          </cell>
          <cell r="N1673">
            <v>824</v>
          </cell>
          <cell r="O1673">
            <v>0</v>
          </cell>
          <cell r="P1673">
            <v>824</v>
          </cell>
          <cell r="Q1673">
            <v>0</v>
          </cell>
          <cell r="R1673">
            <v>824</v>
          </cell>
          <cell r="S1673">
            <v>0</v>
          </cell>
          <cell r="T1673">
            <v>824</v>
          </cell>
          <cell r="U1673">
            <v>0</v>
          </cell>
          <cell r="V1673">
            <v>824</v>
          </cell>
          <cell r="W1673">
            <v>0</v>
          </cell>
          <cell r="X1673">
            <v>824</v>
          </cell>
          <cell r="Y1673">
            <v>0</v>
          </cell>
          <cell r="Z1673">
            <v>824</v>
          </cell>
          <cell r="AA1673">
            <v>0</v>
          </cell>
          <cell r="AB1673">
            <v>0</v>
          </cell>
          <cell r="AC1673">
            <v>0</v>
          </cell>
          <cell r="AD1673">
            <v>0.06</v>
          </cell>
          <cell r="AE1673">
            <v>0</v>
          </cell>
          <cell r="AF1673">
            <v>0</v>
          </cell>
          <cell r="AG1673">
            <v>0</v>
          </cell>
          <cell r="AH1673">
            <v>0</v>
          </cell>
          <cell r="AI1673">
            <v>0</v>
          </cell>
          <cell r="AJ1673">
            <v>0</v>
          </cell>
          <cell r="AK1673">
            <v>0</v>
          </cell>
          <cell r="AL1673">
            <v>0</v>
          </cell>
        </row>
        <row r="1674">
          <cell r="E1674" t="str">
            <v>CEES 3.5sq-15C</v>
          </cell>
          <cell r="F1674" t="str">
            <v>ｍ</v>
          </cell>
          <cell r="G1674">
            <v>0</v>
          </cell>
          <cell r="H1674">
            <v>1082</v>
          </cell>
          <cell r="I1674">
            <v>0</v>
          </cell>
          <cell r="J1674">
            <v>1082</v>
          </cell>
          <cell r="K1674">
            <v>0</v>
          </cell>
          <cell r="L1674">
            <v>1082</v>
          </cell>
          <cell r="M1674">
            <v>0</v>
          </cell>
          <cell r="N1674">
            <v>1082</v>
          </cell>
          <cell r="O1674">
            <v>0</v>
          </cell>
          <cell r="P1674">
            <v>1082</v>
          </cell>
          <cell r="Q1674">
            <v>0</v>
          </cell>
          <cell r="R1674">
            <v>1082</v>
          </cell>
          <cell r="S1674">
            <v>0</v>
          </cell>
          <cell r="T1674">
            <v>1082</v>
          </cell>
          <cell r="U1674">
            <v>0</v>
          </cell>
          <cell r="V1674">
            <v>1082</v>
          </cell>
          <cell r="W1674">
            <v>0</v>
          </cell>
          <cell r="X1674">
            <v>1082</v>
          </cell>
          <cell r="Y1674">
            <v>0</v>
          </cell>
          <cell r="Z1674">
            <v>1082</v>
          </cell>
          <cell r="AA1674">
            <v>0</v>
          </cell>
          <cell r="AB1674">
            <v>0</v>
          </cell>
          <cell r="AC1674">
            <v>0</v>
          </cell>
          <cell r="AD1674">
            <v>6.6000000000000003E-2</v>
          </cell>
          <cell r="AE1674">
            <v>0</v>
          </cell>
          <cell r="AF1674">
            <v>0</v>
          </cell>
          <cell r="AG1674">
            <v>0</v>
          </cell>
          <cell r="AH1674">
            <v>0</v>
          </cell>
          <cell r="AI1674">
            <v>0</v>
          </cell>
          <cell r="AJ1674">
            <v>0</v>
          </cell>
          <cell r="AK1674">
            <v>0</v>
          </cell>
          <cell r="AL1674">
            <v>0</v>
          </cell>
        </row>
        <row r="1675">
          <cell r="E1675" t="str">
            <v>CEES 5.5sq-15C</v>
          </cell>
          <cell r="F1675" t="str">
            <v>ｍ</v>
          </cell>
          <cell r="G1675">
            <v>0</v>
          </cell>
          <cell r="H1675">
            <v>1511</v>
          </cell>
          <cell r="I1675">
            <v>0</v>
          </cell>
          <cell r="J1675">
            <v>1511</v>
          </cell>
          <cell r="K1675">
            <v>0</v>
          </cell>
          <cell r="L1675">
            <v>1511</v>
          </cell>
          <cell r="M1675">
            <v>0</v>
          </cell>
          <cell r="N1675">
            <v>1511</v>
          </cell>
          <cell r="O1675">
            <v>0</v>
          </cell>
          <cell r="P1675">
            <v>1511</v>
          </cell>
          <cell r="Q1675">
            <v>0</v>
          </cell>
          <cell r="R1675">
            <v>1511</v>
          </cell>
          <cell r="S1675">
            <v>0</v>
          </cell>
          <cell r="T1675">
            <v>1511</v>
          </cell>
          <cell r="U1675">
            <v>0</v>
          </cell>
          <cell r="V1675">
            <v>1511</v>
          </cell>
          <cell r="W1675">
            <v>0</v>
          </cell>
          <cell r="X1675">
            <v>1511</v>
          </cell>
          <cell r="Y1675">
            <v>0</v>
          </cell>
          <cell r="Z1675">
            <v>1511</v>
          </cell>
          <cell r="AA1675">
            <v>0</v>
          </cell>
          <cell r="AB1675">
            <v>0</v>
          </cell>
          <cell r="AC1675">
            <v>0</v>
          </cell>
          <cell r="AD1675">
            <v>7.8E-2</v>
          </cell>
          <cell r="AE1675">
            <v>0</v>
          </cell>
          <cell r="AF1675">
            <v>0</v>
          </cell>
          <cell r="AG1675">
            <v>0</v>
          </cell>
          <cell r="AH1675">
            <v>0</v>
          </cell>
          <cell r="AI1675">
            <v>0</v>
          </cell>
          <cell r="AJ1675">
            <v>0</v>
          </cell>
          <cell r="AK1675">
            <v>0</v>
          </cell>
          <cell r="AL1675">
            <v>0</v>
          </cell>
        </row>
        <row r="1676">
          <cell r="E1676" t="str">
            <v>CEES 1.25sq-20C</v>
          </cell>
          <cell r="F1676" t="str">
            <v>ｍ</v>
          </cell>
          <cell r="G1676">
            <v>0</v>
          </cell>
          <cell r="H1676">
            <v>804</v>
          </cell>
          <cell r="I1676">
            <v>0</v>
          </cell>
          <cell r="J1676">
            <v>804</v>
          </cell>
          <cell r="K1676">
            <v>0</v>
          </cell>
          <cell r="L1676">
            <v>804</v>
          </cell>
          <cell r="M1676">
            <v>0</v>
          </cell>
          <cell r="N1676">
            <v>804</v>
          </cell>
          <cell r="O1676">
            <v>0</v>
          </cell>
          <cell r="P1676">
            <v>804</v>
          </cell>
          <cell r="Q1676">
            <v>0</v>
          </cell>
          <cell r="R1676">
            <v>804</v>
          </cell>
          <cell r="S1676">
            <v>0</v>
          </cell>
          <cell r="T1676">
            <v>804</v>
          </cell>
          <cell r="U1676">
            <v>0</v>
          </cell>
          <cell r="V1676">
            <v>804</v>
          </cell>
          <cell r="W1676">
            <v>0</v>
          </cell>
          <cell r="X1676">
            <v>804</v>
          </cell>
          <cell r="Y1676">
            <v>0</v>
          </cell>
          <cell r="Z1676">
            <v>804</v>
          </cell>
          <cell r="AA1676">
            <v>0</v>
          </cell>
          <cell r="AB1676">
            <v>0</v>
          </cell>
          <cell r="AC1676">
            <v>0</v>
          </cell>
          <cell r="AD1676">
            <v>6.3E-2</v>
          </cell>
          <cell r="AE1676">
            <v>0</v>
          </cell>
          <cell r="AF1676">
            <v>0</v>
          </cell>
          <cell r="AG1676">
            <v>0</v>
          </cell>
          <cell r="AH1676">
            <v>0</v>
          </cell>
          <cell r="AI1676">
            <v>0</v>
          </cell>
          <cell r="AJ1676">
            <v>0</v>
          </cell>
          <cell r="AK1676">
            <v>0</v>
          </cell>
          <cell r="AL1676">
            <v>0</v>
          </cell>
        </row>
        <row r="1677">
          <cell r="E1677" t="str">
            <v>CEES 2sq-20C</v>
          </cell>
          <cell r="F1677" t="str">
            <v>ｍ</v>
          </cell>
          <cell r="G1677">
            <v>0</v>
          </cell>
          <cell r="H1677">
            <v>1032</v>
          </cell>
          <cell r="I1677">
            <v>0</v>
          </cell>
          <cell r="J1677">
            <v>1032</v>
          </cell>
          <cell r="K1677">
            <v>0</v>
          </cell>
          <cell r="L1677">
            <v>1032</v>
          </cell>
          <cell r="M1677">
            <v>0</v>
          </cell>
          <cell r="N1677">
            <v>1032</v>
          </cell>
          <cell r="O1677">
            <v>0</v>
          </cell>
          <cell r="P1677">
            <v>1032</v>
          </cell>
          <cell r="Q1677">
            <v>0</v>
          </cell>
          <cell r="R1677">
            <v>1032</v>
          </cell>
          <cell r="S1677">
            <v>0</v>
          </cell>
          <cell r="T1677">
            <v>1032</v>
          </cell>
          <cell r="U1677">
            <v>0</v>
          </cell>
          <cell r="V1677">
            <v>1032</v>
          </cell>
          <cell r="W1677">
            <v>0</v>
          </cell>
          <cell r="X1677">
            <v>1032</v>
          </cell>
          <cell r="Y1677">
            <v>0</v>
          </cell>
          <cell r="Z1677">
            <v>1032</v>
          </cell>
          <cell r="AA1677">
            <v>0</v>
          </cell>
          <cell r="AB1677">
            <v>0</v>
          </cell>
          <cell r="AC1677">
            <v>0</v>
          </cell>
          <cell r="AD1677">
            <v>7.0000000000000007E-2</v>
          </cell>
          <cell r="AE1677">
            <v>0</v>
          </cell>
          <cell r="AF1677">
            <v>0</v>
          </cell>
          <cell r="AG1677">
            <v>0</v>
          </cell>
          <cell r="AH1677">
            <v>0</v>
          </cell>
          <cell r="AI1677">
            <v>0</v>
          </cell>
          <cell r="AJ1677">
            <v>0</v>
          </cell>
          <cell r="AK1677">
            <v>0</v>
          </cell>
          <cell r="AL1677">
            <v>0</v>
          </cell>
        </row>
        <row r="1678">
          <cell r="E1678" t="str">
            <v>CEES 3.5sq-20C</v>
          </cell>
          <cell r="F1678" t="str">
            <v>ｍ</v>
          </cell>
          <cell r="G1678">
            <v>0</v>
          </cell>
          <cell r="H1678">
            <v>1386</v>
          </cell>
          <cell r="I1678">
            <v>0</v>
          </cell>
          <cell r="J1678">
            <v>1386</v>
          </cell>
          <cell r="K1678">
            <v>0</v>
          </cell>
          <cell r="L1678">
            <v>1386</v>
          </cell>
          <cell r="M1678">
            <v>0</v>
          </cell>
          <cell r="N1678">
            <v>1386</v>
          </cell>
          <cell r="O1678">
            <v>0</v>
          </cell>
          <cell r="P1678">
            <v>1386</v>
          </cell>
          <cell r="Q1678">
            <v>0</v>
          </cell>
          <cell r="R1678">
            <v>1386</v>
          </cell>
          <cell r="S1678">
            <v>0</v>
          </cell>
          <cell r="T1678">
            <v>1386</v>
          </cell>
          <cell r="U1678">
            <v>0</v>
          </cell>
          <cell r="V1678">
            <v>1386</v>
          </cell>
          <cell r="W1678">
            <v>0</v>
          </cell>
          <cell r="X1678">
            <v>1386</v>
          </cell>
          <cell r="Y1678">
            <v>0</v>
          </cell>
          <cell r="Z1678">
            <v>1386</v>
          </cell>
          <cell r="AA1678">
            <v>0</v>
          </cell>
          <cell r="AB1678">
            <v>0</v>
          </cell>
          <cell r="AC1678">
            <v>0</v>
          </cell>
          <cell r="AD1678">
            <v>7.6999999999999999E-2</v>
          </cell>
          <cell r="AE1678">
            <v>0</v>
          </cell>
          <cell r="AF1678">
            <v>0</v>
          </cell>
          <cell r="AG1678">
            <v>0</v>
          </cell>
          <cell r="AH1678">
            <v>0</v>
          </cell>
          <cell r="AI1678">
            <v>0</v>
          </cell>
          <cell r="AJ1678">
            <v>0</v>
          </cell>
          <cell r="AK1678">
            <v>0</v>
          </cell>
          <cell r="AL1678">
            <v>0</v>
          </cell>
        </row>
        <row r="1679">
          <cell r="E1679" t="str">
            <v>CEES 5.5sq-20C</v>
          </cell>
          <cell r="F1679" t="str">
            <v>ｍ</v>
          </cell>
          <cell r="G1679">
            <v>0</v>
          </cell>
          <cell r="H1679">
            <v>1947</v>
          </cell>
          <cell r="I1679">
            <v>0</v>
          </cell>
          <cell r="J1679">
            <v>1947</v>
          </cell>
          <cell r="K1679">
            <v>0</v>
          </cell>
          <cell r="L1679">
            <v>1947</v>
          </cell>
          <cell r="M1679">
            <v>0</v>
          </cell>
          <cell r="N1679">
            <v>1947</v>
          </cell>
          <cell r="O1679">
            <v>0</v>
          </cell>
          <cell r="P1679">
            <v>1947</v>
          </cell>
          <cell r="Q1679">
            <v>0</v>
          </cell>
          <cell r="R1679">
            <v>1947</v>
          </cell>
          <cell r="S1679">
            <v>0</v>
          </cell>
          <cell r="T1679">
            <v>1947</v>
          </cell>
          <cell r="U1679">
            <v>0</v>
          </cell>
          <cell r="V1679">
            <v>1947</v>
          </cell>
          <cell r="W1679">
            <v>0</v>
          </cell>
          <cell r="X1679">
            <v>1947</v>
          </cell>
          <cell r="Y1679">
            <v>0</v>
          </cell>
          <cell r="Z1679">
            <v>1947</v>
          </cell>
          <cell r="AA1679">
            <v>0</v>
          </cell>
          <cell r="AB1679">
            <v>0</v>
          </cell>
          <cell r="AC1679">
            <v>0</v>
          </cell>
          <cell r="AD1679">
            <v>9.0999999999999998E-2</v>
          </cell>
          <cell r="AE1679">
            <v>0</v>
          </cell>
          <cell r="AF1679">
            <v>0</v>
          </cell>
          <cell r="AG1679">
            <v>0</v>
          </cell>
          <cell r="AH1679">
            <v>0</v>
          </cell>
          <cell r="AI1679">
            <v>0</v>
          </cell>
          <cell r="AJ1679">
            <v>0</v>
          </cell>
          <cell r="AK1679">
            <v>0</v>
          </cell>
          <cell r="AL1679">
            <v>0</v>
          </cell>
        </row>
        <row r="1680">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row>
        <row r="1681">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row>
        <row r="1682">
          <cell r="E1682" t="str">
            <v>05_Users</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row>
        <row r="1683">
          <cell r="E1683" t="str">
            <v>05_Users</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row>
        <row r="1684">
          <cell r="E1684" t="str">
            <v>05_Users</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row>
        <row r="1685">
          <cell r="E1685" t="str">
            <v>05_Users</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row>
        <row r="1686">
          <cell r="E1686" t="str">
            <v>05_Users</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row>
        <row r="1687">
          <cell r="E1687" t="str">
            <v>05_Users</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row>
        <row r="1688">
          <cell r="E1688" t="str">
            <v>05_Users</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row>
        <row r="1689">
          <cell r="E1689" t="str">
            <v>05_Users</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row>
        <row r="1690">
          <cell r="E1690" t="str">
            <v>05_Users</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row>
        <row r="1691">
          <cell r="E1691" t="str">
            <v>05_Users</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row>
        <row r="1692">
          <cell r="E1692" t="str">
            <v>05_Users</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row>
        <row r="1693">
          <cell r="E1693" t="str">
            <v>05_Users</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row>
        <row r="1694">
          <cell r="E1694" t="str">
            <v>05_Users</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row>
        <row r="1695">
          <cell r="E1695" t="str">
            <v>05_Users</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row>
        <row r="1696">
          <cell r="E1696" t="str">
            <v>05_Users</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row>
        <row r="1697">
          <cell r="E1697" t="str">
            <v>05_Users</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row>
        <row r="1698">
          <cell r="E1698" t="str">
            <v>05_Users</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row>
        <row r="1699">
          <cell r="E1699" t="str">
            <v>05_Users</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row>
        <row r="1700">
          <cell r="E1700" t="str">
            <v>05_Users</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row>
        <row r="1701">
          <cell r="E1701" t="str">
            <v>05_Users</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row>
        <row r="1702">
          <cell r="E1702" t="str">
            <v>05_Users</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row>
        <row r="1703">
          <cell r="E1703" t="str">
            <v>05_Users</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row>
        <row r="1704">
          <cell r="E1704" t="str">
            <v>05_Users</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row>
        <row r="1705">
          <cell r="E1705" t="str">
            <v>05_Users</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row>
        <row r="1706">
          <cell r="E1706" t="str">
            <v>05_Users</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row>
        <row r="1707">
          <cell r="E1707" t="str">
            <v>05_Users</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row>
        <row r="1708">
          <cell r="E1708" t="str">
            <v>05_Users</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row>
        <row r="1709">
          <cell r="E1709" t="str">
            <v>05_Users</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row>
        <row r="1710">
          <cell r="E1710" t="str">
            <v>05_Users</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row>
        <row r="1711">
          <cell r="E1711" t="str">
            <v>05_Users</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row>
        <row r="1712">
          <cell r="E1712" t="str">
            <v>05_Users</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row>
        <row r="1713">
          <cell r="E1713" t="str">
            <v>05_Users</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row>
        <row r="1714">
          <cell r="E1714" t="str">
            <v>05_Users</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row>
        <row r="1715">
          <cell r="E1715" t="str">
            <v>05_Users</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row>
        <row r="1716">
          <cell r="E1716" t="str">
            <v>05_Users</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row>
        <row r="1717">
          <cell r="E1717" t="str">
            <v>05_Users</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row>
        <row r="1718">
          <cell r="E1718" t="str">
            <v>05_Users</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row>
        <row r="1719">
          <cell r="E1719" t="str">
            <v>05_Users</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row>
        <row r="1720">
          <cell r="E1720" t="str">
            <v>05_Users</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row>
        <row r="1721">
          <cell r="E1721" t="str">
            <v>05_Users</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row>
        <row r="1722">
          <cell r="E1722" t="str">
            <v>05_Users</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row>
        <row r="1723">
          <cell r="E1723" t="str">
            <v>05_Users</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row>
        <row r="1724">
          <cell r="E1724" t="str">
            <v>05_Users</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row>
        <row r="1725">
          <cell r="E1725" t="str">
            <v>05_Users</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row>
        <row r="1726">
          <cell r="E1726" t="str">
            <v>05_Users</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row>
        <row r="1727">
          <cell r="E1727" t="str">
            <v>05_Users</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row>
        <row r="1728">
          <cell r="E1728" t="str">
            <v>05_Users</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row>
        <row r="1729">
          <cell r="E1729" t="str">
            <v>05_Users</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row>
        <row r="1730">
          <cell r="E1730" t="str">
            <v>05_Users</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row>
        <row r="1731">
          <cell r="E1731" t="str">
            <v>05_Users</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row>
        <row r="1732">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row>
        <row r="1733">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row>
        <row r="1734">
          <cell r="E1734" t="str">
            <v>TR1φ50Hz  10KVA</v>
          </cell>
          <cell r="F1734" t="str">
            <v>台</v>
          </cell>
          <cell r="G1734">
            <v>0</v>
          </cell>
          <cell r="H1734">
            <v>161000</v>
          </cell>
          <cell r="I1734">
            <v>0</v>
          </cell>
          <cell r="J1734">
            <v>161000</v>
          </cell>
          <cell r="K1734">
            <v>0</v>
          </cell>
          <cell r="L1734">
            <v>161000</v>
          </cell>
          <cell r="M1734">
            <v>0</v>
          </cell>
          <cell r="N1734">
            <v>161000</v>
          </cell>
          <cell r="O1734">
            <v>0</v>
          </cell>
          <cell r="P1734">
            <v>161000</v>
          </cell>
          <cell r="Q1734">
            <v>0</v>
          </cell>
          <cell r="R1734">
            <v>161000</v>
          </cell>
          <cell r="S1734">
            <v>0</v>
          </cell>
          <cell r="T1734">
            <v>161000</v>
          </cell>
          <cell r="U1734">
            <v>0</v>
          </cell>
          <cell r="V1734">
            <v>161000</v>
          </cell>
          <cell r="W1734">
            <v>0</v>
          </cell>
          <cell r="X1734">
            <v>161000</v>
          </cell>
          <cell r="Y1734">
            <v>0</v>
          </cell>
          <cell r="Z1734">
            <v>161000</v>
          </cell>
          <cell r="AA1734">
            <v>0</v>
          </cell>
          <cell r="AB1734">
            <v>0</v>
          </cell>
          <cell r="AC1734">
            <v>0</v>
          </cell>
          <cell r="AD1734">
            <v>0.92</v>
          </cell>
          <cell r="AE1734">
            <v>0</v>
          </cell>
          <cell r="AF1734">
            <v>0</v>
          </cell>
          <cell r="AG1734">
            <v>0</v>
          </cell>
          <cell r="AH1734">
            <v>0</v>
          </cell>
          <cell r="AI1734">
            <v>0</v>
          </cell>
          <cell r="AJ1734">
            <v>0</v>
          </cell>
          <cell r="AK1734">
            <v>0</v>
          </cell>
          <cell r="AL1734">
            <v>0</v>
          </cell>
        </row>
        <row r="1735">
          <cell r="E1735" t="str">
            <v>TR1φ50Hz  20KVA</v>
          </cell>
          <cell r="F1735" t="str">
            <v>台</v>
          </cell>
          <cell r="G1735">
            <v>0</v>
          </cell>
          <cell r="H1735">
            <v>190000</v>
          </cell>
          <cell r="I1735">
            <v>0</v>
          </cell>
          <cell r="J1735">
            <v>190000</v>
          </cell>
          <cell r="K1735">
            <v>0</v>
          </cell>
          <cell r="L1735">
            <v>190000</v>
          </cell>
          <cell r="M1735">
            <v>0</v>
          </cell>
          <cell r="N1735">
            <v>190000</v>
          </cell>
          <cell r="O1735">
            <v>0</v>
          </cell>
          <cell r="P1735">
            <v>190000</v>
          </cell>
          <cell r="Q1735">
            <v>0</v>
          </cell>
          <cell r="R1735">
            <v>190000</v>
          </cell>
          <cell r="S1735">
            <v>0</v>
          </cell>
          <cell r="T1735">
            <v>190000</v>
          </cell>
          <cell r="U1735">
            <v>0</v>
          </cell>
          <cell r="V1735">
            <v>190000</v>
          </cell>
          <cell r="W1735">
            <v>0</v>
          </cell>
          <cell r="X1735">
            <v>190000</v>
          </cell>
          <cell r="Y1735">
            <v>0</v>
          </cell>
          <cell r="Z1735">
            <v>190000</v>
          </cell>
          <cell r="AA1735">
            <v>0</v>
          </cell>
          <cell r="AB1735">
            <v>0</v>
          </cell>
          <cell r="AC1735">
            <v>0</v>
          </cell>
          <cell r="AD1735">
            <v>1.5580000000000001</v>
          </cell>
          <cell r="AE1735">
            <v>0</v>
          </cell>
          <cell r="AF1735">
            <v>0</v>
          </cell>
          <cell r="AG1735">
            <v>0</v>
          </cell>
          <cell r="AH1735">
            <v>0</v>
          </cell>
          <cell r="AI1735">
            <v>0</v>
          </cell>
          <cell r="AJ1735">
            <v>0</v>
          </cell>
          <cell r="AK1735">
            <v>0</v>
          </cell>
          <cell r="AL1735">
            <v>0</v>
          </cell>
        </row>
        <row r="1736">
          <cell r="E1736" t="str">
            <v>TR1φ50Hz  30KVA</v>
          </cell>
          <cell r="F1736" t="str">
            <v>台</v>
          </cell>
          <cell r="G1736">
            <v>0</v>
          </cell>
          <cell r="H1736">
            <v>225000</v>
          </cell>
          <cell r="I1736">
            <v>0</v>
          </cell>
          <cell r="J1736">
            <v>225000</v>
          </cell>
          <cell r="K1736">
            <v>0</v>
          </cell>
          <cell r="L1736">
            <v>225000</v>
          </cell>
          <cell r="M1736">
            <v>0</v>
          </cell>
          <cell r="N1736">
            <v>225000</v>
          </cell>
          <cell r="O1736">
            <v>0</v>
          </cell>
          <cell r="P1736">
            <v>225000</v>
          </cell>
          <cell r="Q1736">
            <v>0</v>
          </cell>
          <cell r="R1736">
            <v>225000</v>
          </cell>
          <cell r="S1736">
            <v>0</v>
          </cell>
          <cell r="T1736">
            <v>225000</v>
          </cell>
          <cell r="U1736">
            <v>0</v>
          </cell>
          <cell r="V1736">
            <v>225000</v>
          </cell>
          <cell r="W1736">
            <v>0</v>
          </cell>
          <cell r="X1736">
            <v>225000</v>
          </cell>
          <cell r="Y1736">
            <v>0</v>
          </cell>
          <cell r="Z1736">
            <v>225000</v>
          </cell>
          <cell r="AA1736">
            <v>0</v>
          </cell>
          <cell r="AB1736">
            <v>0</v>
          </cell>
          <cell r="AC1736">
            <v>0</v>
          </cell>
          <cell r="AD1736">
            <v>1.6639999999999999</v>
          </cell>
          <cell r="AE1736">
            <v>0</v>
          </cell>
          <cell r="AF1736">
            <v>0</v>
          </cell>
          <cell r="AG1736">
            <v>0</v>
          </cell>
          <cell r="AH1736">
            <v>0</v>
          </cell>
          <cell r="AI1736">
            <v>0</v>
          </cell>
          <cell r="AJ1736">
            <v>0</v>
          </cell>
          <cell r="AK1736">
            <v>0</v>
          </cell>
          <cell r="AL1736">
            <v>0</v>
          </cell>
        </row>
        <row r="1737">
          <cell r="E1737" t="str">
            <v>TR1φ50Hz  50KVA</v>
          </cell>
          <cell r="F1737" t="str">
            <v>台</v>
          </cell>
          <cell r="G1737">
            <v>0</v>
          </cell>
          <cell r="H1737">
            <v>269000</v>
          </cell>
          <cell r="I1737">
            <v>0</v>
          </cell>
          <cell r="J1737">
            <v>269000</v>
          </cell>
          <cell r="K1737">
            <v>0</v>
          </cell>
          <cell r="L1737">
            <v>269000</v>
          </cell>
          <cell r="M1737">
            <v>0</v>
          </cell>
          <cell r="N1737">
            <v>269000</v>
          </cell>
          <cell r="O1737">
            <v>0</v>
          </cell>
          <cell r="P1737">
            <v>269000</v>
          </cell>
          <cell r="Q1737">
            <v>0</v>
          </cell>
          <cell r="R1737">
            <v>269000</v>
          </cell>
          <cell r="S1737">
            <v>0</v>
          </cell>
          <cell r="T1737">
            <v>269000</v>
          </cell>
          <cell r="U1737">
            <v>0</v>
          </cell>
          <cell r="V1737">
            <v>269000</v>
          </cell>
          <cell r="W1737">
            <v>0</v>
          </cell>
          <cell r="X1737">
            <v>269000</v>
          </cell>
          <cell r="Y1737">
            <v>0</v>
          </cell>
          <cell r="Z1737">
            <v>269000</v>
          </cell>
          <cell r="AA1737">
            <v>0</v>
          </cell>
          <cell r="AB1737">
            <v>0</v>
          </cell>
          <cell r="AC1737">
            <v>0</v>
          </cell>
          <cell r="AD1737">
            <v>1.946</v>
          </cell>
          <cell r="AE1737">
            <v>0</v>
          </cell>
          <cell r="AF1737">
            <v>0</v>
          </cell>
          <cell r="AG1737">
            <v>0</v>
          </cell>
          <cell r="AH1737">
            <v>0</v>
          </cell>
          <cell r="AI1737">
            <v>0</v>
          </cell>
          <cell r="AJ1737">
            <v>0</v>
          </cell>
          <cell r="AK1737">
            <v>0</v>
          </cell>
          <cell r="AL1737">
            <v>0</v>
          </cell>
        </row>
        <row r="1738">
          <cell r="E1738" t="str">
            <v>TR1φ50Hz  75KVA</v>
          </cell>
          <cell r="F1738" t="str">
            <v>台</v>
          </cell>
          <cell r="G1738">
            <v>0</v>
          </cell>
          <cell r="H1738">
            <v>299000</v>
          </cell>
          <cell r="I1738">
            <v>0</v>
          </cell>
          <cell r="J1738">
            <v>299000</v>
          </cell>
          <cell r="K1738">
            <v>0</v>
          </cell>
          <cell r="L1738">
            <v>299000</v>
          </cell>
          <cell r="M1738">
            <v>0</v>
          </cell>
          <cell r="N1738">
            <v>299000</v>
          </cell>
          <cell r="O1738">
            <v>0</v>
          </cell>
          <cell r="P1738">
            <v>299000</v>
          </cell>
          <cell r="Q1738">
            <v>0</v>
          </cell>
          <cell r="R1738">
            <v>299000</v>
          </cell>
          <cell r="S1738">
            <v>0</v>
          </cell>
          <cell r="T1738">
            <v>299000</v>
          </cell>
          <cell r="U1738">
            <v>0</v>
          </cell>
          <cell r="V1738">
            <v>299000</v>
          </cell>
          <cell r="W1738">
            <v>0</v>
          </cell>
          <cell r="X1738">
            <v>299000</v>
          </cell>
          <cell r="Y1738">
            <v>0</v>
          </cell>
          <cell r="Z1738">
            <v>299000</v>
          </cell>
          <cell r="AA1738">
            <v>0</v>
          </cell>
          <cell r="AB1738">
            <v>0</v>
          </cell>
          <cell r="AC1738">
            <v>0</v>
          </cell>
          <cell r="AD1738">
            <v>3.2</v>
          </cell>
          <cell r="AE1738">
            <v>0</v>
          </cell>
          <cell r="AF1738">
            <v>0</v>
          </cell>
          <cell r="AG1738">
            <v>0</v>
          </cell>
          <cell r="AH1738">
            <v>0</v>
          </cell>
          <cell r="AI1738">
            <v>0</v>
          </cell>
          <cell r="AJ1738">
            <v>0</v>
          </cell>
          <cell r="AK1738">
            <v>0</v>
          </cell>
          <cell r="AL1738">
            <v>0</v>
          </cell>
        </row>
        <row r="1739">
          <cell r="E1739" t="str">
            <v>TR1φ50Hz 100KVA</v>
          </cell>
          <cell r="F1739" t="str">
            <v>台</v>
          </cell>
          <cell r="G1739">
            <v>0</v>
          </cell>
          <cell r="H1739">
            <v>375000</v>
          </cell>
          <cell r="I1739">
            <v>0</v>
          </cell>
          <cell r="J1739">
            <v>375000</v>
          </cell>
          <cell r="K1739">
            <v>0</v>
          </cell>
          <cell r="L1739">
            <v>375000</v>
          </cell>
          <cell r="M1739">
            <v>0</v>
          </cell>
          <cell r="N1739">
            <v>375000</v>
          </cell>
          <cell r="O1739">
            <v>0</v>
          </cell>
          <cell r="P1739">
            <v>375000</v>
          </cell>
          <cell r="Q1739">
            <v>0</v>
          </cell>
          <cell r="R1739">
            <v>375000</v>
          </cell>
          <cell r="S1739">
            <v>0</v>
          </cell>
          <cell r="T1739">
            <v>375000</v>
          </cell>
          <cell r="U1739">
            <v>0</v>
          </cell>
          <cell r="V1739">
            <v>375000</v>
          </cell>
          <cell r="W1739">
            <v>0</v>
          </cell>
          <cell r="X1739">
            <v>375000</v>
          </cell>
          <cell r="Y1739">
            <v>0</v>
          </cell>
          <cell r="Z1739">
            <v>375000</v>
          </cell>
          <cell r="AA1739">
            <v>0</v>
          </cell>
          <cell r="AB1739">
            <v>0</v>
          </cell>
          <cell r="AC1739">
            <v>0</v>
          </cell>
          <cell r="AD1739">
            <v>3.42</v>
          </cell>
          <cell r="AE1739">
            <v>0</v>
          </cell>
          <cell r="AF1739">
            <v>0</v>
          </cell>
          <cell r="AG1739">
            <v>0</v>
          </cell>
          <cell r="AH1739">
            <v>0</v>
          </cell>
          <cell r="AI1739">
            <v>0</v>
          </cell>
          <cell r="AJ1739">
            <v>0</v>
          </cell>
          <cell r="AK1739">
            <v>0</v>
          </cell>
          <cell r="AL1739">
            <v>0</v>
          </cell>
        </row>
        <row r="1740">
          <cell r="E1740" t="str">
            <v>TR1φ50Hz 150KVA</v>
          </cell>
          <cell r="F1740" t="str">
            <v>台</v>
          </cell>
          <cell r="G1740">
            <v>0</v>
          </cell>
          <cell r="H1740">
            <v>509000</v>
          </cell>
          <cell r="I1740">
            <v>0</v>
          </cell>
          <cell r="J1740">
            <v>509000</v>
          </cell>
          <cell r="K1740">
            <v>0</v>
          </cell>
          <cell r="L1740">
            <v>509000</v>
          </cell>
          <cell r="M1740">
            <v>0</v>
          </cell>
          <cell r="N1740">
            <v>509000</v>
          </cell>
          <cell r="O1740">
            <v>0</v>
          </cell>
          <cell r="P1740">
            <v>509000</v>
          </cell>
          <cell r="Q1740">
            <v>0</v>
          </cell>
          <cell r="R1740">
            <v>509000</v>
          </cell>
          <cell r="S1740">
            <v>0</v>
          </cell>
          <cell r="T1740">
            <v>509000</v>
          </cell>
          <cell r="U1740">
            <v>0</v>
          </cell>
          <cell r="V1740">
            <v>509000</v>
          </cell>
          <cell r="W1740">
            <v>0</v>
          </cell>
          <cell r="X1740">
            <v>509000</v>
          </cell>
          <cell r="Y1740">
            <v>0</v>
          </cell>
          <cell r="Z1740">
            <v>509000</v>
          </cell>
          <cell r="AA1740">
            <v>0</v>
          </cell>
          <cell r="AB1740">
            <v>0</v>
          </cell>
          <cell r="AC1740">
            <v>0</v>
          </cell>
          <cell r="AD1740">
            <v>4.24</v>
          </cell>
          <cell r="AE1740">
            <v>0</v>
          </cell>
          <cell r="AF1740">
            <v>0</v>
          </cell>
          <cell r="AG1740">
            <v>0</v>
          </cell>
          <cell r="AH1740">
            <v>0</v>
          </cell>
          <cell r="AI1740">
            <v>0</v>
          </cell>
          <cell r="AJ1740">
            <v>0</v>
          </cell>
          <cell r="AK1740">
            <v>0</v>
          </cell>
          <cell r="AL1740">
            <v>0</v>
          </cell>
        </row>
        <row r="1741">
          <cell r="E1741" t="str">
            <v>TR1φ50Hz 200KVA</v>
          </cell>
          <cell r="F1741" t="str">
            <v>台</v>
          </cell>
          <cell r="G1741">
            <v>0</v>
          </cell>
          <cell r="H1741">
            <v>658000</v>
          </cell>
          <cell r="I1741">
            <v>0</v>
          </cell>
          <cell r="J1741">
            <v>658000</v>
          </cell>
          <cell r="K1741">
            <v>0</v>
          </cell>
          <cell r="L1741">
            <v>658000</v>
          </cell>
          <cell r="M1741">
            <v>0</v>
          </cell>
          <cell r="N1741">
            <v>658000</v>
          </cell>
          <cell r="O1741">
            <v>0</v>
          </cell>
          <cell r="P1741">
            <v>658000</v>
          </cell>
          <cell r="Q1741">
            <v>0</v>
          </cell>
          <cell r="R1741">
            <v>658000</v>
          </cell>
          <cell r="S1741">
            <v>0</v>
          </cell>
          <cell r="T1741">
            <v>658000</v>
          </cell>
          <cell r="U1741">
            <v>0</v>
          </cell>
          <cell r="V1741">
            <v>658000</v>
          </cell>
          <cell r="W1741">
            <v>0</v>
          </cell>
          <cell r="X1741">
            <v>658000</v>
          </cell>
          <cell r="Y1741">
            <v>0</v>
          </cell>
          <cell r="Z1741">
            <v>658000</v>
          </cell>
          <cell r="AA1741">
            <v>0</v>
          </cell>
          <cell r="AB1741">
            <v>0</v>
          </cell>
          <cell r="AC1741">
            <v>0</v>
          </cell>
          <cell r="AD1741">
            <v>4.5</v>
          </cell>
          <cell r="AE1741">
            <v>0</v>
          </cell>
          <cell r="AF1741">
            <v>0</v>
          </cell>
          <cell r="AG1741">
            <v>0</v>
          </cell>
          <cell r="AH1741">
            <v>0</v>
          </cell>
          <cell r="AI1741">
            <v>0</v>
          </cell>
          <cell r="AJ1741">
            <v>0</v>
          </cell>
          <cell r="AK1741">
            <v>0</v>
          </cell>
          <cell r="AL1741">
            <v>0</v>
          </cell>
        </row>
        <row r="1742">
          <cell r="E1742" t="str">
            <v>TR1φ50Hz 300KVA</v>
          </cell>
          <cell r="F1742" t="str">
            <v>台</v>
          </cell>
          <cell r="G1742">
            <v>0</v>
          </cell>
          <cell r="H1742">
            <v>982000</v>
          </cell>
          <cell r="I1742">
            <v>0</v>
          </cell>
          <cell r="J1742">
            <v>982000</v>
          </cell>
          <cell r="K1742">
            <v>0</v>
          </cell>
          <cell r="L1742">
            <v>982000</v>
          </cell>
          <cell r="M1742">
            <v>0</v>
          </cell>
          <cell r="N1742">
            <v>982000</v>
          </cell>
          <cell r="O1742">
            <v>0</v>
          </cell>
          <cell r="P1742">
            <v>982000</v>
          </cell>
          <cell r="Q1742">
            <v>0</v>
          </cell>
          <cell r="R1742">
            <v>982000</v>
          </cell>
          <cell r="S1742">
            <v>0</v>
          </cell>
          <cell r="T1742">
            <v>982000</v>
          </cell>
          <cell r="U1742">
            <v>0</v>
          </cell>
          <cell r="V1742">
            <v>982000</v>
          </cell>
          <cell r="W1742">
            <v>0</v>
          </cell>
          <cell r="X1742">
            <v>982000</v>
          </cell>
          <cell r="Y1742">
            <v>0</v>
          </cell>
          <cell r="Z1742">
            <v>982000</v>
          </cell>
          <cell r="AA1742">
            <v>0</v>
          </cell>
          <cell r="AB1742">
            <v>0</v>
          </cell>
          <cell r="AC1742">
            <v>0</v>
          </cell>
          <cell r="AD1742">
            <v>5.8</v>
          </cell>
          <cell r="AE1742">
            <v>0</v>
          </cell>
          <cell r="AF1742">
            <v>0</v>
          </cell>
          <cell r="AG1742">
            <v>0</v>
          </cell>
          <cell r="AH1742">
            <v>0</v>
          </cell>
          <cell r="AI1742">
            <v>0</v>
          </cell>
          <cell r="AJ1742">
            <v>0</v>
          </cell>
          <cell r="AK1742">
            <v>0</v>
          </cell>
          <cell r="AL1742">
            <v>0</v>
          </cell>
        </row>
        <row r="1743">
          <cell r="E1743" t="str">
            <v>TR1φ50Hz 500KVA</v>
          </cell>
          <cell r="F1743" t="str">
            <v>台</v>
          </cell>
          <cell r="G1743">
            <v>0</v>
          </cell>
          <cell r="H1743">
            <v>1630000</v>
          </cell>
          <cell r="I1743">
            <v>0</v>
          </cell>
          <cell r="J1743">
            <v>1630000</v>
          </cell>
          <cell r="K1743">
            <v>0</v>
          </cell>
          <cell r="L1743">
            <v>1630000</v>
          </cell>
          <cell r="M1743">
            <v>0</v>
          </cell>
          <cell r="N1743">
            <v>1630000</v>
          </cell>
          <cell r="O1743">
            <v>0</v>
          </cell>
          <cell r="P1743">
            <v>1630000</v>
          </cell>
          <cell r="Q1743">
            <v>0</v>
          </cell>
          <cell r="R1743">
            <v>1630000</v>
          </cell>
          <cell r="S1743">
            <v>0</v>
          </cell>
          <cell r="T1743">
            <v>1630000</v>
          </cell>
          <cell r="U1743">
            <v>0</v>
          </cell>
          <cell r="V1743">
            <v>1630000</v>
          </cell>
          <cell r="W1743">
            <v>0</v>
          </cell>
          <cell r="X1743">
            <v>1630000</v>
          </cell>
          <cell r="Y1743">
            <v>0</v>
          </cell>
          <cell r="Z1743">
            <v>1630000</v>
          </cell>
          <cell r="AA1743">
            <v>0</v>
          </cell>
          <cell r="AB1743">
            <v>0</v>
          </cell>
          <cell r="AC1743">
            <v>0</v>
          </cell>
          <cell r="AD1743">
            <v>7.6</v>
          </cell>
          <cell r="AE1743">
            <v>0</v>
          </cell>
          <cell r="AF1743">
            <v>0</v>
          </cell>
          <cell r="AG1743">
            <v>0</v>
          </cell>
          <cell r="AH1743">
            <v>0</v>
          </cell>
          <cell r="AI1743">
            <v>0</v>
          </cell>
          <cell r="AJ1743">
            <v>0</v>
          </cell>
          <cell r="AK1743">
            <v>0</v>
          </cell>
          <cell r="AL1743">
            <v>0</v>
          </cell>
        </row>
        <row r="1744">
          <cell r="E1744" t="str">
            <v>TR3φ50Hz  20KVA</v>
          </cell>
          <cell r="F1744" t="str">
            <v>台</v>
          </cell>
          <cell r="G1744">
            <v>0</v>
          </cell>
          <cell r="H1744">
            <v>212000</v>
          </cell>
          <cell r="I1744">
            <v>0</v>
          </cell>
          <cell r="J1744">
            <v>212000</v>
          </cell>
          <cell r="K1744">
            <v>0</v>
          </cell>
          <cell r="L1744">
            <v>212000</v>
          </cell>
          <cell r="M1744">
            <v>0</v>
          </cell>
          <cell r="N1744">
            <v>212000</v>
          </cell>
          <cell r="O1744">
            <v>0</v>
          </cell>
          <cell r="P1744">
            <v>212000</v>
          </cell>
          <cell r="Q1744">
            <v>0</v>
          </cell>
          <cell r="R1744">
            <v>212000</v>
          </cell>
          <cell r="S1744">
            <v>0</v>
          </cell>
          <cell r="T1744">
            <v>212000</v>
          </cell>
          <cell r="U1744">
            <v>0</v>
          </cell>
          <cell r="V1744">
            <v>212000</v>
          </cell>
          <cell r="W1744">
            <v>0</v>
          </cell>
          <cell r="X1744">
            <v>212000</v>
          </cell>
          <cell r="Y1744">
            <v>0</v>
          </cell>
          <cell r="Z1744">
            <v>212000</v>
          </cell>
          <cell r="AA1744">
            <v>0</v>
          </cell>
          <cell r="AB1744">
            <v>0</v>
          </cell>
          <cell r="AC1744">
            <v>0</v>
          </cell>
          <cell r="AD1744">
            <v>1.8939999999999999</v>
          </cell>
          <cell r="AE1744">
            <v>0</v>
          </cell>
          <cell r="AF1744">
            <v>0</v>
          </cell>
          <cell r="AG1744">
            <v>0</v>
          </cell>
          <cell r="AH1744">
            <v>0</v>
          </cell>
          <cell r="AI1744">
            <v>0</v>
          </cell>
          <cell r="AJ1744">
            <v>0</v>
          </cell>
          <cell r="AK1744">
            <v>0</v>
          </cell>
          <cell r="AL1744">
            <v>0</v>
          </cell>
        </row>
        <row r="1745">
          <cell r="E1745" t="str">
            <v>TR3φ50Hz  30KVA</v>
          </cell>
          <cell r="F1745" t="str">
            <v>台</v>
          </cell>
          <cell r="G1745">
            <v>0</v>
          </cell>
          <cell r="H1745">
            <v>241000</v>
          </cell>
          <cell r="I1745">
            <v>0</v>
          </cell>
          <cell r="J1745">
            <v>241000</v>
          </cell>
          <cell r="K1745">
            <v>0</v>
          </cell>
          <cell r="L1745">
            <v>241000</v>
          </cell>
          <cell r="M1745">
            <v>0</v>
          </cell>
          <cell r="N1745">
            <v>241000</v>
          </cell>
          <cell r="O1745">
            <v>0</v>
          </cell>
          <cell r="P1745">
            <v>241000</v>
          </cell>
          <cell r="Q1745">
            <v>0</v>
          </cell>
          <cell r="R1745">
            <v>241000</v>
          </cell>
          <cell r="S1745">
            <v>0</v>
          </cell>
          <cell r="T1745">
            <v>241000</v>
          </cell>
          <cell r="U1745">
            <v>0</v>
          </cell>
          <cell r="V1745">
            <v>241000</v>
          </cell>
          <cell r="W1745">
            <v>0</v>
          </cell>
          <cell r="X1745">
            <v>241000</v>
          </cell>
          <cell r="Y1745">
            <v>0</v>
          </cell>
          <cell r="Z1745">
            <v>241000</v>
          </cell>
          <cell r="AA1745">
            <v>0</v>
          </cell>
          <cell r="AB1745">
            <v>0</v>
          </cell>
          <cell r="AC1745">
            <v>0</v>
          </cell>
          <cell r="AD1745">
            <v>2.08</v>
          </cell>
          <cell r="AE1745">
            <v>0</v>
          </cell>
          <cell r="AF1745">
            <v>0</v>
          </cell>
          <cell r="AG1745">
            <v>0</v>
          </cell>
          <cell r="AH1745">
            <v>0</v>
          </cell>
          <cell r="AI1745">
            <v>0</v>
          </cell>
          <cell r="AJ1745">
            <v>0</v>
          </cell>
          <cell r="AK1745">
            <v>0</v>
          </cell>
          <cell r="AL1745">
            <v>0</v>
          </cell>
        </row>
        <row r="1746">
          <cell r="E1746" t="str">
            <v>TR3φ50Hz  50KVA</v>
          </cell>
          <cell r="F1746" t="str">
            <v>台</v>
          </cell>
          <cell r="G1746">
            <v>0</v>
          </cell>
          <cell r="H1746">
            <v>299000</v>
          </cell>
          <cell r="I1746">
            <v>0</v>
          </cell>
          <cell r="J1746">
            <v>299000</v>
          </cell>
          <cell r="K1746">
            <v>0</v>
          </cell>
          <cell r="L1746">
            <v>299000</v>
          </cell>
          <cell r="M1746">
            <v>0</v>
          </cell>
          <cell r="N1746">
            <v>299000</v>
          </cell>
          <cell r="O1746">
            <v>0</v>
          </cell>
          <cell r="P1746">
            <v>299000</v>
          </cell>
          <cell r="Q1746">
            <v>0</v>
          </cell>
          <cell r="R1746">
            <v>299000</v>
          </cell>
          <cell r="S1746">
            <v>0</v>
          </cell>
          <cell r="T1746">
            <v>299000</v>
          </cell>
          <cell r="U1746">
            <v>0</v>
          </cell>
          <cell r="V1746">
            <v>299000</v>
          </cell>
          <cell r="W1746">
            <v>0</v>
          </cell>
          <cell r="X1746">
            <v>299000</v>
          </cell>
          <cell r="Y1746">
            <v>0</v>
          </cell>
          <cell r="Z1746">
            <v>299000</v>
          </cell>
          <cell r="AA1746">
            <v>0</v>
          </cell>
          <cell r="AB1746">
            <v>0</v>
          </cell>
          <cell r="AC1746">
            <v>0</v>
          </cell>
          <cell r="AD1746">
            <v>2.44</v>
          </cell>
          <cell r="AE1746">
            <v>0</v>
          </cell>
          <cell r="AF1746">
            <v>0</v>
          </cell>
          <cell r="AG1746">
            <v>0</v>
          </cell>
          <cell r="AH1746">
            <v>0</v>
          </cell>
          <cell r="AI1746">
            <v>0</v>
          </cell>
          <cell r="AJ1746">
            <v>0</v>
          </cell>
          <cell r="AK1746">
            <v>0</v>
          </cell>
          <cell r="AL1746">
            <v>0</v>
          </cell>
        </row>
        <row r="1747">
          <cell r="E1747" t="str">
            <v>TR3φ50Hz  75KVA</v>
          </cell>
          <cell r="F1747" t="str">
            <v>台</v>
          </cell>
          <cell r="G1747">
            <v>0</v>
          </cell>
          <cell r="H1747">
            <v>384000</v>
          </cell>
          <cell r="I1747">
            <v>0</v>
          </cell>
          <cell r="J1747">
            <v>384000</v>
          </cell>
          <cell r="K1747">
            <v>0</v>
          </cell>
          <cell r="L1747">
            <v>384000</v>
          </cell>
          <cell r="M1747">
            <v>0</v>
          </cell>
          <cell r="N1747">
            <v>384000</v>
          </cell>
          <cell r="O1747">
            <v>0</v>
          </cell>
          <cell r="P1747">
            <v>384000</v>
          </cell>
          <cell r="Q1747">
            <v>0</v>
          </cell>
          <cell r="R1747">
            <v>384000</v>
          </cell>
          <cell r="S1747">
            <v>0</v>
          </cell>
          <cell r="T1747">
            <v>384000</v>
          </cell>
          <cell r="U1747">
            <v>0</v>
          </cell>
          <cell r="V1747">
            <v>384000</v>
          </cell>
          <cell r="W1747">
            <v>0</v>
          </cell>
          <cell r="X1747">
            <v>384000</v>
          </cell>
          <cell r="Y1747">
            <v>0</v>
          </cell>
          <cell r="Z1747">
            <v>384000</v>
          </cell>
          <cell r="AA1747">
            <v>0</v>
          </cell>
          <cell r="AB1747">
            <v>0</v>
          </cell>
          <cell r="AC1747">
            <v>0</v>
          </cell>
          <cell r="AD1747">
            <v>3.62</v>
          </cell>
          <cell r="AE1747">
            <v>0</v>
          </cell>
          <cell r="AF1747">
            <v>0</v>
          </cell>
          <cell r="AG1747">
            <v>0</v>
          </cell>
          <cell r="AH1747">
            <v>0</v>
          </cell>
          <cell r="AI1747">
            <v>0</v>
          </cell>
          <cell r="AJ1747">
            <v>0</v>
          </cell>
          <cell r="AK1747">
            <v>0</v>
          </cell>
          <cell r="AL1747">
            <v>0</v>
          </cell>
        </row>
        <row r="1748">
          <cell r="E1748" t="str">
            <v>TR3φ50Hz 100KVA</v>
          </cell>
          <cell r="F1748" t="str">
            <v>台</v>
          </cell>
          <cell r="G1748">
            <v>0</v>
          </cell>
          <cell r="H1748">
            <v>471000</v>
          </cell>
          <cell r="I1748">
            <v>0</v>
          </cell>
          <cell r="J1748">
            <v>471000</v>
          </cell>
          <cell r="K1748">
            <v>0</v>
          </cell>
          <cell r="L1748">
            <v>471000</v>
          </cell>
          <cell r="M1748">
            <v>0</v>
          </cell>
          <cell r="N1748">
            <v>471000</v>
          </cell>
          <cell r="O1748">
            <v>0</v>
          </cell>
          <cell r="P1748">
            <v>471000</v>
          </cell>
          <cell r="Q1748">
            <v>0</v>
          </cell>
          <cell r="R1748">
            <v>471000</v>
          </cell>
          <cell r="S1748">
            <v>0</v>
          </cell>
          <cell r="T1748">
            <v>471000</v>
          </cell>
          <cell r="U1748">
            <v>0</v>
          </cell>
          <cell r="V1748">
            <v>471000</v>
          </cell>
          <cell r="W1748">
            <v>0</v>
          </cell>
          <cell r="X1748">
            <v>471000</v>
          </cell>
          <cell r="Y1748">
            <v>0</v>
          </cell>
          <cell r="Z1748">
            <v>471000</v>
          </cell>
          <cell r="AA1748">
            <v>0</v>
          </cell>
          <cell r="AB1748">
            <v>0</v>
          </cell>
          <cell r="AC1748">
            <v>0</v>
          </cell>
          <cell r="AD1748">
            <v>4.0199999999999996</v>
          </cell>
          <cell r="AE1748">
            <v>0</v>
          </cell>
          <cell r="AF1748">
            <v>0</v>
          </cell>
          <cell r="AG1748">
            <v>0</v>
          </cell>
          <cell r="AH1748">
            <v>0</v>
          </cell>
          <cell r="AI1748">
            <v>0</v>
          </cell>
          <cell r="AJ1748">
            <v>0</v>
          </cell>
          <cell r="AK1748">
            <v>0</v>
          </cell>
          <cell r="AL1748">
            <v>0</v>
          </cell>
        </row>
        <row r="1749">
          <cell r="E1749" t="str">
            <v>TR3φ50Hz 150KVA</v>
          </cell>
          <cell r="F1749" t="str">
            <v>台</v>
          </cell>
          <cell r="G1749">
            <v>0</v>
          </cell>
          <cell r="H1749">
            <v>633000</v>
          </cell>
          <cell r="I1749">
            <v>0</v>
          </cell>
          <cell r="J1749">
            <v>633000</v>
          </cell>
          <cell r="K1749">
            <v>0</v>
          </cell>
          <cell r="L1749">
            <v>633000</v>
          </cell>
          <cell r="M1749">
            <v>0</v>
          </cell>
          <cell r="N1749">
            <v>633000</v>
          </cell>
          <cell r="O1749">
            <v>0</v>
          </cell>
          <cell r="P1749">
            <v>633000</v>
          </cell>
          <cell r="Q1749">
            <v>0</v>
          </cell>
          <cell r="R1749">
            <v>633000</v>
          </cell>
          <cell r="S1749">
            <v>0</v>
          </cell>
          <cell r="T1749">
            <v>633000</v>
          </cell>
          <cell r="U1749">
            <v>0</v>
          </cell>
          <cell r="V1749">
            <v>633000</v>
          </cell>
          <cell r="W1749">
            <v>0</v>
          </cell>
          <cell r="X1749">
            <v>633000</v>
          </cell>
          <cell r="Y1749">
            <v>0</v>
          </cell>
          <cell r="Z1749">
            <v>633000</v>
          </cell>
          <cell r="AA1749">
            <v>0</v>
          </cell>
          <cell r="AB1749">
            <v>0</v>
          </cell>
          <cell r="AC1749">
            <v>0</v>
          </cell>
          <cell r="AD1749">
            <v>4.9400000000000004</v>
          </cell>
          <cell r="AE1749">
            <v>0</v>
          </cell>
          <cell r="AF1749">
            <v>0</v>
          </cell>
          <cell r="AG1749">
            <v>0</v>
          </cell>
          <cell r="AH1749">
            <v>0</v>
          </cell>
          <cell r="AI1749">
            <v>0</v>
          </cell>
          <cell r="AJ1749">
            <v>0</v>
          </cell>
          <cell r="AK1749">
            <v>0</v>
          </cell>
          <cell r="AL1749">
            <v>0</v>
          </cell>
        </row>
        <row r="1750">
          <cell r="E1750" t="str">
            <v>TR3φ50Hz 200KVA</v>
          </cell>
          <cell r="F1750" t="str">
            <v>台</v>
          </cell>
          <cell r="G1750">
            <v>0</v>
          </cell>
          <cell r="H1750">
            <v>795000</v>
          </cell>
          <cell r="I1750">
            <v>0</v>
          </cell>
          <cell r="J1750">
            <v>795000</v>
          </cell>
          <cell r="K1750">
            <v>0</v>
          </cell>
          <cell r="L1750">
            <v>795000</v>
          </cell>
          <cell r="M1750">
            <v>0</v>
          </cell>
          <cell r="N1750">
            <v>795000</v>
          </cell>
          <cell r="O1750">
            <v>0</v>
          </cell>
          <cell r="P1750">
            <v>795000</v>
          </cell>
          <cell r="Q1750">
            <v>0</v>
          </cell>
          <cell r="R1750">
            <v>795000</v>
          </cell>
          <cell r="S1750">
            <v>0</v>
          </cell>
          <cell r="T1750">
            <v>795000</v>
          </cell>
          <cell r="U1750">
            <v>0</v>
          </cell>
          <cell r="V1750">
            <v>795000</v>
          </cell>
          <cell r="W1750">
            <v>0</v>
          </cell>
          <cell r="X1750">
            <v>795000</v>
          </cell>
          <cell r="Y1750">
            <v>0</v>
          </cell>
          <cell r="Z1750">
            <v>795000</v>
          </cell>
          <cell r="AA1750">
            <v>0</v>
          </cell>
          <cell r="AB1750">
            <v>0</v>
          </cell>
          <cell r="AC1750">
            <v>0</v>
          </cell>
          <cell r="AD1750">
            <v>5.48</v>
          </cell>
          <cell r="AE1750">
            <v>0</v>
          </cell>
          <cell r="AF1750">
            <v>0</v>
          </cell>
          <cell r="AG1750">
            <v>0</v>
          </cell>
          <cell r="AH1750">
            <v>0</v>
          </cell>
          <cell r="AI1750">
            <v>0</v>
          </cell>
          <cell r="AJ1750">
            <v>0</v>
          </cell>
          <cell r="AK1750">
            <v>0</v>
          </cell>
          <cell r="AL1750">
            <v>0</v>
          </cell>
        </row>
        <row r="1751">
          <cell r="E1751" t="str">
            <v>TR3φ50Hz 300KVA</v>
          </cell>
          <cell r="F1751" t="str">
            <v>台</v>
          </cell>
          <cell r="G1751">
            <v>0</v>
          </cell>
          <cell r="H1751">
            <v>1120000</v>
          </cell>
          <cell r="I1751">
            <v>0</v>
          </cell>
          <cell r="J1751">
            <v>1120000</v>
          </cell>
          <cell r="K1751">
            <v>0</v>
          </cell>
          <cell r="L1751">
            <v>1120000</v>
          </cell>
          <cell r="M1751">
            <v>0</v>
          </cell>
          <cell r="N1751">
            <v>1120000</v>
          </cell>
          <cell r="O1751">
            <v>0</v>
          </cell>
          <cell r="P1751">
            <v>1120000</v>
          </cell>
          <cell r="Q1751">
            <v>0</v>
          </cell>
          <cell r="R1751">
            <v>1120000</v>
          </cell>
          <cell r="S1751">
            <v>0</v>
          </cell>
          <cell r="T1751">
            <v>1120000</v>
          </cell>
          <cell r="U1751">
            <v>0</v>
          </cell>
          <cell r="V1751">
            <v>1120000</v>
          </cell>
          <cell r="W1751">
            <v>0</v>
          </cell>
          <cell r="X1751">
            <v>1120000</v>
          </cell>
          <cell r="Y1751">
            <v>0</v>
          </cell>
          <cell r="Z1751">
            <v>1120000</v>
          </cell>
          <cell r="AA1751">
            <v>0</v>
          </cell>
          <cell r="AB1751">
            <v>0</v>
          </cell>
          <cell r="AC1751">
            <v>0</v>
          </cell>
          <cell r="AD1751">
            <v>7.1</v>
          </cell>
          <cell r="AE1751">
            <v>0</v>
          </cell>
          <cell r="AF1751">
            <v>0</v>
          </cell>
          <cell r="AG1751">
            <v>0</v>
          </cell>
          <cell r="AH1751">
            <v>0</v>
          </cell>
          <cell r="AI1751">
            <v>0</v>
          </cell>
          <cell r="AJ1751">
            <v>0</v>
          </cell>
          <cell r="AK1751">
            <v>0</v>
          </cell>
          <cell r="AL1751">
            <v>0</v>
          </cell>
        </row>
        <row r="1752">
          <cell r="E1752" t="str">
            <v>TR3φ50Hz 500KVA</v>
          </cell>
          <cell r="F1752" t="str">
            <v>台</v>
          </cell>
          <cell r="G1752">
            <v>0</v>
          </cell>
          <cell r="H1752">
            <v>1700000</v>
          </cell>
          <cell r="I1752">
            <v>0</v>
          </cell>
          <cell r="J1752">
            <v>1700000</v>
          </cell>
          <cell r="K1752">
            <v>0</v>
          </cell>
          <cell r="L1752">
            <v>1700000</v>
          </cell>
          <cell r="M1752">
            <v>0</v>
          </cell>
          <cell r="N1752">
            <v>1700000</v>
          </cell>
          <cell r="O1752">
            <v>0</v>
          </cell>
          <cell r="P1752">
            <v>1700000</v>
          </cell>
          <cell r="Q1752">
            <v>0</v>
          </cell>
          <cell r="R1752">
            <v>1700000</v>
          </cell>
          <cell r="S1752">
            <v>0</v>
          </cell>
          <cell r="T1752">
            <v>1700000</v>
          </cell>
          <cell r="U1752">
            <v>0</v>
          </cell>
          <cell r="V1752">
            <v>1700000</v>
          </cell>
          <cell r="W1752">
            <v>0</v>
          </cell>
          <cell r="X1752">
            <v>1700000</v>
          </cell>
          <cell r="Y1752">
            <v>0</v>
          </cell>
          <cell r="Z1752">
            <v>1700000</v>
          </cell>
          <cell r="AA1752">
            <v>0</v>
          </cell>
          <cell r="AB1752">
            <v>0</v>
          </cell>
          <cell r="AC1752">
            <v>0</v>
          </cell>
          <cell r="AD1752">
            <v>8.74</v>
          </cell>
          <cell r="AE1752">
            <v>0</v>
          </cell>
          <cell r="AF1752">
            <v>0</v>
          </cell>
          <cell r="AG1752">
            <v>0</v>
          </cell>
          <cell r="AH1752">
            <v>0</v>
          </cell>
          <cell r="AI1752">
            <v>0</v>
          </cell>
          <cell r="AJ1752">
            <v>0</v>
          </cell>
          <cell r="AK1752">
            <v>0</v>
          </cell>
          <cell r="AL1752">
            <v>0</v>
          </cell>
        </row>
        <row r="1753">
          <cell r="E1753" t="str">
            <v>TR3φ50Hz 750KVA</v>
          </cell>
          <cell r="F1753" t="str">
            <v>台</v>
          </cell>
          <cell r="G1753">
            <v>0</v>
          </cell>
          <cell r="H1753">
            <v>1935000</v>
          </cell>
          <cell r="I1753">
            <v>0</v>
          </cell>
          <cell r="J1753">
            <v>1935000</v>
          </cell>
          <cell r="K1753">
            <v>0</v>
          </cell>
          <cell r="L1753">
            <v>1935000</v>
          </cell>
          <cell r="M1753">
            <v>0</v>
          </cell>
          <cell r="N1753">
            <v>1935000</v>
          </cell>
          <cell r="O1753">
            <v>0</v>
          </cell>
          <cell r="P1753">
            <v>1935000</v>
          </cell>
          <cell r="Q1753">
            <v>0</v>
          </cell>
          <cell r="R1753">
            <v>1935000</v>
          </cell>
          <cell r="S1753">
            <v>0</v>
          </cell>
          <cell r="T1753">
            <v>1935000</v>
          </cell>
          <cell r="U1753">
            <v>0</v>
          </cell>
          <cell r="V1753">
            <v>1935000</v>
          </cell>
          <cell r="W1753">
            <v>0</v>
          </cell>
          <cell r="X1753">
            <v>1935000</v>
          </cell>
          <cell r="Y1753">
            <v>0</v>
          </cell>
          <cell r="Z1753">
            <v>1935000</v>
          </cell>
          <cell r="AA1753">
            <v>0</v>
          </cell>
          <cell r="AB1753">
            <v>0</v>
          </cell>
          <cell r="AC1753">
            <v>0</v>
          </cell>
          <cell r="AD1753">
            <v>8.74</v>
          </cell>
          <cell r="AE1753">
            <v>0</v>
          </cell>
          <cell r="AF1753">
            <v>0</v>
          </cell>
          <cell r="AG1753">
            <v>0</v>
          </cell>
          <cell r="AH1753">
            <v>0</v>
          </cell>
          <cell r="AI1753">
            <v>0</v>
          </cell>
          <cell r="AJ1753">
            <v>0</v>
          </cell>
          <cell r="AK1753">
            <v>0</v>
          </cell>
          <cell r="AL1753">
            <v>0</v>
          </cell>
        </row>
        <row r="1754">
          <cell r="E1754" t="str">
            <v>TR3φ50Hz1000KVA</v>
          </cell>
          <cell r="F1754" t="str">
            <v>台</v>
          </cell>
          <cell r="G1754">
            <v>0</v>
          </cell>
          <cell r="H1754">
            <v>2902000</v>
          </cell>
          <cell r="I1754">
            <v>0</v>
          </cell>
          <cell r="J1754">
            <v>2902000</v>
          </cell>
          <cell r="K1754">
            <v>0</v>
          </cell>
          <cell r="L1754">
            <v>2902000</v>
          </cell>
          <cell r="M1754">
            <v>0</v>
          </cell>
          <cell r="N1754">
            <v>2902000</v>
          </cell>
          <cell r="O1754">
            <v>0</v>
          </cell>
          <cell r="P1754">
            <v>2902000</v>
          </cell>
          <cell r="Q1754">
            <v>0</v>
          </cell>
          <cell r="R1754">
            <v>2902000</v>
          </cell>
          <cell r="S1754">
            <v>0</v>
          </cell>
          <cell r="T1754">
            <v>2902000</v>
          </cell>
          <cell r="U1754">
            <v>0</v>
          </cell>
          <cell r="V1754">
            <v>2902000</v>
          </cell>
          <cell r="W1754">
            <v>0</v>
          </cell>
          <cell r="X1754">
            <v>2902000</v>
          </cell>
          <cell r="Y1754">
            <v>0</v>
          </cell>
          <cell r="Z1754">
            <v>2902000</v>
          </cell>
          <cell r="AA1754">
            <v>0</v>
          </cell>
          <cell r="AB1754">
            <v>0</v>
          </cell>
          <cell r="AC1754">
            <v>0</v>
          </cell>
          <cell r="AD1754">
            <v>8.74</v>
          </cell>
          <cell r="AE1754">
            <v>0</v>
          </cell>
          <cell r="AF1754">
            <v>0</v>
          </cell>
          <cell r="AG1754">
            <v>0</v>
          </cell>
          <cell r="AH1754">
            <v>0</v>
          </cell>
          <cell r="AI1754">
            <v>0</v>
          </cell>
          <cell r="AJ1754">
            <v>0</v>
          </cell>
          <cell r="AK1754">
            <v>0</v>
          </cell>
          <cell r="AL1754">
            <v>0</v>
          </cell>
        </row>
        <row r="1755">
          <cell r="E1755" t="str">
            <v>TR3φ50Hz1500KVA</v>
          </cell>
          <cell r="F1755" t="str">
            <v>台</v>
          </cell>
          <cell r="G1755">
            <v>0</v>
          </cell>
          <cell r="H1755">
            <v>4353000</v>
          </cell>
          <cell r="I1755">
            <v>0</v>
          </cell>
          <cell r="J1755">
            <v>4353000</v>
          </cell>
          <cell r="K1755">
            <v>0</v>
          </cell>
          <cell r="L1755">
            <v>4353000</v>
          </cell>
          <cell r="M1755">
            <v>0</v>
          </cell>
          <cell r="N1755">
            <v>4353000</v>
          </cell>
          <cell r="O1755">
            <v>0</v>
          </cell>
          <cell r="P1755">
            <v>4353000</v>
          </cell>
          <cell r="Q1755">
            <v>0</v>
          </cell>
          <cell r="R1755">
            <v>4353000</v>
          </cell>
          <cell r="S1755">
            <v>0</v>
          </cell>
          <cell r="T1755">
            <v>4353000</v>
          </cell>
          <cell r="U1755">
            <v>0</v>
          </cell>
          <cell r="V1755">
            <v>4353000</v>
          </cell>
          <cell r="W1755">
            <v>0</v>
          </cell>
          <cell r="X1755">
            <v>4353000</v>
          </cell>
          <cell r="Y1755">
            <v>0</v>
          </cell>
          <cell r="Z1755">
            <v>4353000</v>
          </cell>
          <cell r="AA1755">
            <v>0</v>
          </cell>
          <cell r="AB1755">
            <v>0</v>
          </cell>
          <cell r="AC1755">
            <v>0</v>
          </cell>
          <cell r="AD1755">
            <v>8.74</v>
          </cell>
          <cell r="AE1755">
            <v>0</v>
          </cell>
          <cell r="AF1755">
            <v>0</v>
          </cell>
          <cell r="AG1755">
            <v>0</v>
          </cell>
          <cell r="AH1755">
            <v>0</v>
          </cell>
          <cell r="AI1755">
            <v>0</v>
          </cell>
          <cell r="AJ1755">
            <v>0</v>
          </cell>
          <cell r="AK1755">
            <v>0</v>
          </cell>
          <cell r="AL1755">
            <v>0</v>
          </cell>
        </row>
        <row r="1756">
          <cell r="E1756" t="str">
            <v>TR1φ60Hz  10KVA</v>
          </cell>
          <cell r="F1756" t="str">
            <v>台</v>
          </cell>
          <cell r="G1756">
            <v>0</v>
          </cell>
          <cell r="H1756">
            <v>152000</v>
          </cell>
          <cell r="I1756">
            <v>0</v>
          </cell>
          <cell r="J1756">
            <v>152000</v>
          </cell>
          <cell r="K1756">
            <v>0</v>
          </cell>
          <cell r="L1756">
            <v>152000</v>
          </cell>
          <cell r="M1756">
            <v>0</v>
          </cell>
          <cell r="N1756">
            <v>152000</v>
          </cell>
          <cell r="O1756">
            <v>0</v>
          </cell>
          <cell r="P1756">
            <v>152000</v>
          </cell>
          <cell r="Q1756">
            <v>0</v>
          </cell>
          <cell r="R1756">
            <v>152000</v>
          </cell>
          <cell r="S1756">
            <v>0</v>
          </cell>
          <cell r="T1756">
            <v>152000</v>
          </cell>
          <cell r="U1756">
            <v>0</v>
          </cell>
          <cell r="V1756">
            <v>152000</v>
          </cell>
          <cell r="W1756">
            <v>0</v>
          </cell>
          <cell r="X1756">
            <v>152000</v>
          </cell>
          <cell r="Y1756">
            <v>0</v>
          </cell>
          <cell r="Z1756">
            <v>152000</v>
          </cell>
          <cell r="AA1756">
            <v>0</v>
          </cell>
          <cell r="AB1756">
            <v>0</v>
          </cell>
          <cell r="AC1756">
            <v>0</v>
          </cell>
          <cell r="AD1756">
            <v>0.92</v>
          </cell>
          <cell r="AE1756">
            <v>0</v>
          </cell>
          <cell r="AF1756">
            <v>0</v>
          </cell>
          <cell r="AG1756">
            <v>0</v>
          </cell>
          <cell r="AH1756">
            <v>0</v>
          </cell>
          <cell r="AI1756">
            <v>0</v>
          </cell>
          <cell r="AJ1756">
            <v>0</v>
          </cell>
          <cell r="AK1756">
            <v>0</v>
          </cell>
          <cell r="AL1756">
            <v>0</v>
          </cell>
        </row>
        <row r="1757">
          <cell r="E1757" t="str">
            <v>TR1φ60Hz  20KVA</v>
          </cell>
          <cell r="F1757" t="str">
            <v>台</v>
          </cell>
          <cell r="G1757">
            <v>0</v>
          </cell>
          <cell r="H1757">
            <v>174000</v>
          </cell>
          <cell r="I1757">
            <v>0</v>
          </cell>
          <cell r="J1757">
            <v>174000</v>
          </cell>
          <cell r="K1757">
            <v>0</v>
          </cell>
          <cell r="L1757">
            <v>174000</v>
          </cell>
          <cell r="M1757">
            <v>0</v>
          </cell>
          <cell r="N1757">
            <v>174000</v>
          </cell>
          <cell r="O1757">
            <v>0</v>
          </cell>
          <cell r="P1757">
            <v>174000</v>
          </cell>
          <cell r="Q1757">
            <v>0</v>
          </cell>
          <cell r="R1757">
            <v>174000</v>
          </cell>
          <cell r="S1757">
            <v>0</v>
          </cell>
          <cell r="T1757">
            <v>174000</v>
          </cell>
          <cell r="U1757">
            <v>0</v>
          </cell>
          <cell r="V1757">
            <v>174000</v>
          </cell>
          <cell r="W1757">
            <v>0</v>
          </cell>
          <cell r="X1757">
            <v>174000</v>
          </cell>
          <cell r="Y1757">
            <v>0</v>
          </cell>
          <cell r="Z1757">
            <v>174000</v>
          </cell>
          <cell r="AA1757">
            <v>0</v>
          </cell>
          <cell r="AB1757">
            <v>0</v>
          </cell>
          <cell r="AC1757">
            <v>0</v>
          </cell>
          <cell r="AD1757">
            <v>1.5580000000000001</v>
          </cell>
          <cell r="AE1757">
            <v>0</v>
          </cell>
          <cell r="AF1757">
            <v>0</v>
          </cell>
          <cell r="AG1757">
            <v>0</v>
          </cell>
          <cell r="AH1757">
            <v>0</v>
          </cell>
          <cell r="AI1757">
            <v>0</v>
          </cell>
          <cell r="AJ1757">
            <v>0</v>
          </cell>
          <cell r="AK1757">
            <v>0</v>
          </cell>
          <cell r="AL1757">
            <v>0</v>
          </cell>
        </row>
        <row r="1758">
          <cell r="E1758" t="str">
            <v>TR1φ60Hz  30KVA</v>
          </cell>
          <cell r="F1758" t="str">
            <v>台</v>
          </cell>
          <cell r="G1758">
            <v>0</v>
          </cell>
          <cell r="H1758">
            <v>208000</v>
          </cell>
          <cell r="I1758">
            <v>0</v>
          </cell>
          <cell r="J1758">
            <v>208000</v>
          </cell>
          <cell r="K1758">
            <v>0</v>
          </cell>
          <cell r="L1758">
            <v>208000</v>
          </cell>
          <cell r="M1758">
            <v>0</v>
          </cell>
          <cell r="N1758">
            <v>208000</v>
          </cell>
          <cell r="O1758">
            <v>0</v>
          </cell>
          <cell r="P1758">
            <v>208000</v>
          </cell>
          <cell r="Q1758">
            <v>0</v>
          </cell>
          <cell r="R1758">
            <v>208000</v>
          </cell>
          <cell r="S1758">
            <v>0</v>
          </cell>
          <cell r="T1758">
            <v>208000</v>
          </cell>
          <cell r="U1758">
            <v>0</v>
          </cell>
          <cell r="V1758">
            <v>208000</v>
          </cell>
          <cell r="W1758">
            <v>0</v>
          </cell>
          <cell r="X1758">
            <v>208000</v>
          </cell>
          <cell r="Y1758">
            <v>0</v>
          </cell>
          <cell r="Z1758">
            <v>208000</v>
          </cell>
          <cell r="AA1758">
            <v>0</v>
          </cell>
          <cell r="AB1758">
            <v>0</v>
          </cell>
          <cell r="AC1758">
            <v>0</v>
          </cell>
          <cell r="AD1758">
            <v>1.6639999999999999</v>
          </cell>
          <cell r="AE1758">
            <v>0</v>
          </cell>
          <cell r="AF1758">
            <v>0</v>
          </cell>
          <cell r="AG1758">
            <v>0</v>
          </cell>
          <cell r="AH1758">
            <v>0</v>
          </cell>
          <cell r="AI1758">
            <v>0</v>
          </cell>
          <cell r="AJ1758">
            <v>0</v>
          </cell>
          <cell r="AK1758">
            <v>0</v>
          </cell>
          <cell r="AL1758">
            <v>0</v>
          </cell>
        </row>
        <row r="1759">
          <cell r="E1759" t="str">
            <v>TR1φ60Hz  50KVA</v>
          </cell>
          <cell r="F1759" t="str">
            <v>台</v>
          </cell>
          <cell r="G1759">
            <v>0</v>
          </cell>
          <cell r="H1759">
            <v>255000</v>
          </cell>
          <cell r="I1759">
            <v>0</v>
          </cell>
          <cell r="J1759">
            <v>255000</v>
          </cell>
          <cell r="K1759">
            <v>0</v>
          </cell>
          <cell r="L1759">
            <v>255000</v>
          </cell>
          <cell r="M1759">
            <v>0</v>
          </cell>
          <cell r="N1759">
            <v>255000</v>
          </cell>
          <cell r="O1759">
            <v>0</v>
          </cell>
          <cell r="P1759">
            <v>255000</v>
          </cell>
          <cell r="Q1759">
            <v>0</v>
          </cell>
          <cell r="R1759">
            <v>255000</v>
          </cell>
          <cell r="S1759">
            <v>0</v>
          </cell>
          <cell r="T1759">
            <v>255000</v>
          </cell>
          <cell r="U1759">
            <v>0</v>
          </cell>
          <cell r="V1759">
            <v>255000</v>
          </cell>
          <cell r="W1759">
            <v>0</v>
          </cell>
          <cell r="X1759">
            <v>255000</v>
          </cell>
          <cell r="Y1759">
            <v>0</v>
          </cell>
          <cell r="Z1759">
            <v>255000</v>
          </cell>
          <cell r="AA1759">
            <v>0</v>
          </cell>
          <cell r="AB1759">
            <v>0</v>
          </cell>
          <cell r="AC1759">
            <v>0</v>
          </cell>
          <cell r="AD1759">
            <v>1.946</v>
          </cell>
          <cell r="AE1759">
            <v>0</v>
          </cell>
          <cell r="AF1759">
            <v>0</v>
          </cell>
          <cell r="AG1759">
            <v>0</v>
          </cell>
          <cell r="AH1759">
            <v>0</v>
          </cell>
          <cell r="AI1759">
            <v>0</v>
          </cell>
          <cell r="AJ1759">
            <v>0</v>
          </cell>
          <cell r="AK1759">
            <v>0</v>
          </cell>
          <cell r="AL1759">
            <v>0</v>
          </cell>
        </row>
        <row r="1760">
          <cell r="E1760" t="str">
            <v>TR1φ60Hz  75KVA</v>
          </cell>
          <cell r="F1760" t="str">
            <v>台</v>
          </cell>
          <cell r="G1760">
            <v>0</v>
          </cell>
          <cell r="H1760">
            <v>283000</v>
          </cell>
          <cell r="I1760">
            <v>0</v>
          </cell>
          <cell r="J1760">
            <v>283000</v>
          </cell>
          <cell r="K1760">
            <v>0</v>
          </cell>
          <cell r="L1760">
            <v>283000</v>
          </cell>
          <cell r="M1760">
            <v>0</v>
          </cell>
          <cell r="N1760">
            <v>283000</v>
          </cell>
          <cell r="O1760">
            <v>0</v>
          </cell>
          <cell r="P1760">
            <v>283000</v>
          </cell>
          <cell r="Q1760">
            <v>0</v>
          </cell>
          <cell r="R1760">
            <v>283000</v>
          </cell>
          <cell r="S1760">
            <v>0</v>
          </cell>
          <cell r="T1760">
            <v>283000</v>
          </cell>
          <cell r="U1760">
            <v>0</v>
          </cell>
          <cell r="V1760">
            <v>283000</v>
          </cell>
          <cell r="W1760">
            <v>0</v>
          </cell>
          <cell r="X1760">
            <v>283000</v>
          </cell>
          <cell r="Y1760">
            <v>0</v>
          </cell>
          <cell r="Z1760">
            <v>283000</v>
          </cell>
          <cell r="AA1760">
            <v>0</v>
          </cell>
          <cell r="AB1760">
            <v>0</v>
          </cell>
          <cell r="AC1760">
            <v>0</v>
          </cell>
          <cell r="AD1760">
            <v>3.2</v>
          </cell>
          <cell r="AE1760">
            <v>0</v>
          </cell>
          <cell r="AF1760">
            <v>0</v>
          </cell>
          <cell r="AG1760">
            <v>0</v>
          </cell>
          <cell r="AH1760">
            <v>0</v>
          </cell>
          <cell r="AI1760">
            <v>0</v>
          </cell>
          <cell r="AJ1760">
            <v>0</v>
          </cell>
          <cell r="AK1760">
            <v>0</v>
          </cell>
          <cell r="AL1760">
            <v>0</v>
          </cell>
        </row>
        <row r="1761">
          <cell r="E1761" t="str">
            <v>TR1φ60Hz 100KVA</v>
          </cell>
          <cell r="F1761" t="str">
            <v>台</v>
          </cell>
          <cell r="G1761">
            <v>0</v>
          </cell>
          <cell r="H1761">
            <v>345000</v>
          </cell>
          <cell r="I1761">
            <v>0</v>
          </cell>
          <cell r="J1761">
            <v>345000</v>
          </cell>
          <cell r="K1761">
            <v>0</v>
          </cell>
          <cell r="L1761">
            <v>345000</v>
          </cell>
          <cell r="M1761">
            <v>0</v>
          </cell>
          <cell r="N1761">
            <v>345000</v>
          </cell>
          <cell r="O1761">
            <v>0</v>
          </cell>
          <cell r="P1761">
            <v>345000</v>
          </cell>
          <cell r="Q1761">
            <v>0</v>
          </cell>
          <cell r="R1761">
            <v>345000</v>
          </cell>
          <cell r="S1761">
            <v>0</v>
          </cell>
          <cell r="T1761">
            <v>345000</v>
          </cell>
          <cell r="U1761">
            <v>0</v>
          </cell>
          <cell r="V1761">
            <v>345000</v>
          </cell>
          <cell r="W1761">
            <v>0</v>
          </cell>
          <cell r="X1761">
            <v>345000</v>
          </cell>
          <cell r="Y1761">
            <v>0</v>
          </cell>
          <cell r="Z1761">
            <v>345000</v>
          </cell>
          <cell r="AA1761">
            <v>0</v>
          </cell>
          <cell r="AB1761">
            <v>0</v>
          </cell>
          <cell r="AC1761">
            <v>0</v>
          </cell>
          <cell r="AD1761">
            <v>3.42</v>
          </cell>
          <cell r="AE1761">
            <v>0</v>
          </cell>
          <cell r="AF1761">
            <v>0</v>
          </cell>
          <cell r="AG1761">
            <v>0</v>
          </cell>
          <cell r="AH1761">
            <v>0</v>
          </cell>
          <cell r="AI1761">
            <v>0</v>
          </cell>
          <cell r="AJ1761">
            <v>0</v>
          </cell>
          <cell r="AK1761">
            <v>0</v>
          </cell>
          <cell r="AL1761">
            <v>0</v>
          </cell>
        </row>
        <row r="1762">
          <cell r="E1762" t="str">
            <v>TR1φ60Hz 150KVA</v>
          </cell>
          <cell r="F1762" t="str">
            <v>台</v>
          </cell>
          <cell r="G1762">
            <v>0</v>
          </cell>
          <cell r="H1762">
            <v>484000</v>
          </cell>
          <cell r="I1762">
            <v>0</v>
          </cell>
          <cell r="J1762">
            <v>484000</v>
          </cell>
          <cell r="K1762">
            <v>0</v>
          </cell>
          <cell r="L1762">
            <v>484000</v>
          </cell>
          <cell r="M1762">
            <v>0</v>
          </cell>
          <cell r="N1762">
            <v>484000</v>
          </cell>
          <cell r="O1762">
            <v>0</v>
          </cell>
          <cell r="P1762">
            <v>484000</v>
          </cell>
          <cell r="Q1762">
            <v>0</v>
          </cell>
          <cell r="R1762">
            <v>484000</v>
          </cell>
          <cell r="S1762">
            <v>0</v>
          </cell>
          <cell r="T1762">
            <v>484000</v>
          </cell>
          <cell r="U1762">
            <v>0</v>
          </cell>
          <cell r="V1762">
            <v>484000</v>
          </cell>
          <cell r="W1762">
            <v>0</v>
          </cell>
          <cell r="X1762">
            <v>484000</v>
          </cell>
          <cell r="Y1762">
            <v>0</v>
          </cell>
          <cell r="Z1762">
            <v>484000</v>
          </cell>
          <cell r="AA1762">
            <v>0</v>
          </cell>
          <cell r="AB1762">
            <v>0</v>
          </cell>
          <cell r="AC1762">
            <v>0</v>
          </cell>
          <cell r="AD1762">
            <v>4.24</v>
          </cell>
          <cell r="AE1762">
            <v>0</v>
          </cell>
          <cell r="AF1762">
            <v>0</v>
          </cell>
          <cell r="AG1762">
            <v>0</v>
          </cell>
          <cell r="AH1762">
            <v>0</v>
          </cell>
          <cell r="AI1762">
            <v>0</v>
          </cell>
          <cell r="AJ1762">
            <v>0</v>
          </cell>
          <cell r="AK1762">
            <v>0</v>
          </cell>
          <cell r="AL1762">
            <v>0</v>
          </cell>
        </row>
        <row r="1763">
          <cell r="E1763" t="str">
            <v>TR1φ60Hz 200KVA</v>
          </cell>
          <cell r="F1763" t="str">
            <v>台</v>
          </cell>
          <cell r="G1763">
            <v>0</v>
          </cell>
          <cell r="H1763">
            <v>604000</v>
          </cell>
          <cell r="I1763">
            <v>0</v>
          </cell>
          <cell r="J1763">
            <v>604000</v>
          </cell>
          <cell r="K1763">
            <v>0</v>
          </cell>
          <cell r="L1763">
            <v>604000</v>
          </cell>
          <cell r="M1763">
            <v>0</v>
          </cell>
          <cell r="N1763">
            <v>604000</v>
          </cell>
          <cell r="O1763">
            <v>0</v>
          </cell>
          <cell r="P1763">
            <v>604000</v>
          </cell>
          <cell r="Q1763">
            <v>0</v>
          </cell>
          <cell r="R1763">
            <v>604000</v>
          </cell>
          <cell r="S1763">
            <v>0</v>
          </cell>
          <cell r="T1763">
            <v>604000</v>
          </cell>
          <cell r="U1763">
            <v>0</v>
          </cell>
          <cell r="V1763">
            <v>604000</v>
          </cell>
          <cell r="W1763">
            <v>0</v>
          </cell>
          <cell r="X1763">
            <v>604000</v>
          </cell>
          <cell r="Y1763">
            <v>0</v>
          </cell>
          <cell r="Z1763">
            <v>604000</v>
          </cell>
          <cell r="AA1763">
            <v>0</v>
          </cell>
          <cell r="AB1763">
            <v>0</v>
          </cell>
          <cell r="AC1763">
            <v>0</v>
          </cell>
          <cell r="AD1763">
            <v>4.5</v>
          </cell>
          <cell r="AE1763">
            <v>0</v>
          </cell>
          <cell r="AF1763">
            <v>0</v>
          </cell>
          <cell r="AG1763">
            <v>0</v>
          </cell>
          <cell r="AH1763">
            <v>0</v>
          </cell>
          <cell r="AI1763">
            <v>0</v>
          </cell>
          <cell r="AJ1763">
            <v>0</v>
          </cell>
          <cell r="AK1763">
            <v>0</v>
          </cell>
          <cell r="AL1763">
            <v>0</v>
          </cell>
        </row>
        <row r="1764">
          <cell r="E1764" t="str">
            <v>TR1φ60Hz 300KVA</v>
          </cell>
          <cell r="F1764" t="str">
            <v>台</v>
          </cell>
          <cell r="G1764">
            <v>0</v>
          </cell>
          <cell r="H1764">
            <v>903000</v>
          </cell>
          <cell r="I1764">
            <v>0</v>
          </cell>
          <cell r="J1764">
            <v>903000</v>
          </cell>
          <cell r="K1764">
            <v>0</v>
          </cell>
          <cell r="L1764">
            <v>903000</v>
          </cell>
          <cell r="M1764">
            <v>0</v>
          </cell>
          <cell r="N1764">
            <v>903000</v>
          </cell>
          <cell r="O1764">
            <v>0</v>
          </cell>
          <cell r="P1764">
            <v>903000</v>
          </cell>
          <cell r="Q1764">
            <v>0</v>
          </cell>
          <cell r="R1764">
            <v>903000</v>
          </cell>
          <cell r="S1764">
            <v>0</v>
          </cell>
          <cell r="T1764">
            <v>903000</v>
          </cell>
          <cell r="U1764">
            <v>0</v>
          </cell>
          <cell r="V1764">
            <v>903000</v>
          </cell>
          <cell r="W1764">
            <v>0</v>
          </cell>
          <cell r="X1764">
            <v>903000</v>
          </cell>
          <cell r="Y1764">
            <v>0</v>
          </cell>
          <cell r="Z1764">
            <v>903000</v>
          </cell>
          <cell r="AA1764">
            <v>0</v>
          </cell>
          <cell r="AB1764">
            <v>0</v>
          </cell>
          <cell r="AC1764">
            <v>0</v>
          </cell>
          <cell r="AD1764">
            <v>5.8</v>
          </cell>
          <cell r="AE1764">
            <v>0</v>
          </cell>
          <cell r="AF1764">
            <v>0</v>
          </cell>
          <cell r="AG1764">
            <v>0</v>
          </cell>
          <cell r="AH1764">
            <v>0</v>
          </cell>
          <cell r="AI1764">
            <v>0</v>
          </cell>
          <cell r="AJ1764">
            <v>0</v>
          </cell>
          <cell r="AK1764">
            <v>0</v>
          </cell>
          <cell r="AL1764">
            <v>0</v>
          </cell>
        </row>
        <row r="1765">
          <cell r="E1765" t="str">
            <v>TR1φ60Hz 500KVA</v>
          </cell>
          <cell r="F1765" t="str">
            <v>台</v>
          </cell>
          <cell r="G1765">
            <v>0</v>
          </cell>
          <cell r="H1765">
            <v>1510000</v>
          </cell>
          <cell r="I1765">
            <v>0</v>
          </cell>
          <cell r="J1765">
            <v>1510000</v>
          </cell>
          <cell r="K1765">
            <v>0</v>
          </cell>
          <cell r="L1765">
            <v>1510000</v>
          </cell>
          <cell r="M1765">
            <v>0</v>
          </cell>
          <cell r="N1765">
            <v>1510000</v>
          </cell>
          <cell r="O1765">
            <v>0</v>
          </cell>
          <cell r="P1765">
            <v>1510000</v>
          </cell>
          <cell r="Q1765">
            <v>0</v>
          </cell>
          <cell r="R1765">
            <v>1510000</v>
          </cell>
          <cell r="S1765">
            <v>0</v>
          </cell>
          <cell r="T1765">
            <v>1510000</v>
          </cell>
          <cell r="U1765">
            <v>0</v>
          </cell>
          <cell r="V1765">
            <v>1510000</v>
          </cell>
          <cell r="W1765">
            <v>0</v>
          </cell>
          <cell r="X1765">
            <v>1510000</v>
          </cell>
          <cell r="Y1765">
            <v>0</v>
          </cell>
          <cell r="Z1765">
            <v>1510000</v>
          </cell>
          <cell r="AA1765">
            <v>0</v>
          </cell>
          <cell r="AB1765">
            <v>0</v>
          </cell>
          <cell r="AC1765">
            <v>0</v>
          </cell>
          <cell r="AD1765">
            <v>7.6</v>
          </cell>
          <cell r="AE1765">
            <v>0</v>
          </cell>
          <cell r="AF1765">
            <v>0</v>
          </cell>
          <cell r="AG1765">
            <v>0</v>
          </cell>
          <cell r="AH1765">
            <v>0</v>
          </cell>
          <cell r="AI1765">
            <v>0</v>
          </cell>
          <cell r="AJ1765">
            <v>0</v>
          </cell>
          <cell r="AK1765">
            <v>0</v>
          </cell>
          <cell r="AL1765">
            <v>0</v>
          </cell>
        </row>
        <row r="1766">
          <cell r="E1766" t="str">
            <v>TR3φ60Hz  20KVA</v>
          </cell>
          <cell r="F1766" t="str">
            <v>台</v>
          </cell>
          <cell r="G1766">
            <v>0</v>
          </cell>
          <cell r="H1766">
            <v>196000</v>
          </cell>
          <cell r="I1766">
            <v>0</v>
          </cell>
          <cell r="J1766">
            <v>196000</v>
          </cell>
          <cell r="K1766">
            <v>0</v>
          </cell>
          <cell r="L1766">
            <v>196000</v>
          </cell>
          <cell r="M1766">
            <v>0</v>
          </cell>
          <cell r="N1766">
            <v>196000</v>
          </cell>
          <cell r="O1766">
            <v>0</v>
          </cell>
          <cell r="P1766">
            <v>196000</v>
          </cell>
          <cell r="Q1766">
            <v>0</v>
          </cell>
          <cell r="R1766">
            <v>196000</v>
          </cell>
          <cell r="S1766">
            <v>0</v>
          </cell>
          <cell r="T1766">
            <v>196000</v>
          </cell>
          <cell r="U1766">
            <v>0</v>
          </cell>
          <cell r="V1766">
            <v>196000</v>
          </cell>
          <cell r="W1766">
            <v>0</v>
          </cell>
          <cell r="X1766">
            <v>196000</v>
          </cell>
          <cell r="Y1766">
            <v>0</v>
          </cell>
          <cell r="Z1766">
            <v>196000</v>
          </cell>
          <cell r="AA1766">
            <v>0</v>
          </cell>
          <cell r="AB1766">
            <v>0</v>
          </cell>
          <cell r="AC1766">
            <v>0</v>
          </cell>
          <cell r="AD1766">
            <v>1.8939999999999999</v>
          </cell>
          <cell r="AE1766">
            <v>0</v>
          </cell>
          <cell r="AF1766">
            <v>0</v>
          </cell>
          <cell r="AG1766">
            <v>0</v>
          </cell>
          <cell r="AH1766">
            <v>0</v>
          </cell>
          <cell r="AI1766">
            <v>0</v>
          </cell>
          <cell r="AJ1766">
            <v>0</v>
          </cell>
          <cell r="AK1766">
            <v>0</v>
          </cell>
          <cell r="AL1766">
            <v>0</v>
          </cell>
        </row>
        <row r="1767">
          <cell r="E1767" t="str">
            <v>TR3φ60Hz  30KVA</v>
          </cell>
          <cell r="F1767" t="str">
            <v>台</v>
          </cell>
          <cell r="G1767">
            <v>0</v>
          </cell>
          <cell r="H1767">
            <v>228000</v>
          </cell>
          <cell r="I1767">
            <v>0</v>
          </cell>
          <cell r="J1767">
            <v>228000</v>
          </cell>
          <cell r="K1767">
            <v>0</v>
          </cell>
          <cell r="L1767">
            <v>228000</v>
          </cell>
          <cell r="M1767">
            <v>0</v>
          </cell>
          <cell r="N1767">
            <v>228000</v>
          </cell>
          <cell r="O1767">
            <v>0</v>
          </cell>
          <cell r="P1767">
            <v>228000</v>
          </cell>
          <cell r="Q1767">
            <v>0</v>
          </cell>
          <cell r="R1767">
            <v>228000</v>
          </cell>
          <cell r="S1767">
            <v>0</v>
          </cell>
          <cell r="T1767">
            <v>228000</v>
          </cell>
          <cell r="U1767">
            <v>0</v>
          </cell>
          <cell r="V1767">
            <v>228000</v>
          </cell>
          <cell r="W1767">
            <v>0</v>
          </cell>
          <cell r="X1767">
            <v>228000</v>
          </cell>
          <cell r="Y1767">
            <v>0</v>
          </cell>
          <cell r="Z1767">
            <v>228000</v>
          </cell>
          <cell r="AA1767">
            <v>0</v>
          </cell>
          <cell r="AB1767">
            <v>0</v>
          </cell>
          <cell r="AC1767">
            <v>0</v>
          </cell>
          <cell r="AD1767">
            <v>2.08</v>
          </cell>
          <cell r="AE1767">
            <v>0</v>
          </cell>
          <cell r="AF1767">
            <v>0</v>
          </cell>
          <cell r="AG1767">
            <v>0</v>
          </cell>
          <cell r="AH1767">
            <v>0</v>
          </cell>
          <cell r="AI1767">
            <v>0</v>
          </cell>
          <cell r="AJ1767">
            <v>0</v>
          </cell>
          <cell r="AK1767">
            <v>0</v>
          </cell>
          <cell r="AL1767">
            <v>0</v>
          </cell>
        </row>
        <row r="1768">
          <cell r="E1768" t="str">
            <v>TR3φ60H z 50KVA</v>
          </cell>
          <cell r="F1768" t="str">
            <v>台</v>
          </cell>
          <cell r="G1768">
            <v>0</v>
          </cell>
          <cell r="H1768">
            <v>285000</v>
          </cell>
          <cell r="I1768">
            <v>0</v>
          </cell>
          <cell r="J1768">
            <v>285000</v>
          </cell>
          <cell r="K1768">
            <v>0</v>
          </cell>
          <cell r="L1768">
            <v>285000</v>
          </cell>
          <cell r="M1768">
            <v>0</v>
          </cell>
          <cell r="N1768">
            <v>285000</v>
          </cell>
          <cell r="O1768">
            <v>0</v>
          </cell>
          <cell r="P1768">
            <v>285000</v>
          </cell>
          <cell r="Q1768">
            <v>0</v>
          </cell>
          <cell r="R1768">
            <v>285000</v>
          </cell>
          <cell r="S1768">
            <v>0</v>
          </cell>
          <cell r="T1768">
            <v>285000</v>
          </cell>
          <cell r="U1768">
            <v>0</v>
          </cell>
          <cell r="V1768">
            <v>285000</v>
          </cell>
          <cell r="W1768">
            <v>0</v>
          </cell>
          <cell r="X1768">
            <v>285000</v>
          </cell>
          <cell r="Y1768">
            <v>0</v>
          </cell>
          <cell r="Z1768">
            <v>285000</v>
          </cell>
          <cell r="AA1768">
            <v>0</v>
          </cell>
          <cell r="AB1768">
            <v>0</v>
          </cell>
          <cell r="AC1768">
            <v>0</v>
          </cell>
          <cell r="AD1768">
            <v>2.44</v>
          </cell>
          <cell r="AE1768">
            <v>0</v>
          </cell>
          <cell r="AF1768">
            <v>0</v>
          </cell>
          <cell r="AG1768">
            <v>0</v>
          </cell>
          <cell r="AH1768">
            <v>0</v>
          </cell>
          <cell r="AI1768">
            <v>0</v>
          </cell>
          <cell r="AJ1768">
            <v>0</v>
          </cell>
          <cell r="AK1768">
            <v>0</v>
          </cell>
          <cell r="AL1768">
            <v>0</v>
          </cell>
        </row>
        <row r="1769">
          <cell r="E1769" t="str">
            <v>TR3φ60Hz  75KVA</v>
          </cell>
          <cell r="F1769" t="str">
            <v>台</v>
          </cell>
          <cell r="G1769">
            <v>0</v>
          </cell>
          <cell r="H1769">
            <v>353000</v>
          </cell>
          <cell r="I1769">
            <v>0</v>
          </cell>
          <cell r="J1769">
            <v>353000</v>
          </cell>
          <cell r="K1769">
            <v>0</v>
          </cell>
          <cell r="L1769">
            <v>353000</v>
          </cell>
          <cell r="M1769">
            <v>0</v>
          </cell>
          <cell r="N1769">
            <v>353000</v>
          </cell>
          <cell r="O1769">
            <v>0</v>
          </cell>
          <cell r="P1769">
            <v>353000</v>
          </cell>
          <cell r="Q1769">
            <v>0</v>
          </cell>
          <cell r="R1769">
            <v>353000</v>
          </cell>
          <cell r="S1769">
            <v>0</v>
          </cell>
          <cell r="T1769">
            <v>353000</v>
          </cell>
          <cell r="U1769">
            <v>0</v>
          </cell>
          <cell r="V1769">
            <v>353000</v>
          </cell>
          <cell r="W1769">
            <v>0</v>
          </cell>
          <cell r="X1769">
            <v>353000</v>
          </cell>
          <cell r="Y1769">
            <v>0</v>
          </cell>
          <cell r="Z1769">
            <v>353000</v>
          </cell>
          <cell r="AA1769">
            <v>0</v>
          </cell>
          <cell r="AB1769">
            <v>0</v>
          </cell>
          <cell r="AC1769">
            <v>0</v>
          </cell>
          <cell r="AD1769">
            <v>3.62</v>
          </cell>
          <cell r="AE1769">
            <v>0</v>
          </cell>
          <cell r="AF1769">
            <v>0</v>
          </cell>
          <cell r="AG1769">
            <v>0</v>
          </cell>
          <cell r="AH1769">
            <v>0</v>
          </cell>
          <cell r="AI1769">
            <v>0</v>
          </cell>
          <cell r="AJ1769">
            <v>0</v>
          </cell>
          <cell r="AK1769">
            <v>0</v>
          </cell>
          <cell r="AL1769">
            <v>0</v>
          </cell>
        </row>
        <row r="1770">
          <cell r="E1770" t="str">
            <v>TR3φ60Hz 100KVA</v>
          </cell>
          <cell r="F1770" t="str">
            <v>台</v>
          </cell>
          <cell r="G1770">
            <v>0</v>
          </cell>
          <cell r="H1770">
            <v>432000</v>
          </cell>
          <cell r="I1770">
            <v>0</v>
          </cell>
          <cell r="J1770">
            <v>432000</v>
          </cell>
          <cell r="K1770">
            <v>0</v>
          </cell>
          <cell r="L1770">
            <v>432000</v>
          </cell>
          <cell r="M1770">
            <v>0</v>
          </cell>
          <cell r="N1770">
            <v>432000</v>
          </cell>
          <cell r="O1770">
            <v>0</v>
          </cell>
          <cell r="P1770">
            <v>432000</v>
          </cell>
          <cell r="Q1770">
            <v>0</v>
          </cell>
          <cell r="R1770">
            <v>432000</v>
          </cell>
          <cell r="S1770">
            <v>0</v>
          </cell>
          <cell r="T1770">
            <v>432000</v>
          </cell>
          <cell r="U1770">
            <v>0</v>
          </cell>
          <cell r="V1770">
            <v>432000</v>
          </cell>
          <cell r="W1770">
            <v>0</v>
          </cell>
          <cell r="X1770">
            <v>432000</v>
          </cell>
          <cell r="Y1770">
            <v>0</v>
          </cell>
          <cell r="Z1770">
            <v>432000</v>
          </cell>
          <cell r="AA1770">
            <v>0</v>
          </cell>
          <cell r="AB1770">
            <v>0</v>
          </cell>
          <cell r="AC1770">
            <v>0</v>
          </cell>
          <cell r="AD1770">
            <v>4.0199999999999996</v>
          </cell>
          <cell r="AE1770">
            <v>0</v>
          </cell>
          <cell r="AF1770">
            <v>0</v>
          </cell>
          <cell r="AG1770">
            <v>0</v>
          </cell>
          <cell r="AH1770">
            <v>0</v>
          </cell>
          <cell r="AI1770">
            <v>0</v>
          </cell>
          <cell r="AJ1770">
            <v>0</v>
          </cell>
          <cell r="AK1770">
            <v>0</v>
          </cell>
          <cell r="AL1770">
            <v>0</v>
          </cell>
        </row>
        <row r="1771">
          <cell r="E1771" t="str">
            <v>TR3φ60Hz 150KVA</v>
          </cell>
          <cell r="F1771" t="str">
            <v>台</v>
          </cell>
          <cell r="G1771">
            <v>0</v>
          </cell>
          <cell r="H1771">
            <v>582000</v>
          </cell>
          <cell r="I1771">
            <v>0</v>
          </cell>
          <cell r="J1771">
            <v>582000</v>
          </cell>
          <cell r="K1771">
            <v>0</v>
          </cell>
          <cell r="L1771">
            <v>582000</v>
          </cell>
          <cell r="M1771">
            <v>0</v>
          </cell>
          <cell r="N1771">
            <v>582000</v>
          </cell>
          <cell r="O1771">
            <v>0</v>
          </cell>
          <cell r="P1771">
            <v>582000</v>
          </cell>
          <cell r="Q1771">
            <v>0</v>
          </cell>
          <cell r="R1771">
            <v>582000</v>
          </cell>
          <cell r="S1771">
            <v>0</v>
          </cell>
          <cell r="T1771">
            <v>582000</v>
          </cell>
          <cell r="U1771">
            <v>0</v>
          </cell>
          <cell r="V1771">
            <v>582000</v>
          </cell>
          <cell r="W1771">
            <v>0</v>
          </cell>
          <cell r="X1771">
            <v>582000</v>
          </cell>
          <cell r="Y1771">
            <v>0</v>
          </cell>
          <cell r="Z1771">
            <v>582000</v>
          </cell>
          <cell r="AA1771">
            <v>0</v>
          </cell>
          <cell r="AB1771">
            <v>0</v>
          </cell>
          <cell r="AC1771">
            <v>0</v>
          </cell>
          <cell r="AD1771">
            <v>4.9400000000000004</v>
          </cell>
          <cell r="AE1771">
            <v>0</v>
          </cell>
          <cell r="AF1771">
            <v>0</v>
          </cell>
          <cell r="AG1771">
            <v>0</v>
          </cell>
          <cell r="AH1771">
            <v>0</v>
          </cell>
          <cell r="AI1771">
            <v>0</v>
          </cell>
          <cell r="AJ1771">
            <v>0</v>
          </cell>
          <cell r="AK1771">
            <v>0</v>
          </cell>
          <cell r="AL1771">
            <v>0</v>
          </cell>
        </row>
        <row r="1772">
          <cell r="E1772" t="str">
            <v>TR3φ60Hz 200KVA</v>
          </cell>
          <cell r="F1772" t="str">
            <v>台</v>
          </cell>
          <cell r="G1772">
            <v>0</v>
          </cell>
          <cell r="H1772">
            <v>732000</v>
          </cell>
          <cell r="I1772">
            <v>0</v>
          </cell>
          <cell r="J1772">
            <v>732000</v>
          </cell>
          <cell r="K1772">
            <v>0</v>
          </cell>
          <cell r="L1772">
            <v>732000</v>
          </cell>
          <cell r="M1772">
            <v>0</v>
          </cell>
          <cell r="N1772">
            <v>732000</v>
          </cell>
          <cell r="O1772">
            <v>0</v>
          </cell>
          <cell r="P1772">
            <v>732000</v>
          </cell>
          <cell r="Q1772">
            <v>0</v>
          </cell>
          <cell r="R1772">
            <v>732000</v>
          </cell>
          <cell r="S1772">
            <v>0</v>
          </cell>
          <cell r="T1772">
            <v>732000</v>
          </cell>
          <cell r="U1772">
            <v>0</v>
          </cell>
          <cell r="V1772">
            <v>732000</v>
          </cell>
          <cell r="W1772">
            <v>0</v>
          </cell>
          <cell r="X1772">
            <v>732000</v>
          </cell>
          <cell r="Y1772">
            <v>0</v>
          </cell>
          <cell r="Z1772">
            <v>732000</v>
          </cell>
          <cell r="AA1772">
            <v>0</v>
          </cell>
          <cell r="AB1772">
            <v>0</v>
          </cell>
          <cell r="AC1772">
            <v>0</v>
          </cell>
          <cell r="AD1772">
            <v>5.48</v>
          </cell>
          <cell r="AE1772">
            <v>0</v>
          </cell>
          <cell r="AF1772">
            <v>0</v>
          </cell>
          <cell r="AG1772">
            <v>0</v>
          </cell>
          <cell r="AH1772">
            <v>0</v>
          </cell>
          <cell r="AI1772">
            <v>0</v>
          </cell>
          <cell r="AJ1772">
            <v>0</v>
          </cell>
          <cell r="AK1772">
            <v>0</v>
          </cell>
          <cell r="AL1772">
            <v>0</v>
          </cell>
        </row>
        <row r="1773">
          <cell r="E1773" t="str">
            <v>TR3φ60Hz 300KVA</v>
          </cell>
          <cell r="F1773" t="str">
            <v>台</v>
          </cell>
          <cell r="G1773">
            <v>0</v>
          </cell>
          <cell r="H1773">
            <v>1030000</v>
          </cell>
          <cell r="I1773">
            <v>0</v>
          </cell>
          <cell r="J1773">
            <v>1030000</v>
          </cell>
          <cell r="K1773">
            <v>0</v>
          </cell>
          <cell r="L1773">
            <v>1030000</v>
          </cell>
          <cell r="M1773">
            <v>0</v>
          </cell>
          <cell r="N1773">
            <v>1030000</v>
          </cell>
          <cell r="O1773">
            <v>0</v>
          </cell>
          <cell r="P1773">
            <v>1030000</v>
          </cell>
          <cell r="Q1773">
            <v>0</v>
          </cell>
          <cell r="R1773">
            <v>1030000</v>
          </cell>
          <cell r="S1773">
            <v>0</v>
          </cell>
          <cell r="T1773">
            <v>1030000</v>
          </cell>
          <cell r="U1773">
            <v>0</v>
          </cell>
          <cell r="V1773">
            <v>1030000</v>
          </cell>
          <cell r="W1773">
            <v>0</v>
          </cell>
          <cell r="X1773">
            <v>1030000</v>
          </cell>
          <cell r="Y1773">
            <v>0</v>
          </cell>
          <cell r="Z1773">
            <v>1030000</v>
          </cell>
          <cell r="AA1773">
            <v>0</v>
          </cell>
          <cell r="AB1773">
            <v>0</v>
          </cell>
          <cell r="AC1773">
            <v>0</v>
          </cell>
          <cell r="AD1773">
            <v>7.1</v>
          </cell>
          <cell r="AE1773">
            <v>0</v>
          </cell>
          <cell r="AF1773">
            <v>0</v>
          </cell>
          <cell r="AG1773">
            <v>0</v>
          </cell>
          <cell r="AH1773">
            <v>0</v>
          </cell>
          <cell r="AI1773">
            <v>0</v>
          </cell>
          <cell r="AJ1773">
            <v>0</v>
          </cell>
          <cell r="AK1773">
            <v>0</v>
          </cell>
          <cell r="AL1773">
            <v>0</v>
          </cell>
        </row>
        <row r="1774">
          <cell r="E1774" t="str">
            <v>TR3φ60Hz 500KVA</v>
          </cell>
          <cell r="F1774" t="str">
            <v>台</v>
          </cell>
          <cell r="G1774">
            <v>0</v>
          </cell>
          <cell r="H1774">
            <v>1560000</v>
          </cell>
          <cell r="I1774">
            <v>0</v>
          </cell>
          <cell r="J1774">
            <v>1560000</v>
          </cell>
          <cell r="K1774">
            <v>0</v>
          </cell>
          <cell r="L1774">
            <v>1560000</v>
          </cell>
          <cell r="M1774">
            <v>0</v>
          </cell>
          <cell r="N1774">
            <v>1560000</v>
          </cell>
          <cell r="O1774">
            <v>0</v>
          </cell>
          <cell r="P1774">
            <v>1560000</v>
          </cell>
          <cell r="Q1774">
            <v>0</v>
          </cell>
          <cell r="R1774">
            <v>1560000</v>
          </cell>
          <cell r="S1774">
            <v>0</v>
          </cell>
          <cell r="T1774">
            <v>1560000</v>
          </cell>
          <cell r="U1774">
            <v>0</v>
          </cell>
          <cell r="V1774">
            <v>1560000</v>
          </cell>
          <cell r="W1774">
            <v>0</v>
          </cell>
          <cell r="X1774">
            <v>1560000</v>
          </cell>
          <cell r="Y1774">
            <v>0</v>
          </cell>
          <cell r="Z1774">
            <v>1560000</v>
          </cell>
          <cell r="AA1774">
            <v>0</v>
          </cell>
          <cell r="AB1774">
            <v>0</v>
          </cell>
          <cell r="AC1774">
            <v>0</v>
          </cell>
          <cell r="AD1774">
            <v>8.74</v>
          </cell>
          <cell r="AE1774">
            <v>0</v>
          </cell>
          <cell r="AF1774">
            <v>0</v>
          </cell>
          <cell r="AG1774">
            <v>0</v>
          </cell>
          <cell r="AH1774">
            <v>0</v>
          </cell>
          <cell r="AI1774">
            <v>0</v>
          </cell>
          <cell r="AJ1774">
            <v>0</v>
          </cell>
          <cell r="AK1774">
            <v>0</v>
          </cell>
          <cell r="AL1774">
            <v>0</v>
          </cell>
        </row>
        <row r="1775">
          <cell r="E1775" t="str">
            <v>TR3φ60Hz 750KVA</v>
          </cell>
          <cell r="F1775" t="str">
            <v>台</v>
          </cell>
          <cell r="G1775">
            <v>0</v>
          </cell>
          <cell r="H1775">
            <v>1935000</v>
          </cell>
          <cell r="I1775">
            <v>0</v>
          </cell>
          <cell r="J1775">
            <v>1935000</v>
          </cell>
          <cell r="K1775">
            <v>0</v>
          </cell>
          <cell r="L1775">
            <v>1935000</v>
          </cell>
          <cell r="M1775">
            <v>0</v>
          </cell>
          <cell r="N1775">
            <v>1935000</v>
          </cell>
          <cell r="O1775">
            <v>0</v>
          </cell>
          <cell r="P1775">
            <v>1935000</v>
          </cell>
          <cell r="Q1775">
            <v>0</v>
          </cell>
          <cell r="R1775">
            <v>1935000</v>
          </cell>
          <cell r="S1775">
            <v>0</v>
          </cell>
          <cell r="T1775">
            <v>1935000</v>
          </cell>
          <cell r="U1775">
            <v>0</v>
          </cell>
          <cell r="V1775">
            <v>1935000</v>
          </cell>
          <cell r="W1775">
            <v>0</v>
          </cell>
          <cell r="X1775">
            <v>1935000</v>
          </cell>
          <cell r="Y1775">
            <v>0</v>
          </cell>
          <cell r="Z1775">
            <v>1935000</v>
          </cell>
          <cell r="AA1775">
            <v>0</v>
          </cell>
          <cell r="AB1775">
            <v>0</v>
          </cell>
          <cell r="AC1775">
            <v>0</v>
          </cell>
          <cell r="AD1775">
            <v>8.74</v>
          </cell>
          <cell r="AE1775">
            <v>0</v>
          </cell>
          <cell r="AF1775">
            <v>0</v>
          </cell>
          <cell r="AG1775">
            <v>0</v>
          </cell>
          <cell r="AH1775">
            <v>0</v>
          </cell>
          <cell r="AI1775">
            <v>0</v>
          </cell>
          <cell r="AJ1775">
            <v>0</v>
          </cell>
          <cell r="AK1775">
            <v>0</v>
          </cell>
          <cell r="AL1775">
            <v>0</v>
          </cell>
        </row>
        <row r="1776">
          <cell r="E1776" t="str">
            <v>TR3φ60Hz1000KVA</v>
          </cell>
          <cell r="F1776" t="str">
            <v>台</v>
          </cell>
          <cell r="G1776">
            <v>0</v>
          </cell>
          <cell r="H1776">
            <v>2902000</v>
          </cell>
          <cell r="I1776">
            <v>0</v>
          </cell>
          <cell r="J1776">
            <v>2902000</v>
          </cell>
          <cell r="K1776">
            <v>0</v>
          </cell>
          <cell r="L1776">
            <v>2902000</v>
          </cell>
          <cell r="M1776">
            <v>0</v>
          </cell>
          <cell r="N1776">
            <v>2902000</v>
          </cell>
          <cell r="O1776">
            <v>0</v>
          </cell>
          <cell r="P1776">
            <v>2902000</v>
          </cell>
          <cell r="Q1776">
            <v>0</v>
          </cell>
          <cell r="R1776">
            <v>2902000</v>
          </cell>
          <cell r="S1776">
            <v>0</v>
          </cell>
          <cell r="T1776">
            <v>2902000</v>
          </cell>
          <cell r="U1776">
            <v>0</v>
          </cell>
          <cell r="V1776">
            <v>2902000</v>
          </cell>
          <cell r="W1776">
            <v>0</v>
          </cell>
          <cell r="X1776">
            <v>2902000</v>
          </cell>
          <cell r="Y1776">
            <v>0</v>
          </cell>
          <cell r="Z1776">
            <v>2902000</v>
          </cell>
          <cell r="AA1776">
            <v>0</v>
          </cell>
          <cell r="AB1776">
            <v>0</v>
          </cell>
          <cell r="AC1776">
            <v>0</v>
          </cell>
          <cell r="AD1776">
            <v>8.74</v>
          </cell>
          <cell r="AE1776">
            <v>0</v>
          </cell>
          <cell r="AF1776">
            <v>0</v>
          </cell>
          <cell r="AG1776">
            <v>0</v>
          </cell>
          <cell r="AH1776">
            <v>0</v>
          </cell>
          <cell r="AI1776">
            <v>0</v>
          </cell>
          <cell r="AJ1776">
            <v>0</v>
          </cell>
          <cell r="AK1776">
            <v>0</v>
          </cell>
          <cell r="AL1776">
            <v>0</v>
          </cell>
        </row>
        <row r="1777">
          <cell r="E1777" t="str">
            <v>TR3φ60Hz1500KVA</v>
          </cell>
          <cell r="F1777" t="str">
            <v>台</v>
          </cell>
          <cell r="G1777">
            <v>0</v>
          </cell>
          <cell r="H1777">
            <v>4353000</v>
          </cell>
          <cell r="I1777">
            <v>0</v>
          </cell>
          <cell r="J1777">
            <v>4353000</v>
          </cell>
          <cell r="K1777">
            <v>0</v>
          </cell>
          <cell r="L1777">
            <v>4353000</v>
          </cell>
          <cell r="M1777">
            <v>0</v>
          </cell>
          <cell r="N1777">
            <v>4353000</v>
          </cell>
          <cell r="O1777">
            <v>0</v>
          </cell>
          <cell r="P1777">
            <v>4353000</v>
          </cell>
          <cell r="Q1777">
            <v>0</v>
          </cell>
          <cell r="R1777">
            <v>4353000</v>
          </cell>
          <cell r="S1777">
            <v>0</v>
          </cell>
          <cell r="T1777">
            <v>4353000</v>
          </cell>
          <cell r="U1777">
            <v>0</v>
          </cell>
          <cell r="V1777">
            <v>4353000</v>
          </cell>
          <cell r="W1777">
            <v>0</v>
          </cell>
          <cell r="X1777">
            <v>4353000</v>
          </cell>
          <cell r="Y1777">
            <v>0</v>
          </cell>
          <cell r="Z1777">
            <v>4353000</v>
          </cell>
          <cell r="AA1777">
            <v>0</v>
          </cell>
          <cell r="AB1777">
            <v>0</v>
          </cell>
          <cell r="AC1777">
            <v>0</v>
          </cell>
          <cell r="AD1777">
            <v>8.74</v>
          </cell>
          <cell r="AE1777">
            <v>0</v>
          </cell>
          <cell r="AF1777">
            <v>0</v>
          </cell>
          <cell r="AG1777">
            <v>0</v>
          </cell>
          <cell r="AH1777">
            <v>0</v>
          </cell>
          <cell r="AI1777">
            <v>0</v>
          </cell>
          <cell r="AJ1777">
            <v>0</v>
          </cell>
          <cell r="AK1777">
            <v>0</v>
          </cell>
          <cell r="AL1777">
            <v>0</v>
          </cell>
        </row>
        <row r="1778">
          <cell r="E1778" t="str">
            <v>TRM1φ50Hz  10KVA</v>
          </cell>
          <cell r="F1778" t="str">
            <v>台</v>
          </cell>
          <cell r="G1778">
            <v>0</v>
          </cell>
          <cell r="H1778">
            <v>481000</v>
          </cell>
          <cell r="I1778">
            <v>0</v>
          </cell>
          <cell r="J1778">
            <v>481000</v>
          </cell>
          <cell r="K1778">
            <v>0</v>
          </cell>
          <cell r="L1778">
            <v>481000</v>
          </cell>
          <cell r="M1778">
            <v>0</v>
          </cell>
          <cell r="N1778">
            <v>481000</v>
          </cell>
          <cell r="O1778">
            <v>0</v>
          </cell>
          <cell r="P1778">
            <v>481000</v>
          </cell>
          <cell r="Q1778">
            <v>0</v>
          </cell>
          <cell r="R1778">
            <v>481000</v>
          </cell>
          <cell r="S1778">
            <v>0</v>
          </cell>
          <cell r="T1778">
            <v>481000</v>
          </cell>
          <cell r="U1778">
            <v>0</v>
          </cell>
          <cell r="V1778">
            <v>481000</v>
          </cell>
          <cell r="W1778">
            <v>0</v>
          </cell>
          <cell r="X1778">
            <v>481000</v>
          </cell>
          <cell r="Y1778">
            <v>0</v>
          </cell>
          <cell r="Z1778">
            <v>481000</v>
          </cell>
          <cell r="AA1778">
            <v>0</v>
          </cell>
          <cell r="AB1778">
            <v>0</v>
          </cell>
          <cell r="AC1778">
            <v>0</v>
          </cell>
          <cell r="AD1778">
            <v>0.92</v>
          </cell>
          <cell r="AE1778">
            <v>0</v>
          </cell>
          <cell r="AF1778">
            <v>0</v>
          </cell>
          <cell r="AG1778">
            <v>0</v>
          </cell>
          <cell r="AH1778">
            <v>0</v>
          </cell>
          <cell r="AI1778">
            <v>0</v>
          </cell>
          <cell r="AJ1778">
            <v>0</v>
          </cell>
          <cell r="AK1778">
            <v>0</v>
          </cell>
          <cell r="AL1778">
            <v>0</v>
          </cell>
        </row>
        <row r="1779">
          <cell r="E1779" t="str">
            <v>TRM1φ50Hz  20KVA</v>
          </cell>
          <cell r="F1779" t="str">
            <v>台</v>
          </cell>
          <cell r="G1779">
            <v>0</v>
          </cell>
          <cell r="H1779">
            <v>561000</v>
          </cell>
          <cell r="I1779">
            <v>0</v>
          </cell>
          <cell r="J1779">
            <v>561000</v>
          </cell>
          <cell r="K1779">
            <v>0</v>
          </cell>
          <cell r="L1779">
            <v>561000</v>
          </cell>
          <cell r="M1779">
            <v>0</v>
          </cell>
          <cell r="N1779">
            <v>561000</v>
          </cell>
          <cell r="O1779">
            <v>0</v>
          </cell>
          <cell r="P1779">
            <v>561000</v>
          </cell>
          <cell r="Q1779">
            <v>0</v>
          </cell>
          <cell r="R1779">
            <v>561000</v>
          </cell>
          <cell r="S1779">
            <v>0</v>
          </cell>
          <cell r="T1779">
            <v>561000</v>
          </cell>
          <cell r="U1779">
            <v>0</v>
          </cell>
          <cell r="V1779">
            <v>561000</v>
          </cell>
          <cell r="W1779">
            <v>0</v>
          </cell>
          <cell r="X1779">
            <v>561000</v>
          </cell>
          <cell r="Y1779">
            <v>0</v>
          </cell>
          <cell r="Z1779">
            <v>561000</v>
          </cell>
          <cell r="AA1779">
            <v>0</v>
          </cell>
          <cell r="AB1779">
            <v>0</v>
          </cell>
          <cell r="AC1779">
            <v>0</v>
          </cell>
          <cell r="AD1779">
            <v>1.5580000000000001</v>
          </cell>
          <cell r="AE1779">
            <v>0</v>
          </cell>
          <cell r="AF1779">
            <v>0</v>
          </cell>
          <cell r="AG1779">
            <v>0</v>
          </cell>
          <cell r="AH1779">
            <v>0</v>
          </cell>
          <cell r="AI1779">
            <v>0</v>
          </cell>
          <cell r="AJ1779">
            <v>0</v>
          </cell>
          <cell r="AK1779">
            <v>0</v>
          </cell>
          <cell r="AL1779">
            <v>0</v>
          </cell>
        </row>
        <row r="1780">
          <cell r="E1780" t="str">
            <v>TRM1φ50Hz  30KVA</v>
          </cell>
          <cell r="F1780" t="str">
            <v>台</v>
          </cell>
          <cell r="G1780">
            <v>0</v>
          </cell>
          <cell r="H1780">
            <v>643000</v>
          </cell>
          <cell r="I1780">
            <v>0</v>
          </cell>
          <cell r="J1780">
            <v>643000</v>
          </cell>
          <cell r="K1780">
            <v>0</v>
          </cell>
          <cell r="L1780">
            <v>643000</v>
          </cell>
          <cell r="M1780">
            <v>0</v>
          </cell>
          <cell r="N1780">
            <v>643000</v>
          </cell>
          <cell r="O1780">
            <v>0</v>
          </cell>
          <cell r="P1780">
            <v>643000</v>
          </cell>
          <cell r="Q1780">
            <v>0</v>
          </cell>
          <cell r="R1780">
            <v>643000</v>
          </cell>
          <cell r="S1780">
            <v>0</v>
          </cell>
          <cell r="T1780">
            <v>643000</v>
          </cell>
          <cell r="U1780">
            <v>0</v>
          </cell>
          <cell r="V1780">
            <v>643000</v>
          </cell>
          <cell r="W1780">
            <v>0</v>
          </cell>
          <cell r="X1780">
            <v>643000</v>
          </cell>
          <cell r="Y1780">
            <v>0</v>
          </cell>
          <cell r="Z1780">
            <v>643000</v>
          </cell>
          <cell r="AA1780">
            <v>0</v>
          </cell>
          <cell r="AB1780">
            <v>0</v>
          </cell>
          <cell r="AC1780">
            <v>0</v>
          </cell>
          <cell r="AD1780">
            <v>1.6639999999999999</v>
          </cell>
          <cell r="AE1780">
            <v>0</v>
          </cell>
          <cell r="AF1780">
            <v>0</v>
          </cell>
          <cell r="AG1780">
            <v>0</v>
          </cell>
          <cell r="AH1780">
            <v>0</v>
          </cell>
          <cell r="AI1780">
            <v>0</v>
          </cell>
          <cell r="AJ1780">
            <v>0</v>
          </cell>
          <cell r="AK1780">
            <v>0</v>
          </cell>
          <cell r="AL1780">
            <v>0</v>
          </cell>
        </row>
        <row r="1781">
          <cell r="E1781" t="str">
            <v>TRM1φ50Hz  50KVA</v>
          </cell>
          <cell r="F1781" t="str">
            <v>台</v>
          </cell>
          <cell r="G1781">
            <v>0</v>
          </cell>
          <cell r="H1781">
            <v>736000</v>
          </cell>
          <cell r="I1781">
            <v>0</v>
          </cell>
          <cell r="J1781">
            <v>736000</v>
          </cell>
          <cell r="K1781">
            <v>0</v>
          </cell>
          <cell r="L1781">
            <v>736000</v>
          </cell>
          <cell r="M1781">
            <v>0</v>
          </cell>
          <cell r="N1781">
            <v>736000</v>
          </cell>
          <cell r="O1781">
            <v>0</v>
          </cell>
          <cell r="P1781">
            <v>736000</v>
          </cell>
          <cell r="Q1781">
            <v>0</v>
          </cell>
          <cell r="R1781">
            <v>736000</v>
          </cell>
          <cell r="S1781">
            <v>0</v>
          </cell>
          <cell r="T1781">
            <v>736000</v>
          </cell>
          <cell r="U1781">
            <v>0</v>
          </cell>
          <cell r="V1781">
            <v>736000</v>
          </cell>
          <cell r="W1781">
            <v>0</v>
          </cell>
          <cell r="X1781">
            <v>736000</v>
          </cell>
          <cell r="Y1781">
            <v>0</v>
          </cell>
          <cell r="Z1781">
            <v>736000</v>
          </cell>
          <cell r="AA1781">
            <v>0</v>
          </cell>
          <cell r="AB1781">
            <v>0</v>
          </cell>
          <cell r="AC1781">
            <v>0</v>
          </cell>
          <cell r="AD1781">
            <v>1.946</v>
          </cell>
          <cell r="AE1781">
            <v>0</v>
          </cell>
          <cell r="AF1781">
            <v>0</v>
          </cell>
          <cell r="AG1781">
            <v>0</v>
          </cell>
          <cell r="AH1781">
            <v>0</v>
          </cell>
          <cell r="AI1781">
            <v>0</v>
          </cell>
          <cell r="AJ1781">
            <v>0</v>
          </cell>
          <cell r="AK1781">
            <v>0</v>
          </cell>
          <cell r="AL1781">
            <v>0</v>
          </cell>
        </row>
        <row r="1782">
          <cell r="E1782" t="str">
            <v>TRM1φ50Hz  75KVA</v>
          </cell>
          <cell r="F1782" t="str">
            <v>台</v>
          </cell>
          <cell r="G1782">
            <v>0</v>
          </cell>
          <cell r="H1782">
            <v>876000</v>
          </cell>
          <cell r="I1782">
            <v>0</v>
          </cell>
          <cell r="J1782">
            <v>876000</v>
          </cell>
          <cell r="K1782">
            <v>0</v>
          </cell>
          <cell r="L1782">
            <v>876000</v>
          </cell>
          <cell r="M1782">
            <v>0</v>
          </cell>
          <cell r="N1782">
            <v>876000</v>
          </cell>
          <cell r="O1782">
            <v>0</v>
          </cell>
          <cell r="P1782">
            <v>876000</v>
          </cell>
          <cell r="Q1782">
            <v>0</v>
          </cell>
          <cell r="R1782">
            <v>876000</v>
          </cell>
          <cell r="S1782">
            <v>0</v>
          </cell>
          <cell r="T1782">
            <v>876000</v>
          </cell>
          <cell r="U1782">
            <v>0</v>
          </cell>
          <cell r="V1782">
            <v>876000</v>
          </cell>
          <cell r="W1782">
            <v>0</v>
          </cell>
          <cell r="X1782">
            <v>876000</v>
          </cell>
          <cell r="Y1782">
            <v>0</v>
          </cell>
          <cell r="Z1782">
            <v>876000</v>
          </cell>
          <cell r="AA1782">
            <v>0</v>
          </cell>
          <cell r="AB1782">
            <v>0</v>
          </cell>
          <cell r="AC1782">
            <v>0</v>
          </cell>
          <cell r="AD1782">
            <v>3.2</v>
          </cell>
          <cell r="AE1782">
            <v>0</v>
          </cell>
          <cell r="AF1782">
            <v>0</v>
          </cell>
          <cell r="AG1782">
            <v>0</v>
          </cell>
          <cell r="AH1782">
            <v>0</v>
          </cell>
          <cell r="AI1782">
            <v>0</v>
          </cell>
          <cell r="AJ1782">
            <v>0</v>
          </cell>
          <cell r="AK1782">
            <v>0</v>
          </cell>
          <cell r="AL1782">
            <v>0</v>
          </cell>
        </row>
        <row r="1783">
          <cell r="E1783" t="str">
            <v>TRM1φ50Hz 100KVA</v>
          </cell>
          <cell r="F1783" t="str">
            <v>台</v>
          </cell>
          <cell r="G1783">
            <v>0</v>
          </cell>
          <cell r="H1783">
            <v>1040000</v>
          </cell>
          <cell r="I1783">
            <v>0</v>
          </cell>
          <cell r="J1783">
            <v>1040000</v>
          </cell>
          <cell r="K1783">
            <v>0</v>
          </cell>
          <cell r="L1783">
            <v>1040000</v>
          </cell>
          <cell r="M1783">
            <v>0</v>
          </cell>
          <cell r="N1783">
            <v>1040000</v>
          </cell>
          <cell r="O1783">
            <v>0</v>
          </cell>
          <cell r="P1783">
            <v>1040000</v>
          </cell>
          <cell r="Q1783">
            <v>0</v>
          </cell>
          <cell r="R1783">
            <v>1040000</v>
          </cell>
          <cell r="S1783">
            <v>0</v>
          </cell>
          <cell r="T1783">
            <v>1040000</v>
          </cell>
          <cell r="U1783">
            <v>0</v>
          </cell>
          <cell r="V1783">
            <v>1040000</v>
          </cell>
          <cell r="W1783">
            <v>0</v>
          </cell>
          <cell r="X1783">
            <v>1040000</v>
          </cell>
          <cell r="Y1783">
            <v>0</v>
          </cell>
          <cell r="Z1783">
            <v>1040000</v>
          </cell>
          <cell r="AA1783">
            <v>0</v>
          </cell>
          <cell r="AB1783">
            <v>0</v>
          </cell>
          <cell r="AC1783">
            <v>0</v>
          </cell>
          <cell r="AD1783">
            <v>3.42</v>
          </cell>
          <cell r="AE1783">
            <v>0</v>
          </cell>
          <cell r="AF1783">
            <v>0</v>
          </cell>
          <cell r="AG1783">
            <v>0</v>
          </cell>
          <cell r="AH1783">
            <v>0</v>
          </cell>
          <cell r="AI1783">
            <v>0</v>
          </cell>
          <cell r="AJ1783">
            <v>0</v>
          </cell>
          <cell r="AK1783">
            <v>0</v>
          </cell>
          <cell r="AL1783">
            <v>0</v>
          </cell>
        </row>
        <row r="1784">
          <cell r="E1784" t="str">
            <v>TRM1φ50Hz 150KVA</v>
          </cell>
          <cell r="F1784" t="str">
            <v>台</v>
          </cell>
          <cell r="G1784">
            <v>0</v>
          </cell>
          <cell r="H1784">
            <v>1350000</v>
          </cell>
          <cell r="I1784">
            <v>0</v>
          </cell>
          <cell r="J1784">
            <v>1350000</v>
          </cell>
          <cell r="K1784">
            <v>0</v>
          </cell>
          <cell r="L1784">
            <v>1350000</v>
          </cell>
          <cell r="M1784">
            <v>0</v>
          </cell>
          <cell r="N1784">
            <v>1350000</v>
          </cell>
          <cell r="O1784">
            <v>0</v>
          </cell>
          <cell r="P1784">
            <v>1350000</v>
          </cell>
          <cell r="Q1784">
            <v>0</v>
          </cell>
          <cell r="R1784">
            <v>1350000</v>
          </cell>
          <cell r="S1784">
            <v>0</v>
          </cell>
          <cell r="T1784">
            <v>1350000</v>
          </cell>
          <cell r="U1784">
            <v>0</v>
          </cell>
          <cell r="V1784">
            <v>1350000</v>
          </cell>
          <cell r="W1784">
            <v>0</v>
          </cell>
          <cell r="X1784">
            <v>1350000</v>
          </cell>
          <cell r="Y1784">
            <v>0</v>
          </cell>
          <cell r="Z1784">
            <v>1350000</v>
          </cell>
          <cell r="AA1784">
            <v>0</v>
          </cell>
          <cell r="AB1784">
            <v>0</v>
          </cell>
          <cell r="AC1784">
            <v>0</v>
          </cell>
          <cell r="AD1784">
            <v>4.24</v>
          </cell>
          <cell r="AE1784">
            <v>0</v>
          </cell>
          <cell r="AF1784">
            <v>0</v>
          </cell>
          <cell r="AG1784">
            <v>0</v>
          </cell>
          <cell r="AH1784">
            <v>0</v>
          </cell>
          <cell r="AI1784">
            <v>0</v>
          </cell>
          <cell r="AJ1784">
            <v>0</v>
          </cell>
          <cell r="AK1784">
            <v>0</v>
          </cell>
          <cell r="AL1784">
            <v>0</v>
          </cell>
        </row>
        <row r="1785">
          <cell r="E1785" t="str">
            <v>TRM1φ50Hz 200KVA</v>
          </cell>
          <cell r="F1785" t="str">
            <v>台</v>
          </cell>
          <cell r="G1785">
            <v>0</v>
          </cell>
          <cell r="H1785">
            <v>1680000</v>
          </cell>
          <cell r="I1785">
            <v>0</v>
          </cell>
          <cell r="J1785">
            <v>1680000</v>
          </cell>
          <cell r="K1785">
            <v>0</v>
          </cell>
          <cell r="L1785">
            <v>1680000</v>
          </cell>
          <cell r="M1785">
            <v>0</v>
          </cell>
          <cell r="N1785">
            <v>1680000</v>
          </cell>
          <cell r="O1785">
            <v>0</v>
          </cell>
          <cell r="P1785">
            <v>1680000</v>
          </cell>
          <cell r="Q1785">
            <v>0</v>
          </cell>
          <cell r="R1785">
            <v>1680000</v>
          </cell>
          <cell r="S1785">
            <v>0</v>
          </cell>
          <cell r="T1785">
            <v>1680000</v>
          </cell>
          <cell r="U1785">
            <v>0</v>
          </cell>
          <cell r="V1785">
            <v>1680000</v>
          </cell>
          <cell r="W1785">
            <v>0</v>
          </cell>
          <cell r="X1785">
            <v>1680000</v>
          </cell>
          <cell r="Y1785">
            <v>0</v>
          </cell>
          <cell r="Z1785">
            <v>1680000</v>
          </cell>
          <cell r="AA1785">
            <v>0</v>
          </cell>
          <cell r="AB1785">
            <v>0</v>
          </cell>
          <cell r="AC1785">
            <v>0</v>
          </cell>
          <cell r="AD1785">
            <v>4.5</v>
          </cell>
          <cell r="AE1785">
            <v>0</v>
          </cell>
          <cell r="AF1785">
            <v>0</v>
          </cell>
          <cell r="AG1785">
            <v>0</v>
          </cell>
          <cell r="AH1785">
            <v>0</v>
          </cell>
          <cell r="AI1785">
            <v>0</v>
          </cell>
          <cell r="AJ1785">
            <v>0</v>
          </cell>
          <cell r="AK1785">
            <v>0</v>
          </cell>
          <cell r="AL1785">
            <v>0</v>
          </cell>
        </row>
        <row r="1786">
          <cell r="E1786" t="str">
            <v>TRM1φ50Hz 300KVA</v>
          </cell>
          <cell r="F1786" t="str">
            <v>台</v>
          </cell>
          <cell r="G1786">
            <v>0</v>
          </cell>
          <cell r="H1786">
            <v>2330000</v>
          </cell>
          <cell r="I1786">
            <v>0</v>
          </cell>
          <cell r="J1786">
            <v>2330000</v>
          </cell>
          <cell r="K1786">
            <v>0</v>
          </cell>
          <cell r="L1786">
            <v>2330000</v>
          </cell>
          <cell r="M1786">
            <v>0</v>
          </cell>
          <cell r="N1786">
            <v>2330000</v>
          </cell>
          <cell r="O1786">
            <v>0</v>
          </cell>
          <cell r="P1786">
            <v>2330000</v>
          </cell>
          <cell r="Q1786">
            <v>0</v>
          </cell>
          <cell r="R1786">
            <v>2330000</v>
          </cell>
          <cell r="S1786">
            <v>0</v>
          </cell>
          <cell r="T1786">
            <v>2330000</v>
          </cell>
          <cell r="U1786">
            <v>0</v>
          </cell>
          <cell r="V1786">
            <v>2330000</v>
          </cell>
          <cell r="W1786">
            <v>0</v>
          </cell>
          <cell r="X1786">
            <v>2330000</v>
          </cell>
          <cell r="Y1786">
            <v>0</v>
          </cell>
          <cell r="Z1786">
            <v>2330000</v>
          </cell>
          <cell r="AA1786">
            <v>0</v>
          </cell>
          <cell r="AB1786">
            <v>0</v>
          </cell>
          <cell r="AC1786">
            <v>0</v>
          </cell>
          <cell r="AD1786">
            <v>5.8</v>
          </cell>
          <cell r="AE1786">
            <v>0</v>
          </cell>
          <cell r="AF1786">
            <v>0</v>
          </cell>
          <cell r="AG1786">
            <v>0</v>
          </cell>
          <cell r="AH1786">
            <v>0</v>
          </cell>
          <cell r="AI1786">
            <v>0</v>
          </cell>
          <cell r="AJ1786">
            <v>0</v>
          </cell>
          <cell r="AK1786">
            <v>0</v>
          </cell>
          <cell r="AL1786">
            <v>0</v>
          </cell>
        </row>
        <row r="1787">
          <cell r="E1787" t="str">
            <v>TRM1φ50Hz 500KVA</v>
          </cell>
          <cell r="F1787" t="str">
            <v>台</v>
          </cell>
          <cell r="G1787">
            <v>0</v>
          </cell>
          <cell r="H1787">
            <v>3700000</v>
          </cell>
          <cell r="I1787">
            <v>0</v>
          </cell>
          <cell r="J1787">
            <v>3700000</v>
          </cell>
          <cell r="K1787">
            <v>0</v>
          </cell>
          <cell r="L1787">
            <v>3700000</v>
          </cell>
          <cell r="M1787">
            <v>0</v>
          </cell>
          <cell r="N1787">
            <v>3700000</v>
          </cell>
          <cell r="O1787">
            <v>0</v>
          </cell>
          <cell r="P1787">
            <v>3700000</v>
          </cell>
          <cell r="Q1787">
            <v>0</v>
          </cell>
          <cell r="R1787">
            <v>3700000</v>
          </cell>
          <cell r="S1787">
            <v>0</v>
          </cell>
          <cell r="T1787">
            <v>3700000</v>
          </cell>
          <cell r="U1787">
            <v>0</v>
          </cell>
          <cell r="V1787">
            <v>3700000</v>
          </cell>
          <cell r="W1787">
            <v>0</v>
          </cell>
          <cell r="X1787">
            <v>3700000</v>
          </cell>
          <cell r="Y1787">
            <v>0</v>
          </cell>
          <cell r="Z1787">
            <v>3700000</v>
          </cell>
          <cell r="AA1787">
            <v>0</v>
          </cell>
          <cell r="AB1787">
            <v>0</v>
          </cell>
          <cell r="AC1787">
            <v>0</v>
          </cell>
          <cell r="AD1787">
            <v>7.6</v>
          </cell>
          <cell r="AE1787">
            <v>0</v>
          </cell>
          <cell r="AF1787">
            <v>0</v>
          </cell>
          <cell r="AG1787">
            <v>0</v>
          </cell>
          <cell r="AH1787">
            <v>0</v>
          </cell>
          <cell r="AI1787">
            <v>0</v>
          </cell>
          <cell r="AJ1787">
            <v>0</v>
          </cell>
          <cell r="AK1787">
            <v>0</v>
          </cell>
          <cell r="AL1787">
            <v>0</v>
          </cell>
        </row>
        <row r="1788">
          <cell r="E1788" t="str">
            <v>TRM3φ50Hz  20KVA</v>
          </cell>
          <cell r="F1788" t="str">
            <v>台</v>
          </cell>
          <cell r="G1788">
            <v>0</v>
          </cell>
          <cell r="H1788">
            <v>787000</v>
          </cell>
          <cell r="I1788">
            <v>0</v>
          </cell>
          <cell r="J1788">
            <v>787000</v>
          </cell>
          <cell r="K1788">
            <v>0</v>
          </cell>
          <cell r="L1788">
            <v>787000</v>
          </cell>
          <cell r="M1788">
            <v>0</v>
          </cell>
          <cell r="N1788">
            <v>787000</v>
          </cell>
          <cell r="O1788">
            <v>0</v>
          </cell>
          <cell r="P1788">
            <v>787000</v>
          </cell>
          <cell r="Q1788">
            <v>0</v>
          </cell>
          <cell r="R1788">
            <v>787000</v>
          </cell>
          <cell r="S1788">
            <v>0</v>
          </cell>
          <cell r="T1788">
            <v>787000</v>
          </cell>
          <cell r="U1788">
            <v>0</v>
          </cell>
          <cell r="V1788">
            <v>787000</v>
          </cell>
          <cell r="W1788">
            <v>0</v>
          </cell>
          <cell r="X1788">
            <v>787000</v>
          </cell>
          <cell r="Y1788">
            <v>0</v>
          </cell>
          <cell r="Z1788">
            <v>787000</v>
          </cell>
          <cell r="AA1788">
            <v>0</v>
          </cell>
          <cell r="AB1788">
            <v>0</v>
          </cell>
          <cell r="AC1788">
            <v>0</v>
          </cell>
          <cell r="AD1788">
            <v>1.8939999999999999</v>
          </cell>
          <cell r="AE1788">
            <v>0</v>
          </cell>
          <cell r="AF1788">
            <v>0</v>
          </cell>
          <cell r="AG1788">
            <v>0</v>
          </cell>
          <cell r="AH1788">
            <v>0</v>
          </cell>
          <cell r="AI1788">
            <v>0</v>
          </cell>
          <cell r="AJ1788">
            <v>0</v>
          </cell>
          <cell r="AK1788">
            <v>0</v>
          </cell>
          <cell r="AL1788">
            <v>0</v>
          </cell>
        </row>
        <row r="1789">
          <cell r="E1789" t="str">
            <v>TRM3φ50Hz  30KVA</v>
          </cell>
          <cell r="F1789" t="str">
            <v>台</v>
          </cell>
          <cell r="G1789">
            <v>0</v>
          </cell>
          <cell r="H1789">
            <v>902000</v>
          </cell>
          <cell r="I1789">
            <v>0</v>
          </cell>
          <cell r="J1789">
            <v>902000</v>
          </cell>
          <cell r="K1789">
            <v>0</v>
          </cell>
          <cell r="L1789">
            <v>902000</v>
          </cell>
          <cell r="M1789">
            <v>0</v>
          </cell>
          <cell r="N1789">
            <v>902000</v>
          </cell>
          <cell r="O1789">
            <v>0</v>
          </cell>
          <cell r="P1789">
            <v>902000</v>
          </cell>
          <cell r="Q1789">
            <v>0</v>
          </cell>
          <cell r="R1789">
            <v>902000</v>
          </cell>
          <cell r="S1789">
            <v>0</v>
          </cell>
          <cell r="T1789">
            <v>902000</v>
          </cell>
          <cell r="U1789">
            <v>0</v>
          </cell>
          <cell r="V1789">
            <v>902000</v>
          </cell>
          <cell r="W1789">
            <v>0</v>
          </cell>
          <cell r="X1789">
            <v>902000</v>
          </cell>
          <cell r="Y1789">
            <v>0</v>
          </cell>
          <cell r="Z1789">
            <v>902000</v>
          </cell>
          <cell r="AA1789">
            <v>0</v>
          </cell>
          <cell r="AB1789">
            <v>0</v>
          </cell>
          <cell r="AC1789">
            <v>0</v>
          </cell>
          <cell r="AD1789">
            <v>2.08</v>
          </cell>
          <cell r="AE1789">
            <v>0</v>
          </cell>
          <cell r="AF1789">
            <v>0</v>
          </cell>
          <cell r="AG1789">
            <v>0</v>
          </cell>
          <cell r="AH1789">
            <v>0</v>
          </cell>
          <cell r="AI1789">
            <v>0</v>
          </cell>
          <cell r="AJ1789">
            <v>0</v>
          </cell>
          <cell r="AK1789">
            <v>0</v>
          </cell>
          <cell r="AL1789">
            <v>0</v>
          </cell>
        </row>
        <row r="1790">
          <cell r="E1790" t="str">
            <v>TRM3φ50Hz  50KVA</v>
          </cell>
          <cell r="F1790" t="str">
            <v>台</v>
          </cell>
          <cell r="G1790">
            <v>0</v>
          </cell>
          <cell r="H1790">
            <v>982000</v>
          </cell>
          <cell r="I1790">
            <v>0</v>
          </cell>
          <cell r="J1790">
            <v>982000</v>
          </cell>
          <cell r="K1790">
            <v>0</v>
          </cell>
          <cell r="L1790">
            <v>982000</v>
          </cell>
          <cell r="M1790">
            <v>0</v>
          </cell>
          <cell r="N1790">
            <v>982000</v>
          </cell>
          <cell r="O1790">
            <v>0</v>
          </cell>
          <cell r="P1790">
            <v>982000</v>
          </cell>
          <cell r="Q1790">
            <v>0</v>
          </cell>
          <cell r="R1790">
            <v>982000</v>
          </cell>
          <cell r="S1790">
            <v>0</v>
          </cell>
          <cell r="T1790">
            <v>982000</v>
          </cell>
          <cell r="U1790">
            <v>0</v>
          </cell>
          <cell r="V1790">
            <v>982000</v>
          </cell>
          <cell r="W1790">
            <v>0</v>
          </cell>
          <cell r="X1790">
            <v>982000</v>
          </cell>
          <cell r="Y1790">
            <v>0</v>
          </cell>
          <cell r="Z1790">
            <v>982000</v>
          </cell>
          <cell r="AA1790">
            <v>0</v>
          </cell>
          <cell r="AB1790">
            <v>0</v>
          </cell>
          <cell r="AC1790">
            <v>0</v>
          </cell>
          <cell r="AD1790">
            <v>2.44</v>
          </cell>
          <cell r="AE1790">
            <v>0</v>
          </cell>
          <cell r="AF1790">
            <v>0</v>
          </cell>
          <cell r="AG1790">
            <v>0</v>
          </cell>
          <cell r="AH1790">
            <v>0</v>
          </cell>
          <cell r="AI1790">
            <v>0</v>
          </cell>
          <cell r="AJ1790">
            <v>0</v>
          </cell>
          <cell r="AK1790">
            <v>0</v>
          </cell>
          <cell r="AL1790">
            <v>0</v>
          </cell>
        </row>
        <row r="1791">
          <cell r="E1791" t="str">
            <v>TRM3φ50Hz  75KVA</v>
          </cell>
          <cell r="F1791" t="str">
            <v>台</v>
          </cell>
          <cell r="G1791">
            <v>0</v>
          </cell>
          <cell r="H1791">
            <v>1170000</v>
          </cell>
          <cell r="I1791">
            <v>0</v>
          </cell>
          <cell r="J1791">
            <v>1170000</v>
          </cell>
          <cell r="K1791">
            <v>0</v>
          </cell>
          <cell r="L1791">
            <v>1170000</v>
          </cell>
          <cell r="M1791">
            <v>0</v>
          </cell>
          <cell r="N1791">
            <v>1170000</v>
          </cell>
          <cell r="O1791">
            <v>0</v>
          </cell>
          <cell r="P1791">
            <v>1170000</v>
          </cell>
          <cell r="Q1791">
            <v>0</v>
          </cell>
          <cell r="R1791">
            <v>1170000</v>
          </cell>
          <cell r="S1791">
            <v>0</v>
          </cell>
          <cell r="T1791">
            <v>1170000</v>
          </cell>
          <cell r="U1791">
            <v>0</v>
          </cell>
          <cell r="V1791">
            <v>1170000</v>
          </cell>
          <cell r="W1791">
            <v>0</v>
          </cell>
          <cell r="X1791">
            <v>1170000</v>
          </cell>
          <cell r="Y1791">
            <v>0</v>
          </cell>
          <cell r="Z1791">
            <v>1170000</v>
          </cell>
          <cell r="AA1791">
            <v>0</v>
          </cell>
          <cell r="AB1791">
            <v>0</v>
          </cell>
          <cell r="AC1791">
            <v>0</v>
          </cell>
          <cell r="AD1791">
            <v>3.62</v>
          </cell>
          <cell r="AE1791">
            <v>0</v>
          </cell>
          <cell r="AF1791">
            <v>0</v>
          </cell>
          <cell r="AG1791">
            <v>0</v>
          </cell>
          <cell r="AH1791">
            <v>0</v>
          </cell>
          <cell r="AI1791">
            <v>0</v>
          </cell>
          <cell r="AJ1791">
            <v>0</v>
          </cell>
          <cell r="AK1791">
            <v>0</v>
          </cell>
          <cell r="AL1791">
            <v>0</v>
          </cell>
        </row>
        <row r="1792">
          <cell r="E1792" t="str">
            <v>TRM3φ50Hz 100KVA</v>
          </cell>
          <cell r="F1792" t="str">
            <v>台</v>
          </cell>
          <cell r="G1792">
            <v>0</v>
          </cell>
          <cell r="H1792">
            <v>1320000</v>
          </cell>
          <cell r="I1792">
            <v>0</v>
          </cell>
          <cell r="J1792">
            <v>1320000</v>
          </cell>
          <cell r="K1792">
            <v>0</v>
          </cell>
          <cell r="L1792">
            <v>1320000</v>
          </cell>
          <cell r="M1792">
            <v>0</v>
          </cell>
          <cell r="N1792">
            <v>1320000</v>
          </cell>
          <cell r="O1792">
            <v>0</v>
          </cell>
          <cell r="P1792">
            <v>1320000</v>
          </cell>
          <cell r="Q1792">
            <v>0</v>
          </cell>
          <cell r="R1792">
            <v>1320000</v>
          </cell>
          <cell r="S1792">
            <v>0</v>
          </cell>
          <cell r="T1792">
            <v>1320000</v>
          </cell>
          <cell r="U1792">
            <v>0</v>
          </cell>
          <cell r="V1792">
            <v>1320000</v>
          </cell>
          <cell r="W1792">
            <v>0</v>
          </cell>
          <cell r="X1792">
            <v>1320000</v>
          </cell>
          <cell r="Y1792">
            <v>0</v>
          </cell>
          <cell r="Z1792">
            <v>1320000</v>
          </cell>
          <cell r="AA1792">
            <v>0</v>
          </cell>
          <cell r="AB1792">
            <v>0</v>
          </cell>
          <cell r="AC1792">
            <v>0</v>
          </cell>
          <cell r="AD1792">
            <v>4.0199999999999996</v>
          </cell>
          <cell r="AE1792">
            <v>0</v>
          </cell>
          <cell r="AF1792">
            <v>0</v>
          </cell>
          <cell r="AG1792">
            <v>0</v>
          </cell>
          <cell r="AH1792">
            <v>0</v>
          </cell>
          <cell r="AI1792">
            <v>0</v>
          </cell>
          <cell r="AJ1792">
            <v>0</v>
          </cell>
          <cell r="AK1792">
            <v>0</v>
          </cell>
          <cell r="AL1792">
            <v>0</v>
          </cell>
        </row>
        <row r="1793">
          <cell r="E1793" t="str">
            <v>TRM3φ50Hz 150KVA</v>
          </cell>
          <cell r="F1793" t="str">
            <v>台</v>
          </cell>
          <cell r="G1793">
            <v>0</v>
          </cell>
          <cell r="H1793">
            <v>1660000</v>
          </cell>
          <cell r="I1793">
            <v>0</v>
          </cell>
          <cell r="J1793">
            <v>1660000</v>
          </cell>
          <cell r="K1793">
            <v>0</v>
          </cell>
          <cell r="L1793">
            <v>1660000</v>
          </cell>
          <cell r="M1793">
            <v>0</v>
          </cell>
          <cell r="N1793">
            <v>1660000</v>
          </cell>
          <cell r="O1793">
            <v>0</v>
          </cell>
          <cell r="P1793">
            <v>1660000</v>
          </cell>
          <cell r="Q1793">
            <v>0</v>
          </cell>
          <cell r="R1793">
            <v>1660000</v>
          </cell>
          <cell r="S1793">
            <v>0</v>
          </cell>
          <cell r="T1793">
            <v>1660000</v>
          </cell>
          <cell r="U1793">
            <v>0</v>
          </cell>
          <cell r="V1793">
            <v>1660000</v>
          </cell>
          <cell r="W1793">
            <v>0</v>
          </cell>
          <cell r="X1793">
            <v>1660000</v>
          </cell>
          <cell r="Y1793">
            <v>0</v>
          </cell>
          <cell r="Z1793">
            <v>1660000</v>
          </cell>
          <cell r="AA1793">
            <v>0</v>
          </cell>
          <cell r="AB1793">
            <v>0</v>
          </cell>
          <cell r="AC1793">
            <v>0</v>
          </cell>
          <cell r="AD1793">
            <v>4.9400000000000004</v>
          </cell>
          <cell r="AE1793">
            <v>0</v>
          </cell>
          <cell r="AF1793">
            <v>0</v>
          </cell>
          <cell r="AG1793">
            <v>0</v>
          </cell>
          <cell r="AH1793">
            <v>0</v>
          </cell>
          <cell r="AI1793">
            <v>0</v>
          </cell>
          <cell r="AJ1793">
            <v>0</v>
          </cell>
          <cell r="AK1793">
            <v>0</v>
          </cell>
          <cell r="AL1793">
            <v>0</v>
          </cell>
        </row>
        <row r="1794">
          <cell r="E1794" t="str">
            <v>TRM3φ50Hz 200KVA</v>
          </cell>
          <cell r="F1794" t="str">
            <v>台</v>
          </cell>
          <cell r="G1794">
            <v>0</v>
          </cell>
          <cell r="H1794">
            <v>2020000</v>
          </cell>
          <cell r="I1794">
            <v>0</v>
          </cell>
          <cell r="J1794">
            <v>2020000</v>
          </cell>
          <cell r="K1794">
            <v>0</v>
          </cell>
          <cell r="L1794">
            <v>2020000</v>
          </cell>
          <cell r="M1794">
            <v>0</v>
          </cell>
          <cell r="N1794">
            <v>2020000</v>
          </cell>
          <cell r="O1794">
            <v>0</v>
          </cell>
          <cell r="P1794">
            <v>2020000</v>
          </cell>
          <cell r="Q1794">
            <v>0</v>
          </cell>
          <cell r="R1794">
            <v>2020000</v>
          </cell>
          <cell r="S1794">
            <v>0</v>
          </cell>
          <cell r="T1794">
            <v>2020000</v>
          </cell>
          <cell r="U1794">
            <v>0</v>
          </cell>
          <cell r="V1794">
            <v>2020000</v>
          </cell>
          <cell r="W1794">
            <v>0</v>
          </cell>
          <cell r="X1794">
            <v>2020000</v>
          </cell>
          <cell r="Y1794">
            <v>0</v>
          </cell>
          <cell r="Z1794">
            <v>2020000</v>
          </cell>
          <cell r="AA1794">
            <v>0</v>
          </cell>
          <cell r="AB1794">
            <v>0</v>
          </cell>
          <cell r="AC1794">
            <v>0</v>
          </cell>
          <cell r="AD1794">
            <v>5.48</v>
          </cell>
          <cell r="AE1794">
            <v>0</v>
          </cell>
          <cell r="AF1794">
            <v>0</v>
          </cell>
          <cell r="AG1794">
            <v>0</v>
          </cell>
          <cell r="AH1794">
            <v>0</v>
          </cell>
          <cell r="AI1794">
            <v>0</v>
          </cell>
          <cell r="AJ1794">
            <v>0</v>
          </cell>
          <cell r="AK1794">
            <v>0</v>
          </cell>
          <cell r="AL1794">
            <v>0</v>
          </cell>
        </row>
        <row r="1795">
          <cell r="E1795" t="str">
            <v>TRM3φ50Hz 300KVA</v>
          </cell>
          <cell r="F1795" t="str">
            <v>台</v>
          </cell>
          <cell r="G1795">
            <v>0</v>
          </cell>
          <cell r="H1795">
            <v>2830000</v>
          </cell>
          <cell r="I1795">
            <v>0</v>
          </cell>
          <cell r="J1795">
            <v>2830000</v>
          </cell>
          <cell r="K1795">
            <v>0</v>
          </cell>
          <cell r="L1795">
            <v>2830000</v>
          </cell>
          <cell r="M1795">
            <v>0</v>
          </cell>
          <cell r="N1795">
            <v>2830000</v>
          </cell>
          <cell r="O1795">
            <v>0</v>
          </cell>
          <cell r="P1795">
            <v>2830000</v>
          </cell>
          <cell r="Q1795">
            <v>0</v>
          </cell>
          <cell r="R1795">
            <v>2830000</v>
          </cell>
          <cell r="S1795">
            <v>0</v>
          </cell>
          <cell r="T1795">
            <v>2830000</v>
          </cell>
          <cell r="U1795">
            <v>0</v>
          </cell>
          <cell r="V1795">
            <v>2830000</v>
          </cell>
          <cell r="W1795">
            <v>0</v>
          </cell>
          <cell r="X1795">
            <v>2830000</v>
          </cell>
          <cell r="Y1795">
            <v>0</v>
          </cell>
          <cell r="Z1795">
            <v>2830000</v>
          </cell>
          <cell r="AA1795">
            <v>0</v>
          </cell>
          <cell r="AB1795">
            <v>0</v>
          </cell>
          <cell r="AC1795">
            <v>0</v>
          </cell>
          <cell r="AD1795">
            <v>7.1</v>
          </cell>
          <cell r="AE1795">
            <v>0</v>
          </cell>
          <cell r="AF1795">
            <v>0</v>
          </cell>
          <cell r="AG1795">
            <v>0</v>
          </cell>
          <cell r="AH1795">
            <v>0</v>
          </cell>
          <cell r="AI1795">
            <v>0</v>
          </cell>
          <cell r="AJ1795">
            <v>0</v>
          </cell>
          <cell r="AK1795">
            <v>0</v>
          </cell>
          <cell r="AL1795">
            <v>0</v>
          </cell>
        </row>
        <row r="1796">
          <cell r="E1796" t="str">
            <v>TRM3φ50Hz 500KVA</v>
          </cell>
          <cell r="F1796" t="str">
            <v>台</v>
          </cell>
          <cell r="G1796">
            <v>0</v>
          </cell>
          <cell r="H1796">
            <v>4440000</v>
          </cell>
          <cell r="I1796">
            <v>0</v>
          </cell>
          <cell r="J1796">
            <v>4440000</v>
          </cell>
          <cell r="K1796">
            <v>0</v>
          </cell>
          <cell r="L1796">
            <v>4440000</v>
          </cell>
          <cell r="M1796">
            <v>0</v>
          </cell>
          <cell r="N1796">
            <v>4440000</v>
          </cell>
          <cell r="O1796">
            <v>0</v>
          </cell>
          <cell r="P1796">
            <v>4440000</v>
          </cell>
          <cell r="Q1796">
            <v>0</v>
          </cell>
          <cell r="R1796">
            <v>4440000</v>
          </cell>
          <cell r="S1796">
            <v>0</v>
          </cell>
          <cell r="T1796">
            <v>4440000</v>
          </cell>
          <cell r="U1796">
            <v>0</v>
          </cell>
          <cell r="V1796">
            <v>4440000</v>
          </cell>
          <cell r="W1796">
            <v>0</v>
          </cell>
          <cell r="X1796">
            <v>4440000</v>
          </cell>
          <cell r="Y1796">
            <v>0</v>
          </cell>
          <cell r="Z1796">
            <v>4440000</v>
          </cell>
          <cell r="AA1796">
            <v>0</v>
          </cell>
          <cell r="AB1796">
            <v>0</v>
          </cell>
          <cell r="AC1796">
            <v>0</v>
          </cell>
          <cell r="AD1796">
            <v>8.74</v>
          </cell>
          <cell r="AE1796">
            <v>0</v>
          </cell>
          <cell r="AF1796">
            <v>0</v>
          </cell>
          <cell r="AG1796">
            <v>0</v>
          </cell>
          <cell r="AH1796">
            <v>0</v>
          </cell>
          <cell r="AI1796">
            <v>0</v>
          </cell>
          <cell r="AJ1796">
            <v>0</v>
          </cell>
          <cell r="AK1796">
            <v>0</v>
          </cell>
          <cell r="AL1796">
            <v>0</v>
          </cell>
        </row>
        <row r="1797">
          <cell r="E1797" t="str">
            <v>TRM3φ50Hz 750KVA</v>
          </cell>
          <cell r="F1797" t="str">
            <v>台</v>
          </cell>
          <cell r="G1797">
            <v>0</v>
          </cell>
          <cell r="H1797">
            <v>4325000</v>
          </cell>
          <cell r="I1797">
            <v>0</v>
          </cell>
          <cell r="J1797">
            <v>4325000</v>
          </cell>
          <cell r="K1797">
            <v>0</v>
          </cell>
          <cell r="L1797">
            <v>4325000</v>
          </cell>
          <cell r="M1797">
            <v>0</v>
          </cell>
          <cell r="N1797">
            <v>4325000</v>
          </cell>
          <cell r="O1797">
            <v>0</v>
          </cell>
          <cell r="P1797">
            <v>4325000</v>
          </cell>
          <cell r="Q1797">
            <v>0</v>
          </cell>
          <cell r="R1797">
            <v>4325000</v>
          </cell>
          <cell r="S1797">
            <v>0</v>
          </cell>
          <cell r="T1797">
            <v>4325000</v>
          </cell>
          <cell r="U1797">
            <v>0</v>
          </cell>
          <cell r="V1797">
            <v>4325000</v>
          </cell>
          <cell r="W1797">
            <v>0</v>
          </cell>
          <cell r="X1797">
            <v>4325000</v>
          </cell>
          <cell r="Y1797">
            <v>0</v>
          </cell>
          <cell r="Z1797">
            <v>4325000</v>
          </cell>
          <cell r="AA1797">
            <v>0</v>
          </cell>
          <cell r="AB1797">
            <v>0</v>
          </cell>
          <cell r="AC1797">
            <v>0</v>
          </cell>
          <cell r="AD1797">
            <v>8.74</v>
          </cell>
          <cell r="AE1797">
            <v>0</v>
          </cell>
          <cell r="AF1797">
            <v>0</v>
          </cell>
          <cell r="AG1797">
            <v>0</v>
          </cell>
          <cell r="AH1797">
            <v>0</v>
          </cell>
          <cell r="AI1797">
            <v>0</v>
          </cell>
          <cell r="AJ1797">
            <v>0</v>
          </cell>
          <cell r="AK1797">
            <v>0</v>
          </cell>
          <cell r="AL1797">
            <v>0</v>
          </cell>
        </row>
        <row r="1798">
          <cell r="E1798" t="str">
            <v>TRM3φ50Hz1000KVA</v>
          </cell>
          <cell r="F1798" t="str">
            <v>台</v>
          </cell>
          <cell r="G1798">
            <v>0</v>
          </cell>
          <cell r="H1798">
            <v>4808000</v>
          </cell>
          <cell r="I1798">
            <v>0</v>
          </cell>
          <cell r="J1798">
            <v>4808000</v>
          </cell>
          <cell r="K1798">
            <v>0</v>
          </cell>
          <cell r="L1798">
            <v>4808000</v>
          </cell>
          <cell r="M1798">
            <v>0</v>
          </cell>
          <cell r="N1798">
            <v>4808000</v>
          </cell>
          <cell r="O1798">
            <v>0</v>
          </cell>
          <cell r="P1798">
            <v>4808000</v>
          </cell>
          <cell r="Q1798">
            <v>0</v>
          </cell>
          <cell r="R1798">
            <v>4808000</v>
          </cell>
          <cell r="S1798">
            <v>0</v>
          </cell>
          <cell r="T1798">
            <v>4808000</v>
          </cell>
          <cell r="U1798">
            <v>0</v>
          </cell>
          <cell r="V1798">
            <v>4808000</v>
          </cell>
          <cell r="W1798">
            <v>0</v>
          </cell>
          <cell r="X1798">
            <v>4808000</v>
          </cell>
          <cell r="Y1798">
            <v>0</v>
          </cell>
          <cell r="Z1798">
            <v>4808000</v>
          </cell>
          <cell r="AA1798">
            <v>0</v>
          </cell>
          <cell r="AB1798">
            <v>0</v>
          </cell>
          <cell r="AC1798">
            <v>0</v>
          </cell>
          <cell r="AD1798">
            <v>8.74</v>
          </cell>
          <cell r="AE1798">
            <v>0</v>
          </cell>
          <cell r="AF1798">
            <v>0</v>
          </cell>
          <cell r="AG1798">
            <v>0</v>
          </cell>
          <cell r="AH1798">
            <v>0</v>
          </cell>
          <cell r="AI1798">
            <v>0</v>
          </cell>
          <cell r="AJ1798">
            <v>0</v>
          </cell>
          <cell r="AK1798">
            <v>0</v>
          </cell>
          <cell r="AL1798">
            <v>0</v>
          </cell>
        </row>
        <row r="1799">
          <cell r="E1799" t="str">
            <v>TRM3φ50Hz1500KVA</v>
          </cell>
          <cell r="F1799" t="str">
            <v>台</v>
          </cell>
          <cell r="G1799">
            <v>0</v>
          </cell>
          <cell r="H1799">
            <v>6011000</v>
          </cell>
          <cell r="I1799">
            <v>0</v>
          </cell>
          <cell r="J1799">
            <v>6011000</v>
          </cell>
          <cell r="K1799">
            <v>0</v>
          </cell>
          <cell r="L1799">
            <v>6011000</v>
          </cell>
          <cell r="M1799">
            <v>0</v>
          </cell>
          <cell r="N1799">
            <v>6011000</v>
          </cell>
          <cell r="O1799">
            <v>0</v>
          </cell>
          <cell r="P1799">
            <v>6011000</v>
          </cell>
          <cell r="Q1799">
            <v>0</v>
          </cell>
          <cell r="R1799">
            <v>6011000</v>
          </cell>
          <cell r="S1799">
            <v>0</v>
          </cell>
          <cell r="T1799">
            <v>6011000</v>
          </cell>
          <cell r="U1799">
            <v>0</v>
          </cell>
          <cell r="V1799">
            <v>6011000</v>
          </cell>
          <cell r="W1799">
            <v>0</v>
          </cell>
          <cell r="X1799">
            <v>6011000</v>
          </cell>
          <cell r="Y1799">
            <v>0</v>
          </cell>
          <cell r="Z1799">
            <v>6011000</v>
          </cell>
          <cell r="AA1799">
            <v>0</v>
          </cell>
          <cell r="AB1799">
            <v>0</v>
          </cell>
          <cell r="AC1799">
            <v>0</v>
          </cell>
          <cell r="AD1799">
            <v>8.74</v>
          </cell>
          <cell r="AE1799">
            <v>0</v>
          </cell>
          <cell r="AF1799">
            <v>0</v>
          </cell>
          <cell r="AG1799">
            <v>0</v>
          </cell>
          <cell r="AH1799">
            <v>0</v>
          </cell>
          <cell r="AI1799">
            <v>0</v>
          </cell>
          <cell r="AJ1799">
            <v>0</v>
          </cell>
          <cell r="AK1799">
            <v>0</v>
          </cell>
          <cell r="AL1799">
            <v>0</v>
          </cell>
        </row>
        <row r="1800">
          <cell r="E1800" t="str">
            <v>TRM1φ60Hz  10KVA</v>
          </cell>
          <cell r="F1800" t="str">
            <v>台</v>
          </cell>
          <cell r="G1800">
            <v>0</v>
          </cell>
          <cell r="H1800">
            <v>430000</v>
          </cell>
          <cell r="I1800">
            <v>0</v>
          </cell>
          <cell r="J1800">
            <v>430000</v>
          </cell>
          <cell r="K1800">
            <v>0</v>
          </cell>
          <cell r="L1800">
            <v>430000</v>
          </cell>
          <cell r="M1800">
            <v>0</v>
          </cell>
          <cell r="N1800">
            <v>430000</v>
          </cell>
          <cell r="O1800">
            <v>0</v>
          </cell>
          <cell r="P1800">
            <v>430000</v>
          </cell>
          <cell r="Q1800">
            <v>0</v>
          </cell>
          <cell r="R1800">
            <v>430000</v>
          </cell>
          <cell r="S1800">
            <v>0</v>
          </cell>
          <cell r="T1800">
            <v>430000</v>
          </cell>
          <cell r="U1800">
            <v>0</v>
          </cell>
          <cell r="V1800">
            <v>430000</v>
          </cell>
          <cell r="W1800">
            <v>0</v>
          </cell>
          <cell r="X1800">
            <v>430000</v>
          </cell>
          <cell r="Y1800">
            <v>0</v>
          </cell>
          <cell r="Z1800">
            <v>430000</v>
          </cell>
          <cell r="AA1800">
            <v>0</v>
          </cell>
          <cell r="AB1800">
            <v>0</v>
          </cell>
          <cell r="AC1800">
            <v>0</v>
          </cell>
          <cell r="AD1800">
            <v>0.92</v>
          </cell>
          <cell r="AE1800">
            <v>0</v>
          </cell>
          <cell r="AF1800">
            <v>0</v>
          </cell>
          <cell r="AG1800">
            <v>0</v>
          </cell>
          <cell r="AH1800">
            <v>0</v>
          </cell>
          <cell r="AI1800">
            <v>0</v>
          </cell>
          <cell r="AJ1800">
            <v>0</v>
          </cell>
          <cell r="AK1800">
            <v>0</v>
          </cell>
          <cell r="AL1800">
            <v>0</v>
          </cell>
        </row>
        <row r="1801">
          <cell r="E1801" t="str">
            <v>TRM1φ60Hz  20KVA</v>
          </cell>
          <cell r="F1801" t="str">
            <v>台</v>
          </cell>
          <cell r="G1801">
            <v>0</v>
          </cell>
          <cell r="H1801">
            <v>496000</v>
          </cell>
          <cell r="I1801">
            <v>0</v>
          </cell>
          <cell r="J1801">
            <v>496000</v>
          </cell>
          <cell r="K1801">
            <v>0</v>
          </cell>
          <cell r="L1801">
            <v>496000</v>
          </cell>
          <cell r="M1801">
            <v>0</v>
          </cell>
          <cell r="N1801">
            <v>496000</v>
          </cell>
          <cell r="O1801">
            <v>0</v>
          </cell>
          <cell r="P1801">
            <v>496000</v>
          </cell>
          <cell r="Q1801">
            <v>0</v>
          </cell>
          <cell r="R1801">
            <v>496000</v>
          </cell>
          <cell r="S1801">
            <v>0</v>
          </cell>
          <cell r="T1801">
            <v>496000</v>
          </cell>
          <cell r="U1801">
            <v>0</v>
          </cell>
          <cell r="V1801">
            <v>496000</v>
          </cell>
          <cell r="W1801">
            <v>0</v>
          </cell>
          <cell r="X1801">
            <v>496000</v>
          </cell>
          <cell r="Y1801">
            <v>0</v>
          </cell>
          <cell r="Z1801">
            <v>496000</v>
          </cell>
          <cell r="AA1801">
            <v>0</v>
          </cell>
          <cell r="AB1801">
            <v>0</v>
          </cell>
          <cell r="AC1801">
            <v>0</v>
          </cell>
          <cell r="AD1801">
            <v>1.5580000000000001</v>
          </cell>
          <cell r="AE1801">
            <v>0</v>
          </cell>
          <cell r="AF1801">
            <v>0</v>
          </cell>
          <cell r="AG1801">
            <v>0</v>
          </cell>
          <cell r="AH1801">
            <v>0</v>
          </cell>
          <cell r="AI1801">
            <v>0</v>
          </cell>
          <cell r="AJ1801">
            <v>0</v>
          </cell>
          <cell r="AK1801">
            <v>0</v>
          </cell>
          <cell r="AL1801">
            <v>0</v>
          </cell>
        </row>
        <row r="1802">
          <cell r="E1802" t="str">
            <v>TRM1φ60Hz  30KVA</v>
          </cell>
          <cell r="F1802" t="str">
            <v>台</v>
          </cell>
          <cell r="G1802">
            <v>0</v>
          </cell>
          <cell r="H1802">
            <v>610000</v>
          </cell>
          <cell r="I1802">
            <v>0</v>
          </cell>
          <cell r="J1802">
            <v>610000</v>
          </cell>
          <cell r="K1802">
            <v>0</v>
          </cell>
          <cell r="L1802">
            <v>610000</v>
          </cell>
          <cell r="M1802">
            <v>0</v>
          </cell>
          <cell r="N1802">
            <v>610000</v>
          </cell>
          <cell r="O1802">
            <v>0</v>
          </cell>
          <cell r="P1802">
            <v>610000</v>
          </cell>
          <cell r="Q1802">
            <v>0</v>
          </cell>
          <cell r="R1802">
            <v>610000</v>
          </cell>
          <cell r="S1802">
            <v>0</v>
          </cell>
          <cell r="T1802">
            <v>610000</v>
          </cell>
          <cell r="U1802">
            <v>0</v>
          </cell>
          <cell r="V1802">
            <v>610000</v>
          </cell>
          <cell r="W1802">
            <v>0</v>
          </cell>
          <cell r="X1802">
            <v>610000</v>
          </cell>
          <cell r="Y1802">
            <v>0</v>
          </cell>
          <cell r="Z1802">
            <v>610000</v>
          </cell>
          <cell r="AA1802">
            <v>0</v>
          </cell>
          <cell r="AB1802">
            <v>0</v>
          </cell>
          <cell r="AC1802">
            <v>0</v>
          </cell>
          <cell r="AD1802">
            <v>1.6639999999999999</v>
          </cell>
          <cell r="AE1802">
            <v>0</v>
          </cell>
          <cell r="AF1802">
            <v>0</v>
          </cell>
          <cell r="AG1802">
            <v>0</v>
          </cell>
          <cell r="AH1802">
            <v>0</v>
          </cell>
          <cell r="AI1802">
            <v>0</v>
          </cell>
          <cell r="AJ1802">
            <v>0</v>
          </cell>
          <cell r="AK1802">
            <v>0</v>
          </cell>
          <cell r="AL1802">
            <v>0</v>
          </cell>
        </row>
        <row r="1803">
          <cell r="E1803" t="str">
            <v>TRM1φ60Hz  50KVA</v>
          </cell>
          <cell r="F1803" t="str">
            <v>台</v>
          </cell>
          <cell r="G1803">
            <v>0</v>
          </cell>
          <cell r="H1803">
            <v>696000</v>
          </cell>
          <cell r="I1803">
            <v>0</v>
          </cell>
          <cell r="J1803">
            <v>696000</v>
          </cell>
          <cell r="K1803">
            <v>0</v>
          </cell>
          <cell r="L1803">
            <v>696000</v>
          </cell>
          <cell r="M1803">
            <v>0</v>
          </cell>
          <cell r="N1803">
            <v>696000</v>
          </cell>
          <cell r="O1803">
            <v>0</v>
          </cell>
          <cell r="P1803">
            <v>696000</v>
          </cell>
          <cell r="Q1803">
            <v>0</v>
          </cell>
          <cell r="R1803">
            <v>696000</v>
          </cell>
          <cell r="S1803">
            <v>0</v>
          </cell>
          <cell r="T1803">
            <v>696000</v>
          </cell>
          <cell r="U1803">
            <v>0</v>
          </cell>
          <cell r="V1803">
            <v>696000</v>
          </cell>
          <cell r="W1803">
            <v>0</v>
          </cell>
          <cell r="X1803">
            <v>696000</v>
          </cell>
          <cell r="Y1803">
            <v>0</v>
          </cell>
          <cell r="Z1803">
            <v>696000</v>
          </cell>
          <cell r="AA1803">
            <v>0</v>
          </cell>
          <cell r="AB1803">
            <v>0</v>
          </cell>
          <cell r="AC1803">
            <v>0</v>
          </cell>
          <cell r="AD1803">
            <v>1.946</v>
          </cell>
          <cell r="AE1803">
            <v>0</v>
          </cell>
          <cell r="AF1803">
            <v>0</v>
          </cell>
          <cell r="AG1803">
            <v>0</v>
          </cell>
          <cell r="AH1803">
            <v>0</v>
          </cell>
          <cell r="AI1803">
            <v>0</v>
          </cell>
          <cell r="AJ1803">
            <v>0</v>
          </cell>
          <cell r="AK1803">
            <v>0</v>
          </cell>
          <cell r="AL1803">
            <v>0</v>
          </cell>
        </row>
        <row r="1804">
          <cell r="E1804" t="str">
            <v>TRM1φ60Hz  75KVA</v>
          </cell>
          <cell r="F1804" t="str">
            <v>台</v>
          </cell>
          <cell r="G1804">
            <v>0</v>
          </cell>
          <cell r="H1804">
            <v>832000</v>
          </cell>
          <cell r="I1804">
            <v>0</v>
          </cell>
          <cell r="J1804">
            <v>832000</v>
          </cell>
          <cell r="K1804">
            <v>0</v>
          </cell>
          <cell r="L1804">
            <v>832000</v>
          </cell>
          <cell r="M1804">
            <v>0</v>
          </cell>
          <cell r="N1804">
            <v>832000</v>
          </cell>
          <cell r="O1804">
            <v>0</v>
          </cell>
          <cell r="P1804">
            <v>832000</v>
          </cell>
          <cell r="Q1804">
            <v>0</v>
          </cell>
          <cell r="R1804">
            <v>832000</v>
          </cell>
          <cell r="S1804">
            <v>0</v>
          </cell>
          <cell r="T1804">
            <v>832000</v>
          </cell>
          <cell r="U1804">
            <v>0</v>
          </cell>
          <cell r="V1804">
            <v>832000</v>
          </cell>
          <cell r="W1804">
            <v>0</v>
          </cell>
          <cell r="X1804">
            <v>832000</v>
          </cell>
          <cell r="Y1804">
            <v>0</v>
          </cell>
          <cell r="Z1804">
            <v>832000</v>
          </cell>
          <cell r="AA1804">
            <v>0</v>
          </cell>
          <cell r="AB1804">
            <v>0</v>
          </cell>
          <cell r="AC1804">
            <v>0</v>
          </cell>
          <cell r="AD1804">
            <v>3.2</v>
          </cell>
          <cell r="AE1804">
            <v>0</v>
          </cell>
          <cell r="AF1804">
            <v>0</v>
          </cell>
          <cell r="AG1804">
            <v>0</v>
          </cell>
          <cell r="AH1804">
            <v>0</v>
          </cell>
          <cell r="AI1804">
            <v>0</v>
          </cell>
          <cell r="AJ1804">
            <v>0</v>
          </cell>
          <cell r="AK1804">
            <v>0</v>
          </cell>
          <cell r="AL1804">
            <v>0</v>
          </cell>
        </row>
        <row r="1805">
          <cell r="E1805" t="str">
            <v>TRM1φ60Hz 100KVA</v>
          </cell>
          <cell r="F1805" t="str">
            <v>台</v>
          </cell>
          <cell r="G1805">
            <v>0</v>
          </cell>
          <cell r="H1805">
            <v>968000</v>
          </cell>
          <cell r="I1805">
            <v>0</v>
          </cell>
          <cell r="J1805">
            <v>968000</v>
          </cell>
          <cell r="K1805">
            <v>0</v>
          </cell>
          <cell r="L1805">
            <v>968000</v>
          </cell>
          <cell r="M1805">
            <v>0</v>
          </cell>
          <cell r="N1805">
            <v>968000</v>
          </cell>
          <cell r="O1805">
            <v>0</v>
          </cell>
          <cell r="P1805">
            <v>968000</v>
          </cell>
          <cell r="Q1805">
            <v>0</v>
          </cell>
          <cell r="R1805">
            <v>968000</v>
          </cell>
          <cell r="S1805">
            <v>0</v>
          </cell>
          <cell r="T1805">
            <v>968000</v>
          </cell>
          <cell r="U1805">
            <v>0</v>
          </cell>
          <cell r="V1805">
            <v>968000</v>
          </cell>
          <cell r="W1805">
            <v>0</v>
          </cell>
          <cell r="X1805">
            <v>968000</v>
          </cell>
          <cell r="Y1805">
            <v>0</v>
          </cell>
          <cell r="Z1805">
            <v>968000</v>
          </cell>
          <cell r="AA1805">
            <v>0</v>
          </cell>
          <cell r="AB1805">
            <v>0</v>
          </cell>
          <cell r="AC1805">
            <v>0</v>
          </cell>
          <cell r="AD1805">
            <v>3.42</v>
          </cell>
          <cell r="AE1805">
            <v>0</v>
          </cell>
          <cell r="AF1805">
            <v>0</v>
          </cell>
          <cell r="AG1805">
            <v>0</v>
          </cell>
          <cell r="AH1805">
            <v>0</v>
          </cell>
          <cell r="AI1805">
            <v>0</v>
          </cell>
          <cell r="AJ1805">
            <v>0</v>
          </cell>
          <cell r="AK1805">
            <v>0</v>
          </cell>
          <cell r="AL1805">
            <v>0</v>
          </cell>
        </row>
        <row r="1806">
          <cell r="E1806" t="str">
            <v>TRM1φ60Hz 150KVA</v>
          </cell>
          <cell r="F1806" t="str">
            <v>台</v>
          </cell>
          <cell r="G1806">
            <v>0</v>
          </cell>
          <cell r="H1806">
            <v>1280000</v>
          </cell>
          <cell r="I1806">
            <v>0</v>
          </cell>
          <cell r="J1806">
            <v>1280000</v>
          </cell>
          <cell r="K1806">
            <v>0</v>
          </cell>
          <cell r="L1806">
            <v>1280000</v>
          </cell>
          <cell r="M1806">
            <v>0</v>
          </cell>
          <cell r="N1806">
            <v>1280000</v>
          </cell>
          <cell r="O1806">
            <v>0</v>
          </cell>
          <cell r="P1806">
            <v>1280000</v>
          </cell>
          <cell r="Q1806">
            <v>0</v>
          </cell>
          <cell r="R1806">
            <v>1280000</v>
          </cell>
          <cell r="S1806">
            <v>0</v>
          </cell>
          <cell r="T1806">
            <v>1280000</v>
          </cell>
          <cell r="U1806">
            <v>0</v>
          </cell>
          <cell r="V1806">
            <v>1280000</v>
          </cell>
          <cell r="W1806">
            <v>0</v>
          </cell>
          <cell r="X1806">
            <v>1280000</v>
          </cell>
          <cell r="Y1806">
            <v>0</v>
          </cell>
          <cell r="Z1806">
            <v>1280000</v>
          </cell>
          <cell r="AA1806">
            <v>0</v>
          </cell>
          <cell r="AB1806">
            <v>0</v>
          </cell>
          <cell r="AC1806">
            <v>0</v>
          </cell>
          <cell r="AD1806">
            <v>4.24</v>
          </cell>
          <cell r="AE1806">
            <v>0</v>
          </cell>
          <cell r="AF1806">
            <v>0</v>
          </cell>
          <cell r="AG1806">
            <v>0</v>
          </cell>
          <cell r="AH1806">
            <v>0</v>
          </cell>
          <cell r="AI1806">
            <v>0</v>
          </cell>
          <cell r="AJ1806">
            <v>0</v>
          </cell>
          <cell r="AK1806">
            <v>0</v>
          </cell>
          <cell r="AL1806">
            <v>0</v>
          </cell>
        </row>
        <row r="1807">
          <cell r="E1807" t="str">
            <v>TRM1φ60Hz 200KVA</v>
          </cell>
          <cell r="F1807" t="str">
            <v>台</v>
          </cell>
          <cell r="G1807">
            <v>0</v>
          </cell>
          <cell r="H1807">
            <v>1600000</v>
          </cell>
          <cell r="I1807">
            <v>0</v>
          </cell>
          <cell r="J1807">
            <v>1600000</v>
          </cell>
          <cell r="K1807">
            <v>0</v>
          </cell>
          <cell r="L1807">
            <v>1600000</v>
          </cell>
          <cell r="M1807">
            <v>0</v>
          </cell>
          <cell r="N1807">
            <v>1600000</v>
          </cell>
          <cell r="O1807">
            <v>0</v>
          </cell>
          <cell r="P1807">
            <v>1600000</v>
          </cell>
          <cell r="Q1807">
            <v>0</v>
          </cell>
          <cell r="R1807">
            <v>1600000</v>
          </cell>
          <cell r="S1807">
            <v>0</v>
          </cell>
          <cell r="T1807">
            <v>1600000</v>
          </cell>
          <cell r="U1807">
            <v>0</v>
          </cell>
          <cell r="V1807">
            <v>1600000</v>
          </cell>
          <cell r="W1807">
            <v>0</v>
          </cell>
          <cell r="X1807">
            <v>1600000</v>
          </cell>
          <cell r="Y1807">
            <v>0</v>
          </cell>
          <cell r="Z1807">
            <v>1600000</v>
          </cell>
          <cell r="AA1807">
            <v>0</v>
          </cell>
          <cell r="AB1807">
            <v>0</v>
          </cell>
          <cell r="AC1807">
            <v>0</v>
          </cell>
          <cell r="AD1807">
            <v>4.5</v>
          </cell>
          <cell r="AE1807">
            <v>0</v>
          </cell>
          <cell r="AF1807">
            <v>0</v>
          </cell>
          <cell r="AG1807">
            <v>0</v>
          </cell>
          <cell r="AH1807">
            <v>0</v>
          </cell>
          <cell r="AI1807">
            <v>0</v>
          </cell>
          <cell r="AJ1807">
            <v>0</v>
          </cell>
          <cell r="AK1807">
            <v>0</v>
          </cell>
          <cell r="AL1807">
            <v>0</v>
          </cell>
        </row>
        <row r="1808">
          <cell r="E1808" t="str">
            <v>TRM1φ60Hz 300KVA</v>
          </cell>
          <cell r="F1808" t="str">
            <v>台</v>
          </cell>
          <cell r="G1808">
            <v>0</v>
          </cell>
          <cell r="H1808">
            <v>2210000</v>
          </cell>
          <cell r="I1808">
            <v>0</v>
          </cell>
          <cell r="J1808">
            <v>2210000</v>
          </cell>
          <cell r="K1808">
            <v>0</v>
          </cell>
          <cell r="L1808">
            <v>2210000</v>
          </cell>
          <cell r="M1808">
            <v>0</v>
          </cell>
          <cell r="N1808">
            <v>2210000</v>
          </cell>
          <cell r="O1808">
            <v>0</v>
          </cell>
          <cell r="P1808">
            <v>2210000</v>
          </cell>
          <cell r="Q1808">
            <v>0</v>
          </cell>
          <cell r="R1808">
            <v>2210000</v>
          </cell>
          <cell r="S1808">
            <v>0</v>
          </cell>
          <cell r="T1808">
            <v>2210000</v>
          </cell>
          <cell r="U1808">
            <v>0</v>
          </cell>
          <cell r="V1808">
            <v>2210000</v>
          </cell>
          <cell r="W1808">
            <v>0</v>
          </cell>
          <cell r="X1808">
            <v>2210000</v>
          </cell>
          <cell r="Y1808">
            <v>0</v>
          </cell>
          <cell r="Z1808">
            <v>2210000</v>
          </cell>
          <cell r="AA1808">
            <v>0</v>
          </cell>
          <cell r="AB1808">
            <v>0</v>
          </cell>
          <cell r="AC1808">
            <v>0</v>
          </cell>
          <cell r="AD1808">
            <v>5.8</v>
          </cell>
          <cell r="AE1808">
            <v>0</v>
          </cell>
          <cell r="AF1808">
            <v>0</v>
          </cell>
          <cell r="AG1808">
            <v>0</v>
          </cell>
          <cell r="AH1808">
            <v>0</v>
          </cell>
          <cell r="AI1808">
            <v>0</v>
          </cell>
          <cell r="AJ1808">
            <v>0</v>
          </cell>
          <cell r="AK1808">
            <v>0</v>
          </cell>
          <cell r="AL1808">
            <v>0</v>
          </cell>
        </row>
        <row r="1809">
          <cell r="E1809" t="str">
            <v>TRM1φ60Hz 500KVA</v>
          </cell>
          <cell r="F1809" t="str">
            <v>台</v>
          </cell>
          <cell r="G1809">
            <v>0</v>
          </cell>
          <cell r="H1809">
            <v>3440000</v>
          </cell>
          <cell r="I1809">
            <v>0</v>
          </cell>
          <cell r="J1809">
            <v>3440000</v>
          </cell>
          <cell r="K1809">
            <v>0</v>
          </cell>
          <cell r="L1809">
            <v>3440000</v>
          </cell>
          <cell r="M1809">
            <v>0</v>
          </cell>
          <cell r="N1809">
            <v>3440000</v>
          </cell>
          <cell r="O1809">
            <v>0</v>
          </cell>
          <cell r="P1809">
            <v>3440000</v>
          </cell>
          <cell r="Q1809">
            <v>0</v>
          </cell>
          <cell r="R1809">
            <v>3440000</v>
          </cell>
          <cell r="S1809">
            <v>0</v>
          </cell>
          <cell r="T1809">
            <v>3440000</v>
          </cell>
          <cell r="U1809">
            <v>0</v>
          </cell>
          <cell r="V1809">
            <v>3440000</v>
          </cell>
          <cell r="W1809">
            <v>0</v>
          </cell>
          <cell r="X1809">
            <v>3440000</v>
          </cell>
          <cell r="Y1809">
            <v>0</v>
          </cell>
          <cell r="Z1809">
            <v>3440000</v>
          </cell>
          <cell r="AA1809">
            <v>0</v>
          </cell>
          <cell r="AB1809">
            <v>0</v>
          </cell>
          <cell r="AC1809">
            <v>0</v>
          </cell>
          <cell r="AD1809">
            <v>7.6</v>
          </cell>
          <cell r="AE1809">
            <v>0</v>
          </cell>
          <cell r="AF1809">
            <v>0</v>
          </cell>
          <cell r="AG1809">
            <v>0</v>
          </cell>
          <cell r="AH1809">
            <v>0</v>
          </cell>
          <cell r="AI1809">
            <v>0</v>
          </cell>
          <cell r="AJ1809">
            <v>0</v>
          </cell>
          <cell r="AK1809">
            <v>0</v>
          </cell>
          <cell r="AL1809">
            <v>0</v>
          </cell>
        </row>
        <row r="1810">
          <cell r="E1810" t="str">
            <v>TR3φ60Hz  20KVA</v>
          </cell>
          <cell r="F1810" t="str">
            <v>台</v>
          </cell>
          <cell r="G1810">
            <v>0</v>
          </cell>
          <cell r="H1810">
            <v>782000</v>
          </cell>
          <cell r="I1810">
            <v>0</v>
          </cell>
          <cell r="J1810">
            <v>782000</v>
          </cell>
          <cell r="K1810">
            <v>0</v>
          </cell>
          <cell r="L1810">
            <v>782000</v>
          </cell>
          <cell r="M1810">
            <v>0</v>
          </cell>
          <cell r="N1810">
            <v>782000</v>
          </cell>
          <cell r="O1810">
            <v>0</v>
          </cell>
          <cell r="P1810">
            <v>782000</v>
          </cell>
          <cell r="Q1810">
            <v>0</v>
          </cell>
          <cell r="R1810">
            <v>782000</v>
          </cell>
          <cell r="S1810">
            <v>0</v>
          </cell>
          <cell r="T1810">
            <v>782000</v>
          </cell>
          <cell r="U1810">
            <v>0</v>
          </cell>
          <cell r="V1810">
            <v>782000</v>
          </cell>
          <cell r="W1810">
            <v>0</v>
          </cell>
          <cell r="X1810">
            <v>782000</v>
          </cell>
          <cell r="Y1810">
            <v>0</v>
          </cell>
          <cell r="Z1810">
            <v>782000</v>
          </cell>
          <cell r="AA1810">
            <v>0</v>
          </cell>
          <cell r="AB1810">
            <v>0</v>
          </cell>
          <cell r="AC1810">
            <v>0</v>
          </cell>
          <cell r="AD1810">
            <v>1.8939999999999999</v>
          </cell>
          <cell r="AE1810">
            <v>0</v>
          </cell>
          <cell r="AF1810">
            <v>0</v>
          </cell>
          <cell r="AG1810">
            <v>0</v>
          </cell>
          <cell r="AH1810">
            <v>0</v>
          </cell>
          <cell r="AI1810">
            <v>0</v>
          </cell>
          <cell r="AJ1810">
            <v>0</v>
          </cell>
          <cell r="AK1810">
            <v>0</v>
          </cell>
          <cell r="AL1810">
            <v>0</v>
          </cell>
        </row>
        <row r="1811">
          <cell r="E1811" t="str">
            <v>TR3φ60Hz  30KVA</v>
          </cell>
          <cell r="F1811" t="str">
            <v>台</v>
          </cell>
          <cell r="G1811">
            <v>0</v>
          </cell>
          <cell r="H1811">
            <v>858000</v>
          </cell>
          <cell r="I1811">
            <v>0</v>
          </cell>
          <cell r="J1811">
            <v>858000</v>
          </cell>
          <cell r="K1811">
            <v>0</v>
          </cell>
          <cell r="L1811">
            <v>858000</v>
          </cell>
          <cell r="M1811">
            <v>0</v>
          </cell>
          <cell r="N1811">
            <v>858000</v>
          </cell>
          <cell r="O1811">
            <v>0</v>
          </cell>
          <cell r="P1811">
            <v>858000</v>
          </cell>
          <cell r="Q1811">
            <v>0</v>
          </cell>
          <cell r="R1811">
            <v>858000</v>
          </cell>
          <cell r="S1811">
            <v>0</v>
          </cell>
          <cell r="T1811">
            <v>858000</v>
          </cell>
          <cell r="U1811">
            <v>0</v>
          </cell>
          <cell r="V1811">
            <v>858000</v>
          </cell>
          <cell r="W1811">
            <v>0</v>
          </cell>
          <cell r="X1811">
            <v>858000</v>
          </cell>
          <cell r="Y1811">
            <v>0</v>
          </cell>
          <cell r="Z1811">
            <v>858000</v>
          </cell>
          <cell r="AA1811">
            <v>0</v>
          </cell>
          <cell r="AB1811">
            <v>0</v>
          </cell>
          <cell r="AC1811">
            <v>0</v>
          </cell>
          <cell r="AD1811">
            <v>2.08</v>
          </cell>
          <cell r="AE1811">
            <v>0</v>
          </cell>
          <cell r="AF1811">
            <v>0</v>
          </cell>
          <cell r="AG1811">
            <v>0</v>
          </cell>
          <cell r="AH1811">
            <v>0</v>
          </cell>
          <cell r="AI1811">
            <v>0</v>
          </cell>
          <cell r="AJ1811">
            <v>0</v>
          </cell>
          <cell r="AK1811">
            <v>0</v>
          </cell>
          <cell r="AL1811">
            <v>0</v>
          </cell>
        </row>
        <row r="1812">
          <cell r="E1812" t="str">
            <v>TR3φ60Hz  50KVA</v>
          </cell>
          <cell r="F1812" t="str">
            <v>台</v>
          </cell>
          <cell r="G1812">
            <v>0</v>
          </cell>
          <cell r="H1812">
            <v>954000</v>
          </cell>
          <cell r="I1812">
            <v>0</v>
          </cell>
          <cell r="J1812">
            <v>954000</v>
          </cell>
          <cell r="K1812">
            <v>0</v>
          </cell>
          <cell r="L1812">
            <v>954000</v>
          </cell>
          <cell r="M1812">
            <v>0</v>
          </cell>
          <cell r="N1812">
            <v>954000</v>
          </cell>
          <cell r="O1812">
            <v>0</v>
          </cell>
          <cell r="P1812">
            <v>954000</v>
          </cell>
          <cell r="Q1812">
            <v>0</v>
          </cell>
          <cell r="R1812">
            <v>954000</v>
          </cell>
          <cell r="S1812">
            <v>0</v>
          </cell>
          <cell r="T1812">
            <v>954000</v>
          </cell>
          <cell r="U1812">
            <v>0</v>
          </cell>
          <cell r="V1812">
            <v>954000</v>
          </cell>
          <cell r="W1812">
            <v>0</v>
          </cell>
          <cell r="X1812">
            <v>954000</v>
          </cell>
          <cell r="Y1812">
            <v>0</v>
          </cell>
          <cell r="Z1812">
            <v>954000</v>
          </cell>
          <cell r="AA1812">
            <v>0</v>
          </cell>
          <cell r="AB1812">
            <v>0</v>
          </cell>
          <cell r="AC1812">
            <v>0</v>
          </cell>
          <cell r="AD1812">
            <v>2.44</v>
          </cell>
          <cell r="AE1812">
            <v>0</v>
          </cell>
          <cell r="AF1812">
            <v>0</v>
          </cell>
          <cell r="AG1812">
            <v>0</v>
          </cell>
          <cell r="AH1812">
            <v>0</v>
          </cell>
          <cell r="AI1812">
            <v>0</v>
          </cell>
          <cell r="AJ1812">
            <v>0</v>
          </cell>
          <cell r="AK1812">
            <v>0</v>
          </cell>
          <cell r="AL1812">
            <v>0</v>
          </cell>
        </row>
        <row r="1813">
          <cell r="E1813" t="str">
            <v>TR3φ60Hz  75KVA</v>
          </cell>
          <cell r="F1813" t="str">
            <v>台</v>
          </cell>
          <cell r="G1813">
            <v>0</v>
          </cell>
          <cell r="H1813">
            <v>1090000</v>
          </cell>
          <cell r="I1813">
            <v>0</v>
          </cell>
          <cell r="J1813">
            <v>1090000</v>
          </cell>
          <cell r="K1813">
            <v>0</v>
          </cell>
          <cell r="L1813">
            <v>1090000</v>
          </cell>
          <cell r="M1813">
            <v>0</v>
          </cell>
          <cell r="N1813">
            <v>1090000</v>
          </cell>
          <cell r="O1813">
            <v>0</v>
          </cell>
          <cell r="P1813">
            <v>1090000</v>
          </cell>
          <cell r="Q1813">
            <v>0</v>
          </cell>
          <cell r="R1813">
            <v>1090000</v>
          </cell>
          <cell r="S1813">
            <v>0</v>
          </cell>
          <cell r="T1813">
            <v>1090000</v>
          </cell>
          <cell r="U1813">
            <v>0</v>
          </cell>
          <cell r="V1813">
            <v>1090000</v>
          </cell>
          <cell r="W1813">
            <v>0</v>
          </cell>
          <cell r="X1813">
            <v>1090000</v>
          </cell>
          <cell r="Y1813">
            <v>0</v>
          </cell>
          <cell r="Z1813">
            <v>1090000</v>
          </cell>
          <cell r="AA1813">
            <v>0</v>
          </cell>
          <cell r="AB1813">
            <v>0</v>
          </cell>
          <cell r="AC1813">
            <v>0</v>
          </cell>
          <cell r="AD1813">
            <v>3.62</v>
          </cell>
          <cell r="AE1813">
            <v>0</v>
          </cell>
          <cell r="AF1813">
            <v>0</v>
          </cell>
          <cell r="AG1813">
            <v>0</v>
          </cell>
          <cell r="AH1813">
            <v>0</v>
          </cell>
          <cell r="AI1813">
            <v>0</v>
          </cell>
          <cell r="AJ1813">
            <v>0</v>
          </cell>
          <cell r="AK1813">
            <v>0</v>
          </cell>
          <cell r="AL1813">
            <v>0</v>
          </cell>
        </row>
        <row r="1814">
          <cell r="E1814" t="str">
            <v>TR3φ60Hz 100KVA</v>
          </cell>
          <cell r="F1814" t="str">
            <v>台</v>
          </cell>
          <cell r="G1814">
            <v>0</v>
          </cell>
          <cell r="H1814">
            <v>1260000</v>
          </cell>
          <cell r="I1814">
            <v>0</v>
          </cell>
          <cell r="J1814">
            <v>1260000</v>
          </cell>
          <cell r="K1814">
            <v>0</v>
          </cell>
          <cell r="L1814">
            <v>1260000</v>
          </cell>
          <cell r="M1814">
            <v>0</v>
          </cell>
          <cell r="N1814">
            <v>1260000</v>
          </cell>
          <cell r="O1814">
            <v>0</v>
          </cell>
          <cell r="P1814">
            <v>1260000</v>
          </cell>
          <cell r="Q1814">
            <v>0</v>
          </cell>
          <cell r="R1814">
            <v>1260000</v>
          </cell>
          <cell r="S1814">
            <v>0</v>
          </cell>
          <cell r="T1814">
            <v>1260000</v>
          </cell>
          <cell r="U1814">
            <v>0</v>
          </cell>
          <cell r="V1814">
            <v>1260000</v>
          </cell>
          <cell r="W1814">
            <v>0</v>
          </cell>
          <cell r="X1814">
            <v>1260000</v>
          </cell>
          <cell r="Y1814">
            <v>0</v>
          </cell>
          <cell r="Z1814">
            <v>1260000</v>
          </cell>
          <cell r="AA1814">
            <v>0</v>
          </cell>
          <cell r="AB1814">
            <v>0</v>
          </cell>
          <cell r="AC1814">
            <v>0</v>
          </cell>
          <cell r="AD1814">
            <v>4.0199999999999996</v>
          </cell>
          <cell r="AE1814">
            <v>0</v>
          </cell>
          <cell r="AF1814">
            <v>0</v>
          </cell>
          <cell r="AG1814">
            <v>0</v>
          </cell>
          <cell r="AH1814">
            <v>0</v>
          </cell>
          <cell r="AI1814">
            <v>0</v>
          </cell>
          <cell r="AJ1814">
            <v>0</v>
          </cell>
          <cell r="AK1814">
            <v>0</v>
          </cell>
          <cell r="AL1814">
            <v>0</v>
          </cell>
        </row>
        <row r="1815">
          <cell r="E1815" t="str">
            <v>TR3φ60Hz 150KVA</v>
          </cell>
          <cell r="F1815" t="str">
            <v>台</v>
          </cell>
          <cell r="G1815">
            <v>0</v>
          </cell>
          <cell r="H1815">
            <v>1580000</v>
          </cell>
          <cell r="I1815">
            <v>0</v>
          </cell>
          <cell r="J1815">
            <v>1580000</v>
          </cell>
          <cell r="K1815">
            <v>0</v>
          </cell>
          <cell r="L1815">
            <v>1580000</v>
          </cell>
          <cell r="M1815">
            <v>0</v>
          </cell>
          <cell r="N1815">
            <v>1580000</v>
          </cell>
          <cell r="O1815">
            <v>0</v>
          </cell>
          <cell r="P1815">
            <v>1580000</v>
          </cell>
          <cell r="Q1815">
            <v>0</v>
          </cell>
          <cell r="R1815">
            <v>1580000</v>
          </cell>
          <cell r="S1815">
            <v>0</v>
          </cell>
          <cell r="T1815">
            <v>1580000</v>
          </cell>
          <cell r="U1815">
            <v>0</v>
          </cell>
          <cell r="V1815">
            <v>1580000</v>
          </cell>
          <cell r="W1815">
            <v>0</v>
          </cell>
          <cell r="X1815">
            <v>1580000</v>
          </cell>
          <cell r="Y1815">
            <v>0</v>
          </cell>
          <cell r="Z1815">
            <v>1580000</v>
          </cell>
          <cell r="AA1815">
            <v>0</v>
          </cell>
          <cell r="AB1815">
            <v>0</v>
          </cell>
          <cell r="AC1815">
            <v>0</v>
          </cell>
          <cell r="AD1815">
            <v>4.9400000000000004</v>
          </cell>
          <cell r="AE1815">
            <v>0</v>
          </cell>
          <cell r="AF1815">
            <v>0</v>
          </cell>
          <cell r="AG1815">
            <v>0</v>
          </cell>
          <cell r="AH1815">
            <v>0</v>
          </cell>
          <cell r="AI1815">
            <v>0</v>
          </cell>
          <cell r="AJ1815">
            <v>0</v>
          </cell>
          <cell r="AK1815">
            <v>0</v>
          </cell>
          <cell r="AL1815">
            <v>0</v>
          </cell>
        </row>
        <row r="1816">
          <cell r="E1816" t="str">
            <v>TR3φ60Hz 200KVA</v>
          </cell>
          <cell r="F1816" t="str">
            <v>台</v>
          </cell>
          <cell r="G1816">
            <v>0</v>
          </cell>
          <cell r="H1816">
            <v>1920000</v>
          </cell>
          <cell r="I1816">
            <v>0</v>
          </cell>
          <cell r="J1816">
            <v>1920000</v>
          </cell>
          <cell r="K1816">
            <v>0</v>
          </cell>
          <cell r="L1816">
            <v>1920000</v>
          </cell>
          <cell r="M1816">
            <v>0</v>
          </cell>
          <cell r="N1816">
            <v>1920000</v>
          </cell>
          <cell r="O1816">
            <v>0</v>
          </cell>
          <cell r="P1816">
            <v>1920000</v>
          </cell>
          <cell r="Q1816">
            <v>0</v>
          </cell>
          <cell r="R1816">
            <v>1920000</v>
          </cell>
          <cell r="S1816">
            <v>0</v>
          </cell>
          <cell r="T1816">
            <v>1920000</v>
          </cell>
          <cell r="U1816">
            <v>0</v>
          </cell>
          <cell r="V1816">
            <v>1920000</v>
          </cell>
          <cell r="W1816">
            <v>0</v>
          </cell>
          <cell r="X1816">
            <v>1920000</v>
          </cell>
          <cell r="Y1816">
            <v>0</v>
          </cell>
          <cell r="Z1816">
            <v>1920000</v>
          </cell>
          <cell r="AA1816">
            <v>0</v>
          </cell>
          <cell r="AB1816">
            <v>0</v>
          </cell>
          <cell r="AC1816">
            <v>0</v>
          </cell>
          <cell r="AD1816">
            <v>5.48</v>
          </cell>
          <cell r="AE1816">
            <v>0</v>
          </cell>
          <cell r="AF1816">
            <v>0</v>
          </cell>
          <cell r="AG1816">
            <v>0</v>
          </cell>
          <cell r="AH1816">
            <v>0</v>
          </cell>
          <cell r="AI1816">
            <v>0</v>
          </cell>
          <cell r="AJ1816">
            <v>0</v>
          </cell>
          <cell r="AK1816">
            <v>0</v>
          </cell>
          <cell r="AL1816">
            <v>0</v>
          </cell>
        </row>
        <row r="1817">
          <cell r="E1817" t="str">
            <v>TR3φ60Hz 300KVA</v>
          </cell>
          <cell r="F1817" t="str">
            <v>台</v>
          </cell>
          <cell r="G1817">
            <v>0</v>
          </cell>
          <cell r="H1817">
            <v>2630000</v>
          </cell>
          <cell r="I1817">
            <v>0</v>
          </cell>
          <cell r="J1817">
            <v>2630000</v>
          </cell>
          <cell r="K1817">
            <v>0</v>
          </cell>
          <cell r="L1817">
            <v>2630000</v>
          </cell>
          <cell r="M1817">
            <v>0</v>
          </cell>
          <cell r="N1817">
            <v>2630000</v>
          </cell>
          <cell r="O1817">
            <v>0</v>
          </cell>
          <cell r="P1817">
            <v>2630000</v>
          </cell>
          <cell r="Q1817">
            <v>0</v>
          </cell>
          <cell r="R1817">
            <v>2630000</v>
          </cell>
          <cell r="S1817">
            <v>0</v>
          </cell>
          <cell r="T1817">
            <v>2630000</v>
          </cell>
          <cell r="U1817">
            <v>0</v>
          </cell>
          <cell r="V1817">
            <v>2630000</v>
          </cell>
          <cell r="W1817">
            <v>0</v>
          </cell>
          <cell r="X1817">
            <v>2630000</v>
          </cell>
          <cell r="Y1817">
            <v>0</v>
          </cell>
          <cell r="Z1817">
            <v>2630000</v>
          </cell>
          <cell r="AA1817">
            <v>0</v>
          </cell>
          <cell r="AB1817">
            <v>0</v>
          </cell>
          <cell r="AC1817">
            <v>0</v>
          </cell>
          <cell r="AD1817">
            <v>7.1</v>
          </cell>
          <cell r="AE1817">
            <v>0</v>
          </cell>
          <cell r="AF1817">
            <v>0</v>
          </cell>
          <cell r="AG1817">
            <v>0</v>
          </cell>
          <cell r="AH1817">
            <v>0</v>
          </cell>
          <cell r="AI1817">
            <v>0</v>
          </cell>
          <cell r="AJ1817">
            <v>0</v>
          </cell>
          <cell r="AK1817">
            <v>0</v>
          </cell>
          <cell r="AL1817">
            <v>0</v>
          </cell>
        </row>
        <row r="1818">
          <cell r="E1818" t="str">
            <v>TR3φ60Hz 500KVA</v>
          </cell>
          <cell r="F1818" t="str">
            <v>台</v>
          </cell>
          <cell r="G1818">
            <v>0</v>
          </cell>
          <cell r="H1818">
            <v>4210000</v>
          </cell>
          <cell r="I1818">
            <v>0</v>
          </cell>
          <cell r="J1818">
            <v>4210000</v>
          </cell>
          <cell r="K1818">
            <v>0</v>
          </cell>
          <cell r="L1818">
            <v>4210000</v>
          </cell>
          <cell r="M1818">
            <v>0</v>
          </cell>
          <cell r="N1818">
            <v>4210000</v>
          </cell>
          <cell r="O1818">
            <v>0</v>
          </cell>
          <cell r="P1818">
            <v>4210000</v>
          </cell>
          <cell r="Q1818">
            <v>0</v>
          </cell>
          <cell r="R1818">
            <v>4210000</v>
          </cell>
          <cell r="S1818">
            <v>0</v>
          </cell>
          <cell r="T1818">
            <v>4210000</v>
          </cell>
          <cell r="U1818">
            <v>0</v>
          </cell>
          <cell r="V1818">
            <v>4210000</v>
          </cell>
          <cell r="W1818">
            <v>0</v>
          </cell>
          <cell r="X1818">
            <v>4210000</v>
          </cell>
          <cell r="Y1818">
            <v>0</v>
          </cell>
          <cell r="Z1818">
            <v>4210000</v>
          </cell>
          <cell r="AA1818">
            <v>0</v>
          </cell>
          <cell r="AB1818">
            <v>0</v>
          </cell>
          <cell r="AC1818">
            <v>0</v>
          </cell>
          <cell r="AD1818">
            <v>8.74</v>
          </cell>
          <cell r="AE1818">
            <v>0</v>
          </cell>
          <cell r="AF1818">
            <v>0</v>
          </cell>
          <cell r="AG1818">
            <v>0</v>
          </cell>
          <cell r="AH1818">
            <v>0</v>
          </cell>
          <cell r="AI1818">
            <v>0</v>
          </cell>
          <cell r="AJ1818">
            <v>0</v>
          </cell>
          <cell r="AK1818">
            <v>0</v>
          </cell>
          <cell r="AL1818">
            <v>0</v>
          </cell>
        </row>
        <row r="1819">
          <cell r="E1819" t="str">
            <v>TR3φ60Hz 750KVA</v>
          </cell>
          <cell r="F1819" t="str">
            <v>台</v>
          </cell>
          <cell r="G1819">
            <v>0</v>
          </cell>
          <cell r="H1819">
            <v>4325000</v>
          </cell>
          <cell r="I1819">
            <v>0</v>
          </cell>
          <cell r="J1819">
            <v>4325000</v>
          </cell>
          <cell r="K1819">
            <v>0</v>
          </cell>
          <cell r="L1819">
            <v>4325000</v>
          </cell>
          <cell r="M1819">
            <v>0</v>
          </cell>
          <cell r="N1819">
            <v>4325000</v>
          </cell>
          <cell r="O1819">
            <v>0</v>
          </cell>
          <cell r="P1819">
            <v>4325000</v>
          </cell>
          <cell r="Q1819">
            <v>0</v>
          </cell>
          <cell r="R1819">
            <v>4325000</v>
          </cell>
          <cell r="S1819">
            <v>0</v>
          </cell>
          <cell r="T1819">
            <v>4325000</v>
          </cell>
          <cell r="U1819">
            <v>0</v>
          </cell>
          <cell r="V1819">
            <v>4325000</v>
          </cell>
          <cell r="W1819">
            <v>0</v>
          </cell>
          <cell r="X1819">
            <v>4325000</v>
          </cell>
          <cell r="Y1819">
            <v>0</v>
          </cell>
          <cell r="Z1819">
            <v>4325000</v>
          </cell>
          <cell r="AA1819">
            <v>0</v>
          </cell>
          <cell r="AB1819">
            <v>0</v>
          </cell>
          <cell r="AC1819">
            <v>0</v>
          </cell>
          <cell r="AD1819">
            <v>8.74</v>
          </cell>
          <cell r="AE1819">
            <v>0</v>
          </cell>
          <cell r="AF1819">
            <v>0</v>
          </cell>
          <cell r="AG1819">
            <v>0</v>
          </cell>
          <cell r="AH1819">
            <v>0</v>
          </cell>
          <cell r="AI1819">
            <v>0</v>
          </cell>
          <cell r="AJ1819">
            <v>0</v>
          </cell>
          <cell r="AK1819">
            <v>0</v>
          </cell>
          <cell r="AL1819">
            <v>0</v>
          </cell>
        </row>
        <row r="1820">
          <cell r="E1820" t="str">
            <v>TR3φ60Hz1000KVA</v>
          </cell>
          <cell r="F1820" t="str">
            <v>台</v>
          </cell>
          <cell r="G1820">
            <v>0</v>
          </cell>
          <cell r="H1820">
            <v>4808000</v>
          </cell>
          <cell r="I1820">
            <v>0</v>
          </cell>
          <cell r="J1820">
            <v>4808000</v>
          </cell>
          <cell r="K1820">
            <v>0</v>
          </cell>
          <cell r="L1820">
            <v>4808000</v>
          </cell>
          <cell r="M1820">
            <v>0</v>
          </cell>
          <cell r="N1820">
            <v>4808000</v>
          </cell>
          <cell r="O1820">
            <v>0</v>
          </cell>
          <cell r="P1820">
            <v>4808000</v>
          </cell>
          <cell r="Q1820">
            <v>0</v>
          </cell>
          <cell r="R1820">
            <v>4808000</v>
          </cell>
          <cell r="S1820">
            <v>0</v>
          </cell>
          <cell r="T1820">
            <v>4808000</v>
          </cell>
          <cell r="U1820">
            <v>0</v>
          </cell>
          <cell r="V1820">
            <v>4808000</v>
          </cell>
          <cell r="W1820">
            <v>0</v>
          </cell>
          <cell r="X1820">
            <v>4808000</v>
          </cell>
          <cell r="Y1820">
            <v>0</v>
          </cell>
          <cell r="Z1820">
            <v>4808000</v>
          </cell>
          <cell r="AA1820">
            <v>0</v>
          </cell>
          <cell r="AB1820">
            <v>0</v>
          </cell>
          <cell r="AC1820">
            <v>0</v>
          </cell>
          <cell r="AD1820">
            <v>8.74</v>
          </cell>
          <cell r="AE1820">
            <v>0</v>
          </cell>
          <cell r="AF1820">
            <v>0</v>
          </cell>
          <cell r="AG1820">
            <v>0</v>
          </cell>
          <cell r="AH1820">
            <v>0</v>
          </cell>
          <cell r="AI1820">
            <v>0</v>
          </cell>
          <cell r="AJ1820">
            <v>0</v>
          </cell>
          <cell r="AK1820">
            <v>0</v>
          </cell>
          <cell r="AL1820">
            <v>0</v>
          </cell>
        </row>
        <row r="1821">
          <cell r="E1821" t="str">
            <v>TR3φ60Hz1500KVA</v>
          </cell>
          <cell r="F1821" t="str">
            <v>台</v>
          </cell>
          <cell r="G1821">
            <v>0</v>
          </cell>
          <cell r="H1821">
            <v>6011000</v>
          </cell>
          <cell r="I1821">
            <v>0</v>
          </cell>
          <cell r="J1821">
            <v>6011000</v>
          </cell>
          <cell r="K1821">
            <v>0</v>
          </cell>
          <cell r="L1821">
            <v>6011000</v>
          </cell>
          <cell r="M1821">
            <v>0</v>
          </cell>
          <cell r="N1821">
            <v>6011000</v>
          </cell>
          <cell r="O1821">
            <v>0</v>
          </cell>
          <cell r="P1821">
            <v>6011000</v>
          </cell>
          <cell r="Q1821">
            <v>0</v>
          </cell>
          <cell r="R1821">
            <v>6011000</v>
          </cell>
          <cell r="S1821">
            <v>0</v>
          </cell>
          <cell r="T1821">
            <v>6011000</v>
          </cell>
          <cell r="U1821">
            <v>0</v>
          </cell>
          <cell r="V1821">
            <v>6011000</v>
          </cell>
          <cell r="W1821">
            <v>0</v>
          </cell>
          <cell r="X1821">
            <v>6011000</v>
          </cell>
          <cell r="Y1821">
            <v>0</v>
          </cell>
          <cell r="Z1821">
            <v>6011000</v>
          </cell>
          <cell r="AA1821">
            <v>0</v>
          </cell>
          <cell r="AB1821">
            <v>0</v>
          </cell>
          <cell r="AC1821">
            <v>0</v>
          </cell>
          <cell r="AD1821">
            <v>8.74</v>
          </cell>
          <cell r="AE1821">
            <v>0</v>
          </cell>
          <cell r="AF1821">
            <v>0</v>
          </cell>
          <cell r="AG1821">
            <v>0</v>
          </cell>
          <cell r="AH1821">
            <v>0</v>
          </cell>
          <cell r="AI1821">
            <v>0</v>
          </cell>
          <cell r="AJ1821">
            <v>0</v>
          </cell>
          <cell r="AK1821">
            <v>0</v>
          </cell>
          <cell r="AL1821">
            <v>0</v>
          </cell>
        </row>
        <row r="1822">
          <cell r="E1822" t="str">
            <v>50Hz SC 10 Kvar 6%</v>
          </cell>
          <cell r="F1822" t="str">
            <v>台</v>
          </cell>
          <cell r="G1822">
            <v>0</v>
          </cell>
          <cell r="H1822">
            <v>59800</v>
          </cell>
          <cell r="I1822">
            <v>0</v>
          </cell>
          <cell r="J1822">
            <v>59800</v>
          </cell>
          <cell r="K1822">
            <v>0</v>
          </cell>
          <cell r="L1822">
            <v>59800</v>
          </cell>
          <cell r="M1822">
            <v>0</v>
          </cell>
          <cell r="N1822">
            <v>59800</v>
          </cell>
          <cell r="O1822">
            <v>0</v>
          </cell>
          <cell r="P1822">
            <v>59800</v>
          </cell>
          <cell r="Q1822">
            <v>0</v>
          </cell>
          <cell r="R1822">
            <v>59800</v>
          </cell>
          <cell r="S1822">
            <v>0</v>
          </cell>
          <cell r="T1822">
            <v>59800</v>
          </cell>
          <cell r="U1822">
            <v>0</v>
          </cell>
          <cell r="V1822">
            <v>59800</v>
          </cell>
          <cell r="W1822">
            <v>0</v>
          </cell>
          <cell r="X1822">
            <v>59800</v>
          </cell>
          <cell r="Y1822">
            <v>0</v>
          </cell>
          <cell r="Z1822">
            <v>59800</v>
          </cell>
          <cell r="AA1822">
            <v>0</v>
          </cell>
          <cell r="AB1822">
            <v>0</v>
          </cell>
          <cell r="AC1822">
            <v>0</v>
          </cell>
          <cell r="AD1822">
            <v>0.496</v>
          </cell>
          <cell r="AE1822">
            <v>0</v>
          </cell>
          <cell r="AF1822">
            <v>0</v>
          </cell>
          <cell r="AG1822">
            <v>0</v>
          </cell>
          <cell r="AH1822">
            <v>0</v>
          </cell>
          <cell r="AI1822">
            <v>0</v>
          </cell>
          <cell r="AJ1822">
            <v>0</v>
          </cell>
          <cell r="AK1822">
            <v>0</v>
          </cell>
          <cell r="AL1822">
            <v>0</v>
          </cell>
        </row>
        <row r="1823">
          <cell r="E1823" t="str">
            <v>50Hz SC 15 Kvar 6%</v>
          </cell>
          <cell r="F1823" t="str">
            <v>台</v>
          </cell>
          <cell r="G1823">
            <v>0</v>
          </cell>
          <cell r="H1823">
            <v>37500</v>
          </cell>
          <cell r="I1823">
            <v>0</v>
          </cell>
          <cell r="J1823">
            <v>37500</v>
          </cell>
          <cell r="K1823">
            <v>0</v>
          </cell>
          <cell r="L1823">
            <v>37500</v>
          </cell>
          <cell r="M1823">
            <v>0</v>
          </cell>
          <cell r="N1823">
            <v>37500</v>
          </cell>
          <cell r="O1823">
            <v>0</v>
          </cell>
          <cell r="P1823">
            <v>37500</v>
          </cell>
          <cell r="Q1823">
            <v>0</v>
          </cell>
          <cell r="R1823">
            <v>37500</v>
          </cell>
          <cell r="S1823">
            <v>0</v>
          </cell>
          <cell r="T1823">
            <v>37500</v>
          </cell>
          <cell r="U1823">
            <v>0</v>
          </cell>
          <cell r="V1823">
            <v>37500</v>
          </cell>
          <cell r="W1823">
            <v>0</v>
          </cell>
          <cell r="X1823">
            <v>37500</v>
          </cell>
          <cell r="Y1823">
            <v>0</v>
          </cell>
          <cell r="Z1823">
            <v>37500</v>
          </cell>
          <cell r="AA1823">
            <v>0</v>
          </cell>
          <cell r="AB1823">
            <v>0</v>
          </cell>
          <cell r="AC1823">
            <v>0</v>
          </cell>
          <cell r="AD1823">
            <v>0.60199999999999998</v>
          </cell>
          <cell r="AE1823">
            <v>0</v>
          </cell>
          <cell r="AF1823">
            <v>0</v>
          </cell>
          <cell r="AG1823">
            <v>0</v>
          </cell>
          <cell r="AH1823">
            <v>0</v>
          </cell>
          <cell r="AI1823">
            <v>0</v>
          </cell>
          <cell r="AJ1823">
            <v>0</v>
          </cell>
          <cell r="AK1823">
            <v>0</v>
          </cell>
          <cell r="AL1823">
            <v>0</v>
          </cell>
        </row>
        <row r="1824">
          <cell r="E1824" t="str">
            <v>50Hz SC 20 Kvar 6%</v>
          </cell>
          <cell r="F1824" t="str">
            <v>台</v>
          </cell>
          <cell r="G1824">
            <v>0</v>
          </cell>
          <cell r="H1824">
            <v>77300</v>
          </cell>
          <cell r="I1824">
            <v>0</v>
          </cell>
          <cell r="J1824">
            <v>77300</v>
          </cell>
          <cell r="K1824">
            <v>0</v>
          </cell>
          <cell r="L1824">
            <v>77300</v>
          </cell>
          <cell r="M1824">
            <v>0</v>
          </cell>
          <cell r="N1824">
            <v>77300</v>
          </cell>
          <cell r="O1824">
            <v>0</v>
          </cell>
          <cell r="P1824">
            <v>77300</v>
          </cell>
          <cell r="Q1824">
            <v>0</v>
          </cell>
          <cell r="R1824">
            <v>77300</v>
          </cell>
          <cell r="S1824">
            <v>0</v>
          </cell>
          <cell r="T1824">
            <v>77300</v>
          </cell>
          <cell r="U1824">
            <v>0</v>
          </cell>
          <cell r="V1824">
            <v>77300</v>
          </cell>
          <cell r="W1824">
            <v>0</v>
          </cell>
          <cell r="X1824">
            <v>77300</v>
          </cell>
          <cell r="Y1824">
            <v>0</v>
          </cell>
          <cell r="Z1824">
            <v>77300</v>
          </cell>
          <cell r="AA1824">
            <v>0</v>
          </cell>
          <cell r="AB1824">
            <v>0</v>
          </cell>
          <cell r="AC1824">
            <v>0</v>
          </cell>
          <cell r="AD1824">
            <v>0.88400000000000001</v>
          </cell>
          <cell r="AE1824">
            <v>0</v>
          </cell>
          <cell r="AF1824">
            <v>0</v>
          </cell>
          <cell r="AG1824">
            <v>0</v>
          </cell>
          <cell r="AH1824">
            <v>0</v>
          </cell>
          <cell r="AI1824">
            <v>0</v>
          </cell>
          <cell r="AJ1824">
            <v>0</v>
          </cell>
          <cell r="AK1824">
            <v>0</v>
          </cell>
          <cell r="AL1824">
            <v>0</v>
          </cell>
        </row>
        <row r="1825">
          <cell r="E1825" t="str">
            <v>50Hz SC 25 Kvar 6%</v>
          </cell>
          <cell r="F1825" t="str">
            <v>台</v>
          </cell>
          <cell r="G1825">
            <v>0</v>
          </cell>
          <cell r="H1825">
            <v>85000</v>
          </cell>
          <cell r="I1825">
            <v>0</v>
          </cell>
          <cell r="J1825">
            <v>85000</v>
          </cell>
          <cell r="K1825">
            <v>0</v>
          </cell>
          <cell r="L1825">
            <v>85000</v>
          </cell>
          <cell r="M1825">
            <v>0</v>
          </cell>
          <cell r="N1825">
            <v>85000</v>
          </cell>
          <cell r="O1825">
            <v>0</v>
          </cell>
          <cell r="P1825">
            <v>85000</v>
          </cell>
          <cell r="Q1825">
            <v>0</v>
          </cell>
          <cell r="R1825">
            <v>85000</v>
          </cell>
          <cell r="S1825">
            <v>0</v>
          </cell>
          <cell r="T1825">
            <v>85000</v>
          </cell>
          <cell r="U1825">
            <v>0</v>
          </cell>
          <cell r="V1825">
            <v>85000</v>
          </cell>
          <cell r="W1825">
            <v>0</v>
          </cell>
          <cell r="X1825">
            <v>85000</v>
          </cell>
          <cell r="Y1825">
            <v>0</v>
          </cell>
          <cell r="Z1825">
            <v>85000</v>
          </cell>
          <cell r="AA1825">
            <v>0</v>
          </cell>
          <cell r="AB1825">
            <v>0</v>
          </cell>
          <cell r="AC1825">
            <v>0</v>
          </cell>
          <cell r="AD1825">
            <v>1.1160000000000001</v>
          </cell>
          <cell r="AE1825">
            <v>0</v>
          </cell>
          <cell r="AF1825">
            <v>0</v>
          </cell>
          <cell r="AG1825">
            <v>0</v>
          </cell>
          <cell r="AH1825">
            <v>0</v>
          </cell>
          <cell r="AI1825">
            <v>0</v>
          </cell>
          <cell r="AJ1825">
            <v>0</v>
          </cell>
          <cell r="AK1825">
            <v>0</v>
          </cell>
          <cell r="AL1825">
            <v>0</v>
          </cell>
        </row>
        <row r="1826">
          <cell r="E1826" t="str">
            <v>50Hz SC 30 Kvar 6%</v>
          </cell>
          <cell r="F1826" t="str">
            <v>台</v>
          </cell>
          <cell r="G1826">
            <v>0</v>
          </cell>
          <cell r="H1826">
            <v>91700</v>
          </cell>
          <cell r="I1826">
            <v>0</v>
          </cell>
          <cell r="J1826">
            <v>91700</v>
          </cell>
          <cell r="K1826">
            <v>0</v>
          </cell>
          <cell r="L1826">
            <v>91700</v>
          </cell>
          <cell r="M1826">
            <v>0</v>
          </cell>
          <cell r="N1826">
            <v>91700</v>
          </cell>
          <cell r="O1826">
            <v>0</v>
          </cell>
          <cell r="P1826">
            <v>91700</v>
          </cell>
          <cell r="Q1826">
            <v>0</v>
          </cell>
          <cell r="R1826">
            <v>91700</v>
          </cell>
          <cell r="S1826">
            <v>0</v>
          </cell>
          <cell r="T1826">
            <v>91700</v>
          </cell>
          <cell r="U1826">
            <v>0</v>
          </cell>
          <cell r="V1826">
            <v>91700</v>
          </cell>
          <cell r="W1826">
            <v>0</v>
          </cell>
          <cell r="X1826">
            <v>91700</v>
          </cell>
          <cell r="Y1826">
            <v>0</v>
          </cell>
          <cell r="Z1826">
            <v>91700</v>
          </cell>
          <cell r="AA1826">
            <v>0</v>
          </cell>
          <cell r="AB1826">
            <v>0</v>
          </cell>
          <cell r="AC1826">
            <v>0</v>
          </cell>
          <cell r="AD1826">
            <v>1.1499999999999999</v>
          </cell>
          <cell r="AE1826">
            <v>0</v>
          </cell>
          <cell r="AF1826">
            <v>0</v>
          </cell>
          <cell r="AG1826">
            <v>0</v>
          </cell>
          <cell r="AH1826">
            <v>0</v>
          </cell>
          <cell r="AI1826">
            <v>0</v>
          </cell>
          <cell r="AJ1826">
            <v>0</v>
          </cell>
          <cell r="AK1826">
            <v>0</v>
          </cell>
          <cell r="AL1826">
            <v>0</v>
          </cell>
        </row>
        <row r="1827">
          <cell r="E1827" t="str">
            <v>50Hz SC 50 Kvar 6%</v>
          </cell>
          <cell r="F1827" t="str">
            <v>台</v>
          </cell>
          <cell r="G1827">
            <v>0</v>
          </cell>
          <cell r="H1827">
            <v>128000</v>
          </cell>
          <cell r="I1827">
            <v>0</v>
          </cell>
          <cell r="J1827">
            <v>128000</v>
          </cell>
          <cell r="K1827">
            <v>0</v>
          </cell>
          <cell r="L1827">
            <v>128000</v>
          </cell>
          <cell r="M1827">
            <v>0</v>
          </cell>
          <cell r="N1827">
            <v>128000</v>
          </cell>
          <cell r="O1827">
            <v>0</v>
          </cell>
          <cell r="P1827">
            <v>128000</v>
          </cell>
          <cell r="Q1827">
            <v>0</v>
          </cell>
          <cell r="R1827">
            <v>128000</v>
          </cell>
          <cell r="S1827">
            <v>0</v>
          </cell>
          <cell r="T1827">
            <v>128000</v>
          </cell>
          <cell r="U1827">
            <v>0</v>
          </cell>
          <cell r="V1827">
            <v>128000</v>
          </cell>
          <cell r="W1827">
            <v>0</v>
          </cell>
          <cell r="X1827">
            <v>128000</v>
          </cell>
          <cell r="Y1827">
            <v>0</v>
          </cell>
          <cell r="Z1827">
            <v>128000</v>
          </cell>
          <cell r="AA1827">
            <v>0</v>
          </cell>
          <cell r="AB1827">
            <v>0</v>
          </cell>
          <cell r="AC1827">
            <v>0</v>
          </cell>
          <cell r="AD1827">
            <v>1.31</v>
          </cell>
          <cell r="AE1827">
            <v>0</v>
          </cell>
          <cell r="AF1827">
            <v>0</v>
          </cell>
          <cell r="AG1827">
            <v>0</v>
          </cell>
          <cell r="AH1827">
            <v>0</v>
          </cell>
          <cell r="AI1827">
            <v>0</v>
          </cell>
          <cell r="AJ1827">
            <v>0</v>
          </cell>
          <cell r="AK1827">
            <v>0</v>
          </cell>
          <cell r="AL1827">
            <v>0</v>
          </cell>
        </row>
        <row r="1828">
          <cell r="E1828" t="str">
            <v>50Hz SC 75 Kvar 6%</v>
          </cell>
          <cell r="F1828" t="str">
            <v>台</v>
          </cell>
          <cell r="G1828">
            <v>0</v>
          </cell>
          <cell r="H1828">
            <v>159000</v>
          </cell>
          <cell r="I1828">
            <v>0</v>
          </cell>
          <cell r="J1828">
            <v>159000</v>
          </cell>
          <cell r="K1828">
            <v>0</v>
          </cell>
          <cell r="L1828">
            <v>159000</v>
          </cell>
          <cell r="M1828">
            <v>0</v>
          </cell>
          <cell r="N1828">
            <v>159000</v>
          </cell>
          <cell r="O1828">
            <v>0</v>
          </cell>
          <cell r="P1828">
            <v>159000</v>
          </cell>
          <cell r="Q1828">
            <v>0</v>
          </cell>
          <cell r="R1828">
            <v>159000</v>
          </cell>
          <cell r="S1828">
            <v>0</v>
          </cell>
          <cell r="T1828">
            <v>159000</v>
          </cell>
          <cell r="U1828">
            <v>0</v>
          </cell>
          <cell r="V1828">
            <v>159000</v>
          </cell>
          <cell r="W1828">
            <v>0</v>
          </cell>
          <cell r="X1828">
            <v>159000</v>
          </cell>
          <cell r="Y1828">
            <v>0</v>
          </cell>
          <cell r="Z1828">
            <v>159000</v>
          </cell>
          <cell r="AA1828">
            <v>0</v>
          </cell>
          <cell r="AB1828">
            <v>0</v>
          </cell>
          <cell r="AC1828">
            <v>0</v>
          </cell>
          <cell r="AD1828">
            <v>2.2599999999999998</v>
          </cell>
          <cell r="AE1828">
            <v>0</v>
          </cell>
          <cell r="AF1828">
            <v>0</v>
          </cell>
          <cell r="AG1828">
            <v>0</v>
          </cell>
          <cell r="AH1828">
            <v>0</v>
          </cell>
          <cell r="AI1828">
            <v>0</v>
          </cell>
          <cell r="AJ1828">
            <v>0</v>
          </cell>
          <cell r="AK1828">
            <v>0</v>
          </cell>
          <cell r="AL1828">
            <v>0</v>
          </cell>
        </row>
        <row r="1829">
          <cell r="E1829" t="str">
            <v>50Hz SC100 Kvar 6%</v>
          </cell>
          <cell r="F1829" t="str">
            <v>台</v>
          </cell>
          <cell r="G1829">
            <v>0</v>
          </cell>
          <cell r="H1829">
            <v>186000</v>
          </cell>
          <cell r="I1829">
            <v>0</v>
          </cell>
          <cell r="J1829">
            <v>186000</v>
          </cell>
          <cell r="K1829">
            <v>0</v>
          </cell>
          <cell r="L1829">
            <v>186000</v>
          </cell>
          <cell r="M1829">
            <v>0</v>
          </cell>
          <cell r="N1829">
            <v>186000</v>
          </cell>
          <cell r="O1829">
            <v>0</v>
          </cell>
          <cell r="P1829">
            <v>186000</v>
          </cell>
          <cell r="Q1829">
            <v>0</v>
          </cell>
          <cell r="R1829">
            <v>186000</v>
          </cell>
          <cell r="S1829">
            <v>0</v>
          </cell>
          <cell r="T1829">
            <v>186000</v>
          </cell>
          <cell r="U1829">
            <v>0</v>
          </cell>
          <cell r="V1829">
            <v>186000</v>
          </cell>
          <cell r="W1829">
            <v>0</v>
          </cell>
          <cell r="X1829">
            <v>186000</v>
          </cell>
          <cell r="Y1829">
            <v>0</v>
          </cell>
          <cell r="Z1829">
            <v>186000</v>
          </cell>
          <cell r="AA1829">
            <v>0</v>
          </cell>
          <cell r="AB1829">
            <v>0</v>
          </cell>
          <cell r="AC1829">
            <v>0</v>
          </cell>
          <cell r="AD1829">
            <v>2.52</v>
          </cell>
          <cell r="AE1829">
            <v>0</v>
          </cell>
          <cell r="AF1829">
            <v>0</v>
          </cell>
          <cell r="AG1829">
            <v>0</v>
          </cell>
          <cell r="AH1829">
            <v>0</v>
          </cell>
          <cell r="AI1829">
            <v>0</v>
          </cell>
          <cell r="AJ1829">
            <v>0</v>
          </cell>
          <cell r="AK1829">
            <v>0</v>
          </cell>
          <cell r="AL1829">
            <v>0</v>
          </cell>
        </row>
        <row r="1830">
          <cell r="E1830" t="str">
            <v>50Hz SC150 Kvar 6%</v>
          </cell>
          <cell r="F1830" t="str">
            <v>台</v>
          </cell>
          <cell r="G1830">
            <v>0</v>
          </cell>
          <cell r="H1830">
            <v>253000</v>
          </cell>
          <cell r="I1830">
            <v>0</v>
          </cell>
          <cell r="J1830">
            <v>253000</v>
          </cell>
          <cell r="K1830">
            <v>0</v>
          </cell>
          <cell r="L1830">
            <v>253000</v>
          </cell>
          <cell r="M1830">
            <v>0</v>
          </cell>
          <cell r="N1830">
            <v>253000</v>
          </cell>
          <cell r="O1830">
            <v>0</v>
          </cell>
          <cell r="P1830">
            <v>253000</v>
          </cell>
          <cell r="Q1830">
            <v>0</v>
          </cell>
          <cell r="R1830">
            <v>253000</v>
          </cell>
          <cell r="S1830">
            <v>0</v>
          </cell>
          <cell r="T1830">
            <v>253000</v>
          </cell>
          <cell r="U1830">
            <v>0</v>
          </cell>
          <cell r="V1830">
            <v>253000</v>
          </cell>
          <cell r="W1830">
            <v>0</v>
          </cell>
          <cell r="X1830">
            <v>253000</v>
          </cell>
          <cell r="Y1830">
            <v>0</v>
          </cell>
          <cell r="Z1830">
            <v>253000</v>
          </cell>
          <cell r="AA1830">
            <v>0</v>
          </cell>
          <cell r="AB1830">
            <v>0</v>
          </cell>
          <cell r="AC1830">
            <v>0</v>
          </cell>
          <cell r="AD1830">
            <v>3.18</v>
          </cell>
          <cell r="AE1830">
            <v>0</v>
          </cell>
          <cell r="AF1830">
            <v>0</v>
          </cell>
          <cell r="AG1830">
            <v>0</v>
          </cell>
          <cell r="AH1830">
            <v>0</v>
          </cell>
          <cell r="AI1830">
            <v>0</v>
          </cell>
          <cell r="AJ1830">
            <v>0</v>
          </cell>
          <cell r="AK1830">
            <v>0</v>
          </cell>
          <cell r="AL1830">
            <v>0</v>
          </cell>
        </row>
        <row r="1831">
          <cell r="E1831" t="str">
            <v>50Hz SC200 Kvar 6%</v>
          </cell>
          <cell r="F1831" t="str">
            <v>台</v>
          </cell>
          <cell r="G1831">
            <v>0</v>
          </cell>
          <cell r="H1831">
            <v>323000</v>
          </cell>
          <cell r="I1831">
            <v>0</v>
          </cell>
          <cell r="J1831">
            <v>323000</v>
          </cell>
          <cell r="K1831">
            <v>0</v>
          </cell>
          <cell r="L1831">
            <v>323000</v>
          </cell>
          <cell r="M1831">
            <v>0</v>
          </cell>
          <cell r="N1831">
            <v>323000</v>
          </cell>
          <cell r="O1831">
            <v>0</v>
          </cell>
          <cell r="P1831">
            <v>323000</v>
          </cell>
          <cell r="Q1831">
            <v>0</v>
          </cell>
          <cell r="R1831">
            <v>323000</v>
          </cell>
          <cell r="S1831">
            <v>0</v>
          </cell>
          <cell r="T1831">
            <v>323000</v>
          </cell>
          <cell r="U1831">
            <v>0</v>
          </cell>
          <cell r="V1831">
            <v>323000</v>
          </cell>
          <cell r="W1831">
            <v>0</v>
          </cell>
          <cell r="X1831">
            <v>323000</v>
          </cell>
          <cell r="Y1831">
            <v>0</v>
          </cell>
          <cell r="Z1831">
            <v>323000</v>
          </cell>
          <cell r="AA1831">
            <v>0</v>
          </cell>
          <cell r="AB1831">
            <v>0</v>
          </cell>
          <cell r="AC1831">
            <v>0</v>
          </cell>
          <cell r="AD1831">
            <v>3.56</v>
          </cell>
          <cell r="AE1831">
            <v>0</v>
          </cell>
          <cell r="AF1831">
            <v>0</v>
          </cell>
          <cell r="AG1831">
            <v>0</v>
          </cell>
          <cell r="AH1831">
            <v>0</v>
          </cell>
          <cell r="AI1831">
            <v>0</v>
          </cell>
          <cell r="AJ1831">
            <v>0</v>
          </cell>
          <cell r="AK1831">
            <v>0</v>
          </cell>
          <cell r="AL1831">
            <v>0</v>
          </cell>
        </row>
        <row r="1832">
          <cell r="E1832" t="str">
            <v>50Hz SC250 Kvar 6%</v>
          </cell>
          <cell r="F1832" t="str">
            <v>台</v>
          </cell>
          <cell r="G1832">
            <v>0</v>
          </cell>
          <cell r="H1832">
            <v>403000</v>
          </cell>
          <cell r="I1832">
            <v>0</v>
          </cell>
          <cell r="J1832">
            <v>403000</v>
          </cell>
          <cell r="K1832">
            <v>0</v>
          </cell>
          <cell r="L1832">
            <v>403000</v>
          </cell>
          <cell r="M1832">
            <v>0</v>
          </cell>
          <cell r="N1832">
            <v>403000</v>
          </cell>
          <cell r="O1832">
            <v>0</v>
          </cell>
          <cell r="P1832">
            <v>403000</v>
          </cell>
          <cell r="Q1832">
            <v>0</v>
          </cell>
          <cell r="R1832">
            <v>403000</v>
          </cell>
          <cell r="S1832">
            <v>0</v>
          </cell>
          <cell r="T1832">
            <v>403000</v>
          </cell>
          <cell r="U1832">
            <v>0</v>
          </cell>
          <cell r="V1832">
            <v>403000</v>
          </cell>
          <cell r="W1832">
            <v>0</v>
          </cell>
          <cell r="X1832">
            <v>403000</v>
          </cell>
          <cell r="Y1832">
            <v>0</v>
          </cell>
          <cell r="Z1832">
            <v>403000</v>
          </cell>
          <cell r="AA1832">
            <v>0</v>
          </cell>
          <cell r="AB1832">
            <v>0</v>
          </cell>
          <cell r="AC1832">
            <v>0</v>
          </cell>
          <cell r="AD1832">
            <v>4.4939999999999998</v>
          </cell>
          <cell r="AE1832">
            <v>0</v>
          </cell>
          <cell r="AF1832">
            <v>0</v>
          </cell>
          <cell r="AG1832">
            <v>0</v>
          </cell>
          <cell r="AH1832">
            <v>0</v>
          </cell>
          <cell r="AI1832">
            <v>0</v>
          </cell>
          <cell r="AJ1832">
            <v>0</v>
          </cell>
          <cell r="AK1832">
            <v>0</v>
          </cell>
          <cell r="AL1832">
            <v>0</v>
          </cell>
        </row>
        <row r="1833">
          <cell r="E1833" t="str">
            <v>50Hz SC300 Kvar 6%</v>
          </cell>
          <cell r="F1833" t="str">
            <v>台</v>
          </cell>
          <cell r="G1833">
            <v>0</v>
          </cell>
          <cell r="H1833">
            <v>480000</v>
          </cell>
          <cell r="I1833">
            <v>0</v>
          </cell>
          <cell r="J1833">
            <v>480000</v>
          </cell>
          <cell r="K1833">
            <v>0</v>
          </cell>
          <cell r="L1833">
            <v>480000</v>
          </cell>
          <cell r="M1833">
            <v>0</v>
          </cell>
          <cell r="N1833">
            <v>480000</v>
          </cell>
          <cell r="O1833">
            <v>0</v>
          </cell>
          <cell r="P1833">
            <v>480000</v>
          </cell>
          <cell r="Q1833">
            <v>0</v>
          </cell>
          <cell r="R1833">
            <v>480000</v>
          </cell>
          <cell r="S1833">
            <v>0</v>
          </cell>
          <cell r="T1833">
            <v>480000</v>
          </cell>
          <cell r="U1833">
            <v>0</v>
          </cell>
          <cell r="V1833">
            <v>480000</v>
          </cell>
          <cell r="W1833">
            <v>0</v>
          </cell>
          <cell r="X1833">
            <v>480000</v>
          </cell>
          <cell r="Y1833">
            <v>0</v>
          </cell>
          <cell r="Z1833">
            <v>480000</v>
          </cell>
          <cell r="AA1833">
            <v>0</v>
          </cell>
          <cell r="AB1833">
            <v>0</v>
          </cell>
          <cell r="AC1833">
            <v>0</v>
          </cell>
          <cell r="AD1833">
            <v>4.63</v>
          </cell>
          <cell r="AE1833">
            <v>0</v>
          </cell>
          <cell r="AF1833">
            <v>0</v>
          </cell>
          <cell r="AG1833">
            <v>0</v>
          </cell>
          <cell r="AH1833">
            <v>0</v>
          </cell>
          <cell r="AI1833">
            <v>0</v>
          </cell>
          <cell r="AJ1833">
            <v>0</v>
          </cell>
          <cell r="AK1833">
            <v>0</v>
          </cell>
          <cell r="AL1833">
            <v>0</v>
          </cell>
        </row>
        <row r="1834">
          <cell r="E1834" t="str">
            <v>50Hz SC400 Kvar 6%</v>
          </cell>
          <cell r="F1834" t="str">
            <v>台</v>
          </cell>
          <cell r="G1834">
            <v>0</v>
          </cell>
          <cell r="H1834">
            <v>640000</v>
          </cell>
          <cell r="I1834">
            <v>0</v>
          </cell>
          <cell r="J1834">
            <v>640000</v>
          </cell>
          <cell r="K1834">
            <v>0</v>
          </cell>
          <cell r="L1834">
            <v>640000</v>
          </cell>
          <cell r="M1834">
            <v>0</v>
          </cell>
          <cell r="N1834">
            <v>640000</v>
          </cell>
          <cell r="O1834">
            <v>0</v>
          </cell>
          <cell r="P1834">
            <v>640000</v>
          </cell>
          <cell r="Q1834">
            <v>0</v>
          </cell>
          <cell r="R1834">
            <v>640000</v>
          </cell>
          <cell r="S1834">
            <v>0</v>
          </cell>
          <cell r="T1834">
            <v>640000</v>
          </cell>
          <cell r="U1834">
            <v>0</v>
          </cell>
          <cell r="V1834">
            <v>640000</v>
          </cell>
          <cell r="W1834">
            <v>0</v>
          </cell>
          <cell r="X1834">
            <v>640000</v>
          </cell>
          <cell r="Y1834">
            <v>0</v>
          </cell>
          <cell r="Z1834">
            <v>640000</v>
          </cell>
          <cell r="AA1834">
            <v>0</v>
          </cell>
          <cell r="AB1834">
            <v>0</v>
          </cell>
          <cell r="AC1834">
            <v>0</v>
          </cell>
          <cell r="AD1834">
            <v>4.9379999999999997</v>
          </cell>
          <cell r="AE1834">
            <v>0</v>
          </cell>
          <cell r="AF1834">
            <v>0</v>
          </cell>
          <cell r="AG1834">
            <v>0</v>
          </cell>
          <cell r="AH1834">
            <v>0</v>
          </cell>
          <cell r="AI1834">
            <v>0</v>
          </cell>
          <cell r="AJ1834">
            <v>0</v>
          </cell>
          <cell r="AK1834">
            <v>0</v>
          </cell>
          <cell r="AL1834">
            <v>0</v>
          </cell>
        </row>
        <row r="1835">
          <cell r="E1835" t="str">
            <v>50Hz SC500 Kvar 6%</v>
          </cell>
          <cell r="F1835" t="str">
            <v>台</v>
          </cell>
          <cell r="G1835">
            <v>0</v>
          </cell>
          <cell r="H1835">
            <v>800000</v>
          </cell>
          <cell r="I1835">
            <v>0</v>
          </cell>
          <cell r="J1835">
            <v>800000</v>
          </cell>
          <cell r="K1835">
            <v>0</v>
          </cell>
          <cell r="L1835">
            <v>800000</v>
          </cell>
          <cell r="M1835">
            <v>0</v>
          </cell>
          <cell r="N1835">
            <v>800000</v>
          </cell>
          <cell r="O1835">
            <v>0</v>
          </cell>
          <cell r="P1835">
            <v>800000</v>
          </cell>
          <cell r="Q1835">
            <v>0</v>
          </cell>
          <cell r="R1835">
            <v>800000</v>
          </cell>
          <cell r="S1835">
            <v>0</v>
          </cell>
          <cell r="T1835">
            <v>800000</v>
          </cell>
          <cell r="U1835">
            <v>0</v>
          </cell>
          <cell r="V1835">
            <v>800000</v>
          </cell>
          <cell r="W1835">
            <v>0</v>
          </cell>
          <cell r="X1835">
            <v>800000</v>
          </cell>
          <cell r="Y1835">
            <v>0</v>
          </cell>
          <cell r="Z1835">
            <v>800000</v>
          </cell>
          <cell r="AA1835">
            <v>0</v>
          </cell>
          <cell r="AB1835">
            <v>0</v>
          </cell>
          <cell r="AC1835">
            <v>0</v>
          </cell>
          <cell r="AD1835">
            <v>5.274</v>
          </cell>
          <cell r="AE1835">
            <v>0</v>
          </cell>
          <cell r="AF1835">
            <v>0</v>
          </cell>
          <cell r="AG1835">
            <v>0</v>
          </cell>
          <cell r="AH1835">
            <v>0</v>
          </cell>
          <cell r="AI1835">
            <v>0</v>
          </cell>
          <cell r="AJ1835">
            <v>0</v>
          </cell>
          <cell r="AK1835">
            <v>0</v>
          </cell>
          <cell r="AL1835">
            <v>0</v>
          </cell>
        </row>
        <row r="1836">
          <cell r="E1836" t="str">
            <v>60Hz SC 12 Kvar 6%</v>
          </cell>
          <cell r="F1836" t="str">
            <v>台</v>
          </cell>
          <cell r="G1836">
            <v>0</v>
          </cell>
          <cell r="H1836">
            <v>59800</v>
          </cell>
          <cell r="I1836">
            <v>0</v>
          </cell>
          <cell r="J1836">
            <v>59800</v>
          </cell>
          <cell r="K1836">
            <v>0</v>
          </cell>
          <cell r="L1836">
            <v>59800</v>
          </cell>
          <cell r="M1836">
            <v>0</v>
          </cell>
          <cell r="N1836">
            <v>59800</v>
          </cell>
          <cell r="O1836">
            <v>0</v>
          </cell>
          <cell r="P1836">
            <v>59800</v>
          </cell>
          <cell r="Q1836">
            <v>0</v>
          </cell>
          <cell r="R1836">
            <v>59800</v>
          </cell>
          <cell r="S1836">
            <v>0</v>
          </cell>
          <cell r="T1836">
            <v>59800</v>
          </cell>
          <cell r="U1836">
            <v>0</v>
          </cell>
          <cell r="V1836">
            <v>59800</v>
          </cell>
          <cell r="W1836">
            <v>0</v>
          </cell>
          <cell r="X1836">
            <v>59800</v>
          </cell>
          <cell r="Y1836">
            <v>0</v>
          </cell>
          <cell r="Z1836">
            <v>59800</v>
          </cell>
          <cell r="AA1836">
            <v>0</v>
          </cell>
          <cell r="AB1836">
            <v>0</v>
          </cell>
          <cell r="AC1836">
            <v>0</v>
          </cell>
          <cell r="AD1836">
            <v>0.496</v>
          </cell>
          <cell r="AE1836">
            <v>0</v>
          </cell>
          <cell r="AF1836">
            <v>0</v>
          </cell>
          <cell r="AG1836">
            <v>0</v>
          </cell>
          <cell r="AH1836">
            <v>0</v>
          </cell>
          <cell r="AI1836">
            <v>0</v>
          </cell>
          <cell r="AJ1836">
            <v>0</v>
          </cell>
          <cell r="AK1836">
            <v>0</v>
          </cell>
          <cell r="AL1836">
            <v>0</v>
          </cell>
        </row>
        <row r="1837">
          <cell r="E1837" t="str">
            <v>60Hz SC 18 Kvar 6%</v>
          </cell>
          <cell r="F1837" t="str">
            <v>台</v>
          </cell>
          <cell r="G1837">
            <v>0</v>
          </cell>
          <cell r="H1837">
            <v>67500</v>
          </cell>
          <cell r="I1837">
            <v>0</v>
          </cell>
          <cell r="J1837">
            <v>67500</v>
          </cell>
          <cell r="K1837">
            <v>0</v>
          </cell>
          <cell r="L1837">
            <v>67500</v>
          </cell>
          <cell r="M1837">
            <v>0</v>
          </cell>
          <cell r="N1837">
            <v>67500</v>
          </cell>
          <cell r="O1837">
            <v>0</v>
          </cell>
          <cell r="P1837">
            <v>67500</v>
          </cell>
          <cell r="Q1837">
            <v>0</v>
          </cell>
          <cell r="R1837">
            <v>67500</v>
          </cell>
          <cell r="S1837">
            <v>0</v>
          </cell>
          <cell r="T1837">
            <v>67500</v>
          </cell>
          <cell r="U1837">
            <v>0</v>
          </cell>
          <cell r="V1837">
            <v>67500</v>
          </cell>
          <cell r="W1837">
            <v>0</v>
          </cell>
          <cell r="X1837">
            <v>67500</v>
          </cell>
          <cell r="Y1837">
            <v>0</v>
          </cell>
          <cell r="Z1837">
            <v>67500</v>
          </cell>
          <cell r="AA1837">
            <v>0</v>
          </cell>
          <cell r="AB1837">
            <v>0</v>
          </cell>
          <cell r="AC1837">
            <v>0</v>
          </cell>
          <cell r="AD1837">
            <v>0.60199999999999998</v>
          </cell>
          <cell r="AE1837">
            <v>0</v>
          </cell>
          <cell r="AF1837">
            <v>0</v>
          </cell>
          <cell r="AG1837">
            <v>0</v>
          </cell>
          <cell r="AH1837">
            <v>0</v>
          </cell>
          <cell r="AI1837">
            <v>0</v>
          </cell>
          <cell r="AJ1837">
            <v>0</v>
          </cell>
          <cell r="AK1837">
            <v>0</v>
          </cell>
          <cell r="AL1837">
            <v>0</v>
          </cell>
        </row>
        <row r="1838">
          <cell r="E1838" t="str">
            <v>60Hz SC 24 Kvar 6%</v>
          </cell>
          <cell r="F1838" t="str">
            <v>台</v>
          </cell>
          <cell r="G1838">
            <v>0</v>
          </cell>
          <cell r="H1838">
            <v>77300</v>
          </cell>
          <cell r="I1838">
            <v>0</v>
          </cell>
          <cell r="J1838">
            <v>77300</v>
          </cell>
          <cell r="K1838">
            <v>0</v>
          </cell>
          <cell r="L1838">
            <v>77300</v>
          </cell>
          <cell r="M1838">
            <v>0</v>
          </cell>
          <cell r="N1838">
            <v>77300</v>
          </cell>
          <cell r="O1838">
            <v>0</v>
          </cell>
          <cell r="P1838">
            <v>77300</v>
          </cell>
          <cell r="Q1838">
            <v>0</v>
          </cell>
          <cell r="R1838">
            <v>77300</v>
          </cell>
          <cell r="S1838">
            <v>0</v>
          </cell>
          <cell r="T1838">
            <v>77300</v>
          </cell>
          <cell r="U1838">
            <v>0</v>
          </cell>
          <cell r="V1838">
            <v>77300</v>
          </cell>
          <cell r="W1838">
            <v>0</v>
          </cell>
          <cell r="X1838">
            <v>77300</v>
          </cell>
          <cell r="Y1838">
            <v>0</v>
          </cell>
          <cell r="Z1838">
            <v>77300</v>
          </cell>
          <cell r="AA1838">
            <v>0</v>
          </cell>
          <cell r="AB1838">
            <v>0</v>
          </cell>
          <cell r="AC1838">
            <v>0</v>
          </cell>
          <cell r="AD1838">
            <v>0.88400000000000001</v>
          </cell>
          <cell r="AE1838">
            <v>0</v>
          </cell>
          <cell r="AF1838">
            <v>0</v>
          </cell>
          <cell r="AG1838">
            <v>0</v>
          </cell>
          <cell r="AH1838">
            <v>0</v>
          </cell>
          <cell r="AI1838">
            <v>0</v>
          </cell>
          <cell r="AJ1838">
            <v>0</v>
          </cell>
          <cell r="AK1838">
            <v>0</v>
          </cell>
          <cell r="AL1838">
            <v>0</v>
          </cell>
        </row>
        <row r="1839">
          <cell r="E1839" t="str">
            <v>60Hz SC 30 Kvar 6%</v>
          </cell>
          <cell r="F1839" t="str">
            <v>台</v>
          </cell>
          <cell r="G1839">
            <v>0</v>
          </cell>
          <cell r="H1839">
            <v>85000</v>
          </cell>
          <cell r="I1839">
            <v>0</v>
          </cell>
          <cell r="J1839">
            <v>85000</v>
          </cell>
          <cell r="K1839">
            <v>0</v>
          </cell>
          <cell r="L1839">
            <v>85000</v>
          </cell>
          <cell r="M1839">
            <v>0</v>
          </cell>
          <cell r="N1839">
            <v>85000</v>
          </cell>
          <cell r="O1839">
            <v>0</v>
          </cell>
          <cell r="P1839">
            <v>85000</v>
          </cell>
          <cell r="Q1839">
            <v>0</v>
          </cell>
          <cell r="R1839">
            <v>85000</v>
          </cell>
          <cell r="S1839">
            <v>0</v>
          </cell>
          <cell r="T1839">
            <v>85000</v>
          </cell>
          <cell r="U1839">
            <v>0</v>
          </cell>
          <cell r="V1839">
            <v>85000</v>
          </cell>
          <cell r="W1839">
            <v>0</v>
          </cell>
          <cell r="X1839">
            <v>85000</v>
          </cell>
          <cell r="Y1839">
            <v>0</v>
          </cell>
          <cell r="Z1839">
            <v>85000</v>
          </cell>
          <cell r="AA1839">
            <v>0</v>
          </cell>
          <cell r="AB1839">
            <v>0</v>
          </cell>
          <cell r="AC1839">
            <v>0</v>
          </cell>
          <cell r="AD1839">
            <v>1.1160000000000001</v>
          </cell>
          <cell r="AE1839">
            <v>0</v>
          </cell>
          <cell r="AF1839">
            <v>0</v>
          </cell>
          <cell r="AG1839">
            <v>0</v>
          </cell>
          <cell r="AH1839">
            <v>0</v>
          </cell>
          <cell r="AI1839">
            <v>0</v>
          </cell>
          <cell r="AJ1839">
            <v>0</v>
          </cell>
          <cell r="AK1839">
            <v>0</v>
          </cell>
          <cell r="AL1839">
            <v>0</v>
          </cell>
        </row>
        <row r="1840">
          <cell r="E1840" t="str">
            <v>60Hz SC 36 Kvar 6%</v>
          </cell>
          <cell r="F1840" t="str">
            <v>台</v>
          </cell>
          <cell r="G1840">
            <v>0</v>
          </cell>
          <cell r="H1840">
            <v>91700</v>
          </cell>
          <cell r="I1840">
            <v>0</v>
          </cell>
          <cell r="J1840">
            <v>91700</v>
          </cell>
          <cell r="K1840">
            <v>0</v>
          </cell>
          <cell r="L1840">
            <v>91700</v>
          </cell>
          <cell r="M1840">
            <v>0</v>
          </cell>
          <cell r="N1840">
            <v>91700</v>
          </cell>
          <cell r="O1840">
            <v>0</v>
          </cell>
          <cell r="P1840">
            <v>91700</v>
          </cell>
          <cell r="Q1840">
            <v>0</v>
          </cell>
          <cell r="R1840">
            <v>91700</v>
          </cell>
          <cell r="S1840">
            <v>0</v>
          </cell>
          <cell r="T1840">
            <v>91700</v>
          </cell>
          <cell r="U1840">
            <v>0</v>
          </cell>
          <cell r="V1840">
            <v>91700</v>
          </cell>
          <cell r="W1840">
            <v>0</v>
          </cell>
          <cell r="X1840">
            <v>91700</v>
          </cell>
          <cell r="Y1840">
            <v>0</v>
          </cell>
          <cell r="Z1840">
            <v>91700</v>
          </cell>
          <cell r="AA1840">
            <v>0</v>
          </cell>
          <cell r="AB1840">
            <v>0</v>
          </cell>
          <cell r="AC1840">
            <v>0</v>
          </cell>
          <cell r="AD1840">
            <v>1.1499999999999999</v>
          </cell>
          <cell r="AE1840">
            <v>0</v>
          </cell>
          <cell r="AF1840">
            <v>0</v>
          </cell>
          <cell r="AG1840">
            <v>0</v>
          </cell>
          <cell r="AH1840">
            <v>0</v>
          </cell>
          <cell r="AI1840">
            <v>0</v>
          </cell>
          <cell r="AJ1840">
            <v>0</v>
          </cell>
          <cell r="AK1840">
            <v>0</v>
          </cell>
          <cell r="AL1840">
            <v>0</v>
          </cell>
        </row>
        <row r="1841">
          <cell r="E1841" t="str">
            <v>60Hz SC 50 Kvar 6%</v>
          </cell>
          <cell r="F1841" t="str">
            <v>台</v>
          </cell>
          <cell r="G1841">
            <v>0</v>
          </cell>
          <cell r="H1841">
            <v>114000</v>
          </cell>
          <cell r="I1841">
            <v>0</v>
          </cell>
          <cell r="J1841">
            <v>114000</v>
          </cell>
          <cell r="K1841">
            <v>0</v>
          </cell>
          <cell r="L1841">
            <v>114000</v>
          </cell>
          <cell r="M1841">
            <v>0</v>
          </cell>
          <cell r="N1841">
            <v>114000</v>
          </cell>
          <cell r="O1841">
            <v>0</v>
          </cell>
          <cell r="P1841">
            <v>114000</v>
          </cell>
          <cell r="Q1841">
            <v>0</v>
          </cell>
          <cell r="R1841">
            <v>114000</v>
          </cell>
          <cell r="S1841">
            <v>0</v>
          </cell>
          <cell r="T1841">
            <v>114000</v>
          </cell>
          <cell r="U1841">
            <v>0</v>
          </cell>
          <cell r="V1841">
            <v>114000</v>
          </cell>
          <cell r="W1841">
            <v>0</v>
          </cell>
          <cell r="X1841">
            <v>114000</v>
          </cell>
          <cell r="Y1841">
            <v>0</v>
          </cell>
          <cell r="Z1841">
            <v>114000</v>
          </cell>
          <cell r="AA1841">
            <v>0</v>
          </cell>
          <cell r="AB1841">
            <v>0</v>
          </cell>
          <cell r="AC1841">
            <v>0</v>
          </cell>
          <cell r="AD1841">
            <v>1.31</v>
          </cell>
          <cell r="AE1841">
            <v>0</v>
          </cell>
          <cell r="AF1841">
            <v>0</v>
          </cell>
          <cell r="AG1841">
            <v>0</v>
          </cell>
          <cell r="AH1841">
            <v>0</v>
          </cell>
          <cell r="AI1841">
            <v>0</v>
          </cell>
          <cell r="AJ1841">
            <v>0</v>
          </cell>
          <cell r="AK1841">
            <v>0</v>
          </cell>
          <cell r="AL1841">
            <v>0</v>
          </cell>
        </row>
        <row r="1842">
          <cell r="E1842" t="str">
            <v>60Hz SC 75 Kvar 6%</v>
          </cell>
          <cell r="F1842" t="str">
            <v>台</v>
          </cell>
          <cell r="G1842">
            <v>0</v>
          </cell>
          <cell r="H1842">
            <v>143000</v>
          </cell>
          <cell r="I1842">
            <v>0</v>
          </cell>
          <cell r="J1842">
            <v>143000</v>
          </cell>
          <cell r="K1842">
            <v>0</v>
          </cell>
          <cell r="L1842">
            <v>143000</v>
          </cell>
          <cell r="M1842">
            <v>0</v>
          </cell>
          <cell r="N1842">
            <v>143000</v>
          </cell>
          <cell r="O1842">
            <v>0</v>
          </cell>
          <cell r="P1842">
            <v>143000</v>
          </cell>
          <cell r="Q1842">
            <v>0</v>
          </cell>
          <cell r="R1842">
            <v>143000</v>
          </cell>
          <cell r="S1842">
            <v>0</v>
          </cell>
          <cell r="T1842">
            <v>143000</v>
          </cell>
          <cell r="U1842">
            <v>0</v>
          </cell>
          <cell r="V1842">
            <v>143000</v>
          </cell>
          <cell r="W1842">
            <v>0</v>
          </cell>
          <cell r="X1842">
            <v>143000</v>
          </cell>
          <cell r="Y1842">
            <v>0</v>
          </cell>
          <cell r="Z1842">
            <v>143000</v>
          </cell>
          <cell r="AA1842">
            <v>0</v>
          </cell>
          <cell r="AB1842">
            <v>0</v>
          </cell>
          <cell r="AC1842">
            <v>0</v>
          </cell>
          <cell r="AD1842">
            <v>2.2599999999999998</v>
          </cell>
          <cell r="AE1842">
            <v>0</v>
          </cell>
          <cell r="AF1842">
            <v>0</v>
          </cell>
          <cell r="AG1842">
            <v>0</v>
          </cell>
          <cell r="AH1842">
            <v>0</v>
          </cell>
          <cell r="AI1842">
            <v>0</v>
          </cell>
          <cell r="AJ1842">
            <v>0</v>
          </cell>
          <cell r="AK1842">
            <v>0</v>
          </cell>
          <cell r="AL1842">
            <v>0</v>
          </cell>
        </row>
        <row r="1843">
          <cell r="E1843" t="str">
            <v>60Hz SC100 Kvar 6%</v>
          </cell>
          <cell r="F1843" t="str">
            <v>台</v>
          </cell>
          <cell r="G1843">
            <v>0</v>
          </cell>
          <cell r="H1843">
            <v>167000</v>
          </cell>
          <cell r="I1843">
            <v>0</v>
          </cell>
          <cell r="J1843">
            <v>167000</v>
          </cell>
          <cell r="K1843">
            <v>0</v>
          </cell>
          <cell r="L1843">
            <v>167000</v>
          </cell>
          <cell r="M1843">
            <v>0</v>
          </cell>
          <cell r="N1843">
            <v>167000</v>
          </cell>
          <cell r="O1843">
            <v>0</v>
          </cell>
          <cell r="P1843">
            <v>167000</v>
          </cell>
          <cell r="Q1843">
            <v>0</v>
          </cell>
          <cell r="R1843">
            <v>167000</v>
          </cell>
          <cell r="S1843">
            <v>0</v>
          </cell>
          <cell r="T1843">
            <v>167000</v>
          </cell>
          <cell r="U1843">
            <v>0</v>
          </cell>
          <cell r="V1843">
            <v>167000</v>
          </cell>
          <cell r="W1843">
            <v>0</v>
          </cell>
          <cell r="X1843">
            <v>167000</v>
          </cell>
          <cell r="Y1843">
            <v>0</v>
          </cell>
          <cell r="Z1843">
            <v>167000</v>
          </cell>
          <cell r="AA1843">
            <v>0</v>
          </cell>
          <cell r="AB1843">
            <v>0</v>
          </cell>
          <cell r="AC1843">
            <v>0</v>
          </cell>
          <cell r="AD1843">
            <v>2.52</v>
          </cell>
          <cell r="AE1843">
            <v>0</v>
          </cell>
          <cell r="AF1843">
            <v>0</v>
          </cell>
          <cell r="AG1843">
            <v>0</v>
          </cell>
          <cell r="AH1843">
            <v>0</v>
          </cell>
          <cell r="AI1843">
            <v>0</v>
          </cell>
          <cell r="AJ1843">
            <v>0</v>
          </cell>
          <cell r="AK1843">
            <v>0</v>
          </cell>
          <cell r="AL1843">
            <v>0</v>
          </cell>
        </row>
        <row r="1844">
          <cell r="E1844" t="str">
            <v>60Hz SC150 Kvar 6%</v>
          </cell>
          <cell r="F1844" t="str">
            <v>台</v>
          </cell>
          <cell r="G1844">
            <v>0</v>
          </cell>
          <cell r="H1844">
            <v>228000</v>
          </cell>
          <cell r="I1844">
            <v>0</v>
          </cell>
          <cell r="J1844">
            <v>228000</v>
          </cell>
          <cell r="K1844">
            <v>0</v>
          </cell>
          <cell r="L1844">
            <v>228000</v>
          </cell>
          <cell r="M1844">
            <v>0</v>
          </cell>
          <cell r="N1844">
            <v>228000</v>
          </cell>
          <cell r="O1844">
            <v>0</v>
          </cell>
          <cell r="P1844">
            <v>228000</v>
          </cell>
          <cell r="Q1844">
            <v>0</v>
          </cell>
          <cell r="R1844">
            <v>228000</v>
          </cell>
          <cell r="S1844">
            <v>0</v>
          </cell>
          <cell r="T1844">
            <v>228000</v>
          </cell>
          <cell r="U1844">
            <v>0</v>
          </cell>
          <cell r="V1844">
            <v>228000</v>
          </cell>
          <cell r="W1844">
            <v>0</v>
          </cell>
          <cell r="X1844">
            <v>228000</v>
          </cell>
          <cell r="Y1844">
            <v>0</v>
          </cell>
          <cell r="Z1844">
            <v>228000</v>
          </cell>
          <cell r="AA1844">
            <v>0</v>
          </cell>
          <cell r="AB1844">
            <v>0</v>
          </cell>
          <cell r="AC1844">
            <v>0</v>
          </cell>
          <cell r="AD1844">
            <v>3.18</v>
          </cell>
          <cell r="AE1844">
            <v>0</v>
          </cell>
          <cell r="AF1844">
            <v>0</v>
          </cell>
          <cell r="AG1844">
            <v>0</v>
          </cell>
          <cell r="AH1844">
            <v>0</v>
          </cell>
          <cell r="AI1844">
            <v>0</v>
          </cell>
          <cell r="AJ1844">
            <v>0</v>
          </cell>
          <cell r="AK1844">
            <v>0</v>
          </cell>
          <cell r="AL1844">
            <v>0</v>
          </cell>
        </row>
        <row r="1845">
          <cell r="E1845" t="str">
            <v>60Hz SC200 Kvar 6%</v>
          </cell>
          <cell r="F1845" t="str">
            <v>台</v>
          </cell>
          <cell r="G1845">
            <v>0</v>
          </cell>
          <cell r="H1845">
            <v>291000</v>
          </cell>
          <cell r="I1845">
            <v>0</v>
          </cell>
          <cell r="J1845">
            <v>291000</v>
          </cell>
          <cell r="K1845">
            <v>0</v>
          </cell>
          <cell r="L1845">
            <v>291000</v>
          </cell>
          <cell r="M1845">
            <v>0</v>
          </cell>
          <cell r="N1845">
            <v>291000</v>
          </cell>
          <cell r="O1845">
            <v>0</v>
          </cell>
          <cell r="P1845">
            <v>291000</v>
          </cell>
          <cell r="Q1845">
            <v>0</v>
          </cell>
          <cell r="R1845">
            <v>291000</v>
          </cell>
          <cell r="S1845">
            <v>0</v>
          </cell>
          <cell r="T1845">
            <v>291000</v>
          </cell>
          <cell r="U1845">
            <v>0</v>
          </cell>
          <cell r="V1845">
            <v>291000</v>
          </cell>
          <cell r="W1845">
            <v>0</v>
          </cell>
          <cell r="X1845">
            <v>291000</v>
          </cell>
          <cell r="Y1845">
            <v>0</v>
          </cell>
          <cell r="Z1845">
            <v>291000</v>
          </cell>
          <cell r="AA1845">
            <v>0</v>
          </cell>
          <cell r="AB1845">
            <v>0</v>
          </cell>
          <cell r="AC1845">
            <v>0</v>
          </cell>
          <cell r="AD1845">
            <v>3.56</v>
          </cell>
          <cell r="AE1845">
            <v>0</v>
          </cell>
          <cell r="AF1845">
            <v>0</v>
          </cell>
          <cell r="AG1845">
            <v>0</v>
          </cell>
          <cell r="AH1845">
            <v>0</v>
          </cell>
          <cell r="AI1845">
            <v>0</v>
          </cell>
          <cell r="AJ1845">
            <v>0</v>
          </cell>
          <cell r="AK1845">
            <v>0</v>
          </cell>
          <cell r="AL1845">
            <v>0</v>
          </cell>
        </row>
        <row r="1846">
          <cell r="E1846" t="str">
            <v>60Hz SC250 Kvar 6%</v>
          </cell>
          <cell r="F1846" t="str">
            <v>台</v>
          </cell>
          <cell r="G1846">
            <v>0</v>
          </cell>
          <cell r="H1846">
            <v>364000</v>
          </cell>
          <cell r="I1846">
            <v>0</v>
          </cell>
          <cell r="J1846">
            <v>364000</v>
          </cell>
          <cell r="K1846">
            <v>0</v>
          </cell>
          <cell r="L1846">
            <v>364000</v>
          </cell>
          <cell r="M1846">
            <v>0</v>
          </cell>
          <cell r="N1846">
            <v>364000</v>
          </cell>
          <cell r="O1846">
            <v>0</v>
          </cell>
          <cell r="P1846">
            <v>364000</v>
          </cell>
          <cell r="Q1846">
            <v>0</v>
          </cell>
          <cell r="R1846">
            <v>364000</v>
          </cell>
          <cell r="S1846">
            <v>0</v>
          </cell>
          <cell r="T1846">
            <v>364000</v>
          </cell>
          <cell r="U1846">
            <v>0</v>
          </cell>
          <cell r="V1846">
            <v>364000</v>
          </cell>
          <cell r="W1846">
            <v>0</v>
          </cell>
          <cell r="X1846">
            <v>364000</v>
          </cell>
          <cell r="Y1846">
            <v>0</v>
          </cell>
          <cell r="Z1846">
            <v>364000</v>
          </cell>
          <cell r="AA1846">
            <v>0</v>
          </cell>
          <cell r="AB1846">
            <v>0</v>
          </cell>
          <cell r="AC1846">
            <v>0</v>
          </cell>
          <cell r="AD1846">
            <v>4.4939999999999998</v>
          </cell>
          <cell r="AE1846">
            <v>0</v>
          </cell>
          <cell r="AF1846">
            <v>0</v>
          </cell>
          <cell r="AG1846">
            <v>0</v>
          </cell>
          <cell r="AH1846">
            <v>0</v>
          </cell>
          <cell r="AI1846">
            <v>0</v>
          </cell>
          <cell r="AJ1846">
            <v>0</v>
          </cell>
          <cell r="AK1846">
            <v>0</v>
          </cell>
          <cell r="AL1846">
            <v>0</v>
          </cell>
        </row>
        <row r="1847">
          <cell r="E1847" t="str">
            <v>60Hz SC300 Kvar 6%</v>
          </cell>
          <cell r="F1847" t="str">
            <v>台</v>
          </cell>
          <cell r="G1847">
            <v>0</v>
          </cell>
          <cell r="H1847">
            <v>432000</v>
          </cell>
          <cell r="I1847">
            <v>0</v>
          </cell>
          <cell r="J1847">
            <v>432000</v>
          </cell>
          <cell r="K1847">
            <v>0</v>
          </cell>
          <cell r="L1847">
            <v>432000</v>
          </cell>
          <cell r="M1847">
            <v>0</v>
          </cell>
          <cell r="N1847">
            <v>432000</v>
          </cell>
          <cell r="O1847">
            <v>0</v>
          </cell>
          <cell r="P1847">
            <v>432000</v>
          </cell>
          <cell r="Q1847">
            <v>0</v>
          </cell>
          <cell r="R1847">
            <v>432000</v>
          </cell>
          <cell r="S1847">
            <v>0</v>
          </cell>
          <cell r="T1847">
            <v>432000</v>
          </cell>
          <cell r="U1847">
            <v>0</v>
          </cell>
          <cell r="V1847">
            <v>432000</v>
          </cell>
          <cell r="W1847">
            <v>0</v>
          </cell>
          <cell r="X1847">
            <v>432000</v>
          </cell>
          <cell r="Y1847">
            <v>0</v>
          </cell>
          <cell r="Z1847">
            <v>432000</v>
          </cell>
          <cell r="AA1847">
            <v>0</v>
          </cell>
          <cell r="AB1847">
            <v>0</v>
          </cell>
          <cell r="AC1847">
            <v>0</v>
          </cell>
          <cell r="AD1847">
            <v>4.63</v>
          </cell>
          <cell r="AE1847">
            <v>0</v>
          </cell>
          <cell r="AF1847">
            <v>0</v>
          </cell>
          <cell r="AG1847">
            <v>0</v>
          </cell>
          <cell r="AH1847">
            <v>0</v>
          </cell>
          <cell r="AI1847">
            <v>0</v>
          </cell>
          <cell r="AJ1847">
            <v>0</v>
          </cell>
          <cell r="AK1847">
            <v>0</v>
          </cell>
          <cell r="AL1847">
            <v>0</v>
          </cell>
        </row>
        <row r="1848">
          <cell r="E1848" t="str">
            <v>60Hz SC400 Kvar 6%</v>
          </cell>
          <cell r="F1848" t="str">
            <v>台</v>
          </cell>
          <cell r="G1848">
            <v>0</v>
          </cell>
          <cell r="H1848">
            <v>575500</v>
          </cell>
          <cell r="I1848">
            <v>0</v>
          </cell>
          <cell r="J1848">
            <v>575500</v>
          </cell>
          <cell r="K1848">
            <v>0</v>
          </cell>
          <cell r="L1848">
            <v>575500</v>
          </cell>
          <cell r="M1848">
            <v>0</v>
          </cell>
          <cell r="N1848">
            <v>575500</v>
          </cell>
          <cell r="O1848">
            <v>0</v>
          </cell>
          <cell r="P1848">
            <v>575500</v>
          </cell>
          <cell r="Q1848">
            <v>0</v>
          </cell>
          <cell r="R1848">
            <v>575500</v>
          </cell>
          <cell r="S1848">
            <v>0</v>
          </cell>
          <cell r="T1848">
            <v>575500</v>
          </cell>
          <cell r="U1848">
            <v>0</v>
          </cell>
          <cell r="V1848">
            <v>575500</v>
          </cell>
          <cell r="W1848">
            <v>0</v>
          </cell>
          <cell r="X1848">
            <v>575500</v>
          </cell>
          <cell r="Y1848">
            <v>0</v>
          </cell>
          <cell r="Z1848">
            <v>575500</v>
          </cell>
          <cell r="AA1848">
            <v>0</v>
          </cell>
          <cell r="AB1848">
            <v>0</v>
          </cell>
          <cell r="AC1848">
            <v>0</v>
          </cell>
          <cell r="AD1848">
            <v>5.952</v>
          </cell>
          <cell r="AE1848">
            <v>0</v>
          </cell>
          <cell r="AF1848">
            <v>0</v>
          </cell>
          <cell r="AG1848">
            <v>0</v>
          </cell>
          <cell r="AH1848">
            <v>0</v>
          </cell>
          <cell r="AI1848">
            <v>0</v>
          </cell>
          <cell r="AJ1848">
            <v>0</v>
          </cell>
          <cell r="AK1848">
            <v>0</v>
          </cell>
          <cell r="AL1848">
            <v>0</v>
          </cell>
        </row>
        <row r="1849">
          <cell r="E1849" t="str">
            <v>60Hz SC500 Kvar 6%</v>
          </cell>
          <cell r="F1849" t="str">
            <v>台</v>
          </cell>
          <cell r="G1849">
            <v>0</v>
          </cell>
          <cell r="H1849">
            <v>719000</v>
          </cell>
          <cell r="I1849">
            <v>0</v>
          </cell>
          <cell r="J1849">
            <v>719000</v>
          </cell>
          <cell r="K1849">
            <v>0</v>
          </cell>
          <cell r="L1849">
            <v>719000</v>
          </cell>
          <cell r="M1849">
            <v>0</v>
          </cell>
          <cell r="N1849">
            <v>719000</v>
          </cell>
          <cell r="O1849">
            <v>0</v>
          </cell>
          <cell r="P1849">
            <v>719000</v>
          </cell>
          <cell r="Q1849">
            <v>0</v>
          </cell>
          <cell r="R1849">
            <v>719000</v>
          </cell>
          <cell r="S1849">
            <v>0</v>
          </cell>
          <cell r="T1849">
            <v>719000</v>
          </cell>
          <cell r="U1849">
            <v>0</v>
          </cell>
          <cell r="V1849">
            <v>719000</v>
          </cell>
          <cell r="W1849">
            <v>0</v>
          </cell>
          <cell r="X1849">
            <v>719000</v>
          </cell>
          <cell r="Y1849">
            <v>0</v>
          </cell>
          <cell r="Z1849">
            <v>719000</v>
          </cell>
          <cell r="AA1849">
            <v>0</v>
          </cell>
          <cell r="AB1849">
            <v>0</v>
          </cell>
          <cell r="AC1849">
            <v>0</v>
          </cell>
          <cell r="AD1849">
            <v>5.274</v>
          </cell>
          <cell r="AE1849">
            <v>0</v>
          </cell>
          <cell r="AF1849">
            <v>0</v>
          </cell>
          <cell r="AG1849">
            <v>0</v>
          </cell>
          <cell r="AH1849">
            <v>0</v>
          </cell>
          <cell r="AI1849">
            <v>0</v>
          </cell>
          <cell r="AJ1849">
            <v>0</v>
          </cell>
          <cell r="AK1849">
            <v>0</v>
          </cell>
          <cell r="AL1849">
            <v>0</v>
          </cell>
        </row>
        <row r="1850">
          <cell r="E1850" t="str">
            <v>50Hz SC 10 Kvar 13%</v>
          </cell>
          <cell r="F1850" t="str">
            <v>台</v>
          </cell>
          <cell r="G1850">
            <v>0</v>
          </cell>
          <cell r="H1850">
            <v>78400</v>
          </cell>
          <cell r="I1850">
            <v>0</v>
          </cell>
          <cell r="J1850">
            <v>78400</v>
          </cell>
          <cell r="K1850">
            <v>0</v>
          </cell>
          <cell r="L1850">
            <v>78400</v>
          </cell>
          <cell r="M1850">
            <v>0</v>
          </cell>
          <cell r="N1850">
            <v>78400</v>
          </cell>
          <cell r="O1850">
            <v>0</v>
          </cell>
          <cell r="P1850">
            <v>78400</v>
          </cell>
          <cell r="Q1850">
            <v>0</v>
          </cell>
          <cell r="R1850">
            <v>78400</v>
          </cell>
          <cell r="S1850">
            <v>0</v>
          </cell>
          <cell r="T1850">
            <v>78400</v>
          </cell>
          <cell r="U1850">
            <v>0</v>
          </cell>
          <cell r="V1850">
            <v>78400</v>
          </cell>
          <cell r="W1850">
            <v>0</v>
          </cell>
          <cell r="X1850">
            <v>78400</v>
          </cell>
          <cell r="Y1850">
            <v>0</v>
          </cell>
          <cell r="Z1850">
            <v>78400</v>
          </cell>
          <cell r="AA1850">
            <v>0</v>
          </cell>
          <cell r="AB1850">
            <v>0</v>
          </cell>
          <cell r="AC1850">
            <v>0</v>
          </cell>
          <cell r="AD1850">
            <v>0.496</v>
          </cell>
          <cell r="AE1850">
            <v>0</v>
          </cell>
          <cell r="AF1850">
            <v>0</v>
          </cell>
          <cell r="AG1850">
            <v>0</v>
          </cell>
          <cell r="AH1850">
            <v>0</v>
          </cell>
          <cell r="AI1850">
            <v>0</v>
          </cell>
          <cell r="AJ1850">
            <v>0</v>
          </cell>
          <cell r="AK1850">
            <v>0</v>
          </cell>
          <cell r="AL1850">
            <v>0</v>
          </cell>
        </row>
        <row r="1851">
          <cell r="E1851" t="str">
            <v>50Hz SC 15 Kvar 13%</v>
          </cell>
          <cell r="F1851" t="str">
            <v>台</v>
          </cell>
          <cell r="G1851">
            <v>0</v>
          </cell>
          <cell r="H1851">
            <v>88200</v>
          </cell>
          <cell r="I1851">
            <v>0</v>
          </cell>
          <cell r="J1851">
            <v>88200</v>
          </cell>
          <cell r="K1851">
            <v>0</v>
          </cell>
          <cell r="L1851">
            <v>88200</v>
          </cell>
          <cell r="M1851">
            <v>0</v>
          </cell>
          <cell r="N1851">
            <v>88200</v>
          </cell>
          <cell r="O1851">
            <v>0</v>
          </cell>
          <cell r="P1851">
            <v>88200</v>
          </cell>
          <cell r="Q1851">
            <v>0</v>
          </cell>
          <cell r="R1851">
            <v>88200</v>
          </cell>
          <cell r="S1851">
            <v>0</v>
          </cell>
          <cell r="T1851">
            <v>88200</v>
          </cell>
          <cell r="U1851">
            <v>0</v>
          </cell>
          <cell r="V1851">
            <v>88200</v>
          </cell>
          <cell r="W1851">
            <v>0</v>
          </cell>
          <cell r="X1851">
            <v>88200</v>
          </cell>
          <cell r="Y1851">
            <v>0</v>
          </cell>
          <cell r="Z1851">
            <v>88200</v>
          </cell>
          <cell r="AA1851">
            <v>0</v>
          </cell>
          <cell r="AB1851">
            <v>0</v>
          </cell>
          <cell r="AC1851">
            <v>0</v>
          </cell>
          <cell r="AD1851">
            <v>0.60199999999999998</v>
          </cell>
          <cell r="AE1851">
            <v>0</v>
          </cell>
          <cell r="AF1851">
            <v>0</v>
          </cell>
          <cell r="AG1851">
            <v>0</v>
          </cell>
          <cell r="AH1851">
            <v>0</v>
          </cell>
          <cell r="AI1851">
            <v>0</v>
          </cell>
          <cell r="AJ1851">
            <v>0</v>
          </cell>
          <cell r="AK1851">
            <v>0</v>
          </cell>
          <cell r="AL1851">
            <v>0</v>
          </cell>
        </row>
        <row r="1852">
          <cell r="E1852" t="str">
            <v>50Hz SC 20 Kvar 13%</v>
          </cell>
          <cell r="F1852" t="str">
            <v>台</v>
          </cell>
          <cell r="G1852">
            <v>0</v>
          </cell>
          <cell r="H1852">
            <v>100000</v>
          </cell>
          <cell r="I1852">
            <v>0</v>
          </cell>
          <cell r="J1852">
            <v>100000</v>
          </cell>
          <cell r="K1852">
            <v>0</v>
          </cell>
          <cell r="L1852">
            <v>100000</v>
          </cell>
          <cell r="M1852">
            <v>0</v>
          </cell>
          <cell r="N1852">
            <v>100000</v>
          </cell>
          <cell r="O1852">
            <v>0</v>
          </cell>
          <cell r="P1852">
            <v>100000</v>
          </cell>
          <cell r="Q1852">
            <v>0</v>
          </cell>
          <cell r="R1852">
            <v>100000</v>
          </cell>
          <cell r="S1852">
            <v>0</v>
          </cell>
          <cell r="T1852">
            <v>100000</v>
          </cell>
          <cell r="U1852">
            <v>0</v>
          </cell>
          <cell r="V1852">
            <v>100000</v>
          </cell>
          <cell r="W1852">
            <v>0</v>
          </cell>
          <cell r="X1852">
            <v>100000</v>
          </cell>
          <cell r="Y1852">
            <v>0</v>
          </cell>
          <cell r="Z1852">
            <v>100000</v>
          </cell>
          <cell r="AA1852">
            <v>0</v>
          </cell>
          <cell r="AB1852">
            <v>0</v>
          </cell>
          <cell r="AC1852">
            <v>0</v>
          </cell>
          <cell r="AD1852">
            <v>0.88400000000000001</v>
          </cell>
          <cell r="AE1852">
            <v>0</v>
          </cell>
          <cell r="AF1852">
            <v>0</v>
          </cell>
          <cell r="AG1852">
            <v>0</v>
          </cell>
          <cell r="AH1852">
            <v>0</v>
          </cell>
          <cell r="AI1852">
            <v>0</v>
          </cell>
          <cell r="AJ1852">
            <v>0</v>
          </cell>
          <cell r="AK1852">
            <v>0</v>
          </cell>
          <cell r="AL1852">
            <v>0</v>
          </cell>
        </row>
        <row r="1853">
          <cell r="E1853" t="str">
            <v>50Hz SC 25 Kvar 13%</v>
          </cell>
          <cell r="F1853" t="str">
            <v>台</v>
          </cell>
          <cell r="G1853">
            <v>0</v>
          </cell>
          <cell r="H1853">
            <v>110000</v>
          </cell>
          <cell r="I1853">
            <v>0</v>
          </cell>
          <cell r="J1853">
            <v>110000</v>
          </cell>
          <cell r="K1853">
            <v>0</v>
          </cell>
          <cell r="L1853">
            <v>110000</v>
          </cell>
          <cell r="M1853">
            <v>0</v>
          </cell>
          <cell r="N1853">
            <v>110000</v>
          </cell>
          <cell r="O1853">
            <v>0</v>
          </cell>
          <cell r="P1853">
            <v>110000</v>
          </cell>
          <cell r="Q1853">
            <v>0</v>
          </cell>
          <cell r="R1853">
            <v>110000</v>
          </cell>
          <cell r="S1853">
            <v>0</v>
          </cell>
          <cell r="T1853">
            <v>110000</v>
          </cell>
          <cell r="U1853">
            <v>0</v>
          </cell>
          <cell r="V1853">
            <v>110000</v>
          </cell>
          <cell r="W1853">
            <v>0</v>
          </cell>
          <cell r="X1853">
            <v>110000</v>
          </cell>
          <cell r="Y1853">
            <v>0</v>
          </cell>
          <cell r="Z1853">
            <v>110000</v>
          </cell>
          <cell r="AA1853">
            <v>0</v>
          </cell>
          <cell r="AB1853">
            <v>0</v>
          </cell>
          <cell r="AC1853">
            <v>0</v>
          </cell>
          <cell r="AD1853">
            <v>1.1160000000000001</v>
          </cell>
          <cell r="AE1853">
            <v>0</v>
          </cell>
          <cell r="AF1853">
            <v>0</v>
          </cell>
          <cell r="AG1853">
            <v>0</v>
          </cell>
          <cell r="AH1853">
            <v>0</v>
          </cell>
          <cell r="AI1853">
            <v>0</v>
          </cell>
          <cell r="AJ1853">
            <v>0</v>
          </cell>
          <cell r="AK1853">
            <v>0</v>
          </cell>
          <cell r="AL1853">
            <v>0</v>
          </cell>
        </row>
        <row r="1854">
          <cell r="E1854" t="str">
            <v>50Hz SC 30 Kvar 13%</v>
          </cell>
          <cell r="F1854" t="str">
            <v>台</v>
          </cell>
          <cell r="G1854">
            <v>0</v>
          </cell>
          <cell r="H1854">
            <v>128000</v>
          </cell>
          <cell r="I1854">
            <v>0</v>
          </cell>
          <cell r="J1854">
            <v>128000</v>
          </cell>
          <cell r="K1854">
            <v>0</v>
          </cell>
          <cell r="L1854">
            <v>128000</v>
          </cell>
          <cell r="M1854">
            <v>0</v>
          </cell>
          <cell r="N1854">
            <v>128000</v>
          </cell>
          <cell r="O1854">
            <v>0</v>
          </cell>
          <cell r="P1854">
            <v>128000</v>
          </cell>
          <cell r="Q1854">
            <v>0</v>
          </cell>
          <cell r="R1854">
            <v>128000</v>
          </cell>
          <cell r="S1854">
            <v>0</v>
          </cell>
          <cell r="T1854">
            <v>128000</v>
          </cell>
          <cell r="U1854">
            <v>0</v>
          </cell>
          <cell r="V1854">
            <v>128000</v>
          </cell>
          <cell r="W1854">
            <v>0</v>
          </cell>
          <cell r="X1854">
            <v>128000</v>
          </cell>
          <cell r="Y1854">
            <v>0</v>
          </cell>
          <cell r="Z1854">
            <v>128000</v>
          </cell>
          <cell r="AA1854">
            <v>0</v>
          </cell>
          <cell r="AB1854">
            <v>0</v>
          </cell>
          <cell r="AC1854">
            <v>0</v>
          </cell>
          <cell r="AD1854">
            <v>1.1499999999999999</v>
          </cell>
          <cell r="AE1854">
            <v>0</v>
          </cell>
          <cell r="AF1854">
            <v>0</v>
          </cell>
          <cell r="AG1854">
            <v>0</v>
          </cell>
          <cell r="AH1854">
            <v>0</v>
          </cell>
          <cell r="AI1854">
            <v>0</v>
          </cell>
          <cell r="AJ1854">
            <v>0</v>
          </cell>
          <cell r="AK1854">
            <v>0</v>
          </cell>
          <cell r="AL1854">
            <v>0</v>
          </cell>
        </row>
        <row r="1855">
          <cell r="E1855" t="str">
            <v>50Hz SC 50 Kvar 13%</v>
          </cell>
          <cell r="F1855" t="str">
            <v>台</v>
          </cell>
          <cell r="G1855">
            <v>0</v>
          </cell>
          <cell r="H1855">
            <v>165000</v>
          </cell>
          <cell r="I1855">
            <v>0</v>
          </cell>
          <cell r="J1855">
            <v>165000</v>
          </cell>
          <cell r="K1855">
            <v>0</v>
          </cell>
          <cell r="L1855">
            <v>165000</v>
          </cell>
          <cell r="M1855">
            <v>0</v>
          </cell>
          <cell r="N1855">
            <v>165000</v>
          </cell>
          <cell r="O1855">
            <v>0</v>
          </cell>
          <cell r="P1855">
            <v>165000</v>
          </cell>
          <cell r="Q1855">
            <v>0</v>
          </cell>
          <cell r="R1855">
            <v>165000</v>
          </cell>
          <cell r="S1855">
            <v>0</v>
          </cell>
          <cell r="T1855">
            <v>165000</v>
          </cell>
          <cell r="U1855">
            <v>0</v>
          </cell>
          <cell r="V1855">
            <v>165000</v>
          </cell>
          <cell r="W1855">
            <v>0</v>
          </cell>
          <cell r="X1855">
            <v>165000</v>
          </cell>
          <cell r="Y1855">
            <v>0</v>
          </cell>
          <cell r="Z1855">
            <v>165000</v>
          </cell>
          <cell r="AA1855">
            <v>0</v>
          </cell>
          <cell r="AB1855">
            <v>0</v>
          </cell>
          <cell r="AC1855">
            <v>0</v>
          </cell>
          <cell r="AD1855">
            <v>1.31</v>
          </cell>
          <cell r="AE1855">
            <v>0</v>
          </cell>
          <cell r="AF1855">
            <v>0</v>
          </cell>
          <cell r="AG1855">
            <v>0</v>
          </cell>
          <cell r="AH1855">
            <v>0</v>
          </cell>
          <cell r="AI1855">
            <v>0</v>
          </cell>
          <cell r="AJ1855">
            <v>0</v>
          </cell>
          <cell r="AK1855">
            <v>0</v>
          </cell>
          <cell r="AL1855">
            <v>0</v>
          </cell>
        </row>
        <row r="1856">
          <cell r="E1856" t="str">
            <v>50Hz SC 75 Kvar 13%</v>
          </cell>
          <cell r="F1856" t="str">
            <v>台</v>
          </cell>
          <cell r="G1856">
            <v>0</v>
          </cell>
          <cell r="H1856">
            <v>206000</v>
          </cell>
          <cell r="I1856">
            <v>0</v>
          </cell>
          <cell r="J1856">
            <v>206000</v>
          </cell>
          <cell r="K1856">
            <v>0</v>
          </cell>
          <cell r="L1856">
            <v>206000</v>
          </cell>
          <cell r="M1856">
            <v>0</v>
          </cell>
          <cell r="N1856">
            <v>206000</v>
          </cell>
          <cell r="O1856">
            <v>0</v>
          </cell>
          <cell r="P1856">
            <v>206000</v>
          </cell>
          <cell r="Q1856">
            <v>0</v>
          </cell>
          <cell r="R1856">
            <v>206000</v>
          </cell>
          <cell r="S1856">
            <v>0</v>
          </cell>
          <cell r="T1856">
            <v>206000</v>
          </cell>
          <cell r="U1856">
            <v>0</v>
          </cell>
          <cell r="V1856">
            <v>206000</v>
          </cell>
          <cell r="W1856">
            <v>0</v>
          </cell>
          <cell r="X1856">
            <v>206000</v>
          </cell>
          <cell r="Y1856">
            <v>0</v>
          </cell>
          <cell r="Z1856">
            <v>206000</v>
          </cell>
          <cell r="AA1856">
            <v>0</v>
          </cell>
          <cell r="AB1856">
            <v>0</v>
          </cell>
          <cell r="AC1856">
            <v>0</v>
          </cell>
          <cell r="AD1856">
            <v>2.2599999999999998</v>
          </cell>
          <cell r="AE1856">
            <v>0</v>
          </cell>
          <cell r="AF1856">
            <v>0</v>
          </cell>
          <cell r="AG1856">
            <v>0</v>
          </cell>
          <cell r="AH1856">
            <v>0</v>
          </cell>
          <cell r="AI1856">
            <v>0</v>
          </cell>
          <cell r="AJ1856">
            <v>0</v>
          </cell>
          <cell r="AK1856">
            <v>0</v>
          </cell>
          <cell r="AL1856">
            <v>0</v>
          </cell>
        </row>
        <row r="1857">
          <cell r="E1857" t="str">
            <v>50Hz SC100 Kvar 13%</v>
          </cell>
          <cell r="F1857" t="str">
            <v>台</v>
          </cell>
          <cell r="G1857">
            <v>0</v>
          </cell>
          <cell r="H1857">
            <v>241000</v>
          </cell>
          <cell r="I1857">
            <v>0</v>
          </cell>
          <cell r="J1857">
            <v>241000</v>
          </cell>
          <cell r="K1857">
            <v>0</v>
          </cell>
          <cell r="L1857">
            <v>241000</v>
          </cell>
          <cell r="M1857">
            <v>0</v>
          </cell>
          <cell r="N1857">
            <v>241000</v>
          </cell>
          <cell r="O1857">
            <v>0</v>
          </cell>
          <cell r="P1857">
            <v>241000</v>
          </cell>
          <cell r="Q1857">
            <v>0</v>
          </cell>
          <cell r="R1857">
            <v>241000</v>
          </cell>
          <cell r="S1857">
            <v>0</v>
          </cell>
          <cell r="T1857">
            <v>241000</v>
          </cell>
          <cell r="U1857">
            <v>0</v>
          </cell>
          <cell r="V1857">
            <v>241000</v>
          </cell>
          <cell r="W1857">
            <v>0</v>
          </cell>
          <cell r="X1857">
            <v>241000</v>
          </cell>
          <cell r="Y1857">
            <v>0</v>
          </cell>
          <cell r="Z1857">
            <v>241000</v>
          </cell>
          <cell r="AA1857">
            <v>0</v>
          </cell>
          <cell r="AB1857">
            <v>0</v>
          </cell>
          <cell r="AC1857">
            <v>0</v>
          </cell>
          <cell r="AD1857">
            <v>2.52</v>
          </cell>
          <cell r="AE1857">
            <v>0</v>
          </cell>
          <cell r="AF1857">
            <v>0</v>
          </cell>
          <cell r="AG1857">
            <v>0</v>
          </cell>
          <cell r="AH1857">
            <v>0</v>
          </cell>
          <cell r="AI1857">
            <v>0</v>
          </cell>
          <cell r="AJ1857">
            <v>0</v>
          </cell>
          <cell r="AK1857">
            <v>0</v>
          </cell>
          <cell r="AL1857">
            <v>0</v>
          </cell>
        </row>
        <row r="1858">
          <cell r="E1858" t="str">
            <v>50Hz SC150 Kvar 13%</v>
          </cell>
          <cell r="F1858" t="str">
            <v>台</v>
          </cell>
          <cell r="G1858">
            <v>0</v>
          </cell>
          <cell r="H1858">
            <v>329000</v>
          </cell>
          <cell r="I1858">
            <v>0</v>
          </cell>
          <cell r="J1858">
            <v>329000</v>
          </cell>
          <cell r="K1858">
            <v>0</v>
          </cell>
          <cell r="L1858">
            <v>329000</v>
          </cell>
          <cell r="M1858">
            <v>0</v>
          </cell>
          <cell r="N1858">
            <v>329000</v>
          </cell>
          <cell r="O1858">
            <v>0</v>
          </cell>
          <cell r="P1858">
            <v>329000</v>
          </cell>
          <cell r="Q1858">
            <v>0</v>
          </cell>
          <cell r="R1858">
            <v>329000</v>
          </cell>
          <cell r="S1858">
            <v>0</v>
          </cell>
          <cell r="T1858">
            <v>329000</v>
          </cell>
          <cell r="U1858">
            <v>0</v>
          </cell>
          <cell r="V1858">
            <v>329000</v>
          </cell>
          <cell r="W1858">
            <v>0</v>
          </cell>
          <cell r="X1858">
            <v>329000</v>
          </cell>
          <cell r="Y1858">
            <v>0</v>
          </cell>
          <cell r="Z1858">
            <v>329000</v>
          </cell>
          <cell r="AA1858">
            <v>0</v>
          </cell>
          <cell r="AB1858">
            <v>0</v>
          </cell>
          <cell r="AC1858">
            <v>0</v>
          </cell>
          <cell r="AD1858">
            <v>3.18</v>
          </cell>
          <cell r="AE1858">
            <v>0</v>
          </cell>
          <cell r="AF1858">
            <v>0</v>
          </cell>
          <cell r="AG1858">
            <v>0</v>
          </cell>
          <cell r="AH1858">
            <v>0</v>
          </cell>
          <cell r="AI1858">
            <v>0</v>
          </cell>
          <cell r="AJ1858">
            <v>0</v>
          </cell>
          <cell r="AK1858">
            <v>0</v>
          </cell>
          <cell r="AL1858">
            <v>0</v>
          </cell>
        </row>
        <row r="1859">
          <cell r="E1859" t="str">
            <v>50Hz SC200 Kvar 13%</v>
          </cell>
          <cell r="F1859" t="str">
            <v>台</v>
          </cell>
          <cell r="G1859">
            <v>0</v>
          </cell>
          <cell r="H1859">
            <v>421000</v>
          </cell>
          <cell r="I1859">
            <v>0</v>
          </cell>
          <cell r="J1859">
            <v>421000</v>
          </cell>
          <cell r="K1859">
            <v>0</v>
          </cell>
          <cell r="L1859">
            <v>421000</v>
          </cell>
          <cell r="M1859">
            <v>0</v>
          </cell>
          <cell r="N1859">
            <v>421000</v>
          </cell>
          <cell r="O1859">
            <v>0</v>
          </cell>
          <cell r="P1859">
            <v>421000</v>
          </cell>
          <cell r="Q1859">
            <v>0</v>
          </cell>
          <cell r="R1859">
            <v>421000</v>
          </cell>
          <cell r="S1859">
            <v>0</v>
          </cell>
          <cell r="T1859">
            <v>421000</v>
          </cell>
          <cell r="U1859">
            <v>0</v>
          </cell>
          <cell r="V1859">
            <v>421000</v>
          </cell>
          <cell r="W1859">
            <v>0</v>
          </cell>
          <cell r="X1859">
            <v>421000</v>
          </cell>
          <cell r="Y1859">
            <v>0</v>
          </cell>
          <cell r="Z1859">
            <v>421000</v>
          </cell>
          <cell r="AA1859">
            <v>0</v>
          </cell>
          <cell r="AB1859">
            <v>0</v>
          </cell>
          <cell r="AC1859">
            <v>0</v>
          </cell>
          <cell r="AD1859">
            <v>3.56</v>
          </cell>
          <cell r="AE1859">
            <v>0</v>
          </cell>
          <cell r="AF1859">
            <v>0</v>
          </cell>
          <cell r="AG1859">
            <v>0</v>
          </cell>
          <cell r="AH1859">
            <v>0</v>
          </cell>
          <cell r="AI1859">
            <v>0</v>
          </cell>
          <cell r="AJ1859">
            <v>0</v>
          </cell>
          <cell r="AK1859">
            <v>0</v>
          </cell>
          <cell r="AL1859">
            <v>0</v>
          </cell>
        </row>
        <row r="1860">
          <cell r="E1860" t="str">
            <v>50Hz SC250 Kvar 13%</v>
          </cell>
          <cell r="F1860" t="str">
            <v>台</v>
          </cell>
          <cell r="G1860">
            <v>0</v>
          </cell>
          <cell r="H1860">
            <v>525000</v>
          </cell>
          <cell r="I1860">
            <v>0</v>
          </cell>
          <cell r="J1860">
            <v>525000</v>
          </cell>
          <cell r="K1860">
            <v>0</v>
          </cell>
          <cell r="L1860">
            <v>525000</v>
          </cell>
          <cell r="M1860">
            <v>0</v>
          </cell>
          <cell r="N1860">
            <v>525000</v>
          </cell>
          <cell r="O1860">
            <v>0</v>
          </cell>
          <cell r="P1860">
            <v>525000</v>
          </cell>
          <cell r="Q1860">
            <v>0</v>
          </cell>
          <cell r="R1860">
            <v>525000</v>
          </cell>
          <cell r="S1860">
            <v>0</v>
          </cell>
          <cell r="T1860">
            <v>525000</v>
          </cell>
          <cell r="U1860">
            <v>0</v>
          </cell>
          <cell r="V1860">
            <v>525000</v>
          </cell>
          <cell r="W1860">
            <v>0</v>
          </cell>
          <cell r="X1860">
            <v>525000</v>
          </cell>
          <cell r="Y1860">
            <v>0</v>
          </cell>
          <cell r="Z1860">
            <v>525000</v>
          </cell>
          <cell r="AA1860">
            <v>0</v>
          </cell>
          <cell r="AB1860">
            <v>0</v>
          </cell>
          <cell r="AC1860">
            <v>0</v>
          </cell>
          <cell r="AD1860">
            <v>4.4939999999999998</v>
          </cell>
          <cell r="AE1860">
            <v>0</v>
          </cell>
          <cell r="AF1860">
            <v>0</v>
          </cell>
          <cell r="AG1860">
            <v>0</v>
          </cell>
          <cell r="AH1860">
            <v>0</v>
          </cell>
          <cell r="AI1860">
            <v>0</v>
          </cell>
          <cell r="AJ1860">
            <v>0</v>
          </cell>
          <cell r="AK1860">
            <v>0</v>
          </cell>
          <cell r="AL1860">
            <v>0</v>
          </cell>
        </row>
        <row r="1861">
          <cell r="E1861" t="str">
            <v>50Hz SC300 Kvar 13%</v>
          </cell>
          <cell r="F1861" t="str">
            <v>台</v>
          </cell>
          <cell r="G1861">
            <v>0</v>
          </cell>
          <cell r="H1861">
            <v>625000</v>
          </cell>
          <cell r="I1861">
            <v>0</v>
          </cell>
          <cell r="J1861">
            <v>625000</v>
          </cell>
          <cell r="K1861">
            <v>0</v>
          </cell>
          <cell r="L1861">
            <v>625000</v>
          </cell>
          <cell r="M1861">
            <v>0</v>
          </cell>
          <cell r="N1861">
            <v>625000</v>
          </cell>
          <cell r="O1861">
            <v>0</v>
          </cell>
          <cell r="P1861">
            <v>625000</v>
          </cell>
          <cell r="Q1861">
            <v>0</v>
          </cell>
          <cell r="R1861">
            <v>625000</v>
          </cell>
          <cell r="S1861">
            <v>0</v>
          </cell>
          <cell r="T1861">
            <v>625000</v>
          </cell>
          <cell r="U1861">
            <v>0</v>
          </cell>
          <cell r="V1861">
            <v>625000</v>
          </cell>
          <cell r="W1861">
            <v>0</v>
          </cell>
          <cell r="X1861">
            <v>625000</v>
          </cell>
          <cell r="Y1861">
            <v>0</v>
          </cell>
          <cell r="Z1861">
            <v>625000</v>
          </cell>
          <cell r="AA1861">
            <v>0</v>
          </cell>
          <cell r="AB1861">
            <v>0</v>
          </cell>
          <cell r="AC1861">
            <v>0</v>
          </cell>
          <cell r="AD1861">
            <v>4.63</v>
          </cell>
          <cell r="AE1861">
            <v>0</v>
          </cell>
          <cell r="AF1861">
            <v>0</v>
          </cell>
          <cell r="AG1861">
            <v>0</v>
          </cell>
          <cell r="AH1861">
            <v>0</v>
          </cell>
          <cell r="AI1861">
            <v>0</v>
          </cell>
          <cell r="AJ1861">
            <v>0</v>
          </cell>
          <cell r="AK1861">
            <v>0</v>
          </cell>
          <cell r="AL1861">
            <v>0</v>
          </cell>
        </row>
        <row r="1862">
          <cell r="E1862" t="str">
            <v>50Hz SC500 Kvar 13%</v>
          </cell>
          <cell r="F1862" t="str">
            <v>台</v>
          </cell>
          <cell r="G1862">
            <v>0</v>
          </cell>
          <cell r="H1862">
            <v>1040000</v>
          </cell>
          <cell r="I1862">
            <v>0</v>
          </cell>
          <cell r="J1862">
            <v>1040000</v>
          </cell>
          <cell r="K1862">
            <v>0</v>
          </cell>
          <cell r="L1862">
            <v>1040000</v>
          </cell>
          <cell r="M1862">
            <v>0</v>
          </cell>
          <cell r="N1862">
            <v>1040000</v>
          </cell>
          <cell r="O1862">
            <v>0</v>
          </cell>
          <cell r="P1862">
            <v>1040000</v>
          </cell>
          <cell r="Q1862">
            <v>0</v>
          </cell>
          <cell r="R1862">
            <v>1040000</v>
          </cell>
          <cell r="S1862">
            <v>0</v>
          </cell>
          <cell r="T1862">
            <v>1040000</v>
          </cell>
          <cell r="U1862">
            <v>0</v>
          </cell>
          <cell r="V1862">
            <v>1040000</v>
          </cell>
          <cell r="W1862">
            <v>0</v>
          </cell>
          <cell r="X1862">
            <v>1040000</v>
          </cell>
          <cell r="Y1862">
            <v>0</v>
          </cell>
          <cell r="Z1862">
            <v>1040000</v>
          </cell>
          <cell r="AA1862">
            <v>0</v>
          </cell>
          <cell r="AB1862">
            <v>0</v>
          </cell>
          <cell r="AC1862">
            <v>0</v>
          </cell>
          <cell r="AD1862">
            <v>5.274</v>
          </cell>
          <cell r="AE1862">
            <v>0</v>
          </cell>
          <cell r="AF1862">
            <v>0</v>
          </cell>
          <cell r="AG1862">
            <v>0</v>
          </cell>
          <cell r="AH1862">
            <v>0</v>
          </cell>
          <cell r="AI1862">
            <v>0</v>
          </cell>
          <cell r="AJ1862">
            <v>0</v>
          </cell>
          <cell r="AK1862">
            <v>0</v>
          </cell>
          <cell r="AL1862">
            <v>0</v>
          </cell>
        </row>
        <row r="1863">
          <cell r="E1863" t="str">
            <v>60Hz SC 10 Kvar 13%</v>
          </cell>
          <cell r="F1863" t="str">
            <v>台</v>
          </cell>
          <cell r="G1863">
            <v>0</v>
          </cell>
          <cell r="H1863">
            <v>78400</v>
          </cell>
          <cell r="I1863">
            <v>0</v>
          </cell>
          <cell r="J1863">
            <v>78400</v>
          </cell>
          <cell r="K1863">
            <v>0</v>
          </cell>
          <cell r="L1863">
            <v>78400</v>
          </cell>
          <cell r="M1863">
            <v>0</v>
          </cell>
          <cell r="N1863">
            <v>78400</v>
          </cell>
          <cell r="O1863">
            <v>0</v>
          </cell>
          <cell r="P1863">
            <v>78400</v>
          </cell>
          <cell r="Q1863">
            <v>0</v>
          </cell>
          <cell r="R1863">
            <v>78400</v>
          </cell>
          <cell r="S1863">
            <v>0</v>
          </cell>
          <cell r="T1863">
            <v>78400</v>
          </cell>
          <cell r="U1863">
            <v>0</v>
          </cell>
          <cell r="V1863">
            <v>78400</v>
          </cell>
          <cell r="W1863">
            <v>0</v>
          </cell>
          <cell r="X1863">
            <v>78400</v>
          </cell>
          <cell r="Y1863">
            <v>0</v>
          </cell>
          <cell r="Z1863">
            <v>78400</v>
          </cell>
          <cell r="AA1863">
            <v>0</v>
          </cell>
          <cell r="AB1863">
            <v>0</v>
          </cell>
          <cell r="AC1863">
            <v>0</v>
          </cell>
          <cell r="AD1863">
            <v>0.496</v>
          </cell>
          <cell r="AE1863">
            <v>0</v>
          </cell>
          <cell r="AF1863">
            <v>0</v>
          </cell>
          <cell r="AG1863">
            <v>0</v>
          </cell>
          <cell r="AH1863">
            <v>0</v>
          </cell>
          <cell r="AI1863">
            <v>0</v>
          </cell>
          <cell r="AJ1863">
            <v>0</v>
          </cell>
          <cell r="AK1863">
            <v>0</v>
          </cell>
          <cell r="AL1863">
            <v>0</v>
          </cell>
        </row>
        <row r="1864">
          <cell r="E1864" t="str">
            <v>60Hz SC 15 Kvar 13%</v>
          </cell>
          <cell r="F1864" t="str">
            <v>台</v>
          </cell>
          <cell r="G1864">
            <v>0</v>
          </cell>
          <cell r="H1864">
            <v>88200</v>
          </cell>
          <cell r="I1864">
            <v>0</v>
          </cell>
          <cell r="J1864">
            <v>88200</v>
          </cell>
          <cell r="K1864">
            <v>0</v>
          </cell>
          <cell r="L1864">
            <v>88200</v>
          </cell>
          <cell r="M1864">
            <v>0</v>
          </cell>
          <cell r="N1864">
            <v>88200</v>
          </cell>
          <cell r="O1864">
            <v>0</v>
          </cell>
          <cell r="P1864">
            <v>88200</v>
          </cell>
          <cell r="Q1864">
            <v>0</v>
          </cell>
          <cell r="R1864">
            <v>88200</v>
          </cell>
          <cell r="S1864">
            <v>0</v>
          </cell>
          <cell r="T1864">
            <v>88200</v>
          </cell>
          <cell r="U1864">
            <v>0</v>
          </cell>
          <cell r="V1864">
            <v>88200</v>
          </cell>
          <cell r="W1864">
            <v>0</v>
          </cell>
          <cell r="X1864">
            <v>88200</v>
          </cell>
          <cell r="Y1864">
            <v>0</v>
          </cell>
          <cell r="Z1864">
            <v>88200</v>
          </cell>
          <cell r="AA1864">
            <v>0</v>
          </cell>
          <cell r="AB1864">
            <v>0</v>
          </cell>
          <cell r="AC1864">
            <v>0</v>
          </cell>
          <cell r="AD1864">
            <v>0.60199999999999998</v>
          </cell>
          <cell r="AE1864">
            <v>0</v>
          </cell>
          <cell r="AF1864">
            <v>0</v>
          </cell>
          <cell r="AG1864">
            <v>0</v>
          </cell>
          <cell r="AH1864">
            <v>0</v>
          </cell>
          <cell r="AI1864">
            <v>0</v>
          </cell>
          <cell r="AJ1864">
            <v>0</v>
          </cell>
          <cell r="AK1864">
            <v>0</v>
          </cell>
          <cell r="AL1864">
            <v>0</v>
          </cell>
        </row>
        <row r="1865">
          <cell r="E1865" t="str">
            <v>60Hz SC 20 Kvar 13%</v>
          </cell>
          <cell r="F1865" t="str">
            <v>台</v>
          </cell>
          <cell r="G1865">
            <v>0</v>
          </cell>
          <cell r="H1865">
            <v>100000</v>
          </cell>
          <cell r="I1865">
            <v>0</v>
          </cell>
          <cell r="J1865">
            <v>100000</v>
          </cell>
          <cell r="K1865">
            <v>0</v>
          </cell>
          <cell r="L1865">
            <v>100000</v>
          </cell>
          <cell r="M1865">
            <v>0</v>
          </cell>
          <cell r="N1865">
            <v>100000</v>
          </cell>
          <cell r="O1865">
            <v>0</v>
          </cell>
          <cell r="P1865">
            <v>100000</v>
          </cell>
          <cell r="Q1865">
            <v>0</v>
          </cell>
          <cell r="R1865">
            <v>100000</v>
          </cell>
          <cell r="S1865">
            <v>0</v>
          </cell>
          <cell r="T1865">
            <v>100000</v>
          </cell>
          <cell r="U1865">
            <v>0</v>
          </cell>
          <cell r="V1865">
            <v>100000</v>
          </cell>
          <cell r="W1865">
            <v>0</v>
          </cell>
          <cell r="X1865">
            <v>100000</v>
          </cell>
          <cell r="Y1865">
            <v>0</v>
          </cell>
          <cell r="Z1865">
            <v>100000</v>
          </cell>
          <cell r="AA1865">
            <v>0</v>
          </cell>
          <cell r="AB1865">
            <v>0</v>
          </cell>
          <cell r="AC1865">
            <v>0</v>
          </cell>
          <cell r="AD1865">
            <v>0.88400000000000001</v>
          </cell>
          <cell r="AE1865">
            <v>0</v>
          </cell>
          <cell r="AF1865">
            <v>0</v>
          </cell>
          <cell r="AG1865">
            <v>0</v>
          </cell>
          <cell r="AH1865">
            <v>0</v>
          </cell>
          <cell r="AI1865">
            <v>0</v>
          </cell>
          <cell r="AJ1865">
            <v>0</v>
          </cell>
          <cell r="AK1865">
            <v>0</v>
          </cell>
          <cell r="AL1865">
            <v>0</v>
          </cell>
        </row>
        <row r="1866">
          <cell r="E1866" t="str">
            <v>60Hz SC 25 Kvar 13%</v>
          </cell>
          <cell r="F1866" t="str">
            <v>台</v>
          </cell>
          <cell r="G1866">
            <v>0</v>
          </cell>
          <cell r="H1866">
            <v>110000</v>
          </cell>
          <cell r="I1866">
            <v>0</v>
          </cell>
          <cell r="J1866">
            <v>110000</v>
          </cell>
          <cell r="K1866">
            <v>0</v>
          </cell>
          <cell r="L1866">
            <v>110000</v>
          </cell>
          <cell r="M1866">
            <v>0</v>
          </cell>
          <cell r="N1866">
            <v>110000</v>
          </cell>
          <cell r="O1866">
            <v>0</v>
          </cell>
          <cell r="P1866">
            <v>110000</v>
          </cell>
          <cell r="Q1866">
            <v>0</v>
          </cell>
          <cell r="R1866">
            <v>110000</v>
          </cell>
          <cell r="S1866">
            <v>0</v>
          </cell>
          <cell r="T1866">
            <v>110000</v>
          </cell>
          <cell r="U1866">
            <v>0</v>
          </cell>
          <cell r="V1866">
            <v>110000</v>
          </cell>
          <cell r="W1866">
            <v>0</v>
          </cell>
          <cell r="X1866">
            <v>110000</v>
          </cell>
          <cell r="Y1866">
            <v>0</v>
          </cell>
          <cell r="Z1866">
            <v>110000</v>
          </cell>
          <cell r="AA1866">
            <v>0</v>
          </cell>
          <cell r="AB1866">
            <v>0</v>
          </cell>
          <cell r="AC1866">
            <v>0</v>
          </cell>
          <cell r="AD1866">
            <v>1.1160000000000001</v>
          </cell>
          <cell r="AE1866">
            <v>0</v>
          </cell>
          <cell r="AF1866">
            <v>0</v>
          </cell>
          <cell r="AG1866">
            <v>0</v>
          </cell>
          <cell r="AH1866">
            <v>0</v>
          </cell>
          <cell r="AI1866">
            <v>0</v>
          </cell>
          <cell r="AJ1866">
            <v>0</v>
          </cell>
          <cell r="AK1866">
            <v>0</v>
          </cell>
          <cell r="AL1866">
            <v>0</v>
          </cell>
        </row>
        <row r="1867">
          <cell r="E1867" t="str">
            <v>60Hz SC 30 Kvar 13%</v>
          </cell>
          <cell r="F1867" t="str">
            <v>台</v>
          </cell>
          <cell r="G1867">
            <v>0</v>
          </cell>
          <cell r="H1867">
            <v>128000</v>
          </cell>
          <cell r="I1867">
            <v>0</v>
          </cell>
          <cell r="J1867">
            <v>128000</v>
          </cell>
          <cell r="K1867">
            <v>0</v>
          </cell>
          <cell r="L1867">
            <v>128000</v>
          </cell>
          <cell r="M1867">
            <v>0</v>
          </cell>
          <cell r="N1867">
            <v>128000</v>
          </cell>
          <cell r="O1867">
            <v>0</v>
          </cell>
          <cell r="P1867">
            <v>128000</v>
          </cell>
          <cell r="Q1867">
            <v>0</v>
          </cell>
          <cell r="R1867">
            <v>128000</v>
          </cell>
          <cell r="S1867">
            <v>0</v>
          </cell>
          <cell r="T1867">
            <v>128000</v>
          </cell>
          <cell r="U1867">
            <v>0</v>
          </cell>
          <cell r="V1867">
            <v>128000</v>
          </cell>
          <cell r="W1867">
            <v>0</v>
          </cell>
          <cell r="X1867">
            <v>128000</v>
          </cell>
          <cell r="Y1867">
            <v>0</v>
          </cell>
          <cell r="Z1867">
            <v>128000</v>
          </cell>
          <cell r="AA1867">
            <v>0</v>
          </cell>
          <cell r="AB1867">
            <v>0</v>
          </cell>
          <cell r="AC1867">
            <v>0</v>
          </cell>
          <cell r="AD1867">
            <v>1.1499999999999999</v>
          </cell>
          <cell r="AE1867">
            <v>0</v>
          </cell>
          <cell r="AF1867">
            <v>0</v>
          </cell>
          <cell r="AG1867">
            <v>0</v>
          </cell>
          <cell r="AH1867">
            <v>0</v>
          </cell>
          <cell r="AI1867">
            <v>0</v>
          </cell>
          <cell r="AJ1867">
            <v>0</v>
          </cell>
          <cell r="AK1867">
            <v>0</v>
          </cell>
          <cell r="AL1867">
            <v>0</v>
          </cell>
        </row>
        <row r="1868">
          <cell r="E1868" t="str">
            <v>60Hz SC 50 Kvar 13%</v>
          </cell>
          <cell r="F1868" t="str">
            <v>台</v>
          </cell>
          <cell r="G1868">
            <v>0</v>
          </cell>
          <cell r="H1868">
            <v>149000</v>
          </cell>
          <cell r="I1868">
            <v>0</v>
          </cell>
          <cell r="J1868">
            <v>149000</v>
          </cell>
          <cell r="K1868">
            <v>0</v>
          </cell>
          <cell r="L1868">
            <v>149000</v>
          </cell>
          <cell r="M1868">
            <v>0</v>
          </cell>
          <cell r="N1868">
            <v>149000</v>
          </cell>
          <cell r="O1868">
            <v>0</v>
          </cell>
          <cell r="P1868">
            <v>149000</v>
          </cell>
          <cell r="Q1868">
            <v>0</v>
          </cell>
          <cell r="R1868">
            <v>149000</v>
          </cell>
          <cell r="S1868">
            <v>0</v>
          </cell>
          <cell r="T1868">
            <v>149000</v>
          </cell>
          <cell r="U1868">
            <v>0</v>
          </cell>
          <cell r="V1868">
            <v>149000</v>
          </cell>
          <cell r="W1868">
            <v>0</v>
          </cell>
          <cell r="X1868">
            <v>149000</v>
          </cell>
          <cell r="Y1868">
            <v>0</v>
          </cell>
          <cell r="Z1868">
            <v>149000</v>
          </cell>
          <cell r="AA1868">
            <v>0</v>
          </cell>
          <cell r="AB1868">
            <v>0</v>
          </cell>
          <cell r="AC1868">
            <v>0</v>
          </cell>
          <cell r="AD1868">
            <v>1.31</v>
          </cell>
          <cell r="AE1868">
            <v>0</v>
          </cell>
          <cell r="AF1868">
            <v>0</v>
          </cell>
          <cell r="AG1868">
            <v>0</v>
          </cell>
          <cell r="AH1868">
            <v>0</v>
          </cell>
          <cell r="AI1868">
            <v>0</v>
          </cell>
          <cell r="AJ1868">
            <v>0</v>
          </cell>
          <cell r="AK1868">
            <v>0</v>
          </cell>
          <cell r="AL1868">
            <v>0</v>
          </cell>
        </row>
        <row r="1869">
          <cell r="E1869" t="str">
            <v>60Hz SC 75 Kvar 13%</v>
          </cell>
          <cell r="F1869" t="str">
            <v>台</v>
          </cell>
          <cell r="G1869">
            <v>0</v>
          </cell>
          <cell r="H1869">
            <v>186000</v>
          </cell>
          <cell r="I1869">
            <v>0</v>
          </cell>
          <cell r="J1869">
            <v>186000</v>
          </cell>
          <cell r="K1869">
            <v>0</v>
          </cell>
          <cell r="L1869">
            <v>186000</v>
          </cell>
          <cell r="M1869">
            <v>0</v>
          </cell>
          <cell r="N1869">
            <v>186000</v>
          </cell>
          <cell r="O1869">
            <v>0</v>
          </cell>
          <cell r="P1869">
            <v>186000</v>
          </cell>
          <cell r="Q1869">
            <v>0</v>
          </cell>
          <cell r="R1869">
            <v>186000</v>
          </cell>
          <cell r="S1869">
            <v>0</v>
          </cell>
          <cell r="T1869">
            <v>186000</v>
          </cell>
          <cell r="U1869">
            <v>0</v>
          </cell>
          <cell r="V1869">
            <v>186000</v>
          </cell>
          <cell r="W1869">
            <v>0</v>
          </cell>
          <cell r="X1869">
            <v>186000</v>
          </cell>
          <cell r="Y1869">
            <v>0</v>
          </cell>
          <cell r="Z1869">
            <v>186000</v>
          </cell>
          <cell r="AA1869">
            <v>0</v>
          </cell>
          <cell r="AB1869">
            <v>0</v>
          </cell>
          <cell r="AC1869">
            <v>0</v>
          </cell>
          <cell r="AD1869">
            <v>2.2599999999999998</v>
          </cell>
          <cell r="AE1869">
            <v>0</v>
          </cell>
          <cell r="AF1869">
            <v>0</v>
          </cell>
          <cell r="AG1869">
            <v>0</v>
          </cell>
          <cell r="AH1869">
            <v>0</v>
          </cell>
          <cell r="AI1869">
            <v>0</v>
          </cell>
          <cell r="AJ1869">
            <v>0</v>
          </cell>
          <cell r="AK1869">
            <v>0</v>
          </cell>
          <cell r="AL1869">
            <v>0</v>
          </cell>
        </row>
        <row r="1870">
          <cell r="E1870" t="str">
            <v>60Hz SC100 Kvar 13%</v>
          </cell>
          <cell r="F1870" t="str">
            <v>台</v>
          </cell>
          <cell r="G1870">
            <v>0</v>
          </cell>
          <cell r="H1870">
            <v>217000</v>
          </cell>
          <cell r="I1870">
            <v>0</v>
          </cell>
          <cell r="J1870">
            <v>217000</v>
          </cell>
          <cell r="K1870">
            <v>0</v>
          </cell>
          <cell r="L1870">
            <v>217000</v>
          </cell>
          <cell r="M1870">
            <v>0</v>
          </cell>
          <cell r="N1870">
            <v>217000</v>
          </cell>
          <cell r="O1870">
            <v>0</v>
          </cell>
          <cell r="P1870">
            <v>217000</v>
          </cell>
          <cell r="Q1870">
            <v>0</v>
          </cell>
          <cell r="R1870">
            <v>217000</v>
          </cell>
          <cell r="S1870">
            <v>0</v>
          </cell>
          <cell r="T1870">
            <v>217000</v>
          </cell>
          <cell r="U1870">
            <v>0</v>
          </cell>
          <cell r="V1870">
            <v>217000</v>
          </cell>
          <cell r="W1870">
            <v>0</v>
          </cell>
          <cell r="X1870">
            <v>217000</v>
          </cell>
          <cell r="Y1870">
            <v>0</v>
          </cell>
          <cell r="Z1870">
            <v>217000</v>
          </cell>
          <cell r="AA1870">
            <v>0</v>
          </cell>
          <cell r="AB1870">
            <v>0</v>
          </cell>
          <cell r="AC1870">
            <v>0</v>
          </cell>
          <cell r="AD1870">
            <v>2.52</v>
          </cell>
          <cell r="AE1870">
            <v>0</v>
          </cell>
          <cell r="AF1870">
            <v>0</v>
          </cell>
          <cell r="AG1870">
            <v>0</v>
          </cell>
          <cell r="AH1870">
            <v>0</v>
          </cell>
          <cell r="AI1870">
            <v>0</v>
          </cell>
          <cell r="AJ1870">
            <v>0</v>
          </cell>
          <cell r="AK1870">
            <v>0</v>
          </cell>
          <cell r="AL1870">
            <v>0</v>
          </cell>
        </row>
        <row r="1871">
          <cell r="E1871" t="str">
            <v>60Hz SC150 Kvar 13%</v>
          </cell>
          <cell r="F1871" t="str">
            <v>台</v>
          </cell>
          <cell r="G1871">
            <v>0</v>
          </cell>
          <cell r="H1871">
            <v>296000</v>
          </cell>
          <cell r="I1871">
            <v>0</v>
          </cell>
          <cell r="J1871">
            <v>296000</v>
          </cell>
          <cell r="K1871">
            <v>0</v>
          </cell>
          <cell r="L1871">
            <v>296000</v>
          </cell>
          <cell r="M1871">
            <v>0</v>
          </cell>
          <cell r="N1871">
            <v>296000</v>
          </cell>
          <cell r="O1871">
            <v>0</v>
          </cell>
          <cell r="P1871">
            <v>296000</v>
          </cell>
          <cell r="Q1871">
            <v>0</v>
          </cell>
          <cell r="R1871">
            <v>296000</v>
          </cell>
          <cell r="S1871">
            <v>0</v>
          </cell>
          <cell r="T1871">
            <v>296000</v>
          </cell>
          <cell r="U1871">
            <v>0</v>
          </cell>
          <cell r="V1871">
            <v>296000</v>
          </cell>
          <cell r="W1871">
            <v>0</v>
          </cell>
          <cell r="X1871">
            <v>296000</v>
          </cell>
          <cell r="Y1871">
            <v>0</v>
          </cell>
          <cell r="Z1871">
            <v>296000</v>
          </cell>
          <cell r="AA1871">
            <v>0</v>
          </cell>
          <cell r="AB1871">
            <v>0</v>
          </cell>
          <cell r="AC1871">
            <v>0</v>
          </cell>
          <cell r="AD1871">
            <v>3.18</v>
          </cell>
          <cell r="AE1871">
            <v>0</v>
          </cell>
          <cell r="AF1871">
            <v>0</v>
          </cell>
          <cell r="AG1871">
            <v>0</v>
          </cell>
          <cell r="AH1871">
            <v>0</v>
          </cell>
          <cell r="AI1871">
            <v>0</v>
          </cell>
          <cell r="AJ1871">
            <v>0</v>
          </cell>
          <cell r="AK1871">
            <v>0</v>
          </cell>
          <cell r="AL1871">
            <v>0</v>
          </cell>
        </row>
        <row r="1872">
          <cell r="E1872" t="str">
            <v>60Hz SC200 Kvar 13%</v>
          </cell>
          <cell r="F1872" t="str">
            <v>台</v>
          </cell>
          <cell r="G1872">
            <v>0</v>
          </cell>
          <cell r="H1872">
            <v>379000</v>
          </cell>
          <cell r="I1872">
            <v>0</v>
          </cell>
          <cell r="J1872">
            <v>379000</v>
          </cell>
          <cell r="K1872">
            <v>0</v>
          </cell>
          <cell r="L1872">
            <v>379000</v>
          </cell>
          <cell r="M1872">
            <v>0</v>
          </cell>
          <cell r="N1872">
            <v>379000</v>
          </cell>
          <cell r="O1872">
            <v>0</v>
          </cell>
          <cell r="P1872">
            <v>379000</v>
          </cell>
          <cell r="Q1872">
            <v>0</v>
          </cell>
          <cell r="R1872">
            <v>379000</v>
          </cell>
          <cell r="S1872">
            <v>0</v>
          </cell>
          <cell r="T1872">
            <v>379000</v>
          </cell>
          <cell r="U1872">
            <v>0</v>
          </cell>
          <cell r="V1872">
            <v>379000</v>
          </cell>
          <cell r="W1872">
            <v>0</v>
          </cell>
          <cell r="X1872">
            <v>379000</v>
          </cell>
          <cell r="Y1872">
            <v>0</v>
          </cell>
          <cell r="Z1872">
            <v>379000</v>
          </cell>
          <cell r="AA1872">
            <v>0</v>
          </cell>
          <cell r="AB1872">
            <v>0</v>
          </cell>
          <cell r="AC1872">
            <v>0</v>
          </cell>
          <cell r="AD1872">
            <v>3.56</v>
          </cell>
          <cell r="AE1872">
            <v>0</v>
          </cell>
          <cell r="AF1872">
            <v>0</v>
          </cell>
          <cell r="AG1872">
            <v>0</v>
          </cell>
          <cell r="AH1872">
            <v>0</v>
          </cell>
          <cell r="AI1872">
            <v>0</v>
          </cell>
          <cell r="AJ1872">
            <v>0</v>
          </cell>
          <cell r="AK1872">
            <v>0</v>
          </cell>
          <cell r="AL1872">
            <v>0</v>
          </cell>
        </row>
        <row r="1873">
          <cell r="E1873" t="str">
            <v>60Hz SC250 Kvar 13%</v>
          </cell>
          <cell r="F1873" t="str">
            <v>台</v>
          </cell>
          <cell r="G1873">
            <v>0</v>
          </cell>
          <cell r="H1873">
            <v>472000</v>
          </cell>
          <cell r="I1873">
            <v>0</v>
          </cell>
          <cell r="J1873">
            <v>472000</v>
          </cell>
          <cell r="K1873">
            <v>0</v>
          </cell>
          <cell r="L1873">
            <v>472000</v>
          </cell>
          <cell r="M1873">
            <v>0</v>
          </cell>
          <cell r="N1873">
            <v>472000</v>
          </cell>
          <cell r="O1873">
            <v>0</v>
          </cell>
          <cell r="P1873">
            <v>472000</v>
          </cell>
          <cell r="Q1873">
            <v>0</v>
          </cell>
          <cell r="R1873">
            <v>472000</v>
          </cell>
          <cell r="S1873">
            <v>0</v>
          </cell>
          <cell r="T1873">
            <v>472000</v>
          </cell>
          <cell r="U1873">
            <v>0</v>
          </cell>
          <cell r="V1873">
            <v>472000</v>
          </cell>
          <cell r="W1873">
            <v>0</v>
          </cell>
          <cell r="X1873">
            <v>472000</v>
          </cell>
          <cell r="Y1873">
            <v>0</v>
          </cell>
          <cell r="Z1873">
            <v>472000</v>
          </cell>
          <cell r="AA1873">
            <v>0</v>
          </cell>
          <cell r="AB1873">
            <v>0</v>
          </cell>
          <cell r="AC1873">
            <v>0</v>
          </cell>
          <cell r="AD1873">
            <v>4.4939999999999998</v>
          </cell>
          <cell r="AE1873">
            <v>0</v>
          </cell>
          <cell r="AF1873">
            <v>0</v>
          </cell>
          <cell r="AG1873">
            <v>0</v>
          </cell>
          <cell r="AH1873">
            <v>0</v>
          </cell>
          <cell r="AI1873">
            <v>0</v>
          </cell>
          <cell r="AJ1873">
            <v>0</v>
          </cell>
          <cell r="AK1873">
            <v>0</v>
          </cell>
          <cell r="AL1873">
            <v>0</v>
          </cell>
        </row>
        <row r="1874">
          <cell r="E1874" t="str">
            <v>60Hz SC300 Kvar 13%</v>
          </cell>
          <cell r="F1874" t="str">
            <v>台</v>
          </cell>
          <cell r="G1874">
            <v>0</v>
          </cell>
          <cell r="H1874">
            <v>562000</v>
          </cell>
          <cell r="I1874">
            <v>0</v>
          </cell>
          <cell r="J1874">
            <v>562000</v>
          </cell>
          <cell r="K1874">
            <v>0</v>
          </cell>
          <cell r="L1874">
            <v>562000</v>
          </cell>
          <cell r="M1874">
            <v>0</v>
          </cell>
          <cell r="N1874">
            <v>562000</v>
          </cell>
          <cell r="O1874">
            <v>0</v>
          </cell>
          <cell r="P1874">
            <v>562000</v>
          </cell>
          <cell r="Q1874">
            <v>0</v>
          </cell>
          <cell r="R1874">
            <v>562000</v>
          </cell>
          <cell r="S1874">
            <v>0</v>
          </cell>
          <cell r="T1874">
            <v>562000</v>
          </cell>
          <cell r="U1874">
            <v>0</v>
          </cell>
          <cell r="V1874">
            <v>562000</v>
          </cell>
          <cell r="W1874">
            <v>0</v>
          </cell>
          <cell r="X1874">
            <v>562000</v>
          </cell>
          <cell r="Y1874">
            <v>0</v>
          </cell>
          <cell r="Z1874">
            <v>562000</v>
          </cell>
          <cell r="AA1874">
            <v>0</v>
          </cell>
          <cell r="AB1874">
            <v>0</v>
          </cell>
          <cell r="AC1874">
            <v>0</v>
          </cell>
          <cell r="AD1874">
            <v>4.63</v>
          </cell>
          <cell r="AE1874">
            <v>0</v>
          </cell>
          <cell r="AF1874">
            <v>0</v>
          </cell>
          <cell r="AG1874">
            <v>0</v>
          </cell>
          <cell r="AH1874">
            <v>0</v>
          </cell>
          <cell r="AI1874">
            <v>0</v>
          </cell>
          <cell r="AJ1874">
            <v>0</v>
          </cell>
          <cell r="AK1874">
            <v>0</v>
          </cell>
          <cell r="AL1874">
            <v>0</v>
          </cell>
        </row>
        <row r="1875">
          <cell r="E1875" t="str">
            <v>60Hz SC400 Kvar 13%</v>
          </cell>
          <cell r="F1875" t="str">
            <v>台</v>
          </cell>
          <cell r="G1875">
            <v>0</v>
          </cell>
          <cell r="H1875">
            <v>746000</v>
          </cell>
          <cell r="I1875">
            <v>0</v>
          </cell>
          <cell r="J1875">
            <v>746000</v>
          </cell>
          <cell r="K1875">
            <v>0</v>
          </cell>
          <cell r="L1875">
            <v>746000</v>
          </cell>
          <cell r="M1875">
            <v>0</v>
          </cell>
          <cell r="N1875">
            <v>746000</v>
          </cell>
          <cell r="O1875">
            <v>0</v>
          </cell>
          <cell r="P1875">
            <v>746000</v>
          </cell>
          <cell r="Q1875">
            <v>0</v>
          </cell>
          <cell r="R1875">
            <v>746000</v>
          </cell>
          <cell r="S1875">
            <v>0</v>
          </cell>
          <cell r="T1875">
            <v>746000</v>
          </cell>
          <cell r="U1875">
            <v>0</v>
          </cell>
          <cell r="V1875">
            <v>746000</v>
          </cell>
          <cell r="W1875">
            <v>0</v>
          </cell>
          <cell r="X1875">
            <v>746000</v>
          </cell>
          <cell r="Y1875">
            <v>0</v>
          </cell>
          <cell r="Z1875">
            <v>746000</v>
          </cell>
          <cell r="AA1875">
            <v>0</v>
          </cell>
          <cell r="AB1875">
            <v>0</v>
          </cell>
          <cell r="AC1875">
            <v>0</v>
          </cell>
          <cell r="AD1875">
            <v>4.9379999999999997</v>
          </cell>
          <cell r="AE1875">
            <v>0</v>
          </cell>
          <cell r="AF1875">
            <v>0</v>
          </cell>
          <cell r="AG1875">
            <v>0</v>
          </cell>
          <cell r="AH1875">
            <v>0</v>
          </cell>
          <cell r="AI1875">
            <v>0</v>
          </cell>
          <cell r="AJ1875">
            <v>0</v>
          </cell>
          <cell r="AK1875">
            <v>0</v>
          </cell>
          <cell r="AL1875">
            <v>0</v>
          </cell>
        </row>
        <row r="1876">
          <cell r="E1876" t="str">
            <v>60Hz SC500 Kvar 13%</v>
          </cell>
          <cell r="F1876" t="str">
            <v>台</v>
          </cell>
          <cell r="G1876">
            <v>0</v>
          </cell>
          <cell r="H1876">
            <v>930000</v>
          </cell>
          <cell r="I1876">
            <v>0</v>
          </cell>
          <cell r="J1876">
            <v>930000</v>
          </cell>
          <cell r="K1876">
            <v>0</v>
          </cell>
          <cell r="L1876">
            <v>930000</v>
          </cell>
          <cell r="M1876">
            <v>0</v>
          </cell>
          <cell r="N1876">
            <v>930000</v>
          </cell>
          <cell r="O1876">
            <v>0</v>
          </cell>
          <cell r="P1876">
            <v>930000</v>
          </cell>
          <cell r="Q1876">
            <v>0</v>
          </cell>
          <cell r="R1876">
            <v>930000</v>
          </cell>
          <cell r="S1876">
            <v>0</v>
          </cell>
          <cell r="T1876">
            <v>930000</v>
          </cell>
          <cell r="U1876">
            <v>0</v>
          </cell>
          <cell r="V1876">
            <v>930000</v>
          </cell>
          <cell r="W1876">
            <v>0</v>
          </cell>
          <cell r="X1876">
            <v>930000</v>
          </cell>
          <cell r="Y1876">
            <v>0</v>
          </cell>
          <cell r="Z1876">
            <v>930000</v>
          </cell>
          <cell r="AA1876">
            <v>0</v>
          </cell>
          <cell r="AB1876">
            <v>0</v>
          </cell>
          <cell r="AC1876">
            <v>0</v>
          </cell>
          <cell r="AD1876">
            <v>5.274</v>
          </cell>
          <cell r="AE1876">
            <v>0</v>
          </cell>
          <cell r="AF1876">
            <v>0</v>
          </cell>
          <cell r="AG1876">
            <v>0</v>
          </cell>
          <cell r="AH1876">
            <v>0</v>
          </cell>
          <cell r="AI1876">
            <v>0</v>
          </cell>
          <cell r="AJ1876">
            <v>0</v>
          </cell>
          <cell r="AK1876">
            <v>0</v>
          </cell>
          <cell r="AL1876">
            <v>0</v>
          </cell>
        </row>
        <row r="1877">
          <cell r="E1877" t="str">
            <v>50Hz SR 10 Kvar 6%</v>
          </cell>
          <cell r="F1877" t="str">
            <v>台</v>
          </cell>
          <cell r="G1877">
            <v>0</v>
          </cell>
          <cell r="H1877">
            <v>411000</v>
          </cell>
          <cell r="I1877">
            <v>0</v>
          </cell>
          <cell r="J1877">
            <v>411000</v>
          </cell>
          <cell r="K1877">
            <v>0</v>
          </cell>
          <cell r="L1877">
            <v>411000</v>
          </cell>
          <cell r="M1877">
            <v>0</v>
          </cell>
          <cell r="N1877">
            <v>411000</v>
          </cell>
          <cell r="O1877">
            <v>0</v>
          </cell>
          <cell r="P1877">
            <v>411000</v>
          </cell>
          <cell r="Q1877">
            <v>0</v>
          </cell>
          <cell r="R1877">
            <v>411000</v>
          </cell>
          <cell r="S1877">
            <v>0</v>
          </cell>
          <cell r="T1877">
            <v>411000</v>
          </cell>
          <cell r="U1877">
            <v>0</v>
          </cell>
          <cell r="V1877">
            <v>411000</v>
          </cell>
          <cell r="W1877">
            <v>0</v>
          </cell>
          <cell r="X1877">
            <v>411000</v>
          </cell>
          <cell r="Y1877">
            <v>0</v>
          </cell>
          <cell r="Z1877">
            <v>411000</v>
          </cell>
          <cell r="AA1877">
            <v>0</v>
          </cell>
          <cell r="AB1877">
            <v>0</v>
          </cell>
          <cell r="AC1877">
            <v>0</v>
          </cell>
          <cell r="AD1877">
            <v>0.60799999999999998</v>
          </cell>
          <cell r="AE1877">
            <v>0</v>
          </cell>
          <cell r="AF1877">
            <v>0</v>
          </cell>
          <cell r="AG1877">
            <v>0</v>
          </cell>
          <cell r="AH1877">
            <v>0</v>
          </cell>
          <cell r="AI1877">
            <v>0</v>
          </cell>
          <cell r="AJ1877">
            <v>0</v>
          </cell>
          <cell r="AK1877">
            <v>0</v>
          </cell>
          <cell r="AL1877">
            <v>0</v>
          </cell>
        </row>
        <row r="1878">
          <cell r="E1878" t="str">
            <v>50Hz SR 15 Kvar 6%</v>
          </cell>
          <cell r="F1878" t="str">
            <v>台</v>
          </cell>
          <cell r="G1878">
            <v>0</v>
          </cell>
          <cell r="H1878">
            <v>411000</v>
          </cell>
          <cell r="I1878">
            <v>0</v>
          </cell>
          <cell r="J1878">
            <v>411000</v>
          </cell>
          <cell r="K1878">
            <v>0</v>
          </cell>
          <cell r="L1878">
            <v>411000</v>
          </cell>
          <cell r="M1878">
            <v>0</v>
          </cell>
          <cell r="N1878">
            <v>411000</v>
          </cell>
          <cell r="O1878">
            <v>0</v>
          </cell>
          <cell r="P1878">
            <v>411000</v>
          </cell>
          <cell r="Q1878">
            <v>0</v>
          </cell>
          <cell r="R1878">
            <v>411000</v>
          </cell>
          <cell r="S1878">
            <v>0</v>
          </cell>
          <cell r="T1878">
            <v>411000</v>
          </cell>
          <cell r="U1878">
            <v>0</v>
          </cell>
          <cell r="V1878">
            <v>411000</v>
          </cell>
          <cell r="W1878">
            <v>0</v>
          </cell>
          <cell r="X1878">
            <v>411000</v>
          </cell>
          <cell r="Y1878">
            <v>0</v>
          </cell>
          <cell r="Z1878">
            <v>411000</v>
          </cell>
          <cell r="AA1878">
            <v>0</v>
          </cell>
          <cell r="AB1878">
            <v>0</v>
          </cell>
          <cell r="AC1878">
            <v>0</v>
          </cell>
          <cell r="AD1878">
            <v>0.65900000000000003</v>
          </cell>
          <cell r="AE1878">
            <v>0</v>
          </cell>
          <cell r="AF1878">
            <v>0</v>
          </cell>
          <cell r="AG1878">
            <v>0</v>
          </cell>
          <cell r="AH1878">
            <v>0</v>
          </cell>
          <cell r="AI1878">
            <v>0</v>
          </cell>
          <cell r="AJ1878">
            <v>0</v>
          </cell>
          <cell r="AK1878">
            <v>0</v>
          </cell>
          <cell r="AL1878">
            <v>0</v>
          </cell>
        </row>
        <row r="1879">
          <cell r="E1879" t="str">
            <v>50Hz SR 20 Kvar 6%</v>
          </cell>
          <cell r="F1879" t="str">
            <v>台</v>
          </cell>
          <cell r="G1879">
            <v>0</v>
          </cell>
          <cell r="H1879">
            <v>411000</v>
          </cell>
          <cell r="I1879">
            <v>0</v>
          </cell>
          <cell r="J1879">
            <v>411000</v>
          </cell>
          <cell r="K1879">
            <v>0</v>
          </cell>
          <cell r="L1879">
            <v>411000</v>
          </cell>
          <cell r="M1879">
            <v>0</v>
          </cell>
          <cell r="N1879">
            <v>411000</v>
          </cell>
          <cell r="O1879">
            <v>0</v>
          </cell>
          <cell r="P1879">
            <v>411000</v>
          </cell>
          <cell r="Q1879">
            <v>0</v>
          </cell>
          <cell r="R1879">
            <v>411000</v>
          </cell>
          <cell r="S1879">
            <v>0</v>
          </cell>
          <cell r="T1879">
            <v>411000</v>
          </cell>
          <cell r="U1879">
            <v>0</v>
          </cell>
          <cell r="V1879">
            <v>411000</v>
          </cell>
          <cell r="W1879">
            <v>0</v>
          </cell>
          <cell r="X1879">
            <v>411000</v>
          </cell>
          <cell r="Y1879">
            <v>0</v>
          </cell>
          <cell r="Z1879">
            <v>411000</v>
          </cell>
          <cell r="AA1879">
            <v>0</v>
          </cell>
          <cell r="AB1879">
            <v>0</v>
          </cell>
          <cell r="AC1879">
            <v>0</v>
          </cell>
          <cell r="AD1879">
            <v>0.79600000000000004</v>
          </cell>
          <cell r="AE1879">
            <v>0</v>
          </cell>
          <cell r="AF1879">
            <v>0</v>
          </cell>
          <cell r="AG1879">
            <v>0</v>
          </cell>
          <cell r="AH1879">
            <v>0</v>
          </cell>
          <cell r="AI1879">
            <v>0</v>
          </cell>
          <cell r="AJ1879">
            <v>0</v>
          </cell>
          <cell r="AK1879">
            <v>0</v>
          </cell>
          <cell r="AL1879">
            <v>0</v>
          </cell>
        </row>
        <row r="1880">
          <cell r="E1880" t="str">
            <v>50Hz SR 25 Kvar 6%</v>
          </cell>
          <cell r="F1880" t="str">
            <v>台</v>
          </cell>
          <cell r="G1880">
            <v>0</v>
          </cell>
          <cell r="H1880">
            <v>411000</v>
          </cell>
          <cell r="I1880">
            <v>0</v>
          </cell>
          <cell r="J1880">
            <v>411000</v>
          </cell>
          <cell r="K1880">
            <v>0</v>
          </cell>
          <cell r="L1880">
            <v>411000</v>
          </cell>
          <cell r="M1880">
            <v>0</v>
          </cell>
          <cell r="N1880">
            <v>411000</v>
          </cell>
          <cell r="O1880">
            <v>0</v>
          </cell>
          <cell r="P1880">
            <v>411000</v>
          </cell>
          <cell r="Q1880">
            <v>0</v>
          </cell>
          <cell r="R1880">
            <v>411000</v>
          </cell>
          <cell r="S1880">
            <v>0</v>
          </cell>
          <cell r="T1880">
            <v>411000</v>
          </cell>
          <cell r="U1880">
            <v>0</v>
          </cell>
          <cell r="V1880">
            <v>411000</v>
          </cell>
          <cell r="W1880">
            <v>0</v>
          </cell>
          <cell r="X1880">
            <v>411000</v>
          </cell>
          <cell r="Y1880">
            <v>0</v>
          </cell>
          <cell r="Z1880">
            <v>411000</v>
          </cell>
          <cell r="AA1880">
            <v>0</v>
          </cell>
          <cell r="AB1880">
            <v>0</v>
          </cell>
          <cell r="AC1880">
            <v>0</v>
          </cell>
          <cell r="AD1880">
            <v>0.96099999999999997</v>
          </cell>
          <cell r="AE1880">
            <v>0</v>
          </cell>
          <cell r="AF1880">
            <v>0</v>
          </cell>
          <cell r="AG1880">
            <v>0</v>
          </cell>
          <cell r="AH1880">
            <v>0</v>
          </cell>
          <cell r="AI1880">
            <v>0</v>
          </cell>
          <cell r="AJ1880">
            <v>0</v>
          </cell>
          <cell r="AK1880">
            <v>0</v>
          </cell>
          <cell r="AL1880">
            <v>0</v>
          </cell>
        </row>
        <row r="1881">
          <cell r="E1881" t="str">
            <v>50Hz SR 30 Kvar 6%</v>
          </cell>
          <cell r="F1881" t="str">
            <v>台</v>
          </cell>
          <cell r="G1881">
            <v>0</v>
          </cell>
          <cell r="H1881">
            <v>449000</v>
          </cell>
          <cell r="I1881">
            <v>0</v>
          </cell>
          <cell r="J1881">
            <v>449000</v>
          </cell>
          <cell r="K1881">
            <v>0</v>
          </cell>
          <cell r="L1881">
            <v>449000</v>
          </cell>
          <cell r="M1881">
            <v>0</v>
          </cell>
          <cell r="N1881">
            <v>449000</v>
          </cell>
          <cell r="O1881">
            <v>0</v>
          </cell>
          <cell r="P1881">
            <v>449000</v>
          </cell>
          <cell r="Q1881">
            <v>0</v>
          </cell>
          <cell r="R1881">
            <v>449000</v>
          </cell>
          <cell r="S1881">
            <v>0</v>
          </cell>
          <cell r="T1881">
            <v>449000</v>
          </cell>
          <cell r="U1881">
            <v>0</v>
          </cell>
          <cell r="V1881">
            <v>449000</v>
          </cell>
          <cell r="W1881">
            <v>0</v>
          </cell>
          <cell r="X1881">
            <v>449000</v>
          </cell>
          <cell r="Y1881">
            <v>0</v>
          </cell>
          <cell r="Z1881">
            <v>449000</v>
          </cell>
          <cell r="AA1881">
            <v>0</v>
          </cell>
          <cell r="AB1881">
            <v>0</v>
          </cell>
          <cell r="AC1881">
            <v>0</v>
          </cell>
          <cell r="AD1881">
            <v>1.1599999999999999</v>
          </cell>
          <cell r="AE1881">
            <v>0</v>
          </cell>
          <cell r="AF1881">
            <v>0</v>
          </cell>
          <cell r="AG1881">
            <v>0</v>
          </cell>
          <cell r="AH1881">
            <v>0</v>
          </cell>
          <cell r="AI1881">
            <v>0</v>
          </cell>
          <cell r="AJ1881">
            <v>0</v>
          </cell>
          <cell r="AK1881">
            <v>0</v>
          </cell>
          <cell r="AL1881">
            <v>0</v>
          </cell>
        </row>
        <row r="1882">
          <cell r="E1882" t="str">
            <v>50Hz SR 50 Kvar 6%</v>
          </cell>
          <cell r="F1882" t="str">
            <v>台</v>
          </cell>
          <cell r="G1882">
            <v>0</v>
          </cell>
          <cell r="H1882">
            <v>483000</v>
          </cell>
          <cell r="I1882">
            <v>0</v>
          </cell>
          <cell r="J1882">
            <v>483000</v>
          </cell>
          <cell r="K1882">
            <v>0</v>
          </cell>
          <cell r="L1882">
            <v>483000</v>
          </cell>
          <cell r="M1882">
            <v>0</v>
          </cell>
          <cell r="N1882">
            <v>483000</v>
          </cell>
          <cell r="O1882">
            <v>0</v>
          </cell>
          <cell r="P1882">
            <v>483000</v>
          </cell>
          <cell r="Q1882">
            <v>0</v>
          </cell>
          <cell r="R1882">
            <v>483000</v>
          </cell>
          <cell r="S1882">
            <v>0</v>
          </cell>
          <cell r="T1882">
            <v>483000</v>
          </cell>
          <cell r="U1882">
            <v>0</v>
          </cell>
          <cell r="V1882">
            <v>483000</v>
          </cell>
          <cell r="W1882">
            <v>0</v>
          </cell>
          <cell r="X1882">
            <v>483000</v>
          </cell>
          <cell r="Y1882">
            <v>0</v>
          </cell>
          <cell r="Z1882">
            <v>483000</v>
          </cell>
          <cell r="AA1882">
            <v>0</v>
          </cell>
          <cell r="AB1882">
            <v>0</v>
          </cell>
          <cell r="AC1882">
            <v>0</v>
          </cell>
          <cell r="AD1882">
            <v>1.258</v>
          </cell>
          <cell r="AE1882">
            <v>0</v>
          </cell>
          <cell r="AF1882">
            <v>0</v>
          </cell>
          <cell r="AG1882">
            <v>0</v>
          </cell>
          <cell r="AH1882">
            <v>0</v>
          </cell>
          <cell r="AI1882">
            <v>0</v>
          </cell>
          <cell r="AJ1882">
            <v>0</v>
          </cell>
          <cell r="AK1882">
            <v>0</v>
          </cell>
          <cell r="AL1882">
            <v>0</v>
          </cell>
        </row>
        <row r="1883">
          <cell r="E1883" t="str">
            <v>50Hz SR 75 Kvar 6%</v>
          </cell>
          <cell r="F1883" t="str">
            <v>台</v>
          </cell>
          <cell r="G1883">
            <v>0</v>
          </cell>
          <cell r="H1883">
            <v>514000</v>
          </cell>
          <cell r="I1883">
            <v>0</v>
          </cell>
          <cell r="J1883">
            <v>514000</v>
          </cell>
          <cell r="K1883">
            <v>0</v>
          </cell>
          <cell r="L1883">
            <v>514000</v>
          </cell>
          <cell r="M1883">
            <v>0</v>
          </cell>
          <cell r="N1883">
            <v>514000</v>
          </cell>
          <cell r="O1883">
            <v>0</v>
          </cell>
          <cell r="P1883">
            <v>514000</v>
          </cell>
          <cell r="Q1883">
            <v>0</v>
          </cell>
          <cell r="R1883">
            <v>514000</v>
          </cell>
          <cell r="S1883">
            <v>0</v>
          </cell>
          <cell r="T1883">
            <v>514000</v>
          </cell>
          <cell r="U1883">
            <v>0</v>
          </cell>
          <cell r="V1883">
            <v>514000</v>
          </cell>
          <cell r="W1883">
            <v>0</v>
          </cell>
          <cell r="X1883">
            <v>514000</v>
          </cell>
          <cell r="Y1883">
            <v>0</v>
          </cell>
          <cell r="Z1883">
            <v>514000</v>
          </cell>
          <cell r="AA1883">
            <v>0</v>
          </cell>
          <cell r="AB1883">
            <v>0</v>
          </cell>
          <cell r="AC1883">
            <v>0</v>
          </cell>
          <cell r="AD1883">
            <v>1.3640000000000001</v>
          </cell>
          <cell r="AE1883">
            <v>0</v>
          </cell>
          <cell r="AF1883">
            <v>0</v>
          </cell>
          <cell r="AG1883">
            <v>0</v>
          </cell>
          <cell r="AH1883">
            <v>0</v>
          </cell>
          <cell r="AI1883">
            <v>0</v>
          </cell>
          <cell r="AJ1883">
            <v>0</v>
          </cell>
          <cell r="AK1883">
            <v>0</v>
          </cell>
          <cell r="AL1883">
            <v>0</v>
          </cell>
        </row>
        <row r="1884">
          <cell r="E1884" t="str">
            <v>50Hz SR100 Kvar 6%</v>
          </cell>
          <cell r="F1884" t="str">
            <v>台</v>
          </cell>
          <cell r="G1884">
            <v>0</v>
          </cell>
          <cell r="H1884">
            <v>534000</v>
          </cell>
          <cell r="I1884">
            <v>0</v>
          </cell>
          <cell r="J1884">
            <v>534000</v>
          </cell>
          <cell r="K1884">
            <v>0</v>
          </cell>
          <cell r="L1884">
            <v>534000</v>
          </cell>
          <cell r="M1884">
            <v>0</v>
          </cell>
          <cell r="N1884">
            <v>534000</v>
          </cell>
          <cell r="O1884">
            <v>0</v>
          </cell>
          <cell r="P1884">
            <v>534000</v>
          </cell>
          <cell r="Q1884">
            <v>0</v>
          </cell>
          <cell r="R1884">
            <v>534000</v>
          </cell>
          <cell r="S1884">
            <v>0</v>
          </cell>
          <cell r="T1884">
            <v>534000</v>
          </cell>
          <cell r="U1884">
            <v>0</v>
          </cell>
          <cell r="V1884">
            <v>534000</v>
          </cell>
          <cell r="W1884">
            <v>0</v>
          </cell>
          <cell r="X1884">
            <v>534000</v>
          </cell>
          <cell r="Y1884">
            <v>0</v>
          </cell>
          <cell r="Z1884">
            <v>534000</v>
          </cell>
          <cell r="AA1884">
            <v>0</v>
          </cell>
          <cell r="AB1884">
            <v>0</v>
          </cell>
          <cell r="AC1884">
            <v>0</v>
          </cell>
          <cell r="AD1884">
            <v>1.6459999999999999</v>
          </cell>
          <cell r="AE1884">
            <v>0</v>
          </cell>
          <cell r="AF1884">
            <v>0</v>
          </cell>
          <cell r="AG1884">
            <v>0</v>
          </cell>
          <cell r="AH1884">
            <v>0</v>
          </cell>
          <cell r="AI1884">
            <v>0</v>
          </cell>
          <cell r="AJ1884">
            <v>0</v>
          </cell>
          <cell r="AK1884">
            <v>0</v>
          </cell>
          <cell r="AL1884">
            <v>0</v>
          </cell>
        </row>
        <row r="1885">
          <cell r="E1885" t="str">
            <v>50Hz SR150 Kvar 6%</v>
          </cell>
          <cell r="F1885" t="str">
            <v>台</v>
          </cell>
          <cell r="G1885">
            <v>0</v>
          </cell>
          <cell r="H1885">
            <v>603000</v>
          </cell>
          <cell r="I1885">
            <v>0</v>
          </cell>
          <cell r="J1885">
            <v>603000</v>
          </cell>
          <cell r="K1885">
            <v>0</v>
          </cell>
          <cell r="L1885">
            <v>603000</v>
          </cell>
          <cell r="M1885">
            <v>0</v>
          </cell>
          <cell r="N1885">
            <v>603000</v>
          </cell>
          <cell r="O1885">
            <v>0</v>
          </cell>
          <cell r="P1885">
            <v>603000</v>
          </cell>
          <cell r="Q1885">
            <v>0</v>
          </cell>
          <cell r="R1885">
            <v>603000</v>
          </cell>
          <cell r="S1885">
            <v>0</v>
          </cell>
          <cell r="T1885">
            <v>603000</v>
          </cell>
          <cell r="U1885">
            <v>0</v>
          </cell>
          <cell r="V1885">
            <v>603000</v>
          </cell>
          <cell r="W1885">
            <v>0</v>
          </cell>
          <cell r="X1885">
            <v>603000</v>
          </cell>
          <cell r="Y1885">
            <v>0</v>
          </cell>
          <cell r="Z1885">
            <v>603000</v>
          </cell>
          <cell r="AA1885">
            <v>0</v>
          </cell>
          <cell r="AB1885">
            <v>0</v>
          </cell>
          <cell r="AC1885">
            <v>0</v>
          </cell>
          <cell r="AD1885">
            <v>1.8220000000000001</v>
          </cell>
          <cell r="AE1885">
            <v>0</v>
          </cell>
          <cell r="AF1885">
            <v>0</v>
          </cell>
          <cell r="AG1885">
            <v>0</v>
          </cell>
          <cell r="AH1885">
            <v>0</v>
          </cell>
          <cell r="AI1885">
            <v>0</v>
          </cell>
          <cell r="AJ1885">
            <v>0</v>
          </cell>
          <cell r="AK1885">
            <v>0</v>
          </cell>
          <cell r="AL1885">
            <v>0</v>
          </cell>
        </row>
        <row r="1886">
          <cell r="E1886" t="str">
            <v>50Hz SR200 Kvar 6%</v>
          </cell>
          <cell r="F1886" t="str">
            <v>台</v>
          </cell>
          <cell r="G1886">
            <v>0</v>
          </cell>
          <cell r="H1886">
            <v>659000</v>
          </cell>
          <cell r="I1886">
            <v>0</v>
          </cell>
          <cell r="J1886">
            <v>659000</v>
          </cell>
          <cell r="K1886">
            <v>0</v>
          </cell>
          <cell r="L1886">
            <v>659000</v>
          </cell>
          <cell r="M1886">
            <v>0</v>
          </cell>
          <cell r="N1886">
            <v>659000</v>
          </cell>
          <cell r="O1886">
            <v>0</v>
          </cell>
          <cell r="P1886">
            <v>659000</v>
          </cell>
          <cell r="Q1886">
            <v>0</v>
          </cell>
          <cell r="R1886">
            <v>659000</v>
          </cell>
          <cell r="S1886">
            <v>0</v>
          </cell>
          <cell r="T1886">
            <v>659000</v>
          </cell>
          <cell r="U1886">
            <v>0</v>
          </cell>
          <cell r="V1886">
            <v>659000</v>
          </cell>
          <cell r="W1886">
            <v>0</v>
          </cell>
          <cell r="X1886">
            <v>659000</v>
          </cell>
          <cell r="Y1886">
            <v>0</v>
          </cell>
          <cell r="Z1886">
            <v>659000</v>
          </cell>
          <cell r="AA1886">
            <v>0</v>
          </cell>
          <cell r="AB1886">
            <v>0</v>
          </cell>
          <cell r="AC1886">
            <v>0</v>
          </cell>
          <cell r="AD1886">
            <v>1.946</v>
          </cell>
          <cell r="AE1886">
            <v>0</v>
          </cell>
          <cell r="AF1886">
            <v>0</v>
          </cell>
          <cell r="AG1886">
            <v>0</v>
          </cell>
          <cell r="AH1886">
            <v>0</v>
          </cell>
          <cell r="AI1886">
            <v>0</v>
          </cell>
          <cell r="AJ1886">
            <v>0</v>
          </cell>
          <cell r="AK1886">
            <v>0</v>
          </cell>
          <cell r="AL1886">
            <v>0</v>
          </cell>
        </row>
        <row r="1887">
          <cell r="E1887" t="str">
            <v>50Hz SR250 Kvar 6%</v>
          </cell>
          <cell r="F1887" t="str">
            <v>台</v>
          </cell>
          <cell r="G1887">
            <v>0</v>
          </cell>
          <cell r="H1887">
            <v>741000</v>
          </cell>
          <cell r="I1887">
            <v>0</v>
          </cell>
          <cell r="J1887">
            <v>741000</v>
          </cell>
          <cell r="K1887">
            <v>0</v>
          </cell>
          <cell r="L1887">
            <v>741000</v>
          </cell>
          <cell r="M1887">
            <v>0</v>
          </cell>
          <cell r="N1887">
            <v>741000</v>
          </cell>
          <cell r="O1887">
            <v>0</v>
          </cell>
          <cell r="P1887">
            <v>741000</v>
          </cell>
          <cell r="Q1887">
            <v>0</v>
          </cell>
          <cell r="R1887">
            <v>741000</v>
          </cell>
          <cell r="S1887">
            <v>0</v>
          </cell>
          <cell r="T1887">
            <v>741000</v>
          </cell>
          <cell r="U1887">
            <v>0</v>
          </cell>
          <cell r="V1887">
            <v>741000</v>
          </cell>
          <cell r="W1887">
            <v>0</v>
          </cell>
          <cell r="X1887">
            <v>741000</v>
          </cell>
          <cell r="Y1887">
            <v>0</v>
          </cell>
          <cell r="Z1887">
            <v>741000</v>
          </cell>
          <cell r="AA1887">
            <v>0</v>
          </cell>
          <cell r="AB1887">
            <v>0</v>
          </cell>
          <cell r="AC1887">
            <v>0</v>
          </cell>
          <cell r="AD1887">
            <v>2.3490000000000002</v>
          </cell>
          <cell r="AE1887">
            <v>0</v>
          </cell>
          <cell r="AF1887">
            <v>0</v>
          </cell>
          <cell r="AG1887">
            <v>0</v>
          </cell>
          <cell r="AH1887">
            <v>0</v>
          </cell>
          <cell r="AI1887">
            <v>0</v>
          </cell>
          <cell r="AJ1887">
            <v>0</v>
          </cell>
          <cell r="AK1887">
            <v>0</v>
          </cell>
          <cell r="AL1887">
            <v>0</v>
          </cell>
        </row>
        <row r="1888">
          <cell r="E1888" t="str">
            <v>50Hz SR300 Kvar 6%</v>
          </cell>
          <cell r="F1888" t="str">
            <v>台</v>
          </cell>
          <cell r="G1888">
            <v>0</v>
          </cell>
          <cell r="H1888">
            <v>797000</v>
          </cell>
          <cell r="I1888">
            <v>0</v>
          </cell>
          <cell r="J1888">
            <v>797000</v>
          </cell>
          <cell r="K1888">
            <v>0</v>
          </cell>
          <cell r="L1888">
            <v>797000</v>
          </cell>
          <cell r="M1888">
            <v>0</v>
          </cell>
          <cell r="N1888">
            <v>797000</v>
          </cell>
          <cell r="O1888">
            <v>0</v>
          </cell>
          <cell r="P1888">
            <v>797000</v>
          </cell>
          <cell r="Q1888">
            <v>0</v>
          </cell>
          <cell r="R1888">
            <v>797000</v>
          </cell>
          <cell r="S1888">
            <v>0</v>
          </cell>
          <cell r="T1888">
            <v>797000</v>
          </cell>
          <cell r="U1888">
            <v>0</v>
          </cell>
          <cell r="V1888">
            <v>797000</v>
          </cell>
          <cell r="W1888">
            <v>0</v>
          </cell>
          <cell r="X1888">
            <v>797000</v>
          </cell>
          <cell r="Y1888">
            <v>0</v>
          </cell>
          <cell r="Z1888">
            <v>797000</v>
          </cell>
          <cell r="AA1888">
            <v>0</v>
          </cell>
          <cell r="AB1888">
            <v>0</v>
          </cell>
          <cell r="AC1888">
            <v>0</v>
          </cell>
          <cell r="AD1888">
            <v>2.835</v>
          </cell>
          <cell r="AE1888">
            <v>0</v>
          </cell>
          <cell r="AF1888">
            <v>0</v>
          </cell>
          <cell r="AG1888">
            <v>0</v>
          </cell>
          <cell r="AH1888">
            <v>0</v>
          </cell>
          <cell r="AI1888">
            <v>0</v>
          </cell>
          <cell r="AJ1888">
            <v>0</v>
          </cell>
          <cell r="AK1888">
            <v>0</v>
          </cell>
          <cell r="AL1888">
            <v>0</v>
          </cell>
        </row>
        <row r="1889">
          <cell r="E1889" t="str">
            <v>50Hz SR400 Kvar 6%</v>
          </cell>
          <cell r="F1889" t="str">
            <v>台</v>
          </cell>
          <cell r="G1889">
            <v>0</v>
          </cell>
          <cell r="H1889">
            <v>994000</v>
          </cell>
          <cell r="I1889">
            <v>0</v>
          </cell>
          <cell r="J1889">
            <v>994000</v>
          </cell>
          <cell r="K1889">
            <v>0</v>
          </cell>
          <cell r="L1889">
            <v>994000</v>
          </cell>
          <cell r="M1889">
            <v>0</v>
          </cell>
          <cell r="N1889">
            <v>994000</v>
          </cell>
          <cell r="O1889">
            <v>0</v>
          </cell>
          <cell r="P1889">
            <v>994000</v>
          </cell>
          <cell r="Q1889">
            <v>0</v>
          </cell>
          <cell r="R1889">
            <v>994000</v>
          </cell>
          <cell r="S1889">
            <v>0</v>
          </cell>
          <cell r="T1889">
            <v>994000</v>
          </cell>
          <cell r="U1889">
            <v>0</v>
          </cell>
          <cell r="V1889">
            <v>994000</v>
          </cell>
          <cell r="W1889">
            <v>0</v>
          </cell>
          <cell r="X1889">
            <v>994000</v>
          </cell>
          <cell r="Y1889">
            <v>0</v>
          </cell>
          <cell r="Z1889">
            <v>994000</v>
          </cell>
          <cell r="AA1889">
            <v>0</v>
          </cell>
          <cell r="AB1889">
            <v>0</v>
          </cell>
          <cell r="AC1889">
            <v>0</v>
          </cell>
          <cell r="AD1889">
            <v>2.9550000000000001</v>
          </cell>
          <cell r="AE1889">
            <v>0</v>
          </cell>
          <cell r="AF1889">
            <v>0</v>
          </cell>
          <cell r="AG1889">
            <v>0</v>
          </cell>
          <cell r="AH1889">
            <v>0</v>
          </cell>
          <cell r="AI1889">
            <v>0</v>
          </cell>
          <cell r="AJ1889">
            <v>0</v>
          </cell>
          <cell r="AK1889">
            <v>0</v>
          </cell>
          <cell r="AL1889">
            <v>0</v>
          </cell>
        </row>
        <row r="1890">
          <cell r="E1890" t="str">
            <v>50Hz SR500 Kvar 6%</v>
          </cell>
          <cell r="F1890" t="str">
            <v>台</v>
          </cell>
          <cell r="G1890">
            <v>0</v>
          </cell>
          <cell r="H1890">
            <v>1190000</v>
          </cell>
          <cell r="I1890">
            <v>0</v>
          </cell>
          <cell r="J1890">
            <v>1190000</v>
          </cell>
          <cell r="K1890">
            <v>0</v>
          </cell>
          <cell r="L1890">
            <v>1190000</v>
          </cell>
          <cell r="M1890">
            <v>0</v>
          </cell>
          <cell r="N1890">
            <v>1190000</v>
          </cell>
          <cell r="O1890">
            <v>0</v>
          </cell>
          <cell r="P1890">
            <v>1190000</v>
          </cell>
          <cell r="Q1890">
            <v>0</v>
          </cell>
          <cell r="R1890">
            <v>1190000</v>
          </cell>
          <cell r="S1890">
            <v>0</v>
          </cell>
          <cell r="T1890">
            <v>1190000</v>
          </cell>
          <cell r="U1890">
            <v>0</v>
          </cell>
          <cell r="V1890">
            <v>1190000</v>
          </cell>
          <cell r="W1890">
            <v>0</v>
          </cell>
          <cell r="X1890">
            <v>1190000</v>
          </cell>
          <cell r="Y1890">
            <v>0</v>
          </cell>
          <cell r="Z1890">
            <v>1190000</v>
          </cell>
          <cell r="AA1890">
            <v>0</v>
          </cell>
          <cell r="AB1890">
            <v>0</v>
          </cell>
          <cell r="AC1890">
            <v>0</v>
          </cell>
          <cell r="AD1890">
            <v>3.0750000000000002</v>
          </cell>
          <cell r="AE1890">
            <v>0</v>
          </cell>
          <cell r="AF1890">
            <v>0</v>
          </cell>
          <cell r="AG1890">
            <v>0</v>
          </cell>
          <cell r="AH1890">
            <v>0</v>
          </cell>
          <cell r="AI1890">
            <v>0</v>
          </cell>
          <cell r="AJ1890">
            <v>0</v>
          </cell>
          <cell r="AK1890">
            <v>0</v>
          </cell>
          <cell r="AL1890">
            <v>0</v>
          </cell>
        </row>
        <row r="1891">
          <cell r="E1891" t="str">
            <v>60Hz SR 12 Kvar 6%</v>
          </cell>
          <cell r="F1891" t="str">
            <v>台</v>
          </cell>
          <cell r="G1891">
            <v>0</v>
          </cell>
          <cell r="H1891">
            <v>403000</v>
          </cell>
          <cell r="I1891">
            <v>0</v>
          </cell>
          <cell r="J1891">
            <v>403000</v>
          </cell>
          <cell r="K1891">
            <v>0</v>
          </cell>
          <cell r="L1891">
            <v>403000</v>
          </cell>
          <cell r="M1891">
            <v>0</v>
          </cell>
          <cell r="N1891">
            <v>403000</v>
          </cell>
          <cell r="O1891">
            <v>0</v>
          </cell>
          <cell r="P1891">
            <v>403000</v>
          </cell>
          <cell r="Q1891">
            <v>0</v>
          </cell>
          <cell r="R1891">
            <v>403000</v>
          </cell>
          <cell r="S1891">
            <v>0</v>
          </cell>
          <cell r="T1891">
            <v>403000</v>
          </cell>
          <cell r="U1891">
            <v>0</v>
          </cell>
          <cell r="V1891">
            <v>403000</v>
          </cell>
          <cell r="W1891">
            <v>0</v>
          </cell>
          <cell r="X1891">
            <v>403000</v>
          </cell>
          <cell r="Y1891">
            <v>0</v>
          </cell>
          <cell r="Z1891">
            <v>403000</v>
          </cell>
          <cell r="AA1891">
            <v>0</v>
          </cell>
          <cell r="AB1891">
            <v>0</v>
          </cell>
          <cell r="AC1891">
            <v>0</v>
          </cell>
          <cell r="AD1891">
            <v>0.60799999999999998</v>
          </cell>
          <cell r="AE1891">
            <v>0</v>
          </cell>
          <cell r="AF1891">
            <v>0</v>
          </cell>
          <cell r="AG1891">
            <v>0</v>
          </cell>
          <cell r="AH1891">
            <v>0</v>
          </cell>
          <cell r="AI1891">
            <v>0</v>
          </cell>
          <cell r="AJ1891">
            <v>0</v>
          </cell>
          <cell r="AK1891">
            <v>0</v>
          </cell>
          <cell r="AL1891">
            <v>0</v>
          </cell>
        </row>
        <row r="1892">
          <cell r="E1892" t="str">
            <v>60Hz SR 18 Kvar 6%</v>
          </cell>
          <cell r="F1892" t="str">
            <v>台</v>
          </cell>
          <cell r="G1892">
            <v>0</v>
          </cell>
          <cell r="H1892">
            <v>403000</v>
          </cell>
          <cell r="I1892">
            <v>0</v>
          </cell>
          <cell r="J1892">
            <v>403000</v>
          </cell>
          <cell r="K1892">
            <v>0</v>
          </cell>
          <cell r="L1892">
            <v>403000</v>
          </cell>
          <cell r="M1892">
            <v>0</v>
          </cell>
          <cell r="N1892">
            <v>403000</v>
          </cell>
          <cell r="O1892">
            <v>0</v>
          </cell>
          <cell r="P1892">
            <v>403000</v>
          </cell>
          <cell r="Q1892">
            <v>0</v>
          </cell>
          <cell r="R1892">
            <v>403000</v>
          </cell>
          <cell r="S1892">
            <v>0</v>
          </cell>
          <cell r="T1892">
            <v>403000</v>
          </cell>
          <cell r="U1892">
            <v>0</v>
          </cell>
          <cell r="V1892">
            <v>403000</v>
          </cell>
          <cell r="W1892">
            <v>0</v>
          </cell>
          <cell r="X1892">
            <v>403000</v>
          </cell>
          <cell r="Y1892">
            <v>0</v>
          </cell>
          <cell r="Z1892">
            <v>403000</v>
          </cell>
          <cell r="AA1892">
            <v>0</v>
          </cell>
          <cell r="AB1892">
            <v>0</v>
          </cell>
          <cell r="AC1892">
            <v>0</v>
          </cell>
          <cell r="AD1892">
            <v>0.65900000000000003</v>
          </cell>
          <cell r="AE1892">
            <v>0</v>
          </cell>
          <cell r="AF1892">
            <v>0</v>
          </cell>
          <cell r="AG1892">
            <v>0</v>
          </cell>
          <cell r="AH1892">
            <v>0</v>
          </cell>
          <cell r="AI1892">
            <v>0</v>
          </cell>
          <cell r="AJ1892">
            <v>0</v>
          </cell>
          <cell r="AK1892">
            <v>0</v>
          </cell>
          <cell r="AL1892">
            <v>0</v>
          </cell>
        </row>
        <row r="1893">
          <cell r="E1893" t="str">
            <v>60Hz SR 24 Kvar 6%</v>
          </cell>
          <cell r="F1893" t="str">
            <v>台</v>
          </cell>
          <cell r="G1893">
            <v>0</v>
          </cell>
          <cell r="H1893">
            <v>403000</v>
          </cell>
          <cell r="I1893">
            <v>0</v>
          </cell>
          <cell r="J1893">
            <v>403000</v>
          </cell>
          <cell r="K1893">
            <v>0</v>
          </cell>
          <cell r="L1893">
            <v>403000</v>
          </cell>
          <cell r="M1893">
            <v>0</v>
          </cell>
          <cell r="N1893">
            <v>403000</v>
          </cell>
          <cell r="O1893">
            <v>0</v>
          </cell>
          <cell r="P1893">
            <v>403000</v>
          </cell>
          <cell r="Q1893">
            <v>0</v>
          </cell>
          <cell r="R1893">
            <v>403000</v>
          </cell>
          <cell r="S1893">
            <v>0</v>
          </cell>
          <cell r="T1893">
            <v>403000</v>
          </cell>
          <cell r="U1893">
            <v>0</v>
          </cell>
          <cell r="V1893">
            <v>403000</v>
          </cell>
          <cell r="W1893">
            <v>0</v>
          </cell>
          <cell r="X1893">
            <v>403000</v>
          </cell>
          <cell r="Y1893">
            <v>0</v>
          </cell>
          <cell r="Z1893">
            <v>403000</v>
          </cell>
          <cell r="AA1893">
            <v>0</v>
          </cell>
          <cell r="AB1893">
            <v>0</v>
          </cell>
          <cell r="AC1893">
            <v>0</v>
          </cell>
          <cell r="AD1893">
            <v>0.79600000000000004</v>
          </cell>
          <cell r="AE1893">
            <v>0</v>
          </cell>
          <cell r="AF1893">
            <v>0</v>
          </cell>
          <cell r="AG1893">
            <v>0</v>
          </cell>
          <cell r="AH1893">
            <v>0</v>
          </cell>
          <cell r="AI1893">
            <v>0</v>
          </cell>
          <cell r="AJ1893">
            <v>0</v>
          </cell>
          <cell r="AK1893">
            <v>0</v>
          </cell>
          <cell r="AL1893">
            <v>0</v>
          </cell>
        </row>
        <row r="1894">
          <cell r="E1894" t="str">
            <v>60Hz SR 30 Kvar 6%</v>
          </cell>
          <cell r="F1894" t="str">
            <v>台</v>
          </cell>
          <cell r="G1894">
            <v>0</v>
          </cell>
          <cell r="H1894">
            <v>403000</v>
          </cell>
          <cell r="I1894">
            <v>0</v>
          </cell>
          <cell r="J1894">
            <v>403000</v>
          </cell>
          <cell r="K1894">
            <v>0</v>
          </cell>
          <cell r="L1894">
            <v>403000</v>
          </cell>
          <cell r="M1894">
            <v>0</v>
          </cell>
          <cell r="N1894">
            <v>403000</v>
          </cell>
          <cell r="O1894">
            <v>0</v>
          </cell>
          <cell r="P1894">
            <v>403000</v>
          </cell>
          <cell r="Q1894">
            <v>0</v>
          </cell>
          <cell r="R1894">
            <v>403000</v>
          </cell>
          <cell r="S1894">
            <v>0</v>
          </cell>
          <cell r="T1894">
            <v>403000</v>
          </cell>
          <cell r="U1894">
            <v>0</v>
          </cell>
          <cell r="V1894">
            <v>403000</v>
          </cell>
          <cell r="W1894">
            <v>0</v>
          </cell>
          <cell r="X1894">
            <v>403000</v>
          </cell>
          <cell r="Y1894">
            <v>0</v>
          </cell>
          <cell r="Z1894">
            <v>403000</v>
          </cell>
          <cell r="AA1894">
            <v>0</v>
          </cell>
          <cell r="AB1894">
            <v>0</v>
          </cell>
          <cell r="AC1894">
            <v>0</v>
          </cell>
          <cell r="AD1894">
            <v>0.96099999999999997</v>
          </cell>
          <cell r="AE1894">
            <v>0</v>
          </cell>
          <cell r="AF1894">
            <v>0</v>
          </cell>
          <cell r="AG1894">
            <v>0</v>
          </cell>
          <cell r="AH1894">
            <v>0</v>
          </cell>
          <cell r="AI1894">
            <v>0</v>
          </cell>
          <cell r="AJ1894">
            <v>0</v>
          </cell>
          <cell r="AK1894">
            <v>0</v>
          </cell>
          <cell r="AL1894">
            <v>0</v>
          </cell>
        </row>
        <row r="1895">
          <cell r="E1895" t="str">
            <v>60Hz SR 36 Kvar 6%</v>
          </cell>
          <cell r="F1895" t="str">
            <v>台</v>
          </cell>
          <cell r="G1895">
            <v>0</v>
          </cell>
          <cell r="H1895">
            <v>440000</v>
          </cell>
          <cell r="I1895">
            <v>0</v>
          </cell>
          <cell r="J1895">
            <v>440000</v>
          </cell>
          <cell r="K1895">
            <v>0</v>
          </cell>
          <cell r="L1895">
            <v>440000</v>
          </cell>
          <cell r="M1895">
            <v>0</v>
          </cell>
          <cell r="N1895">
            <v>440000</v>
          </cell>
          <cell r="O1895">
            <v>0</v>
          </cell>
          <cell r="P1895">
            <v>440000</v>
          </cell>
          <cell r="Q1895">
            <v>0</v>
          </cell>
          <cell r="R1895">
            <v>440000</v>
          </cell>
          <cell r="S1895">
            <v>0</v>
          </cell>
          <cell r="T1895">
            <v>440000</v>
          </cell>
          <cell r="U1895">
            <v>0</v>
          </cell>
          <cell r="V1895">
            <v>440000</v>
          </cell>
          <cell r="W1895">
            <v>0</v>
          </cell>
          <cell r="X1895">
            <v>440000</v>
          </cell>
          <cell r="Y1895">
            <v>0</v>
          </cell>
          <cell r="Z1895">
            <v>440000</v>
          </cell>
          <cell r="AA1895">
            <v>0</v>
          </cell>
          <cell r="AB1895">
            <v>0</v>
          </cell>
          <cell r="AC1895">
            <v>0</v>
          </cell>
          <cell r="AD1895">
            <v>1.1599999999999999</v>
          </cell>
          <cell r="AE1895">
            <v>0</v>
          </cell>
          <cell r="AF1895">
            <v>0</v>
          </cell>
          <cell r="AG1895">
            <v>0</v>
          </cell>
          <cell r="AH1895">
            <v>0</v>
          </cell>
          <cell r="AI1895">
            <v>0</v>
          </cell>
          <cell r="AJ1895">
            <v>0</v>
          </cell>
          <cell r="AK1895">
            <v>0</v>
          </cell>
          <cell r="AL1895">
            <v>0</v>
          </cell>
        </row>
        <row r="1896">
          <cell r="E1896" t="str">
            <v>60Hz SR 50 Kvar 6%</v>
          </cell>
          <cell r="F1896" t="str">
            <v>台</v>
          </cell>
          <cell r="G1896">
            <v>0</v>
          </cell>
          <cell r="H1896">
            <v>473000</v>
          </cell>
          <cell r="I1896">
            <v>0</v>
          </cell>
          <cell r="J1896">
            <v>473000</v>
          </cell>
          <cell r="K1896">
            <v>0</v>
          </cell>
          <cell r="L1896">
            <v>473000</v>
          </cell>
          <cell r="M1896">
            <v>0</v>
          </cell>
          <cell r="N1896">
            <v>473000</v>
          </cell>
          <cell r="O1896">
            <v>0</v>
          </cell>
          <cell r="P1896">
            <v>473000</v>
          </cell>
          <cell r="Q1896">
            <v>0</v>
          </cell>
          <cell r="R1896">
            <v>473000</v>
          </cell>
          <cell r="S1896">
            <v>0</v>
          </cell>
          <cell r="T1896">
            <v>473000</v>
          </cell>
          <cell r="U1896">
            <v>0</v>
          </cell>
          <cell r="V1896">
            <v>473000</v>
          </cell>
          <cell r="W1896">
            <v>0</v>
          </cell>
          <cell r="X1896">
            <v>473000</v>
          </cell>
          <cell r="Y1896">
            <v>0</v>
          </cell>
          <cell r="Z1896">
            <v>473000</v>
          </cell>
          <cell r="AA1896">
            <v>0</v>
          </cell>
          <cell r="AB1896">
            <v>0</v>
          </cell>
          <cell r="AC1896">
            <v>0</v>
          </cell>
          <cell r="AD1896">
            <v>1.258</v>
          </cell>
          <cell r="AE1896">
            <v>0</v>
          </cell>
          <cell r="AF1896">
            <v>0</v>
          </cell>
          <cell r="AG1896">
            <v>0</v>
          </cell>
          <cell r="AH1896">
            <v>0</v>
          </cell>
          <cell r="AI1896">
            <v>0</v>
          </cell>
          <cell r="AJ1896">
            <v>0</v>
          </cell>
          <cell r="AK1896">
            <v>0</v>
          </cell>
          <cell r="AL1896">
            <v>0</v>
          </cell>
        </row>
        <row r="1897">
          <cell r="E1897" t="str">
            <v>60Hz SR 75 Kvar 6%</v>
          </cell>
          <cell r="F1897" t="str">
            <v>台</v>
          </cell>
          <cell r="G1897">
            <v>0</v>
          </cell>
          <cell r="H1897">
            <v>503000</v>
          </cell>
          <cell r="I1897">
            <v>0</v>
          </cell>
          <cell r="J1897">
            <v>503000</v>
          </cell>
          <cell r="K1897">
            <v>0</v>
          </cell>
          <cell r="L1897">
            <v>503000</v>
          </cell>
          <cell r="M1897">
            <v>0</v>
          </cell>
          <cell r="N1897">
            <v>503000</v>
          </cell>
          <cell r="O1897">
            <v>0</v>
          </cell>
          <cell r="P1897">
            <v>503000</v>
          </cell>
          <cell r="Q1897">
            <v>0</v>
          </cell>
          <cell r="R1897">
            <v>503000</v>
          </cell>
          <cell r="S1897">
            <v>0</v>
          </cell>
          <cell r="T1897">
            <v>503000</v>
          </cell>
          <cell r="U1897">
            <v>0</v>
          </cell>
          <cell r="V1897">
            <v>503000</v>
          </cell>
          <cell r="W1897">
            <v>0</v>
          </cell>
          <cell r="X1897">
            <v>503000</v>
          </cell>
          <cell r="Y1897">
            <v>0</v>
          </cell>
          <cell r="Z1897">
            <v>503000</v>
          </cell>
          <cell r="AA1897">
            <v>0</v>
          </cell>
          <cell r="AB1897">
            <v>0</v>
          </cell>
          <cell r="AC1897">
            <v>0</v>
          </cell>
          <cell r="AD1897">
            <v>1.3640000000000001</v>
          </cell>
          <cell r="AE1897">
            <v>0</v>
          </cell>
          <cell r="AF1897">
            <v>0</v>
          </cell>
          <cell r="AG1897">
            <v>0</v>
          </cell>
          <cell r="AH1897">
            <v>0</v>
          </cell>
          <cell r="AI1897">
            <v>0</v>
          </cell>
          <cell r="AJ1897">
            <v>0</v>
          </cell>
          <cell r="AK1897">
            <v>0</v>
          </cell>
          <cell r="AL1897">
            <v>0</v>
          </cell>
        </row>
        <row r="1898">
          <cell r="E1898" t="str">
            <v>60Hz SR100 Kvar 6%</v>
          </cell>
          <cell r="F1898" t="str">
            <v>台</v>
          </cell>
          <cell r="G1898">
            <v>0</v>
          </cell>
          <cell r="H1898">
            <v>532000</v>
          </cell>
          <cell r="I1898">
            <v>0</v>
          </cell>
          <cell r="J1898">
            <v>532000</v>
          </cell>
          <cell r="K1898">
            <v>0</v>
          </cell>
          <cell r="L1898">
            <v>532000</v>
          </cell>
          <cell r="M1898">
            <v>0</v>
          </cell>
          <cell r="N1898">
            <v>532000</v>
          </cell>
          <cell r="O1898">
            <v>0</v>
          </cell>
          <cell r="P1898">
            <v>532000</v>
          </cell>
          <cell r="Q1898">
            <v>0</v>
          </cell>
          <cell r="R1898">
            <v>532000</v>
          </cell>
          <cell r="S1898">
            <v>0</v>
          </cell>
          <cell r="T1898">
            <v>532000</v>
          </cell>
          <cell r="U1898">
            <v>0</v>
          </cell>
          <cell r="V1898">
            <v>532000</v>
          </cell>
          <cell r="W1898">
            <v>0</v>
          </cell>
          <cell r="X1898">
            <v>532000</v>
          </cell>
          <cell r="Y1898">
            <v>0</v>
          </cell>
          <cell r="Z1898">
            <v>532000</v>
          </cell>
          <cell r="AA1898">
            <v>0</v>
          </cell>
          <cell r="AB1898">
            <v>0</v>
          </cell>
          <cell r="AC1898">
            <v>0</v>
          </cell>
          <cell r="AD1898">
            <v>1.6459999999999999</v>
          </cell>
          <cell r="AE1898">
            <v>0</v>
          </cell>
          <cell r="AF1898">
            <v>0</v>
          </cell>
          <cell r="AG1898">
            <v>0</v>
          </cell>
          <cell r="AH1898">
            <v>0</v>
          </cell>
          <cell r="AI1898">
            <v>0</v>
          </cell>
          <cell r="AJ1898">
            <v>0</v>
          </cell>
          <cell r="AK1898">
            <v>0</v>
          </cell>
          <cell r="AL1898">
            <v>0</v>
          </cell>
        </row>
        <row r="1899">
          <cell r="E1899" t="str">
            <v>60Hz SR150 Kvar 6%</v>
          </cell>
          <cell r="F1899" t="str">
            <v>台</v>
          </cell>
          <cell r="G1899">
            <v>0</v>
          </cell>
          <cell r="H1899">
            <v>591000</v>
          </cell>
          <cell r="I1899">
            <v>0</v>
          </cell>
          <cell r="J1899">
            <v>591000</v>
          </cell>
          <cell r="K1899">
            <v>0</v>
          </cell>
          <cell r="L1899">
            <v>591000</v>
          </cell>
          <cell r="M1899">
            <v>0</v>
          </cell>
          <cell r="N1899">
            <v>591000</v>
          </cell>
          <cell r="O1899">
            <v>0</v>
          </cell>
          <cell r="P1899">
            <v>591000</v>
          </cell>
          <cell r="Q1899">
            <v>0</v>
          </cell>
          <cell r="R1899">
            <v>591000</v>
          </cell>
          <cell r="S1899">
            <v>0</v>
          </cell>
          <cell r="T1899">
            <v>591000</v>
          </cell>
          <cell r="U1899">
            <v>0</v>
          </cell>
          <cell r="V1899">
            <v>591000</v>
          </cell>
          <cell r="W1899">
            <v>0</v>
          </cell>
          <cell r="X1899">
            <v>591000</v>
          </cell>
          <cell r="Y1899">
            <v>0</v>
          </cell>
          <cell r="Z1899">
            <v>591000</v>
          </cell>
          <cell r="AA1899">
            <v>0</v>
          </cell>
          <cell r="AB1899">
            <v>0</v>
          </cell>
          <cell r="AC1899">
            <v>0</v>
          </cell>
          <cell r="AD1899">
            <v>1.8220000000000001</v>
          </cell>
          <cell r="AE1899">
            <v>0</v>
          </cell>
          <cell r="AF1899">
            <v>0</v>
          </cell>
          <cell r="AG1899">
            <v>0</v>
          </cell>
          <cell r="AH1899">
            <v>0</v>
          </cell>
          <cell r="AI1899">
            <v>0</v>
          </cell>
          <cell r="AJ1899">
            <v>0</v>
          </cell>
          <cell r="AK1899">
            <v>0</v>
          </cell>
          <cell r="AL1899">
            <v>0</v>
          </cell>
        </row>
        <row r="1900">
          <cell r="E1900" t="str">
            <v>60Hz SR200 Kvar 6%</v>
          </cell>
          <cell r="F1900" t="str">
            <v>台</v>
          </cell>
          <cell r="G1900">
            <v>0</v>
          </cell>
          <cell r="H1900">
            <v>645000</v>
          </cell>
          <cell r="I1900">
            <v>0</v>
          </cell>
          <cell r="J1900">
            <v>645000</v>
          </cell>
          <cell r="K1900">
            <v>0</v>
          </cell>
          <cell r="L1900">
            <v>645000</v>
          </cell>
          <cell r="M1900">
            <v>0</v>
          </cell>
          <cell r="N1900">
            <v>645000</v>
          </cell>
          <cell r="O1900">
            <v>0</v>
          </cell>
          <cell r="P1900">
            <v>645000</v>
          </cell>
          <cell r="Q1900">
            <v>0</v>
          </cell>
          <cell r="R1900">
            <v>645000</v>
          </cell>
          <cell r="S1900">
            <v>0</v>
          </cell>
          <cell r="T1900">
            <v>645000</v>
          </cell>
          <cell r="U1900">
            <v>0</v>
          </cell>
          <cell r="V1900">
            <v>645000</v>
          </cell>
          <cell r="W1900">
            <v>0</v>
          </cell>
          <cell r="X1900">
            <v>645000</v>
          </cell>
          <cell r="Y1900">
            <v>0</v>
          </cell>
          <cell r="Z1900">
            <v>645000</v>
          </cell>
          <cell r="AA1900">
            <v>0</v>
          </cell>
          <cell r="AB1900">
            <v>0</v>
          </cell>
          <cell r="AC1900">
            <v>0</v>
          </cell>
          <cell r="AD1900">
            <v>1.946</v>
          </cell>
          <cell r="AE1900">
            <v>0</v>
          </cell>
          <cell r="AF1900">
            <v>0</v>
          </cell>
          <cell r="AG1900">
            <v>0</v>
          </cell>
          <cell r="AH1900">
            <v>0</v>
          </cell>
          <cell r="AI1900">
            <v>0</v>
          </cell>
          <cell r="AJ1900">
            <v>0</v>
          </cell>
          <cell r="AK1900">
            <v>0</v>
          </cell>
          <cell r="AL1900">
            <v>0</v>
          </cell>
        </row>
        <row r="1901">
          <cell r="E1901" t="str">
            <v>60Hz SR250 Kvar 6%</v>
          </cell>
          <cell r="F1901" t="str">
            <v>台</v>
          </cell>
          <cell r="G1901">
            <v>0</v>
          </cell>
          <cell r="H1901">
            <v>726000</v>
          </cell>
          <cell r="I1901">
            <v>0</v>
          </cell>
          <cell r="J1901">
            <v>726000</v>
          </cell>
          <cell r="K1901">
            <v>0</v>
          </cell>
          <cell r="L1901">
            <v>726000</v>
          </cell>
          <cell r="M1901">
            <v>0</v>
          </cell>
          <cell r="N1901">
            <v>726000</v>
          </cell>
          <cell r="O1901">
            <v>0</v>
          </cell>
          <cell r="P1901">
            <v>726000</v>
          </cell>
          <cell r="Q1901">
            <v>0</v>
          </cell>
          <cell r="R1901">
            <v>726000</v>
          </cell>
          <cell r="S1901">
            <v>0</v>
          </cell>
          <cell r="T1901">
            <v>726000</v>
          </cell>
          <cell r="U1901">
            <v>0</v>
          </cell>
          <cell r="V1901">
            <v>726000</v>
          </cell>
          <cell r="W1901">
            <v>0</v>
          </cell>
          <cell r="X1901">
            <v>726000</v>
          </cell>
          <cell r="Y1901">
            <v>0</v>
          </cell>
          <cell r="Z1901">
            <v>726000</v>
          </cell>
          <cell r="AA1901">
            <v>0</v>
          </cell>
          <cell r="AB1901">
            <v>0</v>
          </cell>
          <cell r="AC1901">
            <v>0</v>
          </cell>
          <cell r="AD1901">
            <v>2.3490000000000002</v>
          </cell>
          <cell r="AE1901">
            <v>0</v>
          </cell>
          <cell r="AF1901">
            <v>0</v>
          </cell>
          <cell r="AG1901">
            <v>0</v>
          </cell>
          <cell r="AH1901">
            <v>0</v>
          </cell>
          <cell r="AI1901">
            <v>0</v>
          </cell>
          <cell r="AJ1901">
            <v>0</v>
          </cell>
          <cell r="AK1901">
            <v>0</v>
          </cell>
          <cell r="AL1901">
            <v>0</v>
          </cell>
        </row>
        <row r="1902">
          <cell r="E1902" t="str">
            <v>60Hz SR300 Kvar 6%</v>
          </cell>
          <cell r="F1902" t="str">
            <v>台</v>
          </cell>
          <cell r="G1902">
            <v>0</v>
          </cell>
          <cell r="H1902">
            <v>781000</v>
          </cell>
          <cell r="I1902">
            <v>0</v>
          </cell>
          <cell r="J1902">
            <v>781000</v>
          </cell>
          <cell r="K1902">
            <v>0</v>
          </cell>
          <cell r="L1902">
            <v>781000</v>
          </cell>
          <cell r="M1902">
            <v>0</v>
          </cell>
          <cell r="N1902">
            <v>781000</v>
          </cell>
          <cell r="O1902">
            <v>0</v>
          </cell>
          <cell r="P1902">
            <v>781000</v>
          </cell>
          <cell r="Q1902">
            <v>0</v>
          </cell>
          <cell r="R1902">
            <v>781000</v>
          </cell>
          <cell r="S1902">
            <v>0</v>
          </cell>
          <cell r="T1902">
            <v>781000</v>
          </cell>
          <cell r="U1902">
            <v>0</v>
          </cell>
          <cell r="V1902">
            <v>781000</v>
          </cell>
          <cell r="W1902">
            <v>0</v>
          </cell>
          <cell r="X1902">
            <v>781000</v>
          </cell>
          <cell r="Y1902">
            <v>0</v>
          </cell>
          <cell r="Z1902">
            <v>781000</v>
          </cell>
          <cell r="AA1902">
            <v>0</v>
          </cell>
          <cell r="AB1902">
            <v>0</v>
          </cell>
          <cell r="AC1902">
            <v>0</v>
          </cell>
          <cell r="AD1902">
            <v>2.835</v>
          </cell>
          <cell r="AE1902">
            <v>0</v>
          </cell>
          <cell r="AF1902">
            <v>0</v>
          </cell>
          <cell r="AG1902">
            <v>0</v>
          </cell>
          <cell r="AH1902">
            <v>0</v>
          </cell>
          <cell r="AI1902">
            <v>0</v>
          </cell>
          <cell r="AJ1902">
            <v>0</v>
          </cell>
          <cell r="AK1902">
            <v>0</v>
          </cell>
          <cell r="AL1902">
            <v>0</v>
          </cell>
        </row>
        <row r="1903">
          <cell r="E1903" t="str">
            <v>60Hz SR400 Kvar 6%</v>
          </cell>
          <cell r="F1903" t="str">
            <v>台</v>
          </cell>
          <cell r="G1903">
            <v>0</v>
          </cell>
          <cell r="H1903">
            <v>976000</v>
          </cell>
          <cell r="I1903">
            <v>0</v>
          </cell>
          <cell r="J1903">
            <v>976000</v>
          </cell>
          <cell r="K1903">
            <v>0</v>
          </cell>
          <cell r="L1903">
            <v>976000</v>
          </cell>
          <cell r="M1903">
            <v>0</v>
          </cell>
          <cell r="N1903">
            <v>976000</v>
          </cell>
          <cell r="O1903">
            <v>0</v>
          </cell>
          <cell r="P1903">
            <v>976000</v>
          </cell>
          <cell r="Q1903">
            <v>0</v>
          </cell>
          <cell r="R1903">
            <v>976000</v>
          </cell>
          <cell r="S1903">
            <v>0</v>
          </cell>
          <cell r="T1903">
            <v>976000</v>
          </cell>
          <cell r="U1903">
            <v>0</v>
          </cell>
          <cell r="V1903">
            <v>976000</v>
          </cell>
          <cell r="W1903">
            <v>0</v>
          </cell>
          <cell r="X1903">
            <v>976000</v>
          </cell>
          <cell r="Y1903">
            <v>0</v>
          </cell>
          <cell r="Z1903">
            <v>976000</v>
          </cell>
          <cell r="AA1903">
            <v>0</v>
          </cell>
          <cell r="AB1903">
            <v>0</v>
          </cell>
          <cell r="AC1903">
            <v>0</v>
          </cell>
          <cell r="AD1903">
            <v>2.9550000000000001</v>
          </cell>
          <cell r="AE1903">
            <v>0</v>
          </cell>
          <cell r="AF1903">
            <v>0</v>
          </cell>
          <cell r="AG1903">
            <v>0</v>
          </cell>
          <cell r="AH1903">
            <v>0</v>
          </cell>
          <cell r="AI1903">
            <v>0</v>
          </cell>
          <cell r="AJ1903">
            <v>0</v>
          </cell>
          <cell r="AK1903">
            <v>0</v>
          </cell>
          <cell r="AL1903">
            <v>0</v>
          </cell>
        </row>
        <row r="1904">
          <cell r="E1904" t="str">
            <v>60Hz SR500 Kvar 6%</v>
          </cell>
          <cell r="F1904" t="str">
            <v>台</v>
          </cell>
          <cell r="G1904">
            <v>0</v>
          </cell>
          <cell r="H1904">
            <v>1170000</v>
          </cell>
          <cell r="I1904">
            <v>0</v>
          </cell>
          <cell r="J1904">
            <v>526000</v>
          </cell>
          <cell r="K1904">
            <v>0</v>
          </cell>
          <cell r="L1904">
            <v>526000</v>
          </cell>
          <cell r="M1904">
            <v>0</v>
          </cell>
          <cell r="N1904">
            <v>1170000</v>
          </cell>
          <cell r="O1904">
            <v>0</v>
          </cell>
          <cell r="P1904">
            <v>1170000</v>
          </cell>
          <cell r="Q1904">
            <v>0</v>
          </cell>
          <cell r="R1904">
            <v>1170000</v>
          </cell>
          <cell r="S1904">
            <v>0</v>
          </cell>
          <cell r="T1904">
            <v>1170000</v>
          </cell>
          <cell r="U1904">
            <v>0</v>
          </cell>
          <cell r="V1904">
            <v>1170000</v>
          </cell>
          <cell r="W1904">
            <v>0</v>
          </cell>
          <cell r="X1904">
            <v>1170000</v>
          </cell>
          <cell r="Y1904">
            <v>0</v>
          </cell>
          <cell r="Z1904">
            <v>1170000</v>
          </cell>
          <cell r="AA1904">
            <v>0</v>
          </cell>
          <cell r="AB1904">
            <v>0</v>
          </cell>
          <cell r="AC1904">
            <v>0</v>
          </cell>
          <cell r="AD1904">
            <v>3.0750000000000002</v>
          </cell>
          <cell r="AE1904">
            <v>0</v>
          </cell>
          <cell r="AF1904">
            <v>0</v>
          </cell>
          <cell r="AG1904">
            <v>0</v>
          </cell>
          <cell r="AH1904">
            <v>0</v>
          </cell>
          <cell r="AI1904">
            <v>0</v>
          </cell>
          <cell r="AJ1904">
            <v>0</v>
          </cell>
          <cell r="AK1904">
            <v>0</v>
          </cell>
          <cell r="AL1904">
            <v>0</v>
          </cell>
        </row>
        <row r="1905">
          <cell r="E1905" t="str">
            <v>50Hz SR 10 Kvar 13%</v>
          </cell>
          <cell r="F1905" t="str">
            <v>台</v>
          </cell>
          <cell r="G1905">
            <v>0</v>
          </cell>
          <cell r="H1905">
            <v>526000</v>
          </cell>
          <cell r="I1905">
            <v>0</v>
          </cell>
          <cell r="J1905">
            <v>526000</v>
          </cell>
          <cell r="K1905">
            <v>0</v>
          </cell>
          <cell r="L1905">
            <v>526000</v>
          </cell>
          <cell r="M1905">
            <v>0</v>
          </cell>
          <cell r="N1905">
            <v>526000</v>
          </cell>
          <cell r="O1905">
            <v>0</v>
          </cell>
          <cell r="P1905">
            <v>526000</v>
          </cell>
          <cell r="Q1905">
            <v>0</v>
          </cell>
          <cell r="R1905">
            <v>526000</v>
          </cell>
          <cell r="S1905">
            <v>0</v>
          </cell>
          <cell r="T1905">
            <v>526000</v>
          </cell>
          <cell r="U1905">
            <v>0</v>
          </cell>
          <cell r="V1905">
            <v>526000</v>
          </cell>
          <cell r="W1905">
            <v>0</v>
          </cell>
          <cell r="X1905">
            <v>526000</v>
          </cell>
          <cell r="Y1905">
            <v>0</v>
          </cell>
          <cell r="Z1905">
            <v>526000</v>
          </cell>
          <cell r="AA1905">
            <v>0</v>
          </cell>
          <cell r="AB1905">
            <v>0</v>
          </cell>
          <cell r="AC1905">
            <v>0</v>
          </cell>
          <cell r="AD1905">
            <v>0.77900000000000003</v>
          </cell>
          <cell r="AE1905">
            <v>0</v>
          </cell>
          <cell r="AF1905">
            <v>0</v>
          </cell>
          <cell r="AG1905">
            <v>0</v>
          </cell>
          <cell r="AH1905">
            <v>0</v>
          </cell>
          <cell r="AI1905">
            <v>0</v>
          </cell>
          <cell r="AJ1905">
            <v>0</v>
          </cell>
          <cell r="AK1905">
            <v>0</v>
          </cell>
          <cell r="AL1905">
            <v>0</v>
          </cell>
        </row>
        <row r="1906">
          <cell r="E1906" t="str">
            <v>50Hz SR 15 Kvar 13%</v>
          </cell>
          <cell r="F1906" t="str">
            <v>台</v>
          </cell>
          <cell r="G1906">
            <v>0</v>
          </cell>
          <cell r="H1906">
            <v>526000</v>
          </cell>
          <cell r="I1906">
            <v>0</v>
          </cell>
          <cell r="J1906">
            <v>574000</v>
          </cell>
          <cell r="K1906">
            <v>0</v>
          </cell>
          <cell r="L1906">
            <v>574000</v>
          </cell>
          <cell r="M1906">
            <v>0</v>
          </cell>
          <cell r="N1906">
            <v>526000</v>
          </cell>
          <cell r="O1906">
            <v>0</v>
          </cell>
          <cell r="P1906">
            <v>526000</v>
          </cell>
          <cell r="Q1906">
            <v>0</v>
          </cell>
          <cell r="R1906">
            <v>526000</v>
          </cell>
          <cell r="S1906">
            <v>0</v>
          </cell>
          <cell r="T1906">
            <v>526000</v>
          </cell>
          <cell r="U1906">
            <v>0</v>
          </cell>
          <cell r="V1906">
            <v>526000</v>
          </cell>
          <cell r="W1906">
            <v>0</v>
          </cell>
          <cell r="X1906">
            <v>526000</v>
          </cell>
          <cell r="Y1906">
            <v>0</v>
          </cell>
          <cell r="Z1906">
            <v>526000</v>
          </cell>
          <cell r="AA1906">
            <v>0</v>
          </cell>
          <cell r="AB1906">
            <v>0</v>
          </cell>
          <cell r="AC1906">
            <v>0</v>
          </cell>
          <cell r="AD1906">
            <v>0.84399999999999997</v>
          </cell>
          <cell r="AE1906">
            <v>0</v>
          </cell>
          <cell r="AF1906">
            <v>0</v>
          </cell>
          <cell r="AG1906">
            <v>0</v>
          </cell>
          <cell r="AH1906">
            <v>0</v>
          </cell>
          <cell r="AI1906">
            <v>0</v>
          </cell>
          <cell r="AJ1906">
            <v>0</v>
          </cell>
          <cell r="AK1906">
            <v>0</v>
          </cell>
          <cell r="AL1906">
            <v>0</v>
          </cell>
        </row>
        <row r="1907">
          <cell r="E1907" t="str">
            <v>50Hz SR 20 Kvar 13%</v>
          </cell>
          <cell r="F1907" t="str">
            <v>台</v>
          </cell>
          <cell r="G1907">
            <v>0</v>
          </cell>
          <cell r="H1907">
            <v>526000</v>
          </cell>
          <cell r="I1907">
            <v>0</v>
          </cell>
          <cell r="J1907">
            <v>617000</v>
          </cell>
          <cell r="K1907">
            <v>0</v>
          </cell>
          <cell r="L1907">
            <v>617000</v>
          </cell>
          <cell r="M1907">
            <v>0</v>
          </cell>
          <cell r="N1907">
            <v>526000</v>
          </cell>
          <cell r="O1907">
            <v>0</v>
          </cell>
          <cell r="P1907">
            <v>526000</v>
          </cell>
          <cell r="Q1907">
            <v>0</v>
          </cell>
          <cell r="R1907">
            <v>526000</v>
          </cell>
          <cell r="S1907">
            <v>0</v>
          </cell>
          <cell r="T1907">
            <v>526000</v>
          </cell>
          <cell r="U1907">
            <v>0</v>
          </cell>
          <cell r="V1907">
            <v>526000</v>
          </cell>
          <cell r="W1907">
            <v>0</v>
          </cell>
          <cell r="X1907">
            <v>526000</v>
          </cell>
          <cell r="Y1907">
            <v>0</v>
          </cell>
          <cell r="Z1907">
            <v>526000</v>
          </cell>
          <cell r="AA1907">
            <v>0</v>
          </cell>
          <cell r="AB1907">
            <v>0</v>
          </cell>
          <cell r="AC1907">
            <v>0</v>
          </cell>
          <cell r="AD1907">
            <v>1.0189999999999999</v>
          </cell>
          <cell r="AE1907">
            <v>0</v>
          </cell>
          <cell r="AF1907">
            <v>0</v>
          </cell>
          <cell r="AG1907">
            <v>0</v>
          </cell>
          <cell r="AH1907">
            <v>0</v>
          </cell>
          <cell r="AI1907">
            <v>0</v>
          </cell>
          <cell r="AJ1907">
            <v>0</v>
          </cell>
          <cell r="AK1907">
            <v>0</v>
          </cell>
          <cell r="AL1907">
            <v>0</v>
          </cell>
        </row>
        <row r="1908">
          <cell r="E1908" t="str">
            <v>50Hz SR 25 Kvar 13%</v>
          </cell>
          <cell r="F1908" t="str">
            <v>台</v>
          </cell>
          <cell r="G1908">
            <v>0</v>
          </cell>
          <cell r="H1908">
            <v>526000</v>
          </cell>
          <cell r="I1908">
            <v>0</v>
          </cell>
          <cell r="J1908">
            <v>665000</v>
          </cell>
          <cell r="K1908">
            <v>0</v>
          </cell>
          <cell r="L1908">
            <v>665000</v>
          </cell>
          <cell r="M1908">
            <v>0</v>
          </cell>
          <cell r="N1908">
            <v>526000</v>
          </cell>
          <cell r="O1908">
            <v>0</v>
          </cell>
          <cell r="P1908">
            <v>526000</v>
          </cell>
          <cell r="Q1908">
            <v>0</v>
          </cell>
          <cell r="R1908">
            <v>526000</v>
          </cell>
          <cell r="S1908">
            <v>0</v>
          </cell>
          <cell r="T1908">
            <v>526000</v>
          </cell>
          <cell r="U1908">
            <v>0</v>
          </cell>
          <cell r="V1908">
            <v>526000</v>
          </cell>
          <cell r="W1908">
            <v>0</v>
          </cell>
          <cell r="X1908">
            <v>526000</v>
          </cell>
          <cell r="Y1908">
            <v>0</v>
          </cell>
          <cell r="Z1908">
            <v>526000</v>
          </cell>
          <cell r="AA1908">
            <v>0</v>
          </cell>
          <cell r="AB1908">
            <v>0</v>
          </cell>
          <cell r="AC1908">
            <v>0</v>
          </cell>
          <cell r="AD1908">
            <v>1.23</v>
          </cell>
          <cell r="AE1908">
            <v>0</v>
          </cell>
          <cell r="AF1908">
            <v>0</v>
          </cell>
          <cell r="AG1908">
            <v>0</v>
          </cell>
          <cell r="AH1908">
            <v>0</v>
          </cell>
          <cell r="AI1908">
            <v>0</v>
          </cell>
          <cell r="AJ1908">
            <v>0</v>
          </cell>
          <cell r="AK1908">
            <v>0</v>
          </cell>
          <cell r="AL1908">
            <v>0</v>
          </cell>
        </row>
        <row r="1909">
          <cell r="E1909" t="str">
            <v>50Hz SR 30 Kvar 13%</v>
          </cell>
          <cell r="F1909" t="str">
            <v>台</v>
          </cell>
          <cell r="G1909">
            <v>0</v>
          </cell>
          <cell r="H1909">
            <v>574000</v>
          </cell>
          <cell r="I1909">
            <v>0</v>
          </cell>
          <cell r="J1909">
            <v>694000</v>
          </cell>
          <cell r="K1909">
            <v>0</v>
          </cell>
          <cell r="L1909">
            <v>694000</v>
          </cell>
          <cell r="M1909">
            <v>0</v>
          </cell>
          <cell r="N1909">
            <v>574000</v>
          </cell>
          <cell r="O1909">
            <v>0</v>
          </cell>
          <cell r="P1909">
            <v>574000</v>
          </cell>
          <cell r="Q1909">
            <v>0</v>
          </cell>
          <cell r="R1909">
            <v>574000</v>
          </cell>
          <cell r="S1909">
            <v>0</v>
          </cell>
          <cell r="T1909">
            <v>574000</v>
          </cell>
          <cell r="U1909">
            <v>0</v>
          </cell>
          <cell r="V1909">
            <v>574000</v>
          </cell>
          <cell r="W1909">
            <v>0</v>
          </cell>
          <cell r="X1909">
            <v>574000</v>
          </cell>
          <cell r="Y1909">
            <v>0</v>
          </cell>
          <cell r="Z1909">
            <v>574000</v>
          </cell>
          <cell r="AA1909">
            <v>0</v>
          </cell>
          <cell r="AB1909">
            <v>0</v>
          </cell>
          <cell r="AC1909">
            <v>0</v>
          </cell>
          <cell r="AD1909">
            <v>1.4850000000000001</v>
          </cell>
          <cell r="AE1909">
            <v>0</v>
          </cell>
          <cell r="AF1909">
            <v>0</v>
          </cell>
          <cell r="AG1909">
            <v>0</v>
          </cell>
          <cell r="AH1909">
            <v>0</v>
          </cell>
          <cell r="AI1909">
            <v>0</v>
          </cell>
          <cell r="AJ1909">
            <v>0</v>
          </cell>
          <cell r="AK1909">
            <v>0</v>
          </cell>
          <cell r="AL1909">
            <v>0</v>
          </cell>
        </row>
        <row r="1910">
          <cell r="E1910" t="str">
            <v>50Hz SR 50 Kvar 13%</v>
          </cell>
          <cell r="F1910" t="str">
            <v>台</v>
          </cell>
          <cell r="G1910">
            <v>0</v>
          </cell>
          <cell r="H1910">
            <v>617000</v>
          </cell>
          <cell r="I1910">
            <v>0</v>
          </cell>
          <cell r="J1910">
            <v>771000</v>
          </cell>
          <cell r="K1910">
            <v>0</v>
          </cell>
          <cell r="L1910">
            <v>771000</v>
          </cell>
          <cell r="M1910">
            <v>0</v>
          </cell>
          <cell r="N1910">
            <v>617000</v>
          </cell>
          <cell r="O1910">
            <v>0</v>
          </cell>
          <cell r="P1910">
            <v>617000</v>
          </cell>
          <cell r="Q1910">
            <v>0</v>
          </cell>
          <cell r="R1910">
            <v>617000</v>
          </cell>
          <cell r="S1910">
            <v>0</v>
          </cell>
          <cell r="T1910">
            <v>617000</v>
          </cell>
          <cell r="U1910">
            <v>0</v>
          </cell>
          <cell r="V1910">
            <v>617000</v>
          </cell>
          <cell r="W1910">
            <v>0</v>
          </cell>
          <cell r="X1910">
            <v>617000</v>
          </cell>
          <cell r="Y1910">
            <v>0</v>
          </cell>
          <cell r="Z1910">
            <v>617000</v>
          </cell>
          <cell r="AA1910">
            <v>0</v>
          </cell>
          <cell r="AB1910">
            <v>0</v>
          </cell>
          <cell r="AC1910">
            <v>0</v>
          </cell>
          <cell r="AD1910">
            <v>1.611</v>
          </cell>
          <cell r="AE1910">
            <v>0</v>
          </cell>
          <cell r="AF1910">
            <v>0</v>
          </cell>
          <cell r="AG1910">
            <v>0</v>
          </cell>
          <cell r="AH1910">
            <v>0</v>
          </cell>
          <cell r="AI1910">
            <v>0</v>
          </cell>
          <cell r="AJ1910">
            <v>0</v>
          </cell>
          <cell r="AK1910">
            <v>0</v>
          </cell>
          <cell r="AL1910">
            <v>0</v>
          </cell>
        </row>
        <row r="1911">
          <cell r="E1911" t="str">
            <v>50Hz SR 75 Kvar 13%</v>
          </cell>
          <cell r="F1911" t="str">
            <v>台</v>
          </cell>
          <cell r="G1911">
            <v>0</v>
          </cell>
          <cell r="H1911">
            <v>665000</v>
          </cell>
          <cell r="I1911">
            <v>0</v>
          </cell>
          <cell r="J1911">
            <v>842000</v>
          </cell>
          <cell r="K1911">
            <v>0</v>
          </cell>
          <cell r="L1911">
            <v>842000</v>
          </cell>
          <cell r="M1911">
            <v>0</v>
          </cell>
          <cell r="N1911">
            <v>665000</v>
          </cell>
          <cell r="O1911">
            <v>0</v>
          </cell>
          <cell r="P1911">
            <v>665000</v>
          </cell>
          <cell r="Q1911">
            <v>0</v>
          </cell>
          <cell r="R1911">
            <v>665000</v>
          </cell>
          <cell r="S1911">
            <v>0</v>
          </cell>
          <cell r="T1911">
            <v>665000</v>
          </cell>
          <cell r="U1911">
            <v>0</v>
          </cell>
          <cell r="V1911">
            <v>665000</v>
          </cell>
          <cell r="W1911">
            <v>0</v>
          </cell>
          <cell r="X1911">
            <v>665000</v>
          </cell>
          <cell r="Y1911">
            <v>0</v>
          </cell>
          <cell r="Z1911">
            <v>665000</v>
          </cell>
          <cell r="AA1911">
            <v>0</v>
          </cell>
          <cell r="AB1911">
            <v>0</v>
          </cell>
          <cell r="AC1911">
            <v>0</v>
          </cell>
          <cell r="AD1911">
            <v>1.7470000000000001</v>
          </cell>
          <cell r="AE1911">
            <v>0</v>
          </cell>
          <cell r="AF1911">
            <v>0</v>
          </cell>
          <cell r="AG1911">
            <v>0</v>
          </cell>
          <cell r="AH1911">
            <v>0</v>
          </cell>
          <cell r="AI1911">
            <v>0</v>
          </cell>
          <cell r="AJ1911">
            <v>0</v>
          </cell>
          <cell r="AK1911">
            <v>0</v>
          </cell>
          <cell r="AL1911">
            <v>0</v>
          </cell>
        </row>
        <row r="1912">
          <cell r="E1912" t="str">
            <v>50Hz SR100 Kvar 13%</v>
          </cell>
          <cell r="F1912" t="str">
            <v>台</v>
          </cell>
          <cell r="G1912">
            <v>0</v>
          </cell>
          <cell r="H1912">
            <v>694000</v>
          </cell>
          <cell r="I1912">
            <v>0</v>
          </cell>
          <cell r="J1912">
            <v>948000</v>
          </cell>
          <cell r="K1912">
            <v>0</v>
          </cell>
          <cell r="L1912">
            <v>948000</v>
          </cell>
          <cell r="M1912">
            <v>0</v>
          </cell>
          <cell r="N1912">
            <v>694000</v>
          </cell>
          <cell r="O1912">
            <v>0</v>
          </cell>
          <cell r="P1912">
            <v>694000</v>
          </cell>
          <cell r="Q1912">
            <v>0</v>
          </cell>
          <cell r="R1912">
            <v>694000</v>
          </cell>
          <cell r="S1912">
            <v>0</v>
          </cell>
          <cell r="T1912">
            <v>694000</v>
          </cell>
          <cell r="U1912">
            <v>0</v>
          </cell>
          <cell r="V1912">
            <v>694000</v>
          </cell>
          <cell r="W1912">
            <v>0</v>
          </cell>
          <cell r="X1912">
            <v>694000</v>
          </cell>
          <cell r="Y1912">
            <v>0</v>
          </cell>
          <cell r="Z1912">
            <v>694000</v>
          </cell>
          <cell r="AA1912">
            <v>0</v>
          </cell>
          <cell r="AB1912">
            <v>0</v>
          </cell>
          <cell r="AC1912">
            <v>0</v>
          </cell>
          <cell r="AD1912">
            <v>2.1080000000000001</v>
          </cell>
          <cell r="AE1912">
            <v>0</v>
          </cell>
          <cell r="AF1912">
            <v>0</v>
          </cell>
          <cell r="AG1912">
            <v>0</v>
          </cell>
          <cell r="AH1912">
            <v>0</v>
          </cell>
          <cell r="AI1912">
            <v>0</v>
          </cell>
          <cell r="AJ1912">
            <v>0</v>
          </cell>
          <cell r="AK1912">
            <v>0</v>
          </cell>
          <cell r="AL1912">
            <v>0</v>
          </cell>
        </row>
        <row r="1913">
          <cell r="E1913" t="str">
            <v>50Hz SR150 Kvar 13%</v>
          </cell>
          <cell r="F1913" t="str">
            <v>台</v>
          </cell>
          <cell r="G1913">
            <v>0</v>
          </cell>
          <cell r="H1913">
            <v>771000</v>
          </cell>
          <cell r="I1913">
            <v>0</v>
          </cell>
          <cell r="J1913">
            <v>1010000</v>
          </cell>
          <cell r="K1913">
            <v>0</v>
          </cell>
          <cell r="L1913">
            <v>1010000</v>
          </cell>
          <cell r="M1913">
            <v>0</v>
          </cell>
          <cell r="N1913">
            <v>771000</v>
          </cell>
          <cell r="O1913">
            <v>0</v>
          </cell>
          <cell r="P1913">
            <v>771000</v>
          </cell>
          <cell r="Q1913">
            <v>0</v>
          </cell>
          <cell r="R1913">
            <v>771000</v>
          </cell>
          <cell r="S1913">
            <v>0</v>
          </cell>
          <cell r="T1913">
            <v>771000</v>
          </cell>
          <cell r="U1913">
            <v>0</v>
          </cell>
          <cell r="V1913">
            <v>771000</v>
          </cell>
          <cell r="W1913">
            <v>0</v>
          </cell>
          <cell r="X1913">
            <v>771000</v>
          </cell>
          <cell r="Y1913">
            <v>0</v>
          </cell>
          <cell r="Z1913">
            <v>771000</v>
          </cell>
          <cell r="AA1913">
            <v>0</v>
          </cell>
          <cell r="AB1913">
            <v>0</v>
          </cell>
          <cell r="AC1913">
            <v>0</v>
          </cell>
          <cell r="AD1913">
            <v>2.3330000000000002</v>
          </cell>
          <cell r="AE1913">
            <v>0</v>
          </cell>
          <cell r="AF1913">
            <v>0</v>
          </cell>
          <cell r="AG1913">
            <v>0</v>
          </cell>
          <cell r="AH1913">
            <v>0</v>
          </cell>
          <cell r="AI1913">
            <v>0</v>
          </cell>
          <cell r="AJ1913">
            <v>0</v>
          </cell>
          <cell r="AK1913">
            <v>0</v>
          </cell>
          <cell r="AL1913">
            <v>0</v>
          </cell>
        </row>
        <row r="1914">
          <cell r="E1914" t="str">
            <v>50Hz SR200 Kvar 13%</v>
          </cell>
          <cell r="F1914" t="str">
            <v>台</v>
          </cell>
          <cell r="G1914">
            <v>0</v>
          </cell>
          <cell r="H1914">
            <v>842000</v>
          </cell>
          <cell r="I1914">
            <v>0</v>
          </cell>
          <cell r="J1914">
            <v>1530000</v>
          </cell>
          <cell r="K1914">
            <v>0</v>
          </cell>
          <cell r="L1914">
            <v>1530000</v>
          </cell>
          <cell r="M1914">
            <v>0</v>
          </cell>
          <cell r="N1914">
            <v>842000</v>
          </cell>
          <cell r="O1914">
            <v>0</v>
          </cell>
          <cell r="P1914">
            <v>842000</v>
          </cell>
          <cell r="Q1914">
            <v>0</v>
          </cell>
          <cell r="R1914">
            <v>842000</v>
          </cell>
          <cell r="S1914">
            <v>0</v>
          </cell>
          <cell r="T1914">
            <v>842000</v>
          </cell>
          <cell r="U1914">
            <v>0</v>
          </cell>
          <cell r="V1914">
            <v>842000</v>
          </cell>
          <cell r="W1914">
            <v>0</v>
          </cell>
          <cell r="X1914">
            <v>842000</v>
          </cell>
          <cell r="Y1914">
            <v>0</v>
          </cell>
          <cell r="Z1914">
            <v>842000</v>
          </cell>
          <cell r="AA1914">
            <v>0</v>
          </cell>
          <cell r="AB1914">
            <v>0</v>
          </cell>
          <cell r="AC1914">
            <v>0</v>
          </cell>
          <cell r="AD1914">
            <v>2.492</v>
          </cell>
          <cell r="AE1914">
            <v>0</v>
          </cell>
          <cell r="AF1914">
            <v>0</v>
          </cell>
          <cell r="AG1914">
            <v>0</v>
          </cell>
          <cell r="AH1914">
            <v>0</v>
          </cell>
          <cell r="AI1914">
            <v>0</v>
          </cell>
          <cell r="AJ1914">
            <v>0</v>
          </cell>
          <cell r="AK1914">
            <v>0</v>
          </cell>
          <cell r="AL1914">
            <v>0</v>
          </cell>
        </row>
        <row r="1915">
          <cell r="E1915" t="str">
            <v>50Hz SR250 Kvar 13%</v>
          </cell>
          <cell r="F1915" t="str">
            <v>台</v>
          </cell>
          <cell r="G1915">
            <v>0</v>
          </cell>
          <cell r="H1915">
            <v>948000</v>
          </cell>
          <cell r="I1915">
            <v>0</v>
          </cell>
          <cell r="J1915">
            <v>948000</v>
          </cell>
          <cell r="K1915">
            <v>0</v>
          </cell>
          <cell r="L1915">
            <v>948000</v>
          </cell>
          <cell r="M1915">
            <v>0</v>
          </cell>
          <cell r="N1915">
            <v>948000</v>
          </cell>
          <cell r="O1915">
            <v>0</v>
          </cell>
          <cell r="P1915">
            <v>948000</v>
          </cell>
          <cell r="Q1915">
            <v>0</v>
          </cell>
          <cell r="R1915">
            <v>948000</v>
          </cell>
          <cell r="S1915">
            <v>0</v>
          </cell>
          <cell r="T1915">
            <v>948000</v>
          </cell>
          <cell r="U1915">
            <v>0</v>
          </cell>
          <cell r="V1915">
            <v>948000</v>
          </cell>
          <cell r="W1915">
            <v>0</v>
          </cell>
          <cell r="X1915">
            <v>948000</v>
          </cell>
          <cell r="Y1915">
            <v>0</v>
          </cell>
          <cell r="Z1915">
            <v>948000</v>
          </cell>
          <cell r="AA1915">
            <v>0</v>
          </cell>
          <cell r="AB1915">
            <v>0</v>
          </cell>
          <cell r="AC1915">
            <v>0</v>
          </cell>
          <cell r="AD1915">
            <v>3.008</v>
          </cell>
          <cell r="AE1915">
            <v>0</v>
          </cell>
          <cell r="AF1915">
            <v>0</v>
          </cell>
          <cell r="AG1915">
            <v>0</v>
          </cell>
          <cell r="AH1915">
            <v>0</v>
          </cell>
          <cell r="AI1915">
            <v>0</v>
          </cell>
          <cell r="AJ1915">
            <v>0</v>
          </cell>
          <cell r="AK1915">
            <v>0</v>
          </cell>
          <cell r="AL1915">
            <v>0</v>
          </cell>
        </row>
        <row r="1916">
          <cell r="E1916" t="str">
            <v>50Hz SR300 Kvar 13%</v>
          </cell>
          <cell r="F1916" t="str">
            <v>台</v>
          </cell>
          <cell r="G1916">
            <v>0</v>
          </cell>
          <cell r="H1916">
            <v>1010000</v>
          </cell>
          <cell r="I1916">
            <v>0</v>
          </cell>
          <cell r="J1916">
            <v>1010000</v>
          </cell>
          <cell r="K1916">
            <v>0</v>
          </cell>
          <cell r="L1916">
            <v>1010000</v>
          </cell>
          <cell r="M1916">
            <v>0</v>
          </cell>
          <cell r="N1916">
            <v>1010000</v>
          </cell>
          <cell r="O1916">
            <v>0</v>
          </cell>
          <cell r="P1916">
            <v>1010000</v>
          </cell>
          <cell r="Q1916">
            <v>0</v>
          </cell>
          <cell r="R1916">
            <v>1010000</v>
          </cell>
          <cell r="S1916">
            <v>0</v>
          </cell>
          <cell r="T1916">
            <v>1010000</v>
          </cell>
          <cell r="U1916">
            <v>0</v>
          </cell>
          <cell r="V1916">
            <v>1010000</v>
          </cell>
          <cell r="W1916">
            <v>0</v>
          </cell>
          <cell r="X1916">
            <v>1010000</v>
          </cell>
          <cell r="Y1916">
            <v>0</v>
          </cell>
          <cell r="Z1916">
            <v>1010000</v>
          </cell>
          <cell r="AA1916">
            <v>0</v>
          </cell>
          <cell r="AB1916">
            <v>0</v>
          </cell>
          <cell r="AC1916">
            <v>0</v>
          </cell>
          <cell r="AD1916">
            <v>3.63</v>
          </cell>
          <cell r="AE1916">
            <v>0</v>
          </cell>
          <cell r="AF1916">
            <v>0</v>
          </cell>
          <cell r="AG1916">
            <v>0</v>
          </cell>
          <cell r="AH1916">
            <v>0</v>
          </cell>
          <cell r="AI1916">
            <v>0</v>
          </cell>
          <cell r="AJ1916">
            <v>0</v>
          </cell>
          <cell r="AK1916">
            <v>0</v>
          </cell>
          <cell r="AL1916">
            <v>0</v>
          </cell>
        </row>
        <row r="1917">
          <cell r="E1917" t="str">
            <v>50Hz SR400 Kvar 13%</v>
          </cell>
          <cell r="F1917" t="str">
            <v>台</v>
          </cell>
          <cell r="G1917">
            <v>0</v>
          </cell>
          <cell r="H1917">
            <v>1270000</v>
          </cell>
          <cell r="I1917">
            <v>0</v>
          </cell>
          <cell r="J1917">
            <v>1270000</v>
          </cell>
          <cell r="K1917">
            <v>0</v>
          </cell>
          <cell r="L1917">
            <v>1270000</v>
          </cell>
          <cell r="M1917">
            <v>0</v>
          </cell>
          <cell r="N1917">
            <v>1270000</v>
          </cell>
          <cell r="O1917">
            <v>0</v>
          </cell>
          <cell r="P1917">
            <v>1270000</v>
          </cell>
          <cell r="Q1917">
            <v>0</v>
          </cell>
          <cell r="R1917">
            <v>1270000</v>
          </cell>
          <cell r="S1917">
            <v>0</v>
          </cell>
          <cell r="T1917">
            <v>1270000</v>
          </cell>
          <cell r="U1917">
            <v>0</v>
          </cell>
          <cell r="V1917">
            <v>1270000</v>
          </cell>
          <cell r="W1917">
            <v>0</v>
          </cell>
          <cell r="X1917">
            <v>1270000</v>
          </cell>
          <cell r="Y1917">
            <v>0</v>
          </cell>
          <cell r="Z1917">
            <v>1270000</v>
          </cell>
          <cell r="AA1917">
            <v>0</v>
          </cell>
          <cell r="AB1917">
            <v>0</v>
          </cell>
          <cell r="AC1917">
            <v>0</v>
          </cell>
          <cell r="AD1917">
            <v>0</v>
          </cell>
          <cell r="AE1917">
            <v>0</v>
          </cell>
          <cell r="AF1917">
            <v>0</v>
          </cell>
          <cell r="AG1917">
            <v>0</v>
          </cell>
          <cell r="AH1917">
            <v>0</v>
          </cell>
          <cell r="AI1917">
            <v>0</v>
          </cell>
          <cell r="AJ1917">
            <v>0</v>
          </cell>
          <cell r="AK1917">
            <v>0</v>
          </cell>
          <cell r="AL1917">
            <v>0</v>
          </cell>
        </row>
        <row r="1918">
          <cell r="E1918" t="str">
            <v>50Hz SR500 Kvar 13%</v>
          </cell>
          <cell r="F1918" t="str">
            <v>台</v>
          </cell>
          <cell r="G1918">
            <v>0</v>
          </cell>
          <cell r="H1918">
            <v>1530000</v>
          </cell>
          <cell r="I1918">
            <v>0</v>
          </cell>
          <cell r="J1918">
            <v>1530000</v>
          </cell>
          <cell r="K1918">
            <v>0</v>
          </cell>
          <cell r="L1918">
            <v>1530000</v>
          </cell>
          <cell r="M1918">
            <v>0</v>
          </cell>
          <cell r="N1918">
            <v>1530000</v>
          </cell>
          <cell r="O1918">
            <v>0</v>
          </cell>
          <cell r="P1918">
            <v>1530000</v>
          </cell>
          <cell r="Q1918">
            <v>0</v>
          </cell>
          <cell r="R1918">
            <v>1530000</v>
          </cell>
          <cell r="S1918">
            <v>0</v>
          </cell>
          <cell r="T1918">
            <v>1530000</v>
          </cell>
          <cell r="U1918">
            <v>0</v>
          </cell>
          <cell r="V1918">
            <v>1530000</v>
          </cell>
          <cell r="W1918">
            <v>0</v>
          </cell>
          <cell r="X1918">
            <v>1530000</v>
          </cell>
          <cell r="Y1918">
            <v>0</v>
          </cell>
          <cell r="Z1918">
            <v>1530000</v>
          </cell>
          <cell r="AA1918">
            <v>0</v>
          </cell>
          <cell r="AB1918">
            <v>0</v>
          </cell>
          <cell r="AC1918">
            <v>0</v>
          </cell>
          <cell r="AD1918">
            <v>3.9369999999999998</v>
          </cell>
          <cell r="AE1918">
            <v>0</v>
          </cell>
          <cell r="AF1918">
            <v>0</v>
          </cell>
          <cell r="AG1918">
            <v>0</v>
          </cell>
          <cell r="AH1918">
            <v>0</v>
          </cell>
          <cell r="AI1918">
            <v>0</v>
          </cell>
          <cell r="AJ1918">
            <v>0</v>
          </cell>
          <cell r="AK1918">
            <v>0</v>
          </cell>
          <cell r="AL1918">
            <v>0</v>
          </cell>
        </row>
        <row r="1919">
          <cell r="E1919" t="str">
            <v>60Hz SR 12 Kvar 13%</v>
          </cell>
          <cell r="F1919" t="str">
            <v>台</v>
          </cell>
          <cell r="G1919">
            <v>0</v>
          </cell>
          <cell r="H1919">
            <v>515000</v>
          </cell>
          <cell r="I1919">
            <v>0</v>
          </cell>
          <cell r="J1919">
            <v>515000</v>
          </cell>
          <cell r="K1919">
            <v>0</v>
          </cell>
          <cell r="L1919">
            <v>515000</v>
          </cell>
          <cell r="M1919">
            <v>0</v>
          </cell>
          <cell r="N1919">
            <v>515000</v>
          </cell>
          <cell r="O1919">
            <v>0</v>
          </cell>
          <cell r="P1919">
            <v>515000</v>
          </cell>
          <cell r="Q1919">
            <v>0</v>
          </cell>
          <cell r="R1919">
            <v>515000</v>
          </cell>
          <cell r="S1919">
            <v>0</v>
          </cell>
          <cell r="T1919">
            <v>515000</v>
          </cell>
          <cell r="U1919">
            <v>0</v>
          </cell>
          <cell r="V1919">
            <v>515000</v>
          </cell>
          <cell r="W1919">
            <v>0</v>
          </cell>
          <cell r="X1919">
            <v>515000</v>
          </cell>
          <cell r="Y1919">
            <v>0</v>
          </cell>
          <cell r="Z1919">
            <v>515000</v>
          </cell>
          <cell r="AA1919">
            <v>0</v>
          </cell>
          <cell r="AB1919">
            <v>0</v>
          </cell>
          <cell r="AC1919">
            <v>0</v>
          </cell>
          <cell r="AD1919">
            <v>0.77900000000000003</v>
          </cell>
          <cell r="AE1919">
            <v>0</v>
          </cell>
          <cell r="AF1919">
            <v>0</v>
          </cell>
          <cell r="AG1919">
            <v>0</v>
          </cell>
          <cell r="AH1919">
            <v>0</v>
          </cell>
          <cell r="AI1919">
            <v>0</v>
          </cell>
          <cell r="AJ1919">
            <v>0</v>
          </cell>
          <cell r="AK1919">
            <v>0</v>
          </cell>
          <cell r="AL1919">
            <v>0</v>
          </cell>
        </row>
        <row r="1920">
          <cell r="E1920" t="str">
            <v>60Hz SR 18 Kvar 13%</v>
          </cell>
          <cell r="F1920" t="str">
            <v>台</v>
          </cell>
          <cell r="G1920">
            <v>0</v>
          </cell>
          <cell r="H1920">
            <v>515000</v>
          </cell>
          <cell r="I1920">
            <v>0</v>
          </cell>
          <cell r="J1920">
            <v>562000</v>
          </cell>
          <cell r="K1920">
            <v>0</v>
          </cell>
          <cell r="L1920">
            <v>562000</v>
          </cell>
          <cell r="M1920">
            <v>0</v>
          </cell>
          <cell r="N1920">
            <v>515000</v>
          </cell>
          <cell r="O1920">
            <v>0</v>
          </cell>
          <cell r="P1920">
            <v>515000</v>
          </cell>
          <cell r="Q1920">
            <v>0</v>
          </cell>
          <cell r="R1920">
            <v>515000</v>
          </cell>
          <cell r="S1920">
            <v>0</v>
          </cell>
          <cell r="T1920">
            <v>515000</v>
          </cell>
          <cell r="U1920">
            <v>0</v>
          </cell>
          <cell r="V1920">
            <v>515000</v>
          </cell>
          <cell r="W1920">
            <v>0</v>
          </cell>
          <cell r="X1920">
            <v>515000</v>
          </cell>
          <cell r="Y1920">
            <v>0</v>
          </cell>
          <cell r="Z1920">
            <v>515000</v>
          </cell>
          <cell r="AA1920">
            <v>0</v>
          </cell>
          <cell r="AB1920">
            <v>0</v>
          </cell>
          <cell r="AC1920">
            <v>0</v>
          </cell>
          <cell r="AD1920">
            <v>0.84399999999999997</v>
          </cell>
          <cell r="AE1920">
            <v>0</v>
          </cell>
          <cell r="AF1920">
            <v>0</v>
          </cell>
          <cell r="AG1920">
            <v>0</v>
          </cell>
          <cell r="AH1920">
            <v>0</v>
          </cell>
          <cell r="AI1920">
            <v>0</v>
          </cell>
          <cell r="AJ1920">
            <v>0</v>
          </cell>
          <cell r="AK1920">
            <v>0</v>
          </cell>
          <cell r="AL1920">
            <v>0</v>
          </cell>
        </row>
        <row r="1921">
          <cell r="E1921" t="str">
            <v>60Hz SR 24 Kvar 13%</v>
          </cell>
          <cell r="F1921" t="str">
            <v>台</v>
          </cell>
          <cell r="G1921">
            <v>0</v>
          </cell>
          <cell r="H1921">
            <v>515000</v>
          </cell>
          <cell r="I1921">
            <v>0</v>
          </cell>
          <cell r="J1921">
            <v>604000</v>
          </cell>
          <cell r="K1921">
            <v>0</v>
          </cell>
          <cell r="L1921">
            <v>604000</v>
          </cell>
          <cell r="M1921">
            <v>0</v>
          </cell>
          <cell r="N1921">
            <v>515000</v>
          </cell>
          <cell r="O1921">
            <v>0</v>
          </cell>
          <cell r="P1921">
            <v>515000</v>
          </cell>
          <cell r="Q1921">
            <v>0</v>
          </cell>
          <cell r="R1921">
            <v>515000</v>
          </cell>
          <cell r="S1921">
            <v>0</v>
          </cell>
          <cell r="T1921">
            <v>515000</v>
          </cell>
          <cell r="U1921">
            <v>0</v>
          </cell>
          <cell r="V1921">
            <v>515000</v>
          </cell>
          <cell r="W1921">
            <v>0</v>
          </cell>
          <cell r="X1921">
            <v>515000</v>
          </cell>
          <cell r="Y1921">
            <v>0</v>
          </cell>
          <cell r="Z1921">
            <v>515000</v>
          </cell>
          <cell r="AA1921">
            <v>0</v>
          </cell>
          <cell r="AB1921">
            <v>0</v>
          </cell>
          <cell r="AC1921">
            <v>0</v>
          </cell>
          <cell r="AD1921">
            <v>1.0189999999999999</v>
          </cell>
          <cell r="AE1921">
            <v>0</v>
          </cell>
          <cell r="AF1921">
            <v>0</v>
          </cell>
          <cell r="AG1921">
            <v>0</v>
          </cell>
          <cell r="AH1921">
            <v>0</v>
          </cell>
          <cell r="AI1921">
            <v>0</v>
          </cell>
          <cell r="AJ1921">
            <v>0</v>
          </cell>
          <cell r="AK1921">
            <v>0</v>
          </cell>
          <cell r="AL1921">
            <v>0</v>
          </cell>
        </row>
        <row r="1922">
          <cell r="E1922" t="str">
            <v>60Hz SR 30 Kvar 13%</v>
          </cell>
          <cell r="F1922" t="str">
            <v>台</v>
          </cell>
          <cell r="G1922">
            <v>0</v>
          </cell>
          <cell r="H1922">
            <v>515000</v>
          </cell>
          <cell r="I1922">
            <v>0</v>
          </cell>
          <cell r="J1922">
            <v>642000</v>
          </cell>
          <cell r="K1922">
            <v>0</v>
          </cell>
          <cell r="L1922">
            <v>642000</v>
          </cell>
          <cell r="M1922">
            <v>0</v>
          </cell>
          <cell r="N1922">
            <v>515000</v>
          </cell>
          <cell r="O1922">
            <v>0</v>
          </cell>
          <cell r="P1922">
            <v>515000</v>
          </cell>
          <cell r="Q1922">
            <v>0</v>
          </cell>
          <cell r="R1922">
            <v>515000</v>
          </cell>
          <cell r="S1922">
            <v>0</v>
          </cell>
          <cell r="T1922">
            <v>515000</v>
          </cell>
          <cell r="U1922">
            <v>0</v>
          </cell>
          <cell r="V1922">
            <v>515000</v>
          </cell>
          <cell r="W1922">
            <v>0</v>
          </cell>
          <cell r="X1922">
            <v>515000</v>
          </cell>
          <cell r="Y1922">
            <v>0</v>
          </cell>
          <cell r="Z1922">
            <v>515000</v>
          </cell>
          <cell r="AA1922">
            <v>0</v>
          </cell>
          <cell r="AB1922">
            <v>0</v>
          </cell>
          <cell r="AC1922">
            <v>0</v>
          </cell>
          <cell r="AD1922">
            <v>1.23</v>
          </cell>
          <cell r="AE1922">
            <v>0</v>
          </cell>
          <cell r="AF1922">
            <v>0</v>
          </cell>
          <cell r="AG1922">
            <v>0</v>
          </cell>
          <cell r="AH1922">
            <v>0</v>
          </cell>
          <cell r="AI1922">
            <v>0</v>
          </cell>
          <cell r="AJ1922">
            <v>0</v>
          </cell>
          <cell r="AK1922">
            <v>0</v>
          </cell>
          <cell r="AL1922">
            <v>0</v>
          </cell>
        </row>
        <row r="1923">
          <cell r="E1923" t="str">
            <v>60Hz SR 36 Kvar 13%</v>
          </cell>
          <cell r="F1923" t="str">
            <v>台</v>
          </cell>
          <cell r="G1923">
            <v>0</v>
          </cell>
          <cell r="H1923">
            <v>562000</v>
          </cell>
          <cell r="I1923">
            <v>0</v>
          </cell>
          <cell r="J1923">
            <v>680000</v>
          </cell>
          <cell r="K1923">
            <v>0</v>
          </cell>
          <cell r="L1923">
            <v>680000</v>
          </cell>
          <cell r="M1923">
            <v>0</v>
          </cell>
          <cell r="N1923">
            <v>562000</v>
          </cell>
          <cell r="O1923">
            <v>0</v>
          </cell>
          <cell r="P1923">
            <v>562000</v>
          </cell>
          <cell r="Q1923">
            <v>0</v>
          </cell>
          <cell r="R1923">
            <v>562000</v>
          </cell>
          <cell r="S1923">
            <v>0</v>
          </cell>
          <cell r="T1923">
            <v>562000</v>
          </cell>
          <cell r="U1923">
            <v>0</v>
          </cell>
          <cell r="V1923">
            <v>562000</v>
          </cell>
          <cell r="W1923">
            <v>0</v>
          </cell>
          <cell r="X1923">
            <v>562000</v>
          </cell>
          <cell r="Y1923">
            <v>0</v>
          </cell>
          <cell r="Z1923">
            <v>562000</v>
          </cell>
          <cell r="AA1923">
            <v>0</v>
          </cell>
          <cell r="AB1923">
            <v>0</v>
          </cell>
          <cell r="AC1923">
            <v>0</v>
          </cell>
          <cell r="AD1923">
            <v>1.4850000000000001</v>
          </cell>
          <cell r="AE1923">
            <v>0</v>
          </cell>
          <cell r="AF1923">
            <v>0</v>
          </cell>
          <cell r="AG1923">
            <v>0</v>
          </cell>
          <cell r="AH1923">
            <v>0</v>
          </cell>
          <cell r="AI1923">
            <v>0</v>
          </cell>
          <cell r="AJ1923">
            <v>0</v>
          </cell>
          <cell r="AK1923">
            <v>0</v>
          </cell>
          <cell r="AL1923">
            <v>0</v>
          </cell>
        </row>
        <row r="1924">
          <cell r="E1924" t="str">
            <v>60Hz SR 50 Kvar 13%</v>
          </cell>
          <cell r="F1924" t="str">
            <v>台</v>
          </cell>
          <cell r="G1924">
            <v>0</v>
          </cell>
          <cell r="H1924">
            <v>604000</v>
          </cell>
          <cell r="I1924">
            <v>0</v>
          </cell>
          <cell r="J1924">
            <v>756000</v>
          </cell>
          <cell r="K1924">
            <v>0</v>
          </cell>
          <cell r="L1924">
            <v>756000</v>
          </cell>
          <cell r="M1924">
            <v>0</v>
          </cell>
          <cell r="N1924">
            <v>604000</v>
          </cell>
          <cell r="O1924">
            <v>0</v>
          </cell>
          <cell r="P1924">
            <v>604000</v>
          </cell>
          <cell r="Q1924">
            <v>0</v>
          </cell>
          <cell r="R1924">
            <v>604000</v>
          </cell>
          <cell r="S1924">
            <v>0</v>
          </cell>
          <cell r="T1924">
            <v>604000</v>
          </cell>
          <cell r="U1924">
            <v>0</v>
          </cell>
          <cell r="V1924">
            <v>604000</v>
          </cell>
          <cell r="W1924">
            <v>0</v>
          </cell>
          <cell r="X1924">
            <v>604000</v>
          </cell>
          <cell r="Y1924">
            <v>0</v>
          </cell>
          <cell r="Z1924">
            <v>604000</v>
          </cell>
          <cell r="AA1924">
            <v>0</v>
          </cell>
          <cell r="AB1924">
            <v>0</v>
          </cell>
          <cell r="AC1924">
            <v>0</v>
          </cell>
          <cell r="AD1924">
            <v>1.611</v>
          </cell>
          <cell r="AE1924">
            <v>0</v>
          </cell>
          <cell r="AF1924">
            <v>0</v>
          </cell>
          <cell r="AG1924">
            <v>0</v>
          </cell>
          <cell r="AH1924">
            <v>0</v>
          </cell>
          <cell r="AI1924">
            <v>0</v>
          </cell>
          <cell r="AJ1924">
            <v>0</v>
          </cell>
          <cell r="AK1924">
            <v>0</v>
          </cell>
          <cell r="AL1924">
            <v>0</v>
          </cell>
        </row>
        <row r="1925">
          <cell r="E1925" t="str">
            <v>60Hz SR 75 Kvar 13%</v>
          </cell>
          <cell r="F1925" t="str">
            <v>台</v>
          </cell>
          <cell r="G1925">
            <v>0</v>
          </cell>
          <cell r="H1925">
            <v>642000</v>
          </cell>
          <cell r="I1925">
            <v>0</v>
          </cell>
          <cell r="J1925">
            <v>826000</v>
          </cell>
          <cell r="K1925">
            <v>0</v>
          </cell>
          <cell r="L1925">
            <v>826000</v>
          </cell>
          <cell r="M1925">
            <v>0</v>
          </cell>
          <cell r="N1925">
            <v>642000</v>
          </cell>
          <cell r="O1925">
            <v>0</v>
          </cell>
          <cell r="P1925">
            <v>642000</v>
          </cell>
          <cell r="Q1925">
            <v>0</v>
          </cell>
          <cell r="R1925">
            <v>642000</v>
          </cell>
          <cell r="S1925">
            <v>0</v>
          </cell>
          <cell r="T1925">
            <v>642000</v>
          </cell>
          <cell r="U1925">
            <v>0</v>
          </cell>
          <cell r="V1925">
            <v>642000</v>
          </cell>
          <cell r="W1925">
            <v>0</v>
          </cell>
          <cell r="X1925">
            <v>642000</v>
          </cell>
          <cell r="Y1925">
            <v>0</v>
          </cell>
          <cell r="Z1925">
            <v>642000</v>
          </cell>
          <cell r="AA1925">
            <v>0</v>
          </cell>
          <cell r="AB1925">
            <v>0</v>
          </cell>
          <cell r="AC1925">
            <v>0</v>
          </cell>
          <cell r="AD1925">
            <v>1.7470000000000001</v>
          </cell>
          <cell r="AE1925">
            <v>0</v>
          </cell>
          <cell r="AF1925">
            <v>0</v>
          </cell>
          <cell r="AG1925">
            <v>0</v>
          </cell>
          <cell r="AH1925">
            <v>0</v>
          </cell>
          <cell r="AI1925">
            <v>0</v>
          </cell>
          <cell r="AJ1925">
            <v>0</v>
          </cell>
          <cell r="AK1925">
            <v>0</v>
          </cell>
          <cell r="AL1925">
            <v>0</v>
          </cell>
        </row>
        <row r="1926">
          <cell r="E1926" t="str">
            <v>60Hz SR100 Kvar 13%</v>
          </cell>
          <cell r="F1926" t="str">
            <v>台</v>
          </cell>
          <cell r="G1926">
            <v>0</v>
          </cell>
          <cell r="H1926">
            <v>680000</v>
          </cell>
          <cell r="I1926">
            <v>0</v>
          </cell>
          <cell r="J1926">
            <v>928000</v>
          </cell>
          <cell r="K1926">
            <v>0</v>
          </cell>
          <cell r="L1926">
            <v>928000</v>
          </cell>
          <cell r="M1926">
            <v>0</v>
          </cell>
          <cell r="N1926">
            <v>680000</v>
          </cell>
          <cell r="O1926">
            <v>0</v>
          </cell>
          <cell r="P1926">
            <v>680000</v>
          </cell>
          <cell r="Q1926">
            <v>0</v>
          </cell>
          <cell r="R1926">
            <v>680000</v>
          </cell>
          <cell r="S1926">
            <v>0</v>
          </cell>
          <cell r="T1926">
            <v>680000</v>
          </cell>
          <cell r="U1926">
            <v>0</v>
          </cell>
          <cell r="V1926">
            <v>680000</v>
          </cell>
          <cell r="W1926">
            <v>0</v>
          </cell>
          <cell r="X1926">
            <v>680000</v>
          </cell>
          <cell r="Y1926">
            <v>0</v>
          </cell>
          <cell r="Z1926">
            <v>680000</v>
          </cell>
          <cell r="AA1926">
            <v>0</v>
          </cell>
          <cell r="AB1926">
            <v>0</v>
          </cell>
          <cell r="AC1926">
            <v>0</v>
          </cell>
          <cell r="AD1926">
            <v>2.1080000000000001</v>
          </cell>
          <cell r="AE1926">
            <v>0</v>
          </cell>
          <cell r="AF1926">
            <v>0</v>
          </cell>
          <cell r="AG1926">
            <v>0</v>
          </cell>
          <cell r="AH1926">
            <v>0</v>
          </cell>
          <cell r="AI1926">
            <v>0</v>
          </cell>
          <cell r="AJ1926">
            <v>0</v>
          </cell>
          <cell r="AK1926">
            <v>0</v>
          </cell>
          <cell r="AL1926">
            <v>0</v>
          </cell>
        </row>
        <row r="1927">
          <cell r="E1927" t="str">
            <v>60Hz SR150 Kvar 13%</v>
          </cell>
          <cell r="F1927" t="str">
            <v>台</v>
          </cell>
          <cell r="G1927">
            <v>0</v>
          </cell>
          <cell r="H1927">
            <v>756000</v>
          </cell>
          <cell r="I1927">
            <v>0</v>
          </cell>
          <cell r="J1927">
            <v>998000</v>
          </cell>
          <cell r="K1927">
            <v>0</v>
          </cell>
          <cell r="L1927">
            <v>998000</v>
          </cell>
          <cell r="M1927">
            <v>0</v>
          </cell>
          <cell r="N1927">
            <v>756000</v>
          </cell>
          <cell r="O1927">
            <v>0</v>
          </cell>
          <cell r="P1927">
            <v>756000</v>
          </cell>
          <cell r="Q1927">
            <v>0</v>
          </cell>
          <cell r="R1927">
            <v>756000</v>
          </cell>
          <cell r="S1927">
            <v>0</v>
          </cell>
          <cell r="T1927">
            <v>756000</v>
          </cell>
          <cell r="U1927">
            <v>0</v>
          </cell>
          <cell r="V1927">
            <v>756000</v>
          </cell>
          <cell r="W1927">
            <v>0</v>
          </cell>
          <cell r="X1927">
            <v>756000</v>
          </cell>
          <cell r="Y1927">
            <v>0</v>
          </cell>
          <cell r="Z1927">
            <v>756000</v>
          </cell>
          <cell r="AA1927">
            <v>0</v>
          </cell>
          <cell r="AB1927">
            <v>0</v>
          </cell>
          <cell r="AC1927">
            <v>0</v>
          </cell>
          <cell r="AD1927">
            <v>2.3330000000000002</v>
          </cell>
          <cell r="AE1927">
            <v>0</v>
          </cell>
          <cell r="AF1927">
            <v>0</v>
          </cell>
          <cell r="AG1927">
            <v>0</v>
          </cell>
          <cell r="AH1927">
            <v>0</v>
          </cell>
          <cell r="AI1927">
            <v>0</v>
          </cell>
          <cell r="AJ1927">
            <v>0</v>
          </cell>
          <cell r="AK1927">
            <v>0</v>
          </cell>
          <cell r="AL1927">
            <v>0</v>
          </cell>
        </row>
        <row r="1928">
          <cell r="E1928" t="str">
            <v>60Hz SR200 Kvar 13%</v>
          </cell>
          <cell r="F1928" t="str">
            <v>台</v>
          </cell>
          <cell r="G1928">
            <v>0</v>
          </cell>
          <cell r="H1928">
            <v>826000</v>
          </cell>
          <cell r="I1928">
            <v>0</v>
          </cell>
          <cell r="J1928">
            <v>1490000</v>
          </cell>
          <cell r="K1928">
            <v>0</v>
          </cell>
          <cell r="L1928">
            <v>1490000</v>
          </cell>
          <cell r="M1928">
            <v>0</v>
          </cell>
          <cell r="N1928">
            <v>826000</v>
          </cell>
          <cell r="O1928">
            <v>0</v>
          </cell>
          <cell r="P1928">
            <v>826000</v>
          </cell>
          <cell r="Q1928">
            <v>0</v>
          </cell>
          <cell r="R1928">
            <v>826000</v>
          </cell>
          <cell r="S1928">
            <v>0</v>
          </cell>
          <cell r="T1928">
            <v>826000</v>
          </cell>
          <cell r="U1928">
            <v>0</v>
          </cell>
          <cell r="V1928">
            <v>826000</v>
          </cell>
          <cell r="W1928">
            <v>0</v>
          </cell>
          <cell r="X1928">
            <v>826000</v>
          </cell>
          <cell r="Y1928">
            <v>0</v>
          </cell>
          <cell r="Z1928">
            <v>826000</v>
          </cell>
          <cell r="AA1928">
            <v>0</v>
          </cell>
          <cell r="AB1928">
            <v>0</v>
          </cell>
          <cell r="AC1928">
            <v>0</v>
          </cell>
          <cell r="AD1928">
            <v>2.492</v>
          </cell>
          <cell r="AE1928">
            <v>0</v>
          </cell>
          <cell r="AF1928">
            <v>0</v>
          </cell>
          <cell r="AG1928">
            <v>0</v>
          </cell>
          <cell r="AH1928">
            <v>0</v>
          </cell>
          <cell r="AI1928">
            <v>0</v>
          </cell>
          <cell r="AJ1928">
            <v>0</v>
          </cell>
          <cell r="AK1928">
            <v>0</v>
          </cell>
          <cell r="AL1928">
            <v>0</v>
          </cell>
        </row>
        <row r="1929">
          <cell r="E1929" t="str">
            <v>60Hz SR250 Kvar 13%</v>
          </cell>
          <cell r="F1929" t="str">
            <v>台</v>
          </cell>
          <cell r="G1929">
            <v>0</v>
          </cell>
          <cell r="H1929">
            <v>928000</v>
          </cell>
          <cell r="I1929">
            <v>0</v>
          </cell>
          <cell r="J1929">
            <v>928000</v>
          </cell>
          <cell r="K1929">
            <v>0</v>
          </cell>
          <cell r="L1929">
            <v>928000</v>
          </cell>
          <cell r="M1929">
            <v>0</v>
          </cell>
          <cell r="N1929">
            <v>928000</v>
          </cell>
          <cell r="O1929">
            <v>0</v>
          </cell>
          <cell r="P1929">
            <v>928000</v>
          </cell>
          <cell r="Q1929">
            <v>0</v>
          </cell>
          <cell r="R1929">
            <v>928000</v>
          </cell>
          <cell r="S1929">
            <v>0</v>
          </cell>
          <cell r="T1929">
            <v>928000</v>
          </cell>
          <cell r="U1929">
            <v>0</v>
          </cell>
          <cell r="V1929">
            <v>928000</v>
          </cell>
          <cell r="W1929">
            <v>0</v>
          </cell>
          <cell r="X1929">
            <v>928000</v>
          </cell>
          <cell r="Y1929">
            <v>0</v>
          </cell>
          <cell r="Z1929">
            <v>928000</v>
          </cell>
          <cell r="AA1929">
            <v>0</v>
          </cell>
          <cell r="AB1929">
            <v>0</v>
          </cell>
          <cell r="AC1929">
            <v>0</v>
          </cell>
          <cell r="AD1929">
            <v>3.008</v>
          </cell>
          <cell r="AE1929">
            <v>0</v>
          </cell>
          <cell r="AF1929">
            <v>0</v>
          </cell>
          <cell r="AG1929">
            <v>0</v>
          </cell>
          <cell r="AH1929">
            <v>0</v>
          </cell>
          <cell r="AI1929">
            <v>0</v>
          </cell>
          <cell r="AJ1929">
            <v>0</v>
          </cell>
          <cell r="AK1929">
            <v>0</v>
          </cell>
          <cell r="AL1929">
            <v>0</v>
          </cell>
        </row>
        <row r="1930">
          <cell r="E1930" t="str">
            <v>60Hz SR300 Kvar 13%</v>
          </cell>
          <cell r="F1930" t="str">
            <v>台</v>
          </cell>
          <cell r="G1930">
            <v>0</v>
          </cell>
          <cell r="H1930">
            <v>998000</v>
          </cell>
          <cell r="I1930">
            <v>0</v>
          </cell>
          <cell r="J1930">
            <v>368000</v>
          </cell>
          <cell r="K1930">
            <v>0</v>
          </cell>
          <cell r="L1930">
            <v>368000</v>
          </cell>
          <cell r="M1930">
            <v>0</v>
          </cell>
          <cell r="N1930">
            <v>998000</v>
          </cell>
          <cell r="O1930">
            <v>0</v>
          </cell>
          <cell r="P1930">
            <v>998000</v>
          </cell>
          <cell r="Q1930">
            <v>0</v>
          </cell>
          <cell r="R1930">
            <v>998000</v>
          </cell>
          <cell r="S1930">
            <v>0</v>
          </cell>
          <cell r="T1930">
            <v>998000</v>
          </cell>
          <cell r="U1930">
            <v>0</v>
          </cell>
          <cell r="V1930">
            <v>998000</v>
          </cell>
          <cell r="W1930">
            <v>0</v>
          </cell>
          <cell r="X1930">
            <v>998000</v>
          </cell>
          <cell r="Y1930">
            <v>0</v>
          </cell>
          <cell r="Z1930">
            <v>998000</v>
          </cell>
          <cell r="AA1930">
            <v>0</v>
          </cell>
          <cell r="AB1930">
            <v>0</v>
          </cell>
          <cell r="AC1930">
            <v>0</v>
          </cell>
          <cell r="AD1930">
            <v>3.63</v>
          </cell>
          <cell r="AE1930">
            <v>0</v>
          </cell>
          <cell r="AF1930">
            <v>0</v>
          </cell>
          <cell r="AG1930">
            <v>0</v>
          </cell>
          <cell r="AH1930">
            <v>0</v>
          </cell>
          <cell r="AI1930">
            <v>0</v>
          </cell>
          <cell r="AJ1930">
            <v>0</v>
          </cell>
          <cell r="AK1930">
            <v>0</v>
          </cell>
          <cell r="AL1930">
            <v>0</v>
          </cell>
        </row>
        <row r="1931">
          <cell r="E1931" t="str">
            <v>60Hz SR400 Kvar 13%</v>
          </cell>
          <cell r="F1931" t="str">
            <v>台</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row>
        <row r="1932">
          <cell r="E1932" t="str">
            <v>60Hz SR500 Kvar 13%</v>
          </cell>
          <cell r="F1932" t="str">
            <v>台</v>
          </cell>
          <cell r="G1932">
            <v>0</v>
          </cell>
          <cell r="H1932">
            <v>1490000</v>
          </cell>
          <cell r="I1932">
            <v>0</v>
          </cell>
          <cell r="J1932">
            <v>1490000</v>
          </cell>
          <cell r="K1932">
            <v>0</v>
          </cell>
          <cell r="L1932">
            <v>1490000</v>
          </cell>
          <cell r="M1932">
            <v>0</v>
          </cell>
          <cell r="N1932">
            <v>1490000</v>
          </cell>
          <cell r="O1932">
            <v>0</v>
          </cell>
          <cell r="P1932">
            <v>1490000</v>
          </cell>
          <cell r="Q1932">
            <v>0</v>
          </cell>
          <cell r="R1932">
            <v>1490000</v>
          </cell>
          <cell r="S1932">
            <v>0</v>
          </cell>
          <cell r="T1932">
            <v>1490000</v>
          </cell>
          <cell r="U1932">
            <v>0</v>
          </cell>
          <cell r="V1932">
            <v>1490000</v>
          </cell>
          <cell r="W1932">
            <v>0</v>
          </cell>
          <cell r="X1932">
            <v>1490000</v>
          </cell>
          <cell r="Y1932">
            <v>0</v>
          </cell>
          <cell r="Z1932">
            <v>1490000</v>
          </cell>
          <cell r="AA1932">
            <v>0</v>
          </cell>
          <cell r="AB1932">
            <v>0</v>
          </cell>
          <cell r="AC1932">
            <v>0</v>
          </cell>
          <cell r="AD1932">
            <v>3.9369999999999998</v>
          </cell>
          <cell r="AE1932">
            <v>0</v>
          </cell>
          <cell r="AF1932">
            <v>0</v>
          </cell>
          <cell r="AG1932">
            <v>0</v>
          </cell>
          <cell r="AH1932">
            <v>0</v>
          </cell>
          <cell r="AI1932">
            <v>0</v>
          </cell>
          <cell r="AJ1932">
            <v>0</v>
          </cell>
          <cell r="AK1932">
            <v>0</v>
          </cell>
          <cell r="AL1932">
            <v>0</v>
          </cell>
        </row>
        <row r="1933">
          <cell r="E1933" t="str">
            <v>LBS7.2KV200A(PF付)</v>
          </cell>
          <cell r="F1933" t="str">
            <v>台</v>
          </cell>
          <cell r="G1933">
            <v>0</v>
          </cell>
          <cell r="H1933">
            <v>82300</v>
          </cell>
          <cell r="I1933">
            <v>0</v>
          </cell>
          <cell r="J1933">
            <v>82300</v>
          </cell>
          <cell r="K1933">
            <v>0</v>
          </cell>
          <cell r="L1933">
            <v>82300</v>
          </cell>
          <cell r="M1933">
            <v>0</v>
          </cell>
          <cell r="N1933">
            <v>82300</v>
          </cell>
          <cell r="O1933">
            <v>0</v>
          </cell>
          <cell r="P1933">
            <v>82300</v>
          </cell>
          <cell r="Q1933">
            <v>0</v>
          </cell>
          <cell r="R1933">
            <v>82300</v>
          </cell>
          <cell r="S1933">
            <v>0</v>
          </cell>
          <cell r="T1933">
            <v>82300</v>
          </cell>
          <cell r="U1933">
            <v>0</v>
          </cell>
          <cell r="V1933">
            <v>82300</v>
          </cell>
          <cell r="W1933">
            <v>0</v>
          </cell>
          <cell r="X1933">
            <v>82300</v>
          </cell>
          <cell r="Y1933">
            <v>0</v>
          </cell>
          <cell r="Z1933">
            <v>82300</v>
          </cell>
          <cell r="AA1933">
            <v>0</v>
          </cell>
          <cell r="AB1933">
            <v>0</v>
          </cell>
          <cell r="AC1933">
            <v>0</v>
          </cell>
          <cell r="AD1933">
            <v>0.82299999999999995</v>
          </cell>
          <cell r="AE1933">
            <v>0</v>
          </cell>
          <cell r="AF1933">
            <v>0</v>
          </cell>
          <cell r="AG1933">
            <v>0</v>
          </cell>
          <cell r="AH1933">
            <v>0</v>
          </cell>
          <cell r="AI1933">
            <v>0</v>
          </cell>
          <cell r="AJ1933">
            <v>0</v>
          </cell>
          <cell r="AK1933">
            <v>0</v>
          </cell>
          <cell r="AL1933">
            <v>0</v>
          </cell>
        </row>
        <row r="1934">
          <cell r="E1934" t="str">
            <v>VMC 7.2KV 200A</v>
          </cell>
          <cell r="F1934" t="str">
            <v>台</v>
          </cell>
          <cell r="G1934">
            <v>0</v>
          </cell>
          <cell r="H1934">
            <v>368000</v>
          </cell>
          <cell r="I1934">
            <v>0</v>
          </cell>
          <cell r="J1934">
            <v>368000</v>
          </cell>
          <cell r="K1934">
            <v>0</v>
          </cell>
          <cell r="L1934">
            <v>368000</v>
          </cell>
          <cell r="M1934">
            <v>0</v>
          </cell>
          <cell r="N1934">
            <v>368000</v>
          </cell>
          <cell r="O1934">
            <v>0</v>
          </cell>
          <cell r="P1934">
            <v>368000</v>
          </cell>
          <cell r="Q1934">
            <v>0</v>
          </cell>
          <cell r="R1934">
            <v>368000</v>
          </cell>
          <cell r="S1934">
            <v>0</v>
          </cell>
          <cell r="T1934">
            <v>368000</v>
          </cell>
          <cell r="U1934">
            <v>0</v>
          </cell>
          <cell r="V1934">
            <v>368000</v>
          </cell>
          <cell r="W1934">
            <v>0</v>
          </cell>
          <cell r="X1934">
            <v>368000</v>
          </cell>
          <cell r="Y1934">
            <v>0</v>
          </cell>
          <cell r="Z1934">
            <v>368000</v>
          </cell>
          <cell r="AA1934">
            <v>0</v>
          </cell>
          <cell r="AB1934">
            <v>0</v>
          </cell>
          <cell r="AC1934">
            <v>0</v>
          </cell>
          <cell r="AD1934">
            <v>0.94599999999999995</v>
          </cell>
          <cell r="AE1934">
            <v>0</v>
          </cell>
          <cell r="AF1934">
            <v>0</v>
          </cell>
          <cell r="AG1934">
            <v>0</v>
          </cell>
          <cell r="AH1934">
            <v>0</v>
          </cell>
          <cell r="AI1934">
            <v>0</v>
          </cell>
          <cell r="AJ1934">
            <v>0</v>
          </cell>
          <cell r="AK1934">
            <v>0</v>
          </cell>
          <cell r="AL1934">
            <v>0</v>
          </cell>
        </row>
        <row r="1935">
          <cell r="E1935" t="str">
            <v>PAS 7.2KV200A 重</v>
          </cell>
          <cell r="F1935" t="str">
            <v>台</v>
          </cell>
          <cell r="G1935">
            <v>0</v>
          </cell>
          <cell r="H1935">
            <v>90000</v>
          </cell>
          <cell r="I1935">
            <v>0</v>
          </cell>
          <cell r="J1935">
            <v>90000</v>
          </cell>
          <cell r="K1935">
            <v>0</v>
          </cell>
          <cell r="L1935">
            <v>90000</v>
          </cell>
          <cell r="M1935">
            <v>0</v>
          </cell>
          <cell r="N1935">
            <v>90000</v>
          </cell>
          <cell r="O1935">
            <v>0</v>
          </cell>
          <cell r="P1935">
            <v>90000</v>
          </cell>
          <cell r="Q1935">
            <v>0</v>
          </cell>
          <cell r="R1935">
            <v>90000</v>
          </cell>
          <cell r="S1935">
            <v>0</v>
          </cell>
          <cell r="T1935">
            <v>90000</v>
          </cell>
          <cell r="U1935">
            <v>0</v>
          </cell>
          <cell r="V1935">
            <v>90000</v>
          </cell>
          <cell r="W1935">
            <v>0</v>
          </cell>
          <cell r="X1935">
            <v>90000</v>
          </cell>
          <cell r="Y1935">
            <v>0</v>
          </cell>
          <cell r="Z1935">
            <v>90000</v>
          </cell>
          <cell r="AA1935">
            <v>0</v>
          </cell>
          <cell r="AB1935">
            <v>0</v>
          </cell>
          <cell r="AC1935">
            <v>0</v>
          </cell>
          <cell r="AD1935">
            <v>1.1499999999999999</v>
          </cell>
          <cell r="AE1935">
            <v>0</v>
          </cell>
          <cell r="AF1935">
            <v>0</v>
          </cell>
          <cell r="AG1935">
            <v>0</v>
          </cell>
          <cell r="AH1935">
            <v>0</v>
          </cell>
          <cell r="AI1935">
            <v>0</v>
          </cell>
          <cell r="AJ1935">
            <v>0</v>
          </cell>
          <cell r="AK1935">
            <v>0</v>
          </cell>
          <cell r="AL1935">
            <v>0.57899999999999996</v>
          </cell>
        </row>
        <row r="1936">
          <cell r="E1936" t="str">
            <v>PAS 7.2KV300A 重</v>
          </cell>
          <cell r="F1936" t="str">
            <v>台</v>
          </cell>
          <cell r="G1936">
            <v>0</v>
          </cell>
          <cell r="H1936">
            <v>129000</v>
          </cell>
          <cell r="I1936">
            <v>0</v>
          </cell>
          <cell r="J1936">
            <v>129000</v>
          </cell>
          <cell r="K1936">
            <v>0</v>
          </cell>
          <cell r="L1936">
            <v>129000</v>
          </cell>
          <cell r="M1936">
            <v>0</v>
          </cell>
          <cell r="N1936">
            <v>129000</v>
          </cell>
          <cell r="O1936">
            <v>0</v>
          </cell>
          <cell r="P1936">
            <v>129000</v>
          </cell>
          <cell r="Q1936">
            <v>0</v>
          </cell>
          <cell r="R1936">
            <v>129000</v>
          </cell>
          <cell r="S1936">
            <v>0</v>
          </cell>
          <cell r="T1936">
            <v>129000</v>
          </cell>
          <cell r="U1936">
            <v>0</v>
          </cell>
          <cell r="V1936">
            <v>129000</v>
          </cell>
          <cell r="W1936">
            <v>0</v>
          </cell>
          <cell r="X1936">
            <v>129000</v>
          </cell>
          <cell r="Y1936">
            <v>0</v>
          </cell>
          <cell r="Z1936">
            <v>129000</v>
          </cell>
          <cell r="AA1936">
            <v>0</v>
          </cell>
          <cell r="AB1936">
            <v>0</v>
          </cell>
          <cell r="AC1936">
            <v>0</v>
          </cell>
          <cell r="AD1936">
            <v>1.28</v>
          </cell>
          <cell r="AE1936">
            <v>0</v>
          </cell>
          <cell r="AF1936">
            <v>0</v>
          </cell>
          <cell r="AG1936">
            <v>0</v>
          </cell>
          <cell r="AH1936">
            <v>0</v>
          </cell>
          <cell r="AI1936">
            <v>0</v>
          </cell>
          <cell r="AJ1936">
            <v>0</v>
          </cell>
          <cell r="AK1936">
            <v>0</v>
          </cell>
          <cell r="AL1936">
            <v>0.64400000000000002</v>
          </cell>
        </row>
        <row r="1937">
          <cell r="E1937" t="str">
            <v>PAS 7.2KV400A 重</v>
          </cell>
          <cell r="F1937" t="str">
            <v>台</v>
          </cell>
          <cell r="G1937">
            <v>0</v>
          </cell>
          <cell r="H1937">
            <v>155000</v>
          </cell>
          <cell r="I1937">
            <v>0</v>
          </cell>
          <cell r="J1937">
            <v>155000</v>
          </cell>
          <cell r="K1937">
            <v>0</v>
          </cell>
          <cell r="L1937">
            <v>155000</v>
          </cell>
          <cell r="M1937">
            <v>0</v>
          </cell>
          <cell r="N1937">
            <v>155000</v>
          </cell>
          <cell r="O1937">
            <v>0</v>
          </cell>
          <cell r="P1937">
            <v>155000</v>
          </cell>
          <cell r="Q1937">
            <v>0</v>
          </cell>
          <cell r="R1937">
            <v>155000</v>
          </cell>
          <cell r="S1937">
            <v>0</v>
          </cell>
          <cell r="T1937">
            <v>155000</v>
          </cell>
          <cell r="U1937">
            <v>0</v>
          </cell>
          <cell r="V1937">
            <v>155000</v>
          </cell>
          <cell r="W1937">
            <v>0</v>
          </cell>
          <cell r="X1937">
            <v>155000</v>
          </cell>
          <cell r="Y1937">
            <v>0</v>
          </cell>
          <cell r="Z1937">
            <v>155000</v>
          </cell>
          <cell r="AA1937">
            <v>0</v>
          </cell>
          <cell r="AB1937">
            <v>0</v>
          </cell>
          <cell r="AC1937">
            <v>0</v>
          </cell>
          <cell r="AD1937">
            <v>1.32</v>
          </cell>
          <cell r="AE1937">
            <v>0</v>
          </cell>
          <cell r="AF1937">
            <v>0</v>
          </cell>
          <cell r="AG1937">
            <v>0</v>
          </cell>
          <cell r="AH1937">
            <v>0</v>
          </cell>
          <cell r="AI1937">
            <v>0</v>
          </cell>
          <cell r="AJ1937">
            <v>0</v>
          </cell>
          <cell r="AK1937">
            <v>0</v>
          </cell>
          <cell r="AL1937">
            <v>0.66100000000000003</v>
          </cell>
        </row>
        <row r="1938">
          <cell r="E1938" t="str">
            <v>PAS 7.2KV200A GR</v>
          </cell>
          <cell r="F1938" t="str">
            <v>台</v>
          </cell>
          <cell r="G1938">
            <v>0</v>
          </cell>
          <cell r="H1938">
            <v>129000</v>
          </cell>
          <cell r="I1938">
            <v>0</v>
          </cell>
          <cell r="J1938">
            <v>129000</v>
          </cell>
          <cell r="K1938">
            <v>0</v>
          </cell>
          <cell r="L1938">
            <v>129000</v>
          </cell>
          <cell r="M1938">
            <v>0</v>
          </cell>
          <cell r="N1938">
            <v>129000</v>
          </cell>
          <cell r="O1938">
            <v>0</v>
          </cell>
          <cell r="P1938">
            <v>129000</v>
          </cell>
          <cell r="Q1938">
            <v>0</v>
          </cell>
          <cell r="R1938">
            <v>129000</v>
          </cell>
          <cell r="S1938">
            <v>0</v>
          </cell>
          <cell r="T1938">
            <v>129000</v>
          </cell>
          <cell r="U1938">
            <v>0</v>
          </cell>
          <cell r="V1938">
            <v>129000</v>
          </cell>
          <cell r="W1938">
            <v>0</v>
          </cell>
          <cell r="X1938">
            <v>129000</v>
          </cell>
          <cell r="Y1938">
            <v>0</v>
          </cell>
          <cell r="Z1938">
            <v>129000</v>
          </cell>
          <cell r="AA1938">
            <v>0</v>
          </cell>
          <cell r="AB1938">
            <v>0</v>
          </cell>
          <cell r="AC1938">
            <v>0</v>
          </cell>
          <cell r="AD1938">
            <v>1.32</v>
          </cell>
          <cell r="AE1938">
            <v>0</v>
          </cell>
          <cell r="AF1938">
            <v>0</v>
          </cell>
          <cell r="AG1938">
            <v>0</v>
          </cell>
          <cell r="AH1938">
            <v>0</v>
          </cell>
          <cell r="AI1938">
            <v>0</v>
          </cell>
          <cell r="AJ1938">
            <v>0</v>
          </cell>
          <cell r="AK1938">
            <v>0</v>
          </cell>
          <cell r="AL1938">
            <v>0.66200000000000003</v>
          </cell>
        </row>
        <row r="1939">
          <cell r="E1939" t="str">
            <v>PAS 7.2KV300A GR</v>
          </cell>
          <cell r="F1939" t="str">
            <v>台</v>
          </cell>
          <cell r="G1939">
            <v>0</v>
          </cell>
          <cell r="H1939">
            <v>204000</v>
          </cell>
          <cell r="I1939">
            <v>0</v>
          </cell>
          <cell r="J1939">
            <v>204000</v>
          </cell>
          <cell r="K1939">
            <v>0</v>
          </cell>
          <cell r="L1939">
            <v>204000</v>
          </cell>
          <cell r="M1939">
            <v>0</v>
          </cell>
          <cell r="N1939">
            <v>204000</v>
          </cell>
          <cell r="O1939">
            <v>0</v>
          </cell>
          <cell r="P1939">
            <v>204000</v>
          </cell>
          <cell r="Q1939">
            <v>0</v>
          </cell>
          <cell r="R1939">
            <v>204000</v>
          </cell>
          <cell r="S1939">
            <v>0</v>
          </cell>
          <cell r="T1939">
            <v>204000</v>
          </cell>
          <cell r="U1939">
            <v>0</v>
          </cell>
          <cell r="V1939">
            <v>204000</v>
          </cell>
          <cell r="W1939">
            <v>0</v>
          </cell>
          <cell r="X1939">
            <v>204000</v>
          </cell>
          <cell r="Y1939">
            <v>0</v>
          </cell>
          <cell r="Z1939">
            <v>204000</v>
          </cell>
          <cell r="AA1939">
            <v>0</v>
          </cell>
          <cell r="AB1939">
            <v>0</v>
          </cell>
          <cell r="AC1939">
            <v>0</v>
          </cell>
          <cell r="AD1939">
            <v>1.48</v>
          </cell>
          <cell r="AE1939">
            <v>0</v>
          </cell>
          <cell r="AF1939">
            <v>0</v>
          </cell>
          <cell r="AG1939">
            <v>0</v>
          </cell>
          <cell r="AH1939">
            <v>0</v>
          </cell>
          <cell r="AI1939">
            <v>0</v>
          </cell>
          <cell r="AJ1939">
            <v>0</v>
          </cell>
          <cell r="AK1939">
            <v>0</v>
          </cell>
          <cell r="AL1939">
            <v>0.74</v>
          </cell>
        </row>
        <row r="1940">
          <cell r="E1940" t="str">
            <v>PAS 7.2KV400A GR</v>
          </cell>
          <cell r="F1940" t="str">
            <v>台</v>
          </cell>
          <cell r="G1940">
            <v>0</v>
          </cell>
          <cell r="H1940">
            <v>234000</v>
          </cell>
          <cell r="I1940">
            <v>0</v>
          </cell>
          <cell r="J1940">
            <v>234000</v>
          </cell>
          <cell r="K1940">
            <v>0</v>
          </cell>
          <cell r="L1940">
            <v>234000</v>
          </cell>
          <cell r="M1940">
            <v>0</v>
          </cell>
          <cell r="N1940">
            <v>234000</v>
          </cell>
          <cell r="O1940">
            <v>0</v>
          </cell>
          <cell r="P1940">
            <v>234000</v>
          </cell>
          <cell r="Q1940">
            <v>0</v>
          </cell>
          <cell r="R1940">
            <v>234000</v>
          </cell>
          <cell r="S1940">
            <v>0</v>
          </cell>
          <cell r="T1940">
            <v>234000</v>
          </cell>
          <cell r="U1940">
            <v>0</v>
          </cell>
          <cell r="V1940">
            <v>234000</v>
          </cell>
          <cell r="W1940">
            <v>0</v>
          </cell>
          <cell r="X1940">
            <v>234000</v>
          </cell>
          <cell r="Y1940">
            <v>0</v>
          </cell>
          <cell r="Z1940">
            <v>234000</v>
          </cell>
          <cell r="AA1940">
            <v>0</v>
          </cell>
          <cell r="AB1940">
            <v>0</v>
          </cell>
          <cell r="AC1940">
            <v>0</v>
          </cell>
          <cell r="AD1940">
            <v>1.52</v>
          </cell>
          <cell r="AE1940">
            <v>0</v>
          </cell>
          <cell r="AF1940">
            <v>0</v>
          </cell>
          <cell r="AG1940">
            <v>0</v>
          </cell>
          <cell r="AH1940">
            <v>0</v>
          </cell>
          <cell r="AI1940">
            <v>0</v>
          </cell>
          <cell r="AJ1940">
            <v>0</v>
          </cell>
          <cell r="AK1940">
            <v>0</v>
          </cell>
          <cell r="AL1940">
            <v>0.76</v>
          </cell>
        </row>
        <row r="1941">
          <cell r="E1941" t="str">
            <v>PAS 7.2KV200A DGR</v>
          </cell>
          <cell r="F1941" t="str">
            <v>台</v>
          </cell>
          <cell r="G1941">
            <v>0</v>
          </cell>
          <cell r="H1941">
            <v>247000</v>
          </cell>
          <cell r="I1941">
            <v>0</v>
          </cell>
          <cell r="J1941">
            <v>242000</v>
          </cell>
          <cell r="K1941">
            <v>0</v>
          </cell>
          <cell r="L1941">
            <v>242000</v>
          </cell>
          <cell r="M1941">
            <v>0</v>
          </cell>
          <cell r="N1941">
            <v>247000</v>
          </cell>
          <cell r="O1941">
            <v>0</v>
          </cell>
          <cell r="P1941">
            <v>247000</v>
          </cell>
          <cell r="Q1941">
            <v>0</v>
          </cell>
          <cell r="R1941">
            <v>247000</v>
          </cell>
          <cell r="S1941">
            <v>0</v>
          </cell>
          <cell r="T1941">
            <v>247000</v>
          </cell>
          <cell r="U1941">
            <v>0</v>
          </cell>
          <cell r="V1941">
            <v>247000</v>
          </cell>
          <cell r="W1941">
            <v>0</v>
          </cell>
          <cell r="X1941">
            <v>247000</v>
          </cell>
          <cell r="Y1941">
            <v>0</v>
          </cell>
          <cell r="Z1941">
            <v>247000</v>
          </cell>
          <cell r="AA1941">
            <v>0</v>
          </cell>
          <cell r="AB1941">
            <v>0</v>
          </cell>
          <cell r="AC1941">
            <v>0</v>
          </cell>
          <cell r="AD1941">
            <v>1.32</v>
          </cell>
          <cell r="AE1941">
            <v>0</v>
          </cell>
          <cell r="AF1941">
            <v>0</v>
          </cell>
          <cell r="AG1941">
            <v>0</v>
          </cell>
          <cell r="AH1941">
            <v>0</v>
          </cell>
          <cell r="AI1941">
            <v>0</v>
          </cell>
          <cell r="AJ1941">
            <v>0</v>
          </cell>
          <cell r="AK1941">
            <v>0</v>
          </cell>
          <cell r="AL1941">
            <v>0.66200000000000003</v>
          </cell>
        </row>
        <row r="1942">
          <cell r="E1942" t="str">
            <v>PAS 7.2KV300A DGR</v>
          </cell>
          <cell r="F1942" t="str">
            <v>台</v>
          </cell>
          <cell r="G1942">
            <v>0</v>
          </cell>
          <cell r="H1942">
            <v>362000</v>
          </cell>
          <cell r="I1942">
            <v>0</v>
          </cell>
          <cell r="J1942">
            <v>362000</v>
          </cell>
          <cell r="K1942">
            <v>0</v>
          </cell>
          <cell r="L1942">
            <v>362000</v>
          </cell>
          <cell r="M1942">
            <v>0</v>
          </cell>
          <cell r="N1942">
            <v>362000</v>
          </cell>
          <cell r="O1942">
            <v>0</v>
          </cell>
          <cell r="P1942">
            <v>362000</v>
          </cell>
          <cell r="Q1942">
            <v>0</v>
          </cell>
          <cell r="R1942">
            <v>362000</v>
          </cell>
          <cell r="S1942">
            <v>0</v>
          </cell>
          <cell r="T1942">
            <v>362000</v>
          </cell>
          <cell r="U1942">
            <v>0</v>
          </cell>
          <cell r="V1942">
            <v>362000</v>
          </cell>
          <cell r="W1942">
            <v>0</v>
          </cell>
          <cell r="X1942">
            <v>362000</v>
          </cell>
          <cell r="Y1942">
            <v>0</v>
          </cell>
          <cell r="Z1942">
            <v>362000</v>
          </cell>
          <cell r="AA1942">
            <v>0</v>
          </cell>
          <cell r="AB1942">
            <v>0</v>
          </cell>
          <cell r="AC1942">
            <v>0</v>
          </cell>
          <cell r="AD1942">
            <v>1.48</v>
          </cell>
          <cell r="AE1942">
            <v>0</v>
          </cell>
          <cell r="AF1942">
            <v>0</v>
          </cell>
          <cell r="AG1942">
            <v>0</v>
          </cell>
          <cell r="AH1942">
            <v>0</v>
          </cell>
          <cell r="AI1942">
            <v>0</v>
          </cell>
          <cell r="AJ1942">
            <v>0</v>
          </cell>
          <cell r="AK1942">
            <v>0</v>
          </cell>
          <cell r="AL1942">
            <v>0.74</v>
          </cell>
        </row>
        <row r="1943">
          <cell r="E1943" t="str">
            <v>PAS 7.2KV200A 重GR</v>
          </cell>
          <cell r="F1943" t="str">
            <v>台</v>
          </cell>
          <cell r="G1943">
            <v>0</v>
          </cell>
          <cell r="H1943">
            <v>125000</v>
          </cell>
          <cell r="I1943">
            <v>0</v>
          </cell>
          <cell r="J1943">
            <v>125000</v>
          </cell>
          <cell r="K1943">
            <v>0</v>
          </cell>
          <cell r="L1943">
            <v>125000</v>
          </cell>
          <cell r="M1943">
            <v>0</v>
          </cell>
          <cell r="N1943">
            <v>125000</v>
          </cell>
          <cell r="O1943">
            <v>0</v>
          </cell>
          <cell r="P1943">
            <v>125000</v>
          </cell>
          <cell r="Q1943">
            <v>0</v>
          </cell>
          <cell r="R1943">
            <v>125000</v>
          </cell>
          <cell r="S1943">
            <v>0</v>
          </cell>
          <cell r="T1943">
            <v>125000</v>
          </cell>
          <cell r="U1943">
            <v>0</v>
          </cell>
          <cell r="V1943">
            <v>125000</v>
          </cell>
          <cell r="W1943">
            <v>0</v>
          </cell>
          <cell r="X1943">
            <v>125000</v>
          </cell>
          <cell r="Y1943">
            <v>0</v>
          </cell>
          <cell r="Z1943">
            <v>125000</v>
          </cell>
          <cell r="AA1943">
            <v>0</v>
          </cell>
          <cell r="AB1943">
            <v>0</v>
          </cell>
          <cell r="AC1943">
            <v>0</v>
          </cell>
          <cell r="AD1943">
            <v>1.32</v>
          </cell>
          <cell r="AE1943">
            <v>0</v>
          </cell>
          <cell r="AF1943">
            <v>0</v>
          </cell>
          <cell r="AG1943">
            <v>0</v>
          </cell>
          <cell r="AH1943">
            <v>0</v>
          </cell>
          <cell r="AI1943">
            <v>0</v>
          </cell>
          <cell r="AJ1943">
            <v>0</v>
          </cell>
          <cell r="AK1943">
            <v>0</v>
          </cell>
          <cell r="AL1943">
            <v>0.66200000000000003</v>
          </cell>
        </row>
        <row r="1944">
          <cell r="E1944" t="str">
            <v>PAS 7.2KV200A 重DGR</v>
          </cell>
          <cell r="F1944" t="str">
            <v>台</v>
          </cell>
          <cell r="G1944">
            <v>0</v>
          </cell>
          <cell r="H1944">
            <v>242000</v>
          </cell>
          <cell r="I1944">
            <v>0</v>
          </cell>
          <cell r="J1944">
            <v>445000</v>
          </cell>
          <cell r="K1944">
            <v>0</v>
          </cell>
          <cell r="L1944">
            <v>445000</v>
          </cell>
          <cell r="M1944">
            <v>0</v>
          </cell>
          <cell r="N1944">
            <v>242000</v>
          </cell>
          <cell r="O1944">
            <v>0</v>
          </cell>
          <cell r="P1944">
            <v>242000</v>
          </cell>
          <cell r="Q1944">
            <v>0</v>
          </cell>
          <cell r="R1944">
            <v>242000</v>
          </cell>
          <cell r="S1944">
            <v>0</v>
          </cell>
          <cell r="T1944">
            <v>242000</v>
          </cell>
          <cell r="U1944">
            <v>0</v>
          </cell>
          <cell r="V1944">
            <v>242000</v>
          </cell>
          <cell r="W1944">
            <v>0</v>
          </cell>
          <cell r="X1944">
            <v>242000</v>
          </cell>
          <cell r="Y1944">
            <v>0</v>
          </cell>
          <cell r="Z1944">
            <v>242000</v>
          </cell>
          <cell r="AA1944">
            <v>0</v>
          </cell>
          <cell r="AB1944">
            <v>0</v>
          </cell>
          <cell r="AC1944">
            <v>0</v>
          </cell>
          <cell r="AD1944">
            <v>1.32</v>
          </cell>
          <cell r="AE1944">
            <v>0</v>
          </cell>
          <cell r="AF1944">
            <v>0</v>
          </cell>
          <cell r="AG1944">
            <v>0</v>
          </cell>
          <cell r="AH1944">
            <v>0</v>
          </cell>
          <cell r="AI1944">
            <v>0</v>
          </cell>
          <cell r="AJ1944">
            <v>0</v>
          </cell>
          <cell r="AK1944">
            <v>0</v>
          </cell>
          <cell r="AL1944">
            <v>0.66200000000000003</v>
          </cell>
        </row>
        <row r="1945">
          <cell r="E1945" t="str">
            <v>PAS 7.2KV300A 重GR</v>
          </cell>
          <cell r="F1945" t="str">
            <v>台</v>
          </cell>
          <cell r="G1945">
            <v>0</v>
          </cell>
          <cell r="H1945">
            <v>249000</v>
          </cell>
          <cell r="I1945">
            <v>0</v>
          </cell>
          <cell r="J1945">
            <v>249000</v>
          </cell>
          <cell r="K1945">
            <v>0</v>
          </cell>
          <cell r="L1945">
            <v>249000</v>
          </cell>
          <cell r="M1945">
            <v>0</v>
          </cell>
          <cell r="N1945">
            <v>249000</v>
          </cell>
          <cell r="O1945">
            <v>0</v>
          </cell>
          <cell r="P1945">
            <v>249000</v>
          </cell>
          <cell r="Q1945">
            <v>0</v>
          </cell>
          <cell r="R1945">
            <v>249000</v>
          </cell>
          <cell r="S1945">
            <v>0</v>
          </cell>
          <cell r="T1945">
            <v>249000</v>
          </cell>
          <cell r="U1945">
            <v>0</v>
          </cell>
          <cell r="V1945">
            <v>249000</v>
          </cell>
          <cell r="W1945">
            <v>0</v>
          </cell>
          <cell r="X1945">
            <v>249000</v>
          </cell>
          <cell r="Y1945">
            <v>0</v>
          </cell>
          <cell r="Z1945">
            <v>249000</v>
          </cell>
          <cell r="AA1945">
            <v>0</v>
          </cell>
          <cell r="AB1945">
            <v>0</v>
          </cell>
          <cell r="AC1945">
            <v>0</v>
          </cell>
          <cell r="AD1945">
            <v>1.48</v>
          </cell>
          <cell r="AE1945">
            <v>0</v>
          </cell>
          <cell r="AF1945">
            <v>0</v>
          </cell>
          <cell r="AG1945">
            <v>0</v>
          </cell>
          <cell r="AH1945">
            <v>0</v>
          </cell>
          <cell r="AI1945">
            <v>0</v>
          </cell>
          <cell r="AJ1945">
            <v>0</v>
          </cell>
          <cell r="AK1945">
            <v>0</v>
          </cell>
          <cell r="AL1945">
            <v>0.74</v>
          </cell>
        </row>
        <row r="1946">
          <cell r="E1946" t="str">
            <v>PAS 7.2KV300A 重DGR</v>
          </cell>
          <cell r="F1946" t="str">
            <v>台</v>
          </cell>
          <cell r="G1946">
            <v>0</v>
          </cell>
          <cell r="H1946">
            <v>405000</v>
          </cell>
          <cell r="I1946">
            <v>0</v>
          </cell>
          <cell r="J1946">
            <v>405000</v>
          </cell>
          <cell r="K1946">
            <v>0</v>
          </cell>
          <cell r="L1946">
            <v>405000</v>
          </cell>
          <cell r="M1946">
            <v>0</v>
          </cell>
          <cell r="N1946">
            <v>405000</v>
          </cell>
          <cell r="O1946">
            <v>0</v>
          </cell>
          <cell r="P1946">
            <v>405000</v>
          </cell>
          <cell r="Q1946">
            <v>0</v>
          </cell>
          <cell r="R1946">
            <v>405000</v>
          </cell>
          <cell r="S1946">
            <v>0</v>
          </cell>
          <cell r="T1946">
            <v>405000</v>
          </cell>
          <cell r="U1946">
            <v>0</v>
          </cell>
          <cell r="V1946">
            <v>405000</v>
          </cell>
          <cell r="W1946">
            <v>0</v>
          </cell>
          <cell r="X1946">
            <v>405000</v>
          </cell>
          <cell r="Y1946">
            <v>0</v>
          </cell>
          <cell r="Z1946">
            <v>405000</v>
          </cell>
          <cell r="AA1946">
            <v>0</v>
          </cell>
          <cell r="AB1946">
            <v>0</v>
          </cell>
          <cell r="AC1946">
            <v>0</v>
          </cell>
          <cell r="AD1946">
            <v>1.48</v>
          </cell>
          <cell r="AE1946">
            <v>0</v>
          </cell>
          <cell r="AF1946">
            <v>0</v>
          </cell>
          <cell r="AG1946">
            <v>0</v>
          </cell>
          <cell r="AH1946">
            <v>0</v>
          </cell>
          <cell r="AI1946">
            <v>0</v>
          </cell>
          <cell r="AJ1946">
            <v>0</v>
          </cell>
          <cell r="AK1946">
            <v>0</v>
          </cell>
          <cell r="AL1946">
            <v>0.74</v>
          </cell>
        </row>
        <row r="1947">
          <cell r="E1947" t="str">
            <v>PAS 7.2KV300A 重DGR・LA</v>
          </cell>
          <cell r="F1947" t="str">
            <v>台</v>
          </cell>
          <cell r="G1947">
            <v>0</v>
          </cell>
          <cell r="H1947">
            <v>445000</v>
          </cell>
          <cell r="I1947">
            <v>0</v>
          </cell>
          <cell r="J1947">
            <v>445000</v>
          </cell>
          <cell r="K1947">
            <v>0</v>
          </cell>
          <cell r="L1947">
            <v>445000</v>
          </cell>
          <cell r="M1947">
            <v>0</v>
          </cell>
          <cell r="N1947">
            <v>445000</v>
          </cell>
          <cell r="O1947">
            <v>0</v>
          </cell>
          <cell r="P1947">
            <v>445000</v>
          </cell>
          <cell r="Q1947">
            <v>0</v>
          </cell>
          <cell r="R1947">
            <v>445000</v>
          </cell>
          <cell r="S1947">
            <v>0</v>
          </cell>
          <cell r="T1947">
            <v>445000</v>
          </cell>
          <cell r="U1947">
            <v>0</v>
          </cell>
          <cell r="V1947">
            <v>445000</v>
          </cell>
          <cell r="W1947">
            <v>0</v>
          </cell>
          <cell r="X1947">
            <v>445000</v>
          </cell>
          <cell r="Y1947">
            <v>0</v>
          </cell>
          <cell r="Z1947">
            <v>445000</v>
          </cell>
          <cell r="AA1947">
            <v>0</v>
          </cell>
          <cell r="AB1947">
            <v>0</v>
          </cell>
          <cell r="AC1947">
            <v>0</v>
          </cell>
          <cell r="AD1947">
            <v>1.48</v>
          </cell>
          <cell r="AE1947">
            <v>0</v>
          </cell>
          <cell r="AF1947">
            <v>0</v>
          </cell>
          <cell r="AG1947">
            <v>0</v>
          </cell>
          <cell r="AH1947">
            <v>0</v>
          </cell>
          <cell r="AI1947">
            <v>0</v>
          </cell>
          <cell r="AJ1947">
            <v>0</v>
          </cell>
          <cell r="AK1947">
            <v>0</v>
          </cell>
          <cell r="AL1947">
            <v>0.74</v>
          </cell>
        </row>
        <row r="1948">
          <cell r="E1948" t="str">
            <v>PAS 7.2KV200A 塩GR</v>
          </cell>
          <cell r="F1948" t="str">
            <v>台</v>
          </cell>
          <cell r="G1948">
            <v>0</v>
          </cell>
          <cell r="H1948">
            <v>132000</v>
          </cell>
          <cell r="I1948">
            <v>0</v>
          </cell>
          <cell r="J1948">
            <v>132000</v>
          </cell>
          <cell r="K1948">
            <v>0</v>
          </cell>
          <cell r="L1948">
            <v>132000</v>
          </cell>
          <cell r="M1948">
            <v>0</v>
          </cell>
          <cell r="N1948">
            <v>132000</v>
          </cell>
          <cell r="O1948">
            <v>0</v>
          </cell>
          <cell r="P1948">
            <v>132000</v>
          </cell>
          <cell r="Q1948">
            <v>0</v>
          </cell>
          <cell r="R1948">
            <v>132000</v>
          </cell>
          <cell r="S1948">
            <v>0</v>
          </cell>
          <cell r="T1948">
            <v>132000</v>
          </cell>
          <cell r="U1948">
            <v>0</v>
          </cell>
          <cell r="V1948">
            <v>132000</v>
          </cell>
          <cell r="W1948">
            <v>0</v>
          </cell>
          <cell r="X1948">
            <v>132000</v>
          </cell>
          <cell r="Y1948">
            <v>0</v>
          </cell>
          <cell r="Z1948">
            <v>132000</v>
          </cell>
          <cell r="AA1948">
            <v>0</v>
          </cell>
          <cell r="AB1948">
            <v>0</v>
          </cell>
          <cell r="AC1948">
            <v>0</v>
          </cell>
          <cell r="AD1948">
            <v>1.32</v>
          </cell>
          <cell r="AE1948">
            <v>0</v>
          </cell>
          <cell r="AF1948">
            <v>0</v>
          </cell>
          <cell r="AG1948">
            <v>0</v>
          </cell>
          <cell r="AH1948">
            <v>0</v>
          </cell>
          <cell r="AI1948">
            <v>0</v>
          </cell>
          <cell r="AJ1948">
            <v>0</v>
          </cell>
          <cell r="AK1948">
            <v>0</v>
          </cell>
          <cell r="AL1948">
            <v>0.66200000000000003</v>
          </cell>
        </row>
        <row r="1949">
          <cell r="E1949" t="str">
            <v>PAS 7.2KV300A 塩GR</v>
          </cell>
          <cell r="F1949" t="str">
            <v>台</v>
          </cell>
          <cell r="G1949">
            <v>0</v>
          </cell>
          <cell r="H1949">
            <v>227000</v>
          </cell>
          <cell r="I1949">
            <v>0</v>
          </cell>
          <cell r="J1949">
            <v>227000</v>
          </cell>
          <cell r="K1949">
            <v>0</v>
          </cell>
          <cell r="L1949">
            <v>227000</v>
          </cell>
          <cell r="M1949">
            <v>0</v>
          </cell>
          <cell r="N1949">
            <v>227000</v>
          </cell>
          <cell r="O1949">
            <v>0</v>
          </cell>
          <cell r="P1949">
            <v>227000</v>
          </cell>
          <cell r="Q1949">
            <v>0</v>
          </cell>
          <cell r="R1949">
            <v>227000</v>
          </cell>
          <cell r="S1949">
            <v>0</v>
          </cell>
          <cell r="T1949">
            <v>227000</v>
          </cell>
          <cell r="U1949">
            <v>0</v>
          </cell>
          <cell r="V1949">
            <v>227000</v>
          </cell>
          <cell r="W1949">
            <v>0</v>
          </cell>
          <cell r="X1949">
            <v>227000</v>
          </cell>
          <cell r="Y1949">
            <v>0</v>
          </cell>
          <cell r="Z1949">
            <v>227000</v>
          </cell>
          <cell r="AA1949">
            <v>0</v>
          </cell>
          <cell r="AB1949">
            <v>0</v>
          </cell>
          <cell r="AC1949">
            <v>0</v>
          </cell>
          <cell r="AD1949">
            <v>1.48</v>
          </cell>
          <cell r="AE1949">
            <v>0</v>
          </cell>
          <cell r="AF1949">
            <v>0</v>
          </cell>
          <cell r="AG1949">
            <v>0</v>
          </cell>
          <cell r="AH1949">
            <v>0</v>
          </cell>
          <cell r="AI1949">
            <v>0</v>
          </cell>
          <cell r="AJ1949">
            <v>0</v>
          </cell>
          <cell r="AK1949">
            <v>0</v>
          </cell>
          <cell r="AL1949">
            <v>0.74</v>
          </cell>
        </row>
        <row r="1950">
          <cell r="E1950" t="str">
            <v>PAS 7.2KV200A 塩DGR</v>
          </cell>
          <cell r="F1950" t="str">
            <v>台</v>
          </cell>
          <cell r="G1950">
            <v>0</v>
          </cell>
          <cell r="H1950">
            <v>254000</v>
          </cell>
          <cell r="I1950">
            <v>0</v>
          </cell>
          <cell r="J1950">
            <v>254000</v>
          </cell>
          <cell r="K1950">
            <v>0</v>
          </cell>
          <cell r="L1950">
            <v>254000</v>
          </cell>
          <cell r="M1950">
            <v>0</v>
          </cell>
          <cell r="N1950">
            <v>254000</v>
          </cell>
          <cell r="O1950">
            <v>0</v>
          </cell>
          <cell r="P1950">
            <v>254000</v>
          </cell>
          <cell r="Q1950">
            <v>0</v>
          </cell>
          <cell r="R1950">
            <v>254000</v>
          </cell>
          <cell r="S1950">
            <v>0</v>
          </cell>
          <cell r="T1950">
            <v>254000</v>
          </cell>
          <cell r="U1950">
            <v>0</v>
          </cell>
          <cell r="V1950">
            <v>254000</v>
          </cell>
          <cell r="W1950">
            <v>0</v>
          </cell>
          <cell r="X1950">
            <v>254000</v>
          </cell>
          <cell r="Y1950">
            <v>0</v>
          </cell>
          <cell r="Z1950">
            <v>254000</v>
          </cell>
          <cell r="AA1950">
            <v>0</v>
          </cell>
          <cell r="AB1950">
            <v>0</v>
          </cell>
          <cell r="AC1950">
            <v>0</v>
          </cell>
          <cell r="AD1950">
            <v>1.32</v>
          </cell>
          <cell r="AE1950">
            <v>0</v>
          </cell>
          <cell r="AF1950">
            <v>0</v>
          </cell>
          <cell r="AG1950">
            <v>0</v>
          </cell>
          <cell r="AH1950">
            <v>0</v>
          </cell>
          <cell r="AI1950">
            <v>0</v>
          </cell>
          <cell r="AJ1950">
            <v>0</v>
          </cell>
          <cell r="AK1950">
            <v>0</v>
          </cell>
          <cell r="AL1950">
            <v>0.66200000000000003</v>
          </cell>
        </row>
        <row r="1951">
          <cell r="E1951" t="str">
            <v>PAS 7.2KV300A 塩DGR</v>
          </cell>
          <cell r="F1951" t="str">
            <v>台</v>
          </cell>
          <cell r="G1951">
            <v>0</v>
          </cell>
          <cell r="H1951">
            <v>415000</v>
          </cell>
          <cell r="I1951">
            <v>0</v>
          </cell>
          <cell r="J1951">
            <v>415000</v>
          </cell>
          <cell r="K1951">
            <v>0</v>
          </cell>
          <cell r="L1951">
            <v>415000</v>
          </cell>
          <cell r="M1951">
            <v>0</v>
          </cell>
          <cell r="N1951">
            <v>415000</v>
          </cell>
          <cell r="O1951">
            <v>0</v>
          </cell>
          <cell r="P1951">
            <v>415000</v>
          </cell>
          <cell r="Q1951">
            <v>0</v>
          </cell>
          <cell r="R1951">
            <v>415000</v>
          </cell>
          <cell r="S1951">
            <v>0</v>
          </cell>
          <cell r="T1951">
            <v>415000</v>
          </cell>
          <cell r="U1951">
            <v>0</v>
          </cell>
          <cell r="V1951">
            <v>415000</v>
          </cell>
          <cell r="W1951">
            <v>0</v>
          </cell>
          <cell r="X1951">
            <v>415000</v>
          </cell>
          <cell r="Y1951">
            <v>0</v>
          </cell>
          <cell r="Z1951">
            <v>415000</v>
          </cell>
          <cell r="AA1951">
            <v>0</v>
          </cell>
          <cell r="AB1951">
            <v>0</v>
          </cell>
          <cell r="AC1951">
            <v>0</v>
          </cell>
          <cell r="AD1951">
            <v>1.48</v>
          </cell>
          <cell r="AE1951">
            <v>0</v>
          </cell>
          <cell r="AF1951">
            <v>0</v>
          </cell>
          <cell r="AG1951">
            <v>0</v>
          </cell>
          <cell r="AH1951">
            <v>0</v>
          </cell>
          <cell r="AI1951">
            <v>0</v>
          </cell>
          <cell r="AJ1951">
            <v>0</v>
          </cell>
          <cell r="AK1951">
            <v>0</v>
          </cell>
          <cell r="AL1951">
            <v>0.74</v>
          </cell>
        </row>
        <row r="1952">
          <cell r="E1952" t="str">
            <v>自立型UGS7.2KV200ADGR</v>
          </cell>
          <cell r="F1952" t="str">
            <v>台</v>
          </cell>
          <cell r="G1952">
            <v>0</v>
          </cell>
          <cell r="H1952">
            <v>800000</v>
          </cell>
          <cell r="I1952">
            <v>0</v>
          </cell>
          <cell r="J1952">
            <v>800000</v>
          </cell>
          <cell r="K1952">
            <v>0</v>
          </cell>
          <cell r="L1952">
            <v>800000</v>
          </cell>
          <cell r="M1952">
            <v>0</v>
          </cell>
          <cell r="N1952">
            <v>800000</v>
          </cell>
          <cell r="O1952">
            <v>0</v>
          </cell>
          <cell r="P1952">
            <v>800000</v>
          </cell>
          <cell r="Q1952">
            <v>0</v>
          </cell>
          <cell r="R1952">
            <v>800000</v>
          </cell>
          <cell r="S1952">
            <v>0</v>
          </cell>
          <cell r="T1952">
            <v>800000</v>
          </cell>
          <cell r="U1952">
            <v>0</v>
          </cell>
          <cell r="V1952">
            <v>800000</v>
          </cell>
          <cell r="W1952">
            <v>0</v>
          </cell>
          <cell r="X1952">
            <v>800000</v>
          </cell>
          <cell r="Y1952">
            <v>0</v>
          </cell>
          <cell r="Z1952">
            <v>800000</v>
          </cell>
          <cell r="AA1952">
            <v>0</v>
          </cell>
          <cell r="AB1952">
            <v>0</v>
          </cell>
          <cell r="AC1952">
            <v>0</v>
          </cell>
          <cell r="AD1952">
            <v>4</v>
          </cell>
          <cell r="AE1952">
            <v>0</v>
          </cell>
          <cell r="AF1952">
            <v>0</v>
          </cell>
          <cell r="AG1952">
            <v>0</v>
          </cell>
          <cell r="AH1952">
            <v>0</v>
          </cell>
          <cell r="AI1952">
            <v>0</v>
          </cell>
          <cell r="AJ1952">
            <v>0</v>
          </cell>
          <cell r="AK1952">
            <v>0</v>
          </cell>
          <cell r="AL1952">
            <v>0</v>
          </cell>
        </row>
        <row r="1953">
          <cell r="E1953" t="str">
            <v>自立型UGS7.2KV300ADGR</v>
          </cell>
          <cell r="F1953" t="str">
            <v>台</v>
          </cell>
          <cell r="G1953">
            <v>0</v>
          </cell>
          <cell r="H1953">
            <v>900000</v>
          </cell>
          <cell r="I1953">
            <v>0</v>
          </cell>
          <cell r="J1953">
            <v>900000</v>
          </cell>
          <cell r="K1953">
            <v>0</v>
          </cell>
          <cell r="L1953">
            <v>900000</v>
          </cell>
          <cell r="M1953">
            <v>0</v>
          </cell>
          <cell r="N1953">
            <v>900000</v>
          </cell>
          <cell r="O1953">
            <v>0</v>
          </cell>
          <cell r="P1953">
            <v>900000</v>
          </cell>
          <cell r="Q1953">
            <v>0</v>
          </cell>
          <cell r="R1953">
            <v>900000</v>
          </cell>
          <cell r="S1953">
            <v>0</v>
          </cell>
          <cell r="T1953">
            <v>900000</v>
          </cell>
          <cell r="U1953">
            <v>0</v>
          </cell>
          <cell r="V1953">
            <v>900000</v>
          </cell>
          <cell r="W1953">
            <v>0</v>
          </cell>
          <cell r="X1953">
            <v>900000</v>
          </cell>
          <cell r="Y1953">
            <v>0</v>
          </cell>
          <cell r="Z1953">
            <v>900000</v>
          </cell>
          <cell r="AA1953">
            <v>0</v>
          </cell>
          <cell r="AB1953">
            <v>0</v>
          </cell>
          <cell r="AC1953">
            <v>0</v>
          </cell>
          <cell r="AD1953">
            <v>4.5</v>
          </cell>
          <cell r="AE1953">
            <v>0</v>
          </cell>
          <cell r="AF1953">
            <v>0</v>
          </cell>
          <cell r="AG1953">
            <v>0</v>
          </cell>
          <cell r="AH1953">
            <v>0</v>
          </cell>
          <cell r="AI1953">
            <v>0</v>
          </cell>
          <cell r="AJ1953">
            <v>0</v>
          </cell>
          <cell r="AK1953">
            <v>0</v>
          </cell>
          <cell r="AL1953">
            <v>0</v>
          </cell>
        </row>
        <row r="1954">
          <cell r="E1954" t="str">
            <v>自立型UGS7.2KV400ADGR</v>
          </cell>
          <cell r="F1954" t="str">
            <v>台</v>
          </cell>
          <cell r="G1954">
            <v>0</v>
          </cell>
          <cell r="H1954">
            <v>1000000</v>
          </cell>
          <cell r="I1954">
            <v>0</v>
          </cell>
          <cell r="J1954">
            <v>1000000</v>
          </cell>
          <cell r="K1954">
            <v>0</v>
          </cell>
          <cell r="L1954">
            <v>1000000</v>
          </cell>
          <cell r="M1954">
            <v>0</v>
          </cell>
          <cell r="N1954">
            <v>1000000</v>
          </cell>
          <cell r="O1954">
            <v>0</v>
          </cell>
          <cell r="P1954">
            <v>1000000</v>
          </cell>
          <cell r="Q1954">
            <v>0</v>
          </cell>
          <cell r="R1954">
            <v>1000000</v>
          </cell>
          <cell r="S1954">
            <v>0</v>
          </cell>
          <cell r="T1954">
            <v>1000000</v>
          </cell>
          <cell r="U1954">
            <v>0</v>
          </cell>
          <cell r="V1954">
            <v>1000000</v>
          </cell>
          <cell r="W1954">
            <v>0</v>
          </cell>
          <cell r="X1954">
            <v>1000000</v>
          </cell>
          <cell r="Y1954">
            <v>0</v>
          </cell>
          <cell r="Z1954">
            <v>1000000</v>
          </cell>
          <cell r="AA1954">
            <v>0</v>
          </cell>
          <cell r="AB1954">
            <v>0</v>
          </cell>
          <cell r="AC1954">
            <v>0</v>
          </cell>
          <cell r="AD1954">
            <v>5</v>
          </cell>
          <cell r="AE1954">
            <v>0</v>
          </cell>
          <cell r="AF1954">
            <v>0</v>
          </cell>
          <cell r="AG1954">
            <v>0</v>
          </cell>
          <cell r="AH1954">
            <v>0</v>
          </cell>
          <cell r="AI1954">
            <v>0</v>
          </cell>
          <cell r="AJ1954">
            <v>0</v>
          </cell>
          <cell r="AK1954">
            <v>0</v>
          </cell>
          <cell r="AL1954">
            <v>0</v>
          </cell>
        </row>
        <row r="1955">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row>
        <row r="1956">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row>
        <row r="1957">
          <cell r="E1957" t="str">
            <v>11_Users</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row>
        <row r="1958">
          <cell r="E1958" t="str">
            <v>11_Users</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row>
        <row r="1959">
          <cell r="E1959" t="str">
            <v>11_Users</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row>
        <row r="1960">
          <cell r="E1960" t="str">
            <v>11_Users</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row>
        <row r="1961">
          <cell r="E1961" t="str">
            <v>11_Users</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row>
        <row r="1962">
          <cell r="E1962" t="str">
            <v>11_Users</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row>
        <row r="1963">
          <cell r="E1963" t="str">
            <v>11_Users</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row>
        <row r="1964">
          <cell r="E1964" t="str">
            <v>11_Users</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row>
        <row r="1965">
          <cell r="E1965" t="str">
            <v>11_Users</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row>
        <row r="1966">
          <cell r="E1966" t="str">
            <v>11_Users</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row>
        <row r="1967">
          <cell r="E1967" t="str">
            <v>11_Users</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row>
        <row r="1968">
          <cell r="E1968" t="str">
            <v>11_Users</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row>
        <row r="1969">
          <cell r="E1969" t="str">
            <v>11_Users</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row>
        <row r="1970">
          <cell r="E1970" t="str">
            <v>11_Users</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row>
        <row r="1971">
          <cell r="E1971" t="str">
            <v>11_Users</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row>
        <row r="1972">
          <cell r="E1972" t="str">
            <v>11_Users</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row>
        <row r="1973">
          <cell r="E1973" t="str">
            <v>11_Users</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row>
        <row r="1974">
          <cell r="E1974" t="str">
            <v>11_Users</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row>
        <row r="1975">
          <cell r="E1975" t="str">
            <v>11_Users</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row>
        <row r="1976">
          <cell r="E1976" t="str">
            <v>11_Users</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row>
        <row r="1977">
          <cell r="E1977" t="str">
            <v>11_Users</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row>
        <row r="1978">
          <cell r="E1978" t="str">
            <v>11_Users</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row>
        <row r="1979">
          <cell r="E1979" t="str">
            <v>11_Users</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row>
        <row r="1980">
          <cell r="E1980" t="str">
            <v>11_Users</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row>
        <row r="1981">
          <cell r="E1981" t="str">
            <v>11_Users</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row>
        <row r="1982">
          <cell r="E1982" t="str">
            <v>11_Users</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row>
        <row r="1983">
          <cell r="E1983" t="str">
            <v>11_Users</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row>
        <row r="1984">
          <cell r="E1984" t="str">
            <v>11_Users</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row>
        <row r="1985">
          <cell r="E1985" t="str">
            <v>11_Users</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row>
        <row r="1986">
          <cell r="E1986" t="str">
            <v>11_Users</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row>
        <row r="1987">
          <cell r="E1987" t="str">
            <v>11_Users</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row>
        <row r="1988">
          <cell r="E1988" t="str">
            <v>11_Users</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row>
        <row r="1989">
          <cell r="E1989" t="str">
            <v>11_Users</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row>
        <row r="1990">
          <cell r="E1990" t="str">
            <v>11_Users</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row>
        <row r="1991">
          <cell r="E1991" t="str">
            <v>11_Users</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row>
        <row r="1992">
          <cell r="E1992" t="str">
            <v>11_Users</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row>
        <row r="1993">
          <cell r="E1993" t="str">
            <v>11_Users</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row>
        <row r="1994">
          <cell r="E1994" t="str">
            <v>11_Users</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row>
        <row r="1995">
          <cell r="E1995" t="str">
            <v>11_Users</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row>
        <row r="1996">
          <cell r="E1996" t="str">
            <v>11_Users</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row>
        <row r="1997">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row>
        <row r="1998">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row>
        <row r="1999">
          <cell r="E1999" t="str">
            <v>■Ｈｆウォールライト</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row>
        <row r="2000">
          <cell r="E2000" t="str">
            <v>B7-321PH</v>
          </cell>
          <cell r="F2000" t="str">
            <v>台</v>
          </cell>
          <cell r="G2000">
            <v>0</v>
          </cell>
          <cell r="H2000">
            <v>29000</v>
          </cell>
          <cell r="I2000">
            <v>0</v>
          </cell>
          <cell r="J2000">
            <v>29000</v>
          </cell>
          <cell r="K2000">
            <v>0</v>
          </cell>
          <cell r="L2000">
            <v>29000</v>
          </cell>
          <cell r="M2000">
            <v>0</v>
          </cell>
          <cell r="N2000">
            <v>29000</v>
          </cell>
          <cell r="O2000">
            <v>0</v>
          </cell>
          <cell r="P2000">
            <v>29000</v>
          </cell>
          <cell r="Q2000">
            <v>0</v>
          </cell>
          <cell r="R2000">
            <v>29000</v>
          </cell>
          <cell r="S2000">
            <v>0</v>
          </cell>
          <cell r="T2000">
            <v>29000</v>
          </cell>
          <cell r="U2000">
            <v>0</v>
          </cell>
          <cell r="V2000">
            <v>29000</v>
          </cell>
          <cell r="W2000">
            <v>0</v>
          </cell>
          <cell r="X2000">
            <v>29000</v>
          </cell>
          <cell r="Y2000">
            <v>0</v>
          </cell>
          <cell r="Z2000">
            <v>29000</v>
          </cell>
          <cell r="AA2000">
            <v>0</v>
          </cell>
          <cell r="AB2000">
            <v>0</v>
          </cell>
          <cell r="AC2000">
            <v>0</v>
          </cell>
          <cell r="AD2000">
            <v>0.20899999999999999</v>
          </cell>
          <cell r="AE2000">
            <v>0</v>
          </cell>
          <cell r="AF2000">
            <v>0</v>
          </cell>
          <cell r="AG2000">
            <v>4950</v>
          </cell>
          <cell r="AH2000">
            <v>48</v>
          </cell>
          <cell r="AI2000">
            <v>0.97899999999999998</v>
          </cell>
          <cell r="AJ2000">
            <v>1</v>
          </cell>
          <cell r="AK2000">
            <v>49.02</v>
          </cell>
          <cell r="AL2000">
            <v>0</v>
          </cell>
        </row>
        <row r="2001">
          <cell r="E2001" t="str">
            <v>■Ｈｆ片反射笠</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row>
        <row r="2002">
          <cell r="E2002" t="str">
            <v>S5-321PN</v>
          </cell>
          <cell r="F2002" t="str">
            <v>台</v>
          </cell>
          <cell r="G2002">
            <v>0</v>
          </cell>
          <cell r="H2002">
            <v>3460</v>
          </cell>
          <cell r="I2002">
            <v>0</v>
          </cell>
          <cell r="J2002">
            <v>3460</v>
          </cell>
          <cell r="K2002">
            <v>0</v>
          </cell>
          <cell r="L2002">
            <v>3460</v>
          </cell>
          <cell r="M2002">
            <v>0</v>
          </cell>
          <cell r="N2002">
            <v>3460</v>
          </cell>
          <cell r="O2002">
            <v>0</v>
          </cell>
          <cell r="P2002">
            <v>3460</v>
          </cell>
          <cell r="Q2002">
            <v>0</v>
          </cell>
          <cell r="R2002">
            <v>3460</v>
          </cell>
          <cell r="S2002">
            <v>0</v>
          </cell>
          <cell r="T2002">
            <v>3460</v>
          </cell>
          <cell r="U2002">
            <v>0</v>
          </cell>
          <cell r="V2002">
            <v>3460</v>
          </cell>
          <cell r="W2002">
            <v>0</v>
          </cell>
          <cell r="X2002">
            <v>3460</v>
          </cell>
          <cell r="Y2002">
            <v>0</v>
          </cell>
          <cell r="Z2002">
            <v>3460</v>
          </cell>
          <cell r="AA2002">
            <v>0</v>
          </cell>
          <cell r="AB2002">
            <v>0</v>
          </cell>
          <cell r="AC2002">
            <v>0</v>
          </cell>
          <cell r="AD2002">
            <v>0.20899999999999999</v>
          </cell>
          <cell r="AE2002">
            <v>0</v>
          </cell>
          <cell r="AF2002">
            <v>0</v>
          </cell>
          <cell r="AG2002">
            <v>4950</v>
          </cell>
          <cell r="AH2002">
            <v>48</v>
          </cell>
          <cell r="AI2002">
            <v>0.97899999999999998</v>
          </cell>
          <cell r="AJ2002">
            <v>1</v>
          </cell>
          <cell r="AK2002">
            <v>49.02</v>
          </cell>
          <cell r="AL2002">
            <v>0</v>
          </cell>
        </row>
        <row r="2003">
          <cell r="E2003" t="str">
            <v>S5-321PH</v>
          </cell>
          <cell r="F2003" t="str">
            <v>台</v>
          </cell>
          <cell r="G2003">
            <v>0</v>
          </cell>
          <cell r="H2003">
            <v>4420</v>
          </cell>
          <cell r="I2003">
            <v>0</v>
          </cell>
          <cell r="J2003">
            <v>4420</v>
          </cell>
          <cell r="K2003">
            <v>0</v>
          </cell>
          <cell r="L2003">
            <v>4420</v>
          </cell>
          <cell r="M2003">
            <v>0</v>
          </cell>
          <cell r="N2003">
            <v>4420</v>
          </cell>
          <cell r="O2003">
            <v>0</v>
          </cell>
          <cell r="P2003">
            <v>4420</v>
          </cell>
          <cell r="Q2003">
            <v>0</v>
          </cell>
          <cell r="R2003">
            <v>4420</v>
          </cell>
          <cell r="S2003">
            <v>0</v>
          </cell>
          <cell r="T2003">
            <v>4420</v>
          </cell>
          <cell r="U2003">
            <v>0</v>
          </cell>
          <cell r="V2003">
            <v>4420</v>
          </cell>
          <cell r="W2003">
            <v>0</v>
          </cell>
          <cell r="X2003">
            <v>4420</v>
          </cell>
          <cell r="Y2003">
            <v>0</v>
          </cell>
          <cell r="Z2003">
            <v>4420</v>
          </cell>
          <cell r="AA2003">
            <v>0</v>
          </cell>
          <cell r="AB2003">
            <v>0</v>
          </cell>
          <cell r="AC2003">
            <v>0</v>
          </cell>
          <cell r="AD2003">
            <v>0.20899999999999999</v>
          </cell>
          <cell r="AE2003">
            <v>0</v>
          </cell>
          <cell r="AF2003">
            <v>0</v>
          </cell>
          <cell r="AG2003">
            <v>4950</v>
          </cell>
          <cell r="AH2003">
            <v>48</v>
          </cell>
          <cell r="AI2003">
            <v>0.97899999999999998</v>
          </cell>
          <cell r="AJ2003">
            <v>1</v>
          </cell>
          <cell r="AK2003">
            <v>49.02</v>
          </cell>
          <cell r="AL2003">
            <v>0</v>
          </cell>
        </row>
        <row r="2004">
          <cell r="E2004" t="str">
            <v>S5-321PK</v>
          </cell>
          <cell r="F2004" t="str">
            <v>台</v>
          </cell>
          <cell r="G2004">
            <v>0</v>
          </cell>
          <cell r="H2004">
            <v>6460</v>
          </cell>
          <cell r="I2004">
            <v>0</v>
          </cell>
          <cell r="J2004">
            <v>6460</v>
          </cell>
          <cell r="K2004">
            <v>0</v>
          </cell>
          <cell r="L2004">
            <v>6460</v>
          </cell>
          <cell r="M2004">
            <v>0</v>
          </cell>
          <cell r="N2004">
            <v>6460</v>
          </cell>
          <cell r="O2004">
            <v>0</v>
          </cell>
          <cell r="P2004">
            <v>6460</v>
          </cell>
          <cell r="Q2004">
            <v>0</v>
          </cell>
          <cell r="R2004">
            <v>6460</v>
          </cell>
          <cell r="S2004">
            <v>0</v>
          </cell>
          <cell r="T2004">
            <v>6460</v>
          </cell>
          <cell r="U2004">
            <v>0</v>
          </cell>
          <cell r="V2004">
            <v>6460</v>
          </cell>
          <cell r="W2004">
            <v>0</v>
          </cell>
          <cell r="X2004">
            <v>6460</v>
          </cell>
          <cell r="Y2004">
            <v>0</v>
          </cell>
          <cell r="Z2004">
            <v>6460</v>
          </cell>
          <cell r="AA2004">
            <v>0</v>
          </cell>
          <cell r="AB2004">
            <v>0</v>
          </cell>
          <cell r="AC2004">
            <v>0</v>
          </cell>
          <cell r="AD2004">
            <v>0.20899999999999999</v>
          </cell>
          <cell r="AE2004">
            <v>0</v>
          </cell>
          <cell r="AF2004">
            <v>0</v>
          </cell>
          <cell r="AG2004">
            <v>4950</v>
          </cell>
          <cell r="AH2004">
            <v>48</v>
          </cell>
          <cell r="AI2004">
            <v>0.97899999999999998</v>
          </cell>
          <cell r="AJ2004">
            <v>1</v>
          </cell>
          <cell r="AK2004">
            <v>49.02</v>
          </cell>
          <cell r="AL2004">
            <v>0</v>
          </cell>
        </row>
        <row r="2005">
          <cell r="E2005" t="str">
            <v>■Ｈｆコーナー</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row>
        <row r="2006">
          <cell r="E2006" t="str">
            <v>B6-321PN</v>
          </cell>
          <cell r="F2006" t="str">
            <v>台</v>
          </cell>
          <cell r="G2006">
            <v>0</v>
          </cell>
          <cell r="H2006">
            <v>8500</v>
          </cell>
          <cell r="I2006">
            <v>0</v>
          </cell>
          <cell r="J2006">
            <v>8500</v>
          </cell>
          <cell r="K2006">
            <v>0</v>
          </cell>
          <cell r="L2006">
            <v>8500</v>
          </cell>
          <cell r="M2006">
            <v>0</v>
          </cell>
          <cell r="N2006">
            <v>8500</v>
          </cell>
          <cell r="O2006">
            <v>0</v>
          </cell>
          <cell r="P2006">
            <v>8500</v>
          </cell>
          <cell r="Q2006">
            <v>0</v>
          </cell>
          <cell r="R2006">
            <v>8500</v>
          </cell>
          <cell r="S2006">
            <v>0</v>
          </cell>
          <cell r="T2006">
            <v>8500</v>
          </cell>
          <cell r="U2006">
            <v>0</v>
          </cell>
          <cell r="V2006">
            <v>8500</v>
          </cell>
          <cell r="W2006">
            <v>0</v>
          </cell>
          <cell r="X2006">
            <v>8500</v>
          </cell>
          <cell r="Y2006">
            <v>0</v>
          </cell>
          <cell r="Z2006">
            <v>8500</v>
          </cell>
          <cell r="AA2006">
            <v>0</v>
          </cell>
          <cell r="AB2006">
            <v>0</v>
          </cell>
          <cell r="AC2006">
            <v>0</v>
          </cell>
          <cell r="AD2006">
            <v>0.20899999999999999</v>
          </cell>
          <cell r="AE2006">
            <v>0</v>
          </cell>
          <cell r="AF2006">
            <v>0</v>
          </cell>
          <cell r="AG2006">
            <v>4950</v>
          </cell>
          <cell r="AH2006">
            <v>48</v>
          </cell>
          <cell r="AI2006">
            <v>0.97899999999999998</v>
          </cell>
          <cell r="AJ2006">
            <v>1</v>
          </cell>
          <cell r="AK2006">
            <v>49.02</v>
          </cell>
          <cell r="AL2006">
            <v>0</v>
          </cell>
        </row>
        <row r="2007">
          <cell r="E2007" t="str">
            <v>B6-321PH</v>
          </cell>
          <cell r="F2007" t="str">
            <v>台</v>
          </cell>
          <cell r="G2007">
            <v>0</v>
          </cell>
          <cell r="H2007">
            <v>9620</v>
          </cell>
          <cell r="I2007">
            <v>0</v>
          </cell>
          <cell r="J2007">
            <v>9620</v>
          </cell>
          <cell r="K2007">
            <v>0</v>
          </cell>
          <cell r="L2007">
            <v>9620</v>
          </cell>
          <cell r="M2007">
            <v>0</v>
          </cell>
          <cell r="N2007">
            <v>9620</v>
          </cell>
          <cell r="O2007">
            <v>0</v>
          </cell>
          <cell r="P2007">
            <v>9620</v>
          </cell>
          <cell r="Q2007">
            <v>0</v>
          </cell>
          <cell r="R2007">
            <v>9620</v>
          </cell>
          <cell r="S2007">
            <v>0</v>
          </cell>
          <cell r="T2007">
            <v>9620</v>
          </cell>
          <cell r="U2007">
            <v>0</v>
          </cell>
          <cell r="V2007">
            <v>9620</v>
          </cell>
          <cell r="W2007">
            <v>0</v>
          </cell>
          <cell r="X2007">
            <v>9620</v>
          </cell>
          <cell r="Y2007">
            <v>0</v>
          </cell>
          <cell r="Z2007">
            <v>9620</v>
          </cell>
          <cell r="AA2007">
            <v>0</v>
          </cell>
          <cell r="AB2007">
            <v>0</v>
          </cell>
          <cell r="AC2007">
            <v>0</v>
          </cell>
          <cell r="AD2007">
            <v>0.20899999999999999</v>
          </cell>
          <cell r="AE2007">
            <v>0</v>
          </cell>
          <cell r="AF2007">
            <v>0</v>
          </cell>
          <cell r="AG2007">
            <v>4950</v>
          </cell>
          <cell r="AH2007">
            <v>48</v>
          </cell>
          <cell r="AI2007">
            <v>0.97899999999999998</v>
          </cell>
          <cell r="AJ2007">
            <v>1</v>
          </cell>
          <cell r="AK2007">
            <v>49.02</v>
          </cell>
          <cell r="AL2007">
            <v>0</v>
          </cell>
        </row>
        <row r="2008">
          <cell r="E2008" t="str">
            <v>B6-321PK</v>
          </cell>
          <cell r="F2008" t="str">
            <v>台</v>
          </cell>
          <cell r="G2008">
            <v>0</v>
          </cell>
          <cell r="H2008">
            <v>10600</v>
          </cell>
          <cell r="I2008">
            <v>0</v>
          </cell>
          <cell r="J2008">
            <v>10600</v>
          </cell>
          <cell r="K2008">
            <v>0</v>
          </cell>
          <cell r="L2008">
            <v>10600</v>
          </cell>
          <cell r="M2008">
            <v>0</v>
          </cell>
          <cell r="N2008">
            <v>10600</v>
          </cell>
          <cell r="O2008">
            <v>0</v>
          </cell>
          <cell r="P2008">
            <v>10600</v>
          </cell>
          <cell r="Q2008">
            <v>0</v>
          </cell>
          <cell r="R2008">
            <v>10600</v>
          </cell>
          <cell r="S2008">
            <v>0</v>
          </cell>
          <cell r="T2008">
            <v>10600</v>
          </cell>
          <cell r="U2008">
            <v>0</v>
          </cell>
          <cell r="V2008">
            <v>10600</v>
          </cell>
          <cell r="W2008">
            <v>0</v>
          </cell>
          <cell r="X2008">
            <v>10600</v>
          </cell>
          <cell r="Y2008">
            <v>0</v>
          </cell>
          <cell r="Z2008">
            <v>10600</v>
          </cell>
          <cell r="AA2008">
            <v>0</v>
          </cell>
          <cell r="AB2008">
            <v>0</v>
          </cell>
          <cell r="AC2008">
            <v>0</v>
          </cell>
          <cell r="AD2008">
            <v>0.20899999999999999</v>
          </cell>
          <cell r="AE2008">
            <v>0</v>
          </cell>
          <cell r="AF2008">
            <v>0</v>
          </cell>
          <cell r="AG2008">
            <v>4950</v>
          </cell>
          <cell r="AH2008">
            <v>48</v>
          </cell>
          <cell r="AI2008">
            <v>0.97899999999999998</v>
          </cell>
          <cell r="AJ2008">
            <v>1</v>
          </cell>
          <cell r="AK2008">
            <v>49.02</v>
          </cell>
          <cell r="AL2008">
            <v>0</v>
          </cell>
        </row>
        <row r="2009">
          <cell r="E2009" t="str">
            <v>■センサ付Ｈｆ開放埋込形</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row>
        <row r="2010">
          <cell r="E2010" t="str">
            <v>A26D-322PH</v>
          </cell>
          <cell r="F2010" t="str">
            <v>台</v>
          </cell>
          <cell r="G2010">
            <v>0</v>
          </cell>
          <cell r="H2010">
            <v>12700</v>
          </cell>
          <cell r="I2010">
            <v>0</v>
          </cell>
          <cell r="J2010">
            <v>12700</v>
          </cell>
          <cell r="K2010">
            <v>0</v>
          </cell>
          <cell r="L2010">
            <v>12700</v>
          </cell>
          <cell r="M2010">
            <v>0</v>
          </cell>
          <cell r="N2010">
            <v>12700</v>
          </cell>
          <cell r="O2010">
            <v>0</v>
          </cell>
          <cell r="P2010">
            <v>12700</v>
          </cell>
          <cell r="Q2010">
            <v>0</v>
          </cell>
          <cell r="R2010">
            <v>12700</v>
          </cell>
          <cell r="S2010">
            <v>0</v>
          </cell>
          <cell r="T2010">
            <v>12700</v>
          </cell>
          <cell r="U2010">
            <v>0</v>
          </cell>
          <cell r="V2010">
            <v>12700</v>
          </cell>
          <cell r="W2010">
            <v>0</v>
          </cell>
          <cell r="X2010">
            <v>12700</v>
          </cell>
          <cell r="Y2010">
            <v>0</v>
          </cell>
          <cell r="Z2010">
            <v>12700</v>
          </cell>
          <cell r="AA2010">
            <v>0</v>
          </cell>
          <cell r="AB2010">
            <v>0</v>
          </cell>
          <cell r="AC2010">
            <v>0</v>
          </cell>
          <cell r="AD2010">
            <v>0.39100000000000001</v>
          </cell>
          <cell r="AE2010">
            <v>0</v>
          </cell>
          <cell r="AF2010">
            <v>0</v>
          </cell>
          <cell r="AG2010">
            <v>9900</v>
          </cell>
          <cell r="AH2010">
            <v>96</v>
          </cell>
          <cell r="AI2010">
            <v>0.98899999999999999</v>
          </cell>
          <cell r="AJ2010">
            <v>1</v>
          </cell>
          <cell r="AK2010">
            <v>97.06</v>
          </cell>
          <cell r="AL2010">
            <v>0</v>
          </cell>
        </row>
        <row r="2011">
          <cell r="E2011" t="str">
            <v>■センサ付Ｈｆ反射笠埋込形</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row>
        <row r="2012">
          <cell r="E2012" t="str">
            <v>A2D-321PH</v>
          </cell>
          <cell r="F2012" t="str">
            <v>台</v>
          </cell>
          <cell r="G2012">
            <v>0</v>
          </cell>
          <cell r="H2012">
            <v>9350</v>
          </cell>
          <cell r="I2012">
            <v>0</v>
          </cell>
          <cell r="J2012">
            <v>9350</v>
          </cell>
          <cell r="K2012">
            <v>0</v>
          </cell>
          <cell r="L2012">
            <v>9350</v>
          </cell>
          <cell r="M2012">
            <v>0</v>
          </cell>
          <cell r="N2012">
            <v>9350</v>
          </cell>
          <cell r="O2012">
            <v>0</v>
          </cell>
          <cell r="P2012">
            <v>9350</v>
          </cell>
          <cell r="Q2012">
            <v>0</v>
          </cell>
          <cell r="R2012">
            <v>9350</v>
          </cell>
          <cell r="S2012">
            <v>0</v>
          </cell>
          <cell r="T2012">
            <v>9350</v>
          </cell>
          <cell r="U2012">
            <v>0</v>
          </cell>
          <cell r="V2012">
            <v>9350</v>
          </cell>
          <cell r="W2012">
            <v>0</v>
          </cell>
          <cell r="X2012">
            <v>9350</v>
          </cell>
          <cell r="Y2012">
            <v>0</v>
          </cell>
          <cell r="Z2012">
            <v>9350</v>
          </cell>
          <cell r="AA2012">
            <v>0</v>
          </cell>
          <cell r="AB2012">
            <v>0</v>
          </cell>
          <cell r="AC2012">
            <v>0</v>
          </cell>
          <cell r="AD2012">
            <v>0.39100000000000001</v>
          </cell>
          <cell r="AE2012">
            <v>0</v>
          </cell>
          <cell r="AF2012">
            <v>0</v>
          </cell>
          <cell r="AG2012">
            <v>9900</v>
          </cell>
          <cell r="AH2012">
            <v>96</v>
          </cell>
          <cell r="AI2012">
            <v>0.98899999999999999</v>
          </cell>
          <cell r="AJ2012">
            <v>1</v>
          </cell>
          <cell r="AK2012">
            <v>97.06</v>
          </cell>
          <cell r="AL2012">
            <v>0</v>
          </cell>
        </row>
        <row r="2013">
          <cell r="E2013" t="str">
            <v>A2D-322PH</v>
          </cell>
          <cell r="F2013" t="str">
            <v>台</v>
          </cell>
          <cell r="G2013">
            <v>0</v>
          </cell>
          <cell r="H2013">
            <v>11400</v>
          </cell>
          <cell r="I2013">
            <v>0</v>
          </cell>
          <cell r="J2013">
            <v>11400</v>
          </cell>
          <cell r="K2013">
            <v>0</v>
          </cell>
          <cell r="L2013">
            <v>11400</v>
          </cell>
          <cell r="M2013">
            <v>0</v>
          </cell>
          <cell r="N2013">
            <v>11400</v>
          </cell>
          <cell r="O2013">
            <v>0</v>
          </cell>
          <cell r="P2013">
            <v>11400</v>
          </cell>
          <cell r="Q2013">
            <v>0</v>
          </cell>
          <cell r="R2013">
            <v>11400</v>
          </cell>
          <cell r="S2013">
            <v>0</v>
          </cell>
          <cell r="T2013">
            <v>11400</v>
          </cell>
          <cell r="U2013">
            <v>0</v>
          </cell>
          <cell r="V2013">
            <v>11400</v>
          </cell>
          <cell r="W2013">
            <v>0</v>
          </cell>
          <cell r="X2013">
            <v>11400</v>
          </cell>
          <cell r="Y2013">
            <v>0</v>
          </cell>
          <cell r="Z2013">
            <v>11400</v>
          </cell>
          <cell r="AA2013">
            <v>0</v>
          </cell>
          <cell r="AB2013">
            <v>0</v>
          </cell>
          <cell r="AC2013">
            <v>0</v>
          </cell>
          <cell r="AD2013">
            <v>0.39100000000000001</v>
          </cell>
          <cell r="AE2013">
            <v>0</v>
          </cell>
          <cell r="AF2013">
            <v>0</v>
          </cell>
          <cell r="AG2013">
            <v>9900</v>
          </cell>
          <cell r="AH2013">
            <v>96</v>
          </cell>
          <cell r="AI2013">
            <v>0.98899999999999999</v>
          </cell>
          <cell r="AJ2013">
            <v>1</v>
          </cell>
          <cell r="AK2013">
            <v>97.06</v>
          </cell>
          <cell r="AL2013">
            <v>0</v>
          </cell>
        </row>
        <row r="2014">
          <cell r="E2014" t="str">
            <v>■センサ付Ｈｆ開放直付形</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row>
        <row r="2015">
          <cell r="E2015" t="str">
            <v>As6D-322PH</v>
          </cell>
          <cell r="F2015" t="str">
            <v>台</v>
          </cell>
          <cell r="G2015">
            <v>0</v>
          </cell>
          <cell r="H2015">
            <v>12900</v>
          </cell>
          <cell r="I2015">
            <v>0</v>
          </cell>
          <cell r="J2015">
            <v>12900</v>
          </cell>
          <cell r="K2015">
            <v>0</v>
          </cell>
          <cell r="L2015">
            <v>12900</v>
          </cell>
          <cell r="M2015">
            <v>0</v>
          </cell>
          <cell r="N2015">
            <v>12900</v>
          </cell>
          <cell r="O2015">
            <v>0</v>
          </cell>
          <cell r="P2015">
            <v>12900</v>
          </cell>
          <cell r="Q2015">
            <v>0</v>
          </cell>
          <cell r="R2015">
            <v>12900</v>
          </cell>
          <cell r="S2015">
            <v>0</v>
          </cell>
          <cell r="T2015">
            <v>12900</v>
          </cell>
          <cell r="U2015">
            <v>0</v>
          </cell>
          <cell r="V2015">
            <v>12900</v>
          </cell>
          <cell r="W2015">
            <v>0</v>
          </cell>
          <cell r="X2015">
            <v>12900</v>
          </cell>
          <cell r="Y2015">
            <v>0</v>
          </cell>
          <cell r="Z2015">
            <v>12900</v>
          </cell>
          <cell r="AA2015">
            <v>0</v>
          </cell>
          <cell r="AB2015">
            <v>0</v>
          </cell>
          <cell r="AC2015">
            <v>0</v>
          </cell>
          <cell r="AD2015">
            <v>0.26100000000000001</v>
          </cell>
          <cell r="AE2015">
            <v>0</v>
          </cell>
          <cell r="AF2015">
            <v>0</v>
          </cell>
          <cell r="AG2015">
            <v>9900</v>
          </cell>
          <cell r="AH2015">
            <v>96</v>
          </cell>
          <cell r="AI2015">
            <v>0.98899999999999999</v>
          </cell>
          <cell r="AJ2015">
            <v>1</v>
          </cell>
          <cell r="AK2015">
            <v>97.06</v>
          </cell>
          <cell r="AL2015">
            <v>0</v>
          </cell>
        </row>
        <row r="2016">
          <cell r="E2016" t="str">
            <v>■センサ付Ｈｆ開放直付形</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row>
        <row r="2017">
          <cell r="E2017" t="str">
            <v>V9D-321PH</v>
          </cell>
          <cell r="F2017" t="str">
            <v>台</v>
          </cell>
          <cell r="G2017">
            <v>0</v>
          </cell>
          <cell r="H2017">
            <v>9380</v>
          </cell>
          <cell r="I2017">
            <v>0</v>
          </cell>
          <cell r="J2017">
            <v>9380</v>
          </cell>
          <cell r="K2017">
            <v>0</v>
          </cell>
          <cell r="L2017">
            <v>9380</v>
          </cell>
          <cell r="M2017">
            <v>0</v>
          </cell>
          <cell r="N2017">
            <v>9380</v>
          </cell>
          <cell r="O2017">
            <v>0</v>
          </cell>
          <cell r="P2017">
            <v>9380</v>
          </cell>
          <cell r="Q2017">
            <v>0</v>
          </cell>
          <cell r="R2017">
            <v>9380</v>
          </cell>
          <cell r="S2017">
            <v>0</v>
          </cell>
          <cell r="T2017">
            <v>9380</v>
          </cell>
          <cell r="U2017">
            <v>0</v>
          </cell>
          <cell r="V2017">
            <v>9380</v>
          </cell>
          <cell r="W2017">
            <v>0</v>
          </cell>
          <cell r="X2017">
            <v>9380</v>
          </cell>
          <cell r="Y2017">
            <v>0</v>
          </cell>
          <cell r="Z2017">
            <v>9380</v>
          </cell>
          <cell r="AA2017">
            <v>0</v>
          </cell>
          <cell r="AB2017">
            <v>0</v>
          </cell>
          <cell r="AC2017">
            <v>0</v>
          </cell>
          <cell r="AD2017">
            <v>0.20899999999999999</v>
          </cell>
          <cell r="AE2017">
            <v>0</v>
          </cell>
          <cell r="AF2017">
            <v>0</v>
          </cell>
          <cell r="AG2017">
            <v>4950</v>
          </cell>
          <cell r="AH2017">
            <v>48</v>
          </cell>
          <cell r="AI2017">
            <v>0.97899999999999998</v>
          </cell>
          <cell r="AJ2017">
            <v>1</v>
          </cell>
          <cell r="AK2017">
            <v>49.02</v>
          </cell>
          <cell r="AL2017">
            <v>0</v>
          </cell>
        </row>
        <row r="2018">
          <cell r="E2018" t="str">
            <v>V9D-322PH</v>
          </cell>
          <cell r="F2018" t="str">
            <v>台</v>
          </cell>
          <cell r="G2018">
            <v>0</v>
          </cell>
          <cell r="H2018">
            <v>10500</v>
          </cell>
          <cell r="I2018">
            <v>0</v>
          </cell>
          <cell r="J2018">
            <v>10500</v>
          </cell>
          <cell r="K2018">
            <v>0</v>
          </cell>
          <cell r="L2018">
            <v>10500</v>
          </cell>
          <cell r="M2018">
            <v>0</v>
          </cell>
          <cell r="N2018">
            <v>10500</v>
          </cell>
          <cell r="O2018">
            <v>0</v>
          </cell>
          <cell r="P2018">
            <v>10500</v>
          </cell>
          <cell r="Q2018">
            <v>0</v>
          </cell>
          <cell r="R2018">
            <v>10500</v>
          </cell>
          <cell r="S2018">
            <v>0</v>
          </cell>
          <cell r="T2018">
            <v>10500</v>
          </cell>
          <cell r="U2018">
            <v>0</v>
          </cell>
          <cell r="V2018">
            <v>10500</v>
          </cell>
          <cell r="W2018">
            <v>0</v>
          </cell>
          <cell r="X2018">
            <v>10500</v>
          </cell>
          <cell r="Y2018">
            <v>0</v>
          </cell>
          <cell r="Z2018">
            <v>10500</v>
          </cell>
          <cell r="AA2018">
            <v>0</v>
          </cell>
          <cell r="AB2018">
            <v>0</v>
          </cell>
          <cell r="AC2018">
            <v>0</v>
          </cell>
          <cell r="AD2018">
            <v>0.20899999999999999</v>
          </cell>
          <cell r="AE2018">
            <v>0</v>
          </cell>
          <cell r="AF2018">
            <v>0</v>
          </cell>
          <cell r="AG2018">
            <v>9900</v>
          </cell>
          <cell r="AH2018">
            <v>96</v>
          </cell>
          <cell r="AI2018">
            <v>0.98899999999999999</v>
          </cell>
          <cell r="AJ2018">
            <v>1</v>
          </cell>
          <cell r="AK2018">
            <v>97.06</v>
          </cell>
          <cell r="AL2018">
            <v>0</v>
          </cell>
        </row>
        <row r="2019">
          <cell r="E2019" t="str">
            <v>■センサ付Ｈｆダウンライト</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row>
        <row r="2020">
          <cell r="E2020" t="str">
            <v>d2D-321PX</v>
          </cell>
          <cell r="F2020" t="str">
            <v>台</v>
          </cell>
          <cell r="G2020">
            <v>0</v>
          </cell>
          <cell r="H2020">
            <v>10900</v>
          </cell>
          <cell r="I2020">
            <v>0</v>
          </cell>
          <cell r="J2020">
            <v>10900</v>
          </cell>
          <cell r="K2020">
            <v>0</v>
          </cell>
          <cell r="L2020">
            <v>10900</v>
          </cell>
          <cell r="M2020">
            <v>0</v>
          </cell>
          <cell r="N2020">
            <v>10900</v>
          </cell>
          <cell r="O2020">
            <v>0</v>
          </cell>
          <cell r="P2020">
            <v>10900</v>
          </cell>
          <cell r="Q2020">
            <v>0</v>
          </cell>
          <cell r="R2020">
            <v>10900</v>
          </cell>
          <cell r="S2020">
            <v>0</v>
          </cell>
          <cell r="T2020">
            <v>10900</v>
          </cell>
          <cell r="U2020">
            <v>0</v>
          </cell>
          <cell r="V2020">
            <v>10900</v>
          </cell>
          <cell r="W2020">
            <v>0</v>
          </cell>
          <cell r="X2020">
            <v>10900</v>
          </cell>
          <cell r="Y2020">
            <v>0</v>
          </cell>
          <cell r="Z2020">
            <v>10900</v>
          </cell>
          <cell r="AA2020">
            <v>0</v>
          </cell>
          <cell r="AB2020">
            <v>0</v>
          </cell>
          <cell r="AC2020">
            <v>0</v>
          </cell>
          <cell r="AD2020">
            <v>0.20899999999999999</v>
          </cell>
          <cell r="AE2020">
            <v>0</v>
          </cell>
          <cell r="AF2020">
            <v>0</v>
          </cell>
          <cell r="AG2020">
            <v>1800</v>
          </cell>
          <cell r="AH2020">
            <v>24</v>
          </cell>
          <cell r="AI2020">
            <v>0.98</v>
          </cell>
          <cell r="AJ2020">
            <v>1</v>
          </cell>
          <cell r="AK2020">
            <v>24.48</v>
          </cell>
          <cell r="AL2020">
            <v>0</v>
          </cell>
        </row>
        <row r="2021">
          <cell r="E2021" t="str">
            <v>d2D-322PX</v>
          </cell>
          <cell r="F2021" t="str">
            <v>台</v>
          </cell>
          <cell r="G2021">
            <v>0</v>
          </cell>
          <cell r="H2021">
            <v>12100</v>
          </cell>
          <cell r="I2021">
            <v>0</v>
          </cell>
          <cell r="J2021">
            <v>12100</v>
          </cell>
          <cell r="K2021">
            <v>0</v>
          </cell>
          <cell r="L2021">
            <v>12100</v>
          </cell>
          <cell r="M2021">
            <v>0</v>
          </cell>
          <cell r="N2021">
            <v>12100</v>
          </cell>
          <cell r="O2021">
            <v>0</v>
          </cell>
          <cell r="P2021">
            <v>12100</v>
          </cell>
          <cell r="Q2021">
            <v>0</v>
          </cell>
          <cell r="R2021">
            <v>12100</v>
          </cell>
          <cell r="S2021">
            <v>0</v>
          </cell>
          <cell r="T2021">
            <v>12100</v>
          </cell>
          <cell r="U2021">
            <v>0</v>
          </cell>
          <cell r="V2021">
            <v>12100</v>
          </cell>
          <cell r="W2021">
            <v>0</v>
          </cell>
          <cell r="X2021">
            <v>12100</v>
          </cell>
          <cell r="Y2021">
            <v>0</v>
          </cell>
          <cell r="Z2021">
            <v>12100</v>
          </cell>
          <cell r="AA2021">
            <v>0</v>
          </cell>
          <cell r="AB2021">
            <v>0</v>
          </cell>
          <cell r="AC2021">
            <v>0</v>
          </cell>
          <cell r="AD2021">
            <v>0.20899999999999999</v>
          </cell>
          <cell r="AE2021">
            <v>0</v>
          </cell>
          <cell r="AF2021">
            <v>0</v>
          </cell>
          <cell r="AG2021">
            <v>2400</v>
          </cell>
          <cell r="AH2021">
            <v>32</v>
          </cell>
          <cell r="AI2021">
            <v>0.98</v>
          </cell>
          <cell r="AJ2021">
            <v>1</v>
          </cell>
          <cell r="AK2021">
            <v>32.65</v>
          </cell>
          <cell r="AL2021">
            <v>0</v>
          </cell>
        </row>
        <row r="2022">
          <cell r="E2022" t="str">
            <v>■センサ付Ｈｆ開放直付形</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row>
        <row r="2023">
          <cell r="E2023" t="str">
            <v>V6D-322PX</v>
          </cell>
          <cell r="F2023" t="str">
            <v>台</v>
          </cell>
          <cell r="G2023">
            <v>0</v>
          </cell>
          <cell r="H2023">
            <v>14100</v>
          </cell>
          <cell r="I2023">
            <v>0</v>
          </cell>
          <cell r="J2023">
            <v>14100</v>
          </cell>
          <cell r="K2023">
            <v>0</v>
          </cell>
          <cell r="L2023">
            <v>14100</v>
          </cell>
          <cell r="M2023">
            <v>0</v>
          </cell>
          <cell r="N2023">
            <v>14100</v>
          </cell>
          <cell r="O2023">
            <v>0</v>
          </cell>
          <cell r="P2023">
            <v>14100</v>
          </cell>
          <cell r="Q2023">
            <v>0</v>
          </cell>
          <cell r="R2023">
            <v>14100</v>
          </cell>
          <cell r="S2023">
            <v>0</v>
          </cell>
          <cell r="T2023">
            <v>14100</v>
          </cell>
          <cell r="U2023">
            <v>0</v>
          </cell>
          <cell r="V2023">
            <v>14100</v>
          </cell>
          <cell r="W2023">
            <v>0</v>
          </cell>
          <cell r="X2023">
            <v>14100</v>
          </cell>
          <cell r="Y2023">
            <v>0</v>
          </cell>
          <cell r="Z2023">
            <v>14100</v>
          </cell>
          <cell r="AA2023">
            <v>0</v>
          </cell>
          <cell r="AB2023">
            <v>0</v>
          </cell>
          <cell r="AC2023">
            <v>0</v>
          </cell>
          <cell r="AD2023">
            <v>0.20899999999999999</v>
          </cell>
          <cell r="AE2023">
            <v>0</v>
          </cell>
          <cell r="AF2023">
            <v>0</v>
          </cell>
          <cell r="AG2023">
            <v>3200</v>
          </cell>
          <cell r="AH2023">
            <v>42</v>
          </cell>
          <cell r="AI2023">
            <v>0.98</v>
          </cell>
          <cell r="AJ2023">
            <v>1</v>
          </cell>
          <cell r="AK2023">
            <v>42.85</v>
          </cell>
          <cell r="AL2023">
            <v>0</v>
          </cell>
        </row>
        <row r="2024">
          <cell r="E2024" t="str">
            <v>■センサ付Ｈｆ反射笠埋込形</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row>
        <row r="2025">
          <cell r="E2025" t="str">
            <v>R2D-321PX</v>
          </cell>
          <cell r="F2025" t="str">
            <v>台</v>
          </cell>
          <cell r="G2025">
            <v>0</v>
          </cell>
          <cell r="H2025">
            <v>10900</v>
          </cell>
          <cell r="I2025">
            <v>0</v>
          </cell>
          <cell r="J2025">
            <v>10900</v>
          </cell>
          <cell r="K2025">
            <v>0</v>
          </cell>
          <cell r="L2025">
            <v>10900</v>
          </cell>
          <cell r="M2025">
            <v>0</v>
          </cell>
          <cell r="N2025">
            <v>10900</v>
          </cell>
          <cell r="O2025">
            <v>0</v>
          </cell>
          <cell r="P2025">
            <v>10900</v>
          </cell>
          <cell r="Q2025">
            <v>0</v>
          </cell>
          <cell r="R2025">
            <v>10900</v>
          </cell>
          <cell r="S2025">
            <v>0</v>
          </cell>
          <cell r="T2025">
            <v>10900</v>
          </cell>
          <cell r="U2025">
            <v>0</v>
          </cell>
          <cell r="V2025">
            <v>10900</v>
          </cell>
          <cell r="W2025">
            <v>0</v>
          </cell>
          <cell r="X2025">
            <v>10900</v>
          </cell>
          <cell r="Y2025">
            <v>0</v>
          </cell>
          <cell r="Z2025">
            <v>10900</v>
          </cell>
          <cell r="AA2025">
            <v>0</v>
          </cell>
          <cell r="AB2025">
            <v>0</v>
          </cell>
          <cell r="AC2025">
            <v>0</v>
          </cell>
          <cell r="AD2025">
            <v>0.20899999999999999</v>
          </cell>
          <cell r="AE2025">
            <v>0</v>
          </cell>
          <cell r="AF2025">
            <v>0</v>
          </cell>
          <cell r="AG2025">
            <v>4950</v>
          </cell>
          <cell r="AH2025">
            <v>48</v>
          </cell>
          <cell r="AI2025">
            <v>0.97899999999999998</v>
          </cell>
          <cell r="AJ2025">
            <v>1</v>
          </cell>
          <cell r="AK2025">
            <v>49.02</v>
          </cell>
          <cell r="AL2025">
            <v>0</v>
          </cell>
        </row>
        <row r="2026">
          <cell r="E2026" t="str">
            <v>R2D-322PX</v>
          </cell>
          <cell r="F2026" t="str">
            <v>台</v>
          </cell>
          <cell r="G2026">
            <v>0</v>
          </cell>
          <cell r="H2026">
            <v>12100</v>
          </cell>
          <cell r="I2026">
            <v>0</v>
          </cell>
          <cell r="J2026">
            <v>12100</v>
          </cell>
          <cell r="K2026">
            <v>0</v>
          </cell>
          <cell r="L2026">
            <v>12100</v>
          </cell>
          <cell r="M2026">
            <v>0</v>
          </cell>
          <cell r="N2026">
            <v>12100</v>
          </cell>
          <cell r="O2026">
            <v>0</v>
          </cell>
          <cell r="P2026">
            <v>12100</v>
          </cell>
          <cell r="Q2026">
            <v>0</v>
          </cell>
          <cell r="R2026">
            <v>12100</v>
          </cell>
          <cell r="S2026">
            <v>0</v>
          </cell>
          <cell r="T2026">
            <v>12100</v>
          </cell>
          <cell r="U2026">
            <v>0</v>
          </cell>
          <cell r="V2026">
            <v>12100</v>
          </cell>
          <cell r="W2026">
            <v>0</v>
          </cell>
          <cell r="X2026">
            <v>12100</v>
          </cell>
          <cell r="Y2026">
            <v>0</v>
          </cell>
          <cell r="Z2026">
            <v>12100</v>
          </cell>
          <cell r="AA2026">
            <v>0</v>
          </cell>
          <cell r="AB2026">
            <v>0</v>
          </cell>
          <cell r="AC2026">
            <v>0</v>
          </cell>
          <cell r="AD2026">
            <v>0.20899999999999999</v>
          </cell>
          <cell r="AE2026">
            <v>0</v>
          </cell>
          <cell r="AF2026">
            <v>0</v>
          </cell>
          <cell r="AG2026">
            <v>9900</v>
          </cell>
          <cell r="AH2026">
            <v>96</v>
          </cell>
          <cell r="AI2026">
            <v>0.98899999999999999</v>
          </cell>
          <cell r="AJ2026">
            <v>1</v>
          </cell>
          <cell r="AK2026">
            <v>97.06</v>
          </cell>
          <cell r="AL2026">
            <v>0</v>
          </cell>
        </row>
        <row r="2027">
          <cell r="E2027" t="str">
            <v>■センサ付Ｈｆ開放直付形</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row>
        <row r="2028">
          <cell r="E2028" t="str">
            <v>As6D-322PX</v>
          </cell>
          <cell r="F2028" t="str">
            <v>台</v>
          </cell>
          <cell r="G2028">
            <v>0</v>
          </cell>
          <cell r="H2028">
            <v>14100</v>
          </cell>
          <cell r="I2028">
            <v>0</v>
          </cell>
          <cell r="J2028">
            <v>14100</v>
          </cell>
          <cell r="K2028">
            <v>0</v>
          </cell>
          <cell r="L2028">
            <v>14100</v>
          </cell>
          <cell r="M2028">
            <v>0</v>
          </cell>
          <cell r="N2028">
            <v>14100</v>
          </cell>
          <cell r="O2028">
            <v>0</v>
          </cell>
          <cell r="P2028">
            <v>14100</v>
          </cell>
          <cell r="Q2028">
            <v>0</v>
          </cell>
          <cell r="R2028">
            <v>14100</v>
          </cell>
          <cell r="S2028">
            <v>0</v>
          </cell>
          <cell r="T2028">
            <v>14100</v>
          </cell>
          <cell r="U2028">
            <v>0</v>
          </cell>
          <cell r="V2028">
            <v>14100</v>
          </cell>
          <cell r="W2028">
            <v>0</v>
          </cell>
          <cell r="X2028">
            <v>14100</v>
          </cell>
          <cell r="Y2028">
            <v>0</v>
          </cell>
          <cell r="Z2028">
            <v>14100</v>
          </cell>
          <cell r="AA2028">
            <v>0</v>
          </cell>
          <cell r="AB2028">
            <v>0</v>
          </cell>
          <cell r="AC2028">
            <v>0</v>
          </cell>
          <cell r="AD2028">
            <v>0.26100000000000001</v>
          </cell>
          <cell r="AE2028">
            <v>0</v>
          </cell>
          <cell r="AF2028">
            <v>0</v>
          </cell>
          <cell r="AG2028">
            <v>9900</v>
          </cell>
          <cell r="AH2028">
            <v>96</v>
          </cell>
          <cell r="AI2028">
            <v>0.98899999999999999</v>
          </cell>
          <cell r="AJ2028">
            <v>1</v>
          </cell>
          <cell r="AK2028">
            <v>97.06</v>
          </cell>
          <cell r="AL2028">
            <v>0</v>
          </cell>
        </row>
        <row r="2029">
          <cell r="E2029" t="str">
            <v>■センサ付Ｈｆ逆富士</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row>
        <row r="2030">
          <cell r="E2030" t="str">
            <v>V29D-321PH</v>
          </cell>
          <cell r="F2030" t="str">
            <v>台</v>
          </cell>
          <cell r="G2030">
            <v>0</v>
          </cell>
          <cell r="H2030">
            <v>11100</v>
          </cell>
          <cell r="I2030">
            <v>0</v>
          </cell>
          <cell r="J2030">
            <v>11100</v>
          </cell>
          <cell r="K2030">
            <v>0</v>
          </cell>
          <cell r="L2030">
            <v>11100</v>
          </cell>
          <cell r="M2030">
            <v>0</v>
          </cell>
          <cell r="N2030">
            <v>11100</v>
          </cell>
          <cell r="O2030">
            <v>0</v>
          </cell>
          <cell r="P2030">
            <v>11100</v>
          </cell>
          <cell r="Q2030">
            <v>0</v>
          </cell>
          <cell r="R2030">
            <v>11100</v>
          </cell>
          <cell r="S2030">
            <v>0</v>
          </cell>
          <cell r="T2030">
            <v>11100</v>
          </cell>
          <cell r="U2030">
            <v>0</v>
          </cell>
          <cell r="V2030">
            <v>11100</v>
          </cell>
          <cell r="W2030">
            <v>0</v>
          </cell>
          <cell r="X2030">
            <v>11100</v>
          </cell>
          <cell r="Y2030">
            <v>0</v>
          </cell>
          <cell r="Z2030">
            <v>11100</v>
          </cell>
          <cell r="AA2030">
            <v>0</v>
          </cell>
          <cell r="AB2030">
            <v>0</v>
          </cell>
          <cell r="AC2030">
            <v>0</v>
          </cell>
          <cell r="AD2030">
            <v>0.26100000000000001</v>
          </cell>
          <cell r="AE2030">
            <v>0</v>
          </cell>
          <cell r="AF2030">
            <v>0</v>
          </cell>
          <cell r="AG2030">
            <v>4950</v>
          </cell>
          <cell r="AH2030">
            <v>48</v>
          </cell>
          <cell r="AI2030">
            <v>0.97899999999999998</v>
          </cell>
          <cell r="AJ2030">
            <v>1</v>
          </cell>
          <cell r="AK2030">
            <v>49.02</v>
          </cell>
          <cell r="AL2030">
            <v>0</v>
          </cell>
        </row>
        <row r="2031">
          <cell r="E2031" t="str">
            <v>V29D-322PH</v>
          </cell>
          <cell r="F2031" t="str">
            <v>台</v>
          </cell>
          <cell r="G2031">
            <v>0</v>
          </cell>
          <cell r="H2031">
            <v>11700</v>
          </cell>
          <cell r="I2031">
            <v>0</v>
          </cell>
          <cell r="J2031">
            <v>11700</v>
          </cell>
          <cell r="K2031">
            <v>0</v>
          </cell>
          <cell r="L2031">
            <v>11700</v>
          </cell>
          <cell r="M2031">
            <v>0</v>
          </cell>
          <cell r="N2031">
            <v>11700</v>
          </cell>
          <cell r="O2031">
            <v>0</v>
          </cell>
          <cell r="P2031">
            <v>11700</v>
          </cell>
          <cell r="Q2031">
            <v>0</v>
          </cell>
          <cell r="R2031">
            <v>11700</v>
          </cell>
          <cell r="S2031">
            <v>0</v>
          </cell>
          <cell r="T2031">
            <v>11700</v>
          </cell>
          <cell r="U2031">
            <v>0</v>
          </cell>
          <cell r="V2031">
            <v>11700</v>
          </cell>
          <cell r="W2031">
            <v>0</v>
          </cell>
          <cell r="X2031">
            <v>11700</v>
          </cell>
          <cell r="Y2031">
            <v>0</v>
          </cell>
          <cell r="Z2031">
            <v>11700</v>
          </cell>
          <cell r="AA2031">
            <v>0</v>
          </cell>
          <cell r="AB2031">
            <v>0</v>
          </cell>
          <cell r="AC2031">
            <v>0</v>
          </cell>
          <cell r="AD2031">
            <v>0.26100000000000001</v>
          </cell>
          <cell r="AE2031">
            <v>0</v>
          </cell>
          <cell r="AF2031">
            <v>0</v>
          </cell>
          <cell r="AG2031">
            <v>9900</v>
          </cell>
          <cell r="AH2031">
            <v>96</v>
          </cell>
          <cell r="AI2031">
            <v>0.98899999999999999</v>
          </cell>
          <cell r="AJ2031">
            <v>1</v>
          </cell>
          <cell r="AK2031">
            <v>97.06</v>
          </cell>
          <cell r="AL2031">
            <v>0</v>
          </cell>
        </row>
        <row r="2032">
          <cell r="E2032" t="str">
            <v>■Ｈｆカバー埋込形</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row>
        <row r="2033">
          <cell r="E2033" t="str">
            <v>C5-321PN</v>
          </cell>
          <cell r="F2033" t="str">
            <v>台</v>
          </cell>
          <cell r="G2033">
            <v>0</v>
          </cell>
          <cell r="H2033">
            <v>12500</v>
          </cell>
          <cell r="I2033">
            <v>0</v>
          </cell>
          <cell r="J2033">
            <v>12500</v>
          </cell>
          <cell r="K2033">
            <v>0</v>
          </cell>
          <cell r="L2033">
            <v>12500</v>
          </cell>
          <cell r="M2033">
            <v>0</v>
          </cell>
          <cell r="N2033">
            <v>12500</v>
          </cell>
          <cell r="O2033">
            <v>0</v>
          </cell>
          <cell r="P2033">
            <v>12500</v>
          </cell>
          <cell r="Q2033">
            <v>0</v>
          </cell>
          <cell r="R2033">
            <v>12500</v>
          </cell>
          <cell r="S2033">
            <v>0</v>
          </cell>
          <cell r="T2033">
            <v>12500</v>
          </cell>
          <cell r="U2033">
            <v>0</v>
          </cell>
          <cell r="V2033">
            <v>12500</v>
          </cell>
          <cell r="W2033">
            <v>0</v>
          </cell>
          <cell r="X2033">
            <v>12500</v>
          </cell>
          <cell r="Y2033">
            <v>0</v>
          </cell>
          <cell r="Z2033">
            <v>12500</v>
          </cell>
          <cell r="AA2033">
            <v>0</v>
          </cell>
          <cell r="AB2033">
            <v>0</v>
          </cell>
          <cell r="AC2033">
            <v>0</v>
          </cell>
          <cell r="AD2033">
            <v>0.2</v>
          </cell>
          <cell r="AE2033">
            <v>0</v>
          </cell>
          <cell r="AF2033">
            <v>0</v>
          </cell>
          <cell r="AG2033">
            <v>4950</v>
          </cell>
          <cell r="AH2033">
            <v>48</v>
          </cell>
          <cell r="AI2033">
            <v>0.97899999999999998</v>
          </cell>
          <cell r="AJ2033">
            <v>1</v>
          </cell>
          <cell r="AK2033">
            <v>49.02</v>
          </cell>
          <cell r="AL2033">
            <v>0</v>
          </cell>
        </row>
        <row r="2034">
          <cell r="E2034" t="str">
            <v>C5-321PH</v>
          </cell>
          <cell r="F2034" t="str">
            <v>台</v>
          </cell>
          <cell r="G2034">
            <v>0</v>
          </cell>
          <cell r="H2034">
            <v>13700</v>
          </cell>
          <cell r="I2034">
            <v>0</v>
          </cell>
          <cell r="J2034">
            <v>13700</v>
          </cell>
          <cell r="K2034">
            <v>0</v>
          </cell>
          <cell r="L2034">
            <v>13700</v>
          </cell>
          <cell r="M2034">
            <v>0</v>
          </cell>
          <cell r="N2034">
            <v>13700</v>
          </cell>
          <cell r="O2034">
            <v>0</v>
          </cell>
          <cell r="P2034">
            <v>13700</v>
          </cell>
          <cell r="Q2034">
            <v>0</v>
          </cell>
          <cell r="R2034">
            <v>13700</v>
          </cell>
          <cell r="S2034">
            <v>0</v>
          </cell>
          <cell r="T2034">
            <v>13700</v>
          </cell>
          <cell r="U2034">
            <v>0</v>
          </cell>
          <cell r="V2034">
            <v>13700</v>
          </cell>
          <cell r="W2034">
            <v>0</v>
          </cell>
          <cell r="X2034">
            <v>13700</v>
          </cell>
          <cell r="Y2034">
            <v>0</v>
          </cell>
          <cell r="Z2034">
            <v>13700</v>
          </cell>
          <cell r="AA2034">
            <v>0</v>
          </cell>
          <cell r="AB2034">
            <v>0</v>
          </cell>
          <cell r="AC2034">
            <v>0</v>
          </cell>
          <cell r="AD2034">
            <v>0.2</v>
          </cell>
          <cell r="AE2034">
            <v>0</v>
          </cell>
          <cell r="AF2034">
            <v>0</v>
          </cell>
          <cell r="AG2034">
            <v>4950</v>
          </cell>
          <cell r="AH2034">
            <v>48</v>
          </cell>
          <cell r="AI2034">
            <v>0.97899999999999998</v>
          </cell>
          <cell r="AJ2034">
            <v>1</v>
          </cell>
          <cell r="AK2034">
            <v>49.02</v>
          </cell>
          <cell r="AL2034">
            <v>0</v>
          </cell>
        </row>
        <row r="2035">
          <cell r="E2035" t="str">
            <v>C9-323PR</v>
          </cell>
          <cell r="F2035" t="str">
            <v>台</v>
          </cell>
          <cell r="G2035">
            <v>0</v>
          </cell>
          <cell r="H2035">
            <v>15000</v>
          </cell>
          <cell r="I2035">
            <v>0</v>
          </cell>
          <cell r="J2035">
            <v>15000</v>
          </cell>
          <cell r="K2035">
            <v>0</v>
          </cell>
          <cell r="L2035">
            <v>15000</v>
          </cell>
          <cell r="M2035">
            <v>0</v>
          </cell>
          <cell r="N2035">
            <v>15000</v>
          </cell>
          <cell r="O2035">
            <v>0</v>
          </cell>
          <cell r="P2035">
            <v>15000</v>
          </cell>
          <cell r="Q2035">
            <v>0</v>
          </cell>
          <cell r="R2035">
            <v>15000</v>
          </cell>
          <cell r="S2035">
            <v>0</v>
          </cell>
          <cell r="T2035">
            <v>15000</v>
          </cell>
          <cell r="U2035">
            <v>0</v>
          </cell>
          <cell r="V2035">
            <v>15000</v>
          </cell>
          <cell r="W2035">
            <v>0</v>
          </cell>
          <cell r="X2035">
            <v>15000</v>
          </cell>
          <cell r="Y2035">
            <v>0</v>
          </cell>
          <cell r="Z2035">
            <v>15000</v>
          </cell>
          <cell r="AA2035">
            <v>0</v>
          </cell>
          <cell r="AB2035">
            <v>0</v>
          </cell>
          <cell r="AC2035">
            <v>0</v>
          </cell>
          <cell r="AD2035">
            <v>0.313</v>
          </cell>
          <cell r="AE2035">
            <v>0</v>
          </cell>
          <cell r="AF2035">
            <v>0</v>
          </cell>
          <cell r="AG2035">
            <v>8700</v>
          </cell>
          <cell r="AH2035">
            <v>144</v>
          </cell>
          <cell r="AI2035">
            <v>0.98</v>
          </cell>
          <cell r="AJ2035">
            <v>1</v>
          </cell>
          <cell r="AK2035">
            <v>146.93</v>
          </cell>
          <cell r="AL2035">
            <v>0</v>
          </cell>
        </row>
        <row r="2036">
          <cell r="E2036" t="str">
            <v>C9-454PN</v>
          </cell>
          <cell r="F2036" t="str">
            <v>台</v>
          </cell>
          <cell r="G2036">
            <v>0</v>
          </cell>
          <cell r="H2036">
            <v>25100</v>
          </cell>
          <cell r="I2036">
            <v>0</v>
          </cell>
          <cell r="J2036">
            <v>25100</v>
          </cell>
          <cell r="K2036">
            <v>0</v>
          </cell>
          <cell r="L2036">
            <v>25100</v>
          </cell>
          <cell r="M2036">
            <v>0</v>
          </cell>
          <cell r="N2036">
            <v>25100</v>
          </cell>
          <cell r="O2036">
            <v>0</v>
          </cell>
          <cell r="P2036">
            <v>25100</v>
          </cell>
          <cell r="Q2036">
            <v>0</v>
          </cell>
          <cell r="R2036">
            <v>25100</v>
          </cell>
          <cell r="S2036">
            <v>0</v>
          </cell>
          <cell r="T2036">
            <v>25100</v>
          </cell>
          <cell r="U2036">
            <v>0</v>
          </cell>
          <cell r="V2036">
            <v>25100</v>
          </cell>
          <cell r="W2036">
            <v>0</v>
          </cell>
          <cell r="X2036">
            <v>25100</v>
          </cell>
          <cell r="Y2036">
            <v>0</v>
          </cell>
          <cell r="Z2036">
            <v>25100</v>
          </cell>
          <cell r="AA2036">
            <v>0</v>
          </cell>
          <cell r="AB2036">
            <v>0</v>
          </cell>
          <cell r="AC2036">
            <v>0</v>
          </cell>
          <cell r="AD2036">
            <v>0.46100000000000002</v>
          </cell>
          <cell r="AE2036">
            <v>0</v>
          </cell>
          <cell r="AF2036">
            <v>0</v>
          </cell>
          <cell r="AG2036">
            <v>17400</v>
          </cell>
          <cell r="AH2036">
            <v>192</v>
          </cell>
          <cell r="AI2036">
            <v>0.97</v>
          </cell>
          <cell r="AJ2036">
            <v>1</v>
          </cell>
          <cell r="AK2036">
            <v>197.93</v>
          </cell>
          <cell r="AL2036">
            <v>0</v>
          </cell>
        </row>
        <row r="2037">
          <cell r="E2037" t="str">
            <v>C9-454PW</v>
          </cell>
          <cell r="F2037" t="str">
            <v>台</v>
          </cell>
          <cell r="G2037">
            <v>0</v>
          </cell>
          <cell r="H2037">
            <v>27800</v>
          </cell>
          <cell r="I2037">
            <v>0</v>
          </cell>
          <cell r="J2037">
            <v>27800</v>
          </cell>
          <cell r="K2037">
            <v>0</v>
          </cell>
          <cell r="L2037">
            <v>27800</v>
          </cell>
          <cell r="M2037">
            <v>0</v>
          </cell>
          <cell r="N2037">
            <v>27800</v>
          </cell>
          <cell r="O2037">
            <v>0</v>
          </cell>
          <cell r="P2037">
            <v>27800</v>
          </cell>
          <cell r="Q2037">
            <v>0</v>
          </cell>
          <cell r="R2037">
            <v>27800</v>
          </cell>
          <cell r="S2037">
            <v>0</v>
          </cell>
          <cell r="T2037">
            <v>27800</v>
          </cell>
          <cell r="U2037">
            <v>0</v>
          </cell>
          <cell r="V2037">
            <v>27800</v>
          </cell>
          <cell r="W2037">
            <v>0</v>
          </cell>
          <cell r="X2037">
            <v>27800</v>
          </cell>
          <cell r="Y2037">
            <v>0</v>
          </cell>
          <cell r="Z2037">
            <v>27800</v>
          </cell>
          <cell r="AA2037">
            <v>0</v>
          </cell>
          <cell r="AB2037">
            <v>0</v>
          </cell>
          <cell r="AC2037">
            <v>0</v>
          </cell>
          <cell r="AD2037">
            <v>0.46100000000000002</v>
          </cell>
          <cell r="AE2037">
            <v>0</v>
          </cell>
          <cell r="AF2037">
            <v>0</v>
          </cell>
          <cell r="AG2037">
            <v>17400</v>
          </cell>
          <cell r="AH2037">
            <v>192</v>
          </cell>
          <cell r="AI2037">
            <v>0.97</v>
          </cell>
          <cell r="AJ2037">
            <v>1</v>
          </cell>
          <cell r="AK2037">
            <v>197.93</v>
          </cell>
          <cell r="AL2037">
            <v>0</v>
          </cell>
        </row>
        <row r="2038">
          <cell r="E2038" t="str">
            <v>■Ｈｆルーバ埋込形</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row>
        <row r="2039">
          <cell r="E2039" t="str">
            <v>D9-321PN</v>
          </cell>
          <cell r="F2039" t="str">
            <v>台</v>
          </cell>
          <cell r="G2039">
            <v>0</v>
          </cell>
          <cell r="H2039">
            <v>8090</v>
          </cell>
          <cell r="I2039">
            <v>0</v>
          </cell>
          <cell r="J2039">
            <v>8090</v>
          </cell>
          <cell r="K2039">
            <v>0</v>
          </cell>
          <cell r="L2039">
            <v>8090</v>
          </cell>
          <cell r="M2039">
            <v>0</v>
          </cell>
          <cell r="N2039">
            <v>8090</v>
          </cell>
          <cell r="O2039">
            <v>0</v>
          </cell>
          <cell r="P2039">
            <v>8090</v>
          </cell>
          <cell r="Q2039">
            <v>0</v>
          </cell>
          <cell r="R2039">
            <v>8090</v>
          </cell>
          <cell r="S2039">
            <v>0</v>
          </cell>
          <cell r="T2039">
            <v>8090</v>
          </cell>
          <cell r="U2039">
            <v>0</v>
          </cell>
          <cell r="V2039">
            <v>8090</v>
          </cell>
          <cell r="W2039">
            <v>0</v>
          </cell>
          <cell r="X2039">
            <v>8090</v>
          </cell>
          <cell r="Y2039">
            <v>0</v>
          </cell>
          <cell r="Z2039">
            <v>8090</v>
          </cell>
          <cell r="AA2039">
            <v>0</v>
          </cell>
          <cell r="AB2039">
            <v>0</v>
          </cell>
          <cell r="AC2039">
            <v>0</v>
          </cell>
          <cell r="AD2039">
            <v>0.2</v>
          </cell>
          <cell r="AE2039">
            <v>0</v>
          </cell>
          <cell r="AF2039">
            <v>0</v>
          </cell>
          <cell r="AG2039">
            <v>4950</v>
          </cell>
          <cell r="AH2039">
            <v>48</v>
          </cell>
          <cell r="AI2039">
            <v>0.97899999999999998</v>
          </cell>
          <cell r="AJ2039">
            <v>1</v>
          </cell>
          <cell r="AK2039">
            <v>49.02</v>
          </cell>
          <cell r="AL2039">
            <v>0</v>
          </cell>
        </row>
        <row r="2040">
          <cell r="E2040" t="str">
            <v>D9-321PH</v>
          </cell>
          <cell r="F2040" t="str">
            <v>台</v>
          </cell>
          <cell r="G2040">
            <v>0</v>
          </cell>
          <cell r="H2040">
            <v>10100</v>
          </cell>
          <cell r="I2040">
            <v>0</v>
          </cell>
          <cell r="J2040">
            <v>10100</v>
          </cell>
          <cell r="K2040">
            <v>0</v>
          </cell>
          <cell r="L2040">
            <v>10100</v>
          </cell>
          <cell r="M2040">
            <v>0</v>
          </cell>
          <cell r="N2040">
            <v>10100</v>
          </cell>
          <cell r="O2040">
            <v>0</v>
          </cell>
          <cell r="P2040">
            <v>10100</v>
          </cell>
          <cell r="Q2040">
            <v>0</v>
          </cell>
          <cell r="R2040">
            <v>10100</v>
          </cell>
          <cell r="S2040">
            <v>0</v>
          </cell>
          <cell r="T2040">
            <v>10100</v>
          </cell>
          <cell r="U2040">
            <v>0</v>
          </cell>
          <cell r="V2040">
            <v>10100</v>
          </cell>
          <cell r="W2040">
            <v>0</v>
          </cell>
          <cell r="X2040">
            <v>10100</v>
          </cell>
          <cell r="Y2040">
            <v>0</v>
          </cell>
          <cell r="Z2040">
            <v>10100</v>
          </cell>
          <cell r="AA2040">
            <v>0</v>
          </cell>
          <cell r="AB2040">
            <v>0</v>
          </cell>
          <cell r="AC2040">
            <v>0</v>
          </cell>
          <cell r="AD2040">
            <v>0.2</v>
          </cell>
          <cell r="AE2040">
            <v>0</v>
          </cell>
          <cell r="AF2040">
            <v>0</v>
          </cell>
          <cell r="AG2040">
            <v>4950</v>
          </cell>
          <cell r="AH2040">
            <v>48</v>
          </cell>
          <cell r="AI2040">
            <v>0.97899999999999998</v>
          </cell>
          <cell r="AJ2040">
            <v>1</v>
          </cell>
          <cell r="AK2040">
            <v>49.02</v>
          </cell>
          <cell r="AL2040">
            <v>0</v>
          </cell>
        </row>
        <row r="2041">
          <cell r="E2041" t="str">
            <v>D9-321PX</v>
          </cell>
          <cell r="F2041" t="str">
            <v>台</v>
          </cell>
          <cell r="G2041">
            <v>0</v>
          </cell>
          <cell r="H2041">
            <v>11300</v>
          </cell>
          <cell r="I2041">
            <v>0</v>
          </cell>
          <cell r="J2041">
            <v>11300</v>
          </cell>
          <cell r="K2041">
            <v>0</v>
          </cell>
          <cell r="L2041">
            <v>11300</v>
          </cell>
          <cell r="M2041">
            <v>0</v>
          </cell>
          <cell r="N2041">
            <v>11300</v>
          </cell>
          <cell r="O2041">
            <v>0</v>
          </cell>
          <cell r="P2041">
            <v>11300</v>
          </cell>
          <cell r="Q2041">
            <v>0</v>
          </cell>
          <cell r="R2041">
            <v>11300</v>
          </cell>
          <cell r="S2041">
            <v>0</v>
          </cell>
          <cell r="T2041">
            <v>11300</v>
          </cell>
          <cell r="U2041">
            <v>0</v>
          </cell>
          <cell r="V2041">
            <v>11300</v>
          </cell>
          <cell r="W2041">
            <v>0</v>
          </cell>
          <cell r="X2041">
            <v>11300</v>
          </cell>
          <cell r="Y2041">
            <v>0</v>
          </cell>
          <cell r="Z2041">
            <v>11300</v>
          </cell>
          <cell r="AA2041">
            <v>0</v>
          </cell>
          <cell r="AB2041">
            <v>0</v>
          </cell>
          <cell r="AC2041">
            <v>0</v>
          </cell>
          <cell r="AD2041">
            <v>0.2</v>
          </cell>
          <cell r="AE2041">
            <v>0</v>
          </cell>
          <cell r="AF2041">
            <v>0</v>
          </cell>
          <cell r="AG2041">
            <v>4950</v>
          </cell>
          <cell r="AH2041">
            <v>48</v>
          </cell>
          <cell r="AI2041">
            <v>0.97899999999999998</v>
          </cell>
          <cell r="AJ2041">
            <v>1</v>
          </cell>
          <cell r="AK2041">
            <v>49.02</v>
          </cell>
          <cell r="AL2041">
            <v>0</v>
          </cell>
        </row>
        <row r="2042">
          <cell r="E2042" t="str">
            <v>D9-321PK</v>
          </cell>
          <cell r="F2042" t="str">
            <v>台</v>
          </cell>
          <cell r="G2042">
            <v>0</v>
          </cell>
          <cell r="H2042">
            <v>11300</v>
          </cell>
          <cell r="I2042">
            <v>0</v>
          </cell>
          <cell r="J2042">
            <v>11300</v>
          </cell>
          <cell r="K2042">
            <v>0</v>
          </cell>
          <cell r="L2042">
            <v>11300</v>
          </cell>
          <cell r="M2042">
            <v>0</v>
          </cell>
          <cell r="N2042">
            <v>11300</v>
          </cell>
          <cell r="O2042">
            <v>0</v>
          </cell>
          <cell r="P2042">
            <v>11300</v>
          </cell>
          <cell r="Q2042">
            <v>0</v>
          </cell>
          <cell r="R2042">
            <v>11300</v>
          </cell>
          <cell r="S2042">
            <v>0</v>
          </cell>
          <cell r="T2042">
            <v>11300</v>
          </cell>
          <cell r="U2042">
            <v>0</v>
          </cell>
          <cell r="V2042">
            <v>11300</v>
          </cell>
          <cell r="W2042">
            <v>0</v>
          </cell>
          <cell r="X2042">
            <v>11300</v>
          </cell>
          <cell r="Y2042">
            <v>0</v>
          </cell>
          <cell r="Z2042">
            <v>11300</v>
          </cell>
          <cell r="AA2042">
            <v>0</v>
          </cell>
          <cell r="AB2042">
            <v>0</v>
          </cell>
          <cell r="AC2042">
            <v>0</v>
          </cell>
          <cell r="AD2042">
            <v>0.2</v>
          </cell>
          <cell r="AE2042">
            <v>0</v>
          </cell>
          <cell r="AF2042">
            <v>0</v>
          </cell>
          <cell r="AG2042">
            <v>4950</v>
          </cell>
          <cell r="AH2042">
            <v>48</v>
          </cell>
          <cell r="AI2042">
            <v>0.97899999999999998</v>
          </cell>
          <cell r="AJ2042">
            <v>1</v>
          </cell>
          <cell r="AK2042">
            <v>49.02</v>
          </cell>
          <cell r="AL2042">
            <v>0</v>
          </cell>
        </row>
        <row r="2043">
          <cell r="E2043" t="str">
            <v>D10-322PN</v>
          </cell>
          <cell r="F2043" t="str">
            <v>台</v>
          </cell>
          <cell r="G2043">
            <v>0</v>
          </cell>
          <cell r="H2043">
            <v>10000</v>
          </cell>
          <cell r="I2043">
            <v>0</v>
          </cell>
          <cell r="J2043">
            <v>10000</v>
          </cell>
          <cell r="K2043">
            <v>0</v>
          </cell>
          <cell r="L2043">
            <v>10000</v>
          </cell>
          <cell r="M2043">
            <v>0</v>
          </cell>
          <cell r="N2043">
            <v>10000</v>
          </cell>
          <cell r="O2043">
            <v>0</v>
          </cell>
          <cell r="P2043">
            <v>10000</v>
          </cell>
          <cell r="Q2043">
            <v>0</v>
          </cell>
          <cell r="R2043">
            <v>10000</v>
          </cell>
          <cell r="S2043">
            <v>0</v>
          </cell>
          <cell r="T2043">
            <v>10000</v>
          </cell>
          <cell r="U2043">
            <v>0</v>
          </cell>
          <cell r="V2043">
            <v>10000</v>
          </cell>
          <cell r="W2043">
            <v>0</v>
          </cell>
          <cell r="X2043">
            <v>10000</v>
          </cell>
          <cell r="Y2043">
            <v>0</v>
          </cell>
          <cell r="Z2043">
            <v>10000</v>
          </cell>
          <cell r="AA2043">
            <v>0</v>
          </cell>
          <cell r="AB2043">
            <v>0</v>
          </cell>
          <cell r="AC2043">
            <v>0</v>
          </cell>
          <cell r="AD2043">
            <v>0.252</v>
          </cell>
          <cell r="AE2043">
            <v>0</v>
          </cell>
          <cell r="AF2043">
            <v>0</v>
          </cell>
          <cell r="AG2043">
            <v>9900</v>
          </cell>
          <cell r="AH2043">
            <v>96</v>
          </cell>
          <cell r="AI2043">
            <v>0.98899999999999999</v>
          </cell>
          <cell r="AJ2043">
            <v>1</v>
          </cell>
          <cell r="AK2043">
            <v>97.06</v>
          </cell>
          <cell r="AL2043">
            <v>0</v>
          </cell>
        </row>
        <row r="2044">
          <cell r="E2044" t="str">
            <v>D10-322PH</v>
          </cell>
          <cell r="F2044" t="str">
            <v>台</v>
          </cell>
          <cell r="G2044">
            <v>0</v>
          </cell>
          <cell r="H2044">
            <v>10700</v>
          </cell>
          <cell r="I2044">
            <v>0</v>
          </cell>
          <cell r="J2044">
            <v>10700</v>
          </cell>
          <cell r="K2044">
            <v>0</v>
          </cell>
          <cell r="L2044">
            <v>10700</v>
          </cell>
          <cell r="M2044">
            <v>0</v>
          </cell>
          <cell r="N2044">
            <v>10700</v>
          </cell>
          <cell r="O2044">
            <v>0</v>
          </cell>
          <cell r="P2044">
            <v>10700</v>
          </cell>
          <cell r="Q2044">
            <v>0</v>
          </cell>
          <cell r="R2044">
            <v>10700</v>
          </cell>
          <cell r="S2044">
            <v>0</v>
          </cell>
          <cell r="T2044">
            <v>10700</v>
          </cell>
          <cell r="U2044">
            <v>0</v>
          </cell>
          <cell r="V2044">
            <v>10700</v>
          </cell>
          <cell r="W2044">
            <v>0</v>
          </cell>
          <cell r="X2044">
            <v>10700</v>
          </cell>
          <cell r="Y2044">
            <v>0</v>
          </cell>
          <cell r="Z2044">
            <v>10700</v>
          </cell>
          <cell r="AA2044">
            <v>0</v>
          </cell>
          <cell r="AB2044">
            <v>0</v>
          </cell>
          <cell r="AC2044">
            <v>0</v>
          </cell>
          <cell r="AD2044">
            <v>0.252</v>
          </cell>
          <cell r="AE2044">
            <v>0</v>
          </cell>
          <cell r="AF2044">
            <v>0</v>
          </cell>
          <cell r="AG2044">
            <v>9900</v>
          </cell>
          <cell r="AH2044">
            <v>96</v>
          </cell>
          <cell r="AI2044">
            <v>0.98899999999999999</v>
          </cell>
          <cell r="AJ2044">
            <v>1</v>
          </cell>
          <cell r="AK2044">
            <v>97.06</v>
          </cell>
          <cell r="AL2044">
            <v>0</v>
          </cell>
        </row>
        <row r="2045">
          <cell r="E2045" t="str">
            <v>D10-322PX</v>
          </cell>
          <cell r="F2045" t="str">
            <v>台</v>
          </cell>
          <cell r="G2045">
            <v>0</v>
          </cell>
          <cell r="H2045">
            <v>11700</v>
          </cell>
          <cell r="I2045">
            <v>0</v>
          </cell>
          <cell r="J2045">
            <v>11700</v>
          </cell>
          <cell r="K2045">
            <v>0</v>
          </cell>
          <cell r="L2045">
            <v>11700</v>
          </cell>
          <cell r="M2045">
            <v>0</v>
          </cell>
          <cell r="N2045">
            <v>11700</v>
          </cell>
          <cell r="O2045">
            <v>0</v>
          </cell>
          <cell r="P2045">
            <v>11700</v>
          </cell>
          <cell r="Q2045">
            <v>0</v>
          </cell>
          <cell r="R2045">
            <v>11700</v>
          </cell>
          <cell r="S2045">
            <v>0</v>
          </cell>
          <cell r="T2045">
            <v>11700</v>
          </cell>
          <cell r="U2045">
            <v>0</v>
          </cell>
          <cell r="V2045">
            <v>11700</v>
          </cell>
          <cell r="W2045">
            <v>0</v>
          </cell>
          <cell r="X2045">
            <v>11700</v>
          </cell>
          <cell r="Y2045">
            <v>0</v>
          </cell>
          <cell r="Z2045">
            <v>11700</v>
          </cell>
          <cell r="AA2045">
            <v>0</v>
          </cell>
          <cell r="AB2045">
            <v>0</v>
          </cell>
          <cell r="AC2045">
            <v>0</v>
          </cell>
          <cell r="AD2045">
            <v>0.252</v>
          </cell>
          <cell r="AE2045">
            <v>0</v>
          </cell>
          <cell r="AF2045">
            <v>0</v>
          </cell>
          <cell r="AG2045">
            <v>9900</v>
          </cell>
          <cell r="AH2045">
            <v>96</v>
          </cell>
          <cell r="AI2045">
            <v>0.98899999999999999</v>
          </cell>
          <cell r="AJ2045">
            <v>1</v>
          </cell>
          <cell r="AK2045">
            <v>97.06</v>
          </cell>
          <cell r="AL2045">
            <v>0</v>
          </cell>
        </row>
        <row r="2046">
          <cell r="E2046" t="str">
            <v>D10-322PK</v>
          </cell>
          <cell r="F2046" t="str">
            <v>台</v>
          </cell>
          <cell r="G2046">
            <v>0</v>
          </cell>
          <cell r="H2046">
            <v>11700</v>
          </cell>
          <cell r="I2046">
            <v>0</v>
          </cell>
          <cell r="J2046">
            <v>11700</v>
          </cell>
          <cell r="K2046">
            <v>0</v>
          </cell>
          <cell r="L2046">
            <v>11700</v>
          </cell>
          <cell r="M2046">
            <v>0</v>
          </cell>
          <cell r="N2046">
            <v>11700</v>
          </cell>
          <cell r="O2046">
            <v>0</v>
          </cell>
          <cell r="P2046">
            <v>11700</v>
          </cell>
          <cell r="Q2046">
            <v>0</v>
          </cell>
          <cell r="R2046">
            <v>11700</v>
          </cell>
          <cell r="S2046">
            <v>0</v>
          </cell>
          <cell r="T2046">
            <v>11700</v>
          </cell>
          <cell r="U2046">
            <v>0</v>
          </cell>
          <cell r="V2046">
            <v>11700</v>
          </cell>
          <cell r="W2046">
            <v>0</v>
          </cell>
          <cell r="X2046">
            <v>11700</v>
          </cell>
          <cell r="Y2046">
            <v>0</v>
          </cell>
          <cell r="Z2046">
            <v>11700</v>
          </cell>
          <cell r="AA2046">
            <v>0</v>
          </cell>
          <cell r="AB2046">
            <v>0</v>
          </cell>
          <cell r="AC2046">
            <v>0</v>
          </cell>
          <cell r="AD2046">
            <v>0.252</v>
          </cell>
          <cell r="AE2046">
            <v>0</v>
          </cell>
          <cell r="AF2046">
            <v>0</v>
          </cell>
          <cell r="AG2046">
            <v>9900</v>
          </cell>
          <cell r="AH2046">
            <v>96</v>
          </cell>
          <cell r="AI2046">
            <v>0.98899999999999999</v>
          </cell>
          <cell r="AJ2046">
            <v>1</v>
          </cell>
          <cell r="AK2046">
            <v>97.06</v>
          </cell>
          <cell r="AL2046">
            <v>0</v>
          </cell>
        </row>
        <row r="2047">
          <cell r="E2047" t="str">
            <v>D11-323PR</v>
          </cell>
          <cell r="F2047" t="str">
            <v>台</v>
          </cell>
          <cell r="G2047">
            <v>0</v>
          </cell>
          <cell r="H2047">
            <v>17000</v>
          </cell>
          <cell r="I2047">
            <v>0</v>
          </cell>
          <cell r="J2047">
            <v>17000</v>
          </cell>
          <cell r="K2047">
            <v>0</v>
          </cell>
          <cell r="L2047">
            <v>17000</v>
          </cell>
          <cell r="M2047">
            <v>0</v>
          </cell>
          <cell r="N2047">
            <v>17000</v>
          </cell>
          <cell r="O2047">
            <v>0</v>
          </cell>
          <cell r="P2047">
            <v>17000</v>
          </cell>
          <cell r="Q2047">
            <v>0</v>
          </cell>
          <cell r="R2047">
            <v>17000</v>
          </cell>
          <cell r="S2047">
            <v>0</v>
          </cell>
          <cell r="T2047">
            <v>17000</v>
          </cell>
          <cell r="U2047">
            <v>0</v>
          </cell>
          <cell r="V2047">
            <v>17000</v>
          </cell>
          <cell r="W2047">
            <v>0</v>
          </cell>
          <cell r="X2047">
            <v>17000</v>
          </cell>
          <cell r="Y2047">
            <v>0</v>
          </cell>
          <cell r="Z2047">
            <v>17000</v>
          </cell>
          <cell r="AA2047">
            <v>0</v>
          </cell>
          <cell r="AB2047">
            <v>0</v>
          </cell>
          <cell r="AC2047">
            <v>0</v>
          </cell>
          <cell r="AD2047">
            <v>0.252</v>
          </cell>
          <cell r="AE2047">
            <v>0</v>
          </cell>
          <cell r="AF2047">
            <v>0</v>
          </cell>
          <cell r="AG2047">
            <v>8700</v>
          </cell>
          <cell r="AH2047">
            <v>144</v>
          </cell>
          <cell r="AI2047">
            <v>0.98</v>
          </cell>
          <cell r="AJ2047">
            <v>1</v>
          </cell>
          <cell r="AK2047">
            <v>146.93</v>
          </cell>
          <cell r="AL2047">
            <v>0</v>
          </cell>
        </row>
        <row r="2048">
          <cell r="E2048" t="str">
            <v>D11-454PN</v>
          </cell>
          <cell r="F2048" t="str">
            <v>台</v>
          </cell>
          <cell r="G2048">
            <v>0</v>
          </cell>
          <cell r="H2048">
            <v>26700</v>
          </cell>
          <cell r="I2048">
            <v>0</v>
          </cell>
          <cell r="J2048">
            <v>26700</v>
          </cell>
          <cell r="K2048">
            <v>0</v>
          </cell>
          <cell r="L2048">
            <v>26700</v>
          </cell>
          <cell r="M2048">
            <v>0</v>
          </cell>
          <cell r="N2048">
            <v>26700</v>
          </cell>
          <cell r="O2048">
            <v>0</v>
          </cell>
          <cell r="P2048">
            <v>26700</v>
          </cell>
          <cell r="Q2048">
            <v>0</v>
          </cell>
          <cell r="R2048">
            <v>26700</v>
          </cell>
          <cell r="S2048">
            <v>0</v>
          </cell>
          <cell r="T2048">
            <v>26700</v>
          </cell>
          <cell r="U2048">
            <v>0</v>
          </cell>
          <cell r="V2048">
            <v>26700</v>
          </cell>
          <cell r="W2048">
            <v>0</v>
          </cell>
          <cell r="X2048">
            <v>26700</v>
          </cell>
          <cell r="Y2048">
            <v>0</v>
          </cell>
          <cell r="Z2048">
            <v>26700</v>
          </cell>
          <cell r="AA2048">
            <v>0</v>
          </cell>
          <cell r="AB2048">
            <v>0</v>
          </cell>
          <cell r="AC2048">
            <v>0</v>
          </cell>
          <cell r="AD2048">
            <v>0.46100000000000002</v>
          </cell>
          <cell r="AE2048">
            <v>0</v>
          </cell>
          <cell r="AF2048">
            <v>0</v>
          </cell>
          <cell r="AG2048">
            <v>17400</v>
          </cell>
          <cell r="AH2048">
            <v>192</v>
          </cell>
          <cell r="AI2048">
            <v>0.97</v>
          </cell>
          <cell r="AJ2048">
            <v>1</v>
          </cell>
          <cell r="AK2048">
            <v>197.93</v>
          </cell>
          <cell r="AL2048">
            <v>0</v>
          </cell>
        </row>
        <row r="2049">
          <cell r="E2049" t="str">
            <v>D11-323PR</v>
          </cell>
          <cell r="F2049" t="str">
            <v>台</v>
          </cell>
          <cell r="G2049">
            <v>0</v>
          </cell>
          <cell r="H2049">
            <v>17700</v>
          </cell>
          <cell r="I2049">
            <v>0</v>
          </cell>
          <cell r="J2049">
            <v>17700</v>
          </cell>
          <cell r="K2049">
            <v>0</v>
          </cell>
          <cell r="L2049">
            <v>17700</v>
          </cell>
          <cell r="M2049">
            <v>0</v>
          </cell>
          <cell r="N2049">
            <v>17700</v>
          </cell>
          <cell r="O2049">
            <v>0</v>
          </cell>
          <cell r="P2049">
            <v>17700</v>
          </cell>
          <cell r="Q2049">
            <v>0</v>
          </cell>
          <cell r="R2049">
            <v>17700</v>
          </cell>
          <cell r="S2049">
            <v>0</v>
          </cell>
          <cell r="T2049">
            <v>17700</v>
          </cell>
          <cell r="U2049">
            <v>0</v>
          </cell>
          <cell r="V2049">
            <v>17700</v>
          </cell>
          <cell r="W2049">
            <v>0</v>
          </cell>
          <cell r="X2049">
            <v>17700</v>
          </cell>
          <cell r="Y2049">
            <v>0</v>
          </cell>
          <cell r="Z2049">
            <v>17700</v>
          </cell>
          <cell r="AA2049">
            <v>0</v>
          </cell>
          <cell r="AB2049">
            <v>0</v>
          </cell>
          <cell r="AC2049">
            <v>0</v>
          </cell>
          <cell r="AD2049">
            <v>0.313</v>
          </cell>
          <cell r="AE2049">
            <v>0</v>
          </cell>
          <cell r="AF2049">
            <v>0</v>
          </cell>
          <cell r="AG2049">
            <v>8700</v>
          </cell>
          <cell r="AH2049">
            <v>144</v>
          </cell>
          <cell r="AI2049">
            <v>0.98</v>
          </cell>
          <cell r="AJ2049">
            <v>1</v>
          </cell>
          <cell r="AK2049">
            <v>146.93</v>
          </cell>
          <cell r="AL2049">
            <v>0</v>
          </cell>
        </row>
        <row r="2050">
          <cell r="E2050" t="str">
            <v>D11-454PN</v>
          </cell>
          <cell r="F2050" t="str">
            <v>台</v>
          </cell>
          <cell r="G2050">
            <v>0</v>
          </cell>
          <cell r="H2050">
            <v>27800</v>
          </cell>
          <cell r="I2050">
            <v>0</v>
          </cell>
          <cell r="J2050">
            <v>27800</v>
          </cell>
          <cell r="K2050">
            <v>0</v>
          </cell>
          <cell r="L2050">
            <v>27800</v>
          </cell>
          <cell r="M2050">
            <v>0</v>
          </cell>
          <cell r="N2050">
            <v>27800</v>
          </cell>
          <cell r="O2050">
            <v>0</v>
          </cell>
          <cell r="P2050">
            <v>27800</v>
          </cell>
          <cell r="Q2050">
            <v>0</v>
          </cell>
          <cell r="R2050">
            <v>27800</v>
          </cell>
          <cell r="S2050">
            <v>0</v>
          </cell>
          <cell r="T2050">
            <v>27800</v>
          </cell>
          <cell r="U2050">
            <v>0</v>
          </cell>
          <cell r="V2050">
            <v>27800</v>
          </cell>
          <cell r="W2050">
            <v>0</v>
          </cell>
          <cell r="X2050">
            <v>27800</v>
          </cell>
          <cell r="Y2050">
            <v>0</v>
          </cell>
          <cell r="Z2050">
            <v>27800</v>
          </cell>
          <cell r="AA2050">
            <v>0</v>
          </cell>
          <cell r="AB2050">
            <v>0</v>
          </cell>
          <cell r="AC2050">
            <v>0</v>
          </cell>
          <cell r="AD2050">
            <v>0.46100000000000002</v>
          </cell>
          <cell r="AE2050">
            <v>0</v>
          </cell>
          <cell r="AF2050">
            <v>0</v>
          </cell>
          <cell r="AG2050">
            <v>17400</v>
          </cell>
          <cell r="AH2050">
            <v>192</v>
          </cell>
          <cell r="AI2050">
            <v>0.97</v>
          </cell>
          <cell r="AJ2050">
            <v>1</v>
          </cell>
          <cell r="AK2050">
            <v>197.93</v>
          </cell>
          <cell r="AL2050">
            <v>0</v>
          </cell>
        </row>
        <row r="2051">
          <cell r="E2051" t="str">
            <v>D12-323PR</v>
          </cell>
          <cell r="F2051" t="str">
            <v>台</v>
          </cell>
          <cell r="G2051">
            <v>0</v>
          </cell>
          <cell r="H2051">
            <v>13200</v>
          </cell>
          <cell r="I2051">
            <v>0</v>
          </cell>
          <cell r="J2051">
            <v>13200</v>
          </cell>
          <cell r="K2051">
            <v>0</v>
          </cell>
          <cell r="L2051">
            <v>13200</v>
          </cell>
          <cell r="M2051">
            <v>0</v>
          </cell>
          <cell r="N2051">
            <v>13200</v>
          </cell>
          <cell r="O2051">
            <v>0</v>
          </cell>
          <cell r="P2051">
            <v>13200</v>
          </cell>
          <cell r="Q2051">
            <v>0</v>
          </cell>
          <cell r="R2051">
            <v>13200</v>
          </cell>
          <cell r="S2051">
            <v>0</v>
          </cell>
          <cell r="T2051">
            <v>13200</v>
          </cell>
          <cell r="U2051">
            <v>0</v>
          </cell>
          <cell r="V2051">
            <v>13200</v>
          </cell>
          <cell r="W2051">
            <v>0</v>
          </cell>
          <cell r="X2051">
            <v>13200</v>
          </cell>
          <cell r="Y2051">
            <v>0</v>
          </cell>
          <cell r="Z2051">
            <v>13200</v>
          </cell>
          <cell r="AA2051">
            <v>0</v>
          </cell>
          <cell r="AB2051">
            <v>0</v>
          </cell>
          <cell r="AC2051">
            <v>0</v>
          </cell>
          <cell r="AD2051">
            <v>0.313</v>
          </cell>
          <cell r="AE2051">
            <v>0</v>
          </cell>
          <cell r="AF2051">
            <v>0</v>
          </cell>
          <cell r="AG2051">
            <v>8700</v>
          </cell>
          <cell r="AH2051">
            <v>144</v>
          </cell>
          <cell r="AI2051">
            <v>0.98</v>
          </cell>
          <cell r="AJ2051">
            <v>1</v>
          </cell>
          <cell r="AK2051">
            <v>146.93</v>
          </cell>
          <cell r="AL2051">
            <v>0</v>
          </cell>
        </row>
        <row r="2052">
          <cell r="E2052" t="str">
            <v>D12-323PW</v>
          </cell>
          <cell r="F2052" t="str">
            <v>台</v>
          </cell>
          <cell r="G2052">
            <v>0</v>
          </cell>
          <cell r="H2052">
            <v>15300</v>
          </cell>
          <cell r="I2052">
            <v>0</v>
          </cell>
          <cell r="J2052">
            <v>15300</v>
          </cell>
          <cell r="K2052">
            <v>0</v>
          </cell>
          <cell r="L2052">
            <v>15300</v>
          </cell>
          <cell r="M2052">
            <v>0</v>
          </cell>
          <cell r="N2052">
            <v>15300</v>
          </cell>
          <cell r="O2052">
            <v>0</v>
          </cell>
          <cell r="P2052">
            <v>15300</v>
          </cell>
          <cell r="Q2052">
            <v>0</v>
          </cell>
          <cell r="R2052">
            <v>15300</v>
          </cell>
          <cell r="S2052">
            <v>0</v>
          </cell>
          <cell r="T2052">
            <v>15300</v>
          </cell>
          <cell r="U2052">
            <v>0</v>
          </cell>
          <cell r="V2052">
            <v>15300</v>
          </cell>
          <cell r="W2052">
            <v>0</v>
          </cell>
          <cell r="X2052">
            <v>15300</v>
          </cell>
          <cell r="Y2052">
            <v>0</v>
          </cell>
          <cell r="Z2052">
            <v>15300</v>
          </cell>
          <cell r="AA2052">
            <v>0</v>
          </cell>
          <cell r="AB2052">
            <v>0</v>
          </cell>
          <cell r="AC2052">
            <v>0</v>
          </cell>
          <cell r="AD2052">
            <v>0.313</v>
          </cell>
          <cell r="AE2052">
            <v>0</v>
          </cell>
          <cell r="AF2052">
            <v>0</v>
          </cell>
          <cell r="AG2052">
            <v>8700</v>
          </cell>
          <cell r="AH2052">
            <v>144</v>
          </cell>
          <cell r="AI2052">
            <v>0.98</v>
          </cell>
          <cell r="AJ2052">
            <v>1</v>
          </cell>
          <cell r="AK2052">
            <v>146.93</v>
          </cell>
          <cell r="AL2052">
            <v>0</v>
          </cell>
        </row>
        <row r="2053">
          <cell r="E2053" t="str">
            <v>D12-454PN</v>
          </cell>
          <cell r="F2053" t="str">
            <v>台</v>
          </cell>
          <cell r="G2053">
            <v>0</v>
          </cell>
          <cell r="H2053">
            <v>23000</v>
          </cell>
          <cell r="I2053">
            <v>0</v>
          </cell>
          <cell r="J2053">
            <v>23000</v>
          </cell>
          <cell r="K2053">
            <v>0</v>
          </cell>
          <cell r="L2053">
            <v>23000</v>
          </cell>
          <cell r="M2053">
            <v>0</v>
          </cell>
          <cell r="N2053">
            <v>23000</v>
          </cell>
          <cell r="O2053">
            <v>0</v>
          </cell>
          <cell r="P2053">
            <v>23000</v>
          </cell>
          <cell r="Q2053">
            <v>0</v>
          </cell>
          <cell r="R2053">
            <v>23000</v>
          </cell>
          <cell r="S2053">
            <v>0</v>
          </cell>
          <cell r="T2053">
            <v>23000</v>
          </cell>
          <cell r="U2053">
            <v>0</v>
          </cell>
          <cell r="V2053">
            <v>23000</v>
          </cell>
          <cell r="W2053">
            <v>0</v>
          </cell>
          <cell r="X2053">
            <v>23000</v>
          </cell>
          <cell r="Y2053">
            <v>0</v>
          </cell>
          <cell r="Z2053">
            <v>23000</v>
          </cell>
          <cell r="AA2053">
            <v>0</v>
          </cell>
          <cell r="AB2053">
            <v>0</v>
          </cell>
          <cell r="AC2053">
            <v>0</v>
          </cell>
          <cell r="AD2053">
            <v>0.46100000000000002</v>
          </cell>
          <cell r="AE2053">
            <v>0</v>
          </cell>
          <cell r="AF2053">
            <v>0</v>
          </cell>
          <cell r="AG2053">
            <v>17400</v>
          </cell>
          <cell r="AH2053">
            <v>192</v>
          </cell>
          <cell r="AI2053">
            <v>0.97</v>
          </cell>
          <cell r="AJ2053">
            <v>1</v>
          </cell>
          <cell r="AK2053">
            <v>197.93</v>
          </cell>
          <cell r="AL2053">
            <v>0</v>
          </cell>
        </row>
        <row r="2054">
          <cell r="E2054" t="str">
            <v>■Ｈｆ開放埋込形</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row>
        <row r="2055">
          <cell r="E2055" t="str">
            <v>A15-162PX</v>
          </cell>
          <cell r="F2055" t="str">
            <v>台</v>
          </cell>
          <cell r="G2055">
            <v>0</v>
          </cell>
          <cell r="H2055">
            <v>10900</v>
          </cell>
          <cell r="I2055">
            <v>0</v>
          </cell>
          <cell r="J2055">
            <v>10900</v>
          </cell>
          <cell r="K2055">
            <v>0</v>
          </cell>
          <cell r="L2055">
            <v>10900</v>
          </cell>
          <cell r="M2055">
            <v>0</v>
          </cell>
          <cell r="N2055">
            <v>10900</v>
          </cell>
          <cell r="O2055">
            <v>0</v>
          </cell>
          <cell r="P2055">
            <v>10900</v>
          </cell>
          <cell r="Q2055">
            <v>0</v>
          </cell>
          <cell r="R2055">
            <v>10900</v>
          </cell>
          <cell r="S2055">
            <v>0</v>
          </cell>
          <cell r="T2055">
            <v>10900</v>
          </cell>
          <cell r="U2055">
            <v>0</v>
          </cell>
          <cell r="V2055">
            <v>10900</v>
          </cell>
          <cell r="W2055">
            <v>0</v>
          </cell>
          <cell r="X2055">
            <v>10900</v>
          </cell>
          <cell r="Y2055">
            <v>0</v>
          </cell>
          <cell r="Z2055">
            <v>10900</v>
          </cell>
          <cell r="AA2055">
            <v>0</v>
          </cell>
          <cell r="AB2055">
            <v>0</v>
          </cell>
          <cell r="AC2055">
            <v>0</v>
          </cell>
          <cell r="AD2055">
            <v>0.252</v>
          </cell>
          <cell r="AE2055">
            <v>0</v>
          </cell>
          <cell r="AF2055">
            <v>0</v>
          </cell>
          <cell r="AG2055">
            <v>4200</v>
          </cell>
          <cell r="AH2055">
            <v>50</v>
          </cell>
          <cell r="AI2055">
            <v>0.98</v>
          </cell>
          <cell r="AJ2055">
            <v>1</v>
          </cell>
          <cell r="AK2055">
            <v>51.02</v>
          </cell>
          <cell r="AL2055">
            <v>0</v>
          </cell>
        </row>
        <row r="2056">
          <cell r="E2056" t="str">
            <v>A15-321PN</v>
          </cell>
          <cell r="F2056" t="str">
            <v>台</v>
          </cell>
          <cell r="G2056">
            <v>0</v>
          </cell>
          <cell r="H2056">
            <v>7240</v>
          </cell>
          <cell r="I2056">
            <v>0</v>
          </cell>
          <cell r="J2056">
            <v>7240</v>
          </cell>
          <cell r="K2056">
            <v>0</v>
          </cell>
          <cell r="L2056">
            <v>7240</v>
          </cell>
          <cell r="M2056">
            <v>0</v>
          </cell>
          <cell r="N2056">
            <v>7240</v>
          </cell>
          <cell r="O2056">
            <v>0</v>
          </cell>
          <cell r="P2056">
            <v>7240</v>
          </cell>
          <cell r="Q2056">
            <v>0</v>
          </cell>
          <cell r="R2056">
            <v>7240</v>
          </cell>
          <cell r="S2056">
            <v>0</v>
          </cell>
          <cell r="T2056">
            <v>7240</v>
          </cell>
          <cell r="U2056">
            <v>0</v>
          </cell>
          <cell r="V2056">
            <v>7240</v>
          </cell>
          <cell r="W2056">
            <v>0</v>
          </cell>
          <cell r="X2056">
            <v>7240</v>
          </cell>
          <cell r="Y2056">
            <v>0</v>
          </cell>
          <cell r="Z2056">
            <v>7240</v>
          </cell>
          <cell r="AA2056">
            <v>0</v>
          </cell>
          <cell r="AB2056">
            <v>0</v>
          </cell>
          <cell r="AC2056">
            <v>0</v>
          </cell>
          <cell r="AD2056">
            <v>0.20899999999999999</v>
          </cell>
          <cell r="AE2056">
            <v>0</v>
          </cell>
          <cell r="AF2056">
            <v>0</v>
          </cell>
          <cell r="AG2056">
            <v>4950</v>
          </cell>
          <cell r="AH2056">
            <v>48</v>
          </cell>
          <cell r="AI2056">
            <v>0.97899999999999998</v>
          </cell>
          <cell r="AJ2056">
            <v>1</v>
          </cell>
          <cell r="AK2056">
            <v>49.02</v>
          </cell>
          <cell r="AL2056">
            <v>0</v>
          </cell>
        </row>
        <row r="2057">
          <cell r="E2057" t="str">
            <v>A15-321PH</v>
          </cell>
          <cell r="F2057" t="str">
            <v>台</v>
          </cell>
          <cell r="G2057">
            <v>0</v>
          </cell>
          <cell r="H2057">
            <v>9280</v>
          </cell>
          <cell r="I2057">
            <v>0</v>
          </cell>
          <cell r="J2057">
            <v>9280</v>
          </cell>
          <cell r="K2057">
            <v>0</v>
          </cell>
          <cell r="L2057">
            <v>9280</v>
          </cell>
          <cell r="M2057">
            <v>0</v>
          </cell>
          <cell r="N2057">
            <v>9280</v>
          </cell>
          <cell r="O2057">
            <v>0</v>
          </cell>
          <cell r="P2057">
            <v>9280</v>
          </cell>
          <cell r="Q2057">
            <v>0</v>
          </cell>
          <cell r="R2057">
            <v>9280</v>
          </cell>
          <cell r="S2057">
            <v>0</v>
          </cell>
          <cell r="T2057">
            <v>9280</v>
          </cell>
          <cell r="U2057">
            <v>0</v>
          </cell>
          <cell r="V2057">
            <v>9280</v>
          </cell>
          <cell r="W2057">
            <v>0</v>
          </cell>
          <cell r="X2057">
            <v>9280</v>
          </cell>
          <cell r="Y2057">
            <v>0</v>
          </cell>
          <cell r="Z2057">
            <v>9280</v>
          </cell>
          <cell r="AA2057">
            <v>0</v>
          </cell>
          <cell r="AB2057">
            <v>0</v>
          </cell>
          <cell r="AC2057">
            <v>0</v>
          </cell>
          <cell r="AD2057">
            <v>0.313</v>
          </cell>
          <cell r="AE2057">
            <v>0</v>
          </cell>
          <cell r="AF2057">
            <v>0</v>
          </cell>
          <cell r="AG2057">
            <v>4950</v>
          </cell>
          <cell r="AH2057">
            <v>48</v>
          </cell>
          <cell r="AI2057">
            <v>0.97899999999999998</v>
          </cell>
          <cell r="AJ2057">
            <v>1</v>
          </cell>
          <cell r="AK2057">
            <v>49.02</v>
          </cell>
          <cell r="AL2057">
            <v>0</v>
          </cell>
        </row>
        <row r="2058">
          <cell r="E2058" t="str">
            <v>A15-321PX</v>
          </cell>
          <cell r="F2058" t="str">
            <v>台</v>
          </cell>
          <cell r="G2058">
            <v>0</v>
          </cell>
          <cell r="H2058">
            <v>10400</v>
          </cell>
          <cell r="I2058">
            <v>0</v>
          </cell>
          <cell r="J2058">
            <v>10400</v>
          </cell>
          <cell r="K2058">
            <v>0</v>
          </cell>
          <cell r="L2058">
            <v>10400</v>
          </cell>
          <cell r="M2058">
            <v>0</v>
          </cell>
          <cell r="N2058">
            <v>10400</v>
          </cell>
          <cell r="O2058">
            <v>0</v>
          </cell>
          <cell r="P2058">
            <v>10400</v>
          </cell>
          <cell r="Q2058">
            <v>0</v>
          </cell>
          <cell r="R2058">
            <v>10400</v>
          </cell>
          <cell r="S2058">
            <v>0</v>
          </cell>
          <cell r="T2058">
            <v>10400</v>
          </cell>
          <cell r="U2058">
            <v>0</v>
          </cell>
          <cell r="V2058">
            <v>10400</v>
          </cell>
          <cell r="W2058">
            <v>0</v>
          </cell>
          <cell r="X2058">
            <v>10400</v>
          </cell>
          <cell r="Y2058">
            <v>0</v>
          </cell>
          <cell r="Z2058">
            <v>10400</v>
          </cell>
          <cell r="AA2058">
            <v>0</v>
          </cell>
          <cell r="AB2058">
            <v>0</v>
          </cell>
          <cell r="AC2058">
            <v>0</v>
          </cell>
          <cell r="AD2058">
            <v>0.313</v>
          </cell>
          <cell r="AE2058">
            <v>0</v>
          </cell>
          <cell r="AF2058">
            <v>0</v>
          </cell>
          <cell r="AG2058">
            <v>4950</v>
          </cell>
          <cell r="AH2058">
            <v>48</v>
          </cell>
          <cell r="AI2058">
            <v>0.97899999999999998</v>
          </cell>
          <cell r="AJ2058">
            <v>1</v>
          </cell>
          <cell r="AK2058">
            <v>49.02</v>
          </cell>
          <cell r="AL2058">
            <v>0</v>
          </cell>
        </row>
        <row r="2059">
          <cell r="E2059" t="str">
            <v>A15-321PK</v>
          </cell>
          <cell r="F2059" t="str">
            <v>台</v>
          </cell>
          <cell r="G2059">
            <v>0</v>
          </cell>
          <cell r="H2059">
            <v>10400</v>
          </cell>
          <cell r="I2059">
            <v>0</v>
          </cell>
          <cell r="J2059">
            <v>10400</v>
          </cell>
          <cell r="K2059">
            <v>0</v>
          </cell>
          <cell r="L2059">
            <v>10400</v>
          </cell>
          <cell r="M2059">
            <v>0</v>
          </cell>
          <cell r="N2059">
            <v>10400</v>
          </cell>
          <cell r="O2059">
            <v>0</v>
          </cell>
          <cell r="P2059">
            <v>10400</v>
          </cell>
          <cell r="Q2059">
            <v>0</v>
          </cell>
          <cell r="R2059">
            <v>10400</v>
          </cell>
          <cell r="S2059">
            <v>0</v>
          </cell>
          <cell r="T2059">
            <v>10400</v>
          </cell>
          <cell r="U2059">
            <v>0</v>
          </cell>
          <cell r="V2059">
            <v>10400</v>
          </cell>
          <cell r="W2059">
            <v>0</v>
          </cell>
          <cell r="X2059">
            <v>10400</v>
          </cell>
          <cell r="Y2059">
            <v>0</v>
          </cell>
          <cell r="Z2059">
            <v>10400</v>
          </cell>
          <cell r="AA2059">
            <v>0</v>
          </cell>
          <cell r="AB2059">
            <v>0</v>
          </cell>
          <cell r="AC2059">
            <v>0</v>
          </cell>
          <cell r="AD2059">
            <v>0.313</v>
          </cell>
          <cell r="AE2059">
            <v>0</v>
          </cell>
          <cell r="AF2059">
            <v>0</v>
          </cell>
          <cell r="AG2059">
            <v>4950</v>
          </cell>
          <cell r="AH2059">
            <v>48</v>
          </cell>
          <cell r="AI2059">
            <v>0.97899999999999998</v>
          </cell>
          <cell r="AJ2059">
            <v>1</v>
          </cell>
          <cell r="AK2059">
            <v>49.02</v>
          </cell>
          <cell r="AL2059">
            <v>0</v>
          </cell>
        </row>
        <row r="2060">
          <cell r="E2060" t="str">
            <v>A15-322PN</v>
          </cell>
          <cell r="F2060" t="str">
            <v>台</v>
          </cell>
          <cell r="G2060">
            <v>0</v>
          </cell>
          <cell r="H2060">
            <v>8630</v>
          </cell>
          <cell r="I2060">
            <v>0</v>
          </cell>
          <cell r="J2060">
            <v>8630</v>
          </cell>
          <cell r="K2060">
            <v>0</v>
          </cell>
          <cell r="L2060">
            <v>8630</v>
          </cell>
          <cell r="M2060">
            <v>0</v>
          </cell>
          <cell r="N2060">
            <v>8630</v>
          </cell>
          <cell r="O2060">
            <v>0</v>
          </cell>
          <cell r="P2060">
            <v>8630</v>
          </cell>
          <cell r="Q2060">
            <v>0</v>
          </cell>
          <cell r="R2060">
            <v>8630</v>
          </cell>
          <cell r="S2060">
            <v>0</v>
          </cell>
          <cell r="T2060">
            <v>8630</v>
          </cell>
          <cell r="U2060">
            <v>0</v>
          </cell>
          <cell r="V2060">
            <v>8630</v>
          </cell>
          <cell r="W2060">
            <v>0</v>
          </cell>
          <cell r="X2060">
            <v>8630</v>
          </cell>
          <cell r="Y2060">
            <v>0</v>
          </cell>
          <cell r="Z2060">
            <v>8630</v>
          </cell>
          <cell r="AA2060">
            <v>0</v>
          </cell>
          <cell r="AB2060">
            <v>0</v>
          </cell>
          <cell r="AC2060">
            <v>0</v>
          </cell>
          <cell r="AD2060">
            <v>0.39100000000000001</v>
          </cell>
          <cell r="AE2060">
            <v>0</v>
          </cell>
          <cell r="AF2060">
            <v>0</v>
          </cell>
          <cell r="AG2060">
            <v>9900</v>
          </cell>
          <cell r="AH2060">
            <v>96</v>
          </cell>
          <cell r="AI2060">
            <v>0.98899999999999999</v>
          </cell>
          <cell r="AJ2060">
            <v>1</v>
          </cell>
          <cell r="AK2060">
            <v>97.06</v>
          </cell>
          <cell r="AL2060">
            <v>0</v>
          </cell>
        </row>
        <row r="2061">
          <cell r="E2061" t="str">
            <v>A15-322PH</v>
          </cell>
          <cell r="F2061" t="str">
            <v>台</v>
          </cell>
          <cell r="G2061">
            <v>0</v>
          </cell>
          <cell r="H2061">
            <v>10000</v>
          </cell>
          <cell r="I2061">
            <v>0</v>
          </cell>
          <cell r="J2061">
            <v>10000</v>
          </cell>
          <cell r="K2061">
            <v>0</v>
          </cell>
          <cell r="L2061">
            <v>10000</v>
          </cell>
          <cell r="M2061">
            <v>0</v>
          </cell>
          <cell r="N2061">
            <v>10000</v>
          </cell>
          <cell r="O2061">
            <v>0</v>
          </cell>
          <cell r="P2061">
            <v>10000</v>
          </cell>
          <cell r="Q2061">
            <v>0</v>
          </cell>
          <cell r="R2061">
            <v>10000</v>
          </cell>
          <cell r="S2061">
            <v>0</v>
          </cell>
          <cell r="T2061">
            <v>10000</v>
          </cell>
          <cell r="U2061">
            <v>0</v>
          </cell>
          <cell r="V2061">
            <v>10000</v>
          </cell>
          <cell r="W2061">
            <v>0</v>
          </cell>
          <cell r="X2061">
            <v>10000</v>
          </cell>
          <cell r="Y2061">
            <v>0</v>
          </cell>
          <cell r="Z2061">
            <v>10000</v>
          </cell>
          <cell r="AA2061">
            <v>0</v>
          </cell>
          <cell r="AB2061">
            <v>0</v>
          </cell>
          <cell r="AC2061">
            <v>0</v>
          </cell>
          <cell r="AD2061">
            <v>0.39100000000000001</v>
          </cell>
          <cell r="AE2061">
            <v>0</v>
          </cell>
          <cell r="AF2061">
            <v>0</v>
          </cell>
          <cell r="AG2061">
            <v>9900</v>
          </cell>
          <cell r="AH2061">
            <v>96</v>
          </cell>
          <cell r="AI2061">
            <v>0.98899999999999999</v>
          </cell>
          <cell r="AJ2061">
            <v>1</v>
          </cell>
          <cell r="AK2061">
            <v>97.06</v>
          </cell>
          <cell r="AL2061">
            <v>0</v>
          </cell>
        </row>
        <row r="2062">
          <cell r="E2062" t="str">
            <v>A15-322PX</v>
          </cell>
          <cell r="F2062" t="str">
            <v>台</v>
          </cell>
          <cell r="G2062">
            <v>0</v>
          </cell>
          <cell r="H2062">
            <v>11000</v>
          </cell>
          <cell r="I2062">
            <v>0</v>
          </cell>
          <cell r="J2062">
            <v>11000</v>
          </cell>
          <cell r="K2062">
            <v>0</v>
          </cell>
          <cell r="L2062">
            <v>11000</v>
          </cell>
          <cell r="M2062">
            <v>0</v>
          </cell>
          <cell r="N2062">
            <v>11000</v>
          </cell>
          <cell r="O2062">
            <v>0</v>
          </cell>
          <cell r="P2062">
            <v>11000</v>
          </cell>
          <cell r="Q2062">
            <v>0</v>
          </cell>
          <cell r="R2062">
            <v>11000</v>
          </cell>
          <cell r="S2062">
            <v>0</v>
          </cell>
          <cell r="T2062">
            <v>11000</v>
          </cell>
          <cell r="U2062">
            <v>0</v>
          </cell>
          <cell r="V2062">
            <v>11000</v>
          </cell>
          <cell r="W2062">
            <v>0</v>
          </cell>
          <cell r="X2062">
            <v>11000</v>
          </cell>
          <cell r="Y2062">
            <v>0</v>
          </cell>
          <cell r="Z2062">
            <v>11000</v>
          </cell>
          <cell r="AA2062">
            <v>0</v>
          </cell>
          <cell r="AB2062">
            <v>0</v>
          </cell>
          <cell r="AC2062">
            <v>0</v>
          </cell>
          <cell r="AD2062">
            <v>0.39100000000000001</v>
          </cell>
          <cell r="AE2062">
            <v>0</v>
          </cell>
          <cell r="AF2062">
            <v>0</v>
          </cell>
          <cell r="AG2062">
            <v>9900</v>
          </cell>
          <cell r="AH2062">
            <v>96</v>
          </cell>
          <cell r="AI2062">
            <v>0.98899999999999999</v>
          </cell>
          <cell r="AJ2062">
            <v>1</v>
          </cell>
          <cell r="AK2062">
            <v>97.06</v>
          </cell>
          <cell r="AL2062">
            <v>0</v>
          </cell>
        </row>
        <row r="2063">
          <cell r="E2063" t="str">
            <v>A15-322PZ</v>
          </cell>
          <cell r="F2063" t="str">
            <v>台</v>
          </cell>
          <cell r="G2063">
            <v>0</v>
          </cell>
          <cell r="H2063">
            <v>14100</v>
          </cell>
          <cell r="I2063">
            <v>0</v>
          </cell>
          <cell r="J2063">
            <v>14100</v>
          </cell>
          <cell r="K2063">
            <v>0</v>
          </cell>
          <cell r="L2063">
            <v>14100</v>
          </cell>
          <cell r="M2063">
            <v>0</v>
          </cell>
          <cell r="N2063">
            <v>14100</v>
          </cell>
          <cell r="O2063">
            <v>0</v>
          </cell>
          <cell r="P2063">
            <v>14100</v>
          </cell>
          <cell r="Q2063">
            <v>0</v>
          </cell>
          <cell r="R2063">
            <v>14100</v>
          </cell>
          <cell r="S2063">
            <v>0</v>
          </cell>
          <cell r="T2063">
            <v>14100</v>
          </cell>
          <cell r="U2063">
            <v>0</v>
          </cell>
          <cell r="V2063">
            <v>14100</v>
          </cell>
          <cell r="W2063">
            <v>0</v>
          </cell>
          <cell r="X2063">
            <v>14100</v>
          </cell>
          <cell r="Y2063">
            <v>0</v>
          </cell>
          <cell r="Z2063">
            <v>14100</v>
          </cell>
          <cell r="AA2063">
            <v>0</v>
          </cell>
          <cell r="AB2063">
            <v>0</v>
          </cell>
          <cell r="AC2063">
            <v>0</v>
          </cell>
          <cell r="AD2063">
            <v>0.39100000000000001</v>
          </cell>
          <cell r="AE2063">
            <v>0</v>
          </cell>
          <cell r="AF2063">
            <v>0</v>
          </cell>
          <cell r="AG2063">
            <v>9900</v>
          </cell>
          <cell r="AH2063">
            <v>96</v>
          </cell>
          <cell r="AI2063">
            <v>0.98899999999999999</v>
          </cell>
          <cell r="AJ2063">
            <v>1</v>
          </cell>
          <cell r="AK2063">
            <v>97.06</v>
          </cell>
          <cell r="AL2063">
            <v>0</v>
          </cell>
        </row>
        <row r="2064">
          <cell r="E2064" t="str">
            <v>A15-322PK</v>
          </cell>
          <cell r="F2064" t="str">
            <v>台</v>
          </cell>
          <cell r="G2064">
            <v>0</v>
          </cell>
          <cell r="H2064">
            <v>11000</v>
          </cell>
          <cell r="I2064">
            <v>0</v>
          </cell>
          <cell r="J2064">
            <v>11000</v>
          </cell>
          <cell r="K2064">
            <v>0</v>
          </cell>
          <cell r="L2064">
            <v>11000</v>
          </cell>
          <cell r="M2064">
            <v>0</v>
          </cell>
          <cell r="N2064">
            <v>11000</v>
          </cell>
          <cell r="O2064">
            <v>0</v>
          </cell>
          <cell r="P2064">
            <v>11000</v>
          </cell>
          <cell r="Q2064">
            <v>0</v>
          </cell>
          <cell r="R2064">
            <v>11000</v>
          </cell>
          <cell r="S2064">
            <v>0</v>
          </cell>
          <cell r="T2064">
            <v>11000</v>
          </cell>
          <cell r="U2064">
            <v>0</v>
          </cell>
          <cell r="V2064">
            <v>11000</v>
          </cell>
          <cell r="W2064">
            <v>0</v>
          </cell>
          <cell r="X2064">
            <v>11000</v>
          </cell>
          <cell r="Y2064">
            <v>0</v>
          </cell>
          <cell r="Z2064">
            <v>11000</v>
          </cell>
          <cell r="AA2064">
            <v>0</v>
          </cell>
          <cell r="AB2064">
            <v>0</v>
          </cell>
          <cell r="AC2064">
            <v>0</v>
          </cell>
          <cell r="AD2064">
            <v>0.39100000000000001</v>
          </cell>
          <cell r="AE2064">
            <v>0</v>
          </cell>
          <cell r="AF2064">
            <v>0</v>
          </cell>
          <cell r="AG2064">
            <v>9900</v>
          </cell>
          <cell r="AH2064">
            <v>96</v>
          </cell>
          <cell r="AI2064">
            <v>0.98899999999999999</v>
          </cell>
          <cell r="AJ2064">
            <v>1</v>
          </cell>
          <cell r="AK2064">
            <v>97.06</v>
          </cell>
          <cell r="AL2064">
            <v>0</v>
          </cell>
        </row>
        <row r="2065">
          <cell r="E2065" t="str">
            <v>■Ｈｆカバー埋込形</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row>
        <row r="2066">
          <cell r="E2066" t="str">
            <v>C15F1-321PN</v>
          </cell>
          <cell r="F2066" t="str">
            <v>台</v>
          </cell>
          <cell r="G2066">
            <v>0</v>
          </cell>
          <cell r="H2066">
            <v>9960</v>
          </cell>
          <cell r="I2066">
            <v>0</v>
          </cell>
          <cell r="J2066">
            <v>9960</v>
          </cell>
          <cell r="K2066">
            <v>0</v>
          </cell>
          <cell r="L2066">
            <v>9960</v>
          </cell>
          <cell r="M2066">
            <v>0</v>
          </cell>
          <cell r="N2066">
            <v>9960</v>
          </cell>
          <cell r="O2066">
            <v>0</v>
          </cell>
          <cell r="P2066">
            <v>9960</v>
          </cell>
          <cell r="Q2066">
            <v>0</v>
          </cell>
          <cell r="R2066">
            <v>9960</v>
          </cell>
          <cell r="S2066">
            <v>0</v>
          </cell>
          <cell r="T2066">
            <v>9960</v>
          </cell>
          <cell r="U2066">
            <v>0</v>
          </cell>
          <cell r="V2066">
            <v>9960</v>
          </cell>
          <cell r="W2066">
            <v>0</v>
          </cell>
          <cell r="X2066">
            <v>9960</v>
          </cell>
          <cell r="Y2066">
            <v>0</v>
          </cell>
          <cell r="Z2066">
            <v>9960</v>
          </cell>
          <cell r="AA2066">
            <v>0</v>
          </cell>
          <cell r="AB2066">
            <v>0</v>
          </cell>
          <cell r="AC2066">
            <v>0</v>
          </cell>
          <cell r="AD2066">
            <v>0.313</v>
          </cell>
          <cell r="AE2066">
            <v>0</v>
          </cell>
          <cell r="AF2066">
            <v>0</v>
          </cell>
          <cell r="AG2066">
            <v>4950</v>
          </cell>
          <cell r="AH2066">
            <v>48</v>
          </cell>
          <cell r="AI2066">
            <v>0.97899999999999998</v>
          </cell>
          <cell r="AJ2066">
            <v>1</v>
          </cell>
          <cell r="AK2066">
            <v>49.02</v>
          </cell>
          <cell r="AL2066">
            <v>0</v>
          </cell>
        </row>
        <row r="2067">
          <cell r="E2067" t="str">
            <v>C15F1-321PH</v>
          </cell>
          <cell r="F2067" t="str">
            <v>台</v>
          </cell>
          <cell r="G2067">
            <v>0</v>
          </cell>
          <cell r="H2067">
            <v>12000</v>
          </cell>
          <cell r="I2067">
            <v>0</v>
          </cell>
          <cell r="J2067">
            <v>12000</v>
          </cell>
          <cell r="K2067">
            <v>0</v>
          </cell>
          <cell r="L2067">
            <v>12000</v>
          </cell>
          <cell r="M2067">
            <v>0</v>
          </cell>
          <cell r="N2067">
            <v>12000</v>
          </cell>
          <cell r="O2067">
            <v>0</v>
          </cell>
          <cell r="P2067">
            <v>12000</v>
          </cell>
          <cell r="Q2067">
            <v>0</v>
          </cell>
          <cell r="R2067">
            <v>12000</v>
          </cell>
          <cell r="S2067">
            <v>0</v>
          </cell>
          <cell r="T2067">
            <v>12000</v>
          </cell>
          <cell r="U2067">
            <v>0</v>
          </cell>
          <cell r="V2067">
            <v>12000</v>
          </cell>
          <cell r="W2067">
            <v>0</v>
          </cell>
          <cell r="X2067">
            <v>12000</v>
          </cell>
          <cell r="Y2067">
            <v>0</v>
          </cell>
          <cell r="Z2067">
            <v>12000</v>
          </cell>
          <cell r="AA2067">
            <v>0</v>
          </cell>
          <cell r="AB2067">
            <v>0</v>
          </cell>
          <cell r="AC2067">
            <v>0</v>
          </cell>
          <cell r="AD2067">
            <v>0.313</v>
          </cell>
          <cell r="AE2067">
            <v>0</v>
          </cell>
          <cell r="AF2067">
            <v>0</v>
          </cell>
          <cell r="AG2067">
            <v>4950</v>
          </cell>
          <cell r="AH2067">
            <v>48</v>
          </cell>
          <cell r="AI2067">
            <v>0.97899999999999998</v>
          </cell>
          <cell r="AJ2067">
            <v>1</v>
          </cell>
          <cell r="AK2067">
            <v>49.02</v>
          </cell>
          <cell r="AL2067">
            <v>0</v>
          </cell>
        </row>
        <row r="2068">
          <cell r="E2068" t="str">
            <v>C15F1-321PX</v>
          </cell>
          <cell r="F2068" t="str">
            <v>台</v>
          </cell>
          <cell r="G2068">
            <v>0</v>
          </cell>
          <cell r="H2068">
            <v>13100</v>
          </cell>
          <cell r="I2068">
            <v>0</v>
          </cell>
          <cell r="J2068">
            <v>13100</v>
          </cell>
          <cell r="K2068">
            <v>0</v>
          </cell>
          <cell r="L2068">
            <v>13100</v>
          </cell>
          <cell r="M2068">
            <v>0</v>
          </cell>
          <cell r="N2068">
            <v>13100</v>
          </cell>
          <cell r="O2068">
            <v>0</v>
          </cell>
          <cell r="P2068">
            <v>13100</v>
          </cell>
          <cell r="Q2068">
            <v>0</v>
          </cell>
          <cell r="R2068">
            <v>13100</v>
          </cell>
          <cell r="S2068">
            <v>0</v>
          </cell>
          <cell r="T2068">
            <v>13100</v>
          </cell>
          <cell r="U2068">
            <v>0</v>
          </cell>
          <cell r="V2068">
            <v>13100</v>
          </cell>
          <cell r="W2068">
            <v>0</v>
          </cell>
          <cell r="X2068">
            <v>13100</v>
          </cell>
          <cell r="Y2068">
            <v>0</v>
          </cell>
          <cell r="Z2068">
            <v>13100</v>
          </cell>
          <cell r="AA2068">
            <v>0</v>
          </cell>
          <cell r="AB2068">
            <v>0</v>
          </cell>
          <cell r="AC2068">
            <v>0</v>
          </cell>
          <cell r="AD2068">
            <v>0.313</v>
          </cell>
          <cell r="AE2068">
            <v>0</v>
          </cell>
          <cell r="AF2068">
            <v>0</v>
          </cell>
          <cell r="AG2068">
            <v>4950</v>
          </cell>
          <cell r="AH2068">
            <v>48</v>
          </cell>
          <cell r="AI2068">
            <v>0.97899999999999998</v>
          </cell>
          <cell r="AJ2068">
            <v>1</v>
          </cell>
          <cell r="AK2068">
            <v>49.02</v>
          </cell>
          <cell r="AL2068">
            <v>0</v>
          </cell>
        </row>
        <row r="2069">
          <cell r="E2069" t="str">
            <v>C15F1-321PK</v>
          </cell>
          <cell r="F2069" t="str">
            <v>台</v>
          </cell>
          <cell r="G2069">
            <v>0</v>
          </cell>
          <cell r="H2069">
            <v>13100</v>
          </cell>
          <cell r="I2069">
            <v>0</v>
          </cell>
          <cell r="J2069">
            <v>13100</v>
          </cell>
          <cell r="K2069">
            <v>0</v>
          </cell>
          <cell r="L2069">
            <v>13100</v>
          </cell>
          <cell r="M2069">
            <v>0</v>
          </cell>
          <cell r="N2069">
            <v>13100</v>
          </cell>
          <cell r="O2069">
            <v>0</v>
          </cell>
          <cell r="P2069">
            <v>13100</v>
          </cell>
          <cell r="Q2069">
            <v>0</v>
          </cell>
          <cell r="R2069">
            <v>13100</v>
          </cell>
          <cell r="S2069">
            <v>0</v>
          </cell>
          <cell r="T2069">
            <v>13100</v>
          </cell>
          <cell r="U2069">
            <v>0</v>
          </cell>
          <cell r="V2069">
            <v>13100</v>
          </cell>
          <cell r="W2069">
            <v>0</v>
          </cell>
          <cell r="X2069">
            <v>13100</v>
          </cell>
          <cell r="Y2069">
            <v>0</v>
          </cell>
          <cell r="Z2069">
            <v>13100</v>
          </cell>
          <cell r="AA2069">
            <v>0</v>
          </cell>
          <cell r="AB2069">
            <v>0</v>
          </cell>
          <cell r="AC2069">
            <v>0</v>
          </cell>
          <cell r="AD2069">
            <v>0.313</v>
          </cell>
          <cell r="AE2069">
            <v>0</v>
          </cell>
          <cell r="AF2069">
            <v>0</v>
          </cell>
          <cell r="AG2069">
            <v>4950</v>
          </cell>
          <cell r="AH2069">
            <v>48</v>
          </cell>
          <cell r="AI2069">
            <v>0.97899999999999998</v>
          </cell>
          <cell r="AJ2069">
            <v>1</v>
          </cell>
          <cell r="AK2069">
            <v>49.02</v>
          </cell>
          <cell r="AL2069">
            <v>0</v>
          </cell>
        </row>
        <row r="2070">
          <cell r="E2070" t="str">
            <v>C15F1-322PN</v>
          </cell>
          <cell r="F2070" t="str">
            <v>台</v>
          </cell>
          <cell r="G2070">
            <v>0</v>
          </cell>
          <cell r="H2070">
            <v>11600</v>
          </cell>
          <cell r="I2070">
            <v>0</v>
          </cell>
          <cell r="J2070">
            <v>11600</v>
          </cell>
          <cell r="K2070">
            <v>0</v>
          </cell>
          <cell r="L2070">
            <v>11600</v>
          </cell>
          <cell r="M2070">
            <v>0</v>
          </cell>
          <cell r="N2070">
            <v>11600</v>
          </cell>
          <cell r="O2070">
            <v>0</v>
          </cell>
          <cell r="P2070">
            <v>11600</v>
          </cell>
          <cell r="Q2070">
            <v>0</v>
          </cell>
          <cell r="R2070">
            <v>11600</v>
          </cell>
          <cell r="S2070">
            <v>0</v>
          </cell>
          <cell r="T2070">
            <v>11600</v>
          </cell>
          <cell r="U2070">
            <v>0</v>
          </cell>
          <cell r="V2070">
            <v>11600</v>
          </cell>
          <cell r="W2070">
            <v>0</v>
          </cell>
          <cell r="X2070">
            <v>11600</v>
          </cell>
          <cell r="Y2070">
            <v>0</v>
          </cell>
          <cell r="Z2070">
            <v>11600</v>
          </cell>
          <cell r="AA2070">
            <v>0</v>
          </cell>
          <cell r="AB2070">
            <v>0</v>
          </cell>
          <cell r="AC2070">
            <v>0</v>
          </cell>
          <cell r="AD2070">
            <v>0.39100000000000001</v>
          </cell>
          <cell r="AE2070">
            <v>0</v>
          </cell>
          <cell r="AF2070">
            <v>0</v>
          </cell>
          <cell r="AG2070">
            <v>9900</v>
          </cell>
          <cell r="AH2070">
            <v>96</v>
          </cell>
          <cell r="AI2070">
            <v>0.98899999999999999</v>
          </cell>
          <cell r="AJ2070">
            <v>1</v>
          </cell>
          <cell r="AK2070">
            <v>97.06</v>
          </cell>
          <cell r="AL2070">
            <v>0</v>
          </cell>
        </row>
        <row r="2071">
          <cell r="E2071" t="str">
            <v>C15F1-322PH</v>
          </cell>
          <cell r="F2071" t="str">
            <v>台</v>
          </cell>
          <cell r="G2071">
            <v>0</v>
          </cell>
          <cell r="H2071">
            <v>13100</v>
          </cell>
          <cell r="I2071">
            <v>0</v>
          </cell>
          <cell r="J2071">
            <v>13100</v>
          </cell>
          <cell r="K2071">
            <v>0</v>
          </cell>
          <cell r="L2071">
            <v>13100</v>
          </cell>
          <cell r="M2071">
            <v>0</v>
          </cell>
          <cell r="N2071">
            <v>13100</v>
          </cell>
          <cell r="O2071">
            <v>0</v>
          </cell>
          <cell r="P2071">
            <v>13100</v>
          </cell>
          <cell r="Q2071">
            <v>0</v>
          </cell>
          <cell r="R2071">
            <v>13100</v>
          </cell>
          <cell r="S2071">
            <v>0</v>
          </cell>
          <cell r="T2071">
            <v>13100</v>
          </cell>
          <cell r="U2071">
            <v>0</v>
          </cell>
          <cell r="V2071">
            <v>13100</v>
          </cell>
          <cell r="W2071">
            <v>0</v>
          </cell>
          <cell r="X2071">
            <v>13100</v>
          </cell>
          <cell r="Y2071">
            <v>0</v>
          </cell>
          <cell r="Z2071">
            <v>13100</v>
          </cell>
          <cell r="AA2071">
            <v>0</v>
          </cell>
          <cell r="AB2071">
            <v>0</v>
          </cell>
          <cell r="AC2071">
            <v>0</v>
          </cell>
          <cell r="AD2071">
            <v>0.39100000000000001</v>
          </cell>
          <cell r="AE2071">
            <v>0</v>
          </cell>
          <cell r="AF2071">
            <v>0</v>
          </cell>
          <cell r="AG2071">
            <v>9900</v>
          </cell>
          <cell r="AH2071">
            <v>96</v>
          </cell>
          <cell r="AI2071">
            <v>0.98899999999999999</v>
          </cell>
          <cell r="AJ2071">
            <v>1</v>
          </cell>
          <cell r="AK2071">
            <v>97.06</v>
          </cell>
          <cell r="AL2071">
            <v>0</v>
          </cell>
        </row>
        <row r="2072">
          <cell r="E2072" t="str">
            <v>C15F1-322PX</v>
          </cell>
          <cell r="F2072" t="str">
            <v>台</v>
          </cell>
          <cell r="G2072">
            <v>0</v>
          </cell>
          <cell r="H2072">
            <v>14100</v>
          </cell>
          <cell r="I2072">
            <v>0</v>
          </cell>
          <cell r="J2072">
            <v>14100</v>
          </cell>
          <cell r="K2072">
            <v>0</v>
          </cell>
          <cell r="L2072">
            <v>14100</v>
          </cell>
          <cell r="M2072">
            <v>0</v>
          </cell>
          <cell r="N2072">
            <v>14100</v>
          </cell>
          <cell r="O2072">
            <v>0</v>
          </cell>
          <cell r="P2072">
            <v>14100</v>
          </cell>
          <cell r="Q2072">
            <v>0</v>
          </cell>
          <cell r="R2072">
            <v>14100</v>
          </cell>
          <cell r="S2072">
            <v>0</v>
          </cell>
          <cell r="T2072">
            <v>14100</v>
          </cell>
          <cell r="U2072">
            <v>0</v>
          </cell>
          <cell r="V2072">
            <v>14100</v>
          </cell>
          <cell r="W2072">
            <v>0</v>
          </cell>
          <cell r="X2072">
            <v>14100</v>
          </cell>
          <cell r="Y2072">
            <v>0</v>
          </cell>
          <cell r="Z2072">
            <v>14100</v>
          </cell>
          <cell r="AA2072">
            <v>0</v>
          </cell>
          <cell r="AB2072">
            <v>0</v>
          </cell>
          <cell r="AC2072">
            <v>0</v>
          </cell>
          <cell r="AD2072">
            <v>0.39100000000000001</v>
          </cell>
          <cell r="AE2072">
            <v>0</v>
          </cell>
          <cell r="AF2072">
            <v>0</v>
          </cell>
          <cell r="AG2072">
            <v>9900</v>
          </cell>
          <cell r="AH2072">
            <v>96</v>
          </cell>
          <cell r="AI2072">
            <v>0.98899999999999999</v>
          </cell>
          <cell r="AJ2072">
            <v>1</v>
          </cell>
          <cell r="AK2072">
            <v>97.06</v>
          </cell>
          <cell r="AL2072">
            <v>0</v>
          </cell>
        </row>
        <row r="2073">
          <cell r="E2073" t="str">
            <v>C15F1-322PZ</v>
          </cell>
          <cell r="F2073" t="str">
            <v>台</v>
          </cell>
          <cell r="G2073">
            <v>0</v>
          </cell>
          <cell r="H2073">
            <v>17200</v>
          </cell>
          <cell r="I2073">
            <v>0</v>
          </cell>
          <cell r="J2073">
            <v>17200</v>
          </cell>
          <cell r="K2073">
            <v>0</v>
          </cell>
          <cell r="L2073">
            <v>17200</v>
          </cell>
          <cell r="M2073">
            <v>0</v>
          </cell>
          <cell r="N2073">
            <v>17200</v>
          </cell>
          <cell r="O2073">
            <v>0</v>
          </cell>
          <cell r="P2073">
            <v>17200</v>
          </cell>
          <cell r="Q2073">
            <v>0</v>
          </cell>
          <cell r="R2073">
            <v>17200</v>
          </cell>
          <cell r="S2073">
            <v>0</v>
          </cell>
          <cell r="T2073">
            <v>17200</v>
          </cell>
          <cell r="U2073">
            <v>0</v>
          </cell>
          <cell r="V2073">
            <v>17200</v>
          </cell>
          <cell r="W2073">
            <v>0</v>
          </cell>
          <cell r="X2073">
            <v>17200</v>
          </cell>
          <cell r="Y2073">
            <v>0</v>
          </cell>
          <cell r="Z2073">
            <v>17200</v>
          </cell>
          <cell r="AA2073">
            <v>0</v>
          </cell>
          <cell r="AB2073">
            <v>0</v>
          </cell>
          <cell r="AC2073">
            <v>0</v>
          </cell>
          <cell r="AD2073">
            <v>0.39100000000000001</v>
          </cell>
          <cell r="AE2073">
            <v>0</v>
          </cell>
          <cell r="AF2073">
            <v>0</v>
          </cell>
          <cell r="AG2073">
            <v>9900</v>
          </cell>
          <cell r="AH2073">
            <v>96</v>
          </cell>
          <cell r="AI2073">
            <v>0.98899999999999999</v>
          </cell>
          <cell r="AJ2073">
            <v>1</v>
          </cell>
          <cell r="AK2073">
            <v>97.06</v>
          </cell>
          <cell r="AL2073">
            <v>0</v>
          </cell>
        </row>
        <row r="2074">
          <cell r="E2074" t="str">
            <v>C15F1-322PK</v>
          </cell>
          <cell r="F2074" t="str">
            <v>台</v>
          </cell>
          <cell r="G2074">
            <v>0</v>
          </cell>
          <cell r="H2074">
            <v>14100</v>
          </cell>
          <cell r="I2074">
            <v>0</v>
          </cell>
          <cell r="J2074">
            <v>14100</v>
          </cell>
          <cell r="K2074">
            <v>0</v>
          </cell>
          <cell r="L2074">
            <v>14100</v>
          </cell>
          <cell r="M2074">
            <v>0</v>
          </cell>
          <cell r="N2074">
            <v>14100</v>
          </cell>
          <cell r="O2074">
            <v>0</v>
          </cell>
          <cell r="P2074">
            <v>14100</v>
          </cell>
          <cell r="Q2074">
            <v>0</v>
          </cell>
          <cell r="R2074">
            <v>14100</v>
          </cell>
          <cell r="S2074">
            <v>0</v>
          </cell>
          <cell r="T2074">
            <v>14100</v>
          </cell>
          <cell r="U2074">
            <v>0</v>
          </cell>
          <cell r="V2074">
            <v>14100</v>
          </cell>
          <cell r="W2074">
            <v>0</v>
          </cell>
          <cell r="X2074">
            <v>14100</v>
          </cell>
          <cell r="Y2074">
            <v>0</v>
          </cell>
          <cell r="Z2074">
            <v>14100</v>
          </cell>
          <cell r="AA2074">
            <v>0</v>
          </cell>
          <cell r="AB2074">
            <v>0</v>
          </cell>
          <cell r="AC2074">
            <v>0</v>
          </cell>
          <cell r="AD2074">
            <v>0.39100000000000001</v>
          </cell>
          <cell r="AE2074">
            <v>0</v>
          </cell>
          <cell r="AF2074">
            <v>0</v>
          </cell>
          <cell r="AG2074">
            <v>9900</v>
          </cell>
          <cell r="AH2074">
            <v>96</v>
          </cell>
          <cell r="AI2074">
            <v>0.98899999999999999</v>
          </cell>
          <cell r="AJ2074">
            <v>1</v>
          </cell>
          <cell r="AK2074">
            <v>97.06</v>
          </cell>
          <cell r="AL2074">
            <v>0</v>
          </cell>
        </row>
        <row r="2075">
          <cell r="E2075" t="str">
            <v>■Ｈｆルーバ埋込形</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row>
        <row r="2076">
          <cell r="E2076" t="str">
            <v>D15-162PH</v>
          </cell>
          <cell r="F2076" t="str">
            <v>台</v>
          </cell>
          <cell r="G2076">
            <v>0</v>
          </cell>
          <cell r="H2076">
            <v>15700</v>
          </cell>
          <cell r="I2076">
            <v>0</v>
          </cell>
          <cell r="J2076">
            <v>15700</v>
          </cell>
          <cell r="K2076">
            <v>0</v>
          </cell>
          <cell r="L2076">
            <v>15700</v>
          </cell>
          <cell r="M2076">
            <v>0</v>
          </cell>
          <cell r="N2076">
            <v>15700</v>
          </cell>
          <cell r="O2076">
            <v>0</v>
          </cell>
          <cell r="P2076">
            <v>15700</v>
          </cell>
          <cell r="Q2076">
            <v>0</v>
          </cell>
          <cell r="R2076">
            <v>15700</v>
          </cell>
          <cell r="S2076">
            <v>0</v>
          </cell>
          <cell r="T2076">
            <v>15700</v>
          </cell>
          <cell r="U2076">
            <v>0</v>
          </cell>
          <cell r="V2076">
            <v>15700</v>
          </cell>
          <cell r="W2076">
            <v>0</v>
          </cell>
          <cell r="X2076">
            <v>15700</v>
          </cell>
          <cell r="Y2076">
            <v>0</v>
          </cell>
          <cell r="Z2076">
            <v>15700</v>
          </cell>
          <cell r="AA2076">
            <v>0</v>
          </cell>
          <cell r="AB2076">
            <v>0</v>
          </cell>
          <cell r="AC2076">
            <v>0</v>
          </cell>
          <cell r="AD2076">
            <v>0.252</v>
          </cell>
          <cell r="AE2076">
            <v>0</v>
          </cell>
          <cell r="AF2076">
            <v>0</v>
          </cell>
          <cell r="AG2076">
            <v>4200</v>
          </cell>
          <cell r="AH2076">
            <v>50</v>
          </cell>
          <cell r="AI2076">
            <v>0.98</v>
          </cell>
          <cell r="AJ2076">
            <v>1</v>
          </cell>
          <cell r="AK2076">
            <v>51.02</v>
          </cell>
          <cell r="AL2076">
            <v>0</v>
          </cell>
        </row>
        <row r="2077">
          <cell r="E2077" t="str">
            <v>D15-162PX</v>
          </cell>
          <cell r="F2077" t="str">
            <v>台</v>
          </cell>
          <cell r="G2077">
            <v>0</v>
          </cell>
          <cell r="H2077">
            <v>16700</v>
          </cell>
          <cell r="I2077">
            <v>0</v>
          </cell>
          <cell r="J2077">
            <v>16700</v>
          </cell>
          <cell r="K2077">
            <v>0</v>
          </cell>
          <cell r="L2077">
            <v>16700</v>
          </cell>
          <cell r="M2077">
            <v>0</v>
          </cell>
          <cell r="N2077">
            <v>16700</v>
          </cell>
          <cell r="O2077">
            <v>0</v>
          </cell>
          <cell r="P2077">
            <v>16700</v>
          </cell>
          <cell r="Q2077">
            <v>0</v>
          </cell>
          <cell r="R2077">
            <v>16700</v>
          </cell>
          <cell r="S2077">
            <v>0</v>
          </cell>
          <cell r="T2077">
            <v>16700</v>
          </cell>
          <cell r="U2077">
            <v>0</v>
          </cell>
          <cell r="V2077">
            <v>16700</v>
          </cell>
          <cell r="W2077">
            <v>0</v>
          </cell>
          <cell r="X2077">
            <v>16700</v>
          </cell>
          <cell r="Y2077">
            <v>0</v>
          </cell>
          <cell r="Z2077">
            <v>16700</v>
          </cell>
          <cell r="AA2077">
            <v>0</v>
          </cell>
          <cell r="AB2077">
            <v>0</v>
          </cell>
          <cell r="AC2077">
            <v>0</v>
          </cell>
          <cell r="AD2077">
            <v>0.252</v>
          </cell>
          <cell r="AE2077">
            <v>0</v>
          </cell>
          <cell r="AF2077">
            <v>0</v>
          </cell>
          <cell r="AG2077">
            <v>4200</v>
          </cell>
          <cell r="AH2077">
            <v>50</v>
          </cell>
          <cell r="AI2077">
            <v>0.98</v>
          </cell>
          <cell r="AJ2077">
            <v>1</v>
          </cell>
          <cell r="AK2077">
            <v>51.02</v>
          </cell>
          <cell r="AL2077">
            <v>0</v>
          </cell>
        </row>
        <row r="2078">
          <cell r="E2078" t="str">
            <v>D15-321PN</v>
          </cell>
          <cell r="F2078" t="str">
            <v>台</v>
          </cell>
          <cell r="G2078">
            <v>0</v>
          </cell>
          <cell r="H2078">
            <v>13800</v>
          </cell>
          <cell r="I2078">
            <v>0</v>
          </cell>
          <cell r="J2078">
            <v>13800</v>
          </cell>
          <cell r="K2078">
            <v>0</v>
          </cell>
          <cell r="L2078">
            <v>13800</v>
          </cell>
          <cell r="M2078">
            <v>0</v>
          </cell>
          <cell r="N2078">
            <v>13800</v>
          </cell>
          <cell r="O2078">
            <v>0</v>
          </cell>
          <cell r="P2078">
            <v>13800</v>
          </cell>
          <cell r="Q2078">
            <v>0</v>
          </cell>
          <cell r="R2078">
            <v>13800</v>
          </cell>
          <cell r="S2078">
            <v>0</v>
          </cell>
          <cell r="T2078">
            <v>13800</v>
          </cell>
          <cell r="U2078">
            <v>0</v>
          </cell>
          <cell r="V2078">
            <v>13800</v>
          </cell>
          <cell r="W2078">
            <v>0</v>
          </cell>
          <cell r="X2078">
            <v>13800</v>
          </cell>
          <cell r="Y2078">
            <v>0</v>
          </cell>
          <cell r="Z2078">
            <v>13800</v>
          </cell>
          <cell r="AA2078">
            <v>0</v>
          </cell>
          <cell r="AB2078">
            <v>0</v>
          </cell>
          <cell r="AC2078">
            <v>0</v>
          </cell>
          <cell r="AD2078">
            <v>0.313</v>
          </cell>
          <cell r="AE2078">
            <v>0</v>
          </cell>
          <cell r="AF2078">
            <v>0</v>
          </cell>
          <cell r="AG2078">
            <v>4950</v>
          </cell>
          <cell r="AH2078">
            <v>48</v>
          </cell>
          <cell r="AI2078">
            <v>0.97899999999999998</v>
          </cell>
          <cell r="AJ2078">
            <v>1</v>
          </cell>
          <cell r="AK2078">
            <v>49.02</v>
          </cell>
          <cell r="AL2078">
            <v>0</v>
          </cell>
        </row>
        <row r="2079">
          <cell r="E2079" t="str">
            <v>D15-321PH</v>
          </cell>
          <cell r="F2079" t="str">
            <v>台</v>
          </cell>
          <cell r="G2079">
            <v>0</v>
          </cell>
          <cell r="H2079">
            <v>15900</v>
          </cell>
          <cell r="I2079">
            <v>0</v>
          </cell>
          <cell r="J2079">
            <v>15900</v>
          </cell>
          <cell r="K2079">
            <v>0</v>
          </cell>
          <cell r="L2079">
            <v>15900</v>
          </cell>
          <cell r="M2079">
            <v>0</v>
          </cell>
          <cell r="N2079">
            <v>15900</v>
          </cell>
          <cell r="O2079">
            <v>0</v>
          </cell>
          <cell r="P2079">
            <v>15900</v>
          </cell>
          <cell r="Q2079">
            <v>0</v>
          </cell>
          <cell r="R2079">
            <v>15900</v>
          </cell>
          <cell r="S2079">
            <v>0</v>
          </cell>
          <cell r="T2079">
            <v>15900</v>
          </cell>
          <cell r="U2079">
            <v>0</v>
          </cell>
          <cell r="V2079">
            <v>15900</v>
          </cell>
          <cell r="W2079">
            <v>0</v>
          </cell>
          <cell r="X2079">
            <v>15900</v>
          </cell>
          <cell r="Y2079">
            <v>0</v>
          </cell>
          <cell r="Z2079">
            <v>15900</v>
          </cell>
          <cell r="AA2079">
            <v>0</v>
          </cell>
          <cell r="AB2079">
            <v>0</v>
          </cell>
          <cell r="AC2079">
            <v>0</v>
          </cell>
          <cell r="AD2079">
            <v>0.313</v>
          </cell>
          <cell r="AE2079">
            <v>0</v>
          </cell>
          <cell r="AF2079">
            <v>0</v>
          </cell>
          <cell r="AG2079">
            <v>4950</v>
          </cell>
          <cell r="AH2079">
            <v>48</v>
          </cell>
          <cell r="AI2079">
            <v>0.97899999999999998</v>
          </cell>
          <cell r="AJ2079">
            <v>1</v>
          </cell>
          <cell r="AK2079">
            <v>49.02</v>
          </cell>
          <cell r="AL2079">
            <v>0</v>
          </cell>
        </row>
        <row r="2080">
          <cell r="E2080" t="str">
            <v>D15-321PX</v>
          </cell>
          <cell r="F2080" t="str">
            <v>台</v>
          </cell>
          <cell r="G2080">
            <v>0</v>
          </cell>
          <cell r="H2080">
            <v>17100</v>
          </cell>
          <cell r="I2080">
            <v>0</v>
          </cell>
          <cell r="J2080">
            <v>17100</v>
          </cell>
          <cell r="K2080">
            <v>0</v>
          </cell>
          <cell r="L2080">
            <v>17100</v>
          </cell>
          <cell r="M2080">
            <v>0</v>
          </cell>
          <cell r="N2080">
            <v>17100</v>
          </cell>
          <cell r="O2080">
            <v>0</v>
          </cell>
          <cell r="P2080">
            <v>17100</v>
          </cell>
          <cell r="Q2080">
            <v>0</v>
          </cell>
          <cell r="R2080">
            <v>17100</v>
          </cell>
          <cell r="S2080">
            <v>0</v>
          </cell>
          <cell r="T2080">
            <v>17100</v>
          </cell>
          <cell r="U2080">
            <v>0</v>
          </cell>
          <cell r="V2080">
            <v>17100</v>
          </cell>
          <cell r="W2080">
            <v>0</v>
          </cell>
          <cell r="X2080">
            <v>17100</v>
          </cell>
          <cell r="Y2080">
            <v>0</v>
          </cell>
          <cell r="Z2080">
            <v>17100</v>
          </cell>
          <cell r="AA2080">
            <v>0</v>
          </cell>
          <cell r="AB2080">
            <v>0</v>
          </cell>
          <cell r="AC2080">
            <v>0</v>
          </cell>
          <cell r="AD2080">
            <v>0.313</v>
          </cell>
          <cell r="AE2080">
            <v>0</v>
          </cell>
          <cell r="AF2080">
            <v>0</v>
          </cell>
          <cell r="AG2080">
            <v>4950</v>
          </cell>
          <cell r="AH2080">
            <v>48</v>
          </cell>
          <cell r="AI2080">
            <v>0.97899999999999998</v>
          </cell>
          <cell r="AJ2080">
            <v>1</v>
          </cell>
          <cell r="AK2080">
            <v>49.02</v>
          </cell>
          <cell r="AL2080">
            <v>0</v>
          </cell>
        </row>
        <row r="2081">
          <cell r="E2081" t="str">
            <v>D15-321PK</v>
          </cell>
          <cell r="F2081" t="str">
            <v>台</v>
          </cell>
          <cell r="G2081">
            <v>0</v>
          </cell>
          <cell r="H2081">
            <v>17100</v>
          </cell>
          <cell r="I2081">
            <v>0</v>
          </cell>
          <cell r="J2081">
            <v>17100</v>
          </cell>
          <cell r="K2081">
            <v>0</v>
          </cell>
          <cell r="L2081">
            <v>17100</v>
          </cell>
          <cell r="M2081">
            <v>0</v>
          </cell>
          <cell r="N2081">
            <v>17100</v>
          </cell>
          <cell r="O2081">
            <v>0</v>
          </cell>
          <cell r="P2081">
            <v>17100</v>
          </cell>
          <cell r="Q2081">
            <v>0</v>
          </cell>
          <cell r="R2081">
            <v>17100</v>
          </cell>
          <cell r="S2081">
            <v>0</v>
          </cell>
          <cell r="T2081">
            <v>17100</v>
          </cell>
          <cell r="U2081">
            <v>0</v>
          </cell>
          <cell r="V2081">
            <v>17100</v>
          </cell>
          <cell r="W2081">
            <v>0</v>
          </cell>
          <cell r="X2081">
            <v>17100</v>
          </cell>
          <cell r="Y2081">
            <v>0</v>
          </cell>
          <cell r="Z2081">
            <v>17100</v>
          </cell>
          <cell r="AA2081">
            <v>0</v>
          </cell>
          <cell r="AB2081">
            <v>0</v>
          </cell>
          <cell r="AC2081">
            <v>0</v>
          </cell>
          <cell r="AD2081">
            <v>0.313</v>
          </cell>
          <cell r="AE2081">
            <v>0</v>
          </cell>
          <cell r="AF2081">
            <v>0</v>
          </cell>
          <cell r="AG2081">
            <v>4950</v>
          </cell>
          <cell r="AH2081">
            <v>48</v>
          </cell>
          <cell r="AI2081">
            <v>0.97899999999999998</v>
          </cell>
          <cell r="AJ2081">
            <v>1</v>
          </cell>
          <cell r="AK2081">
            <v>49.02</v>
          </cell>
          <cell r="AL2081">
            <v>0</v>
          </cell>
        </row>
        <row r="2082">
          <cell r="E2082" t="str">
            <v>D15-322PN</v>
          </cell>
          <cell r="F2082" t="str">
            <v>台</v>
          </cell>
          <cell r="G2082">
            <v>0</v>
          </cell>
          <cell r="H2082">
            <v>16400</v>
          </cell>
          <cell r="I2082">
            <v>0</v>
          </cell>
          <cell r="J2082">
            <v>16400</v>
          </cell>
          <cell r="K2082">
            <v>0</v>
          </cell>
          <cell r="L2082">
            <v>16400</v>
          </cell>
          <cell r="M2082">
            <v>0</v>
          </cell>
          <cell r="N2082">
            <v>16400</v>
          </cell>
          <cell r="O2082">
            <v>0</v>
          </cell>
          <cell r="P2082">
            <v>16400</v>
          </cell>
          <cell r="Q2082">
            <v>0</v>
          </cell>
          <cell r="R2082">
            <v>16400</v>
          </cell>
          <cell r="S2082">
            <v>0</v>
          </cell>
          <cell r="T2082">
            <v>16400</v>
          </cell>
          <cell r="U2082">
            <v>0</v>
          </cell>
          <cell r="V2082">
            <v>16400</v>
          </cell>
          <cell r="W2082">
            <v>0</v>
          </cell>
          <cell r="X2082">
            <v>16400</v>
          </cell>
          <cell r="Y2082">
            <v>0</v>
          </cell>
          <cell r="Z2082">
            <v>16400</v>
          </cell>
          <cell r="AA2082">
            <v>0</v>
          </cell>
          <cell r="AB2082">
            <v>0</v>
          </cell>
          <cell r="AC2082">
            <v>0</v>
          </cell>
          <cell r="AD2082">
            <v>0.39100000000000001</v>
          </cell>
          <cell r="AE2082">
            <v>0</v>
          </cell>
          <cell r="AF2082">
            <v>0</v>
          </cell>
          <cell r="AG2082">
            <v>9900</v>
          </cell>
          <cell r="AH2082">
            <v>96</v>
          </cell>
          <cell r="AI2082">
            <v>0.98899999999999999</v>
          </cell>
          <cell r="AJ2082">
            <v>1</v>
          </cell>
          <cell r="AK2082">
            <v>97.06</v>
          </cell>
          <cell r="AL2082">
            <v>0</v>
          </cell>
        </row>
        <row r="2083">
          <cell r="E2083" t="str">
            <v>D15-322PH</v>
          </cell>
          <cell r="F2083" t="str">
            <v>台</v>
          </cell>
          <cell r="G2083">
            <v>0</v>
          </cell>
          <cell r="H2083">
            <v>17800</v>
          </cell>
          <cell r="I2083">
            <v>0</v>
          </cell>
          <cell r="J2083">
            <v>17800</v>
          </cell>
          <cell r="K2083">
            <v>0</v>
          </cell>
          <cell r="L2083">
            <v>17800</v>
          </cell>
          <cell r="M2083">
            <v>0</v>
          </cell>
          <cell r="N2083">
            <v>17800</v>
          </cell>
          <cell r="O2083">
            <v>0</v>
          </cell>
          <cell r="P2083">
            <v>17800</v>
          </cell>
          <cell r="Q2083">
            <v>0</v>
          </cell>
          <cell r="R2083">
            <v>17800</v>
          </cell>
          <cell r="S2083">
            <v>0</v>
          </cell>
          <cell r="T2083">
            <v>17800</v>
          </cell>
          <cell r="U2083">
            <v>0</v>
          </cell>
          <cell r="V2083">
            <v>17800</v>
          </cell>
          <cell r="W2083">
            <v>0</v>
          </cell>
          <cell r="X2083">
            <v>17800</v>
          </cell>
          <cell r="Y2083">
            <v>0</v>
          </cell>
          <cell r="Z2083">
            <v>17800</v>
          </cell>
          <cell r="AA2083">
            <v>0</v>
          </cell>
          <cell r="AB2083">
            <v>0</v>
          </cell>
          <cell r="AC2083">
            <v>0</v>
          </cell>
          <cell r="AD2083">
            <v>0.39100000000000001</v>
          </cell>
          <cell r="AE2083">
            <v>0</v>
          </cell>
          <cell r="AF2083">
            <v>0</v>
          </cell>
          <cell r="AG2083">
            <v>9900</v>
          </cell>
          <cell r="AH2083">
            <v>96</v>
          </cell>
          <cell r="AI2083">
            <v>0.98899999999999999</v>
          </cell>
          <cell r="AJ2083">
            <v>1</v>
          </cell>
          <cell r="AK2083">
            <v>97.06</v>
          </cell>
          <cell r="AL2083">
            <v>0</v>
          </cell>
        </row>
        <row r="2084">
          <cell r="E2084" t="str">
            <v>D15-322PX</v>
          </cell>
          <cell r="F2084" t="str">
            <v>台</v>
          </cell>
          <cell r="G2084">
            <v>0</v>
          </cell>
          <cell r="H2084">
            <v>18900</v>
          </cell>
          <cell r="I2084">
            <v>0</v>
          </cell>
          <cell r="J2084">
            <v>18900</v>
          </cell>
          <cell r="K2084">
            <v>0</v>
          </cell>
          <cell r="L2084">
            <v>18900</v>
          </cell>
          <cell r="M2084">
            <v>0</v>
          </cell>
          <cell r="N2084">
            <v>18900</v>
          </cell>
          <cell r="O2084">
            <v>0</v>
          </cell>
          <cell r="P2084">
            <v>18900</v>
          </cell>
          <cell r="Q2084">
            <v>0</v>
          </cell>
          <cell r="R2084">
            <v>18900</v>
          </cell>
          <cell r="S2084">
            <v>0</v>
          </cell>
          <cell r="T2084">
            <v>18900</v>
          </cell>
          <cell r="U2084">
            <v>0</v>
          </cell>
          <cell r="V2084">
            <v>18900</v>
          </cell>
          <cell r="W2084">
            <v>0</v>
          </cell>
          <cell r="X2084">
            <v>18900</v>
          </cell>
          <cell r="Y2084">
            <v>0</v>
          </cell>
          <cell r="Z2084">
            <v>18900</v>
          </cell>
          <cell r="AA2084">
            <v>0</v>
          </cell>
          <cell r="AB2084">
            <v>0</v>
          </cell>
          <cell r="AC2084">
            <v>0</v>
          </cell>
          <cell r="AD2084">
            <v>0.39100000000000001</v>
          </cell>
          <cell r="AE2084">
            <v>0</v>
          </cell>
          <cell r="AF2084">
            <v>0</v>
          </cell>
          <cell r="AG2084">
            <v>9900</v>
          </cell>
          <cell r="AH2084">
            <v>96</v>
          </cell>
          <cell r="AI2084">
            <v>0.98899999999999999</v>
          </cell>
          <cell r="AJ2084">
            <v>1</v>
          </cell>
          <cell r="AK2084">
            <v>97.06</v>
          </cell>
          <cell r="AL2084">
            <v>0</v>
          </cell>
        </row>
        <row r="2085">
          <cell r="E2085" t="str">
            <v>D15-322PZ</v>
          </cell>
          <cell r="F2085" t="str">
            <v>台</v>
          </cell>
          <cell r="G2085">
            <v>0</v>
          </cell>
          <cell r="H2085">
            <v>21900</v>
          </cell>
          <cell r="I2085">
            <v>0</v>
          </cell>
          <cell r="J2085">
            <v>21900</v>
          </cell>
          <cell r="K2085">
            <v>0</v>
          </cell>
          <cell r="L2085">
            <v>21900</v>
          </cell>
          <cell r="M2085">
            <v>0</v>
          </cell>
          <cell r="N2085">
            <v>21900</v>
          </cell>
          <cell r="O2085">
            <v>0</v>
          </cell>
          <cell r="P2085">
            <v>21900</v>
          </cell>
          <cell r="Q2085">
            <v>0</v>
          </cell>
          <cell r="R2085">
            <v>21900</v>
          </cell>
          <cell r="S2085">
            <v>0</v>
          </cell>
          <cell r="T2085">
            <v>21900</v>
          </cell>
          <cell r="U2085">
            <v>0</v>
          </cell>
          <cell r="V2085">
            <v>21900</v>
          </cell>
          <cell r="W2085">
            <v>0</v>
          </cell>
          <cell r="X2085">
            <v>21900</v>
          </cell>
          <cell r="Y2085">
            <v>0</v>
          </cell>
          <cell r="Z2085">
            <v>21900</v>
          </cell>
          <cell r="AA2085">
            <v>0</v>
          </cell>
          <cell r="AB2085">
            <v>0</v>
          </cell>
          <cell r="AC2085">
            <v>0</v>
          </cell>
          <cell r="AD2085">
            <v>0.39100000000000001</v>
          </cell>
          <cell r="AE2085">
            <v>0</v>
          </cell>
          <cell r="AF2085">
            <v>0</v>
          </cell>
          <cell r="AG2085">
            <v>9900</v>
          </cell>
          <cell r="AH2085">
            <v>96</v>
          </cell>
          <cell r="AI2085">
            <v>0.98899999999999999</v>
          </cell>
          <cell r="AJ2085">
            <v>1</v>
          </cell>
          <cell r="AK2085">
            <v>97.06</v>
          </cell>
          <cell r="AL2085">
            <v>0</v>
          </cell>
        </row>
        <row r="2086">
          <cell r="E2086" t="str">
            <v>D15-322PK</v>
          </cell>
          <cell r="F2086" t="str">
            <v>台</v>
          </cell>
          <cell r="G2086">
            <v>0</v>
          </cell>
          <cell r="H2086">
            <v>18900</v>
          </cell>
          <cell r="I2086">
            <v>0</v>
          </cell>
          <cell r="J2086">
            <v>18900</v>
          </cell>
          <cell r="K2086">
            <v>0</v>
          </cell>
          <cell r="L2086">
            <v>18900</v>
          </cell>
          <cell r="M2086">
            <v>0</v>
          </cell>
          <cell r="N2086">
            <v>18900</v>
          </cell>
          <cell r="O2086">
            <v>0</v>
          </cell>
          <cell r="P2086">
            <v>18900</v>
          </cell>
          <cell r="Q2086">
            <v>0</v>
          </cell>
          <cell r="R2086">
            <v>18900</v>
          </cell>
          <cell r="S2086">
            <v>0</v>
          </cell>
          <cell r="T2086">
            <v>18900</v>
          </cell>
          <cell r="U2086">
            <v>0</v>
          </cell>
          <cell r="V2086">
            <v>18900</v>
          </cell>
          <cell r="W2086">
            <v>0</v>
          </cell>
          <cell r="X2086">
            <v>18900</v>
          </cell>
          <cell r="Y2086">
            <v>0</v>
          </cell>
          <cell r="Z2086">
            <v>18900</v>
          </cell>
          <cell r="AA2086">
            <v>0</v>
          </cell>
          <cell r="AB2086">
            <v>0</v>
          </cell>
          <cell r="AC2086">
            <v>0</v>
          </cell>
          <cell r="AD2086">
            <v>0.39100000000000001</v>
          </cell>
          <cell r="AE2086">
            <v>0</v>
          </cell>
          <cell r="AF2086">
            <v>0</v>
          </cell>
          <cell r="AG2086">
            <v>9900</v>
          </cell>
          <cell r="AH2086">
            <v>96</v>
          </cell>
          <cell r="AI2086">
            <v>0.98899999999999999</v>
          </cell>
          <cell r="AJ2086">
            <v>1</v>
          </cell>
          <cell r="AK2086">
            <v>97.06</v>
          </cell>
          <cell r="AL2086">
            <v>0</v>
          </cell>
        </row>
        <row r="2087">
          <cell r="E2087" t="str">
            <v>D15L3-162PH</v>
          </cell>
          <cell r="F2087" t="str">
            <v>台</v>
          </cell>
          <cell r="G2087">
            <v>0</v>
          </cell>
          <cell r="H2087">
            <v>15700</v>
          </cell>
          <cell r="I2087">
            <v>0</v>
          </cell>
          <cell r="J2087">
            <v>15700</v>
          </cell>
          <cell r="K2087">
            <v>0</v>
          </cell>
          <cell r="L2087">
            <v>15700</v>
          </cell>
          <cell r="M2087">
            <v>0</v>
          </cell>
          <cell r="N2087">
            <v>15700</v>
          </cell>
          <cell r="O2087">
            <v>0</v>
          </cell>
          <cell r="P2087">
            <v>15700</v>
          </cell>
          <cell r="Q2087">
            <v>0</v>
          </cell>
          <cell r="R2087">
            <v>15700</v>
          </cell>
          <cell r="S2087">
            <v>0</v>
          </cell>
          <cell r="T2087">
            <v>15700</v>
          </cell>
          <cell r="U2087">
            <v>0</v>
          </cell>
          <cell r="V2087">
            <v>15700</v>
          </cell>
          <cell r="W2087">
            <v>0</v>
          </cell>
          <cell r="X2087">
            <v>15700</v>
          </cell>
          <cell r="Y2087">
            <v>0</v>
          </cell>
          <cell r="Z2087">
            <v>15700</v>
          </cell>
          <cell r="AA2087">
            <v>0</v>
          </cell>
          <cell r="AB2087">
            <v>0</v>
          </cell>
          <cell r="AC2087">
            <v>0</v>
          </cell>
          <cell r="AD2087">
            <v>0.252</v>
          </cell>
          <cell r="AE2087">
            <v>0</v>
          </cell>
          <cell r="AF2087">
            <v>0</v>
          </cell>
          <cell r="AG2087">
            <v>4200</v>
          </cell>
          <cell r="AH2087">
            <v>50</v>
          </cell>
          <cell r="AI2087">
            <v>0.98</v>
          </cell>
          <cell r="AJ2087">
            <v>1</v>
          </cell>
          <cell r="AK2087">
            <v>51.02</v>
          </cell>
          <cell r="AL2087">
            <v>0</v>
          </cell>
        </row>
        <row r="2088">
          <cell r="E2088" t="str">
            <v>D15L3-162PX</v>
          </cell>
          <cell r="F2088" t="str">
            <v>台</v>
          </cell>
          <cell r="G2088">
            <v>0</v>
          </cell>
          <cell r="H2088">
            <v>16700</v>
          </cell>
          <cell r="I2088">
            <v>0</v>
          </cell>
          <cell r="J2088">
            <v>16700</v>
          </cell>
          <cell r="K2088">
            <v>0</v>
          </cell>
          <cell r="L2088">
            <v>16700</v>
          </cell>
          <cell r="M2088">
            <v>0</v>
          </cell>
          <cell r="N2088">
            <v>16700</v>
          </cell>
          <cell r="O2088">
            <v>0</v>
          </cell>
          <cell r="P2088">
            <v>16700</v>
          </cell>
          <cell r="Q2088">
            <v>0</v>
          </cell>
          <cell r="R2088">
            <v>16700</v>
          </cell>
          <cell r="S2088">
            <v>0</v>
          </cell>
          <cell r="T2088">
            <v>16700</v>
          </cell>
          <cell r="U2088">
            <v>0</v>
          </cell>
          <cell r="V2088">
            <v>16700</v>
          </cell>
          <cell r="W2088">
            <v>0</v>
          </cell>
          <cell r="X2088">
            <v>16700</v>
          </cell>
          <cell r="Y2088">
            <v>0</v>
          </cell>
          <cell r="Z2088">
            <v>16700</v>
          </cell>
          <cell r="AA2088">
            <v>0</v>
          </cell>
          <cell r="AB2088">
            <v>0</v>
          </cell>
          <cell r="AC2088">
            <v>0</v>
          </cell>
          <cell r="AD2088">
            <v>0.252</v>
          </cell>
          <cell r="AE2088">
            <v>0</v>
          </cell>
          <cell r="AF2088">
            <v>0</v>
          </cell>
          <cell r="AG2088">
            <v>4200</v>
          </cell>
          <cell r="AH2088">
            <v>50</v>
          </cell>
          <cell r="AI2088">
            <v>0.98</v>
          </cell>
          <cell r="AJ2088">
            <v>1</v>
          </cell>
          <cell r="AK2088">
            <v>51.02</v>
          </cell>
          <cell r="AL2088">
            <v>0</v>
          </cell>
        </row>
        <row r="2089">
          <cell r="E2089" t="str">
            <v>D15L3-321PN</v>
          </cell>
          <cell r="F2089" t="str">
            <v>台</v>
          </cell>
          <cell r="G2089">
            <v>0</v>
          </cell>
          <cell r="H2089">
            <v>13800</v>
          </cell>
          <cell r="I2089">
            <v>0</v>
          </cell>
          <cell r="J2089">
            <v>13800</v>
          </cell>
          <cell r="K2089">
            <v>0</v>
          </cell>
          <cell r="L2089">
            <v>13800</v>
          </cell>
          <cell r="M2089">
            <v>0</v>
          </cell>
          <cell r="N2089">
            <v>13800</v>
          </cell>
          <cell r="O2089">
            <v>0</v>
          </cell>
          <cell r="P2089">
            <v>13800</v>
          </cell>
          <cell r="Q2089">
            <v>0</v>
          </cell>
          <cell r="R2089">
            <v>13800</v>
          </cell>
          <cell r="S2089">
            <v>0</v>
          </cell>
          <cell r="T2089">
            <v>13800</v>
          </cell>
          <cell r="U2089">
            <v>0</v>
          </cell>
          <cell r="V2089">
            <v>13800</v>
          </cell>
          <cell r="W2089">
            <v>0</v>
          </cell>
          <cell r="X2089">
            <v>13800</v>
          </cell>
          <cell r="Y2089">
            <v>0</v>
          </cell>
          <cell r="Z2089">
            <v>13800</v>
          </cell>
          <cell r="AA2089">
            <v>0</v>
          </cell>
          <cell r="AB2089">
            <v>0</v>
          </cell>
          <cell r="AC2089">
            <v>0</v>
          </cell>
          <cell r="AD2089">
            <v>0.313</v>
          </cell>
          <cell r="AE2089">
            <v>0</v>
          </cell>
          <cell r="AF2089">
            <v>0</v>
          </cell>
          <cell r="AG2089">
            <v>4950</v>
          </cell>
          <cell r="AH2089">
            <v>48</v>
          </cell>
          <cell r="AI2089">
            <v>0.97899999999999998</v>
          </cell>
          <cell r="AJ2089">
            <v>1</v>
          </cell>
          <cell r="AK2089">
            <v>49.02</v>
          </cell>
          <cell r="AL2089">
            <v>0</v>
          </cell>
        </row>
        <row r="2090">
          <cell r="E2090" t="str">
            <v>D15L3-321PH</v>
          </cell>
          <cell r="F2090" t="str">
            <v>台</v>
          </cell>
          <cell r="G2090">
            <v>0</v>
          </cell>
          <cell r="H2090">
            <v>15900</v>
          </cell>
          <cell r="I2090">
            <v>0</v>
          </cell>
          <cell r="J2090">
            <v>15900</v>
          </cell>
          <cell r="K2090">
            <v>0</v>
          </cell>
          <cell r="L2090">
            <v>15900</v>
          </cell>
          <cell r="M2090">
            <v>0</v>
          </cell>
          <cell r="N2090">
            <v>15900</v>
          </cell>
          <cell r="O2090">
            <v>0</v>
          </cell>
          <cell r="P2090">
            <v>15900</v>
          </cell>
          <cell r="Q2090">
            <v>0</v>
          </cell>
          <cell r="R2090">
            <v>15900</v>
          </cell>
          <cell r="S2090">
            <v>0</v>
          </cell>
          <cell r="T2090">
            <v>15900</v>
          </cell>
          <cell r="U2090">
            <v>0</v>
          </cell>
          <cell r="V2090">
            <v>15900</v>
          </cell>
          <cell r="W2090">
            <v>0</v>
          </cell>
          <cell r="X2090">
            <v>15900</v>
          </cell>
          <cell r="Y2090">
            <v>0</v>
          </cell>
          <cell r="Z2090">
            <v>15900</v>
          </cell>
          <cell r="AA2090">
            <v>0</v>
          </cell>
          <cell r="AB2090">
            <v>0</v>
          </cell>
          <cell r="AC2090">
            <v>0</v>
          </cell>
          <cell r="AD2090">
            <v>0.313</v>
          </cell>
          <cell r="AE2090">
            <v>0</v>
          </cell>
          <cell r="AF2090">
            <v>0</v>
          </cell>
          <cell r="AG2090">
            <v>4950</v>
          </cell>
          <cell r="AH2090">
            <v>48</v>
          </cell>
          <cell r="AI2090">
            <v>0.97899999999999998</v>
          </cell>
          <cell r="AJ2090">
            <v>1</v>
          </cell>
          <cell r="AK2090">
            <v>49.02</v>
          </cell>
          <cell r="AL2090">
            <v>0</v>
          </cell>
        </row>
        <row r="2091">
          <cell r="E2091" t="str">
            <v>D15L3-321PX</v>
          </cell>
          <cell r="F2091" t="str">
            <v>台</v>
          </cell>
          <cell r="G2091">
            <v>0</v>
          </cell>
          <cell r="H2091">
            <v>17100</v>
          </cell>
          <cell r="I2091">
            <v>0</v>
          </cell>
          <cell r="J2091">
            <v>17100</v>
          </cell>
          <cell r="K2091">
            <v>0</v>
          </cell>
          <cell r="L2091">
            <v>17100</v>
          </cell>
          <cell r="M2091">
            <v>0</v>
          </cell>
          <cell r="N2091">
            <v>17100</v>
          </cell>
          <cell r="O2091">
            <v>0</v>
          </cell>
          <cell r="P2091">
            <v>17100</v>
          </cell>
          <cell r="Q2091">
            <v>0</v>
          </cell>
          <cell r="R2091">
            <v>17100</v>
          </cell>
          <cell r="S2091">
            <v>0</v>
          </cell>
          <cell r="T2091">
            <v>17100</v>
          </cell>
          <cell r="U2091">
            <v>0</v>
          </cell>
          <cell r="V2091">
            <v>17100</v>
          </cell>
          <cell r="W2091">
            <v>0</v>
          </cell>
          <cell r="X2091">
            <v>17100</v>
          </cell>
          <cell r="Y2091">
            <v>0</v>
          </cell>
          <cell r="Z2091">
            <v>17100</v>
          </cell>
          <cell r="AA2091">
            <v>0</v>
          </cell>
          <cell r="AB2091">
            <v>0</v>
          </cell>
          <cell r="AC2091">
            <v>0</v>
          </cell>
          <cell r="AD2091">
            <v>0.313</v>
          </cell>
          <cell r="AE2091">
            <v>0</v>
          </cell>
          <cell r="AF2091">
            <v>0</v>
          </cell>
          <cell r="AG2091">
            <v>4950</v>
          </cell>
          <cell r="AH2091">
            <v>48</v>
          </cell>
          <cell r="AI2091">
            <v>0.97899999999999998</v>
          </cell>
          <cell r="AJ2091">
            <v>1</v>
          </cell>
          <cell r="AK2091">
            <v>49.02</v>
          </cell>
          <cell r="AL2091">
            <v>0</v>
          </cell>
        </row>
        <row r="2092">
          <cell r="E2092" t="str">
            <v>D15L3-321PK</v>
          </cell>
          <cell r="F2092" t="str">
            <v>台</v>
          </cell>
          <cell r="G2092">
            <v>0</v>
          </cell>
          <cell r="H2092">
            <v>17100</v>
          </cell>
          <cell r="I2092">
            <v>0</v>
          </cell>
          <cell r="J2092">
            <v>17100</v>
          </cell>
          <cell r="K2092">
            <v>0</v>
          </cell>
          <cell r="L2092">
            <v>17100</v>
          </cell>
          <cell r="M2092">
            <v>0</v>
          </cell>
          <cell r="N2092">
            <v>17100</v>
          </cell>
          <cell r="O2092">
            <v>0</v>
          </cell>
          <cell r="P2092">
            <v>17100</v>
          </cell>
          <cell r="Q2092">
            <v>0</v>
          </cell>
          <cell r="R2092">
            <v>17100</v>
          </cell>
          <cell r="S2092">
            <v>0</v>
          </cell>
          <cell r="T2092">
            <v>17100</v>
          </cell>
          <cell r="U2092">
            <v>0</v>
          </cell>
          <cell r="V2092">
            <v>17100</v>
          </cell>
          <cell r="W2092">
            <v>0</v>
          </cell>
          <cell r="X2092">
            <v>17100</v>
          </cell>
          <cell r="Y2092">
            <v>0</v>
          </cell>
          <cell r="Z2092">
            <v>17100</v>
          </cell>
          <cell r="AA2092">
            <v>0</v>
          </cell>
          <cell r="AB2092">
            <v>0</v>
          </cell>
          <cell r="AC2092">
            <v>0</v>
          </cell>
          <cell r="AD2092">
            <v>0.313</v>
          </cell>
          <cell r="AE2092">
            <v>0</v>
          </cell>
          <cell r="AF2092">
            <v>0</v>
          </cell>
          <cell r="AG2092">
            <v>4950</v>
          </cell>
          <cell r="AH2092">
            <v>48</v>
          </cell>
          <cell r="AI2092">
            <v>0.97899999999999998</v>
          </cell>
          <cell r="AJ2092">
            <v>1</v>
          </cell>
          <cell r="AK2092">
            <v>49.02</v>
          </cell>
          <cell r="AL2092">
            <v>0</v>
          </cell>
        </row>
        <row r="2093">
          <cell r="E2093" t="str">
            <v>D15L3-322PN</v>
          </cell>
          <cell r="F2093" t="str">
            <v>台</v>
          </cell>
          <cell r="G2093">
            <v>0</v>
          </cell>
          <cell r="H2093">
            <v>16400</v>
          </cell>
          <cell r="I2093">
            <v>0</v>
          </cell>
          <cell r="J2093">
            <v>16400</v>
          </cell>
          <cell r="K2093">
            <v>0</v>
          </cell>
          <cell r="L2093">
            <v>16400</v>
          </cell>
          <cell r="M2093">
            <v>0</v>
          </cell>
          <cell r="N2093">
            <v>16400</v>
          </cell>
          <cell r="O2093">
            <v>0</v>
          </cell>
          <cell r="P2093">
            <v>16400</v>
          </cell>
          <cell r="Q2093">
            <v>0</v>
          </cell>
          <cell r="R2093">
            <v>16400</v>
          </cell>
          <cell r="S2093">
            <v>0</v>
          </cell>
          <cell r="T2093">
            <v>16400</v>
          </cell>
          <cell r="U2093">
            <v>0</v>
          </cell>
          <cell r="V2093">
            <v>16400</v>
          </cell>
          <cell r="W2093">
            <v>0</v>
          </cell>
          <cell r="X2093">
            <v>16400</v>
          </cell>
          <cell r="Y2093">
            <v>0</v>
          </cell>
          <cell r="Z2093">
            <v>16400</v>
          </cell>
          <cell r="AA2093">
            <v>0</v>
          </cell>
          <cell r="AB2093">
            <v>0</v>
          </cell>
          <cell r="AC2093">
            <v>0</v>
          </cell>
          <cell r="AD2093">
            <v>0.39100000000000001</v>
          </cell>
          <cell r="AE2093">
            <v>0</v>
          </cell>
          <cell r="AF2093">
            <v>0</v>
          </cell>
          <cell r="AG2093">
            <v>9900</v>
          </cell>
          <cell r="AH2093">
            <v>96</v>
          </cell>
          <cell r="AI2093">
            <v>0.98899999999999999</v>
          </cell>
          <cell r="AJ2093">
            <v>1</v>
          </cell>
          <cell r="AK2093">
            <v>97.06</v>
          </cell>
          <cell r="AL2093">
            <v>0</v>
          </cell>
        </row>
        <row r="2094">
          <cell r="E2094" t="str">
            <v>D15L3-322PH</v>
          </cell>
          <cell r="F2094" t="str">
            <v>台</v>
          </cell>
          <cell r="G2094">
            <v>0</v>
          </cell>
          <cell r="H2094">
            <v>17800</v>
          </cell>
          <cell r="I2094">
            <v>0</v>
          </cell>
          <cell r="J2094">
            <v>17800</v>
          </cell>
          <cell r="K2094">
            <v>0</v>
          </cell>
          <cell r="L2094">
            <v>17800</v>
          </cell>
          <cell r="M2094">
            <v>0</v>
          </cell>
          <cell r="N2094">
            <v>17800</v>
          </cell>
          <cell r="O2094">
            <v>0</v>
          </cell>
          <cell r="P2094">
            <v>17800</v>
          </cell>
          <cell r="Q2094">
            <v>0</v>
          </cell>
          <cell r="R2094">
            <v>17800</v>
          </cell>
          <cell r="S2094">
            <v>0</v>
          </cell>
          <cell r="T2094">
            <v>17800</v>
          </cell>
          <cell r="U2094">
            <v>0</v>
          </cell>
          <cell r="V2094">
            <v>17800</v>
          </cell>
          <cell r="W2094">
            <v>0</v>
          </cell>
          <cell r="X2094">
            <v>17800</v>
          </cell>
          <cell r="Y2094">
            <v>0</v>
          </cell>
          <cell r="Z2094">
            <v>17800</v>
          </cell>
          <cell r="AA2094">
            <v>0</v>
          </cell>
          <cell r="AB2094">
            <v>0</v>
          </cell>
          <cell r="AC2094">
            <v>0</v>
          </cell>
          <cell r="AD2094">
            <v>0.39100000000000001</v>
          </cell>
          <cell r="AE2094">
            <v>0</v>
          </cell>
          <cell r="AF2094">
            <v>0</v>
          </cell>
          <cell r="AG2094">
            <v>9900</v>
          </cell>
          <cell r="AH2094">
            <v>96</v>
          </cell>
          <cell r="AI2094">
            <v>0.98899999999999999</v>
          </cell>
          <cell r="AJ2094">
            <v>1</v>
          </cell>
          <cell r="AK2094">
            <v>97.06</v>
          </cell>
          <cell r="AL2094">
            <v>0</v>
          </cell>
        </row>
        <row r="2095">
          <cell r="E2095" t="str">
            <v>D15L3-322PX</v>
          </cell>
          <cell r="F2095" t="str">
            <v>台</v>
          </cell>
          <cell r="G2095">
            <v>0</v>
          </cell>
          <cell r="H2095">
            <v>18900</v>
          </cell>
          <cell r="I2095">
            <v>0</v>
          </cell>
          <cell r="J2095">
            <v>18900</v>
          </cell>
          <cell r="K2095">
            <v>0</v>
          </cell>
          <cell r="L2095">
            <v>18900</v>
          </cell>
          <cell r="M2095">
            <v>0</v>
          </cell>
          <cell r="N2095">
            <v>18900</v>
          </cell>
          <cell r="O2095">
            <v>0</v>
          </cell>
          <cell r="P2095">
            <v>18900</v>
          </cell>
          <cell r="Q2095">
            <v>0</v>
          </cell>
          <cell r="R2095">
            <v>18900</v>
          </cell>
          <cell r="S2095">
            <v>0</v>
          </cell>
          <cell r="T2095">
            <v>18900</v>
          </cell>
          <cell r="U2095">
            <v>0</v>
          </cell>
          <cell r="V2095">
            <v>18900</v>
          </cell>
          <cell r="W2095">
            <v>0</v>
          </cell>
          <cell r="X2095">
            <v>18900</v>
          </cell>
          <cell r="Y2095">
            <v>0</v>
          </cell>
          <cell r="Z2095">
            <v>18900</v>
          </cell>
          <cell r="AA2095">
            <v>0</v>
          </cell>
          <cell r="AB2095">
            <v>0</v>
          </cell>
          <cell r="AC2095">
            <v>0</v>
          </cell>
          <cell r="AD2095">
            <v>0.39100000000000001</v>
          </cell>
          <cell r="AE2095">
            <v>0</v>
          </cell>
          <cell r="AF2095">
            <v>0</v>
          </cell>
          <cell r="AG2095">
            <v>9900</v>
          </cell>
          <cell r="AH2095">
            <v>96</v>
          </cell>
          <cell r="AI2095">
            <v>0.98899999999999999</v>
          </cell>
          <cell r="AJ2095">
            <v>1</v>
          </cell>
          <cell r="AK2095">
            <v>97.06</v>
          </cell>
          <cell r="AL2095">
            <v>0</v>
          </cell>
        </row>
        <row r="2096">
          <cell r="E2096" t="str">
            <v>D15L3-322PZ</v>
          </cell>
          <cell r="F2096" t="str">
            <v>台</v>
          </cell>
          <cell r="G2096">
            <v>0</v>
          </cell>
          <cell r="H2096">
            <v>21900</v>
          </cell>
          <cell r="I2096">
            <v>0</v>
          </cell>
          <cell r="J2096">
            <v>21900</v>
          </cell>
          <cell r="K2096">
            <v>0</v>
          </cell>
          <cell r="L2096">
            <v>21900</v>
          </cell>
          <cell r="M2096">
            <v>0</v>
          </cell>
          <cell r="N2096">
            <v>21900</v>
          </cell>
          <cell r="O2096">
            <v>0</v>
          </cell>
          <cell r="P2096">
            <v>21900</v>
          </cell>
          <cell r="Q2096">
            <v>0</v>
          </cell>
          <cell r="R2096">
            <v>21900</v>
          </cell>
          <cell r="S2096">
            <v>0</v>
          </cell>
          <cell r="T2096">
            <v>21900</v>
          </cell>
          <cell r="U2096">
            <v>0</v>
          </cell>
          <cell r="V2096">
            <v>21900</v>
          </cell>
          <cell r="W2096">
            <v>0</v>
          </cell>
          <cell r="X2096">
            <v>21900</v>
          </cell>
          <cell r="Y2096">
            <v>0</v>
          </cell>
          <cell r="Z2096">
            <v>21900</v>
          </cell>
          <cell r="AA2096">
            <v>0</v>
          </cell>
          <cell r="AB2096">
            <v>0</v>
          </cell>
          <cell r="AC2096">
            <v>0</v>
          </cell>
          <cell r="AD2096">
            <v>0.39100000000000001</v>
          </cell>
          <cell r="AE2096">
            <v>0</v>
          </cell>
          <cell r="AF2096">
            <v>0</v>
          </cell>
          <cell r="AG2096">
            <v>9900</v>
          </cell>
          <cell r="AH2096">
            <v>96</v>
          </cell>
          <cell r="AI2096">
            <v>0.98899999999999999</v>
          </cell>
          <cell r="AJ2096">
            <v>1</v>
          </cell>
          <cell r="AK2096">
            <v>97.06</v>
          </cell>
          <cell r="AL2096">
            <v>0</v>
          </cell>
        </row>
        <row r="2097">
          <cell r="E2097" t="str">
            <v>D15L3-322PK</v>
          </cell>
          <cell r="F2097" t="str">
            <v>台</v>
          </cell>
          <cell r="G2097">
            <v>0</v>
          </cell>
          <cell r="H2097">
            <v>18900</v>
          </cell>
          <cell r="I2097">
            <v>0</v>
          </cell>
          <cell r="J2097">
            <v>18900</v>
          </cell>
          <cell r="K2097">
            <v>0</v>
          </cell>
          <cell r="L2097">
            <v>18900</v>
          </cell>
          <cell r="M2097">
            <v>0</v>
          </cell>
          <cell r="N2097">
            <v>18900</v>
          </cell>
          <cell r="O2097">
            <v>0</v>
          </cell>
          <cell r="P2097">
            <v>18900</v>
          </cell>
          <cell r="Q2097">
            <v>0</v>
          </cell>
          <cell r="R2097">
            <v>18900</v>
          </cell>
          <cell r="S2097">
            <v>0</v>
          </cell>
          <cell r="T2097">
            <v>18900</v>
          </cell>
          <cell r="U2097">
            <v>0</v>
          </cell>
          <cell r="V2097">
            <v>18900</v>
          </cell>
          <cell r="W2097">
            <v>0</v>
          </cell>
          <cell r="X2097">
            <v>18900</v>
          </cell>
          <cell r="Y2097">
            <v>0</v>
          </cell>
          <cell r="Z2097">
            <v>18900</v>
          </cell>
          <cell r="AA2097">
            <v>0</v>
          </cell>
          <cell r="AB2097">
            <v>0</v>
          </cell>
          <cell r="AC2097">
            <v>0</v>
          </cell>
          <cell r="AD2097">
            <v>0.39100000000000001</v>
          </cell>
          <cell r="AE2097">
            <v>0</v>
          </cell>
          <cell r="AF2097">
            <v>0</v>
          </cell>
          <cell r="AG2097">
            <v>9900</v>
          </cell>
          <cell r="AH2097">
            <v>96</v>
          </cell>
          <cell r="AI2097">
            <v>0.98899999999999999</v>
          </cell>
          <cell r="AJ2097">
            <v>1</v>
          </cell>
          <cell r="AK2097">
            <v>97.06</v>
          </cell>
          <cell r="AL2097">
            <v>0</v>
          </cell>
        </row>
        <row r="2098">
          <cell r="E2098" t="str">
            <v>D15L5-162PH</v>
          </cell>
          <cell r="F2098" t="str">
            <v>台</v>
          </cell>
          <cell r="G2098">
            <v>0</v>
          </cell>
          <cell r="H2098">
            <v>12400</v>
          </cell>
          <cell r="I2098">
            <v>0</v>
          </cell>
          <cell r="J2098">
            <v>12400</v>
          </cell>
          <cell r="K2098">
            <v>0</v>
          </cell>
          <cell r="L2098">
            <v>12400</v>
          </cell>
          <cell r="M2098">
            <v>0</v>
          </cell>
          <cell r="N2098">
            <v>12400</v>
          </cell>
          <cell r="O2098">
            <v>0</v>
          </cell>
          <cell r="P2098">
            <v>12400</v>
          </cell>
          <cell r="Q2098">
            <v>0</v>
          </cell>
          <cell r="R2098">
            <v>12400</v>
          </cell>
          <cell r="S2098">
            <v>0</v>
          </cell>
          <cell r="T2098">
            <v>12400</v>
          </cell>
          <cell r="U2098">
            <v>0</v>
          </cell>
          <cell r="V2098">
            <v>12400</v>
          </cell>
          <cell r="W2098">
            <v>0</v>
          </cell>
          <cell r="X2098">
            <v>12400</v>
          </cell>
          <cell r="Y2098">
            <v>0</v>
          </cell>
          <cell r="Z2098">
            <v>12400</v>
          </cell>
          <cell r="AA2098">
            <v>0</v>
          </cell>
          <cell r="AB2098">
            <v>0</v>
          </cell>
          <cell r="AC2098">
            <v>0</v>
          </cell>
          <cell r="AD2098">
            <v>0.252</v>
          </cell>
          <cell r="AE2098">
            <v>0</v>
          </cell>
          <cell r="AF2098">
            <v>0</v>
          </cell>
          <cell r="AG2098">
            <v>4200</v>
          </cell>
          <cell r="AH2098">
            <v>50</v>
          </cell>
          <cell r="AI2098">
            <v>0.98</v>
          </cell>
          <cell r="AJ2098">
            <v>1</v>
          </cell>
          <cell r="AK2098">
            <v>51.02</v>
          </cell>
          <cell r="AL2098">
            <v>0</v>
          </cell>
        </row>
        <row r="2099">
          <cell r="E2099" t="str">
            <v>D15L5-162PX</v>
          </cell>
          <cell r="F2099" t="str">
            <v>台</v>
          </cell>
          <cell r="G2099">
            <v>0</v>
          </cell>
          <cell r="H2099">
            <v>13400</v>
          </cell>
          <cell r="I2099">
            <v>0</v>
          </cell>
          <cell r="J2099">
            <v>13400</v>
          </cell>
          <cell r="K2099">
            <v>0</v>
          </cell>
          <cell r="L2099">
            <v>13400</v>
          </cell>
          <cell r="M2099">
            <v>0</v>
          </cell>
          <cell r="N2099">
            <v>13400</v>
          </cell>
          <cell r="O2099">
            <v>0</v>
          </cell>
          <cell r="P2099">
            <v>13400</v>
          </cell>
          <cell r="Q2099">
            <v>0</v>
          </cell>
          <cell r="R2099">
            <v>13400</v>
          </cell>
          <cell r="S2099">
            <v>0</v>
          </cell>
          <cell r="T2099">
            <v>13400</v>
          </cell>
          <cell r="U2099">
            <v>0</v>
          </cell>
          <cell r="V2099">
            <v>13400</v>
          </cell>
          <cell r="W2099">
            <v>0</v>
          </cell>
          <cell r="X2099">
            <v>13400</v>
          </cell>
          <cell r="Y2099">
            <v>0</v>
          </cell>
          <cell r="Z2099">
            <v>13400</v>
          </cell>
          <cell r="AA2099">
            <v>0</v>
          </cell>
          <cell r="AB2099">
            <v>0</v>
          </cell>
          <cell r="AC2099">
            <v>0</v>
          </cell>
          <cell r="AD2099">
            <v>0.252</v>
          </cell>
          <cell r="AE2099">
            <v>0</v>
          </cell>
          <cell r="AF2099">
            <v>0</v>
          </cell>
          <cell r="AG2099">
            <v>4200</v>
          </cell>
          <cell r="AH2099">
            <v>50</v>
          </cell>
          <cell r="AI2099">
            <v>0.98</v>
          </cell>
          <cell r="AJ2099">
            <v>1</v>
          </cell>
          <cell r="AK2099">
            <v>51.02</v>
          </cell>
          <cell r="AL2099">
            <v>0</v>
          </cell>
        </row>
        <row r="2100">
          <cell r="E2100" t="str">
            <v>D15L5-321PN</v>
          </cell>
          <cell r="F2100" t="str">
            <v>台</v>
          </cell>
          <cell r="G2100">
            <v>0</v>
          </cell>
          <cell r="H2100">
            <v>10100</v>
          </cell>
          <cell r="I2100">
            <v>0</v>
          </cell>
          <cell r="J2100">
            <v>10100</v>
          </cell>
          <cell r="K2100">
            <v>0</v>
          </cell>
          <cell r="L2100">
            <v>10100</v>
          </cell>
          <cell r="M2100">
            <v>0</v>
          </cell>
          <cell r="N2100">
            <v>10100</v>
          </cell>
          <cell r="O2100">
            <v>0</v>
          </cell>
          <cell r="P2100">
            <v>10100</v>
          </cell>
          <cell r="Q2100">
            <v>0</v>
          </cell>
          <cell r="R2100">
            <v>10100</v>
          </cell>
          <cell r="S2100">
            <v>0</v>
          </cell>
          <cell r="T2100">
            <v>10100</v>
          </cell>
          <cell r="U2100">
            <v>0</v>
          </cell>
          <cell r="V2100">
            <v>10100</v>
          </cell>
          <cell r="W2100">
            <v>0</v>
          </cell>
          <cell r="X2100">
            <v>10100</v>
          </cell>
          <cell r="Y2100">
            <v>0</v>
          </cell>
          <cell r="Z2100">
            <v>10100</v>
          </cell>
          <cell r="AA2100">
            <v>0</v>
          </cell>
          <cell r="AB2100">
            <v>0</v>
          </cell>
          <cell r="AC2100">
            <v>0</v>
          </cell>
          <cell r="AD2100">
            <v>0.313</v>
          </cell>
          <cell r="AE2100">
            <v>0</v>
          </cell>
          <cell r="AF2100">
            <v>0</v>
          </cell>
          <cell r="AG2100">
            <v>4950</v>
          </cell>
          <cell r="AH2100">
            <v>48</v>
          </cell>
          <cell r="AI2100">
            <v>0.97899999999999998</v>
          </cell>
          <cell r="AJ2100">
            <v>1</v>
          </cell>
          <cell r="AK2100">
            <v>49.02</v>
          </cell>
          <cell r="AL2100">
            <v>0</v>
          </cell>
        </row>
        <row r="2101">
          <cell r="E2101" t="str">
            <v>D15L5-321PH</v>
          </cell>
          <cell r="F2101" t="str">
            <v>台</v>
          </cell>
          <cell r="G2101">
            <v>0</v>
          </cell>
          <cell r="H2101">
            <v>12100</v>
          </cell>
          <cell r="I2101">
            <v>0</v>
          </cell>
          <cell r="J2101">
            <v>12100</v>
          </cell>
          <cell r="K2101">
            <v>0</v>
          </cell>
          <cell r="L2101">
            <v>12100</v>
          </cell>
          <cell r="M2101">
            <v>0</v>
          </cell>
          <cell r="N2101">
            <v>12100</v>
          </cell>
          <cell r="O2101">
            <v>0</v>
          </cell>
          <cell r="P2101">
            <v>12100</v>
          </cell>
          <cell r="Q2101">
            <v>0</v>
          </cell>
          <cell r="R2101">
            <v>12100</v>
          </cell>
          <cell r="S2101">
            <v>0</v>
          </cell>
          <cell r="T2101">
            <v>12100</v>
          </cell>
          <cell r="U2101">
            <v>0</v>
          </cell>
          <cell r="V2101">
            <v>12100</v>
          </cell>
          <cell r="W2101">
            <v>0</v>
          </cell>
          <cell r="X2101">
            <v>12100</v>
          </cell>
          <cell r="Y2101">
            <v>0</v>
          </cell>
          <cell r="Z2101">
            <v>12100</v>
          </cell>
          <cell r="AA2101">
            <v>0</v>
          </cell>
          <cell r="AB2101">
            <v>0</v>
          </cell>
          <cell r="AC2101">
            <v>0</v>
          </cell>
          <cell r="AD2101">
            <v>0.313</v>
          </cell>
          <cell r="AE2101">
            <v>0</v>
          </cell>
          <cell r="AF2101">
            <v>0</v>
          </cell>
          <cell r="AG2101">
            <v>4950</v>
          </cell>
          <cell r="AH2101">
            <v>48</v>
          </cell>
          <cell r="AI2101">
            <v>0.97899999999999998</v>
          </cell>
          <cell r="AJ2101">
            <v>1</v>
          </cell>
          <cell r="AK2101">
            <v>49.02</v>
          </cell>
          <cell r="AL2101">
            <v>0</v>
          </cell>
        </row>
        <row r="2102">
          <cell r="E2102" t="str">
            <v>D15L5-321PX</v>
          </cell>
          <cell r="F2102" t="str">
            <v>台</v>
          </cell>
          <cell r="G2102">
            <v>0</v>
          </cell>
          <cell r="H2102">
            <v>13300</v>
          </cell>
          <cell r="I2102">
            <v>0</v>
          </cell>
          <cell r="J2102">
            <v>13300</v>
          </cell>
          <cell r="K2102">
            <v>0</v>
          </cell>
          <cell r="L2102">
            <v>13300</v>
          </cell>
          <cell r="M2102">
            <v>0</v>
          </cell>
          <cell r="N2102">
            <v>13300</v>
          </cell>
          <cell r="O2102">
            <v>0</v>
          </cell>
          <cell r="P2102">
            <v>13300</v>
          </cell>
          <cell r="Q2102">
            <v>0</v>
          </cell>
          <cell r="R2102">
            <v>13300</v>
          </cell>
          <cell r="S2102">
            <v>0</v>
          </cell>
          <cell r="T2102">
            <v>13300</v>
          </cell>
          <cell r="U2102">
            <v>0</v>
          </cell>
          <cell r="V2102">
            <v>13300</v>
          </cell>
          <cell r="W2102">
            <v>0</v>
          </cell>
          <cell r="X2102">
            <v>13300</v>
          </cell>
          <cell r="Y2102">
            <v>0</v>
          </cell>
          <cell r="Z2102">
            <v>13300</v>
          </cell>
          <cell r="AA2102">
            <v>0</v>
          </cell>
          <cell r="AB2102">
            <v>0</v>
          </cell>
          <cell r="AC2102">
            <v>0</v>
          </cell>
          <cell r="AD2102">
            <v>0.313</v>
          </cell>
          <cell r="AE2102">
            <v>0</v>
          </cell>
          <cell r="AF2102">
            <v>0</v>
          </cell>
          <cell r="AG2102">
            <v>4950</v>
          </cell>
          <cell r="AH2102">
            <v>48</v>
          </cell>
          <cell r="AI2102">
            <v>0.97899999999999998</v>
          </cell>
          <cell r="AJ2102">
            <v>1</v>
          </cell>
          <cell r="AK2102">
            <v>49.02</v>
          </cell>
          <cell r="AL2102">
            <v>0</v>
          </cell>
        </row>
        <row r="2103">
          <cell r="E2103" t="str">
            <v>D15L5-321PK</v>
          </cell>
          <cell r="F2103" t="str">
            <v>台</v>
          </cell>
          <cell r="G2103">
            <v>0</v>
          </cell>
          <cell r="H2103">
            <v>13300</v>
          </cell>
          <cell r="I2103">
            <v>0</v>
          </cell>
          <cell r="J2103">
            <v>13300</v>
          </cell>
          <cell r="K2103">
            <v>0</v>
          </cell>
          <cell r="L2103">
            <v>13300</v>
          </cell>
          <cell r="M2103">
            <v>0</v>
          </cell>
          <cell r="N2103">
            <v>13300</v>
          </cell>
          <cell r="O2103">
            <v>0</v>
          </cell>
          <cell r="P2103">
            <v>13300</v>
          </cell>
          <cell r="Q2103">
            <v>0</v>
          </cell>
          <cell r="R2103">
            <v>13300</v>
          </cell>
          <cell r="S2103">
            <v>0</v>
          </cell>
          <cell r="T2103">
            <v>13300</v>
          </cell>
          <cell r="U2103">
            <v>0</v>
          </cell>
          <cell r="V2103">
            <v>13300</v>
          </cell>
          <cell r="W2103">
            <v>0</v>
          </cell>
          <cell r="X2103">
            <v>13300</v>
          </cell>
          <cell r="Y2103">
            <v>0</v>
          </cell>
          <cell r="Z2103">
            <v>13300</v>
          </cell>
          <cell r="AA2103">
            <v>0</v>
          </cell>
          <cell r="AB2103">
            <v>0</v>
          </cell>
          <cell r="AC2103">
            <v>0</v>
          </cell>
          <cell r="AD2103">
            <v>0.313</v>
          </cell>
          <cell r="AE2103">
            <v>0</v>
          </cell>
          <cell r="AF2103">
            <v>0</v>
          </cell>
          <cell r="AG2103">
            <v>4950</v>
          </cell>
          <cell r="AH2103">
            <v>48</v>
          </cell>
          <cell r="AI2103">
            <v>0.97899999999999998</v>
          </cell>
          <cell r="AJ2103">
            <v>1</v>
          </cell>
          <cell r="AK2103">
            <v>49.02</v>
          </cell>
          <cell r="AL2103">
            <v>0</v>
          </cell>
        </row>
        <row r="2104">
          <cell r="E2104" t="str">
            <v>D15L5-322PN</v>
          </cell>
          <cell r="F2104" t="str">
            <v>台</v>
          </cell>
          <cell r="G2104">
            <v>0</v>
          </cell>
          <cell r="H2104">
            <v>11800</v>
          </cell>
          <cell r="I2104">
            <v>0</v>
          </cell>
          <cell r="J2104">
            <v>11800</v>
          </cell>
          <cell r="K2104">
            <v>0</v>
          </cell>
          <cell r="L2104">
            <v>11800</v>
          </cell>
          <cell r="M2104">
            <v>0</v>
          </cell>
          <cell r="N2104">
            <v>11800</v>
          </cell>
          <cell r="O2104">
            <v>0</v>
          </cell>
          <cell r="P2104">
            <v>11800</v>
          </cell>
          <cell r="Q2104">
            <v>0</v>
          </cell>
          <cell r="R2104">
            <v>11800</v>
          </cell>
          <cell r="S2104">
            <v>0</v>
          </cell>
          <cell r="T2104">
            <v>11800</v>
          </cell>
          <cell r="U2104">
            <v>0</v>
          </cell>
          <cell r="V2104">
            <v>11800</v>
          </cell>
          <cell r="W2104">
            <v>0</v>
          </cell>
          <cell r="X2104">
            <v>11800</v>
          </cell>
          <cell r="Y2104">
            <v>0</v>
          </cell>
          <cell r="Z2104">
            <v>11800</v>
          </cell>
          <cell r="AA2104">
            <v>0</v>
          </cell>
          <cell r="AB2104">
            <v>0</v>
          </cell>
          <cell r="AC2104">
            <v>0</v>
          </cell>
          <cell r="AD2104">
            <v>0.39100000000000001</v>
          </cell>
          <cell r="AE2104">
            <v>0</v>
          </cell>
          <cell r="AF2104">
            <v>0</v>
          </cell>
          <cell r="AG2104">
            <v>9900</v>
          </cell>
          <cell r="AH2104">
            <v>96</v>
          </cell>
          <cell r="AI2104">
            <v>0.98899999999999999</v>
          </cell>
          <cell r="AJ2104">
            <v>1</v>
          </cell>
          <cell r="AK2104">
            <v>97.06</v>
          </cell>
          <cell r="AL2104">
            <v>0</v>
          </cell>
        </row>
        <row r="2105">
          <cell r="E2105" t="str">
            <v>D15L5-322PH</v>
          </cell>
          <cell r="F2105" t="str">
            <v>台</v>
          </cell>
          <cell r="G2105">
            <v>0</v>
          </cell>
          <cell r="H2105">
            <v>13200</v>
          </cell>
          <cell r="I2105">
            <v>0</v>
          </cell>
          <cell r="J2105">
            <v>13200</v>
          </cell>
          <cell r="K2105">
            <v>0</v>
          </cell>
          <cell r="L2105">
            <v>13200</v>
          </cell>
          <cell r="M2105">
            <v>0</v>
          </cell>
          <cell r="N2105">
            <v>13200</v>
          </cell>
          <cell r="O2105">
            <v>0</v>
          </cell>
          <cell r="P2105">
            <v>13200</v>
          </cell>
          <cell r="Q2105">
            <v>0</v>
          </cell>
          <cell r="R2105">
            <v>13200</v>
          </cell>
          <cell r="S2105">
            <v>0</v>
          </cell>
          <cell r="T2105">
            <v>13200</v>
          </cell>
          <cell r="U2105">
            <v>0</v>
          </cell>
          <cell r="V2105">
            <v>13200</v>
          </cell>
          <cell r="W2105">
            <v>0</v>
          </cell>
          <cell r="X2105">
            <v>13200</v>
          </cell>
          <cell r="Y2105">
            <v>0</v>
          </cell>
          <cell r="Z2105">
            <v>13200</v>
          </cell>
          <cell r="AA2105">
            <v>0</v>
          </cell>
          <cell r="AB2105">
            <v>0</v>
          </cell>
          <cell r="AC2105">
            <v>0</v>
          </cell>
          <cell r="AD2105">
            <v>0.39100000000000001</v>
          </cell>
          <cell r="AE2105">
            <v>0</v>
          </cell>
          <cell r="AF2105">
            <v>0</v>
          </cell>
          <cell r="AG2105">
            <v>9900</v>
          </cell>
          <cell r="AH2105">
            <v>96</v>
          </cell>
          <cell r="AI2105">
            <v>0.98899999999999999</v>
          </cell>
          <cell r="AJ2105">
            <v>1</v>
          </cell>
          <cell r="AK2105">
            <v>97.06</v>
          </cell>
          <cell r="AL2105">
            <v>0</v>
          </cell>
        </row>
        <row r="2106">
          <cell r="E2106" t="str">
            <v>D15L5-322PX</v>
          </cell>
          <cell r="F2106" t="str">
            <v>台</v>
          </cell>
          <cell r="G2106">
            <v>0</v>
          </cell>
          <cell r="H2106">
            <v>14300</v>
          </cell>
          <cell r="I2106">
            <v>0</v>
          </cell>
          <cell r="J2106">
            <v>14300</v>
          </cell>
          <cell r="K2106">
            <v>0</v>
          </cell>
          <cell r="L2106">
            <v>14300</v>
          </cell>
          <cell r="M2106">
            <v>0</v>
          </cell>
          <cell r="N2106">
            <v>14300</v>
          </cell>
          <cell r="O2106">
            <v>0</v>
          </cell>
          <cell r="P2106">
            <v>14300</v>
          </cell>
          <cell r="Q2106">
            <v>0</v>
          </cell>
          <cell r="R2106">
            <v>14300</v>
          </cell>
          <cell r="S2106">
            <v>0</v>
          </cell>
          <cell r="T2106">
            <v>14300</v>
          </cell>
          <cell r="U2106">
            <v>0</v>
          </cell>
          <cell r="V2106">
            <v>14300</v>
          </cell>
          <cell r="W2106">
            <v>0</v>
          </cell>
          <cell r="X2106">
            <v>14300</v>
          </cell>
          <cell r="Y2106">
            <v>0</v>
          </cell>
          <cell r="Z2106">
            <v>14300</v>
          </cell>
          <cell r="AA2106">
            <v>0</v>
          </cell>
          <cell r="AB2106">
            <v>0</v>
          </cell>
          <cell r="AC2106">
            <v>0</v>
          </cell>
          <cell r="AD2106">
            <v>0.39100000000000001</v>
          </cell>
          <cell r="AE2106">
            <v>0</v>
          </cell>
          <cell r="AF2106">
            <v>0</v>
          </cell>
          <cell r="AG2106">
            <v>9900</v>
          </cell>
          <cell r="AH2106">
            <v>96</v>
          </cell>
          <cell r="AI2106">
            <v>0.98899999999999999</v>
          </cell>
          <cell r="AJ2106">
            <v>1</v>
          </cell>
          <cell r="AK2106">
            <v>97.06</v>
          </cell>
          <cell r="AL2106">
            <v>0</v>
          </cell>
        </row>
        <row r="2107">
          <cell r="E2107" t="str">
            <v>D15L5-322PZ</v>
          </cell>
          <cell r="F2107" t="str">
            <v>台</v>
          </cell>
          <cell r="G2107">
            <v>0</v>
          </cell>
          <cell r="H2107">
            <v>17300</v>
          </cell>
          <cell r="I2107">
            <v>0</v>
          </cell>
          <cell r="J2107">
            <v>17300</v>
          </cell>
          <cell r="K2107">
            <v>0</v>
          </cell>
          <cell r="L2107">
            <v>17300</v>
          </cell>
          <cell r="M2107">
            <v>0</v>
          </cell>
          <cell r="N2107">
            <v>17300</v>
          </cell>
          <cell r="O2107">
            <v>0</v>
          </cell>
          <cell r="P2107">
            <v>17300</v>
          </cell>
          <cell r="Q2107">
            <v>0</v>
          </cell>
          <cell r="R2107">
            <v>17300</v>
          </cell>
          <cell r="S2107">
            <v>0</v>
          </cell>
          <cell r="T2107">
            <v>17300</v>
          </cell>
          <cell r="U2107">
            <v>0</v>
          </cell>
          <cell r="V2107">
            <v>17300</v>
          </cell>
          <cell r="W2107">
            <v>0</v>
          </cell>
          <cell r="X2107">
            <v>17300</v>
          </cell>
          <cell r="Y2107">
            <v>0</v>
          </cell>
          <cell r="Z2107">
            <v>17300</v>
          </cell>
          <cell r="AA2107">
            <v>0</v>
          </cell>
          <cell r="AB2107">
            <v>0</v>
          </cell>
          <cell r="AC2107">
            <v>0</v>
          </cell>
          <cell r="AD2107">
            <v>0.39100000000000001</v>
          </cell>
          <cell r="AE2107">
            <v>0</v>
          </cell>
          <cell r="AF2107">
            <v>0</v>
          </cell>
          <cell r="AG2107">
            <v>9900</v>
          </cell>
          <cell r="AH2107">
            <v>96</v>
          </cell>
          <cell r="AI2107">
            <v>0.98899999999999999</v>
          </cell>
          <cell r="AJ2107">
            <v>1</v>
          </cell>
          <cell r="AK2107">
            <v>97.06</v>
          </cell>
          <cell r="AL2107">
            <v>0</v>
          </cell>
        </row>
        <row r="2108">
          <cell r="E2108" t="str">
            <v>D15L5-322PK</v>
          </cell>
          <cell r="F2108" t="str">
            <v>台</v>
          </cell>
          <cell r="G2108">
            <v>0</v>
          </cell>
          <cell r="H2108">
            <v>14300</v>
          </cell>
          <cell r="I2108">
            <v>0</v>
          </cell>
          <cell r="J2108">
            <v>14300</v>
          </cell>
          <cell r="K2108">
            <v>0</v>
          </cell>
          <cell r="L2108">
            <v>14300</v>
          </cell>
          <cell r="M2108">
            <v>0</v>
          </cell>
          <cell r="N2108">
            <v>14300</v>
          </cell>
          <cell r="O2108">
            <v>0</v>
          </cell>
          <cell r="P2108">
            <v>14300</v>
          </cell>
          <cell r="Q2108">
            <v>0</v>
          </cell>
          <cell r="R2108">
            <v>14300</v>
          </cell>
          <cell r="S2108">
            <v>0</v>
          </cell>
          <cell r="T2108">
            <v>14300</v>
          </cell>
          <cell r="U2108">
            <v>0</v>
          </cell>
          <cell r="V2108">
            <v>14300</v>
          </cell>
          <cell r="W2108">
            <v>0</v>
          </cell>
          <cell r="X2108">
            <v>14300</v>
          </cell>
          <cell r="Y2108">
            <v>0</v>
          </cell>
          <cell r="Z2108">
            <v>14300</v>
          </cell>
          <cell r="AA2108">
            <v>0</v>
          </cell>
          <cell r="AB2108">
            <v>0</v>
          </cell>
          <cell r="AC2108">
            <v>0</v>
          </cell>
          <cell r="AD2108">
            <v>0.39100000000000001</v>
          </cell>
          <cell r="AE2108">
            <v>0</v>
          </cell>
          <cell r="AF2108">
            <v>0</v>
          </cell>
          <cell r="AG2108">
            <v>9900</v>
          </cell>
          <cell r="AH2108">
            <v>96</v>
          </cell>
          <cell r="AI2108">
            <v>0.98899999999999999</v>
          </cell>
          <cell r="AJ2108">
            <v>1</v>
          </cell>
          <cell r="AK2108">
            <v>97.06</v>
          </cell>
          <cell r="AL2108">
            <v>0</v>
          </cell>
        </row>
        <row r="2109">
          <cell r="E2109" t="str">
            <v>■Ｈｆ開放埋込形</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row>
        <row r="2110">
          <cell r="E2110" t="str">
            <v>A18-322PN</v>
          </cell>
          <cell r="F2110" t="str">
            <v>台</v>
          </cell>
          <cell r="G2110">
            <v>0</v>
          </cell>
          <cell r="H2110">
            <v>9040</v>
          </cell>
          <cell r="I2110">
            <v>0</v>
          </cell>
          <cell r="J2110">
            <v>9040</v>
          </cell>
          <cell r="K2110">
            <v>0</v>
          </cell>
          <cell r="L2110">
            <v>9040</v>
          </cell>
          <cell r="M2110">
            <v>0</v>
          </cell>
          <cell r="N2110">
            <v>9040</v>
          </cell>
          <cell r="O2110">
            <v>0</v>
          </cell>
          <cell r="P2110">
            <v>9040</v>
          </cell>
          <cell r="Q2110">
            <v>0</v>
          </cell>
          <cell r="R2110">
            <v>9040</v>
          </cell>
          <cell r="S2110">
            <v>0</v>
          </cell>
          <cell r="T2110">
            <v>9040</v>
          </cell>
          <cell r="U2110">
            <v>0</v>
          </cell>
          <cell r="V2110">
            <v>9040</v>
          </cell>
          <cell r="W2110">
            <v>0</v>
          </cell>
          <cell r="X2110">
            <v>9040</v>
          </cell>
          <cell r="Y2110">
            <v>0</v>
          </cell>
          <cell r="Z2110">
            <v>9040</v>
          </cell>
          <cell r="AA2110">
            <v>0</v>
          </cell>
          <cell r="AB2110">
            <v>0</v>
          </cell>
          <cell r="AC2110">
            <v>0</v>
          </cell>
          <cell r="AD2110">
            <v>0.39100000000000001</v>
          </cell>
          <cell r="AE2110">
            <v>0</v>
          </cell>
          <cell r="AF2110">
            <v>0</v>
          </cell>
          <cell r="AG2110">
            <v>9900</v>
          </cell>
          <cell r="AH2110">
            <v>96</v>
          </cell>
          <cell r="AI2110">
            <v>0.98899999999999999</v>
          </cell>
          <cell r="AJ2110">
            <v>1</v>
          </cell>
          <cell r="AK2110">
            <v>97.06</v>
          </cell>
          <cell r="AL2110">
            <v>0</v>
          </cell>
        </row>
        <row r="2111">
          <cell r="E2111" t="str">
            <v>A18-322PH</v>
          </cell>
          <cell r="F2111" t="str">
            <v>台</v>
          </cell>
          <cell r="G2111">
            <v>0</v>
          </cell>
          <cell r="H2111">
            <v>10200</v>
          </cell>
          <cell r="I2111">
            <v>0</v>
          </cell>
          <cell r="J2111">
            <v>10200</v>
          </cell>
          <cell r="K2111">
            <v>0</v>
          </cell>
          <cell r="L2111">
            <v>10200</v>
          </cell>
          <cell r="M2111">
            <v>0</v>
          </cell>
          <cell r="N2111">
            <v>10200</v>
          </cell>
          <cell r="O2111">
            <v>0</v>
          </cell>
          <cell r="P2111">
            <v>10200</v>
          </cell>
          <cell r="Q2111">
            <v>0</v>
          </cell>
          <cell r="R2111">
            <v>10200</v>
          </cell>
          <cell r="S2111">
            <v>0</v>
          </cell>
          <cell r="T2111">
            <v>10200</v>
          </cell>
          <cell r="U2111">
            <v>0</v>
          </cell>
          <cell r="V2111">
            <v>10200</v>
          </cell>
          <cell r="W2111">
            <v>0</v>
          </cell>
          <cell r="X2111">
            <v>10200</v>
          </cell>
          <cell r="Y2111">
            <v>0</v>
          </cell>
          <cell r="Z2111">
            <v>10200</v>
          </cell>
          <cell r="AA2111">
            <v>0</v>
          </cell>
          <cell r="AB2111">
            <v>0</v>
          </cell>
          <cell r="AC2111">
            <v>0</v>
          </cell>
          <cell r="AD2111">
            <v>0.39100000000000001</v>
          </cell>
          <cell r="AE2111">
            <v>0</v>
          </cell>
          <cell r="AF2111">
            <v>0</v>
          </cell>
          <cell r="AG2111">
            <v>9900</v>
          </cell>
          <cell r="AH2111">
            <v>96</v>
          </cell>
          <cell r="AI2111">
            <v>0.98899999999999999</v>
          </cell>
          <cell r="AJ2111">
            <v>1</v>
          </cell>
          <cell r="AK2111">
            <v>97.06</v>
          </cell>
          <cell r="AL2111">
            <v>0</v>
          </cell>
        </row>
        <row r="2112">
          <cell r="E2112" t="str">
            <v>A18-322PX</v>
          </cell>
          <cell r="F2112" t="str">
            <v>台</v>
          </cell>
          <cell r="G2112">
            <v>0</v>
          </cell>
          <cell r="H2112">
            <v>11200</v>
          </cell>
          <cell r="I2112">
            <v>0</v>
          </cell>
          <cell r="J2112">
            <v>11200</v>
          </cell>
          <cell r="K2112">
            <v>0</v>
          </cell>
          <cell r="L2112">
            <v>11200</v>
          </cell>
          <cell r="M2112">
            <v>0</v>
          </cell>
          <cell r="N2112">
            <v>11200</v>
          </cell>
          <cell r="O2112">
            <v>0</v>
          </cell>
          <cell r="P2112">
            <v>11200</v>
          </cell>
          <cell r="Q2112">
            <v>0</v>
          </cell>
          <cell r="R2112">
            <v>11200</v>
          </cell>
          <cell r="S2112">
            <v>0</v>
          </cell>
          <cell r="T2112">
            <v>11200</v>
          </cell>
          <cell r="U2112">
            <v>0</v>
          </cell>
          <cell r="V2112">
            <v>11200</v>
          </cell>
          <cell r="W2112">
            <v>0</v>
          </cell>
          <cell r="X2112">
            <v>11200</v>
          </cell>
          <cell r="Y2112">
            <v>0</v>
          </cell>
          <cell r="Z2112">
            <v>11200</v>
          </cell>
          <cell r="AA2112">
            <v>0</v>
          </cell>
          <cell r="AB2112">
            <v>0</v>
          </cell>
          <cell r="AC2112">
            <v>0</v>
          </cell>
          <cell r="AD2112">
            <v>0.39100000000000001</v>
          </cell>
          <cell r="AE2112">
            <v>0</v>
          </cell>
          <cell r="AF2112">
            <v>0</v>
          </cell>
          <cell r="AG2112">
            <v>9900</v>
          </cell>
          <cell r="AH2112">
            <v>96</v>
          </cell>
          <cell r="AI2112">
            <v>0.98899999999999999</v>
          </cell>
          <cell r="AJ2112">
            <v>1</v>
          </cell>
          <cell r="AK2112">
            <v>97.06</v>
          </cell>
          <cell r="AL2112">
            <v>0</v>
          </cell>
        </row>
        <row r="2113">
          <cell r="E2113" t="str">
            <v>A18-322PK</v>
          </cell>
          <cell r="F2113" t="str">
            <v>台</v>
          </cell>
          <cell r="G2113">
            <v>0</v>
          </cell>
          <cell r="H2113">
            <v>11200</v>
          </cell>
          <cell r="I2113">
            <v>0</v>
          </cell>
          <cell r="J2113">
            <v>11200</v>
          </cell>
          <cell r="K2113">
            <v>0</v>
          </cell>
          <cell r="L2113">
            <v>11200</v>
          </cell>
          <cell r="M2113">
            <v>0</v>
          </cell>
          <cell r="N2113">
            <v>11200</v>
          </cell>
          <cell r="O2113">
            <v>0</v>
          </cell>
          <cell r="P2113">
            <v>11200</v>
          </cell>
          <cell r="Q2113">
            <v>0</v>
          </cell>
          <cell r="R2113">
            <v>11200</v>
          </cell>
          <cell r="S2113">
            <v>0</v>
          </cell>
          <cell r="T2113">
            <v>11200</v>
          </cell>
          <cell r="U2113">
            <v>0</v>
          </cell>
          <cell r="V2113">
            <v>11200</v>
          </cell>
          <cell r="W2113">
            <v>0</v>
          </cell>
          <cell r="X2113">
            <v>11200</v>
          </cell>
          <cell r="Y2113">
            <v>0</v>
          </cell>
          <cell r="Z2113">
            <v>11200</v>
          </cell>
          <cell r="AA2113">
            <v>0</v>
          </cell>
          <cell r="AB2113">
            <v>0</v>
          </cell>
          <cell r="AC2113">
            <v>0</v>
          </cell>
          <cell r="AD2113">
            <v>0.39100000000000001</v>
          </cell>
          <cell r="AE2113">
            <v>0</v>
          </cell>
          <cell r="AF2113">
            <v>0</v>
          </cell>
          <cell r="AG2113">
            <v>9900</v>
          </cell>
          <cell r="AH2113">
            <v>96</v>
          </cell>
          <cell r="AI2113">
            <v>0.98899999999999999</v>
          </cell>
          <cell r="AJ2113">
            <v>1</v>
          </cell>
          <cell r="AK2113">
            <v>97.06</v>
          </cell>
          <cell r="AL2113">
            <v>0</v>
          </cell>
        </row>
        <row r="2114">
          <cell r="E2114" t="str">
            <v>■Ｈｆカバー埋込形</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row>
        <row r="2115">
          <cell r="E2115" t="str">
            <v>C18-322PN</v>
          </cell>
          <cell r="F2115" t="str">
            <v>台</v>
          </cell>
          <cell r="G2115">
            <v>0</v>
          </cell>
          <cell r="H2115">
            <v>12300</v>
          </cell>
          <cell r="I2115">
            <v>0</v>
          </cell>
          <cell r="J2115">
            <v>12300</v>
          </cell>
          <cell r="K2115">
            <v>0</v>
          </cell>
          <cell r="L2115">
            <v>12300</v>
          </cell>
          <cell r="M2115">
            <v>0</v>
          </cell>
          <cell r="N2115">
            <v>12300</v>
          </cell>
          <cell r="O2115">
            <v>0</v>
          </cell>
          <cell r="P2115">
            <v>12300</v>
          </cell>
          <cell r="Q2115">
            <v>0</v>
          </cell>
          <cell r="R2115">
            <v>12300</v>
          </cell>
          <cell r="S2115">
            <v>0</v>
          </cell>
          <cell r="T2115">
            <v>12300</v>
          </cell>
          <cell r="U2115">
            <v>0</v>
          </cell>
          <cell r="V2115">
            <v>12300</v>
          </cell>
          <cell r="W2115">
            <v>0</v>
          </cell>
          <cell r="X2115">
            <v>12300</v>
          </cell>
          <cell r="Y2115">
            <v>0</v>
          </cell>
          <cell r="Z2115">
            <v>12300</v>
          </cell>
          <cell r="AA2115">
            <v>0</v>
          </cell>
          <cell r="AB2115">
            <v>0</v>
          </cell>
          <cell r="AC2115">
            <v>0</v>
          </cell>
          <cell r="AD2115">
            <v>0.39100000000000001</v>
          </cell>
          <cell r="AE2115">
            <v>0</v>
          </cell>
          <cell r="AF2115">
            <v>0</v>
          </cell>
          <cell r="AG2115">
            <v>9900</v>
          </cell>
          <cell r="AH2115">
            <v>96</v>
          </cell>
          <cell r="AI2115">
            <v>0.98899999999999999</v>
          </cell>
          <cell r="AJ2115">
            <v>1</v>
          </cell>
          <cell r="AK2115">
            <v>97.06</v>
          </cell>
          <cell r="AL2115">
            <v>0</v>
          </cell>
        </row>
        <row r="2116">
          <cell r="E2116" t="str">
            <v>C18-322PH</v>
          </cell>
          <cell r="F2116" t="str">
            <v>台</v>
          </cell>
          <cell r="G2116">
            <v>0</v>
          </cell>
          <cell r="H2116">
            <v>13500</v>
          </cell>
          <cell r="I2116">
            <v>0</v>
          </cell>
          <cell r="J2116">
            <v>13500</v>
          </cell>
          <cell r="K2116">
            <v>0</v>
          </cell>
          <cell r="L2116">
            <v>13500</v>
          </cell>
          <cell r="M2116">
            <v>0</v>
          </cell>
          <cell r="N2116">
            <v>13500</v>
          </cell>
          <cell r="O2116">
            <v>0</v>
          </cell>
          <cell r="P2116">
            <v>13500</v>
          </cell>
          <cell r="Q2116">
            <v>0</v>
          </cell>
          <cell r="R2116">
            <v>13500</v>
          </cell>
          <cell r="S2116">
            <v>0</v>
          </cell>
          <cell r="T2116">
            <v>13500</v>
          </cell>
          <cell r="U2116">
            <v>0</v>
          </cell>
          <cell r="V2116">
            <v>13500</v>
          </cell>
          <cell r="W2116">
            <v>0</v>
          </cell>
          <cell r="X2116">
            <v>13500</v>
          </cell>
          <cell r="Y2116">
            <v>0</v>
          </cell>
          <cell r="Z2116">
            <v>13500</v>
          </cell>
          <cell r="AA2116">
            <v>0</v>
          </cell>
          <cell r="AB2116">
            <v>0</v>
          </cell>
          <cell r="AC2116">
            <v>0</v>
          </cell>
          <cell r="AD2116">
            <v>0.39100000000000001</v>
          </cell>
          <cell r="AE2116">
            <v>0</v>
          </cell>
          <cell r="AF2116">
            <v>0</v>
          </cell>
          <cell r="AG2116">
            <v>9900</v>
          </cell>
          <cell r="AH2116">
            <v>96</v>
          </cell>
          <cell r="AI2116">
            <v>0.98899999999999999</v>
          </cell>
          <cell r="AJ2116">
            <v>1</v>
          </cell>
          <cell r="AK2116">
            <v>97.06</v>
          </cell>
          <cell r="AL2116">
            <v>0</v>
          </cell>
        </row>
        <row r="2117">
          <cell r="E2117" t="str">
            <v>C18-322PX</v>
          </cell>
          <cell r="F2117" t="str">
            <v>台</v>
          </cell>
          <cell r="G2117">
            <v>0</v>
          </cell>
          <cell r="H2117">
            <v>14500</v>
          </cell>
          <cell r="I2117">
            <v>0</v>
          </cell>
          <cell r="J2117">
            <v>14500</v>
          </cell>
          <cell r="K2117">
            <v>0</v>
          </cell>
          <cell r="L2117">
            <v>14500</v>
          </cell>
          <cell r="M2117">
            <v>0</v>
          </cell>
          <cell r="N2117">
            <v>14500</v>
          </cell>
          <cell r="O2117">
            <v>0</v>
          </cell>
          <cell r="P2117">
            <v>14500</v>
          </cell>
          <cell r="Q2117">
            <v>0</v>
          </cell>
          <cell r="R2117">
            <v>14500</v>
          </cell>
          <cell r="S2117">
            <v>0</v>
          </cell>
          <cell r="T2117">
            <v>14500</v>
          </cell>
          <cell r="U2117">
            <v>0</v>
          </cell>
          <cell r="V2117">
            <v>14500</v>
          </cell>
          <cell r="W2117">
            <v>0</v>
          </cell>
          <cell r="X2117">
            <v>14500</v>
          </cell>
          <cell r="Y2117">
            <v>0</v>
          </cell>
          <cell r="Z2117">
            <v>14500</v>
          </cell>
          <cell r="AA2117">
            <v>0</v>
          </cell>
          <cell r="AB2117">
            <v>0</v>
          </cell>
          <cell r="AC2117">
            <v>0</v>
          </cell>
          <cell r="AD2117">
            <v>0.39100000000000001</v>
          </cell>
          <cell r="AE2117">
            <v>0</v>
          </cell>
          <cell r="AF2117">
            <v>0</v>
          </cell>
          <cell r="AG2117">
            <v>9900</v>
          </cell>
          <cell r="AH2117">
            <v>96</v>
          </cell>
          <cell r="AI2117">
            <v>0.98899999999999999</v>
          </cell>
          <cell r="AJ2117">
            <v>1</v>
          </cell>
          <cell r="AK2117">
            <v>97.06</v>
          </cell>
          <cell r="AL2117">
            <v>0</v>
          </cell>
        </row>
        <row r="2118">
          <cell r="E2118" t="str">
            <v>C18-322PK</v>
          </cell>
          <cell r="F2118" t="str">
            <v>台</v>
          </cell>
          <cell r="G2118">
            <v>0</v>
          </cell>
          <cell r="H2118">
            <v>14500</v>
          </cell>
          <cell r="I2118">
            <v>0</v>
          </cell>
          <cell r="J2118">
            <v>14500</v>
          </cell>
          <cell r="K2118">
            <v>0</v>
          </cell>
          <cell r="L2118">
            <v>14500</v>
          </cell>
          <cell r="M2118">
            <v>0</v>
          </cell>
          <cell r="N2118">
            <v>14500</v>
          </cell>
          <cell r="O2118">
            <v>0</v>
          </cell>
          <cell r="P2118">
            <v>14500</v>
          </cell>
          <cell r="Q2118">
            <v>0</v>
          </cell>
          <cell r="R2118">
            <v>14500</v>
          </cell>
          <cell r="S2118">
            <v>0</v>
          </cell>
          <cell r="T2118">
            <v>14500</v>
          </cell>
          <cell r="U2118">
            <v>0</v>
          </cell>
          <cell r="V2118">
            <v>14500</v>
          </cell>
          <cell r="W2118">
            <v>0</v>
          </cell>
          <cell r="X2118">
            <v>14500</v>
          </cell>
          <cell r="Y2118">
            <v>0</v>
          </cell>
          <cell r="Z2118">
            <v>14500</v>
          </cell>
          <cell r="AA2118">
            <v>0</v>
          </cell>
          <cell r="AB2118">
            <v>0</v>
          </cell>
          <cell r="AC2118">
            <v>0</v>
          </cell>
          <cell r="AD2118">
            <v>0.39100000000000001</v>
          </cell>
          <cell r="AE2118">
            <v>0</v>
          </cell>
          <cell r="AF2118">
            <v>0</v>
          </cell>
          <cell r="AG2118">
            <v>9900</v>
          </cell>
          <cell r="AH2118">
            <v>96</v>
          </cell>
          <cell r="AI2118">
            <v>0.98899999999999999</v>
          </cell>
          <cell r="AJ2118">
            <v>1</v>
          </cell>
          <cell r="AK2118">
            <v>97.06</v>
          </cell>
          <cell r="AL2118">
            <v>0</v>
          </cell>
        </row>
        <row r="2119">
          <cell r="E2119" t="str">
            <v>■Ｈｆルーバ埋込形</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row>
        <row r="2120">
          <cell r="E2120" t="str">
            <v>D18-322PN</v>
          </cell>
          <cell r="F2120" t="str">
            <v>台</v>
          </cell>
          <cell r="G2120">
            <v>0</v>
          </cell>
          <cell r="H2120">
            <v>22900</v>
          </cell>
          <cell r="I2120">
            <v>0</v>
          </cell>
          <cell r="J2120">
            <v>22900</v>
          </cell>
          <cell r="K2120">
            <v>0</v>
          </cell>
          <cell r="L2120">
            <v>22900</v>
          </cell>
          <cell r="M2120">
            <v>0</v>
          </cell>
          <cell r="N2120">
            <v>22900</v>
          </cell>
          <cell r="O2120">
            <v>0</v>
          </cell>
          <cell r="P2120">
            <v>22900</v>
          </cell>
          <cell r="Q2120">
            <v>0</v>
          </cell>
          <cell r="R2120">
            <v>22900</v>
          </cell>
          <cell r="S2120">
            <v>0</v>
          </cell>
          <cell r="T2120">
            <v>22900</v>
          </cell>
          <cell r="U2120">
            <v>0</v>
          </cell>
          <cell r="V2120">
            <v>22900</v>
          </cell>
          <cell r="W2120">
            <v>0</v>
          </cell>
          <cell r="X2120">
            <v>22900</v>
          </cell>
          <cell r="Y2120">
            <v>0</v>
          </cell>
          <cell r="Z2120">
            <v>22900</v>
          </cell>
          <cell r="AA2120">
            <v>0</v>
          </cell>
          <cell r="AB2120">
            <v>0</v>
          </cell>
          <cell r="AC2120">
            <v>0</v>
          </cell>
          <cell r="AD2120">
            <v>0.39100000000000001</v>
          </cell>
          <cell r="AE2120">
            <v>0</v>
          </cell>
          <cell r="AF2120">
            <v>0</v>
          </cell>
          <cell r="AG2120">
            <v>9900</v>
          </cell>
          <cell r="AH2120">
            <v>96</v>
          </cell>
          <cell r="AI2120">
            <v>0.98899999999999999</v>
          </cell>
          <cell r="AJ2120">
            <v>1</v>
          </cell>
          <cell r="AK2120">
            <v>97.06</v>
          </cell>
          <cell r="AL2120">
            <v>0</v>
          </cell>
        </row>
        <row r="2121">
          <cell r="E2121" t="str">
            <v>D18-322PH</v>
          </cell>
          <cell r="F2121" t="str">
            <v>台</v>
          </cell>
          <cell r="G2121">
            <v>0</v>
          </cell>
          <cell r="H2121">
            <v>24100</v>
          </cell>
          <cell r="I2121">
            <v>0</v>
          </cell>
          <cell r="J2121">
            <v>24100</v>
          </cell>
          <cell r="K2121">
            <v>0</v>
          </cell>
          <cell r="L2121">
            <v>24100</v>
          </cell>
          <cell r="M2121">
            <v>0</v>
          </cell>
          <cell r="N2121">
            <v>24100</v>
          </cell>
          <cell r="O2121">
            <v>0</v>
          </cell>
          <cell r="P2121">
            <v>24100</v>
          </cell>
          <cell r="Q2121">
            <v>0</v>
          </cell>
          <cell r="R2121">
            <v>24100</v>
          </cell>
          <cell r="S2121">
            <v>0</v>
          </cell>
          <cell r="T2121">
            <v>24100</v>
          </cell>
          <cell r="U2121">
            <v>0</v>
          </cell>
          <cell r="V2121">
            <v>24100</v>
          </cell>
          <cell r="W2121">
            <v>0</v>
          </cell>
          <cell r="X2121">
            <v>24100</v>
          </cell>
          <cell r="Y2121">
            <v>0</v>
          </cell>
          <cell r="Z2121">
            <v>24100</v>
          </cell>
          <cell r="AA2121">
            <v>0</v>
          </cell>
          <cell r="AB2121">
            <v>0</v>
          </cell>
          <cell r="AC2121">
            <v>0</v>
          </cell>
          <cell r="AD2121">
            <v>0.39100000000000001</v>
          </cell>
          <cell r="AE2121">
            <v>0</v>
          </cell>
          <cell r="AF2121">
            <v>0</v>
          </cell>
          <cell r="AG2121">
            <v>9900</v>
          </cell>
          <cell r="AH2121">
            <v>96</v>
          </cell>
          <cell r="AI2121">
            <v>0.98899999999999999</v>
          </cell>
          <cell r="AJ2121">
            <v>1</v>
          </cell>
          <cell r="AK2121">
            <v>97.06</v>
          </cell>
          <cell r="AL2121">
            <v>0</v>
          </cell>
        </row>
        <row r="2122">
          <cell r="E2122" t="str">
            <v>D18-322PX</v>
          </cell>
          <cell r="F2122" t="str">
            <v>台</v>
          </cell>
          <cell r="G2122">
            <v>0</v>
          </cell>
          <cell r="H2122">
            <v>25100</v>
          </cell>
          <cell r="I2122">
            <v>0</v>
          </cell>
          <cell r="J2122">
            <v>25100</v>
          </cell>
          <cell r="K2122">
            <v>0</v>
          </cell>
          <cell r="L2122">
            <v>25100</v>
          </cell>
          <cell r="M2122">
            <v>0</v>
          </cell>
          <cell r="N2122">
            <v>25100</v>
          </cell>
          <cell r="O2122">
            <v>0</v>
          </cell>
          <cell r="P2122">
            <v>25100</v>
          </cell>
          <cell r="Q2122">
            <v>0</v>
          </cell>
          <cell r="R2122">
            <v>25100</v>
          </cell>
          <cell r="S2122">
            <v>0</v>
          </cell>
          <cell r="T2122">
            <v>25100</v>
          </cell>
          <cell r="U2122">
            <v>0</v>
          </cell>
          <cell r="V2122">
            <v>25100</v>
          </cell>
          <cell r="W2122">
            <v>0</v>
          </cell>
          <cell r="X2122">
            <v>25100</v>
          </cell>
          <cell r="Y2122">
            <v>0</v>
          </cell>
          <cell r="Z2122">
            <v>25100</v>
          </cell>
          <cell r="AA2122">
            <v>0</v>
          </cell>
          <cell r="AB2122">
            <v>0</v>
          </cell>
          <cell r="AC2122">
            <v>0</v>
          </cell>
          <cell r="AD2122">
            <v>0.39100000000000001</v>
          </cell>
          <cell r="AE2122">
            <v>0</v>
          </cell>
          <cell r="AF2122">
            <v>0</v>
          </cell>
          <cell r="AG2122">
            <v>9900</v>
          </cell>
          <cell r="AH2122">
            <v>96</v>
          </cell>
          <cell r="AI2122">
            <v>0.98899999999999999</v>
          </cell>
          <cell r="AJ2122">
            <v>1</v>
          </cell>
          <cell r="AK2122">
            <v>97.06</v>
          </cell>
          <cell r="AL2122">
            <v>0</v>
          </cell>
        </row>
        <row r="2123">
          <cell r="E2123" t="str">
            <v>D18-322PK</v>
          </cell>
          <cell r="F2123" t="str">
            <v>台</v>
          </cell>
          <cell r="G2123">
            <v>0</v>
          </cell>
          <cell r="H2123">
            <v>25100</v>
          </cell>
          <cell r="I2123">
            <v>0</v>
          </cell>
          <cell r="J2123">
            <v>25100</v>
          </cell>
          <cell r="K2123">
            <v>0</v>
          </cell>
          <cell r="L2123">
            <v>25100</v>
          </cell>
          <cell r="M2123">
            <v>0</v>
          </cell>
          <cell r="N2123">
            <v>25100</v>
          </cell>
          <cell r="O2123">
            <v>0</v>
          </cell>
          <cell r="P2123">
            <v>25100</v>
          </cell>
          <cell r="Q2123">
            <v>0</v>
          </cell>
          <cell r="R2123">
            <v>25100</v>
          </cell>
          <cell r="S2123">
            <v>0</v>
          </cell>
          <cell r="T2123">
            <v>25100</v>
          </cell>
          <cell r="U2123">
            <v>0</v>
          </cell>
          <cell r="V2123">
            <v>25100</v>
          </cell>
          <cell r="W2123">
            <v>0</v>
          </cell>
          <cell r="X2123">
            <v>25100</v>
          </cell>
          <cell r="Y2123">
            <v>0</v>
          </cell>
          <cell r="Z2123">
            <v>25100</v>
          </cell>
          <cell r="AA2123">
            <v>0</v>
          </cell>
          <cell r="AB2123">
            <v>0</v>
          </cell>
          <cell r="AC2123">
            <v>0</v>
          </cell>
          <cell r="AD2123">
            <v>0.39100000000000001</v>
          </cell>
          <cell r="AE2123">
            <v>0</v>
          </cell>
          <cell r="AF2123">
            <v>0</v>
          </cell>
          <cell r="AG2123">
            <v>9900</v>
          </cell>
          <cell r="AH2123">
            <v>96</v>
          </cell>
          <cell r="AI2123">
            <v>0.98899999999999999</v>
          </cell>
          <cell r="AJ2123">
            <v>1</v>
          </cell>
          <cell r="AK2123">
            <v>97.06</v>
          </cell>
          <cell r="AL2123">
            <v>0</v>
          </cell>
        </row>
        <row r="2124">
          <cell r="E2124" t="str">
            <v>D18V-322PN</v>
          </cell>
          <cell r="F2124" t="str">
            <v>台</v>
          </cell>
          <cell r="G2124">
            <v>0</v>
          </cell>
          <cell r="H2124">
            <v>22900</v>
          </cell>
          <cell r="I2124">
            <v>0</v>
          </cell>
          <cell r="J2124">
            <v>22900</v>
          </cell>
          <cell r="K2124">
            <v>0</v>
          </cell>
          <cell r="L2124">
            <v>22900</v>
          </cell>
          <cell r="M2124">
            <v>0</v>
          </cell>
          <cell r="N2124">
            <v>22900</v>
          </cell>
          <cell r="O2124">
            <v>0</v>
          </cell>
          <cell r="P2124">
            <v>22900</v>
          </cell>
          <cell r="Q2124">
            <v>0</v>
          </cell>
          <cell r="R2124">
            <v>22900</v>
          </cell>
          <cell r="S2124">
            <v>0</v>
          </cell>
          <cell r="T2124">
            <v>22900</v>
          </cell>
          <cell r="U2124">
            <v>0</v>
          </cell>
          <cell r="V2124">
            <v>22900</v>
          </cell>
          <cell r="W2124">
            <v>0</v>
          </cell>
          <cell r="X2124">
            <v>22900</v>
          </cell>
          <cell r="Y2124">
            <v>0</v>
          </cell>
          <cell r="Z2124">
            <v>22900</v>
          </cell>
          <cell r="AA2124">
            <v>0</v>
          </cell>
          <cell r="AB2124">
            <v>0</v>
          </cell>
          <cell r="AC2124">
            <v>0</v>
          </cell>
          <cell r="AD2124">
            <v>0.39100000000000001</v>
          </cell>
          <cell r="AE2124">
            <v>0</v>
          </cell>
          <cell r="AF2124">
            <v>0</v>
          </cell>
          <cell r="AG2124">
            <v>9900</v>
          </cell>
          <cell r="AH2124">
            <v>96</v>
          </cell>
          <cell r="AI2124">
            <v>0.98899999999999999</v>
          </cell>
          <cell r="AJ2124">
            <v>1</v>
          </cell>
          <cell r="AK2124">
            <v>97.06</v>
          </cell>
          <cell r="AL2124">
            <v>0</v>
          </cell>
        </row>
        <row r="2125">
          <cell r="E2125" t="str">
            <v>D18V-322PH</v>
          </cell>
          <cell r="F2125" t="str">
            <v>台</v>
          </cell>
          <cell r="G2125">
            <v>0</v>
          </cell>
          <cell r="H2125">
            <v>24100</v>
          </cell>
          <cell r="I2125">
            <v>0</v>
          </cell>
          <cell r="J2125">
            <v>24100</v>
          </cell>
          <cell r="K2125">
            <v>0</v>
          </cell>
          <cell r="L2125">
            <v>24100</v>
          </cell>
          <cell r="M2125">
            <v>0</v>
          </cell>
          <cell r="N2125">
            <v>24100</v>
          </cell>
          <cell r="O2125">
            <v>0</v>
          </cell>
          <cell r="P2125">
            <v>24100</v>
          </cell>
          <cell r="Q2125">
            <v>0</v>
          </cell>
          <cell r="R2125">
            <v>24100</v>
          </cell>
          <cell r="S2125">
            <v>0</v>
          </cell>
          <cell r="T2125">
            <v>24100</v>
          </cell>
          <cell r="U2125">
            <v>0</v>
          </cell>
          <cell r="V2125">
            <v>24100</v>
          </cell>
          <cell r="W2125">
            <v>0</v>
          </cell>
          <cell r="X2125">
            <v>24100</v>
          </cell>
          <cell r="Y2125">
            <v>0</v>
          </cell>
          <cell r="Z2125">
            <v>24100</v>
          </cell>
          <cell r="AA2125">
            <v>0</v>
          </cell>
          <cell r="AB2125">
            <v>0</v>
          </cell>
          <cell r="AC2125">
            <v>0</v>
          </cell>
          <cell r="AD2125">
            <v>0.39100000000000001</v>
          </cell>
          <cell r="AE2125">
            <v>0</v>
          </cell>
          <cell r="AF2125">
            <v>0</v>
          </cell>
          <cell r="AG2125">
            <v>9900</v>
          </cell>
          <cell r="AH2125">
            <v>96</v>
          </cell>
          <cell r="AI2125">
            <v>0.98899999999999999</v>
          </cell>
          <cell r="AJ2125">
            <v>1</v>
          </cell>
          <cell r="AK2125">
            <v>97.06</v>
          </cell>
          <cell r="AL2125">
            <v>0</v>
          </cell>
        </row>
        <row r="2126">
          <cell r="E2126" t="str">
            <v>D18V-322PX</v>
          </cell>
          <cell r="F2126" t="str">
            <v>台</v>
          </cell>
          <cell r="G2126">
            <v>0</v>
          </cell>
          <cell r="H2126">
            <v>25100</v>
          </cell>
          <cell r="I2126">
            <v>0</v>
          </cell>
          <cell r="J2126">
            <v>25100</v>
          </cell>
          <cell r="K2126">
            <v>0</v>
          </cell>
          <cell r="L2126">
            <v>25100</v>
          </cell>
          <cell r="M2126">
            <v>0</v>
          </cell>
          <cell r="N2126">
            <v>25100</v>
          </cell>
          <cell r="O2126">
            <v>0</v>
          </cell>
          <cell r="P2126">
            <v>25100</v>
          </cell>
          <cell r="Q2126">
            <v>0</v>
          </cell>
          <cell r="R2126">
            <v>25100</v>
          </cell>
          <cell r="S2126">
            <v>0</v>
          </cell>
          <cell r="T2126">
            <v>25100</v>
          </cell>
          <cell r="U2126">
            <v>0</v>
          </cell>
          <cell r="V2126">
            <v>25100</v>
          </cell>
          <cell r="W2126">
            <v>0</v>
          </cell>
          <cell r="X2126">
            <v>25100</v>
          </cell>
          <cell r="Y2126">
            <v>0</v>
          </cell>
          <cell r="Z2126">
            <v>25100</v>
          </cell>
          <cell r="AA2126">
            <v>0</v>
          </cell>
          <cell r="AB2126">
            <v>0</v>
          </cell>
          <cell r="AC2126">
            <v>0</v>
          </cell>
          <cell r="AD2126">
            <v>0.39100000000000001</v>
          </cell>
          <cell r="AE2126">
            <v>0</v>
          </cell>
          <cell r="AF2126">
            <v>0</v>
          </cell>
          <cell r="AG2126">
            <v>9900</v>
          </cell>
          <cell r="AH2126">
            <v>96</v>
          </cell>
          <cell r="AI2126">
            <v>0.98899999999999999</v>
          </cell>
          <cell r="AJ2126">
            <v>1</v>
          </cell>
          <cell r="AK2126">
            <v>97.06</v>
          </cell>
          <cell r="AL2126">
            <v>0</v>
          </cell>
        </row>
        <row r="2127">
          <cell r="E2127" t="str">
            <v>D18V-322PK</v>
          </cell>
          <cell r="F2127" t="str">
            <v>台</v>
          </cell>
          <cell r="G2127">
            <v>0</v>
          </cell>
          <cell r="H2127">
            <v>25100</v>
          </cell>
          <cell r="I2127">
            <v>0</v>
          </cell>
          <cell r="J2127">
            <v>25100</v>
          </cell>
          <cell r="K2127">
            <v>0</v>
          </cell>
          <cell r="L2127">
            <v>25100</v>
          </cell>
          <cell r="M2127">
            <v>0</v>
          </cell>
          <cell r="N2127">
            <v>25100</v>
          </cell>
          <cell r="O2127">
            <v>0</v>
          </cell>
          <cell r="P2127">
            <v>25100</v>
          </cell>
          <cell r="Q2127">
            <v>0</v>
          </cell>
          <cell r="R2127">
            <v>25100</v>
          </cell>
          <cell r="S2127">
            <v>0</v>
          </cell>
          <cell r="T2127">
            <v>25100</v>
          </cell>
          <cell r="U2127">
            <v>0</v>
          </cell>
          <cell r="V2127">
            <v>25100</v>
          </cell>
          <cell r="W2127">
            <v>0</v>
          </cell>
          <cell r="X2127">
            <v>25100</v>
          </cell>
          <cell r="Y2127">
            <v>0</v>
          </cell>
          <cell r="Z2127">
            <v>25100</v>
          </cell>
          <cell r="AA2127">
            <v>0</v>
          </cell>
          <cell r="AB2127">
            <v>0</v>
          </cell>
          <cell r="AC2127">
            <v>0</v>
          </cell>
          <cell r="AD2127">
            <v>0.39100000000000001</v>
          </cell>
          <cell r="AE2127">
            <v>0</v>
          </cell>
          <cell r="AF2127">
            <v>0</v>
          </cell>
          <cell r="AG2127">
            <v>9900</v>
          </cell>
          <cell r="AH2127">
            <v>96</v>
          </cell>
          <cell r="AI2127">
            <v>0.98899999999999999</v>
          </cell>
          <cell r="AJ2127">
            <v>1</v>
          </cell>
          <cell r="AK2127">
            <v>97.06</v>
          </cell>
          <cell r="AL2127">
            <v>0</v>
          </cell>
        </row>
        <row r="2128">
          <cell r="E2128" t="str">
            <v>D18L-322PN</v>
          </cell>
          <cell r="F2128" t="str">
            <v>台</v>
          </cell>
          <cell r="G2128">
            <v>0</v>
          </cell>
          <cell r="H2128">
            <v>11300</v>
          </cell>
          <cell r="I2128">
            <v>0</v>
          </cell>
          <cell r="J2128">
            <v>11300</v>
          </cell>
          <cell r="K2128">
            <v>0</v>
          </cell>
          <cell r="L2128">
            <v>11300</v>
          </cell>
          <cell r="M2128">
            <v>0</v>
          </cell>
          <cell r="N2128">
            <v>11300</v>
          </cell>
          <cell r="O2128">
            <v>0</v>
          </cell>
          <cell r="P2128">
            <v>11300</v>
          </cell>
          <cell r="Q2128">
            <v>0</v>
          </cell>
          <cell r="R2128">
            <v>11300</v>
          </cell>
          <cell r="S2128">
            <v>0</v>
          </cell>
          <cell r="T2128">
            <v>11300</v>
          </cell>
          <cell r="U2128">
            <v>0</v>
          </cell>
          <cell r="V2128">
            <v>11300</v>
          </cell>
          <cell r="W2128">
            <v>0</v>
          </cell>
          <cell r="X2128">
            <v>11300</v>
          </cell>
          <cell r="Y2128">
            <v>0</v>
          </cell>
          <cell r="Z2128">
            <v>11300</v>
          </cell>
          <cell r="AA2128">
            <v>0</v>
          </cell>
          <cell r="AB2128">
            <v>0</v>
          </cell>
          <cell r="AC2128">
            <v>0</v>
          </cell>
          <cell r="AD2128">
            <v>0.39100000000000001</v>
          </cell>
          <cell r="AE2128">
            <v>0</v>
          </cell>
          <cell r="AF2128">
            <v>0</v>
          </cell>
          <cell r="AG2128">
            <v>9900</v>
          </cell>
          <cell r="AH2128">
            <v>96</v>
          </cell>
          <cell r="AI2128">
            <v>0.98899999999999999</v>
          </cell>
          <cell r="AJ2128">
            <v>1</v>
          </cell>
          <cell r="AK2128">
            <v>97.06</v>
          </cell>
          <cell r="AL2128">
            <v>0</v>
          </cell>
        </row>
        <row r="2129">
          <cell r="E2129" t="str">
            <v>D18L-322PH</v>
          </cell>
          <cell r="F2129" t="str">
            <v>台</v>
          </cell>
          <cell r="G2129">
            <v>0</v>
          </cell>
          <cell r="H2129">
            <v>12500</v>
          </cell>
          <cell r="I2129">
            <v>0</v>
          </cell>
          <cell r="J2129">
            <v>12500</v>
          </cell>
          <cell r="K2129">
            <v>0</v>
          </cell>
          <cell r="L2129">
            <v>12500</v>
          </cell>
          <cell r="M2129">
            <v>0</v>
          </cell>
          <cell r="N2129">
            <v>12500</v>
          </cell>
          <cell r="O2129">
            <v>0</v>
          </cell>
          <cell r="P2129">
            <v>12500</v>
          </cell>
          <cell r="Q2129">
            <v>0</v>
          </cell>
          <cell r="R2129">
            <v>12500</v>
          </cell>
          <cell r="S2129">
            <v>0</v>
          </cell>
          <cell r="T2129">
            <v>12500</v>
          </cell>
          <cell r="U2129">
            <v>0</v>
          </cell>
          <cell r="V2129">
            <v>12500</v>
          </cell>
          <cell r="W2129">
            <v>0</v>
          </cell>
          <cell r="X2129">
            <v>12500</v>
          </cell>
          <cell r="Y2129">
            <v>0</v>
          </cell>
          <cell r="Z2129">
            <v>12500</v>
          </cell>
          <cell r="AA2129">
            <v>0</v>
          </cell>
          <cell r="AB2129">
            <v>0</v>
          </cell>
          <cell r="AC2129">
            <v>0</v>
          </cell>
          <cell r="AD2129">
            <v>0.39100000000000001</v>
          </cell>
          <cell r="AE2129">
            <v>0</v>
          </cell>
          <cell r="AF2129">
            <v>0</v>
          </cell>
          <cell r="AG2129">
            <v>9900</v>
          </cell>
          <cell r="AH2129">
            <v>96</v>
          </cell>
          <cell r="AI2129">
            <v>0.98899999999999999</v>
          </cell>
          <cell r="AJ2129">
            <v>1</v>
          </cell>
          <cell r="AK2129">
            <v>97.06</v>
          </cell>
          <cell r="AL2129">
            <v>0</v>
          </cell>
        </row>
        <row r="2130">
          <cell r="E2130" t="str">
            <v>D18L-322PX</v>
          </cell>
          <cell r="F2130" t="str">
            <v>台</v>
          </cell>
          <cell r="G2130">
            <v>0</v>
          </cell>
          <cell r="H2130">
            <v>13500</v>
          </cell>
          <cell r="I2130">
            <v>0</v>
          </cell>
          <cell r="J2130">
            <v>13500</v>
          </cell>
          <cell r="K2130">
            <v>0</v>
          </cell>
          <cell r="L2130">
            <v>13500</v>
          </cell>
          <cell r="M2130">
            <v>0</v>
          </cell>
          <cell r="N2130">
            <v>13500</v>
          </cell>
          <cell r="O2130">
            <v>0</v>
          </cell>
          <cell r="P2130">
            <v>13500</v>
          </cell>
          <cell r="Q2130">
            <v>0</v>
          </cell>
          <cell r="R2130">
            <v>13500</v>
          </cell>
          <cell r="S2130">
            <v>0</v>
          </cell>
          <cell r="T2130">
            <v>13500</v>
          </cell>
          <cell r="U2130">
            <v>0</v>
          </cell>
          <cell r="V2130">
            <v>13500</v>
          </cell>
          <cell r="W2130">
            <v>0</v>
          </cell>
          <cell r="X2130">
            <v>13500</v>
          </cell>
          <cell r="Y2130">
            <v>0</v>
          </cell>
          <cell r="Z2130">
            <v>13500</v>
          </cell>
          <cell r="AA2130">
            <v>0</v>
          </cell>
          <cell r="AB2130">
            <v>0</v>
          </cell>
          <cell r="AC2130">
            <v>0</v>
          </cell>
          <cell r="AD2130">
            <v>0.39100000000000001</v>
          </cell>
          <cell r="AE2130">
            <v>0</v>
          </cell>
          <cell r="AF2130">
            <v>0</v>
          </cell>
          <cell r="AG2130">
            <v>9900</v>
          </cell>
          <cell r="AH2130">
            <v>96</v>
          </cell>
          <cell r="AI2130">
            <v>0.98899999999999999</v>
          </cell>
          <cell r="AJ2130">
            <v>1</v>
          </cell>
          <cell r="AK2130">
            <v>97.06</v>
          </cell>
          <cell r="AL2130">
            <v>0</v>
          </cell>
        </row>
        <row r="2131">
          <cell r="E2131" t="str">
            <v>D18L-322PK</v>
          </cell>
          <cell r="F2131" t="str">
            <v>台</v>
          </cell>
          <cell r="G2131">
            <v>0</v>
          </cell>
          <cell r="H2131">
            <v>13500</v>
          </cell>
          <cell r="I2131">
            <v>0</v>
          </cell>
          <cell r="J2131">
            <v>13500</v>
          </cell>
          <cell r="K2131">
            <v>0</v>
          </cell>
          <cell r="L2131">
            <v>13500</v>
          </cell>
          <cell r="M2131">
            <v>0</v>
          </cell>
          <cell r="N2131">
            <v>13500</v>
          </cell>
          <cell r="O2131">
            <v>0</v>
          </cell>
          <cell r="P2131">
            <v>13500</v>
          </cell>
          <cell r="Q2131">
            <v>0</v>
          </cell>
          <cell r="R2131">
            <v>13500</v>
          </cell>
          <cell r="S2131">
            <v>0</v>
          </cell>
          <cell r="T2131">
            <v>13500</v>
          </cell>
          <cell r="U2131">
            <v>0</v>
          </cell>
          <cell r="V2131">
            <v>13500</v>
          </cell>
          <cell r="W2131">
            <v>0</v>
          </cell>
          <cell r="X2131">
            <v>13500</v>
          </cell>
          <cell r="Y2131">
            <v>0</v>
          </cell>
          <cell r="Z2131">
            <v>13500</v>
          </cell>
          <cell r="AA2131">
            <v>0</v>
          </cell>
          <cell r="AB2131">
            <v>0</v>
          </cell>
          <cell r="AC2131">
            <v>0</v>
          </cell>
          <cell r="AD2131">
            <v>0.39100000000000001</v>
          </cell>
          <cell r="AE2131">
            <v>0</v>
          </cell>
          <cell r="AF2131">
            <v>0</v>
          </cell>
          <cell r="AG2131">
            <v>9900</v>
          </cell>
          <cell r="AH2131">
            <v>96</v>
          </cell>
          <cell r="AI2131">
            <v>0.98899999999999999</v>
          </cell>
          <cell r="AJ2131">
            <v>1</v>
          </cell>
          <cell r="AK2131">
            <v>97.06</v>
          </cell>
          <cell r="AL2131">
            <v>0</v>
          </cell>
        </row>
        <row r="2132">
          <cell r="E2132" t="str">
            <v>■Ｈｆダウンライト</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row>
        <row r="2133">
          <cell r="E2133" t="str">
            <v>d21-241PN</v>
          </cell>
          <cell r="F2133" t="str">
            <v>台</v>
          </cell>
          <cell r="G2133">
            <v>0</v>
          </cell>
          <cell r="H2133">
            <v>6450</v>
          </cell>
          <cell r="I2133">
            <v>0</v>
          </cell>
          <cell r="J2133">
            <v>6450</v>
          </cell>
          <cell r="K2133">
            <v>0</v>
          </cell>
          <cell r="L2133">
            <v>6450</v>
          </cell>
          <cell r="M2133">
            <v>0</v>
          </cell>
          <cell r="N2133">
            <v>6450</v>
          </cell>
          <cell r="O2133">
            <v>0</v>
          </cell>
          <cell r="P2133">
            <v>6450</v>
          </cell>
          <cell r="Q2133">
            <v>0</v>
          </cell>
          <cell r="R2133">
            <v>6450</v>
          </cell>
          <cell r="S2133">
            <v>0</v>
          </cell>
          <cell r="T2133">
            <v>6450</v>
          </cell>
          <cell r="U2133">
            <v>0</v>
          </cell>
          <cell r="V2133">
            <v>6450</v>
          </cell>
          <cell r="W2133">
            <v>0</v>
          </cell>
          <cell r="X2133">
            <v>6450</v>
          </cell>
          <cell r="Y2133">
            <v>0</v>
          </cell>
          <cell r="Z2133">
            <v>6450</v>
          </cell>
          <cell r="AA2133">
            <v>0</v>
          </cell>
          <cell r="AB2133">
            <v>0</v>
          </cell>
          <cell r="AC2133">
            <v>0</v>
          </cell>
          <cell r="AD2133">
            <v>0.20899999999999999</v>
          </cell>
          <cell r="AE2133">
            <v>0</v>
          </cell>
          <cell r="AF2133">
            <v>0</v>
          </cell>
          <cell r="AG2133">
            <v>1800</v>
          </cell>
          <cell r="AH2133">
            <v>24</v>
          </cell>
          <cell r="AI2133">
            <v>0.98</v>
          </cell>
          <cell r="AJ2133">
            <v>1</v>
          </cell>
          <cell r="AK2133">
            <v>24.48</v>
          </cell>
          <cell r="AL2133">
            <v>0</v>
          </cell>
        </row>
        <row r="2134">
          <cell r="E2134" t="str">
            <v>d21-241PX</v>
          </cell>
          <cell r="F2134" t="str">
            <v>台</v>
          </cell>
          <cell r="G2134">
            <v>0</v>
          </cell>
          <cell r="H2134">
            <v>9310</v>
          </cell>
          <cell r="I2134">
            <v>0</v>
          </cell>
          <cell r="J2134">
            <v>9310</v>
          </cell>
          <cell r="K2134">
            <v>0</v>
          </cell>
          <cell r="L2134">
            <v>9310</v>
          </cell>
          <cell r="M2134">
            <v>0</v>
          </cell>
          <cell r="N2134">
            <v>9310</v>
          </cell>
          <cell r="O2134">
            <v>0</v>
          </cell>
          <cell r="P2134">
            <v>9310</v>
          </cell>
          <cell r="Q2134">
            <v>0</v>
          </cell>
          <cell r="R2134">
            <v>9310</v>
          </cell>
          <cell r="S2134">
            <v>0</v>
          </cell>
          <cell r="T2134">
            <v>9310</v>
          </cell>
          <cell r="U2134">
            <v>0</v>
          </cell>
          <cell r="V2134">
            <v>9310</v>
          </cell>
          <cell r="W2134">
            <v>0</v>
          </cell>
          <cell r="X2134">
            <v>9310</v>
          </cell>
          <cell r="Y2134">
            <v>0</v>
          </cell>
          <cell r="Z2134">
            <v>9310</v>
          </cell>
          <cell r="AA2134">
            <v>0</v>
          </cell>
          <cell r="AB2134">
            <v>0</v>
          </cell>
          <cell r="AC2134">
            <v>0</v>
          </cell>
          <cell r="AD2134">
            <v>0.20899999999999999</v>
          </cell>
          <cell r="AE2134">
            <v>0</v>
          </cell>
          <cell r="AF2134">
            <v>0</v>
          </cell>
          <cell r="AG2134">
            <v>1800</v>
          </cell>
          <cell r="AH2134">
            <v>24</v>
          </cell>
          <cell r="AI2134">
            <v>0.98</v>
          </cell>
          <cell r="AJ2134">
            <v>1</v>
          </cell>
          <cell r="AK2134">
            <v>24.48</v>
          </cell>
          <cell r="AL2134">
            <v>0</v>
          </cell>
        </row>
        <row r="2135">
          <cell r="E2135" t="str">
            <v>d21-321PN</v>
          </cell>
          <cell r="F2135" t="str">
            <v>台</v>
          </cell>
          <cell r="G2135">
            <v>0</v>
          </cell>
          <cell r="H2135">
            <v>6620</v>
          </cell>
          <cell r="I2135">
            <v>0</v>
          </cell>
          <cell r="J2135">
            <v>6620</v>
          </cell>
          <cell r="K2135">
            <v>0</v>
          </cell>
          <cell r="L2135">
            <v>6620</v>
          </cell>
          <cell r="M2135">
            <v>0</v>
          </cell>
          <cell r="N2135">
            <v>6620</v>
          </cell>
          <cell r="O2135">
            <v>0</v>
          </cell>
          <cell r="P2135">
            <v>6620</v>
          </cell>
          <cell r="Q2135">
            <v>0</v>
          </cell>
          <cell r="R2135">
            <v>6620</v>
          </cell>
          <cell r="S2135">
            <v>0</v>
          </cell>
          <cell r="T2135">
            <v>6620</v>
          </cell>
          <cell r="U2135">
            <v>0</v>
          </cell>
          <cell r="V2135">
            <v>6620</v>
          </cell>
          <cell r="W2135">
            <v>0</v>
          </cell>
          <cell r="X2135">
            <v>6620</v>
          </cell>
          <cell r="Y2135">
            <v>0</v>
          </cell>
          <cell r="Z2135">
            <v>6620</v>
          </cell>
          <cell r="AA2135">
            <v>0</v>
          </cell>
          <cell r="AB2135">
            <v>0</v>
          </cell>
          <cell r="AC2135">
            <v>0</v>
          </cell>
          <cell r="AD2135">
            <v>0.20899999999999999</v>
          </cell>
          <cell r="AE2135">
            <v>0</v>
          </cell>
          <cell r="AF2135">
            <v>0</v>
          </cell>
          <cell r="AG2135">
            <v>2400</v>
          </cell>
          <cell r="AH2135">
            <v>32</v>
          </cell>
          <cell r="AI2135">
            <v>0.98</v>
          </cell>
          <cell r="AJ2135">
            <v>1</v>
          </cell>
          <cell r="AK2135">
            <v>32.65</v>
          </cell>
          <cell r="AL2135">
            <v>0</v>
          </cell>
        </row>
        <row r="2136">
          <cell r="E2136" t="str">
            <v>d21-321PX</v>
          </cell>
          <cell r="F2136" t="str">
            <v>台</v>
          </cell>
          <cell r="G2136">
            <v>0</v>
          </cell>
          <cell r="H2136">
            <v>9680</v>
          </cell>
          <cell r="I2136">
            <v>0</v>
          </cell>
          <cell r="J2136">
            <v>9680</v>
          </cell>
          <cell r="K2136">
            <v>0</v>
          </cell>
          <cell r="L2136">
            <v>9680</v>
          </cell>
          <cell r="M2136">
            <v>0</v>
          </cell>
          <cell r="N2136">
            <v>9680</v>
          </cell>
          <cell r="O2136">
            <v>0</v>
          </cell>
          <cell r="P2136">
            <v>9680</v>
          </cell>
          <cell r="Q2136">
            <v>0</v>
          </cell>
          <cell r="R2136">
            <v>9680</v>
          </cell>
          <cell r="S2136">
            <v>0</v>
          </cell>
          <cell r="T2136">
            <v>9680</v>
          </cell>
          <cell r="U2136">
            <v>0</v>
          </cell>
          <cell r="V2136">
            <v>9680</v>
          </cell>
          <cell r="W2136">
            <v>0</v>
          </cell>
          <cell r="X2136">
            <v>9680</v>
          </cell>
          <cell r="Y2136">
            <v>0</v>
          </cell>
          <cell r="Z2136">
            <v>9680</v>
          </cell>
          <cell r="AA2136">
            <v>0</v>
          </cell>
          <cell r="AB2136">
            <v>0</v>
          </cell>
          <cell r="AC2136">
            <v>0</v>
          </cell>
          <cell r="AD2136">
            <v>0.20899999999999999</v>
          </cell>
          <cell r="AE2136">
            <v>0</v>
          </cell>
          <cell r="AF2136">
            <v>0</v>
          </cell>
          <cell r="AG2136">
            <v>2400</v>
          </cell>
          <cell r="AH2136">
            <v>32</v>
          </cell>
          <cell r="AI2136">
            <v>0.98</v>
          </cell>
          <cell r="AJ2136">
            <v>1</v>
          </cell>
          <cell r="AK2136">
            <v>32.65</v>
          </cell>
          <cell r="AL2136">
            <v>0</v>
          </cell>
        </row>
        <row r="2137">
          <cell r="E2137" t="str">
            <v>d21-421PN</v>
          </cell>
          <cell r="F2137" t="str">
            <v>台</v>
          </cell>
          <cell r="G2137">
            <v>0</v>
          </cell>
          <cell r="H2137">
            <v>7400</v>
          </cell>
          <cell r="I2137">
            <v>0</v>
          </cell>
          <cell r="J2137">
            <v>7400</v>
          </cell>
          <cell r="K2137">
            <v>0</v>
          </cell>
          <cell r="L2137">
            <v>7400</v>
          </cell>
          <cell r="M2137">
            <v>0</v>
          </cell>
          <cell r="N2137">
            <v>7400</v>
          </cell>
          <cell r="O2137">
            <v>0</v>
          </cell>
          <cell r="P2137">
            <v>7400</v>
          </cell>
          <cell r="Q2137">
            <v>0</v>
          </cell>
          <cell r="R2137">
            <v>7400</v>
          </cell>
          <cell r="S2137">
            <v>0</v>
          </cell>
          <cell r="T2137">
            <v>7400</v>
          </cell>
          <cell r="U2137">
            <v>0</v>
          </cell>
          <cell r="V2137">
            <v>7400</v>
          </cell>
          <cell r="W2137">
            <v>0</v>
          </cell>
          <cell r="X2137">
            <v>7400</v>
          </cell>
          <cell r="Y2137">
            <v>0</v>
          </cell>
          <cell r="Z2137">
            <v>7400</v>
          </cell>
          <cell r="AA2137">
            <v>0</v>
          </cell>
          <cell r="AB2137">
            <v>0</v>
          </cell>
          <cell r="AC2137">
            <v>0</v>
          </cell>
          <cell r="AD2137">
            <v>0.20899999999999999</v>
          </cell>
          <cell r="AE2137">
            <v>0</v>
          </cell>
          <cell r="AF2137">
            <v>0</v>
          </cell>
          <cell r="AG2137">
            <v>3200</v>
          </cell>
          <cell r="AH2137">
            <v>42</v>
          </cell>
          <cell r="AI2137">
            <v>0.98</v>
          </cell>
          <cell r="AJ2137">
            <v>1</v>
          </cell>
          <cell r="AK2137">
            <v>42.85</v>
          </cell>
          <cell r="AL2137">
            <v>0</v>
          </cell>
        </row>
        <row r="2138">
          <cell r="E2138" t="str">
            <v>d21-421PN</v>
          </cell>
          <cell r="F2138" t="str">
            <v>台</v>
          </cell>
          <cell r="G2138">
            <v>0</v>
          </cell>
          <cell r="H2138">
            <v>10400</v>
          </cell>
          <cell r="I2138">
            <v>0</v>
          </cell>
          <cell r="J2138">
            <v>10400</v>
          </cell>
          <cell r="K2138">
            <v>0</v>
          </cell>
          <cell r="L2138">
            <v>10400</v>
          </cell>
          <cell r="M2138">
            <v>0</v>
          </cell>
          <cell r="N2138">
            <v>10400</v>
          </cell>
          <cell r="O2138">
            <v>0</v>
          </cell>
          <cell r="P2138">
            <v>10400</v>
          </cell>
          <cell r="Q2138">
            <v>0</v>
          </cell>
          <cell r="R2138">
            <v>10400</v>
          </cell>
          <cell r="S2138">
            <v>0</v>
          </cell>
          <cell r="T2138">
            <v>10400</v>
          </cell>
          <cell r="U2138">
            <v>0</v>
          </cell>
          <cell r="V2138">
            <v>10400</v>
          </cell>
          <cell r="W2138">
            <v>0</v>
          </cell>
          <cell r="X2138">
            <v>10400</v>
          </cell>
          <cell r="Y2138">
            <v>0</v>
          </cell>
          <cell r="Z2138">
            <v>10400</v>
          </cell>
          <cell r="AA2138">
            <v>0</v>
          </cell>
          <cell r="AB2138">
            <v>0</v>
          </cell>
          <cell r="AC2138">
            <v>0</v>
          </cell>
          <cell r="AD2138">
            <v>0.20899999999999999</v>
          </cell>
          <cell r="AE2138">
            <v>0</v>
          </cell>
          <cell r="AF2138">
            <v>0</v>
          </cell>
          <cell r="AG2138">
            <v>6400</v>
          </cell>
          <cell r="AH2138">
            <v>84</v>
          </cell>
          <cell r="AI2138">
            <v>0.98</v>
          </cell>
          <cell r="AJ2138">
            <v>1</v>
          </cell>
          <cell r="AK2138">
            <v>85.71</v>
          </cell>
          <cell r="AL2138">
            <v>0</v>
          </cell>
        </row>
        <row r="2139">
          <cell r="E2139" t="str">
            <v>d21-422PX</v>
          </cell>
          <cell r="F2139" t="str">
            <v>台</v>
          </cell>
          <cell r="G2139">
            <v>0</v>
          </cell>
          <cell r="H2139">
            <v>13100</v>
          </cell>
          <cell r="I2139">
            <v>0</v>
          </cell>
          <cell r="J2139">
            <v>13100</v>
          </cell>
          <cell r="K2139">
            <v>0</v>
          </cell>
          <cell r="L2139">
            <v>13100</v>
          </cell>
          <cell r="M2139">
            <v>0</v>
          </cell>
          <cell r="N2139">
            <v>13100</v>
          </cell>
          <cell r="O2139">
            <v>0</v>
          </cell>
          <cell r="P2139">
            <v>13100</v>
          </cell>
          <cell r="Q2139">
            <v>0</v>
          </cell>
          <cell r="R2139">
            <v>13100</v>
          </cell>
          <cell r="S2139">
            <v>0</v>
          </cell>
          <cell r="T2139">
            <v>13100</v>
          </cell>
          <cell r="U2139">
            <v>0</v>
          </cell>
          <cell r="V2139">
            <v>13100</v>
          </cell>
          <cell r="W2139">
            <v>0</v>
          </cell>
          <cell r="X2139">
            <v>13100</v>
          </cell>
          <cell r="Y2139">
            <v>0</v>
          </cell>
          <cell r="Z2139">
            <v>13100</v>
          </cell>
          <cell r="AA2139">
            <v>0</v>
          </cell>
          <cell r="AB2139">
            <v>0</v>
          </cell>
          <cell r="AC2139">
            <v>0</v>
          </cell>
          <cell r="AD2139">
            <v>0.20899999999999999</v>
          </cell>
          <cell r="AE2139">
            <v>0</v>
          </cell>
          <cell r="AF2139">
            <v>0</v>
          </cell>
          <cell r="AG2139">
            <v>6400</v>
          </cell>
          <cell r="AH2139">
            <v>84</v>
          </cell>
          <cell r="AI2139">
            <v>0.98</v>
          </cell>
          <cell r="AJ2139">
            <v>1</v>
          </cell>
          <cell r="AK2139">
            <v>85.71</v>
          </cell>
          <cell r="AL2139">
            <v>0</v>
          </cell>
        </row>
        <row r="2140">
          <cell r="E2140" t="str">
            <v>d21-423PN</v>
          </cell>
          <cell r="F2140" t="str">
            <v>台</v>
          </cell>
          <cell r="G2140">
            <v>0</v>
          </cell>
          <cell r="H2140">
            <v>15700</v>
          </cell>
          <cell r="I2140">
            <v>0</v>
          </cell>
          <cell r="J2140">
            <v>15700</v>
          </cell>
          <cell r="K2140">
            <v>0</v>
          </cell>
          <cell r="L2140">
            <v>15700</v>
          </cell>
          <cell r="M2140">
            <v>0</v>
          </cell>
          <cell r="N2140">
            <v>15700</v>
          </cell>
          <cell r="O2140">
            <v>0</v>
          </cell>
          <cell r="P2140">
            <v>15700</v>
          </cell>
          <cell r="Q2140">
            <v>0</v>
          </cell>
          <cell r="R2140">
            <v>15700</v>
          </cell>
          <cell r="S2140">
            <v>0</v>
          </cell>
          <cell r="T2140">
            <v>15700</v>
          </cell>
          <cell r="U2140">
            <v>0</v>
          </cell>
          <cell r="V2140">
            <v>15700</v>
          </cell>
          <cell r="W2140">
            <v>0</v>
          </cell>
          <cell r="X2140">
            <v>15700</v>
          </cell>
          <cell r="Y2140">
            <v>0</v>
          </cell>
          <cell r="Z2140">
            <v>15700</v>
          </cell>
          <cell r="AA2140">
            <v>0</v>
          </cell>
          <cell r="AB2140">
            <v>0</v>
          </cell>
          <cell r="AC2140">
            <v>0</v>
          </cell>
          <cell r="AD2140">
            <v>0.20899999999999999</v>
          </cell>
          <cell r="AE2140">
            <v>0</v>
          </cell>
          <cell r="AF2140">
            <v>0</v>
          </cell>
          <cell r="AG2140">
            <v>9600</v>
          </cell>
          <cell r="AH2140">
            <v>126</v>
          </cell>
          <cell r="AI2140">
            <v>0.98</v>
          </cell>
          <cell r="AJ2140">
            <v>1</v>
          </cell>
          <cell r="AK2140">
            <v>128.57</v>
          </cell>
          <cell r="AL2140">
            <v>0</v>
          </cell>
        </row>
        <row r="2141">
          <cell r="E2141" t="str">
            <v>d21-424PN</v>
          </cell>
          <cell r="F2141" t="str">
            <v>台</v>
          </cell>
          <cell r="G2141">
            <v>0</v>
          </cell>
          <cell r="H2141">
            <v>21100</v>
          </cell>
          <cell r="I2141">
            <v>0</v>
          </cell>
          <cell r="J2141">
            <v>21100</v>
          </cell>
          <cell r="K2141">
            <v>0</v>
          </cell>
          <cell r="L2141">
            <v>21100</v>
          </cell>
          <cell r="M2141">
            <v>0</v>
          </cell>
          <cell r="N2141">
            <v>21100</v>
          </cell>
          <cell r="O2141">
            <v>0</v>
          </cell>
          <cell r="P2141">
            <v>21100</v>
          </cell>
          <cell r="Q2141">
            <v>0</v>
          </cell>
          <cell r="R2141">
            <v>21100</v>
          </cell>
          <cell r="S2141">
            <v>0</v>
          </cell>
          <cell r="T2141">
            <v>21100</v>
          </cell>
          <cell r="U2141">
            <v>0</v>
          </cell>
          <cell r="V2141">
            <v>21100</v>
          </cell>
          <cell r="W2141">
            <v>0</v>
          </cell>
          <cell r="X2141">
            <v>21100</v>
          </cell>
          <cell r="Y2141">
            <v>0</v>
          </cell>
          <cell r="Z2141">
            <v>21100</v>
          </cell>
          <cell r="AA2141">
            <v>0</v>
          </cell>
          <cell r="AB2141">
            <v>0</v>
          </cell>
          <cell r="AC2141">
            <v>0</v>
          </cell>
          <cell r="AD2141">
            <v>0.20899999999999999</v>
          </cell>
          <cell r="AE2141">
            <v>0</v>
          </cell>
          <cell r="AF2141">
            <v>0</v>
          </cell>
          <cell r="AG2141">
            <v>12800</v>
          </cell>
          <cell r="AH2141">
            <v>168</v>
          </cell>
          <cell r="AI2141">
            <v>0.98</v>
          </cell>
          <cell r="AJ2141">
            <v>1</v>
          </cell>
          <cell r="AK2141">
            <v>171.42</v>
          </cell>
          <cell r="AL2141">
            <v>0</v>
          </cell>
        </row>
        <row r="2142">
          <cell r="E2142" t="str">
            <v>d22-241PN</v>
          </cell>
          <cell r="F2142" t="str">
            <v>台</v>
          </cell>
          <cell r="G2142">
            <v>0</v>
          </cell>
          <cell r="H2142">
            <v>27300</v>
          </cell>
          <cell r="I2142">
            <v>0</v>
          </cell>
          <cell r="J2142">
            <v>27300</v>
          </cell>
          <cell r="K2142">
            <v>0</v>
          </cell>
          <cell r="L2142">
            <v>27300</v>
          </cell>
          <cell r="M2142">
            <v>0</v>
          </cell>
          <cell r="N2142">
            <v>27300</v>
          </cell>
          <cell r="O2142">
            <v>0</v>
          </cell>
          <cell r="P2142">
            <v>27300</v>
          </cell>
          <cell r="Q2142">
            <v>0</v>
          </cell>
          <cell r="R2142">
            <v>27300</v>
          </cell>
          <cell r="S2142">
            <v>0</v>
          </cell>
          <cell r="T2142">
            <v>27300</v>
          </cell>
          <cell r="U2142">
            <v>0</v>
          </cell>
          <cell r="V2142">
            <v>27300</v>
          </cell>
          <cell r="W2142">
            <v>0</v>
          </cell>
          <cell r="X2142">
            <v>27300</v>
          </cell>
          <cell r="Y2142">
            <v>0</v>
          </cell>
          <cell r="Z2142">
            <v>27300</v>
          </cell>
          <cell r="AA2142">
            <v>0</v>
          </cell>
          <cell r="AB2142">
            <v>0</v>
          </cell>
          <cell r="AC2142">
            <v>0</v>
          </cell>
          <cell r="AD2142">
            <v>0.20899999999999999</v>
          </cell>
          <cell r="AE2142">
            <v>0</v>
          </cell>
          <cell r="AF2142">
            <v>0</v>
          </cell>
          <cell r="AG2142">
            <v>1800</v>
          </cell>
          <cell r="AH2142">
            <v>24</v>
          </cell>
          <cell r="AI2142">
            <v>0.98</v>
          </cell>
          <cell r="AJ2142">
            <v>1</v>
          </cell>
          <cell r="AK2142">
            <v>24.48</v>
          </cell>
          <cell r="AL2142">
            <v>0</v>
          </cell>
        </row>
        <row r="2143">
          <cell r="E2143" t="str">
            <v>d22-321PN</v>
          </cell>
          <cell r="F2143" t="str">
            <v>台</v>
          </cell>
          <cell r="G2143">
            <v>0</v>
          </cell>
          <cell r="H2143">
            <v>7440</v>
          </cell>
          <cell r="I2143">
            <v>0</v>
          </cell>
          <cell r="J2143">
            <v>7440</v>
          </cell>
          <cell r="K2143">
            <v>0</v>
          </cell>
          <cell r="L2143">
            <v>7440</v>
          </cell>
          <cell r="M2143">
            <v>0</v>
          </cell>
          <cell r="N2143">
            <v>7440</v>
          </cell>
          <cell r="O2143">
            <v>0</v>
          </cell>
          <cell r="P2143">
            <v>7440</v>
          </cell>
          <cell r="Q2143">
            <v>0</v>
          </cell>
          <cell r="R2143">
            <v>7440</v>
          </cell>
          <cell r="S2143">
            <v>0</v>
          </cell>
          <cell r="T2143">
            <v>7440</v>
          </cell>
          <cell r="U2143">
            <v>0</v>
          </cell>
          <cell r="V2143">
            <v>7440</v>
          </cell>
          <cell r="W2143">
            <v>0</v>
          </cell>
          <cell r="X2143">
            <v>7440</v>
          </cell>
          <cell r="Y2143">
            <v>0</v>
          </cell>
          <cell r="Z2143">
            <v>7440</v>
          </cell>
          <cell r="AA2143">
            <v>0</v>
          </cell>
          <cell r="AB2143">
            <v>0</v>
          </cell>
          <cell r="AC2143">
            <v>0</v>
          </cell>
          <cell r="AD2143">
            <v>0.20899999999999999</v>
          </cell>
          <cell r="AE2143">
            <v>0</v>
          </cell>
          <cell r="AF2143">
            <v>0</v>
          </cell>
          <cell r="AG2143">
            <v>2400</v>
          </cell>
          <cell r="AH2143">
            <v>32</v>
          </cell>
          <cell r="AI2143">
            <v>0.98</v>
          </cell>
          <cell r="AJ2143">
            <v>1</v>
          </cell>
          <cell r="AK2143">
            <v>32.65</v>
          </cell>
          <cell r="AL2143">
            <v>0</v>
          </cell>
        </row>
        <row r="2144">
          <cell r="E2144" t="str">
            <v>d22-421PN</v>
          </cell>
          <cell r="F2144" t="str">
            <v>台</v>
          </cell>
          <cell r="G2144">
            <v>0</v>
          </cell>
          <cell r="H2144">
            <v>7610</v>
          </cell>
          <cell r="I2144">
            <v>0</v>
          </cell>
          <cell r="J2144">
            <v>7610</v>
          </cell>
          <cell r="K2144">
            <v>0</v>
          </cell>
          <cell r="L2144">
            <v>7610</v>
          </cell>
          <cell r="M2144">
            <v>0</v>
          </cell>
          <cell r="N2144">
            <v>7610</v>
          </cell>
          <cell r="O2144">
            <v>0</v>
          </cell>
          <cell r="P2144">
            <v>7610</v>
          </cell>
          <cell r="Q2144">
            <v>0</v>
          </cell>
          <cell r="R2144">
            <v>7610</v>
          </cell>
          <cell r="S2144">
            <v>0</v>
          </cell>
          <cell r="T2144">
            <v>7610</v>
          </cell>
          <cell r="U2144">
            <v>0</v>
          </cell>
          <cell r="V2144">
            <v>7610</v>
          </cell>
          <cell r="W2144">
            <v>0</v>
          </cell>
          <cell r="X2144">
            <v>7610</v>
          </cell>
          <cell r="Y2144">
            <v>0</v>
          </cell>
          <cell r="Z2144">
            <v>7610</v>
          </cell>
          <cell r="AA2144">
            <v>0</v>
          </cell>
          <cell r="AB2144">
            <v>0</v>
          </cell>
          <cell r="AC2144">
            <v>0</v>
          </cell>
          <cell r="AD2144">
            <v>0.20899999999999999</v>
          </cell>
          <cell r="AE2144">
            <v>0</v>
          </cell>
          <cell r="AF2144">
            <v>0</v>
          </cell>
          <cell r="AG2144">
            <v>3200</v>
          </cell>
          <cell r="AH2144">
            <v>42</v>
          </cell>
          <cell r="AI2144">
            <v>0.98</v>
          </cell>
          <cell r="AJ2144">
            <v>1</v>
          </cell>
          <cell r="AK2144">
            <v>42.85</v>
          </cell>
          <cell r="AL2144">
            <v>0</v>
          </cell>
        </row>
        <row r="2145">
          <cell r="E2145" t="str">
            <v>d23-241PN</v>
          </cell>
          <cell r="F2145" t="str">
            <v>台</v>
          </cell>
          <cell r="G2145">
            <v>0</v>
          </cell>
          <cell r="H2145">
            <v>7740</v>
          </cell>
          <cell r="I2145">
            <v>0</v>
          </cell>
          <cell r="J2145">
            <v>7740</v>
          </cell>
          <cell r="K2145">
            <v>0</v>
          </cell>
          <cell r="L2145">
            <v>7740</v>
          </cell>
          <cell r="M2145">
            <v>0</v>
          </cell>
          <cell r="N2145">
            <v>7740</v>
          </cell>
          <cell r="O2145">
            <v>0</v>
          </cell>
          <cell r="P2145">
            <v>7740</v>
          </cell>
          <cell r="Q2145">
            <v>0</v>
          </cell>
          <cell r="R2145">
            <v>7740</v>
          </cell>
          <cell r="S2145">
            <v>0</v>
          </cell>
          <cell r="T2145">
            <v>7740</v>
          </cell>
          <cell r="U2145">
            <v>0</v>
          </cell>
          <cell r="V2145">
            <v>7740</v>
          </cell>
          <cell r="W2145">
            <v>0</v>
          </cell>
          <cell r="X2145">
            <v>7740</v>
          </cell>
          <cell r="Y2145">
            <v>0</v>
          </cell>
          <cell r="Z2145">
            <v>7740</v>
          </cell>
          <cell r="AA2145">
            <v>0</v>
          </cell>
          <cell r="AB2145">
            <v>0</v>
          </cell>
          <cell r="AC2145">
            <v>0</v>
          </cell>
          <cell r="AD2145">
            <v>0.20899999999999999</v>
          </cell>
          <cell r="AE2145">
            <v>0</v>
          </cell>
          <cell r="AF2145">
            <v>0</v>
          </cell>
          <cell r="AG2145">
            <v>1800</v>
          </cell>
          <cell r="AH2145">
            <v>24</v>
          </cell>
          <cell r="AI2145">
            <v>0.98</v>
          </cell>
          <cell r="AJ2145">
            <v>1</v>
          </cell>
          <cell r="AK2145">
            <v>24.48</v>
          </cell>
          <cell r="AL2145">
            <v>0</v>
          </cell>
        </row>
        <row r="2146">
          <cell r="E2146" t="str">
            <v>d23-241PX</v>
          </cell>
          <cell r="F2146" t="str">
            <v>台</v>
          </cell>
          <cell r="G2146">
            <v>0</v>
          </cell>
          <cell r="H2146">
            <v>6790</v>
          </cell>
          <cell r="I2146">
            <v>0</v>
          </cell>
          <cell r="J2146">
            <v>6790</v>
          </cell>
          <cell r="K2146">
            <v>0</v>
          </cell>
          <cell r="L2146">
            <v>6790</v>
          </cell>
          <cell r="M2146">
            <v>0</v>
          </cell>
          <cell r="N2146">
            <v>6790</v>
          </cell>
          <cell r="O2146">
            <v>0</v>
          </cell>
          <cell r="P2146">
            <v>6790</v>
          </cell>
          <cell r="Q2146">
            <v>0</v>
          </cell>
          <cell r="R2146">
            <v>6790</v>
          </cell>
          <cell r="S2146">
            <v>0</v>
          </cell>
          <cell r="T2146">
            <v>6790</v>
          </cell>
          <cell r="U2146">
            <v>0</v>
          </cell>
          <cell r="V2146">
            <v>6790</v>
          </cell>
          <cell r="W2146">
            <v>0</v>
          </cell>
          <cell r="X2146">
            <v>6790</v>
          </cell>
          <cell r="Y2146">
            <v>0</v>
          </cell>
          <cell r="Z2146">
            <v>6790</v>
          </cell>
          <cell r="AA2146">
            <v>0</v>
          </cell>
          <cell r="AB2146">
            <v>0</v>
          </cell>
          <cell r="AC2146">
            <v>0</v>
          </cell>
          <cell r="AD2146">
            <v>0.20899999999999999</v>
          </cell>
          <cell r="AE2146">
            <v>0</v>
          </cell>
          <cell r="AF2146">
            <v>0</v>
          </cell>
          <cell r="AG2146">
            <v>1800</v>
          </cell>
          <cell r="AH2146">
            <v>24</v>
          </cell>
          <cell r="AI2146">
            <v>0.98</v>
          </cell>
          <cell r="AJ2146">
            <v>1</v>
          </cell>
          <cell r="AK2146">
            <v>24.48</v>
          </cell>
          <cell r="AL2146">
            <v>0</v>
          </cell>
        </row>
        <row r="2147">
          <cell r="E2147" t="str">
            <v>d23-321PN</v>
          </cell>
          <cell r="F2147" t="str">
            <v>台</v>
          </cell>
          <cell r="G2147">
            <v>0</v>
          </cell>
          <cell r="H2147">
            <v>9580</v>
          </cell>
          <cell r="I2147">
            <v>0</v>
          </cell>
          <cell r="J2147">
            <v>9580</v>
          </cell>
          <cell r="K2147">
            <v>0</v>
          </cell>
          <cell r="L2147">
            <v>9580</v>
          </cell>
          <cell r="M2147">
            <v>0</v>
          </cell>
          <cell r="N2147">
            <v>9580</v>
          </cell>
          <cell r="O2147">
            <v>0</v>
          </cell>
          <cell r="P2147">
            <v>9580</v>
          </cell>
          <cell r="Q2147">
            <v>0</v>
          </cell>
          <cell r="R2147">
            <v>9580</v>
          </cell>
          <cell r="S2147">
            <v>0</v>
          </cell>
          <cell r="T2147">
            <v>9580</v>
          </cell>
          <cell r="U2147">
            <v>0</v>
          </cell>
          <cell r="V2147">
            <v>9580</v>
          </cell>
          <cell r="W2147">
            <v>0</v>
          </cell>
          <cell r="X2147">
            <v>9580</v>
          </cell>
          <cell r="Y2147">
            <v>0</v>
          </cell>
          <cell r="Z2147">
            <v>9580</v>
          </cell>
          <cell r="AA2147">
            <v>0</v>
          </cell>
          <cell r="AB2147">
            <v>0</v>
          </cell>
          <cell r="AC2147">
            <v>0</v>
          </cell>
          <cell r="AD2147">
            <v>0.20899999999999999</v>
          </cell>
          <cell r="AE2147">
            <v>0</v>
          </cell>
          <cell r="AF2147">
            <v>0</v>
          </cell>
          <cell r="AG2147">
            <v>2400</v>
          </cell>
          <cell r="AH2147">
            <v>32</v>
          </cell>
          <cell r="AI2147">
            <v>0.98</v>
          </cell>
          <cell r="AJ2147">
            <v>1</v>
          </cell>
          <cell r="AK2147">
            <v>32.65</v>
          </cell>
          <cell r="AL2147">
            <v>0</v>
          </cell>
        </row>
        <row r="2148">
          <cell r="E2148" t="str">
            <v>d23-321PX</v>
          </cell>
          <cell r="F2148" t="str">
            <v>台</v>
          </cell>
          <cell r="G2148">
            <v>0</v>
          </cell>
          <cell r="H2148">
            <v>6900</v>
          </cell>
          <cell r="I2148">
            <v>0</v>
          </cell>
          <cell r="J2148">
            <v>6900</v>
          </cell>
          <cell r="K2148">
            <v>0</v>
          </cell>
          <cell r="L2148">
            <v>6900</v>
          </cell>
          <cell r="M2148">
            <v>0</v>
          </cell>
          <cell r="N2148">
            <v>6900</v>
          </cell>
          <cell r="O2148">
            <v>0</v>
          </cell>
          <cell r="P2148">
            <v>6900</v>
          </cell>
          <cell r="Q2148">
            <v>0</v>
          </cell>
          <cell r="R2148">
            <v>6900</v>
          </cell>
          <cell r="S2148">
            <v>0</v>
          </cell>
          <cell r="T2148">
            <v>6900</v>
          </cell>
          <cell r="U2148">
            <v>0</v>
          </cell>
          <cell r="V2148">
            <v>6900</v>
          </cell>
          <cell r="W2148">
            <v>0</v>
          </cell>
          <cell r="X2148">
            <v>6900</v>
          </cell>
          <cell r="Y2148">
            <v>0</v>
          </cell>
          <cell r="Z2148">
            <v>6900</v>
          </cell>
          <cell r="AA2148">
            <v>0</v>
          </cell>
          <cell r="AB2148">
            <v>0</v>
          </cell>
          <cell r="AC2148">
            <v>0</v>
          </cell>
          <cell r="AD2148">
            <v>0.20899999999999999</v>
          </cell>
          <cell r="AE2148">
            <v>0</v>
          </cell>
          <cell r="AF2148">
            <v>0</v>
          </cell>
          <cell r="AG2148">
            <v>2400</v>
          </cell>
          <cell r="AH2148">
            <v>32</v>
          </cell>
          <cell r="AI2148">
            <v>0.98</v>
          </cell>
          <cell r="AJ2148">
            <v>1</v>
          </cell>
          <cell r="AK2148">
            <v>32.65</v>
          </cell>
          <cell r="AL2148">
            <v>0</v>
          </cell>
        </row>
        <row r="2149">
          <cell r="E2149" t="str">
            <v>d23-421PN</v>
          </cell>
          <cell r="F2149" t="str">
            <v>台</v>
          </cell>
          <cell r="G2149">
            <v>0</v>
          </cell>
          <cell r="H2149">
            <v>10020</v>
          </cell>
          <cell r="I2149">
            <v>0</v>
          </cell>
          <cell r="J2149">
            <v>10020</v>
          </cell>
          <cell r="K2149">
            <v>0</v>
          </cell>
          <cell r="L2149">
            <v>10020</v>
          </cell>
          <cell r="M2149">
            <v>0</v>
          </cell>
          <cell r="N2149">
            <v>10020</v>
          </cell>
          <cell r="O2149">
            <v>0</v>
          </cell>
          <cell r="P2149">
            <v>10020</v>
          </cell>
          <cell r="Q2149">
            <v>0</v>
          </cell>
          <cell r="R2149">
            <v>10020</v>
          </cell>
          <cell r="S2149">
            <v>0</v>
          </cell>
          <cell r="T2149">
            <v>10020</v>
          </cell>
          <cell r="U2149">
            <v>0</v>
          </cell>
          <cell r="V2149">
            <v>10020</v>
          </cell>
          <cell r="W2149">
            <v>0</v>
          </cell>
          <cell r="X2149">
            <v>10020</v>
          </cell>
          <cell r="Y2149">
            <v>0</v>
          </cell>
          <cell r="Z2149">
            <v>10020</v>
          </cell>
          <cell r="AA2149">
            <v>0</v>
          </cell>
          <cell r="AB2149">
            <v>0</v>
          </cell>
          <cell r="AC2149">
            <v>0</v>
          </cell>
          <cell r="AD2149">
            <v>0.20899999999999999</v>
          </cell>
          <cell r="AE2149">
            <v>0</v>
          </cell>
          <cell r="AF2149">
            <v>0</v>
          </cell>
          <cell r="AG2149">
            <v>3200</v>
          </cell>
          <cell r="AH2149">
            <v>42</v>
          </cell>
          <cell r="AI2149">
            <v>0.98</v>
          </cell>
          <cell r="AJ2149">
            <v>1</v>
          </cell>
          <cell r="AK2149">
            <v>42.85</v>
          </cell>
          <cell r="AL2149">
            <v>0</v>
          </cell>
        </row>
        <row r="2150">
          <cell r="E2150" t="str">
            <v>d23-422PN</v>
          </cell>
          <cell r="F2150" t="str">
            <v>台</v>
          </cell>
          <cell r="G2150">
            <v>0</v>
          </cell>
          <cell r="H2150">
            <v>8390</v>
          </cell>
          <cell r="I2150">
            <v>0</v>
          </cell>
          <cell r="J2150">
            <v>8390</v>
          </cell>
          <cell r="K2150">
            <v>0</v>
          </cell>
          <cell r="L2150">
            <v>8390</v>
          </cell>
          <cell r="M2150">
            <v>0</v>
          </cell>
          <cell r="N2150">
            <v>8390</v>
          </cell>
          <cell r="O2150">
            <v>0</v>
          </cell>
          <cell r="P2150">
            <v>8390</v>
          </cell>
          <cell r="Q2150">
            <v>0</v>
          </cell>
          <cell r="R2150">
            <v>8390</v>
          </cell>
          <cell r="S2150">
            <v>0</v>
          </cell>
          <cell r="T2150">
            <v>8390</v>
          </cell>
          <cell r="U2150">
            <v>0</v>
          </cell>
          <cell r="V2150">
            <v>8390</v>
          </cell>
          <cell r="W2150">
            <v>0</v>
          </cell>
          <cell r="X2150">
            <v>8390</v>
          </cell>
          <cell r="Y2150">
            <v>0</v>
          </cell>
          <cell r="Z2150">
            <v>8390</v>
          </cell>
          <cell r="AA2150">
            <v>0</v>
          </cell>
          <cell r="AB2150">
            <v>0</v>
          </cell>
          <cell r="AC2150">
            <v>0</v>
          </cell>
          <cell r="AD2150">
            <v>0.20899999999999999</v>
          </cell>
          <cell r="AE2150">
            <v>0</v>
          </cell>
          <cell r="AF2150">
            <v>0</v>
          </cell>
          <cell r="AG2150">
            <v>6400</v>
          </cell>
          <cell r="AH2150">
            <v>84</v>
          </cell>
          <cell r="AI2150">
            <v>0.98</v>
          </cell>
          <cell r="AJ2150">
            <v>1</v>
          </cell>
          <cell r="AK2150">
            <v>85.71</v>
          </cell>
          <cell r="AL2150">
            <v>0</v>
          </cell>
        </row>
        <row r="2151">
          <cell r="E2151" t="str">
            <v>■Ｈｆ黒板灯埋込形</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row>
        <row r="2152">
          <cell r="E2152" t="str">
            <v>J24-321PH</v>
          </cell>
          <cell r="F2152" t="str">
            <v>台</v>
          </cell>
          <cell r="G2152">
            <v>0</v>
          </cell>
          <cell r="H2152">
            <v>14000</v>
          </cell>
          <cell r="I2152">
            <v>0</v>
          </cell>
          <cell r="J2152">
            <v>14000</v>
          </cell>
          <cell r="K2152">
            <v>0</v>
          </cell>
          <cell r="L2152">
            <v>14000</v>
          </cell>
          <cell r="M2152">
            <v>0</v>
          </cell>
          <cell r="N2152">
            <v>14000</v>
          </cell>
          <cell r="O2152">
            <v>0</v>
          </cell>
          <cell r="P2152">
            <v>14000</v>
          </cell>
          <cell r="Q2152">
            <v>0</v>
          </cell>
          <cell r="R2152">
            <v>14000</v>
          </cell>
          <cell r="S2152">
            <v>0</v>
          </cell>
          <cell r="T2152">
            <v>14000</v>
          </cell>
          <cell r="U2152">
            <v>0</v>
          </cell>
          <cell r="V2152">
            <v>14000</v>
          </cell>
          <cell r="W2152">
            <v>0</v>
          </cell>
          <cell r="X2152">
            <v>14000</v>
          </cell>
          <cell r="Y2152">
            <v>0</v>
          </cell>
          <cell r="Z2152">
            <v>14000</v>
          </cell>
          <cell r="AA2152">
            <v>0</v>
          </cell>
          <cell r="AB2152">
            <v>0</v>
          </cell>
          <cell r="AC2152">
            <v>0</v>
          </cell>
          <cell r="AD2152">
            <v>0.313</v>
          </cell>
          <cell r="AE2152">
            <v>0</v>
          </cell>
          <cell r="AF2152">
            <v>0</v>
          </cell>
          <cell r="AG2152">
            <v>4950</v>
          </cell>
          <cell r="AH2152">
            <v>48</v>
          </cell>
          <cell r="AI2152">
            <v>0.97899999999999998</v>
          </cell>
          <cell r="AJ2152">
            <v>1</v>
          </cell>
          <cell r="AK2152">
            <v>49.02</v>
          </cell>
          <cell r="AL2152">
            <v>0</v>
          </cell>
        </row>
        <row r="2153">
          <cell r="E2153" t="str">
            <v>J24-321PK</v>
          </cell>
          <cell r="F2153" t="str">
            <v>台</v>
          </cell>
          <cell r="G2153">
            <v>0</v>
          </cell>
          <cell r="H2153">
            <v>16000</v>
          </cell>
          <cell r="I2153">
            <v>0</v>
          </cell>
          <cell r="J2153">
            <v>16000</v>
          </cell>
          <cell r="K2153">
            <v>0</v>
          </cell>
          <cell r="L2153">
            <v>16000</v>
          </cell>
          <cell r="M2153">
            <v>0</v>
          </cell>
          <cell r="N2153">
            <v>16000</v>
          </cell>
          <cell r="O2153">
            <v>0</v>
          </cell>
          <cell r="P2153">
            <v>16000</v>
          </cell>
          <cell r="Q2153">
            <v>0</v>
          </cell>
          <cell r="R2153">
            <v>16000</v>
          </cell>
          <cell r="S2153">
            <v>0</v>
          </cell>
          <cell r="T2153">
            <v>16000</v>
          </cell>
          <cell r="U2153">
            <v>0</v>
          </cell>
          <cell r="V2153">
            <v>16000</v>
          </cell>
          <cell r="W2153">
            <v>0</v>
          </cell>
          <cell r="X2153">
            <v>16000</v>
          </cell>
          <cell r="Y2153">
            <v>0</v>
          </cell>
          <cell r="Z2153">
            <v>16000</v>
          </cell>
          <cell r="AA2153">
            <v>0</v>
          </cell>
          <cell r="AB2153">
            <v>0</v>
          </cell>
          <cell r="AC2153">
            <v>0</v>
          </cell>
          <cell r="AD2153">
            <v>0.313</v>
          </cell>
          <cell r="AE2153">
            <v>0</v>
          </cell>
          <cell r="AF2153">
            <v>0</v>
          </cell>
          <cell r="AG2153">
            <v>4950</v>
          </cell>
          <cell r="AH2153">
            <v>48</v>
          </cell>
          <cell r="AI2153">
            <v>0.97899999999999998</v>
          </cell>
          <cell r="AJ2153">
            <v>1</v>
          </cell>
          <cell r="AK2153">
            <v>49.02</v>
          </cell>
          <cell r="AL2153">
            <v>0</v>
          </cell>
        </row>
        <row r="2154">
          <cell r="E2154" t="str">
            <v>J24A-321PH</v>
          </cell>
          <cell r="F2154" t="str">
            <v>台</v>
          </cell>
          <cell r="G2154">
            <v>0</v>
          </cell>
          <cell r="H2154">
            <v>14000</v>
          </cell>
          <cell r="I2154">
            <v>0</v>
          </cell>
          <cell r="J2154">
            <v>14000</v>
          </cell>
          <cell r="K2154">
            <v>0</v>
          </cell>
          <cell r="L2154">
            <v>14000</v>
          </cell>
          <cell r="M2154">
            <v>0</v>
          </cell>
          <cell r="N2154">
            <v>14000</v>
          </cell>
          <cell r="O2154">
            <v>0</v>
          </cell>
          <cell r="P2154">
            <v>14000</v>
          </cell>
          <cell r="Q2154">
            <v>0</v>
          </cell>
          <cell r="R2154">
            <v>14000</v>
          </cell>
          <cell r="S2154">
            <v>0</v>
          </cell>
          <cell r="T2154">
            <v>14000</v>
          </cell>
          <cell r="U2154">
            <v>0</v>
          </cell>
          <cell r="V2154">
            <v>14000</v>
          </cell>
          <cell r="W2154">
            <v>0</v>
          </cell>
          <cell r="X2154">
            <v>14000</v>
          </cell>
          <cell r="Y2154">
            <v>0</v>
          </cell>
          <cell r="Z2154">
            <v>14000</v>
          </cell>
          <cell r="AA2154">
            <v>0</v>
          </cell>
          <cell r="AB2154">
            <v>0</v>
          </cell>
          <cell r="AC2154">
            <v>0</v>
          </cell>
          <cell r="AD2154">
            <v>0.313</v>
          </cell>
          <cell r="AE2154">
            <v>0</v>
          </cell>
          <cell r="AF2154">
            <v>0</v>
          </cell>
          <cell r="AG2154">
            <v>4950</v>
          </cell>
          <cell r="AH2154">
            <v>48</v>
          </cell>
          <cell r="AI2154">
            <v>0.97899999999999998</v>
          </cell>
          <cell r="AJ2154">
            <v>1</v>
          </cell>
          <cell r="AK2154">
            <v>49.02</v>
          </cell>
          <cell r="AL2154">
            <v>0</v>
          </cell>
        </row>
        <row r="2155">
          <cell r="E2155" t="str">
            <v>J24A-321PK</v>
          </cell>
          <cell r="F2155" t="str">
            <v>台</v>
          </cell>
          <cell r="G2155">
            <v>0</v>
          </cell>
          <cell r="H2155">
            <v>16000</v>
          </cell>
          <cell r="I2155">
            <v>0</v>
          </cell>
          <cell r="J2155">
            <v>16000</v>
          </cell>
          <cell r="K2155">
            <v>0</v>
          </cell>
          <cell r="L2155">
            <v>16000</v>
          </cell>
          <cell r="M2155">
            <v>0</v>
          </cell>
          <cell r="N2155">
            <v>16000</v>
          </cell>
          <cell r="O2155">
            <v>0</v>
          </cell>
          <cell r="P2155">
            <v>16000</v>
          </cell>
          <cell r="Q2155">
            <v>0</v>
          </cell>
          <cell r="R2155">
            <v>16000</v>
          </cell>
          <cell r="S2155">
            <v>0</v>
          </cell>
          <cell r="T2155">
            <v>16000</v>
          </cell>
          <cell r="U2155">
            <v>0</v>
          </cell>
          <cell r="V2155">
            <v>16000</v>
          </cell>
          <cell r="W2155">
            <v>0</v>
          </cell>
          <cell r="X2155">
            <v>16000</v>
          </cell>
          <cell r="Y2155">
            <v>0</v>
          </cell>
          <cell r="Z2155">
            <v>16000</v>
          </cell>
          <cell r="AA2155">
            <v>0</v>
          </cell>
          <cell r="AB2155">
            <v>0</v>
          </cell>
          <cell r="AC2155">
            <v>0</v>
          </cell>
          <cell r="AD2155">
            <v>0.313</v>
          </cell>
          <cell r="AE2155">
            <v>0</v>
          </cell>
          <cell r="AF2155">
            <v>0</v>
          </cell>
          <cell r="AG2155">
            <v>4950</v>
          </cell>
          <cell r="AH2155">
            <v>48</v>
          </cell>
          <cell r="AI2155">
            <v>0.97899999999999998</v>
          </cell>
          <cell r="AJ2155">
            <v>1</v>
          </cell>
          <cell r="AK2155">
            <v>49.02</v>
          </cell>
          <cell r="AL2155">
            <v>0</v>
          </cell>
        </row>
        <row r="2156">
          <cell r="E2156" t="str">
            <v>■Ｈｆ開放埋込形</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row>
        <row r="2157">
          <cell r="E2157" t="str">
            <v>A26-162PH</v>
          </cell>
          <cell r="F2157" t="str">
            <v>台</v>
          </cell>
          <cell r="G2157">
            <v>0</v>
          </cell>
          <cell r="H2157">
            <v>8290</v>
          </cell>
          <cell r="I2157">
            <v>0</v>
          </cell>
          <cell r="J2157">
            <v>8290</v>
          </cell>
          <cell r="K2157">
            <v>0</v>
          </cell>
          <cell r="L2157">
            <v>8290</v>
          </cell>
          <cell r="M2157">
            <v>0</v>
          </cell>
          <cell r="N2157">
            <v>8290</v>
          </cell>
          <cell r="O2157">
            <v>0</v>
          </cell>
          <cell r="P2157">
            <v>8290</v>
          </cell>
          <cell r="Q2157">
            <v>0</v>
          </cell>
          <cell r="R2157">
            <v>8290</v>
          </cell>
          <cell r="S2157">
            <v>0</v>
          </cell>
          <cell r="T2157">
            <v>8290</v>
          </cell>
          <cell r="U2157">
            <v>0</v>
          </cell>
          <cell r="V2157">
            <v>8290</v>
          </cell>
          <cell r="W2157">
            <v>0</v>
          </cell>
          <cell r="X2157">
            <v>8290</v>
          </cell>
          <cell r="Y2157">
            <v>0</v>
          </cell>
          <cell r="Z2157">
            <v>8290</v>
          </cell>
          <cell r="AA2157">
            <v>0</v>
          </cell>
          <cell r="AB2157">
            <v>0</v>
          </cell>
          <cell r="AC2157">
            <v>0</v>
          </cell>
          <cell r="AD2157">
            <v>0.252</v>
          </cell>
          <cell r="AE2157">
            <v>0</v>
          </cell>
          <cell r="AF2157">
            <v>0</v>
          </cell>
          <cell r="AG2157">
            <v>4200</v>
          </cell>
          <cell r="AH2157">
            <v>50</v>
          </cell>
          <cell r="AI2157">
            <v>0.98</v>
          </cell>
          <cell r="AJ2157">
            <v>1</v>
          </cell>
          <cell r="AK2157">
            <v>51.02</v>
          </cell>
          <cell r="AL2157">
            <v>0</v>
          </cell>
        </row>
        <row r="2158">
          <cell r="E2158" t="str">
            <v>A26-162PX</v>
          </cell>
          <cell r="F2158" t="str">
            <v>台</v>
          </cell>
          <cell r="G2158">
            <v>0</v>
          </cell>
          <cell r="H2158">
            <v>9450</v>
          </cell>
          <cell r="I2158">
            <v>0</v>
          </cell>
          <cell r="J2158">
            <v>9450</v>
          </cell>
          <cell r="K2158">
            <v>0</v>
          </cell>
          <cell r="L2158">
            <v>9450</v>
          </cell>
          <cell r="M2158">
            <v>0</v>
          </cell>
          <cell r="N2158">
            <v>9450</v>
          </cell>
          <cell r="O2158">
            <v>0</v>
          </cell>
          <cell r="P2158">
            <v>9450</v>
          </cell>
          <cell r="Q2158">
            <v>0</v>
          </cell>
          <cell r="R2158">
            <v>9450</v>
          </cell>
          <cell r="S2158">
            <v>0</v>
          </cell>
          <cell r="T2158">
            <v>9450</v>
          </cell>
          <cell r="U2158">
            <v>0</v>
          </cell>
          <cell r="V2158">
            <v>9450</v>
          </cell>
          <cell r="W2158">
            <v>0</v>
          </cell>
          <cell r="X2158">
            <v>9450</v>
          </cell>
          <cell r="Y2158">
            <v>0</v>
          </cell>
          <cell r="Z2158">
            <v>9450</v>
          </cell>
          <cell r="AA2158">
            <v>0</v>
          </cell>
          <cell r="AB2158">
            <v>0</v>
          </cell>
          <cell r="AC2158">
            <v>0</v>
          </cell>
          <cell r="AD2158">
            <v>0.252</v>
          </cell>
          <cell r="AE2158">
            <v>0</v>
          </cell>
          <cell r="AF2158">
            <v>0</v>
          </cell>
          <cell r="AG2158">
            <v>4200</v>
          </cell>
          <cell r="AH2158">
            <v>50</v>
          </cell>
          <cell r="AI2158">
            <v>0.98</v>
          </cell>
          <cell r="AJ2158">
            <v>1</v>
          </cell>
          <cell r="AK2158">
            <v>51.02</v>
          </cell>
          <cell r="AL2158">
            <v>0</v>
          </cell>
        </row>
        <row r="2159">
          <cell r="E2159" t="str">
            <v>A26-322PN</v>
          </cell>
          <cell r="F2159" t="str">
            <v>台</v>
          </cell>
          <cell r="G2159">
            <v>0</v>
          </cell>
          <cell r="H2159">
            <v>6930</v>
          </cell>
          <cell r="I2159">
            <v>0</v>
          </cell>
          <cell r="J2159">
            <v>6930</v>
          </cell>
          <cell r="K2159">
            <v>0</v>
          </cell>
          <cell r="L2159">
            <v>6930</v>
          </cell>
          <cell r="M2159">
            <v>0</v>
          </cell>
          <cell r="N2159">
            <v>6930</v>
          </cell>
          <cell r="O2159">
            <v>0</v>
          </cell>
          <cell r="P2159">
            <v>6930</v>
          </cell>
          <cell r="Q2159">
            <v>0</v>
          </cell>
          <cell r="R2159">
            <v>6930</v>
          </cell>
          <cell r="S2159">
            <v>0</v>
          </cell>
          <cell r="T2159">
            <v>6930</v>
          </cell>
          <cell r="U2159">
            <v>0</v>
          </cell>
          <cell r="V2159">
            <v>6930</v>
          </cell>
          <cell r="W2159">
            <v>0</v>
          </cell>
          <cell r="X2159">
            <v>6930</v>
          </cell>
          <cell r="Y2159">
            <v>0</v>
          </cell>
          <cell r="Z2159">
            <v>6930</v>
          </cell>
          <cell r="AA2159">
            <v>0</v>
          </cell>
          <cell r="AB2159">
            <v>0</v>
          </cell>
          <cell r="AC2159">
            <v>0</v>
          </cell>
          <cell r="AD2159">
            <v>0.39100000000000001</v>
          </cell>
          <cell r="AE2159">
            <v>0</v>
          </cell>
          <cell r="AF2159">
            <v>0</v>
          </cell>
          <cell r="AG2159">
            <v>9900</v>
          </cell>
          <cell r="AH2159">
            <v>96</v>
          </cell>
          <cell r="AI2159">
            <v>0.98899999999999999</v>
          </cell>
          <cell r="AJ2159">
            <v>1</v>
          </cell>
          <cell r="AK2159">
            <v>97.06</v>
          </cell>
          <cell r="AL2159">
            <v>0</v>
          </cell>
        </row>
        <row r="2160">
          <cell r="E2160" t="str">
            <v>A26-322PH</v>
          </cell>
          <cell r="F2160" t="str">
            <v>台</v>
          </cell>
          <cell r="G2160">
            <v>0</v>
          </cell>
          <cell r="H2160">
            <v>8500</v>
          </cell>
          <cell r="I2160">
            <v>0</v>
          </cell>
          <cell r="J2160">
            <v>8500</v>
          </cell>
          <cell r="K2160">
            <v>0</v>
          </cell>
          <cell r="L2160">
            <v>8500</v>
          </cell>
          <cell r="M2160">
            <v>0</v>
          </cell>
          <cell r="N2160">
            <v>8500</v>
          </cell>
          <cell r="O2160">
            <v>0</v>
          </cell>
          <cell r="P2160">
            <v>8500</v>
          </cell>
          <cell r="Q2160">
            <v>0</v>
          </cell>
          <cell r="R2160">
            <v>8500</v>
          </cell>
          <cell r="S2160">
            <v>0</v>
          </cell>
          <cell r="T2160">
            <v>8500</v>
          </cell>
          <cell r="U2160">
            <v>0</v>
          </cell>
          <cell r="V2160">
            <v>8500</v>
          </cell>
          <cell r="W2160">
            <v>0</v>
          </cell>
          <cell r="X2160">
            <v>8500</v>
          </cell>
          <cell r="Y2160">
            <v>0</v>
          </cell>
          <cell r="Z2160">
            <v>8500</v>
          </cell>
          <cell r="AA2160">
            <v>0</v>
          </cell>
          <cell r="AB2160">
            <v>0</v>
          </cell>
          <cell r="AC2160">
            <v>0</v>
          </cell>
          <cell r="AD2160">
            <v>0.39100000000000001</v>
          </cell>
          <cell r="AE2160">
            <v>0</v>
          </cell>
          <cell r="AF2160">
            <v>0</v>
          </cell>
          <cell r="AG2160">
            <v>9900</v>
          </cell>
          <cell r="AH2160">
            <v>96</v>
          </cell>
          <cell r="AI2160">
            <v>0.98899999999999999</v>
          </cell>
          <cell r="AJ2160">
            <v>1</v>
          </cell>
          <cell r="AK2160">
            <v>97.06</v>
          </cell>
          <cell r="AL2160">
            <v>0</v>
          </cell>
        </row>
        <row r="2161">
          <cell r="E2161" t="str">
            <v>A26-322PX</v>
          </cell>
          <cell r="F2161" t="str">
            <v>台</v>
          </cell>
          <cell r="G2161">
            <v>0</v>
          </cell>
          <cell r="H2161">
            <v>9520</v>
          </cell>
          <cell r="I2161">
            <v>0</v>
          </cell>
          <cell r="J2161">
            <v>9520</v>
          </cell>
          <cell r="K2161">
            <v>0</v>
          </cell>
          <cell r="L2161">
            <v>9520</v>
          </cell>
          <cell r="M2161">
            <v>0</v>
          </cell>
          <cell r="N2161">
            <v>9520</v>
          </cell>
          <cell r="O2161">
            <v>0</v>
          </cell>
          <cell r="P2161">
            <v>9520</v>
          </cell>
          <cell r="Q2161">
            <v>0</v>
          </cell>
          <cell r="R2161">
            <v>9520</v>
          </cell>
          <cell r="S2161">
            <v>0</v>
          </cell>
          <cell r="T2161">
            <v>9520</v>
          </cell>
          <cell r="U2161">
            <v>0</v>
          </cell>
          <cell r="V2161">
            <v>9520</v>
          </cell>
          <cell r="W2161">
            <v>0</v>
          </cell>
          <cell r="X2161">
            <v>9520</v>
          </cell>
          <cell r="Y2161">
            <v>0</v>
          </cell>
          <cell r="Z2161">
            <v>9520</v>
          </cell>
          <cell r="AA2161">
            <v>0</v>
          </cell>
          <cell r="AB2161">
            <v>0</v>
          </cell>
          <cell r="AC2161">
            <v>0</v>
          </cell>
          <cell r="AD2161">
            <v>0.39100000000000001</v>
          </cell>
          <cell r="AE2161">
            <v>0</v>
          </cell>
          <cell r="AF2161">
            <v>0</v>
          </cell>
          <cell r="AG2161">
            <v>9900</v>
          </cell>
          <cell r="AH2161">
            <v>96</v>
          </cell>
          <cell r="AI2161">
            <v>0.98899999999999999</v>
          </cell>
          <cell r="AJ2161">
            <v>1</v>
          </cell>
          <cell r="AK2161">
            <v>97.06</v>
          </cell>
          <cell r="AL2161">
            <v>0</v>
          </cell>
        </row>
        <row r="2162">
          <cell r="E2162" t="str">
            <v>A26-322PK</v>
          </cell>
          <cell r="F2162" t="str">
            <v>台</v>
          </cell>
          <cell r="G2162">
            <v>0</v>
          </cell>
          <cell r="H2162">
            <v>9520</v>
          </cell>
          <cell r="I2162">
            <v>0</v>
          </cell>
          <cell r="J2162">
            <v>9520</v>
          </cell>
          <cell r="K2162">
            <v>0</v>
          </cell>
          <cell r="L2162">
            <v>9520</v>
          </cell>
          <cell r="M2162">
            <v>0</v>
          </cell>
          <cell r="N2162">
            <v>9520</v>
          </cell>
          <cell r="O2162">
            <v>0</v>
          </cell>
          <cell r="P2162">
            <v>9520</v>
          </cell>
          <cell r="Q2162">
            <v>0</v>
          </cell>
          <cell r="R2162">
            <v>9520</v>
          </cell>
          <cell r="S2162">
            <v>0</v>
          </cell>
          <cell r="T2162">
            <v>9520</v>
          </cell>
          <cell r="U2162">
            <v>0</v>
          </cell>
          <cell r="V2162">
            <v>9520</v>
          </cell>
          <cell r="W2162">
            <v>0</v>
          </cell>
          <cell r="X2162">
            <v>9520</v>
          </cell>
          <cell r="Y2162">
            <v>0</v>
          </cell>
          <cell r="Z2162">
            <v>9520</v>
          </cell>
          <cell r="AA2162">
            <v>0</v>
          </cell>
          <cell r="AB2162">
            <v>0</v>
          </cell>
          <cell r="AC2162">
            <v>0</v>
          </cell>
          <cell r="AD2162">
            <v>0.39100000000000001</v>
          </cell>
          <cell r="AE2162">
            <v>0</v>
          </cell>
          <cell r="AF2162">
            <v>0</v>
          </cell>
          <cell r="AG2162">
            <v>9900</v>
          </cell>
          <cell r="AH2162">
            <v>96</v>
          </cell>
          <cell r="AI2162">
            <v>0.98899999999999999</v>
          </cell>
          <cell r="AJ2162">
            <v>1</v>
          </cell>
          <cell r="AK2162">
            <v>97.06</v>
          </cell>
          <cell r="AL2162">
            <v>0</v>
          </cell>
        </row>
        <row r="2163">
          <cell r="E2163" t="str">
            <v>A27-321PN</v>
          </cell>
          <cell r="F2163" t="str">
            <v>台</v>
          </cell>
          <cell r="G2163">
            <v>0</v>
          </cell>
          <cell r="H2163">
            <v>5710</v>
          </cell>
          <cell r="I2163">
            <v>0</v>
          </cell>
          <cell r="J2163">
            <v>5710</v>
          </cell>
          <cell r="K2163">
            <v>0</v>
          </cell>
          <cell r="L2163">
            <v>5710</v>
          </cell>
          <cell r="M2163">
            <v>0</v>
          </cell>
          <cell r="N2163">
            <v>5710</v>
          </cell>
          <cell r="O2163">
            <v>0</v>
          </cell>
          <cell r="P2163">
            <v>5710</v>
          </cell>
          <cell r="Q2163">
            <v>0</v>
          </cell>
          <cell r="R2163">
            <v>5710</v>
          </cell>
          <cell r="S2163">
            <v>0</v>
          </cell>
          <cell r="T2163">
            <v>5710</v>
          </cell>
          <cell r="U2163">
            <v>0</v>
          </cell>
          <cell r="V2163">
            <v>5710</v>
          </cell>
          <cell r="W2163">
            <v>0</v>
          </cell>
          <cell r="X2163">
            <v>5710</v>
          </cell>
          <cell r="Y2163">
            <v>0</v>
          </cell>
          <cell r="Z2163">
            <v>5710</v>
          </cell>
          <cell r="AA2163">
            <v>0</v>
          </cell>
          <cell r="AB2163">
            <v>0</v>
          </cell>
          <cell r="AC2163">
            <v>0</v>
          </cell>
          <cell r="AD2163">
            <v>0.313</v>
          </cell>
          <cell r="AE2163">
            <v>0</v>
          </cell>
          <cell r="AF2163">
            <v>0</v>
          </cell>
          <cell r="AG2163">
            <v>4950</v>
          </cell>
          <cell r="AH2163">
            <v>48</v>
          </cell>
          <cell r="AI2163">
            <v>0.97899999999999998</v>
          </cell>
          <cell r="AJ2163">
            <v>1</v>
          </cell>
          <cell r="AK2163">
            <v>49.02</v>
          </cell>
          <cell r="AL2163">
            <v>0</v>
          </cell>
        </row>
        <row r="2164">
          <cell r="E2164" t="str">
            <v>A27-321PH</v>
          </cell>
          <cell r="F2164" t="str">
            <v>台</v>
          </cell>
          <cell r="G2164">
            <v>0</v>
          </cell>
          <cell r="H2164">
            <v>7750</v>
          </cell>
          <cell r="I2164">
            <v>0</v>
          </cell>
          <cell r="J2164">
            <v>7750</v>
          </cell>
          <cell r="K2164">
            <v>0</v>
          </cell>
          <cell r="L2164">
            <v>7750</v>
          </cell>
          <cell r="M2164">
            <v>0</v>
          </cell>
          <cell r="N2164">
            <v>7750</v>
          </cell>
          <cell r="O2164">
            <v>0</v>
          </cell>
          <cell r="P2164">
            <v>7750</v>
          </cell>
          <cell r="Q2164">
            <v>0</v>
          </cell>
          <cell r="R2164">
            <v>7750</v>
          </cell>
          <cell r="S2164">
            <v>0</v>
          </cell>
          <cell r="T2164">
            <v>7750</v>
          </cell>
          <cell r="U2164">
            <v>0</v>
          </cell>
          <cell r="V2164">
            <v>7750</v>
          </cell>
          <cell r="W2164">
            <v>0</v>
          </cell>
          <cell r="X2164">
            <v>7750</v>
          </cell>
          <cell r="Y2164">
            <v>0</v>
          </cell>
          <cell r="Z2164">
            <v>7750</v>
          </cell>
          <cell r="AA2164">
            <v>0</v>
          </cell>
          <cell r="AB2164">
            <v>0</v>
          </cell>
          <cell r="AC2164">
            <v>0</v>
          </cell>
          <cell r="AD2164">
            <v>0.313</v>
          </cell>
          <cell r="AE2164">
            <v>0</v>
          </cell>
          <cell r="AF2164">
            <v>0</v>
          </cell>
          <cell r="AG2164">
            <v>4950</v>
          </cell>
          <cell r="AH2164">
            <v>48</v>
          </cell>
          <cell r="AI2164">
            <v>0.97899999999999998</v>
          </cell>
          <cell r="AJ2164">
            <v>1</v>
          </cell>
          <cell r="AK2164">
            <v>49.02</v>
          </cell>
          <cell r="AL2164">
            <v>0</v>
          </cell>
        </row>
        <row r="2165">
          <cell r="E2165" t="str">
            <v>A27-321PX</v>
          </cell>
          <cell r="F2165" t="str">
            <v>台</v>
          </cell>
          <cell r="G2165">
            <v>0</v>
          </cell>
          <cell r="H2165">
            <v>8940</v>
          </cell>
          <cell r="I2165">
            <v>0</v>
          </cell>
          <cell r="J2165">
            <v>8940</v>
          </cell>
          <cell r="K2165">
            <v>0</v>
          </cell>
          <cell r="L2165">
            <v>8940</v>
          </cell>
          <cell r="M2165">
            <v>0</v>
          </cell>
          <cell r="N2165">
            <v>8940</v>
          </cell>
          <cell r="O2165">
            <v>0</v>
          </cell>
          <cell r="P2165">
            <v>8940</v>
          </cell>
          <cell r="Q2165">
            <v>0</v>
          </cell>
          <cell r="R2165">
            <v>8940</v>
          </cell>
          <cell r="S2165">
            <v>0</v>
          </cell>
          <cell r="T2165">
            <v>8940</v>
          </cell>
          <cell r="U2165">
            <v>0</v>
          </cell>
          <cell r="V2165">
            <v>8940</v>
          </cell>
          <cell r="W2165">
            <v>0</v>
          </cell>
          <cell r="X2165">
            <v>8940</v>
          </cell>
          <cell r="Y2165">
            <v>0</v>
          </cell>
          <cell r="Z2165">
            <v>8940</v>
          </cell>
          <cell r="AA2165">
            <v>0</v>
          </cell>
          <cell r="AB2165">
            <v>0</v>
          </cell>
          <cell r="AC2165">
            <v>0</v>
          </cell>
          <cell r="AD2165">
            <v>0.313</v>
          </cell>
          <cell r="AE2165">
            <v>0</v>
          </cell>
          <cell r="AF2165">
            <v>0</v>
          </cell>
          <cell r="AG2165">
            <v>4950</v>
          </cell>
          <cell r="AH2165">
            <v>48</v>
          </cell>
          <cell r="AI2165">
            <v>0.97899999999999998</v>
          </cell>
          <cell r="AJ2165">
            <v>1</v>
          </cell>
          <cell r="AK2165">
            <v>49.02</v>
          </cell>
          <cell r="AL2165">
            <v>0</v>
          </cell>
        </row>
        <row r="2166">
          <cell r="E2166" t="str">
            <v>A27-321PK</v>
          </cell>
          <cell r="F2166" t="str">
            <v>台</v>
          </cell>
          <cell r="G2166">
            <v>0</v>
          </cell>
          <cell r="H2166">
            <v>8940</v>
          </cell>
          <cell r="I2166">
            <v>0</v>
          </cell>
          <cell r="J2166">
            <v>8940</v>
          </cell>
          <cell r="K2166">
            <v>0</v>
          </cell>
          <cell r="L2166">
            <v>8940</v>
          </cell>
          <cell r="M2166">
            <v>0</v>
          </cell>
          <cell r="N2166">
            <v>8940</v>
          </cell>
          <cell r="O2166">
            <v>0</v>
          </cell>
          <cell r="P2166">
            <v>8940</v>
          </cell>
          <cell r="Q2166">
            <v>0</v>
          </cell>
          <cell r="R2166">
            <v>8940</v>
          </cell>
          <cell r="S2166">
            <v>0</v>
          </cell>
          <cell r="T2166">
            <v>8940</v>
          </cell>
          <cell r="U2166">
            <v>0</v>
          </cell>
          <cell r="V2166">
            <v>8940</v>
          </cell>
          <cell r="W2166">
            <v>0</v>
          </cell>
          <cell r="X2166">
            <v>8940</v>
          </cell>
          <cell r="Y2166">
            <v>0</v>
          </cell>
          <cell r="Z2166">
            <v>8940</v>
          </cell>
          <cell r="AA2166">
            <v>0</v>
          </cell>
          <cell r="AB2166">
            <v>0</v>
          </cell>
          <cell r="AC2166">
            <v>0</v>
          </cell>
          <cell r="AD2166">
            <v>0.313</v>
          </cell>
          <cell r="AE2166">
            <v>0</v>
          </cell>
          <cell r="AF2166">
            <v>0</v>
          </cell>
          <cell r="AG2166">
            <v>4950</v>
          </cell>
          <cell r="AH2166">
            <v>48</v>
          </cell>
          <cell r="AI2166">
            <v>0.97899999999999998</v>
          </cell>
          <cell r="AJ2166">
            <v>1</v>
          </cell>
          <cell r="AK2166">
            <v>49.02</v>
          </cell>
          <cell r="AL2166">
            <v>0</v>
          </cell>
        </row>
        <row r="2167">
          <cell r="E2167" t="str">
            <v>A27-322PN</v>
          </cell>
          <cell r="F2167" t="str">
            <v>台</v>
          </cell>
          <cell r="G2167">
            <v>0</v>
          </cell>
          <cell r="H2167">
            <v>8120</v>
          </cell>
          <cell r="I2167">
            <v>0</v>
          </cell>
          <cell r="J2167">
            <v>8120</v>
          </cell>
          <cell r="K2167">
            <v>0</v>
          </cell>
          <cell r="L2167">
            <v>8120</v>
          </cell>
          <cell r="M2167">
            <v>0</v>
          </cell>
          <cell r="N2167">
            <v>8120</v>
          </cell>
          <cell r="O2167">
            <v>0</v>
          </cell>
          <cell r="P2167">
            <v>8120</v>
          </cell>
          <cell r="Q2167">
            <v>0</v>
          </cell>
          <cell r="R2167">
            <v>8120</v>
          </cell>
          <cell r="S2167">
            <v>0</v>
          </cell>
          <cell r="T2167">
            <v>8120</v>
          </cell>
          <cell r="U2167">
            <v>0</v>
          </cell>
          <cell r="V2167">
            <v>8120</v>
          </cell>
          <cell r="W2167">
            <v>0</v>
          </cell>
          <cell r="X2167">
            <v>8120</v>
          </cell>
          <cell r="Y2167">
            <v>0</v>
          </cell>
          <cell r="Z2167">
            <v>8120</v>
          </cell>
          <cell r="AA2167">
            <v>0</v>
          </cell>
          <cell r="AB2167">
            <v>0</v>
          </cell>
          <cell r="AC2167">
            <v>0</v>
          </cell>
          <cell r="AD2167">
            <v>0.39100000000000001</v>
          </cell>
          <cell r="AE2167">
            <v>0</v>
          </cell>
          <cell r="AF2167">
            <v>0</v>
          </cell>
          <cell r="AG2167">
            <v>9900</v>
          </cell>
          <cell r="AH2167">
            <v>96</v>
          </cell>
          <cell r="AI2167">
            <v>0.98899999999999999</v>
          </cell>
          <cell r="AJ2167">
            <v>1</v>
          </cell>
          <cell r="AK2167">
            <v>97.06</v>
          </cell>
          <cell r="AL2167">
            <v>0</v>
          </cell>
        </row>
        <row r="2168">
          <cell r="E2168" t="str">
            <v>A27-322PH</v>
          </cell>
          <cell r="F2168" t="str">
            <v>台</v>
          </cell>
          <cell r="G2168">
            <v>0</v>
          </cell>
          <cell r="H2168">
            <v>9720</v>
          </cell>
          <cell r="I2168">
            <v>0</v>
          </cell>
          <cell r="J2168">
            <v>9720</v>
          </cell>
          <cell r="K2168">
            <v>0</v>
          </cell>
          <cell r="L2168">
            <v>9720</v>
          </cell>
          <cell r="M2168">
            <v>0</v>
          </cell>
          <cell r="N2168">
            <v>9720</v>
          </cell>
          <cell r="O2168">
            <v>0</v>
          </cell>
          <cell r="P2168">
            <v>9720</v>
          </cell>
          <cell r="Q2168">
            <v>0</v>
          </cell>
          <cell r="R2168">
            <v>9720</v>
          </cell>
          <cell r="S2168">
            <v>0</v>
          </cell>
          <cell r="T2168">
            <v>9720</v>
          </cell>
          <cell r="U2168">
            <v>0</v>
          </cell>
          <cell r="V2168">
            <v>9720</v>
          </cell>
          <cell r="W2168">
            <v>0</v>
          </cell>
          <cell r="X2168">
            <v>9720</v>
          </cell>
          <cell r="Y2168">
            <v>0</v>
          </cell>
          <cell r="Z2168">
            <v>9720</v>
          </cell>
          <cell r="AA2168">
            <v>0</v>
          </cell>
          <cell r="AB2168">
            <v>0</v>
          </cell>
          <cell r="AC2168">
            <v>0</v>
          </cell>
          <cell r="AD2168">
            <v>0.39100000000000001</v>
          </cell>
          <cell r="AE2168">
            <v>0</v>
          </cell>
          <cell r="AF2168">
            <v>0</v>
          </cell>
          <cell r="AG2168">
            <v>9900</v>
          </cell>
          <cell r="AH2168">
            <v>96</v>
          </cell>
          <cell r="AI2168">
            <v>0.98899999999999999</v>
          </cell>
          <cell r="AJ2168">
            <v>1</v>
          </cell>
          <cell r="AK2168">
            <v>97.06</v>
          </cell>
          <cell r="AL2168">
            <v>0</v>
          </cell>
        </row>
        <row r="2169">
          <cell r="E2169" t="str">
            <v>A27MP-321PN</v>
          </cell>
          <cell r="F2169" t="str">
            <v>台</v>
          </cell>
          <cell r="G2169">
            <v>0</v>
          </cell>
          <cell r="H2169">
            <v>19100</v>
          </cell>
          <cell r="I2169">
            <v>0</v>
          </cell>
          <cell r="J2169">
            <v>19100</v>
          </cell>
          <cell r="K2169">
            <v>0</v>
          </cell>
          <cell r="L2169">
            <v>19100</v>
          </cell>
          <cell r="M2169">
            <v>0</v>
          </cell>
          <cell r="N2169">
            <v>19100</v>
          </cell>
          <cell r="O2169">
            <v>0</v>
          </cell>
          <cell r="P2169">
            <v>19100</v>
          </cell>
          <cell r="Q2169">
            <v>0</v>
          </cell>
          <cell r="R2169">
            <v>19100</v>
          </cell>
          <cell r="S2169">
            <v>0</v>
          </cell>
          <cell r="T2169">
            <v>19100</v>
          </cell>
          <cell r="U2169">
            <v>0</v>
          </cell>
          <cell r="V2169">
            <v>19100</v>
          </cell>
          <cell r="W2169">
            <v>0</v>
          </cell>
          <cell r="X2169">
            <v>19100</v>
          </cell>
          <cell r="Y2169">
            <v>0</v>
          </cell>
          <cell r="Z2169">
            <v>19100</v>
          </cell>
          <cell r="AA2169">
            <v>0</v>
          </cell>
          <cell r="AB2169">
            <v>0</v>
          </cell>
          <cell r="AC2169">
            <v>0</v>
          </cell>
          <cell r="AD2169">
            <v>0.313</v>
          </cell>
          <cell r="AE2169">
            <v>0</v>
          </cell>
          <cell r="AF2169">
            <v>0</v>
          </cell>
          <cell r="AG2169">
            <v>4950</v>
          </cell>
          <cell r="AH2169">
            <v>48</v>
          </cell>
          <cell r="AI2169">
            <v>0.97899999999999998</v>
          </cell>
          <cell r="AJ2169">
            <v>1</v>
          </cell>
          <cell r="AK2169">
            <v>49.02</v>
          </cell>
          <cell r="AL2169">
            <v>0</v>
          </cell>
        </row>
        <row r="2170">
          <cell r="E2170" t="str">
            <v>A27MP-321PH</v>
          </cell>
          <cell r="F2170" t="str">
            <v>台</v>
          </cell>
          <cell r="G2170">
            <v>0</v>
          </cell>
          <cell r="H2170">
            <v>25600</v>
          </cell>
          <cell r="I2170">
            <v>0</v>
          </cell>
          <cell r="J2170">
            <v>25600</v>
          </cell>
          <cell r="K2170">
            <v>0</v>
          </cell>
          <cell r="L2170">
            <v>25600</v>
          </cell>
          <cell r="M2170">
            <v>0</v>
          </cell>
          <cell r="N2170">
            <v>25600</v>
          </cell>
          <cell r="O2170">
            <v>0</v>
          </cell>
          <cell r="P2170">
            <v>25600</v>
          </cell>
          <cell r="Q2170">
            <v>0</v>
          </cell>
          <cell r="R2170">
            <v>25600</v>
          </cell>
          <cell r="S2170">
            <v>0</v>
          </cell>
          <cell r="T2170">
            <v>25600</v>
          </cell>
          <cell r="U2170">
            <v>0</v>
          </cell>
          <cell r="V2170">
            <v>25600</v>
          </cell>
          <cell r="W2170">
            <v>0</v>
          </cell>
          <cell r="X2170">
            <v>25600</v>
          </cell>
          <cell r="Y2170">
            <v>0</v>
          </cell>
          <cell r="Z2170">
            <v>25600</v>
          </cell>
          <cell r="AA2170">
            <v>0</v>
          </cell>
          <cell r="AB2170">
            <v>0</v>
          </cell>
          <cell r="AC2170">
            <v>0</v>
          </cell>
          <cell r="AD2170">
            <v>0.313</v>
          </cell>
          <cell r="AE2170">
            <v>0</v>
          </cell>
          <cell r="AF2170">
            <v>0</v>
          </cell>
          <cell r="AG2170">
            <v>4950</v>
          </cell>
          <cell r="AH2170">
            <v>48</v>
          </cell>
          <cell r="AI2170">
            <v>0.97899999999999998</v>
          </cell>
          <cell r="AJ2170">
            <v>1</v>
          </cell>
          <cell r="AK2170">
            <v>49.02</v>
          </cell>
          <cell r="AL2170">
            <v>0</v>
          </cell>
        </row>
        <row r="2171">
          <cell r="E2171" t="str">
            <v>A27MP-322PN</v>
          </cell>
          <cell r="F2171" t="str">
            <v>台</v>
          </cell>
          <cell r="G2171">
            <v>0</v>
          </cell>
          <cell r="H2171">
            <v>22300</v>
          </cell>
          <cell r="I2171">
            <v>0</v>
          </cell>
          <cell r="J2171">
            <v>22300</v>
          </cell>
          <cell r="K2171">
            <v>0</v>
          </cell>
          <cell r="L2171">
            <v>22300</v>
          </cell>
          <cell r="M2171">
            <v>0</v>
          </cell>
          <cell r="N2171">
            <v>22300</v>
          </cell>
          <cell r="O2171">
            <v>0</v>
          </cell>
          <cell r="P2171">
            <v>22300</v>
          </cell>
          <cell r="Q2171">
            <v>0</v>
          </cell>
          <cell r="R2171">
            <v>22300</v>
          </cell>
          <cell r="S2171">
            <v>0</v>
          </cell>
          <cell r="T2171">
            <v>22300</v>
          </cell>
          <cell r="U2171">
            <v>0</v>
          </cell>
          <cell r="V2171">
            <v>22300</v>
          </cell>
          <cell r="W2171">
            <v>0</v>
          </cell>
          <cell r="X2171">
            <v>22300</v>
          </cell>
          <cell r="Y2171">
            <v>0</v>
          </cell>
          <cell r="Z2171">
            <v>22300</v>
          </cell>
          <cell r="AA2171">
            <v>0</v>
          </cell>
          <cell r="AB2171">
            <v>0</v>
          </cell>
          <cell r="AC2171">
            <v>0</v>
          </cell>
          <cell r="AD2171">
            <v>0.39100000000000001</v>
          </cell>
          <cell r="AE2171">
            <v>0</v>
          </cell>
          <cell r="AF2171">
            <v>0</v>
          </cell>
          <cell r="AG2171">
            <v>9900</v>
          </cell>
          <cell r="AH2171">
            <v>96</v>
          </cell>
          <cell r="AI2171">
            <v>0.98899999999999999</v>
          </cell>
          <cell r="AJ2171">
            <v>1</v>
          </cell>
          <cell r="AK2171">
            <v>97.06</v>
          </cell>
          <cell r="AL2171">
            <v>0</v>
          </cell>
        </row>
        <row r="2172">
          <cell r="E2172" t="str">
            <v>A27MP-322PH</v>
          </cell>
          <cell r="F2172" t="str">
            <v>台</v>
          </cell>
          <cell r="G2172">
            <v>0</v>
          </cell>
          <cell r="H2172">
            <v>27400</v>
          </cell>
          <cell r="I2172">
            <v>0</v>
          </cell>
          <cell r="J2172">
            <v>27400</v>
          </cell>
          <cell r="K2172">
            <v>0</v>
          </cell>
          <cell r="L2172">
            <v>27400</v>
          </cell>
          <cell r="M2172">
            <v>0</v>
          </cell>
          <cell r="N2172">
            <v>27400</v>
          </cell>
          <cell r="O2172">
            <v>0</v>
          </cell>
          <cell r="P2172">
            <v>27400</v>
          </cell>
          <cell r="Q2172">
            <v>0</v>
          </cell>
          <cell r="R2172">
            <v>27400</v>
          </cell>
          <cell r="S2172">
            <v>0</v>
          </cell>
          <cell r="T2172">
            <v>27400</v>
          </cell>
          <cell r="U2172">
            <v>0</v>
          </cell>
          <cell r="V2172">
            <v>27400</v>
          </cell>
          <cell r="W2172">
            <v>0</v>
          </cell>
          <cell r="X2172">
            <v>27400</v>
          </cell>
          <cell r="Y2172">
            <v>0</v>
          </cell>
          <cell r="Z2172">
            <v>27400</v>
          </cell>
          <cell r="AA2172">
            <v>0</v>
          </cell>
          <cell r="AB2172">
            <v>0</v>
          </cell>
          <cell r="AC2172">
            <v>0</v>
          </cell>
          <cell r="AD2172">
            <v>0.39100000000000001</v>
          </cell>
          <cell r="AE2172">
            <v>0</v>
          </cell>
          <cell r="AF2172">
            <v>0</v>
          </cell>
          <cell r="AG2172">
            <v>9900</v>
          </cell>
          <cell r="AH2172">
            <v>96</v>
          </cell>
          <cell r="AI2172">
            <v>0.98899999999999999</v>
          </cell>
          <cell r="AJ2172">
            <v>1</v>
          </cell>
          <cell r="AK2172">
            <v>97.06</v>
          </cell>
          <cell r="AL2172">
            <v>0</v>
          </cell>
        </row>
        <row r="2173">
          <cell r="E2173" t="str">
            <v>■Ｈｆルーバー直付形</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row>
        <row r="2174">
          <cell r="E2174" t="str">
            <v>Ds1-162PH</v>
          </cell>
          <cell r="F2174" t="str">
            <v>台</v>
          </cell>
          <cell r="G2174">
            <v>0</v>
          </cell>
          <cell r="H2174">
            <v>9920</v>
          </cell>
          <cell r="I2174">
            <v>0</v>
          </cell>
          <cell r="J2174">
            <v>9920</v>
          </cell>
          <cell r="K2174">
            <v>0</v>
          </cell>
          <cell r="L2174">
            <v>9920</v>
          </cell>
          <cell r="M2174">
            <v>0</v>
          </cell>
          <cell r="N2174">
            <v>9920</v>
          </cell>
          <cell r="O2174">
            <v>0</v>
          </cell>
          <cell r="P2174">
            <v>9920</v>
          </cell>
          <cell r="Q2174">
            <v>0</v>
          </cell>
          <cell r="R2174">
            <v>9920</v>
          </cell>
          <cell r="S2174">
            <v>0</v>
          </cell>
          <cell r="T2174">
            <v>9920</v>
          </cell>
          <cell r="U2174">
            <v>0</v>
          </cell>
          <cell r="V2174">
            <v>9920</v>
          </cell>
          <cell r="W2174">
            <v>0</v>
          </cell>
          <cell r="X2174">
            <v>9920</v>
          </cell>
          <cell r="Y2174">
            <v>0</v>
          </cell>
          <cell r="Z2174">
            <v>9920</v>
          </cell>
          <cell r="AA2174">
            <v>0</v>
          </cell>
          <cell r="AB2174">
            <v>0</v>
          </cell>
          <cell r="AC2174">
            <v>0</v>
          </cell>
          <cell r="AD2174">
            <v>0.16500000000000001</v>
          </cell>
          <cell r="AE2174">
            <v>0</v>
          </cell>
          <cell r="AF2174">
            <v>0</v>
          </cell>
          <cell r="AG2174">
            <v>4200</v>
          </cell>
          <cell r="AH2174">
            <v>50</v>
          </cell>
          <cell r="AI2174">
            <v>0.98</v>
          </cell>
          <cell r="AJ2174">
            <v>1</v>
          </cell>
          <cell r="AK2174">
            <v>51.02</v>
          </cell>
          <cell r="AL2174">
            <v>0</v>
          </cell>
        </row>
        <row r="2175">
          <cell r="E2175" t="str">
            <v>Ds1-322PN</v>
          </cell>
          <cell r="F2175" t="str">
            <v>台</v>
          </cell>
          <cell r="G2175">
            <v>0</v>
          </cell>
          <cell r="H2175">
            <v>9720</v>
          </cell>
          <cell r="I2175">
            <v>0</v>
          </cell>
          <cell r="J2175">
            <v>9720</v>
          </cell>
          <cell r="K2175">
            <v>0</v>
          </cell>
          <cell r="L2175">
            <v>9720</v>
          </cell>
          <cell r="M2175">
            <v>0</v>
          </cell>
          <cell r="N2175">
            <v>9720</v>
          </cell>
          <cell r="O2175">
            <v>0</v>
          </cell>
          <cell r="P2175">
            <v>9720</v>
          </cell>
          <cell r="Q2175">
            <v>0</v>
          </cell>
          <cell r="R2175">
            <v>9720</v>
          </cell>
          <cell r="S2175">
            <v>0</v>
          </cell>
          <cell r="T2175">
            <v>9720</v>
          </cell>
          <cell r="U2175">
            <v>0</v>
          </cell>
          <cell r="V2175">
            <v>9720</v>
          </cell>
          <cell r="W2175">
            <v>0</v>
          </cell>
          <cell r="X2175">
            <v>9720</v>
          </cell>
          <cell r="Y2175">
            <v>0</v>
          </cell>
          <cell r="Z2175">
            <v>9720</v>
          </cell>
          <cell r="AA2175">
            <v>0</v>
          </cell>
          <cell r="AB2175">
            <v>0</v>
          </cell>
          <cell r="AC2175">
            <v>0</v>
          </cell>
          <cell r="AD2175">
            <v>0.26100000000000001</v>
          </cell>
          <cell r="AE2175">
            <v>0</v>
          </cell>
          <cell r="AF2175">
            <v>0</v>
          </cell>
          <cell r="AG2175">
            <v>9900</v>
          </cell>
          <cell r="AH2175">
            <v>96</v>
          </cell>
          <cell r="AI2175">
            <v>0.98899999999999999</v>
          </cell>
          <cell r="AJ2175">
            <v>1</v>
          </cell>
          <cell r="AK2175">
            <v>97.06</v>
          </cell>
          <cell r="AL2175">
            <v>0</v>
          </cell>
        </row>
        <row r="2176">
          <cell r="E2176" t="str">
            <v>Ds1-322PH</v>
          </cell>
          <cell r="F2176" t="str">
            <v>台</v>
          </cell>
          <cell r="G2176">
            <v>0</v>
          </cell>
          <cell r="H2176">
            <v>10000</v>
          </cell>
          <cell r="I2176">
            <v>0</v>
          </cell>
          <cell r="J2176">
            <v>10000</v>
          </cell>
          <cell r="K2176">
            <v>0</v>
          </cell>
          <cell r="L2176">
            <v>10000</v>
          </cell>
          <cell r="M2176">
            <v>0</v>
          </cell>
          <cell r="N2176">
            <v>10000</v>
          </cell>
          <cell r="O2176">
            <v>0</v>
          </cell>
          <cell r="P2176">
            <v>10000</v>
          </cell>
          <cell r="Q2176">
            <v>0</v>
          </cell>
          <cell r="R2176">
            <v>10000</v>
          </cell>
          <cell r="S2176">
            <v>0</v>
          </cell>
          <cell r="T2176">
            <v>10000</v>
          </cell>
          <cell r="U2176">
            <v>0</v>
          </cell>
          <cell r="V2176">
            <v>10000</v>
          </cell>
          <cell r="W2176">
            <v>0</v>
          </cell>
          <cell r="X2176">
            <v>10000</v>
          </cell>
          <cell r="Y2176">
            <v>0</v>
          </cell>
          <cell r="Z2176">
            <v>10000</v>
          </cell>
          <cell r="AA2176">
            <v>0</v>
          </cell>
          <cell r="AB2176">
            <v>0</v>
          </cell>
          <cell r="AC2176">
            <v>0</v>
          </cell>
          <cell r="AD2176">
            <v>0.26100000000000001</v>
          </cell>
          <cell r="AE2176">
            <v>0</v>
          </cell>
          <cell r="AF2176">
            <v>0</v>
          </cell>
          <cell r="AG2176">
            <v>9900</v>
          </cell>
          <cell r="AH2176">
            <v>96</v>
          </cell>
          <cell r="AI2176">
            <v>0.98899999999999999</v>
          </cell>
          <cell r="AJ2176">
            <v>1</v>
          </cell>
          <cell r="AK2176">
            <v>97.06</v>
          </cell>
          <cell r="AL2176">
            <v>0</v>
          </cell>
        </row>
        <row r="2177">
          <cell r="E2177" t="str">
            <v>Ds1-322PX</v>
          </cell>
          <cell r="F2177" t="str">
            <v>台</v>
          </cell>
          <cell r="G2177">
            <v>0</v>
          </cell>
          <cell r="H2177">
            <v>11000</v>
          </cell>
          <cell r="I2177">
            <v>0</v>
          </cell>
          <cell r="J2177">
            <v>11000</v>
          </cell>
          <cell r="K2177">
            <v>0</v>
          </cell>
          <cell r="L2177">
            <v>11000</v>
          </cell>
          <cell r="M2177">
            <v>0</v>
          </cell>
          <cell r="N2177">
            <v>11000</v>
          </cell>
          <cell r="O2177">
            <v>0</v>
          </cell>
          <cell r="P2177">
            <v>11000</v>
          </cell>
          <cell r="Q2177">
            <v>0</v>
          </cell>
          <cell r="R2177">
            <v>11000</v>
          </cell>
          <cell r="S2177">
            <v>0</v>
          </cell>
          <cell r="T2177">
            <v>11000</v>
          </cell>
          <cell r="U2177">
            <v>0</v>
          </cell>
          <cell r="V2177">
            <v>11000</v>
          </cell>
          <cell r="W2177">
            <v>0</v>
          </cell>
          <cell r="X2177">
            <v>11000</v>
          </cell>
          <cell r="Y2177">
            <v>0</v>
          </cell>
          <cell r="Z2177">
            <v>11000</v>
          </cell>
          <cell r="AA2177">
            <v>0</v>
          </cell>
          <cell r="AB2177">
            <v>0</v>
          </cell>
          <cell r="AC2177">
            <v>0</v>
          </cell>
          <cell r="AD2177">
            <v>0.26100000000000001</v>
          </cell>
          <cell r="AE2177">
            <v>0</v>
          </cell>
          <cell r="AF2177">
            <v>0</v>
          </cell>
          <cell r="AG2177">
            <v>9900</v>
          </cell>
          <cell r="AH2177">
            <v>96</v>
          </cell>
          <cell r="AI2177">
            <v>0.98899999999999999</v>
          </cell>
          <cell r="AJ2177">
            <v>1</v>
          </cell>
          <cell r="AK2177">
            <v>97.06</v>
          </cell>
          <cell r="AL2177">
            <v>0</v>
          </cell>
        </row>
        <row r="2178">
          <cell r="E2178" t="str">
            <v>Ds1-322PK</v>
          </cell>
          <cell r="F2178" t="str">
            <v>台</v>
          </cell>
          <cell r="G2178">
            <v>0</v>
          </cell>
          <cell r="H2178">
            <v>11000</v>
          </cell>
          <cell r="I2178">
            <v>0</v>
          </cell>
          <cell r="J2178">
            <v>11000</v>
          </cell>
          <cell r="K2178">
            <v>0</v>
          </cell>
          <cell r="L2178">
            <v>11000</v>
          </cell>
          <cell r="M2178">
            <v>0</v>
          </cell>
          <cell r="N2178">
            <v>11000</v>
          </cell>
          <cell r="O2178">
            <v>0</v>
          </cell>
          <cell r="P2178">
            <v>11000</v>
          </cell>
          <cell r="Q2178">
            <v>0</v>
          </cell>
          <cell r="R2178">
            <v>11000</v>
          </cell>
          <cell r="S2178">
            <v>0</v>
          </cell>
          <cell r="T2178">
            <v>11000</v>
          </cell>
          <cell r="U2178">
            <v>0</v>
          </cell>
          <cell r="V2178">
            <v>11000</v>
          </cell>
          <cell r="W2178">
            <v>0</v>
          </cell>
          <cell r="X2178">
            <v>11000</v>
          </cell>
          <cell r="Y2178">
            <v>0</v>
          </cell>
          <cell r="Z2178">
            <v>11000</v>
          </cell>
          <cell r="AA2178">
            <v>0</v>
          </cell>
          <cell r="AB2178">
            <v>0</v>
          </cell>
          <cell r="AC2178">
            <v>0</v>
          </cell>
          <cell r="AD2178">
            <v>0.26100000000000001</v>
          </cell>
          <cell r="AE2178">
            <v>0</v>
          </cell>
          <cell r="AF2178">
            <v>0</v>
          </cell>
          <cell r="AG2178">
            <v>9900</v>
          </cell>
          <cell r="AH2178">
            <v>96</v>
          </cell>
          <cell r="AI2178">
            <v>0.98899999999999999</v>
          </cell>
          <cell r="AJ2178">
            <v>1</v>
          </cell>
          <cell r="AK2178">
            <v>97.06</v>
          </cell>
          <cell r="AL2178">
            <v>0</v>
          </cell>
        </row>
        <row r="2179">
          <cell r="E2179" t="str">
            <v>Ds2-322PH</v>
          </cell>
          <cell r="F2179" t="str">
            <v>台</v>
          </cell>
          <cell r="G2179">
            <v>0</v>
          </cell>
          <cell r="H2179">
            <v>18000</v>
          </cell>
          <cell r="I2179">
            <v>0</v>
          </cell>
          <cell r="J2179">
            <v>18000</v>
          </cell>
          <cell r="K2179">
            <v>0</v>
          </cell>
          <cell r="L2179">
            <v>18000</v>
          </cell>
          <cell r="M2179">
            <v>0</v>
          </cell>
          <cell r="N2179">
            <v>18000</v>
          </cell>
          <cell r="O2179">
            <v>0</v>
          </cell>
          <cell r="P2179">
            <v>18000</v>
          </cell>
          <cell r="Q2179">
            <v>0</v>
          </cell>
          <cell r="R2179">
            <v>18000</v>
          </cell>
          <cell r="S2179">
            <v>0</v>
          </cell>
          <cell r="T2179">
            <v>18000</v>
          </cell>
          <cell r="U2179">
            <v>0</v>
          </cell>
          <cell r="V2179">
            <v>18000</v>
          </cell>
          <cell r="W2179">
            <v>0</v>
          </cell>
          <cell r="X2179">
            <v>18000</v>
          </cell>
          <cell r="Y2179">
            <v>0</v>
          </cell>
          <cell r="Z2179">
            <v>18000</v>
          </cell>
          <cell r="AA2179">
            <v>0</v>
          </cell>
          <cell r="AB2179">
            <v>0</v>
          </cell>
          <cell r="AC2179">
            <v>0</v>
          </cell>
          <cell r="AD2179">
            <v>0.26100000000000001</v>
          </cell>
          <cell r="AE2179">
            <v>0</v>
          </cell>
          <cell r="AF2179">
            <v>0</v>
          </cell>
          <cell r="AG2179">
            <v>9900</v>
          </cell>
          <cell r="AH2179">
            <v>96</v>
          </cell>
          <cell r="AI2179">
            <v>0.98899999999999999</v>
          </cell>
          <cell r="AJ2179">
            <v>1</v>
          </cell>
          <cell r="AK2179">
            <v>97.06</v>
          </cell>
          <cell r="AL2179">
            <v>0</v>
          </cell>
        </row>
        <row r="2180">
          <cell r="E2180" t="str">
            <v>Ds2-322PK</v>
          </cell>
          <cell r="F2180" t="str">
            <v>台</v>
          </cell>
          <cell r="G2180">
            <v>0</v>
          </cell>
          <cell r="H2180">
            <v>19000</v>
          </cell>
          <cell r="I2180">
            <v>0</v>
          </cell>
          <cell r="J2180">
            <v>19000</v>
          </cell>
          <cell r="K2180">
            <v>0</v>
          </cell>
          <cell r="L2180">
            <v>19000</v>
          </cell>
          <cell r="M2180">
            <v>0</v>
          </cell>
          <cell r="N2180">
            <v>19000</v>
          </cell>
          <cell r="O2180">
            <v>0</v>
          </cell>
          <cell r="P2180">
            <v>19000</v>
          </cell>
          <cell r="Q2180">
            <v>0</v>
          </cell>
          <cell r="R2180">
            <v>19000</v>
          </cell>
          <cell r="S2180">
            <v>0</v>
          </cell>
          <cell r="T2180">
            <v>19000</v>
          </cell>
          <cell r="U2180">
            <v>0</v>
          </cell>
          <cell r="V2180">
            <v>19000</v>
          </cell>
          <cell r="W2180">
            <v>0</v>
          </cell>
          <cell r="X2180">
            <v>19000</v>
          </cell>
          <cell r="Y2180">
            <v>0</v>
          </cell>
          <cell r="Z2180">
            <v>19000</v>
          </cell>
          <cell r="AA2180">
            <v>0</v>
          </cell>
          <cell r="AB2180">
            <v>0</v>
          </cell>
          <cell r="AC2180">
            <v>0</v>
          </cell>
          <cell r="AD2180">
            <v>0.26100000000000001</v>
          </cell>
          <cell r="AE2180">
            <v>0</v>
          </cell>
          <cell r="AF2180">
            <v>0</v>
          </cell>
          <cell r="AG2180">
            <v>9900</v>
          </cell>
          <cell r="AH2180">
            <v>96</v>
          </cell>
          <cell r="AI2180">
            <v>0.98899999999999999</v>
          </cell>
          <cell r="AJ2180">
            <v>1</v>
          </cell>
          <cell r="AK2180">
            <v>97.06</v>
          </cell>
          <cell r="AL2180">
            <v>0</v>
          </cell>
        </row>
        <row r="2181">
          <cell r="E2181" t="str">
            <v>Ds2V-322PH</v>
          </cell>
          <cell r="F2181" t="str">
            <v>台</v>
          </cell>
          <cell r="G2181">
            <v>0</v>
          </cell>
          <cell r="H2181">
            <v>18000</v>
          </cell>
          <cell r="I2181">
            <v>0</v>
          </cell>
          <cell r="J2181">
            <v>18000</v>
          </cell>
          <cell r="K2181">
            <v>0</v>
          </cell>
          <cell r="L2181">
            <v>18000</v>
          </cell>
          <cell r="M2181">
            <v>0</v>
          </cell>
          <cell r="N2181">
            <v>18000</v>
          </cell>
          <cell r="O2181">
            <v>0</v>
          </cell>
          <cell r="P2181">
            <v>18000</v>
          </cell>
          <cell r="Q2181">
            <v>0</v>
          </cell>
          <cell r="R2181">
            <v>18000</v>
          </cell>
          <cell r="S2181">
            <v>0</v>
          </cell>
          <cell r="T2181">
            <v>18000</v>
          </cell>
          <cell r="U2181">
            <v>0</v>
          </cell>
          <cell r="V2181">
            <v>18000</v>
          </cell>
          <cell r="W2181">
            <v>0</v>
          </cell>
          <cell r="X2181">
            <v>18000</v>
          </cell>
          <cell r="Y2181">
            <v>0</v>
          </cell>
          <cell r="Z2181">
            <v>18000</v>
          </cell>
          <cell r="AA2181">
            <v>0</v>
          </cell>
          <cell r="AB2181">
            <v>0</v>
          </cell>
          <cell r="AC2181">
            <v>0</v>
          </cell>
          <cell r="AD2181">
            <v>0.26100000000000001</v>
          </cell>
          <cell r="AE2181">
            <v>0</v>
          </cell>
          <cell r="AF2181">
            <v>0</v>
          </cell>
          <cell r="AG2181">
            <v>9900</v>
          </cell>
          <cell r="AH2181">
            <v>96</v>
          </cell>
          <cell r="AI2181">
            <v>0.98899999999999999</v>
          </cell>
          <cell r="AJ2181">
            <v>1</v>
          </cell>
          <cell r="AK2181">
            <v>97.06</v>
          </cell>
          <cell r="AL2181">
            <v>0</v>
          </cell>
        </row>
        <row r="2182">
          <cell r="E2182" t="str">
            <v>Ds2V-322PK</v>
          </cell>
          <cell r="F2182" t="str">
            <v>台</v>
          </cell>
          <cell r="G2182">
            <v>0</v>
          </cell>
          <cell r="H2182">
            <v>19000</v>
          </cell>
          <cell r="I2182">
            <v>0</v>
          </cell>
          <cell r="J2182">
            <v>19000</v>
          </cell>
          <cell r="K2182">
            <v>0</v>
          </cell>
          <cell r="L2182">
            <v>19000</v>
          </cell>
          <cell r="M2182">
            <v>0</v>
          </cell>
          <cell r="N2182">
            <v>19000</v>
          </cell>
          <cell r="O2182">
            <v>0</v>
          </cell>
          <cell r="P2182">
            <v>19000</v>
          </cell>
          <cell r="Q2182">
            <v>0</v>
          </cell>
          <cell r="R2182">
            <v>19000</v>
          </cell>
          <cell r="S2182">
            <v>0</v>
          </cell>
          <cell r="T2182">
            <v>19000</v>
          </cell>
          <cell r="U2182">
            <v>0</v>
          </cell>
          <cell r="V2182">
            <v>19000</v>
          </cell>
          <cell r="W2182">
            <v>0</v>
          </cell>
          <cell r="X2182">
            <v>19000</v>
          </cell>
          <cell r="Y2182">
            <v>0</v>
          </cell>
          <cell r="Z2182">
            <v>19000</v>
          </cell>
          <cell r="AA2182">
            <v>0</v>
          </cell>
          <cell r="AB2182">
            <v>0</v>
          </cell>
          <cell r="AC2182">
            <v>0</v>
          </cell>
          <cell r="AD2182">
            <v>0.26100000000000001</v>
          </cell>
          <cell r="AE2182">
            <v>0</v>
          </cell>
          <cell r="AF2182">
            <v>0</v>
          </cell>
          <cell r="AG2182">
            <v>9900</v>
          </cell>
          <cell r="AH2182">
            <v>96</v>
          </cell>
          <cell r="AI2182">
            <v>0.98899999999999999</v>
          </cell>
          <cell r="AJ2182">
            <v>1</v>
          </cell>
          <cell r="AK2182">
            <v>97.06</v>
          </cell>
          <cell r="AL2182">
            <v>0</v>
          </cell>
        </row>
        <row r="2183">
          <cell r="E2183" t="str">
            <v>■Ｈｆ反射笠</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row>
        <row r="2184">
          <cell r="E2184" t="str">
            <v>R2-161PH</v>
          </cell>
          <cell r="F2184" t="str">
            <v>台</v>
          </cell>
          <cell r="G2184">
            <v>0</v>
          </cell>
          <cell r="H2184">
            <v>4310</v>
          </cell>
          <cell r="I2184">
            <v>0</v>
          </cell>
          <cell r="J2184">
            <v>4310</v>
          </cell>
          <cell r="K2184">
            <v>0</v>
          </cell>
          <cell r="L2184">
            <v>4310</v>
          </cell>
          <cell r="M2184">
            <v>0</v>
          </cell>
          <cell r="N2184">
            <v>4310</v>
          </cell>
          <cell r="O2184">
            <v>0</v>
          </cell>
          <cell r="P2184">
            <v>4310</v>
          </cell>
          <cell r="Q2184">
            <v>0</v>
          </cell>
          <cell r="R2184">
            <v>4310</v>
          </cell>
          <cell r="S2184">
            <v>0</v>
          </cell>
          <cell r="T2184">
            <v>4310</v>
          </cell>
          <cell r="U2184">
            <v>0</v>
          </cell>
          <cell r="V2184">
            <v>4310</v>
          </cell>
          <cell r="W2184">
            <v>0</v>
          </cell>
          <cell r="X2184">
            <v>4310</v>
          </cell>
          <cell r="Y2184">
            <v>0</v>
          </cell>
          <cell r="Z2184">
            <v>4310</v>
          </cell>
          <cell r="AA2184">
            <v>0</v>
          </cell>
          <cell r="AB2184">
            <v>0</v>
          </cell>
          <cell r="AC2184">
            <v>0</v>
          </cell>
          <cell r="AD2184">
            <v>0.13</v>
          </cell>
          <cell r="AE2184">
            <v>0</v>
          </cell>
          <cell r="AF2184">
            <v>0</v>
          </cell>
          <cell r="AG2184">
            <v>2100</v>
          </cell>
          <cell r="AH2184">
            <v>26</v>
          </cell>
          <cell r="AI2184">
            <v>0.96299999999999997</v>
          </cell>
          <cell r="AJ2184">
            <v>1</v>
          </cell>
          <cell r="AK2184">
            <v>26.99</v>
          </cell>
          <cell r="AL2184">
            <v>0</v>
          </cell>
        </row>
        <row r="2185">
          <cell r="E2185" t="str">
            <v>R2-321PN</v>
          </cell>
          <cell r="F2185" t="str">
            <v>台</v>
          </cell>
          <cell r="G2185">
            <v>0</v>
          </cell>
          <cell r="H2185">
            <v>3460</v>
          </cell>
          <cell r="I2185">
            <v>0</v>
          </cell>
          <cell r="J2185">
            <v>3460</v>
          </cell>
          <cell r="K2185">
            <v>0</v>
          </cell>
          <cell r="L2185">
            <v>3460</v>
          </cell>
          <cell r="M2185">
            <v>0</v>
          </cell>
          <cell r="N2185">
            <v>3460</v>
          </cell>
          <cell r="O2185">
            <v>0</v>
          </cell>
          <cell r="P2185">
            <v>3460</v>
          </cell>
          <cell r="Q2185">
            <v>0</v>
          </cell>
          <cell r="R2185">
            <v>3460</v>
          </cell>
          <cell r="S2185">
            <v>0</v>
          </cell>
          <cell r="T2185">
            <v>3460</v>
          </cell>
          <cell r="U2185">
            <v>0</v>
          </cell>
          <cell r="V2185">
            <v>3460</v>
          </cell>
          <cell r="W2185">
            <v>0</v>
          </cell>
          <cell r="X2185">
            <v>3460</v>
          </cell>
          <cell r="Y2185">
            <v>0</v>
          </cell>
          <cell r="Z2185">
            <v>3460</v>
          </cell>
          <cell r="AA2185">
            <v>0</v>
          </cell>
          <cell r="AB2185">
            <v>0</v>
          </cell>
          <cell r="AC2185">
            <v>0</v>
          </cell>
          <cell r="AD2185">
            <v>0.20899999999999999</v>
          </cell>
          <cell r="AE2185">
            <v>0</v>
          </cell>
          <cell r="AF2185">
            <v>0</v>
          </cell>
          <cell r="AG2185">
            <v>4950</v>
          </cell>
          <cell r="AH2185">
            <v>48</v>
          </cell>
          <cell r="AI2185">
            <v>0.97899999999999998</v>
          </cell>
          <cell r="AJ2185">
            <v>1</v>
          </cell>
          <cell r="AK2185">
            <v>49.02</v>
          </cell>
          <cell r="AL2185">
            <v>0</v>
          </cell>
        </row>
        <row r="2186">
          <cell r="E2186" t="str">
            <v>R2-321PH</v>
          </cell>
          <cell r="F2186" t="str">
            <v>台</v>
          </cell>
          <cell r="G2186">
            <v>0</v>
          </cell>
          <cell r="H2186">
            <v>4420</v>
          </cell>
          <cell r="I2186">
            <v>0</v>
          </cell>
          <cell r="J2186">
            <v>4420</v>
          </cell>
          <cell r="K2186">
            <v>0</v>
          </cell>
          <cell r="L2186">
            <v>4420</v>
          </cell>
          <cell r="M2186">
            <v>0</v>
          </cell>
          <cell r="N2186">
            <v>4420</v>
          </cell>
          <cell r="O2186">
            <v>0</v>
          </cell>
          <cell r="P2186">
            <v>4420</v>
          </cell>
          <cell r="Q2186">
            <v>0</v>
          </cell>
          <cell r="R2186">
            <v>4420</v>
          </cell>
          <cell r="S2186">
            <v>0</v>
          </cell>
          <cell r="T2186">
            <v>4420</v>
          </cell>
          <cell r="U2186">
            <v>0</v>
          </cell>
          <cell r="V2186">
            <v>4420</v>
          </cell>
          <cell r="W2186">
            <v>0</v>
          </cell>
          <cell r="X2186">
            <v>4420</v>
          </cell>
          <cell r="Y2186">
            <v>0</v>
          </cell>
          <cell r="Z2186">
            <v>4420</v>
          </cell>
          <cell r="AA2186">
            <v>0</v>
          </cell>
          <cell r="AB2186">
            <v>0</v>
          </cell>
          <cell r="AC2186">
            <v>0</v>
          </cell>
          <cell r="AD2186">
            <v>0.20899999999999999</v>
          </cell>
          <cell r="AE2186">
            <v>0</v>
          </cell>
          <cell r="AF2186">
            <v>0</v>
          </cell>
          <cell r="AG2186">
            <v>4950</v>
          </cell>
          <cell r="AH2186">
            <v>48</v>
          </cell>
          <cell r="AI2186">
            <v>0.97899999999999998</v>
          </cell>
          <cell r="AJ2186">
            <v>1</v>
          </cell>
          <cell r="AK2186">
            <v>49.02</v>
          </cell>
          <cell r="AL2186">
            <v>0</v>
          </cell>
        </row>
        <row r="2187">
          <cell r="E2187" t="str">
            <v>R2-321PX</v>
          </cell>
          <cell r="F2187" t="str">
            <v>台</v>
          </cell>
          <cell r="G2187">
            <v>0</v>
          </cell>
          <cell r="H2187">
            <v>6460</v>
          </cell>
          <cell r="I2187">
            <v>0</v>
          </cell>
          <cell r="J2187">
            <v>6460</v>
          </cell>
          <cell r="K2187">
            <v>0</v>
          </cell>
          <cell r="L2187">
            <v>6460</v>
          </cell>
          <cell r="M2187">
            <v>0</v>
          </cell>
          <cell r="N2187">
            <v>6460</v>
          </cell>
          <cell r="O2187">
            <v>0</v>
          </cell>
          <cell r="P2187">
            <v>6460</v>
          </cell>
          <cell r="Q2187">
            <v>0</v>
          </cell>
          <cell r="R2187">
            <v>6460</v>
          </cell>
          <cell r="S2187">
            <v>0</v>
          </cell>
          <cell r="T2187">
            <v>6460</v>
          </cell>
          <cell r="U2187">
            <v>0</v>
          </cell>
          <cell r="V2187">
            <v>6460</v>
          </cell>
          <cell r="W2187">
            <v>0</v>
          </cell>
          <cell r="X2187">
            <v>6460</v>
          </cell>
          <cell r="Y2187">
            <v>0</v>
          </cell>
          <cell r="Z2187">
            <v>6460</v>
          </cell>
          <cell r="AA2187">
            <v>0</v>
          </cell>
          <cell r="AB2187">
            <v>0</v>
          </cell>
          <cell r="AC2187">
            <v>0</v>
          </cell>
          <cell r="AD2187">
            <v>0.20899999999999999</v>
          </cell>
          <cell r="AE2187">
            <v>0</v>
          </cell>
          <cell r="AF2187">
            <v>0</v>
          </cell>
          <cell r="AG2187">
            <v>4950</v>
          </cell>
          <cell r="AH2187">
            <v>48</v>
          </cell>
          <cell r="AI2187">
            <v>0.97899999999999998</v>
          </cell>
          <cell r="AJ2187">
            <v>1</v>
          </cell>
          <cell r="AK2187">
            <v>49.02</v>
          </cell>
          <cell r="AL2187">
            <v>0</v>
          </cell>
        </row>
        <row r="2188">
          <cell r="E2188" t="str">
            <v>R2-321PK</v>
          </cell>
          <cell r="F2188" t="str">
            <v>台</v>
          </cell>
          <cell r="G2188">
            <v>0</v>
          </cell>
          <cell r="H2188">
            <v>6460</v>
          </cell>
          <cell r="I2188">
            <v>0</v>
          </cell>
          <cell r="J2188">
            <v>6460</v>
          </cell>
          <cell r="K2188">
            <v>0</v>
          </cell>
          <cell r="L2188">
            <v>6460</v>
          </cell>
          <cell r="M2188">
            <v>0</v>
          </cell>
          <cell r="N2188">
            <v>6460</v>
          </cell>
          <cell r="O2188">
            <v>0</v>
          </cell>
          <cell r="P2188">
            <v>6460</v>
          </cell>
          <cell r="Q2188">
            <v>0</v>
          </cell>
          <cell r="R2188">
            <v>6460</v>
          </cell>
          <cell r="S2188">
            <v>0</v>
          </cell>
          <cell r="T2188">
            <v>6460</v>
          </cell>
          <cell r="U2188">
            <v>0</v>
          </cell>
          <cell r="V2188">
            <v>6460</v>
          </cell>
          <cell r="W2188">
            <v>0</v>
          </cell>
          <cell r="X2188">
            <v>6460</v>
          </cell>
          <cell r="Y2188">
            <v>0</v>
          </cell>
          <cell r="Z2188">
            <v>6460</v>
          </cell>
          <cell r="AA2188">
            <v>0</v>
          </cell>
          <cell r="AB2188">
            <v>0</v>
          </cell>
          <cell r="AC2188">
            <v>0</v>
          </cell>
          <cell r="AD2188">
            <v>0.20899999999999999</v>
          </cell>
          <cell r="AE2188">
            <v>0</v>
          </cell>
          <cell r="AF2188">
            <v>0</v>
          </cell>
          <cell r="AG2188">
            <v>4950</v>
          </cell>
          <cell r="AH2188">
            <v>48</v>
          </cell>
          <cell r="AI2188">
            <v>0.97899999999999998</v>
          </cell>
          <cell r="AJ2188">
            <v>1</v>
          </cell>
          <cell r="AK2188">
            <v>49.02</v>
          </cell>
          <cell r="AL2188">
            <v>0</v>
          </cell>
        </row>
        <row r="2189">
          <cell r="E2189" t="str">
            <v>R2-322PN</v>
          </cell>
          <cell r="F2189" t="str">
            <v>台</v>
          </cell>
          <cell r="G2189">
            <v>0</v>
          </cell>
          <cell r="H2189">
            <v>4590</v>
          </cell>
          <cell r="I2189">
            <v>0</v>
          </cell>
          <cell r="J2189">
            <v>4590</v>
          </cell>
          <cell r="K2189">
            <v>0</v>
          </cell>
          <cell r="L2189">
            <v>4590</v>
          </cell>
          <cell r="M2189">
            <v>0</v>
          </cell>
          <cell r="N2189">
            <v>4590</v>
          </cell>
          <cell r="O2189">
            <v>0</v>
          </cell>
          <cell r="P2189">
            <v>4590</v>
          </cell>
          <cell r="Q2189">
            <v>0</v>
          </cell>
          <cell r="R2189">
            <v>4590</v>
          </cell>
          <cell r="S2189">
            <v>0</v>
          </cell>
          <cell r="T2189">
            <v>4590</v>
          </cell>
          <cell r="U2189">
            <v>0</v>
          </cell>
          <cell r="V2189">
            <v>4590</v>
          </cell>
          <cell r="W2189">
            <v>0</v>
          </cell>
          <cell r="X2189">
            <v>4590</v>
          </cell>
          <cell r="Y2189">
            <v>0</v>
          </cell>
          <cell r="Z2189">
            <v>4590</v>
          </cell>
          <cell r="AA2189">
            <v>0</v>
          </cell>
          <cell r="AB2189">
            <v>0</v>
          </cell>
          <cell r="AC2189">
            <v>0</v>
          </cell>
          <cell r="AD2189">
            <v>0.26100000000000001</v>
          </cell>
          <cell r="AE2189">
            <v>0</v>
          </cell>
          <cell r="AF2189">
            <v>0</v>
          </cell>
          <cell r="AG2189">
            <v>9900</v>
          </cell>
          <cell r="AH2189">
            <v>96</v>
          </cell>
          <cell r="AI2189">
            <v>0.98899999999999999</v>
          </cell>
          <cell r="AJ2189">
            <v>1</v>
          </cell>
          <cell r="AK2189">
            <v>97.06</v>
          </cell>
          <cell r="AL2189">
            <v>0</v>
          </cell>
        </row>
        <row r="2190">
          <cell r="E2190" t="str">
            <v>R2-322PH</v>
          </cell>
          <cell r="F2190" t="str">
            <v>台</v>
          </cell>
          <cell r="G2190">
            <v>0</v>
          </cell>
          <cell r="H2190">
            <v>6080</v>
          </cell>
          <cell r="I2190">
            <v>0</v>
          </cell>
          <cell r="J2190">
            <v>6080</v>
          </cell>
          <cell r="K2190">
            <v>0</v>
          </cell>
          <cell r="L2190">
            <v>6080</v>
          </cell>
          <cell r="M2190">
            <v>0</v>
          </cell>
          <cell r="N2190">
            <v>6080</v>
          </cell>
          <cell r="O2190">
            <v>0</v>
          </cell>
          <cell r="P2190">
            <v>6080</v>
          </cell>
          <cell r="Q2190">
            <v>0</v>
          </cell>
          <cell r="R2190">
            <v>6080</v>
          </cell>
          <cell r="S2190">
            <v>0</v>
          </cell>
          <cell r="T2190">
            <v>6080</v>
          </cell>
          <cell r="U2190">
            <v>0</v>
          </cell>
          <cell r="V2190">
            <v>6080</v>
          </cell>
          <cell r="W2190">
            <v>0</v>
          </cell>
          <cell r="X2190">
            <v>6080</v>
          </cell>
          <cell r="Y2190">
            <v>0</v>
          </cell>
          <cell r="Z2190">
            <v>6080</v>
          </cell>
          <cell r="AA2190">
            <v>0</v>
          </cell>
          <cell r="AB2190">
            <v>0</v>
          </cell>
          <cell r="AC2190">
            <v>0</v>
          </cell>
          <cell r="AD2190">
            <v>0.26100000000000001</v>
          </cell>
          <cell r="AE2190">
            <v>0</v>
          </cell>
          <cell r="AF2190">
            <v>0</v>
          </cell>
          <cell r="AG2190">
            <v>9900</v>
          </cell>
          <cell r="AH2190">
            <v>96</v>
          </cell>
          <cell r="AI2190">
            <v>0.98899999999999999</v>
          </cell>
          <cell r="AJ2190">
            <v>1</v>
          </cell>
          <cell r="AK2190">
            <v>97.06</v>
          </cell>
          <cell r="AL2190">
            <v>0</v>
          </cell>
        </row>
        <row r="2191">
          <cell r="E2191" t="str">
            <v>R2-322PX</v>
          </cell>
          <cell r="F2191" t="str">
            <v>台</v>
          </cell>
          <cell r="G2191">
            <v>0</v>
          </cell>
          <cell r="H2191">
            <v>7780</v>
          </cell>
          <cell r="I2191">
            <v>0</v>
          </cell>
          <cell r="J2191">
            <v>7780</v>
          </cell>
          <cell r="K2191">
            <v>0</v>
          </cell>
          <cell r="L2191">
            <v>7780</v>
          </cell>
          <cell r="M2191">
            <v>0</v>
          </cell>
          <cell r="N2191">
            <v>7780</v>
          </cell>
          <cell r="O2191">
            <v>0</v>
          </cell>
          <cell r="P2191">
            <v>7780</v>
          </cell>
          <cell r="Q2191">
            <v>0</v>
          </cell>
          <cell r="R2191">
            <v>7780</v>
          </cell>
          <cell r="S2191">
            <v>0</v>
          </cell>
          <cell r="T2191">
            <v>7780</v>
          </cell>
          <cell r="U2191">
            <v>0</v>
          </cell>
          <cell r="V2191">
            <v>7780</v>
          </cell>
          <cell r="W2191">
            <v>0</v>
          </cell>
          <cell r="X2191">
            <v>7780</v>
          </cell>
          <cell r="Y2191">
            <v>0</v>
          </cell>
          <cell r="Z2191">
            <v>7780</v>
          </cell>
          <cell r="AA2191">
            <v>0</v>
          </cell>
          <cell r="AB2191">
            <v>0</v>
          </cell>
          <cell r="AC2191">
            <v>0</v>
          </cell>
          <cell r="AD2191">
            <v>0.26100000000000001</v>
          </cell>
          <cell r="AE2191">
            <v>0</v>
          </cell>
          <cell r="AF2191">
            <v>0</v>
          </cell>
          <cell r="AG2191">
            <v>9900</v>
          </cell>
          <cell r="AH2191">
            <v>96</v>
          </cell>
          <cell r="AI2191">
            <v>0.98899999999999999</v>
          </cell>
          <cell r="AJ2191">
            <v>1</v>
          </cell>
          <cell r="AK2191">
            <v>97.06</v>
          </cell>
          <cell r="AL2191">
            <v>0</v>
          </cell>
        </row>
        <row r="2192">
          <cell r="E2192" t="str">
            <v>R2-322PK</v>
          </cell>
          <cell r="F2192" t="str">
            <v>台</v>
          </cell>
          <cell r="G2192">
            <v>0</v>
          </cell>
          <cell r="H2192">
            <v>7780</v>
          </cell>
          <cell r="I2192">
            <v>0</v>
          </cell>
          <cell r="J2192">
            <v>7780</v>
          </cell>
          <cell r="K2192">
            <v>0</v>
          </cell>
          <cell r="L2192">
            <v>7780</v>
          </cell>
          <cell r="M2192">
            <v>0</v>
          </cell>
          <cell r="N2192">
            <v>7780</v>
          </cell>
          <cell r="O2192">
            <v>0</v>
          </cell>
          <cell r="P2192">
            <v>7780</v>
          </cell>
          <cell r="Q2192">
            <v>0</v>
          </cell>
          <cell r="R2192">
            <v>7780</v>
          </cell>
          <cell r="S2192">
            <v>0</v>
          </cell>
          <cell r="T2192">
            <v>7780</v>
          </cell>
          <cell r="U2192">
            <v>0</v>
          </cell>
          <cell r="V2192">
            <v>7780</v>
          </cell>
          <cell r="W2192">
            <v>0</v>
          </cell>
          <cell r="X2192">
            <v>7780</v>
          </cell>
          <cell r="Y2192">
            <v>0</v>
          </cell>
          <cell r="Z2192">
            <v>7780</v>
          </cell>
          <cell r="AA2192">
            <v>0</v>
          </cell>
          <cell r="AB2192">
            <v>0</v>
          </cell>
          <cell r="AC2192">
            <v>0</v>
          </cell>
          <cell r="AD2192">
            <v>0.26100000000000001</v>
          </cell>
          <cell r="AE2192">
            <v>0</v>
          </cell>
          <cell r="AF2192">
            <v>0</v>
          </cell>
          <cell r="AG2192">
            <v>9900</v>
          </cell>
          <cell r="AH2192">
            <v>96</v>
          </cell>
          <cell r="AI2192">
            <v>0.98899999999999999</v>
          </cell>
          <cell r="AJ2192">
            <v>1</v>
          </cell>
          <cell r="AK2192">
            <v>97.06</v>
          </cell>
          <cell r="AL2192">
            <v>0</v>
          </cell>
        </row>
        <row r="2193">
          <cell r="E2193" t="str">
            <v>R2RP-322PN</v>
          </cell>
          <cell r="F2193" t="str">
            <v>台</v>
          </cell>
          <cell r="G2193">
            <v>0</v>
          </cell>
          <cell r="H2193">
            <v>8220</v>
          </cell>
          <cell r="I2193">
            <v>0</v>
          </cell>
          <cell r="J2193">
            <v>8220</v>
          </cell>
          <cell r="K2193">
            <v>0</v>
          </cell>
          <cell r="L2193">
            <v>8220</v>
          </cell>
          <cell r="M2193">
            <v>0</v>
          </cell>
          <cell r="N2193">
            <v>8220</v>
          </cell>
          <cell r="O2193">
            <v>0</v>
          </cell>
          <cell r="P2193">
            <v>8220</v>
          </cell>
          <cell r="Q2193">
            <v>0</v>
          </cell>
          <cell r="R2193">
            <v>8220</v>
          </cell>
          <cell r="S2193">
            <v>0</v>
          </cell>
          <cell r="T2193">
            <v>8220</v>
          </cell>
          <cell r="U2193">
            <v>0</v>
          </cell>
          <cell r="V2193">
            <v>8220</v>
          </cell>
          <cell r="W2193">
            <v>0</v>
          </cell>
          <cell r="X2193">
            <v>8220</v>
          </cell>
          <cell r="Y2193">
            <v>0</v>
          </cell>
          <cell r="Z2193">
            <v>8220</v>
          </cell>
          <cell r="AA2193">
            <v>0</v>
          </cell>
          <cell r="AB2193">
            <v>0</v>
          </cell>
          <cell r="AC2193">
            <v>0</v>
          </cell>
          <cell r="AD2193">
            <v>0.26100000000000001</v>
          </cell>
          <cell r="AE2193">
            <v>0</v>
          </cell>
          <cell r="AF2193">
            <v>0</v>
          </cell>
          <cell r="AG2193">
            <v>9900</v>
          </cell>
          <cell r="AH2193">
            <v>96</v>
          </cell>
          <cell r="AI2193">
            <v>0.98899999999999999</v>
          </cell>
          <cell r="AJ2193">
            <v>1</v>
          </cell>
          <cell r="AK2193">
            <v>97.06</v>
          </cell>
          <cell r="AL2193">
            <v>0</v>
          </cell>
        </row>
        <row r="2194">
          <cell r="E2194" t="str">
            <v>R2RP-322PH</v>
          </cell>
          <cell r="F2194" t="str">
            <v>台</v>
          </cell>
          <cell r="G2194">
            <v>0</v>
          </cell>
          <cell r="H2194">
            <v>13400</v>
          </cell>
          <cell r="I2194">
            <v>0</v>
          </cell>
          <cell r="J2194">
            <v>13400</v>
          </cell>
          <cell r="K2194">
            <v>0</v>
          </cell>
          <cell r="L2194">
            <v>13400</v>
          </cell>
          <cell r="M2194">
            <v>0</v>
          </cell>
          <cell r="N2194">
            <v>13400</v>
          </cell>
          <cell r="O2194">
            <v>0</v>
          </cell>
          <cell r="P2194">
            <v>13400</v>
          </cell>
          <cell r="Q2194">
            <v>0</v>
          </cell>
          <cell r="R2194">
            <v>13400</v>
          </cell>
          <cell r="S2194">
            <v>0</v>
          </cell>
          <cell r="T2194">
            <v>13400</v>
          </cell>
          <cell r="U2194">
            <v>0</v>
          </cell>
          <cell r="V2194">
            <v>13400</v>
          </cell>
          <cell r="W2194">
            <v>0</v>
          </cell>
          <cell r="X2194">
            <v>13400</v>
          </cell>
          <cell r="Y2194">
            <v>0</v>
          </cell>
          <cell r="Z2194">
            <v>13400</v>
          </cell>
          <cell r="AA2194">
            <v>0</v>
          </cell>
          <cell r="AB2194">
            <v>0</v>
          </cell>
          <cell r="AC2194">
            <v>0</v>
          </cell>
          <cell r="AD2194">
            <v>0.26100000000000001</v>
          </cell>
          <cell r="AE2194">
            <v>0</v>
          </cell>
          <cell r="AF2194">
            <v>0</v>
          </cell>
          <cell r="AG2194">
            <v>9900</v>
          </cell>
          <cell r="AH2194">
            <v>96</v>
          </cell>
          <cell r="AI2194">
            <v>0.98899999999999999</v>
          </cell>
          <cell r="AJ2194">
            <v>1</v>
          </cell>
          <cell r="AK2194">
            <v>97.06</v>
          </cell>
          <cell r="AL2194">
            <v>0</v>
          </cell>
        </row>
        <row r="2195">
          <cell r="E2195" t="str">
            <v>R2RPA-322PN</v>
          </cell>
          <cell r="F2195" t="str">
            <v>台</v>
          </cell>
          <cell r="G2195">
            <v>0</v>
          </cell>
          <cell r="H2195">
            <v>16300</v>
          </cell>
          <cell r="I2195">
            <v>0</v>
          </cell>
          <cell r="J2195">
            <v>16300</v>
          </cell>
          <cell r="K2195">
            <v>0</v>
          </cell>
          <cell r="L2195">
            <v>16300</v>
          </cell>
          <cell r="M2195">
            <v>0</v>
          </cell>
          <cell r="N2195">
            <v>16300</v>
          </cell>
          <cell r="O2195">
            <v>0</v>
          </cell>
          <cell r="P2195">
            <v>16300</v>
          </cell>
          <cell r="Q2195">
            <v>0</v>
          </cell>
          <cell r="R2195">
            <v>16300</v>
          </cell>
          <cell r="S2195">
            <v>0</v>
          </cell>
          <cell r="T2195">
            <v>16300</v>
          </cell>
          <cell r="U2195">
            <v>0</v>
          </cell>
          <cell r="V2195">
            <v>16300</v>
          </cell>
          <cell r="W2195">
            <v>0</v>
          </cell>
          <cell r="X2195">
            <v>16300</v>
          </cell>
          <cell r="Y2195">
            <v>0</v>
          </cell>
          <cell r="Z2195">
            <v>16300</v>
          </cell>
          <cell r="AA2195">
            <v>0</v>
          </cell>
          <cell r="AB2195">
            <v>0</v>
          </cell>
          <cell r="AC2195">
            <v>0</v>
          </cell>
          <cell r="AD2195">
            <v>0.26100000000000001</v>
          </cell>
          <cell r="AE2195">
            <v>0</v>
          </cell>
          <cell r="AF2195">
            <v>0</v>
          </cell>
          <cell r="AG2195">
            <v>9900</v>
          </cell>
          <cell r="AH2195">
            <v>96</v>
          </cell>
          <cell r="AI2195">
            <v>0.98899999999999999</v>
          </cell>
          <cell r="AJ2195">
            <v>1</v>
          </cell>
          <cell r="AK2195">
            <v>97.06</v>
          </cell>
          <cell r="AL2195">
            <v>0</v>
          </cell>
        </row>
        <row r="2196">
          <cell r="E2196" t="str">
            <v>R2RPA-322PH</v>
          </cell>
          <cell r="F2196" t="str">
            <v>台</v>
          </cell>
          <cell r="G2196">
            <v>0</v>
          </cell>
          <cell r="H2196">
            <v>20600</v>
          </cell>
          <cell r="I2196">
            <v>0</v>
          </cell>
          <cell r="J2196">
            <v>20600</v>
          </cell>
          <cell r="K2196">
            <v>0</v>
          </cell>
          <cell r="L2196">
            <v>20600</v>
          </cell>
          <cell r="M2196">
            <v>0</v>
          </cell>
          <cell r="N2196">
            <v>20600</v>
          </cell>
          <cell r="O2196">
            <v>0</v>
          </cell>
          <cell r="P2196">
            <v>20600</v>
          </cell>
          <cell r="Q2196">
            <v>0</v>
          </cell>
          <cell r="R2196">
            <v>20600</v>
          </cell>
          <cell r="S2196">
            <v>0</v>
          </cell>
          <cell r="T2196">
            <v>20600</v>
          </cell>
          <cell r="U2196">
            <v>0</v>
          </cell>
          <cell r="V2196">
            <v>20600</v>
          </cell>
          <cell r="W2196">
            <v>0</v>
          </cell>
          <cell r="X2196">
            <v>20600</v>
          </cell>
          <cell r="Y2196">
            <v>0</v>
          </cell>
          <cell r="Z2196">
            <v>20600</v>
          </cell>
          <cell r="AA2196">
            <v>0</v>
          </cell>
          <cell r="AB2196">
            <v>0</v>
          </cell>
          <cell r="AC2196">
            <v>0</v>
          </cell>
          <cell r="AD2196">
            <v>0.26100000000000001</v>
          </cell>
          <cell r="AE2196">
            <v>0</v>
          </cell>
          <cell r="AF2196">
            <v>0</v>
          </cell>
          <cell r="AG2196">
            <v>9900</v>
          </cell>
          <cell r="AH2196">
            <v>96</v>
          </cell>
          <cell r="AI2196">
            <v>0.98899999999999999</v>
          </cell>
          <cell r="AJ2196">
            <v>1</v>
          </cell>
          <cell r="AK2196">
            <v>97.06</v>
          </cell>
          <cell r="AL2196">
            <v>0</v>
          </cell>
        </row>
        <row r="2197">
          <cell r="E2197" t="str">
            <v>R2RPB-322PN</v>
          </cell>
          <cell r="F2197" t="str">
            <v>台</v>
          </cell>
          <cell r="G2197">
            <v>0</v>
          </cell>
          <cell r="H2197">
            <v>16300</v>
          </cell>
          <cell r="I2197">
            <v>0</v>
          </cell>
          <cell r="J2197">
            <v>16300</v>
          </cell>
          <cell r="K2197">
            <v>0</v>
          </cell>
          <cell r="L2197">
            <v>16300</v>
          </cell>
          <cell r="M2197">
            <v>0</v>
          </cell>
          <cell r="N2197">
            <v>16300</v>
          </cell>
          <cell r="O2197">
            <v>0</v>
          </cell>
          <cell r="P2197">
            <v>16300</v>
          </cell>
          <cell r="Q2197">
            <v>0</v>
          </cell>
          <cell r="R2197">
            <v>16300</v>
          </cell>
          <cell r="S2197">
            <v>0</v>
          </cell>
          <cell r="T2197">
            <v>16300</v>
          </cell>
          <cell r="U2197">
            <v>0</v>
          </cell>
          <cell r="V2197">
            <v>16300</v>
          </cell>
          <cell r="W2197">
            <v>0</v>
          </cell>
          <cell r="X2197">
            <v>16300</v>
          </cell>
          <cell r="Y2197">
            <v>0</v>
          </cell>
          <cell r="Z2197">
            <v>16300</v>
          </cell>
          <cell r="AA2197">
            <v>0</v>
          </cell>
          <cell r="AB2197">
            <v>0</v>
          </cell>
          <cell r="AC2197">
            <v>0</v>
          </cell>
          <cell r="AD2197">
            <v>0.26100000000000001</v>
          </cell>
          <cell r="AE2197">
            <v>0</v>
          </cell>
          <cell r="AF2197">
            <v>0</v>
          </cell>
          <cell r="AG2197">
            <v>9900</v>
          </cell>
          <cell r="AH2197">
            <v>96</v>
          </cell>
          <cell r="AI2197">
            <v>0.98899999999999999</v>
          </cell>
          <cell r="AJ2197">
            <v>1</v>
          </cell>
          <cell r="AK2197">
            <v>97.06</v>
          </cell>
          <cell r="AL2197">
            <v>0</v>
          </cell>
        </row>
        <row r="2198">
          <cell r="E2198" t="str">
            <v>R2RPB-322PH</v>
          </cell>
          <cell r="F2198" t="str">
            <v>台</v>
          </cell>
          <cell r="G2198">
            <v>0</v>
          </cell>
          <cell r="H2198">
            <v>20600</v>
          </cell>
          <cell r="I2198">
            <v>0</v>
          </cell>
          <cell r="J2198">
            <v>20600</v>
          </cell>
          <cell r="K2198">
            <v>0</v>
          </cell>
          <cell r="L2198">
            <v>20600</v>
          </cell>
          <cell r="M2198">
            <v>0</v>
          </cell>
          <cell r="N2198">
            <v>20600</v>
          </cell>
          <cell r="O2198">
            <v>0</v>
          </cell>
          <cell r="P2198">
            <v>20600</v>
          </cell>
          <cell r="Q2198">
            <v>0</v>
          </cell>
          <cell r="R2198">
            <v>20600</v>
          </cell>
          <cell r="S2198">
            <v>0</v>
          </cell>
          <cell r="T2198">
            <v>20600</v>
          </cell>
          <cell r="U2198">
            <v>0</v>
          </cell>
          <cell r="V2198">
            <v>20600</v>
          </cell>
          <cell r="W2198">
            <v>0</v>
          </cell>
          <cell r="X2198">
            <v>20600</v>
          </cell>
          <cell r="Y2198">
            <v>0</v>
          </cell>
          <cell r="Z2198">
            <v>20600</v>
          </cell>
          <cell r="AA2198">
            <v>0</v>
          </cell>
          <cell r="AB2198">
            <v>0</v>
          </cell>
          <cell r="AC2198">
            <v>0</v>
          </cell>
          <cell r="AD2198">
            <v>0.26100000000000001</v>
          </cell>
          <cell r="AE2198">
            <v>0</v>
          </cell>
          <cell r="AF2198">
            <v>0</v>
          </cell>
          <cell r="AG2198">
            <v>9900</v>
          </cell>
          <cell r="AH2198">
            <v>96</v>
          </cell>
          <cell r="AI2198">
            <v>0.98899999999999999</v>
          </cell>
          <cell r="AJ2198">
            <v>1</v>
          </cell>
          <cell r="AK2198">
            <v>97.06</v>
          </cell>
          <cell r="AL2198">
            <v>0</v>
          </cell>
        </row>
        <row r="2199">
          <cell r="E2199" t="str">
            <v>■Ｈｆ反射笠可動形</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row>
        <row r="2200">
          <cell r="E2200" t="str">
            <v>R12-321PH</v>
          </cell>
          <cell r="F2200" t="str">
            <v>台</v>
          </cell>
          <cell r="G2200">
            <v>0</v>
          </cell>
          <cell r="H2200">
            <v>12300</v>
          </cell>
          <cell r="I2200">
            <v>0</v>
          </cell>
          <cell r="J2200">
            <v>12300</v>
          </cell>
          <cell r="K2200">
            <v>0</v>
          </cell>
          <cell r="L2200">
            <v>12300</v>
          </cell>
          <cell r="M2200">
            <v>0</v>
          </cell>
          <cell r="N2200">
            <v>12300</v>
          </cell>
          <cell r="O2200">
            <v>0</v>
          </cell>
          <cell r="P2200">
            <v>12300</v>
          </cell>
          <cell r="Q2200">
            <v>0</v>
          </cell>
          <cell r="R2200">
            <v>12300</v>
          </cell>
          <cell r="S2200">
            <v>0</v>
          </cell>
          <cell r="T2200">
            <v>12300</v>
          </cell>
          <cell r="U2200">
            <v>0</v>
          </cell>
          <cell r="V2200">
            <v>12300</v>
          </cell>
          <cell r="W2200">
            <v>0</v>
          </cell>
          <cell r="X2200">
            <v>12300</v>
          </cell>
          <cell r="Y2200">
            <v>0</v>
          </cell>
          <cell r="Z2200">
            <v>12300</v>
          </cell>
          <cell r="AA2200">
            <v>0</v>
          </cell>
          <cell r="AB2200">
            <v>0</v>
          </cell>
          <cell r="AC2200">
            <v>0</v>
          </cell>
          <cell r="AD2200">
            <v>0.20899999999999999</v>
          </cell>
          <cell r="AE2200">
            <v>0</v>
          </cell>
          <cell r="AF2200">
            <v>0</v>
          </cell>
          <cell r="AG2200">
            <v>4950</v>
          </cell>
          <cell r="AH2200">
            <v>48</v>
          </cell>
          <cell r="AI2200">
            <v>0.97899999999999998</v>
          </cell>
          <cell r="AJ2200">
            <v>1</v>
          </cell>
          <cell r="AK2200">
            <v>49.02</v>
          </cell>
          <cell r="AL2200">
            <v>0</v>
          </cell>
        </row>
        <row r="2201">
          <cell r="E2201" t="str">
            <v>R12-321PK</v>
          </cell>
          <cell r="F2201" t="str">
            <v>台</v>
          </cell>
          <cell r="G2201">
            <v>0</v>
          </cell>
          <cell r="H2201">
            <v>14300</v>
          </cell>
          <cell r="I2201">
            <v>0</v>
          </cell>
          <cell r="J2201">
            <v>14300</v>
          </cell>
          <cell r="K2201">
            <v>0</v>
          </cell>
          <cell r="L2201">
            <v>14300</v>
          </cell>
          <cell r="M2201">
            <v>0</v>
          </cell>
          <cell r="N2201">
            <v>14300</v>
          </cell>
          <cell r="O2201">
            <v>0</v>
          </cell>
          <cell r="P2201">
            <v>14300</v>
          </cell>
          <cell r="Q2201">
            <v>0</v>
          </cell>
          <cell r="R2201">
            <v>14300</v>
          </cell>
          <cell r="S2201">
            <v>0</v>
          </cell>
          <cell r="T2201">
            <v>14300</v>
          </cell>
          <cell r="U2201">
            <v>0</v>
          </cell>
          <cell r="V2201">
            <v>14300</v>
          </cell>
          <cell r="W2201">
            <v>0</v>
          </cell>
          <cell r="X2201">
            <v>14300</v>
          </cell>
          <cell r="Y2201">
            <v>0</v>
          </cell>
          <cell r="Z2201">
            <v>14300</v>
          </cell>
          <cell r="AA2201">
            <v>0</v>
          </cell>
          <cell r="AB2201">
            <v>0</v>
          </cell>
          <cell r="AC2201">
            <v>0</v>
          </cell>
          <cell r="AD2201">
            <v>0.20899999999999999</v>
          </cell>
          <cell r="AE2201">
            <v>0</v>
          </cell>
          <cell r="AF2201">
            <v>0</v>
          </cell>
          <cell r="AG2201">
            <v>4950</v>
          </cell>
          <cell r="AH2201">
            <v>48</v>
          </cell>
          <cell r="AI2201">
            <v>0.97899999999999998</v>
          </cell>
          <cell r="AJ2201">
            <v>1</v>
          </cell>
          <cell r="AK2201">
            <v>49.02</v>
          </cell>
          <cell r="AL2201">
            <v>0</v>
          </cell>
        </row>
        <row r="2202">
          <cell r="E2202" t="str">
            <v>■Ｈｆ開放直付形</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row>
        <row r="2203">
          <cell r="E2203" t="str">
            <v>As6-162PH</v>
          </cell>
          <cell r="F2203" t="str">
            <v>台</v>
          </cell>
          <cell r="G2203">
            <v>0</v>
          </cell>
          <cell r="H2203">
            <v>8530</v>
          </cell>
          <cell r="I2203">
            <v>0</v>
          </cell>
          <cell r="J2203">
            <v>8530</v>
          </cell>
          <cell r="K2203">
            <v>0</v>
          </cell>
          <cell r="L2203">
            <v>8530</v>
          </cell>
          <cell r="M2203">
            <v>0</v>
          </cell>
          <cell r="N2203">
            <v>8530</v>
          </cell>
          <cell r="O2203">
            <v>0</v>
          </cell>
          <cell r="P2203">
            <v>8530</v>
          </cell>
          <cell r="Q2203">
            <v>0</v>
          </cell>
          <cell r="R2203">
            <v>8530</v>
          </cell>
          <cell r="S2203">
            <v>0</v>
          </cell>
          <cell r="T2203">
            <v>8530</v>
          </cell>
          <cell r="U2203">
            <v>0</v>
          </cell>
          <cell r="V2203">
            <v>8530</v>
          </cell>
          <cell r="W2203">
            <v>0</v>
          </cell>
          <cell r="X2203">
            <v>8530</v>
          </cell>
          <cell r="Y2203">
            <v>0</v>
          </cell>
          <cell r="Z2203">
            <v>8530</v>
          </cell>
          <cell r="AA2203">
            <v>0</v>
          </cell>
          <cell r="AB2203">
            <v>0</v>
          </cell>
          <cell r="AC2203">
            <v>0</v>
          </cell>
          <cell r="AD2203">
            <v>0.16500000000000001</v>
          </cell>
          <cell r="AE2203">
            <v>0</v>
          </cell>
          <cell r="AF2203">
            <v>0</v>
          </cell>
          <cell r="AG2203">
            <v>4200</v>
          </cell>
          <cell r="AH2203">
            <v>50</v>
          </cell>
          <cell r="AI2203">
            <v>0.98</v>
          </cell>
          <cell r="AJ2203">
            <v>1</v>
          </cell>
          <cell r="AK2203">
            <v>51.02</v>
          </cell>
          <cell r="AL2203">
            <v>0</v>
          </cell>
        </row>
        <row r="2204">
          <cell r="E2204" t="str">
            <v>As6-162PX</v>
          </cell>
          <cell r="F2204" t="str">
            <v>台</v>
          </cell>
          <cell r="G2204">
            <v>0</v>
          </cell>
          <cell r="H2204">
            <v>9620</v>
          </cell>
          <cell r="I2204">
            <v>0</v>
          </cell>
          <cell r="J2204">
            <v>9620</v>
          </cell>
          <cell r="K2204">
            <v>0</v>
          </cell>
          <cell r="L2204">
            <v>9620</v>
          </cell>
          <cell r="M2204">
            <v>0</v>
          </cell>
          <cell r="N2204">
            <v>9620</v>
          </cell>
          <cell r="O2204">
            <v>0</v>
          </cell>
          <cell r="P2204">
            <v>9620</v>
          </cell>
          <cell r="Q2204">
            <v>0</v>
          </cell>
          <cell r="R2204">
            <v>9620</v>
          </cell>
          <cell r="S2204">
            <v>0</v>
          </cell>
          <cell r="T2204">
            <v>9620</v>
          </cell>
          <cell r="U2204">
            <v>0</v>
          </cell>
          <cell r="V2204">
            <v>9620</v>
          </cell>
          <cell r="W2204">
            <v>0</v>
          </cell>
          <cell r="X2204">
            <v>9620</v>
          </cell>
          <cell r="Y2204">
            <v>0</v>
          </cell>
          <cell r="Z2204">
            <v>9620</v>
          </cell>
          <cell r="AA2204">
            <v>0</v>
          </cell>
          <cell r="AB2204">
            <v>0</v>
          </cell>
          <cell r="AC2204">
            <v>0</v>
          </cell>
          <cell r="AD2204">
            <v>0.16500000000000001</v>
          </cell>
          <cell r="AE2204">
            <v>0</v>
          </cell>
          <cell r="AF2204">
            <v>0</v>
          </cell>
          <cell r="AG2204">
            <v>4200</v>
          </cell>
          <cell r="AH2204">
            <v>50</v>
          </cell>
          <cell r="AI2204">
            <v>0.98</v>
          </cell>
          <cell r="AJ2204">
            <v>1</v>
          </cell>
          <cell r="AK2204">
            <v>51.02</v>
          </cell>
          <cell r="AL2204">
            <v>0</v>
          </cell>
        </row>
        <row r="2205">
          <cell r="E2205" t="str">
            <v>As6-322PN</v>
          </cell>
          <cell r="F2205" t="str">
            <v>台</v>
          </cell>
          <cell r="G2205">
            <v>0</v>
          </cell>
          <cell r="H2205">
            <v>7270</v>
          </cell>
          <cell r="I2205">
            <v>0</v>
          </cell>
          <cell r="J2205">
            <v>7270</v>
          </cell>
          <cell r="K2205">
            <v>0</v>
          </cell>
          <cell r="L2205">
            <v>7270</v>
          </cell>
          <cell r="M2205">
            <v>0</v>
          </cell>
          <cell r="N2205">
            <v>7270</v>
          </cell>
          <cell r="O2205">
            <v>0</v>
          </cell>
          <cell r="P2205">
            <v>7270</v>
          </cell>
          <cell r="Q2205">
            <v>0</v>
          </cell>
          <cell r="R2205">
            <v>7270</v>
          </cell>
          <cell r="S2205">
            <v>0</v>
          </cell>
          <cell r="T2205">
            <v>7270</v>
          </cell>
          <cell r="U2205">
            <v>0</v>
          </cell>
          <cell r="V2205">
            <v>7270</v>
          </cell>
          <cell r="W2205">
            <v>0</v>
          </cell>
          <cell r="X2205">
            <v>7270</v>
          </cell>
          <cell r="Y2205">
            <v>0</v>
          </cell>
          <cell r="Z2205">
            <v>7270</v>
          </cell>
          <cell r="AA2205">
            <v>0</v>
          </cell>
          <cell r="AB2205">
            <v>0</v>
          </cell>
          <cell r="AC2205">
            <v>0</v>
          </cell>
          <cell r="AD2205">
            <v>0.26100000000000001</v>
          </cell>
          <cell r="AE2205">
            <v>0</v>
          </cell>
          <cell r="AF2205">
            <v>0</v>
          </cell>
          <cell r="AG2205">
            <v>9900</v>
          </cell>
          <cell r="AH2205">
            <v>96</v>
          </cell>
          <cell r="AI2205">
            <v>0.98899999999999999</v>
          </cell>
          <cell r="AJ2205">
            <v>1</v>
          </cell>
          <cell r="AK2205">
            <v>97.06</v>
          </cell>
          <cell r="AL2205">
            <v>0</v>
          </cell>
        </row>
        <row r="2206">
          <cell r="E2206" t="str">
            <v>As6-322PH</v>
          </cell>
          <cell r="F2206" t="str">
            <v>台</v>
          </cell>
          <cell r="G2206">
            <v>0</v>
          </cell>
          <cell r="H2206">
            <v>8670</v>
          </cell>
          <cell r="I2206">
            <v>0</v>
          </cell>
          <cell r="J2206">
            <v>8670</v>
          </cell>
          <cell r="K2206">
            <v>0</v>
          </cell>
          <cell r="L2206">
            <v>8670</v>
          </cell>
          <cell r="M2206">
            <v>0</v>
          </cell>
          <cell r="N2206">
            <v>8670</v>
          </cell>
          <cell r="O2206">
            <v>0</v>
          </cell>
          <cell r="P2206">
            <v>8670</v>
          </cell>
          <cell r="Q2206">
            <v>0</v>
          </cell>
          <cell r="R2206">
            <v>8670</v>
          </cell>
          <cell r="S2206">
            <v>0</v>
          </cell>
          <cell r="T2206">
            <v>8670</v>
          </cell>
          <cell r="U2206">
            <v>0</v>
          </cell>
          <cell r="V2206">
            <v>8670</v>
          </cell>
          <cell r="W2206">
            <v>0</v>
          </cell>
          <cell r="X2206">
            <v>8670</v>
          </cell>
          <cell r="Y2206">
            <v>0</v>
          </cell>
          <cell r="Z2206">
            <v>8670</v>
          </cell>
          <cell r="AA2206">
            <v>0</v>
          </cell>
          <cell r="AB2206">
            <v>0</v>
          </cell>
          <cell r="AC2206">
            <v>0</v>
          </cell>
          <cell r="AD2206">
            <v>0.26100000000000001</v>
          </cell>
          <cell r="AE2206">
            <v>0</v>
          </cell>
          <cell r="AF2206">
            <v>0</v>
          </cell>
          <cell r="AG2206">
            <v>9900</v>
          </cell>
          <cell r="AH2206">
            <v>96</v>
          </cell>
          <cell r="AI2206">
            <v>0.98899999999999999</v>
          </cell>
          <cell r="AJ2206">
            <v>1</v>
          </cell>
          <cell r="AK2206">
            <v>97.06</v>
          </cell>
          <cell r="AL2206">
            <v>0</v>
          </cell>
        </row>
        <row r="2207">
          <cell r="E2207" t="str">
            <v>As6-322PX</v>
          </cell>
          <cell r="F2207" t="str">
            <v>台</v>
          </cell>
          <cell r="G2207">
            <v>0</v>
          </cell>
          <cell r="H2207">
            <v>9690</v>
          </cell>
          <cell r="I2207">
            <v>0</v>
          </cell>
          <cell r="J2207">
            <v>9690</v>
          </cell>
          <cell r="K2207">
            <v>0</v>
          </cell>
          <cell r="L2207">
            <v>9690</v>
          </cell>
          <cell r="M2207">
            <v>0</v>
          </cell>
          <cell r="N2207">
            <v>9690</v>
          </cell>
          <cell r="O2207">
            <v>0</v>
          </cell>
          <cell r="P2207">
            <v>9690</v>
          </cell>
          <cell r="Q2207">
            <v>0</v>
          </cell>
          <cell r="R2207">
            <v>9690</v>
          </cell>
          <cell r="S2207">
            <v>0</v>
          </cell>
          <cell r="T2207">
            <v>9690</v>
          </cell>
          <cell r="U2207">
            <v>0</v>
          </cell>
          <cell r="V2207">
            <v>9690</v>
          </cell>
          <cell r="W2207">
            <v>0</v>
          </cell>
          <cell r="X2207">
            <v>9690</v>
          </cell>
          <cell r="Y2207">
            <v>0</v>
          </cell>
          <cell r="Z2207">
            <v>9690</v>
          </cell>
          <cell r="AA2207">
            <v>0</v>
          </cell>
          <cell r="AB2207">
            <v>0</v>
          </cell>
          <cell r="AC2207">
            <v>0</v>
          </cell>
          <cell r="AD2207">
            <v>0.26100000000000001</v>
          </cell>
          <cell r="AE2207">
            <v>0</v>
          </cell>
          <cell r="AF2207">
            <v>0</v>
          </cell>
          <cell r="AG2207">
            <v>9900</v>
          </cell>
          <cell r="AH2207">
            <v>96</v>
          </cell>
          <cell r="AI2207">
            <v>0.98899999999999999</v>
          </cell>
          <cell r="AJ2207">
            <v>1</v>
          </cell>
          <cell r="AK2207">
            <v>97.06</v>
          </cell>
          <cell r="AL2207">
            <v>0</v>
          </cell>
        </row>
        <row r="2208">
          <cell r="E2208" t="str">
            <v>As6-322PK</v>
          </cell>
          <cell r="F2208" t="str">
            <v>台</v>
          </cell>
          <cell r="G2208">
            <v>0</v>
          </cell>
          <cell r="H2208">
            <v>9690</v>
          </cell>
          <cell r="I2208">
            <v>0</v>
          </cell>
          <cell r="J2208">
            <v>9690</v>
          </cell>
          <cell r="K2208">
            <v>0</v>
          </cell>
          <cell r="L2208">
            <v>9690</v>
          </cell>
          <cell r="M2208">
            <v>0</v>
          </cell>
          <cell r="N2208">
            <v>9690</v>
          </cell>
          <cell r="O2208">
            <v>0</v>
          </cell>
          <cell r="P2208">
            <v>9690</v>
          </cell>
          <cell r="Q2208">
            <v>0</v>
          </cell>
          <cell r="R2208">
            <v>9690</v>
          </cell>
          <cell r="S2208">
            <v>0</v>
          </cell>
          <cell r="T2208">
            <v>9690</v>
          </cell>
          <cell r="U2208">
            <v>0</v>
          </cell>
          <cell r="V2208">
            <v>9690</v>
          </cell>
          <cell r="W2208">
            <v>0</v>
          </cell>
          <cell r="X2208">
            <v>9690</v>
          </cell>
          <cell r="Y2208">
            <v>0</v>
          </cell>
          <cell r="Z2208">
            <v>9690</v>
          </cell>
          <cell r="AA2208">
            <v>0</v>
          </cell>
          <cell r="AB2208">
            <v>0</v>
          </cell>
          <cell r="AC2208">
            <v>0</v>
          </cell>
          <cell r="AD2208">
            <v>0.26100000000000001</v>
          </cell>
          <cell r="AE2208">
            <v>0</v>
          </cell>
          <cell r="AF2208">
            <v>0</v>
          </cell>
          <cell r="AG2208">
            <v>9900</v>
          </cell>
          <cell r="AH2208">
            <v>96</v>
          </cell>
          <cell r="AI2208">
            <v>0.98899999999999999</v>
          </cell>
          <cell r="AJ2208">
            <v>1</v>
          </cell>
          <cell r="AK2208">
            <v>97.06</v>
          </cell>
          <cell r="AL2208">
            <v>0</v>
          </cell>
        </row>
        <row r="2209">
          <cell r="E2209" t="str">
            <v>As7-322PN</v>
          </cell>
          <cell r="F2209" t="str">
            <v>台</v>
          </cell>
          <cell r="G2209">
            <v>0</v>
          </cell>
          <cell r="H2209">
            <v>6150</v>
          </cell>
          <cell r="I2209">
            <v>0</v>
          </cell>
          <cell r="J2209">
            <v>6150</v>
          </cell>
          <cell r="K2209">
            <v>0</v>
          </cell>
          <cell r="L2209">
            <v>6150</v>
          </cell>
          <cell r="M2209">
            <v>0</v>
          </cell>
          <cell r="N2209">
            <v>6150</v>
          </cell>
          <cell r="O2209">
            <v>0</v>
          </cell>
          <cell r="P2209">
            <v>6150</v>
          </cell>
          <cell r="Q2209">
            <v>0</v>
          </cell>
          <cell r="R2209">
            <v>6150</v>
          </cell>
          <cell r="S2209">
            <v>0</v>
          </cell>
          <cell r="T2209">
            <v>6150</v>
          </cell>
          <cell r="U2209">
            <v>0</v>
          </cell>
          <cell r="V2209">
            <v>6150</v>
          </cell>
          <cell r="W2209">
            <v>0</v>
          </cell>
          <cell r="X2209">
            <v>6150</v>
          </cell>
          <cell r="Y2209">
            <v>0</v>
          </cell>
          <cell r="Z2209">
            <v>6150</v>
          </cell>
          <cell r="AA2209">
            <v>0</v>
          </cell>
          <cell r="AB2209">
            <v>0</v>
          </cell>
          <cell r="AC2209">
            <v>0</v>
          </cell>
          <cell r="AD2209">
            <v>0.26100000000000001</v>
          </cell>
          <cell r="AE2209">
            <v>0</v>
          </cell>
          <cell r="AF2209">
            <v>0</v>
          </cell>
          <cell r="AG2209">
            <v>9900</v>
          </cell>
          <cell r="AH2209">
            <v>96</v>
          </cell>
          <cell r="AI2209">
            <v>0.98899999999999999</v>
          </cell>
          <cell r="AJ2209">
            <v>1</v>
          </cell>
          <cell r="AK2209">
            <v>97.06</v>
          </cell>
          <cell r="AL2209">
            <v>0</v>
          </cell>
        </row>
        <row r="2210">
          <cell r="E2210" t="str">
            <v>As7-322PH</v>
          </cell>
          <cell r="F2210" t="str">
            <v>台</v>
          </cell>
          <cell r="G2210">
            <v>0</v>
          </cell>
          <cell r="H2210">
            <v>8330</v>
          </cell>
          <cell r="I2210">
            <v>0</v>
          </cell>
          <cell r="J2210">
            <v>8330</v>
          </cell>
          <cell r="K2210">
            <v>0</v>
          </cell>
          <cell r="L2210">
            <v>8330</v>
          </cell>
          <cell r="M2210">
            <v>0</v>
          </cell>
          <cell r="N2210">
            <v>8330</v>
          </cell>
          <cell r="O2210">
            <v>0</v>
          </cell>
          <cell r="P2210">
            <v>8330</v>
          </cell>
          <cell r="Q2210">
            <v>0</v>
          </cell>
          <cell r="R2210">
            <v>8330</v>
          </cell>
          <cell r="S2210">
            <v>0</v>
          </cell>
          <cell r="T2210">
            <v>8330</v>
          </cell>
          <cell r="U2210">
            <v>0</v>
          </cell>
          <cell r="V2210">
            <v>8330</v>
          </cell>
          <cell r="W2210">
            <v>0</v>
          </cell>
          <cell r="X2210">
            <v>8330</v>
          </cell>
          <cell r="Y2210">
            <v>0</v>
          </cell>
          <cell r="Z2210">
            <v>8330</v>
          </cell>
          <cell r="AA2210">
            <v>0</v>
          </cell>
          <cell r="AB2210">
            <v>0</v>
          </cell>
          <cell r="AC2210">
            <v>0</v>
          </cell>
          <cell r="AD2210">
            <v>0.26100000000000001</v>
          </cell>
          <cell r="AE2210">
            <v>0</v>
          </cell>
          <cell r="AF2210">
            <v>0</v>
          </cell>
          <cell r="AG2210">
            <v>9900</v>
          </cell>
          <cell r="AH2210">
            <v>96</v>
          </cell>
          <cell r="AI2210">
            <v>0.98899999999999999</v>
          </cell>
          <cell r="AJ2210">
            <v>1</v>
          </cell>
          <cell r="AK2210">
            <v>97.06</v>
          </cell>
          <cell r="AL2210">
            <v>0</v>
          </cell>
        </row>
        <row r="2211">
          <cell r="E2211" t="str">
            <v>As7-322PX</v>
          </cell>
          <cell r="F2211" t="str">
            <v>台</v>
          </cell>
          <cell r="G2211">
            <v>0</v>
          </cell>
          <cell r="H2211">
            <v>9350</v>
          </cell>
          <cell r="I2211">
            <v>0</v>
          </cell>
          <cell r="J2211">
            <v>9350</v>
          </cell>
          <cell r="K2211">
            <v>0</v>
          </cell>
          <cell r="L2211">
            <v>9350</v>
          </cell>
          <cell r="M2211">
            <v>0</v>
          </cell>
          <cell r="N2211">
            <v>9350</v>
          </cell>
          <cell r="O2211">
            <v>0</v>
          </cell>
          <cell r="P2211">
            <v>9350</v>
          </cell>
          <cell r="Q2211">
            <v>0</v>
          </cell>
          <cell r="R2211">
            <v>9350</v>
          </cell>
          <cell r="S2211">
            <v>0</v>
          </cell>
          <cell r="T2211">
            <v>9350</v>
          </cell>
          <cell r="U2211">
            <v>0</v>
          </cell>
          <cell r="V2211">
            <v>9350</v>
          </cell>
          <cell r="W2211">
            <v>0</v>
          </cell>
          <cell r="X2211">
            <v>9350</v>
          </cell>
          <cell r="Y2211">
            <v>0</v>
          </cell>
          <cell r="Z2211">
            <v>9350</v>
          </cell>
          <cell r="AA2211">
            <v>0</v>
          </cell>
          <cell r="AB2211">
            <v>0</v>
          </cell>
          <cell r="AC2211">
            <v>0</v>
          </cell>
          <cell r="AD2211">
            <v>0.26100000000000001</v>
          </cell>
          <cell r="AE2211">
            <v>0</v>
          </cell>
          <cell r="AF2211">
            <v>0</v>
          </cell>
          <cell r="AG2211">
            <v>9900</v>
          </cell>
          <cell r="AH2211">
            <v>96</v>
          </cell>
          <cell r="AI2211">
            <v>0.98899999999999999</v>
          </cell>
          <cell r="AJ2211">
            <v>1</v>
          </cell>
          <cell r="AK2211">
            <v>97.06</v>
          </cell>
          <cell r="AL2211">
            <v>0</v>
          </cell>
        </row>
        <row r="2212">
          <cell r="E2212" t="str">
            <v>As7-322PK</v>
          </cell>
          <cell r="F2212" t="str">
            <v>台</v>
          </cell>
          <cell r="G2212">
            <v>0</v>
          </cell>
          <cell r="H2212">
            <v>9350</v>
          </cell>
          <cell r="I2212">
            <v>0</v>
          </cell>
          <cell r="J2212">
            <v>9350</v>
          </cell>
          <cell r="K2212">
            <v>0</v>
          </cell>
          <cell r="L2212">
            <v>9350</v>
          </cell>
          <cell r="M2212">
            <v>0</v>
          </cell>
          <cell r="N2212">
            <v>9350</v>
          </cell>
          <cell r="O2212">
            <v>0</v>
          </cell>
          <cell r="P2212">
            <v>9350</v>
          </cell>
          <cell r="Q2212">
            <v>0</v>
          </cell>
          <cell r="R2212">
            <v>9350</v>
          </cell>
          <cell r="S2212">
            <v>0</v>
          </cell>
          <cell r="T2212">
            <v>9350</v>
          </cell>
          <cell r="U2212">
            <v>0</v>
          </cell>
          <cell r="V2212">
            <v>9350</v>
          </cell>
          <cell r="W2212">
            <v>0</v>
          </cell>
          <cell r="X2212">
            <v>9350</v>
          </cell>
          <cell r="Y2212">
            <v>0</v>
          </cell>
          <cell r="Z2212">
            <v>9350</v>
          </cell>
          <cell r="AA2212">
            <v>0</v>
          </cell>
          <cell r="AB2212">
            <v>0</v>
          </cell>
          <cell r="AC2212">
            <v>0</v>
          </cell>
          <cell r="AD2212">
            <v>0.26100000000000001</v>
          </cell>
          <cell r="AE2212">
            <v>0</v>
          </cell>
          <cell r="AF2212">
            <v>0</v>
          </cell>
          <cell r="AG2212">
            <v>9900</v>
          </cell>
          <cell r="AH2212">
            <v>96</v>
          </cell>
          <cell r="AI2212">
            <v>0.98899999999999999</v>
          </cell>
          <cell r="AJ2212">
            <v>1</v>
          </cell>
          <cell r="AK2212">
            <v>97.06</v>
          </cell>
          <cell r="AL2212">
            <v>0</v>
          </cell>
        </row>
        <row r="2213">
          <cell r="E2213" t="str">
            <v>■Ｈｆ笠なし</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row>
        <row r="2214">
          <cell r="E2214" t="str">
            <v>T8-161PH</v>
          </cell>
          <cell r="F2214" t="str">
            <v>台</v>
          </cell>
          <cell r="G2214">
            <v>0</v>
          </cell>
          <cell r="H2214">
            <v>4140</v>
          </cell>
          <cell r="I2214">
            <v>0</v>
          </cell>
          <cell r="J2214">
            <v>4140</v>
          </cell>
          <cell r="K2214">
            <v>0</v>
          </cell>
          <cell r="L2214">
            <v>4140</v>
          </cell>
          <cell r="M2214">
            <v>0</v>
          </cell>
          <cell r="N2214">
            <v>4140</v>
          </cell>
          <cell r="O2214">
            <v>0</v>
          </cell>
          <cell r="P2214">
            <v>4140</v>
          </cell>
          <cell r="Q2214">
            <v>0</v>
          </cell>
          <cell r="R2214">
            <v>4140</v>
          </cell>
          <cell r="S2214">
            <v>0</v>
          </cell>
          <cell r="T2214">
            <v>4140</v>
          </cell>
          <cell r="U2214">
            <v>0</v>
          </cell>
          <cell r="V2214">
            <v>4140</v>
          </cell>
          <cell r="W2214">
            <v>0</v>
          </cell>
          <cell r="X2214">
            <v>4140</v>
          </cell>
          <cell r="Y2214">
            <v>0</v>
          </cell>
          <cell r="Z2214">
            <v>4140</v>
          </cell>
          <cell r="AA2214">
            <v>0</v>
          </cell>
          <cell r="AB2214">
            <v>0</v>
          </cell>
          <cell r="AC2214">
            <v>0</v>
          </cell>
          <cell r="AD2214">
            <v>0.13</v>
          </cell>
          <cell r="AE2214">
            <v>0</v>
          </cell>
          <cell r="AF2214">
            <v>0</v>
          </cell>
          <cell r="AG2214">
            <v>2100</v>
          </cell>
          <cell r="AH2214">
            <v>26</v>
          </cell>
          <cell r="AI2214">
            <v>0.96299999999999997</v>
          </cell>
          <cell r="AJ2214">
            <v>1</v>
          </cell>
          <cell r="AK2214">
            <v>26.99</v>
          </cell>
          <cell r="AL2214">
            <v>0</v>
          </cell>
        </row>
        <row r="2215">
          <cell r="E2215" t="str">
            <v>T8-321PN</v>
          </cell>
          <cell r="F2215" t="str">
            <v>台</v>
          </cell>
          <cell r="G2215">
            <v>0</v>
          </cell>
          <cell r="H2215">
            <v>3330</v>
          </cell>
          <cell r="I2215">
            <v>0</v>
          </cell>
          <cell r="J2215">
            <v>3330</v>
          </cell>
          <cell r="K2215">
            <v>0</v>
          </cell>
          <cell r="L2215">
            <v>3330</v>
          </cell>
          <cell r="M2215">
            <v>0</v>
          </cell>
          <cell r="N2215">
            <v>3330</v>
          </cell>
          <cell r="O2215">
            <v>0</v>
          </cell>
          <cell r="P2215">
            <v>3330</v>
          </cell>
          <cell r="Q2215">
            <v>0</v>
          </cell>
          <cell r="R2215">
            <v>3330</v>
          </cell>
          <cell r="S2215">
            <v>0</v>
          </cell>
          <cell r="T2215">
            <v>3330</v>
          </cell>
          <cell r="U2215">
            <v>0</v>
          </cell>
          <cell r="V2215">
            <v>3330</v>
          </cell>
          <cell r="W2215">
            <v>0</v>
          </cell>
          <cell r="X2215">
            <v>3330</v>
          </cell>
          <cell r="Y2215">
            <v>0</v>
          </cell>
          <cell r="Z2215">
            <v>3330</v>
          </cell>
          <cell r="AA2215">
            <v>0</v>
          </cell>
          <cell r="AB2215">
            <v>0</v>
          </cell>
          <cell r="AC2215">
            <v>0</v>
          </cell>
          <cell r="AD2215">
            <v>0.20899999999999999</v>
          </cell>
          <cell r="AE2215">
            <v>0</v>
          </cell>
          <cell r="AF2215">
            <v>0</v>
          </cell>
          <cell r="AG2215">
            <v>4950</v>
          </cell>
          <cell r="AH2215">
            <v>48</v>
          </cell>
          <cell r="AI2215">
            <v>0.97899999999999998</v>
          </cell>
          <cell r="AJ2215">
            <v>1</v>
          </cell>
          <cell r="AK2215">
            <v>49.02</v>
          </cell>
          <cell r="AL2215">
            <v>0</v>
          </cell>
        </row>
        <row r="2216">
          <cell r="E2216" t="str">
            <v>T8-321PH</v>
          </cell>
          <cell r="F2216" t="str">
            <v>台</v>
          </cell>
          <cell r="G2216">
            <v>0</v>
          </cell>
          <cell r="H2216">
            <v>4250</v>
          </cell>
          <cell r="I2216">
            <v>0</v>
          </cell>
          <cell r="J2216">
            <v>4250</v>
          </cell>
          <cell r="K2216">
            <v>0</v>
          </cell>
          <cell r="L2216">
            <v>4250</v>
          </cell>
          <cell r="M2216">
            <v>0</v>
          </cell>
          <cell r="N2216">
            <v>4250</v>
          </cell>
          <cell r="O2216">
            <v>0</v>
          </cell>
          <cell r="P2216">
            <v>4250</v>
          </cell>
          <cell r="Q2216">
            <v>0</v>
          </cell>
          <cell r="R2216">
            <v>4250</v>
          </cell>
          <cell r="S2216">
            <v>0</v>
          </cell>
          <cell r="T2216">
            <v>4250</v>
          </cell>
          <cell r="U2216">
            <v>0</v>
          </cell>
          <cell r="V2216">
            <v>4250</v>
          </cell>
          <cell r="W2216">
            <v>0</v>
          </cell>
          <cell r="X2216">
            <v>4250</v>
          </cell>
          <cell r="Y2216">
            <v>0</v>
          </cell>
          <cell r="Z2216">
            <v>4250</v>
          </cell>
          <cell r="AA2216">
            <v>0</v>
          </cell>
          <cell r="AB2216">
            <v>0</v>
          </cell>
          <cell r="AC2216">
            <v>0</v>
          </cell>
          <cell r="AD2216">
            <v>0.20899999999999999</v>
          </cell>
          <cell r="AE2216">
            <v>0</v>
          </cell>
          <cell r="AF2216">
            <v>0</v>
          </cell>
          <cell r="AG2216">
            <v>4950</v>
          </cell>
          <cell r="AH2216">
            <v>48</v>
          </cell>
          <cell r="AI2216">
            <v>0.97899999999999998</v>
          </cell>
          <cell r="AJ2216">
            <v>1</v>
          </cell>
          <cell r="AK2216">
            <v>49.02</v>
          </cell>
          <cell r="AL2216">
            <v>0</v>
          </cell>
        </row>
        <row r="2217">
          <cell r="E2217" t="str">
            <v>T8-321PZ</v>
          </cell>
          <cell r="F2217" t="str">
            <v>台</v>
          </cell>
          <cell r="G2217">
            <v>0</v>
          </cell>
          <cell r="H2217">
            <v>8330</v>
          </cell>
          <cell r="I2217">
            <v>0</v>
          </cell>
          <cell r="J2217">
            <v>8330</v>
          </cell>
          <cell r="K2217">
            <v>0</v>
          </cell>
          <cell r="L2217">
            <v>8330</v>
          </cell>
          <cell r="M2217">
            <v>0</v>
          </cell>
          <cell r="N2217">
            <v>8330</v>
          </cell>
          <cell r="O2217">
            <v>0</v>
          </cell>
          <cell r="P2217">
            <v>8330</v>
          </cell>
          <cell r="Q2217">
            <v>0</v>
          </cell>
          <cell r="R2217">
            <v>8330</v>
          </cell>
          <cell r="S2217">
            <v>0</v>
          </cell>
          <cell r="T2217">
            <v>8330</v>
          </cell>
          <cell r="U2217">
            <v>0</v>
          </cell>
          <cell r="V2217">
            <v>8330</v>
          </cell>
          <cell r="W2217">
            <v>0</v>
          </cell>
          <cell r="X2217">
            <v>8330</v>
          </cell>
          <cell r="Y2217">
            <v>0</v>
          </cell>
          <cell r="Z2217">
            <v>8330</v>
          </cell>
          <cell r="AA2217">
            <v>0</v>
          </cell>
          <cell r="AB2217">
            <v>0</v>
          </cell>
          <cell r="AC2217">
            <v>0</v>
          </cell>
          <cell r="AD2217">
            <v>0.20899999999999999</v>
          </cell>
          <cell r="AE2217">
            <v>0</v>
          </cell>
          <cell r="AF2217">
            <v>0</v>
          </cell>
          <cell r="AG2217">
            <v>4950</v>
          </cell>
          <cell r="AH2217">
            <v>48</v>
          </cell>
          <cell r="AI2217">
            <v>0.97899999999999998</v>
          </cell>
          <cell r="AJ2217">
            <v>1</v>
          </cell>
          <cell r="AK2217">
            <v>49.02</v>
          </cell>
          <cell r="AL2217">
            <v>0</v>
          </cell>
        </row>
        <row r="2218">
          <cell r="E2218" t="str">
            <v>T8-321PK</v>
          </cell>
          <cell r="F2218" t="str">
            <v>台</v>
          </cell>
          <cell r="G2218">
            <v>0</v>
          </cell>
          <cell r="H2218">
            <v>6290</v>
          </cell>
          <cell r="I2218">
            <v>0</v>
          </cell>
          <cell r="J2218">
            <v>6290</v>
          </cell>
          <cell r="K2218">
            <v>0</v>
          </cell>
          <cell r="L2218">
            <v>6290</v>
          </cell>
          <cell r="M2218">
            <v>0</v>
          </cell>
          <cell r="N2218">
            <v>6290</v>
          </cell>
          <cell r="O2218">
            <v>0</v>
          </cell>
          <cell r="P2218">
            <v>6290</v>
          </cell>
          <cell r="Q2218">
            <v>0</v>
          </cell>
          <cell r="R2218">
            <v>6290</v>
          </cell>
          <cell r="S2218">
            <v>0</v>
          </cell>
          <cell r="T2218">
            <v>6290</v>
          </cell>
          <cell r="U2218">
            <v>0</v>
          </cell>
          <cell r="V2218">
            <v>6290</v>
          </cell>
          <cell r="W2218">
            <v>0</v>
          </cell>
          <cell r="X2218">
            <v>6290</v>
          </cell>
          <cell r="Y2218">
            <v>0</v>
          </cell>
          <cell r="Z2218">
            <v>6290</v>
          </cell>
          <cell r="AA2218">
            <v>0</v>
          </cell>
          <cell r="AB2218">
            <v>0</v>
          </cell>
          <cell r="AC2218">
            <v>0</v>
          </cell>
          <cell r="AD2218">
            <v>0.20899999999999999</v>
          </cell>
          <cell r="AE2218">
            <v>0</v>
          </cell>
          <cell r="AF2218">
            <v>0</v>
          </cell>
          <cell r="AG2218">
            <v>4950</v>
          </cell>
          <cell r="AH2218">
            <v>48</v>
          </cell>
          <cell r="AI2218">
            <v>0.97899999999999998</v>
          </cell>
          <cell r="AJ2218">
            <v>1</v>
          </cell>
          <cell r="AK2218">
            <v>49.02</v>
          </cell>
          <cell r="AL2218">
            <v>0</v>
          </cell>
        </row>
        <row r="2219">
          <cell r="E2219" t="str">
            <v>T8-861PN</v>
          </cell>
          <cell r="F2219" t="str">
            <v>台</v>
          </cell>
          <cell r="G2219">
            <v>0</v>
          </cell>
          <cell r="H2219">
            <v>10000</v>
          </cell>
          <cell r="I2219">
            <v>0</v>
          </cell>
          <cell r="J2219">
            <v>10000</v>
          </cell>
          <cell r="K2219">
            <v>0</v>
          </cell>
          <cell r="L2219">
            <v>10000</v>
          </cell>
          <cell r="M2219">
            <v>0</v>
          </cell>
          <cell r="N2219">
            <v>10000</v>
          </cell>
          <cell r="O2219">
            <v>0</v>
          </cell>
          <cell r="P2219">
            <v>10000</v>
          </cell>
          <cell r="Q2219">
            <v>0</v>
          </cell>
          <cell r="R2219">
            <v>10000</v>
          </cell>
          <cell r="S2219">
            <v>0</v>
          </cell>
          <cell r="T2219">
            <v>10000</v>
          </cell>
          <cell r="U2219">
            <v>0</v>
          </cell>
          <cell r="V2219">
            <v>10000</v>
          </cell>
          <cell r="W2219">
            <v>0</v>
          </cell>
          <cell r="X2219">
            <v>10000</v>
          </cell>
          <cell r="Y2219">
            <v>0</v>
          </cell>
          <cell r="Z2219">
            <v>10000</v>
          </cell>
          <cell r="AA2219">
            <v>0</v>
          </cell>
          <cell r="AB2219">
            <v>0</v>
          </cell>
          <cell r="AC2219">
            <v>0</v>
          </cell>
          <cell r="AD2219">
            <v>0.39100000000000001</v>
          </cell>
          <cell r="AE2219">
            <v>0</v>
          </cell>
          <cell r="AF2219">
            <v>0</v>
          </cell>
          <cell r="AG2219">
            <v>9200</v>
          </cell>
          <cell r="AH2219">
            <v>89</v>
          </cell>
          <cell r="AI2219">
            <v>0.98899999999999999</v>
          </cell>
          <cell r="AJ2219">
            <v>1</v>
          </cell>
          <cell r="AK2219">
            <v>89.98</v>
          </cell>
          <cell r="AL2219">
            <v>0</v>
          </cell>
        </row>
        <row r="2220">
          <cell r="E2220" t="str">
            <v>T8RP-321PN</v>
          </cell>
          <cell r="F2220" t="str">
            <v>台</v>
          </cell>
          <cell r="G2220">
            <v>0</v>
          </cell>
          <cell r="H2220">
            <v>5060</v>
          </cell>
          <cell r="I2220">
            <v>0</v>
          </cell>
          <cell r="J2220">
            <v>5060</v>
          </cell>
          <cell r="K2220">
            <v>0</v>
          </cell>
          <cell r="L2220">
            <v>5060</v>
          </cell>
          <cell r="M2220">
            <v>0</v>
          </cell>
          <cell r="N2220">
            <v>5060</v>
          </cell>
          <cell r="O2220">
            <v>0</v>
          </cell>
          <cell r="P2220">
            <v>5060</v>
          </cell>
          <cell r="Q2220">
            <v>0</v>
          </cell>
          <cell r="R2220">
            <v>5060</v>
          </cell>
          <cell r="S2220">
            <v>0</v>
          </cell>
          <cell r="T2220">
            <v>5060</v>
          </cell>
          <cell r="U2220">
            <v>0</v>
          </cell>
          <cell r="V2220">
            <v>5060</v>
          </cell>
          <cell r="W2220">
            <v>0</v>
          </cell>
          <cell r="X2220">
            <v>5060</v>
          </cell>
          <cell r="Y2220">
            <v>0</v>
          </cell>
          <cell r="Z2220">
            <v>5060</v>
          </cell>
          <cell r="AA2220">
            <v>0</v>
          </cell>
          <cell r="AB2220">
            <v>0</v>
          </cell>
          <cell r="AC2220">
            <v>0</v>
          </cell>
          <cell r="AD2220">
            <v>0.20899999999999999</v>
          </cell>
          <cell r="AE2220">
            <v>0</v>
          </cell>
          <cell r="AF2220">
            <v>0</v>
          </cell>
          <cell r="AG2220">
            <v>4950</v>
          </cell>
          <cell r="AH2220">
            <v>48</v>
          </cell>
          <cell r="AI2220">
            <v>0.97899999999999998</v>
          </cell>
          <cell r="AJ2220">
            <v>1</v>
          </cell>
          <cell r="AK2220">
            <v>49.02</v>
          </cell>
          <cell r="AL2220">
            <v>0</v>
          </cell>
        </row>
        <row r="2221">
          <cell r="E2221" t="str">
            <v>T8RP-321PH</v>
          </cell>
          <cell r="F2221" t="str">
            <v>台</v>
          </cell>
          <cell r="G2221">
            <v>0</v>
          </cell>
          <cell r="H2221">
            <v>10800</v>
          </cell>
          <cell r="I2221">
            <v>0</v>
          </cell>
          <cell r="J2221">
            <v>10800</v>
          </cell>
          <cell r="K2221">
            <v>0</v>
          </cell>
          <cell r="L2221">
            <v>10800</v>
          </cell>
          <cell r="M2221">
            <v>0</v>
          </cell>
          <cell r="N2221">
            <v>10800</v>
          </cell>
          <cell r="O2221">
            <v>0</v>
          </cell>
          <cell r="P2221">
            <v>10800</v>
          </cell>
          <cell r="Q2221">
            <v>0</v>
          </cell>
          <cell r="R2221">
            <v>10800</v>
          </cell>
          <cell r="S2221">
            <v>0</v>
          </cell>
          <cell r="T2221">
            <v>10800</v>
          </cell>
          <cell r="U2221">
            <v>0</v>
          </cell>
          <cell r="V2221">
            <v>10800</v>
          </cell>
          <cell r="W2221">
            <v>0</v>
          </cell>
          <cell r="X2221">
            <v>10800</v>
          </cell>
          <cell r="Y2221">
            <v>0</v>
          </cell>
          <cell r="Z2221">
            <v>10800</v>
          </cell>
          <cell r="AA2221">
            <v>0</v>
          </cell>
          <cell r="AB2221">
            <v>0</v>
          </cell>
          <cell r="AC2221">
            <v>0</v>
          </cell>
          <cell r="AD2221">
            <v>0.20899999999999999</v>
          </cell>
          <cell r="AE2221">
            <v>0</v>
          </cell>
          <cell r="AF2221">
            <v>0</v>
          </cell>
          <cell r="AG2221">
            <v>4950</v>
          </cell>
          <cell r="AH2221">
            <v>48</v>
          </cell>
          <cell r="AI2221">
            <v>0.97899999999999998</v>
          </cell>
          <cell r="AJ2221">
            <v>1</v>
          </cell>
          <cell r="AK2221">
            <v>49.02</v>
          </cell>
          <cell r="AL2221">
            <v>0</v>
          </cell>
        </row>
        <row r="2222">
          <cell r="E2222" t="str">
            <v>T8RAP-321PN</v>
          </cell>
          <cell r="F2222" t="str">
            <v>台</v>
          </cell>
          <cell r="G2222">
            <v>0</v>
          </cell>
          <cell r="H2222">
            <v>11300</v>
          </cell>
          <cell r="I2222">
            <v>0</v>
          </cell>
          <cell r="J2222">
            <v>11300</v>
          </cell>
          <cell r="K2222">
            <v>0</v>
          </cell>
          <cell r="L2222">
            <v>11300</v>
          </cell>
          <cell r="M2222">
            <v>0</v>
          </cell>
          <cell r="N2222">
            <v>11300</v>
          </cell>
          <cell r="O2222">
            <v>0</v>
          </cell>
          <cell r="P2222">
            <v>11300</v>
          </cell>
          <cell r="Q2222">
            <v>0</v>
          </cell>
          <cell r="R2222">
            <v>11300</v>
          </cell>
          <cell r="S2222">
            <v>0</v>
          </cell>
          <cell r="T2222">
            <v>11300</v>
          </cell>
          <cell r="U2222">
            <v>0</v>
          </cell>
          <cell r="V2222">
            <v>11300</v>
          </cell>
          <cell r="W2222">
            <v>0</v>
          </cell>
          <cell r="X2222">
            <v>11300</v>
          </cell>
          <cell r="Y2222">
            <v>0</v>
          </cell>
          <cell r="Z2222">
            <v>11300</v>
          </cell>
          <cell r="AA2222">
            <v>0</v>
          </cell>
          <cell r="AB2222">
            <v>0</v>
          </cell>
          <cell r="AC2222">
            <v>0</v>
          </cell>
          <cell r="AD2222">
            <v>0.20899999999999999</v>
          </cell>
          <cell r="AE2222">
            <v>0</v>
          </cell>
          <cell r="AF2222">
            <v>0</v>
          </cell>
          <cell r="AG2222">
            <v>4950</v>
          </cell>
          <cell r="AH2222">
            <v>48</v>
          </cell>
          <cell r="AI2222">
            <v>0.97899999999999998</v>
          </cell>
          <cell r="AJ2222">
            <v>1</v>
          </cell>
          <cell r="AK2222">
            <v>49.02</v>
          </cell>
          <cell r="AL2222">
            <v>0</v>
          </cell>
        </row>
        <row r="2223">
          <cell r="E2223" t="str">
            <v>T8RPA-321PH</v>
          </cell>
          <cell r="F2223" t="str">
            <v>台</v>
          </cell>
          <cell r="G2223">
            <v>0</v>
          </cell>
          <cell r="H2223">
            <v>16000</v>
          </cell>
          <cell r="I2223">
            <v>0</v>
          </cell>
          <cell r="J2223">
            <v>16000</v>
          </cell>
          <cell r="K2223">
            <v>0</v>
          </cell>
          <cell r="L2223">
            <v>16000</v>
          </cell>
          <cell r="M2223">
            <v>0</v>
          </cell>
          <cell r="N2223">
            <v>16000</v>
          </cell>
          <cell r="O2223">
            <v>0</v>
          </cell>
          <cell r="P2223">
            <v>16000</v>
          </cell>
          <cell r="Q2223">
            <v>0</v>
          </cell>
          <cell r="R2223">
            <v>16000</v>
          </cell>
          <cell r="S2223">
            <v>0</v>
          </cell>
          <cell r="T2223">
            <v>16000</v>
          </cell>
          <cell r="U2223">
            <v>0</v>
          </cell>
          <cell r="V2223">
            <v>16000</v>
          </cell>
          <cell r="W2223">
            <v>0</v>
          </cell>
          <cell r="X2223">
            <v>16000</v>
          </cell>
          <cell r="Y2223">
            <v>0</v>
          </cell>
          <cell r="Z2223">
            <v>16000</v>
          </cell>
          <cell r="AA2223">
            <v>0</v>
          </cell>
          <cell r="AB2223">
            <v>0</v>
          </cell>
          <cell r="AC2223">
            <v>0</v>
          </cell>
          <cell r="AD2223">
            <v>0.20899999999999999</v>
          </cell>
          <cell r="AE2223">
            <v>0</v>
          </cell>
          <cell r="AF2223">
            <v>0</v>
          </cell>
          <cell r="AG2223">
            <v>4950</v>
          </cell>
          <cell r="AH2223">
            <v>48</v>
          </cell>
          <cell r="AI2223">
            <v>0.97899999999999998</v>
          </cell>
          <cell r="AJ2223">
            <v>1</v>
          </cell>
          <cell r="AK2223">
            <v>49.02</v>
          </cell>
          <cell r="AL2223">
            <v>0</v>
          </cell>
        </row>
        <row r="2224">
          <cell r="E2224" t="str">
            <v>T8BPB-321PN</v>
          </cell>
          <cell r="F2224" t="str">
            <v>台</v>
          </cell>
          <cell r="G2224">
            <v>0</v>
          </cell>
          <cell r="H2224">
            <v>11300</v>
          </cell>
          <cell r="I2224">
            <v>0</v>
          </cell>
          <cell r="J2224">
            <v>11300</v>
          </cell>
          <cell r="K2224">
            <v>0</v>
          </cell>
          <cell r="L2224">
            <v>11300</v>
          </cell>
          <cell r="M2224">
            <v>0</v>
          </cell>
          <cell r="N2224">
            <v>11300</v>
          </cell>
          <cell r="O2224">
            <v>0</v>
          </cell>
          <cell r="P2224">
            <v>11300</v>
          </cell>
          <cell r="Q2224">
            <v>0</v>
          </cell>
          <cell r="R2224">
            <v>11300</v>
          </cell>
          <cell r="S2224">
            <v>0</v>
          </cell>
          <cell r="T2224">
            <v>11300</v>
          </cell>
          <cell r="U2224">
            <v>0</v>
          </cell>
          <cell r="V2224">
            <v>11300</v>
          </cell>
          <cell r="W2224">
            <v>0</v>
          </cell>
          <cell r="X2224">
            <v>11300</v>
          </cell>
          <cell r="Y2224">
            <v>0</v>
          </cell>
          <cell r="Z2224">
            <v>11300</v>
          </cell>
          <cell r="AA2224">
            <v>0</v>
          </cell>
          <cell r="AB2224">
            <v>0</v>
          </cell>
          <cell r="AC2224">
            <v>0</v>
          </cell>
          <cell r="AD2224">
            <v>0.20899999999999999</v>
          </cell>
          <cell r="AE2224">
            <v>0</v>
          </cell>
          <cell r="AF2224">
            <v>0</v>
          </cell>
          <cell r="AG2224">
            <v>4950</v>
          </cell>
          <cell r="AH2224">
            <v>48</v>
          </cell>
          <cell r="AI2224">
            <v>0.97899999999999998</v>
          </cell>
          <cell r="AJ2224">
            <v>1</v>
          </cell>
          <cell r="AK2224">
            <v>49.02</v>
          </cell>
          <cell r="AL2224">
            <v>0</v>
          </cell>
        </row>
        <row r="2225">
          <cell r="E2225" t="str">
            <v>T8RPB-321PH</v>
          </cell>
          <cell r="F2225" t="str">
            <v>台</v>
          </cell>
          <cell r="G2225">
            <v>0</v>
          </cell>
          <cell r="H2225">
            <v>16000</v>
          </cell>
          <cell r="I2225">
            <v>0</v>
          </cell>
          <cell r="J2225">
            <v>16000</v>
          </cell>
          <cell r="K2225">
            <v>0</v>
          </cell>
          <cell r="L2225">
            <v>16000</v>
          </cell>
          <cell r="M2225">
            <v>0</v>
          </cell>
          <cell r="N2225">
            <v>16000</v>
          </cell>
          <cell r="O2225">
            <v>0</v>
          </cell>
          <cell r="P2225">
            <v>16000</v>
          </cell>
          <cell r="Q2225">
            <v>0</v>
          </cell>
          <cell r="R2225">
            <v>16000</v>
          </cell>
          <cell r="S2225">
            <v>0</v>
          </cell>
          <cell r="T2225">
            <v>16000</v>
          </cell>
          <cell r="U2225">
            <v>0</v>
          </cell>
          <cell r="V2225">
            <v>16000</v>
          </cell>
          <cell r="W2225">
            <v>0</v>
          </cell>
          <cell r="X2225">
            <v>16000</v>
          </cell>
          <cell r="Y2225">
            <v>0</v>
          </cell>
          <cell r="Z2225">
            <v>16000</v>
          </cell>
          <cell r="AA2225">
            <v>0</v>
          </cell>
          <cell r="AB2225">
            <v>0</v>
          </cell>
          <cell r="AC2225">
            <v>0</v>
          </cell>
          <cell r="AD2225">
            <v>0.20899999999999999</v>
          </cell>
          <cell r="AE2225">
            <v>0</v>
          </cell>
          <cell r="AF2225">
            <v>0</v>
          </cell>
          <cell r="AG2225">
            <v>4950</v>
          </cell>
          <cell r="AH2225">
            <v>48</v>
          </cell>
          <cell r="AI2225">
            <v>0.97899999999999998</v>
          </cell>
          <cell r="AJ2225">
            <v>1</v>
          </cell>
          <cell r="AK2225">
            <v>49.02</v>
          </cell>
          <cell r="AL2225">
            <v>0</v>
          </cell>
        </row>
        <row r="2226">
          <cell r="E2226" t="str">
            <v>■Ｈｆ逆富士</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row>
        <row r="2227">
          <cell r="E2227" t="str">
            <v>V9-161PH</v>
          </cell>
          <cell r="F2227" t="str">
            <v>台</v>
          </cell>
          <cell r="G2227">
            <v>0</v>
          </cell>
          <cell r="H2227">
            <v>4350</v>
          </cell>
          <cell r="I2227">
            <v>0</v>
          </cell>
          <cell r="J2227">
            <v>4350</v>
          </cell>
          <cell r="K2227">
            <v>0</v>
          </cell>
          <cell r="L2227">
            <v>4350</v>
          </cell>
          <cell r="M2227">
            <v>0</v>
          </cell>
          <cell r="N2227">
            <v>4350</v>
          </cell>
          <cell r="O2227">
            <v>0</v>
          </cell>
          <cell r="P2227">
            <v>4350</v>
          </cell>
          <cell r="Q2227">
            <v>0</v>
          </cell>
          <cell r="R2227">
            <v>4350</v>
          </cell>
          <cell r="S2227">
            <v>0</v>
          </cell>
          <cell r="T2227">
            <v>4350</v>
          </cell>
          <cell r="U2227">
            <v>0</v>
          </cell>
          <cell r="V2227">
            <v>4350</v>
          </cell>
          <cell r="W2227">
            <v>0</v>
          </cell>
          <cell r="X2227">
            <v>4350</v>
          </cell>
          <cell r="Y2227">
            <v>0</v>
          </cell>
          <cell r="Z2227">
            <v>4350</v>
          </cell>
          <cell r="AA2227">
            <v>0</v>
          </cell>
          <cell r="AB2227">
            <v>0</v>
          </cell>
          <cell r="AC2227">
            <v>0</v>
          </cell>
          <cell r="AD2227">
            <v>0.13</v>
          </cell>
          <cell r="AE2227">
            <v>0</v>
          </cell>
          <cell r="AF2227">
            <v>0</v>
          </cell>
          <cell r="AG2227">
            <v>2100</v>
          </cell>
          <cell r="AH2227">
            <v>26</v>
          </cell>
          <cell r="AI2227">
            <v>0.96299999999999997</v>
          </cell>
          <cell r="AJ2227">
            <v>1</v>
          </cell>
          <cell r="AK2227">
            <v>26.99</v>
          </cell>
          <cell r="AL2227">
            <v>0</v>
          </cell>
        </row>
        <row r="2228">
          <cell r="E2228" t="str">
            <v>V9-162PH</v>
          </cell>
          <cell r="F2228" t="str">
            <v>台</v>
          </cell>
          <cell r="G2228">
            <v>0</v>
          </cell>
          <cell r="H2228">
            <v>6630</v>
          </cell>
          <cell r="I2228">
            <v>0</v>
          </cell>
          <cell r="J2228">
            <v>6630</v>
          </cell>
          <cell r="K2228">
            <v>0</v>
          </cell>
          <cell r="L2228">
            <v>6630</v>
          </cell>
          <cell r="M2228">
            <v>0</v>
          </cell>
          <cell r="N2228">
            <v>6630</v>
          </cell>
          <cell r="O2228">
            <v>0</v>
          </cell>
          <cell r="P2228">
            <v>6630</v>
          </cell>
          <cell r="Q2228">
            <v>0</v>
          </cell>
          <cell r="R2228">
            <v>6630</v>
          </cell>
          <cell r="S2228">
            <v>0</v>
          </cell>
          <cell r="T2228">
            <v>6630</v>
          </cell>
          <cell r="U2228">
            <v>0</v>
          </cell>
          <cell r="V2228">
            <v>6630</v>
          </cell>
          <cell r="W2228">
            <v>0</v>
          </cell>
          <cell r="X2228">
            <v>6630</v>
          </cell>
          <cell r="Y2228">
            <v>0</v>
          </cell>
          <cell r="Z2228">
            <v>6630</v>
          </cell>
          <cell r="AA2228">
            <v>0</v>
          </cell>
          <cell r="AB2228">
            <v>0</v>
          </cell>
          <cell r="AC2228">
            <v>0</v>
          </cell>
          <cell r="AD2228">
            <v>0.16500000000000001</v>
          </cell>
          <cell r="AE2228">
            <v>0</v>
          </cell>
          <cell r="AF2228">
            <v>0</v>
          </cell>
          <cell r="AG2228">
            <v>4200</v>
          </cell>
          <cell r="AH2228">
            <v>50</v>
          </cell>
          <cell r="AI2228">
            <v>0.98</v>
          </cell>
          <cell r="AJ2228">
            <v>1</v>
          </cell>
          <cell r="AK2228">
            <v>51.02</v>
          </cell>
          <cell r="AL2228">
            <v>0</v>
          </cell>
        </row>
        <row r="2229">
          <cell r="E2229" t="str">
            <v>V9-162PX</v>
          </cell>
          <cell r="F2229" t="str">
            <v>台</v>
          </cell>
          <cell r="G2229">
            <v>0</v>
          </cell>
          <cell r="H2229">
            <v>7710</v>
          </cell>
          <cell r="I2229">
            <v>0</v>
          </cell>
          <cell r="J2229">
            <v>7710</v>
          </cell>
          <cell r="K2229">
            <v>0</v>
          </cell>
          <cell r="L2229">
            <v>7710</v>
          </cell>
          <cell r="M2229">
            <v>0</v>
          </cell>
          <cell r="N2229">
            <v>7710</v>
          </cell>
          <cell r="O2229">
            <v>0</v>
          </cell>
          <cell r="P2229">
            <v>7710</v>
          </cell>
          <cell r="Q2229">
            <v>0</v>
          </cell>
          <cell r="R2229">
            <v>7710</v>
          </cell>
          <cell r="S2229">
            <v>0</v>
          </cell>
          <cell r="T2229">
            <v>7710</v>
          </cell>
          <cell r="U2229">
            <v>0</v>
          </cell>
          <cell r="V2229">
            <v>7710</v>
          </cell>
          <cell r="W2229">
            <v>0</v>
          </cell>
          <cell r="X2229">
            <v>7710</v>
          </cell>
          <cell r="Y2229">
            <v>0</v>
          </cell>
          <cell r="Z2229">
            <v>7710</v>
          </cell>
          <cell r="AA2229">
            <v>0</v>
          </cell>
          <cell r="AB2229">
            <v>0</v>
          </cell>
          <cell r="AC2229">
            <v>0</v>
          </cell>
          <cell r="AD2229">
            <v>0.16500000000000001</v>
          </cell>
          <cell r="AE2229">
            <v>0</v>
          </cell>
          <cell r="AF2229">
            <v>0</v>
          </cell>
          <cell r="AG2229">
            <v>4200</v>
          </cell>
          <cell r="AH2229">
            <v>50</v>
          </cell>
          <cell r="AI2229">
            <v>0.98</v>
          </cell>
          <cell r="AJ2229">
            <v>1</v>
          </cell>
          <cell r="AK2229">
            <v>51.02</v>
          </cell>
          <cell r="AL2229">
            <v>0</v>
          </cell>
        </row>
        <row r="2230">
          <cell r="E2230" t="str">
            <v>V9-321PN</v>
          </cell>
          <cell r="F2230" t="str">
            <v>台</v>
          </cell>
          <cell r="G2230">
            <v>0</v>
          </cell>
          <cell r="H2230">
            <v>3600</v>
          </cell>
          <cell r="I2230">
            <v>0</v>
          </cell>
          <cell r="J2230">
            <v>3600</v>
          </cell>
          <cell r="K2230">
            <v>0</v>
          </cell>
          <cell r="L2230">
            <v>3600</v>
          </cell>
          <cell r="M2230">
            <v>0</v>
          </cell>
          <cell r="N2230">
            <v>3600</v>
          </cell>
          <cell r="O2230">
            <v>0</v>
          </cell>
          <cell r="P2230">
            <v>3600</v>
          </cell>
          <cell r="Q2230">
            <v>0</v>
          </cell>
          <cell r="R2230">
            <v>3600</v>
          </cell>
          <cell r="S2230">
            <v>0</v>
          </cell>
          <cell r="T2230">
            <v>3600</v>
          </cell>
          <cell r="U2230">
            <v>0</v>
          </cell>
          <cell r="V2230">
            <v>3600</v>
          </cell>
          <cell r="W2230">
            <v>0</v>
          </cell>
          <cell r="X2230">
            <v>3600</v>
          </cell>
          <cell r="Y2230">
            <v>0</v>
          </cell>
          <cell r="Z2230">
            <v>3600</v>
          </cell>
          <cell r="AA2230">
            <v>0</v>
          </cell>
          <cell r="AB2230">
            <v>0</v>
          </cell>
          <cell r="AC2230">
            <v>0</v>
          </cell>
          <cell r="AD2230">
            <v>0.20899999999999999</v>
          </cell>
          <cell r="AE2230">
            <v>0</v>
          </cell>
          <cell r="AF2230">
            <v>0</v>
          </cell>
          <cell r="AG2230">
            <v>4950</v>
          </cell>
          <cell r="AH2230">
            <v>48</v>
          </cell>
          <cell r="AI2230">
            <v>0.97899999999999998</v>
          </cell>
          <cell r="AJ2230">
            <v>1</v>
          </cell>
          <cell r="AK2230">
            <v>49.02</v>
          </cell>
          <cell r="AL2230">
            <v>0</v>
          </cell>
        </row>
        <row r="2231">
          <cell r="E2231" t="str">
            <v>V9-321PH</v>
          </cell>
          <cell r="F2231" t="str">
            <v>台</v>
          </cell>
          <cell r="G2231">
            <v>0</v>
          </cell>
          <cell r="H2231">
            <v>4450</v>
          </cell>
          <cell r="I2231">
            <v>0</v>
          </cell>
          <cell r="J2231">
            <v>4450</v>
          </cell>
          <cell r="K2231">
            <v>0</v>
          </cell>
          <cell r="L2231">
            <v>4450</v>
          </cell>
          <cell r="M2231">
            <v>0</v>
          </cell>
          <cell r="N2231">
            <v>4450</v>
          </cell>
          <cell r="O2231">
            <v>0</v>
          </cell>
          <cell r="P2231">
            <v>4450</v>
          </cell>
          <cell r="Q2231">
            <v>0</v>
          </cell>
          <cell r="R2231">
            <v>4450</v>
          </cell>
          <cell r="S2231">
            <v>0</v>
          </cell>
          <cell r="T2231">
            <v>4450</v>
          </cell>
          <cell r="U2231">
            <v>0</v>
          </cell>
          <cell r="V2231">
            <v>4450</v>
          </cell>
          <cell r="W2231">
            <v>0</v>
          </cell>
          <cell r="X2231">
            <v>4450</v>
          </cell>
          <cell r="Y2231">
            <v>0</v>
          </cell>
          <cell r="Z2231">
            <v>4450</v>
          </cell>
          <cell r="AA2231">
            <v>0</v>
          </cell>
          <cell r="AB2231">
            <v>0</v>
          </cell>
          <cell r="AC2231">
            <v>0</v>
          </cell>
          <cell r="AD2231">
            <v>0.20899999999999999</v>
          </cell>
          <cell r="AE2231">
            <v>0</v>
          </cell>
          <cell r="AF2231">
            <v>0</v>
          </cell>
          <cell r="AG2231">
            <v>4950</v>
          </cell>
          <cell r="AH2231">
            <v>48</v>
          </cell>
          <cell r="AI2231">
            <v>0.97899999999999998</v>
          </cell>
          <cell r="AJ2231">
            <v>1</v>
          </cell>
          <cell r="AK2231">
            <v>49.02</v>
          </cell>
          <cell r="AL2231">
            <v>0</v>
          </cell>
        </row>
        <row r="2232">
          <cell r="E2232" t="str">
            <v>V9-321PX</v>
          </cell>
          <cell r="F2232" t="str">
            <v>台</v>
          </cell>
          <cell r="G2232">
            <v>0</v>
          </cell>
          <cell r="H2232">
            <v>6490</v>
          </cell>
          <cell r="I2232">
            <v>0</v>
          </cell>
          <cell r="J2232">
            <v>6490</v>
          </cell>
          <cell r="K2232">
            <v>0</v>
          </cell>
          <cell r="L2232">
            <v>6490</v>
          </cell>
          <cell r="M2232">
            <v>0</v>
          </cell>
          <cell r="N2232">
            <v>6490</v>
          </cell>
          <cell r="O2232">
            <v>0</v>
          </cell>
          <cell r="P2232">
            <v>6490</v>
          </cell>
          <cell r="Q2232">
            <v>0</v>
          </cell>
          <cell r="R2232">
            <v>6490</v>
          </cell>
          <cell r="S2232">
            <v>0</v>
          </cell>
          <cell r="T2232">
            <v>6490</v>
          </cell>
          <cell r="U2232">
            <v>0</v>
          </cell>
          <cell r="V2232">
            <v>6490</v>
          </cell>
          <cell r="W2232">
            <v>0</v>
          </cell>
          <cell r="X2232">
            <v>6490</v>
          </cell>
          <cell r="Y2232">
            <v>0</v>
          </cell>
          <cell r="Z2232">
            <v>6490</v>
          </cell>
          <cell r="AA2232">
            <v>0</v>
          </cell>
          <cell r="AB2232">
            <v>0</v>
          </cell>
          <cell r="AC2232">
            <v>0</v>
          </cell>
          <cell r="AD2232">
            <v>0.20899999999999999</v>
          </cell>
          <cell r="AE2232">
            <v>0</v>
          </cell>
          <cell r="AF2232">
            <v>0</v>
          </cell>
          <cell r="AG2232">
            <v>4950</v>
          </cell>
          <cell r="AH2232">
            <v>48</v>
          </cell>
          <cell r="AI2232">
            <v>0.97899999999999998</v>
          </cell>
          <cell r="AJ2232">
            <v>1</v>
          </cell>
          <cell r="AK2232">
            <v>49.02</v>
          </cell>
          <cell r="AL2232">
            <v>0</v>
          </cell>
        </row>
        <row r="2233">
          <cell r="E2233" t="str">
            <v>V9-321PK</v>
          </cell>
          <cell r="F2233" t="str">
            <v>台</v>
          </cell>
          <cell r="G2233">
            <v>0</v>
          </cell>
          <cell r="H2233">
            <v>6490</v>
          </cell>
          <cell r="I2233">
            <v>0</v>
          </cell>
          <cell r="J2233">
            <v>6490</v>
          </cell>
          <cell r="K2233">
            <v>0</v>
          </cell>
          <cell r="L2233">
            <v>6490</v>
          </cell>
          <cell r="M2233">
            <v>0</v>
          </cell>
          <cell r="N2233">
            <v>6490</v>
          </cell>
          <cell r="O2233">
            <v>0</v>
          </cell>
          <cell r="P2233">
            <v>6490</v>
          </cell>
          <cell r="Q2233">
            <v>0</v>
          </cell>
          <cell r="R2233">
            <v>6490</v>
          </cell>
          <cell r="S2233">
            <v>0</v>
          </cell>
          <cell r="T2233">
            <v>6490</v>
          </cell>
          <cell r="U2233">
            <v>0</v>
          </cell>
          <cell r="V2233">
            <v>6490</v>
          </cell>
          <cell r="W2233">
            <v>0</v>
          </cell>
          <cell r="X2233">
            <v>6490</v>
          </cell>
          <cell r="Y2233">
            <v>0</v>
          </cell>
          <cell r="Z2233">
            <v>6490</v>
          </cell>
          <cell r="AA2233">
            <v>0</v>
          </cell>
          <cell r="AB2233">
            <v>0</v>
          </cell>
          <cell r="AC2233">
            <v>0</v>
          </cell>
          <cell r="AD2233">
            <v>0.20899999999999999</v>
          </cell>
          <cell r="AE2233">
            <v>0</v>
          </cell>
          <cell r="AF2233">
            <v>0</v>
          </cell>
          <cell r="AG2233">
            <v>4950</v>
          </cell>
          <cell r="AH2233">
            <v>48</v>
          </cell>
          <cell r="AI2233">
            <v>0.97899999999999998</v>
          </cell>
          <cell r="AJ2233">
            <v>1</v>
          </cell>
          <cell r="AK2233">
            <v>49.02</v>
          </cell>
          <cell r="AL2233">
            <v>0</v>
          </cell>
        </row>
        <row r="2234">
          <cell r="E2234" t="str">
            <v>V9-322PN</v>
          </cell>
          <cell r="F2234" t="str">
            <v>台</v>
          </cell>
          <cell r="G2234">
            <v>0</v>
          </cell>
          <cell r="H2234">
            <v>5400</v>
          </cell>
          <cell r="I2234">
            <v>0</v>
          </cell>
          <cell r="J2234">
            <v>5400</v>
          </cell>
          <cell r="K2234">
            <v>0</v>
          </cell>
          <cell r="L2234">
            <v>5400</v>
          </cell>
          <cell r="M2234">
            <v>0</v>
          </cell>
          <cell r="N2234">
            <v>5400</v>
          </cell>
          <cell r="O2234">
            <v>0</v>
          </cell>
          <cell r="P2234">
            <v>5400</v>
          </cell>
          <cell r="Q2234">
            <v>0</v>
          </cell>
          <cell r="R2234">
            <v>5400</v>
          </cell>
          <cell r="S2234">
            <v>0</v>
          </cell>
          <cell r="T2234">
            <v>5400</v>
          </cell>
          <cell r="U2234">
            <v>0</v>
          </cell>
          <cell r="V2234">
            <v>5400</v>
          </cell>
          <cell r="W2234">
            <v>0</v>
          </cell>
          <cell r="X2234">
            <v>5400</v>
          </cell>
          <cell r="Y2234">
            <v>0</v>
          </cell>
          <cell r="Z2234">
            <v>5400</v>
          </cell>
          <cell r="AA2234">
            <v>0</v>
          </cell>
          <cell r="AB2234">
            <v>0</v>
          </cell>
          <cell r="AC2234">
            <v>0</v>
          </cell>
          <cell r="AD2234">
            <v>0.26100000000000001</v>
          </cell>
          <cell r="AE2234">
            <v>0</v>
          </cell>
          <cell r="AF2234">
            <v>0</v>
          </cell>
          <cell r="AG2234">
            <v>9900</v>
          </cell>
          <cell r="AH2234">
            <v>96</v>
          </cell>
          <cell r="AI2234">
            <v>0.98899999999999999</v>
          </cell>
          <cell r="AJ2234">
            <v>1</v>
          </cell>
          <cell r="AK2234">
            <v>97.06</v>
          </cell>
          <cell r="AL2234">
            <v>0</v>
          </cell>
        </row>
        <row r="2235">
          <cell r="E2235" t="str">
            <v>V9-322PH</v>
          </cell>
          <cell r="F2235" t="str">
            <v>台</v>
          </cell>
          <cell r="G2235">
            <v>0</v>
          </cell>
          <cell r="H2235">
            <v>6760</v>
          </cell>
          <cell r="I2235">
            <v>0</v>
          </cell>
          <cell r="J2235">
            <v>6760</v>
          </cell>
          <cell r="K2235">
            <v>0</v>
          </cell>
          <cell r="L2235">
            <v>6760</v>
          </cell>
          <cell r="M2235">
            <v>0</v>
          </cell>
          <cell r="N2235">
            <v>6760</v>
          </cell>
          <cell r="O2235">
            <v>0</v>
          </cell>
          <cell r="P2235">
            <v>6760</v>
          </cell>
          <cell r="Q2235">
            <v>0</v>
          </cell>
          <cell r="R2235">
            <v>6760</v>
          </cell>
          <cell r="S2235">
            <v>0</v>
          </cell>
          <cell r="T2235">
            <v>6760</v>
          </cell>
          <cell r="U2235">
            <v>0</v>
          </cell>
          <cell r="V2235">
            <v>6760</v>
          </cell>
          <cell r="W2235">
            <v>0</v>
          </cell>
          <cell r="X2235">
            <v>6760</v>
          </cell>
          <cell r="Y2235">
            <v>0</v>
          </cell>
          <cell r="Z2235">
            <v>6760</v>
          </cell>
          <cell r="AA2235">
            <v>0</v>
          </cell>
          <cell r="AB2235">
            <v>0</v>
          </cell>
          <cell r="AC2235">
            <v>0</v>
          </cell>
          <cell r="AD2235">
            <v>0.26100000000000001</v>
          </cell>
          <cell r="AE2235">
            <v>0</v>
          </cell>
          <cell r="AF2235">
            <v>0</v>
          </cell>
          <cell r="AG2235">
            <v>9900</v>
          </cell>
          <cell r="AH2235">
            <v>96</v>
          </cell>
          <cell r="AI2235">
            <v>0.98899999999999999</v>
          </cell>
          <cell r="AJ2235">
            <v>1</v>
          </cell>
          <cell r="AK2235">
            <v>97.06</v>
          </cell>
          <cell r="AL2235">
            <v>0</v>
          </cell>
        </row>
        <row r="2236">
          <cell r="E2236" t="str">
            <v>V9-322PX</v>
          </cell>
          <cell r="F2236" t="str">
            <v>台</v>
          </cell>
          <cell r="G2236">
            <v>0</v>
          </cell>
          <cell r="H2236">
            <v>7780</v>
          </cell>
          <cell r="I2236">
            <v>0</v>
          </cell>
          <cell r="J2236">
            <v>7780</v>
          </cell>
          <cell r="K2236">
            <v>0</v>
          </cell>
          <cell r="L2236">
            <v>7780</v>
          </cell>
          <cell r="M2236">
            <v>0</v>
          </cell>
          <cell r="N2236">
            <v>7780</v>
          </cell>
          <cell r="O2236">
            <v>0</v>
          </cell>
          <cell r="P2236">
            <v>7780</v>
          </cell>
          <cell r="Q2236">
            <v>0</v>
          </cell>
          <cell r="R2236">
            <v>7780</v>
          </cell>
          <cell r="S2236">
            <v>0</v>
          </cell>
          <cell r="T2236">
            <v>7780</v>
          </cell>
          <cell r="U2236">
            <v>0</v>
          </cell>
          <cell r="V2236">
            <v>7780</v>
          </cell>
          <cell r="W2236">
            <v>0</v>
          </cell>
          <cell r="X2236">
            <v>7780</v>
          </cell>
          <cell r="Y2236">
            <v>0</v>
          </cell>
          <cell r="Z2236">
            <v>7780</v>
          </cell>
          <cell r="AA2236">
            <v>0</v>
          </cell>
          <cell r="AB2236">
            <v>0</v>
          </cell>
          <cell r="AC2236">
            <v>0</v>
          </cell>
          <cell r="AD2236">
            <v>0.26100000000000001</v>
          </cell>
          <cell r="AE2236">
            <v>0</v>
          </cell>
          <cell r="AF2236">
            <v>0</v>
          </cell>
          <cell r="AG2236">
            <v>9900</v>
          </cell>
          <cell r="AH2236">
            <v>96</v>
          </cell>
          <cell r="AI2236">
            <v>0.98899999999999999</v>
          </cell>
          <cell r="AJ2236">
            <v>1</v>
          </cell>
          <cell r="AK2236">
            <v>97.06</v>
          </cell>
          <cell r="AL2236">
            <v>0</v>
          </cell>
        </row>
        <row r="2237">
          <cell r="E2237" t="str">
            <v>V9-322PK</v>
          </cell>
          <cell r="F2237" t="str">
            <v>台</v>
          </cell>
          <cell r="G2237">
            <v>0</v>
          </cell>
          <cell r="H2237">
            <v>7780</v>
          </cell>
          <cell r="I2237">
            <v>0</v>
          </cell>
          <cell r="J2237">
            <v>7780</v>
          </cell>
          <cell r="K2237">
            <v>0</v>
          </cell>
          <cell r="L2237">
            <v>7780</v>
          </cell>
          <cell r="M2237">
            <v>0</v>
          </cell>
          <cell r="N2237">
            <v>7780</v>
          </cell>
          <cell r="O2237">
            <v>0</v>
          </cell>
          <cell r="P2237">
            <v>7780</v>
          </cell>
          <cell r="Q2237">
            <v>0</v>
          </cell>
          <cell r="R2237">
            <v>7780</v>
          </cell>
          <cell r="S2237">
            <v>0</v>
          </cell>
          <cell r="T2237">
            <v>7780</v>
          </cell>
          <cell r="U2237">
            <v>0</v>
          </cell>
          <cell r="V2237">
            <v>7780</v>
          </cell>
          <cell r="W2237">
            <v>0</v>
          </cell>
          <cell r="X2237">
            <v>7780</v>
          </cell>
          <cell r="Y2237">
            <v>0</v>
          </cell>
          <cell r="Z2237">
            <v>7780</v>
          </cell>
          <cell r="AA2237">
            <v>0</v>
          </cell>
          <cell r="AB2237">
            <v>0</v>
          </cell>
          <cell r="AC2237">
            <v>0</v>
          </cell>
          <cell r="AD2237">
            <v>0.26100000000000001</v>
          </cell>
          <cell r="AE2237">
            <v>0</v>
          </cell>
          <cell r="AF2237">
            <v>0</v>
          </cell>
          <cell r="AG2237">
            <v>9900</v>
          </cell>
          <cell r="AH2237">
            <v>96</v>
          </cell>
          <cell r="AI2237">
            <v>0.98899999999999999</v>
          </cell>
          <cell r="AJ2237">
            <v>1</v>
          </cell>
          <cell r="AK2237">
            <v>97.06</v>
          </cell>
          <cell r="AL2237">
            <v>0</v>
          </cell>
        </row>
        <row r="2238">
          <cell r="E2238" t="str">
            <v>V9MP-321PN</v>
          </cell>
          <cell r="F2238" t="str">
            <v>台</v>
          </cell>
          <cell r="G2238">
            <v>0</v>
          </cell>
          <cell r="H2238">
            <v>6730</v>
          </cell>
          <cell r="I2238">
            <v>0</v>
          </cell>
          <cell r="J2238">
            <v>6730</v>
          </cell>
          <cell r="K2238">
            <v>0</v>
          </cell>
          <cell r="L2238">
            <v>6730</v>
          </cell>
          <cell r="M2238">
            <v>0</v>
          </cell>
          <cell r="N2238">
            <v>6730</v>
          </cell>
          <cell r="O2238">
            <v>0</v>
          </cell>
          <cell r="P2238">
            <v>6730</v>
          </cell>
          <cell r="Q2238">
            <v>0</v>
          </cell>
          <cell r="R2238">
            <v>6730</v>
          </cell>
          <cell r="S2238">
            <v>0</v>
          </cell>
          <cell r="T2238">
            <v>6730</v>
          </cell>
          <cell r="U2238">
            <v>0</v>
          </cell>
          <cell r="V2238">
            <v>6730</v>
          </cell>
          <cell r="W2238">
            <v>0</v>
          </cell>
          <cell r="X2238">
            <v>6730</v>
          </cell>
          <cell r="Y2238">
            <v>0</v>
          </cell>
          <cell r="Z2238">
            <v>6730</v>
          </cell>
          <cell r="AA2238">
            <v>0</v>
          </cell>
          <cell r="AB2238">
            <v>0</v>
          </cell>
          <cell r="AC2238">
            <v>0</v>
          </cell>
          <cell r="AD2238">
            <v>0.20899999999999999</v>
          </cell>
          <cell r="AE2238">
            <v>0</v>
          </cell>
          <cell r="AF2238">
            <v>0</v>
          </cell>
          <cell r="AG2238">
            <v>4950</v>
          </cell>
          <cell r="AH2238">
            <v>48</v>
          </cell>
          <cell r="AI2238">
            <v>0.97899999999999998</v>
          </cell>
          <cell r="AJ2238">
            <v>1</v>
          </cell>
          <cell r="AK2238">
            <v>49.02</v>
          </cell>
          <cell r="AL2238">
            <v>0</v>
          </cell>
        </row>
        <row r="2239">
          <cell r="E2239" t="str">
            <v>V9MP-321PH</v>
          </cell>
          <cell r="F2239" t="str">
            <v>台</v>
          </cell>
          <cell r="G2239">
            <v>0</v>
          </cell>
          <cell r="H2239">
            <v>10300</v>
          </cell>
          <cell r="I2239">
            <v>0</v>
          </cell>
          <cell r="J2239">
            <v>10300</v>
          </cell>
          <cell r="K2239">
            <v>0</v>
          </cell>
          <cell r="L2239">
            <v>10300</v>
          </cell>
          <cell r="M2239">
            <v>0</v>
          </cell>
          <cell r="N2239">
            <v>10300</v>
          </cell>
          <cell r="O2239">
            <v>0</v>
          </cell>
          <cell r="P2239">
            <v>10300</v>
          </cell>
          <cell r="Q2239">
            <v>0</v>
          </cell>
          <cell r="R2239">
            <v>10300</v>
          </cell>
          <cell r="S2239">
            <v>0</v>
          </cell>
          <cell r="T2239">
            <v>10300</v>
          </cell>
          <cell r="U2239">
            <v>0</v>
          </cell>
          <cell r="V2239">
            <v>10300</v>
          </cell>
          <cell r="W2239">
            <v>0</v>
          </cell>
          <cell r="X2239">
            <v>10300</v>
          </cell>
          <cell r="Y2239">
            <v>0</v>
          </cell>
          <cell r="Z2239">
            <v>10300</v>
          </cell>
          <cell r="AA2239">
            <v>0</v>
          </cell>
          <cell r="AB2239">
            <v>0</v>
          </cell>
          <cell r="AC2239">
            <v>0</v>
          </cell>
          <cell r="AD2239">
            <v>0.20899999999999999</v>
          </cell>
          <cell r="AE2239">
            <v>0</v>
          </cell>
          <cell r="AF2239">
            <v>0</v>
          </cell>
          <cell r="AG2239">
            <v>4950</v>
          </cell>
          <cell r="AH2239">
            <v>48</v>
          </cell>
          <cell r="AI2239">
            <v>0.97899999999999998</v>
          </cell>
          <cell r="AJ2239">
            <v>1</v>
          </cell>
          <cell r="AK2239">
            <v>49.02</v>
          </cell>
          <cell r="AL2239">
            <v>0</v>
          </cell>
        </row>
        <row r="2240">
          <cell r="E2240" t="str">
            <v>V9MP-322PN</v>
          </cell>
          <cell r="F2240" t="str">
            <v>台</v>
          </cell>
          <cell r="G2240">
            <v>0</v>
          </cell>
          <cell r="H2240">
            <v>9210</v>
          </cell>
          <cell r="I2240">
            <v>0</v>
          </cell>
          <cell r="J2240">
            <v>9210</v>
          </cell>
          <cell r="K2240">
            <v>0</v>
          </cell>
          <cell r="L2240">
            <v>9210</v>
          </cell>
          <cell r="M2240">
            <v>0</v>
          </cell>
          <cell r="N2240">
            <v>9210</v>
          </cell>
          <cell r="O2240">
            <v>0</v>
          </cell>
          <cell r="P2240">
            <v>9210</v>
          </cell>
          <cell r="Q2240">
            <v>0</v>
          </cell>
          <cell r="R2240">
            <v>9210</v>
          </cell>
          <cell r="S2240">
            <v>0</v>
          </cell>
          <cell r="T2240">
            <v>9210</v>
          </cell>
          <cell r="U2240">
            <v>0</v>
          </cell>
          <cell r="V2240">
            <v>9210</v>
          </cell>
          <cell r="W2240">
            <v>0</v>
          </cell>
          <cell r="X2240">
            <v>9210</v>
          </cell>
          <cell r="Y2240">
            <v>0</v>
          </cell>
          <cell r="Z2240">
            <v>9210</v>
          </cell>
          <cell r="AA2240">
            <v>0</v>
          </cell>
          <cell r="AB2240">
            <v>0</v>
          </cell>
          <cell r="AC2240">
            <v>0</v>
          </cell>
          <cell r="AD2240">
            <v>0.26100000000000001</v>
          </cell>
          <cell r="AE2240">
            <v>0</v>
          </cell>
          <cell r="AF2240">
            <v>0</v>
          </cell>
          <cell r="AG2240">
            <v>9900</v>
          </cell>
          <cell r="AH2240">
            <v>96</v>
          </cell>
          <cell r="AI2240">
            <v>0.98899999999999999</v>
          </cell>
          <cell r="AJ2240">
            <v>1</v>
          </cell>
          <cell r="AK2240">
            <v>97.06</v>
          </cell>
          <cell r="AL2240">
            <v>0</v>
          </cell>
        </row>
        <row r="2241">
          <cell r="E2241" t="str">
            <v>V9MP-322PH</v>
          </cell>
          <cell r="F2241" t="str">
            <v>台</v>
          </cell>
          <cell r="G2241">
            <v>0</v>
          </cell>
          <cell r="H2241">
            <v>12700</v>
          </cell>
          <cell r="I2241">
            <v>0</v>
          </cell>
          <cell r="J2241">
            <v>12700</v>
          </cell>
          <cell r="K2241">
            <v>0</v>
          </cell>
          <cell r="L2241">
            <v>12700</v>
          </cell>
          <cell r="M2241">
            <v>0</v>
          </cell>
          <cell r="N2241">
            <v>12700</v>
          </cell>
          <cell r="O2241">
            <v>0</v>
          </cell>
          <cell r="P2241">
            <v>12700</v>
          </cell>
          <cell r="Q2241">
            <v>0</v>
          </cell>
          <cell r="R2241">
            <v>12700</v>
          </cell>
          <cell r="S2241">
            <v>0</v>
          </cell>
          <cell r="T2241">
            <v>12700</v>
          </cell>
          <cell r="U2241">
            <v>0</v>
          </cell>
          <cell r="V2241">
            <v>12700</v>
          </cell>
          <cell r="W2241">
            <v>0</v>
          </cell>
          <cell r="X2241">
            <v>12700</v>
          </cell>
          <cell r="Y2241">
            <v>0</v>
          </cell>
          <cell r="Z2241">
            <v>12700</v>
          </cell>
          <cell r="AA2241">
            <v>0</v>
          </cell>
          <cell r="AB2241">
            <v>0</v>
          </cell>
          <cell r="AC2241">
            <v>0</v>
          </cell>
          <cell r="AD2241">
            <v>0.26100000000000001</v>
          </cell>
          <cell r="AE2241">
            <v>0</v>
          </cell>
          <cell r="AF2241">
            <v>0</v>
          </cell>
          <cell r="AG2241">
            <v>9900</v>
          </cell>
          <cell r="AH2241">
            <v>96</v>
          </cell>
          <cell r="AI2241">
            <v>0.98899999999999999</v>
          </cell>
          <cell r="AJ2241">
            <v>1</v>
          </cell>
          <cell r="AK2241">
            <v>97.06</v>
          </cell>
          <cell r="AL2241">
            <v>0</v>
          </cell>
        </row>
        <row r="2242">
          <cell r="E2242" t="str">
            <v>V9MPA-321PN</v>
          </cell>
          <cell r="F2242" t="str">
            <v>台</v>
          </cell>
          <cell r="G2242">
            <v>0</v>
          </cell>
          <cell r="H2242">
            <v>14700</v>
          </cell>
          <cell r="I2242">
            <v>0</v>
          </cell>
          <cell r="J2242">
            <v>14700</v>
          </cell>
          <cell r="K2242">
            <v>0</v>
          </cell>
          <cell r="L2242">
            <v>14700</v>
          </cell>
          <cell r="M2242">
            <v>0</v>
          </cell>
          <cell r="N2242">
            <v>14700</v>
          </cell>
          <cell r="O2242">
            <v>0</v>
          </cell>
          <cell r="P2242">
            <v>14700</v>
          </cell>
          <cell r="Q2242">
            <v>0</v>
          </cell>
          <cell r="R2242">
            <v>14700</v>
          </cell>
          <cell r="S2242">
            <v>0</v>
          </cell>
          <cell r="T2242">
            <v>14700</v>
          </cell>
          <cell r="U2242">
            <v>0</v>
          </cell>
          <cell r="V2242">
            <v>14700</v>
          </cell>
          <cell r="W2242">
            <v>0</v>
          </cell>
          <cell r="X2242">
            <v>14700</v>
          </cell>
          <cell r="Y2242">
            <v>0</v>
          </cell>
          <cell r="Z2242">
            <v>14700</v>
          </cell>
          <cell r="AA2242">
            <v>0</v>
          </cell>
          <cell r="AB2242">
            <v>0</v>
          </cell>
          <cell r="AC2242">
            <v>0</v>
          </cell>
          <cell r="AD2242">
            <v>0.20899999999999999</v>
          </cell>
          <cell r="AE2242">
            <v>0</v>
          </cell>
          <cell r="AF2242">
            <v>0</v>
          </cell>
          <cell r="AG2242">
            <v>4950</v>
          </cell>
          <cell r="AH2242">
            <v>48</v>
          </cell>
          <cell r="AI2242">
            <v>0.97899999999999998</v>
          </cell>
          <cell r="AJ2242">
            <v>1</v>
          </cell>
          <cell r="AK2242">
            <v>49.02</v>
          </cell>
          <cell r="AL2242">
            <v>0</v>
          </cell>
        </row>
        <row r="2243">
          <cell r="E2243" t="str">
            <v>V9MPA-321PH</v>
          </cell>
          <cell r="F2243" t="str">
            <v>台</v>
          </cell>
          <cell r="G2243">
            <v>0</v>
          </cell>
          <cell r="H2243">
            <v>17100</v>
          </cell>
          <cell r="I2243">
            <v>0</v>
          </cell>
          <cell r="J2243">
            <v>17100</v>
          </cell>
          <cell r="K2243">
            <v>0</v>
          </cell>
          <cell r="L2243">
            <v>17100</v>
          </cell>
          <cell r="M2243">
            <v>0</v>
          </cell>
          <cell r="N2243">
            <v>17100</v>
          </cell>
          <cell r="O2243">
            <v>0</v>
          </cell>
          <cell r="P2243">
            <v>17100</v>
          </cell>
          <cell r="Q2243">
            <v>0</v>
          </cell>
          <cell r="R2243">
            <v>17100</v>
          </cell>
          <cell r="S2243">
            <v>0</v>
          </cell>
          <cell r="T2243">
            <v>17100</v>
          </cell>
          <cell r="U2243">
            <v>0</v>
          </cell>
          <cell r="V2243">
            <v>17100</v>
          </cell>
          <cell r="W2243">
            <v>0</v>
          </cell>
          <cell r="X2243">
            <v>17100</v>
          </cell>
          <cell r="Y2243">
            <v>0</v>
          </cell>
          <cell r="Z2243">
            <v>17100</v>
          </cell>
          <cell r="AA2243">
            <v>0</v>
          </cell>
          <cell r="AB2243">
            <v>0</v>
          </cell>
          <cell r="AC2243">
            <v>0</v>
          </cell>
          <cell r="AD2243">
            <v>0.20899999999999999</v>
          </cell>
          <cell r="AE2243">
            <v>0</v>
          </cell>
          <cell r="AF2243">
            <v>0</v>
          </cell>
          <cell r="AG2243">
            <v>4950</v>
          </cell>
          <cell r="AH2243">
            <v>48</v>
          </cell>
          <cell r="AI2243">
            <v>0.97899999999999998</v>
          </cell>
          <cell r="AJ2243">
            <v>1</v>
          </cell>
          <cell r="AK2243">
            <v>49.02</v>
          </cell>
          <cell r="AL2243">
            <v>0</v>
          </cell>
        </row>
        <row r="2244">
          <cell r="E2244" t="str">
            <v>V9MPA-322PN</v>
          </cell>
          <cell r="F2244" t="str">
            <v>台</v>
          </cell>
          <cell r="G2244">
            <v>0</v>
          </cell>
          <cell r="H2244">
            <v>18500</v>
          </cell>
          <cell r="I2244">
            <v>0</v>
          </cell>
          <cell r="J2244">
            <v>18500</v>
          </cell>
          <cell r="K2244">
            <v>0</v>
          </cell>
          <cell r="L2244">
            <v>18500</v>
          </cell>
          <cell r="M2244">
            <v>0</v>
          </cell>
          <cell r="N2244">
            <v>18500</v>
          </cell>
          <cell r="O2244">
            <v>0</v>
          </cell>
          <cell r="P2244">
            <v>18500</v>
          </cell>
          <cell r="Q2244">
            <v>0</v>
          </cell>
          <cell r="R2244">
            <v>18500</v>
          </cell>
          <cell r="S2244">
            <v>0</v>
          </cell>
          <cell r="T2244">
            <v>18500</v>
          </cell>
          <cell r="U2244">
            <v>0</v>
          </cell>
          <cell r="V2244">
            <v>18500</v>
          </cell>
          <cell r="W2244">
            <v>0</v>
          </cell>
          <cell r="X2244">
            <v>18500</v>
          </cell>
          <cell r="Y2244">
            <v>0</v>
          </cell>
          <cell r="Z2244">
            <v>18500</v>
          </cell>
          <cell r="AA2244">
            <v>0</v>
          </cell>
          <cell r="AB2244">
            <v>0</v>
          </cell>
          <cell r="AC2244">
            <v>0</v>
          </cell>
          <cell r="AD2244">
            <v>0.26100000000000001</v>
          </cell>
          <cell r="AE2244">
            <v>0</v>
          </cell>
          <cell r="AF2244">
            <v>0</v>
          </cell>
          <cell r="AG2244">
            <v>9900</v>
          </cell>
          <cell r="AH2244">
            <v>96</v>
          </cell>
          <cell r="AI2244">
            <v>0.98899999999999999</v>
          </cell>
          <cell r="AJ2244">
            <v>1</v>
          </cell>
          <cell r="AK2244">
            <v>97.06</v>
          </cell>
          <cell r="AL2244">
            <v>0</v>
          </cell>
        </row>
        <row r="2245">
          <cell r="E2245" t="str">
            <v>V9MPA-322PH</v>
          </cell>
          <cell r="F2245" t="str">
            <v>台</v>
          </cell>
          <cell r="G2245">
            <v>0</v>
          </cell>
          <cell r="H2245">
            <v>21600</v>
          </cell>
          <cell r="I2245">
            <v>0</v>
          </cell>
          <cell r="J2245">
            <v>21600</v>
          </cell>
          <cell r="K2245">
            <v>0</v>
          </cell>
          <cell r="L2245">
            <v>21600</v>
          </cell>
          <cell r="M2245">
            <v>0</v>
          </cell>
          <cell r="N2245">
            <v>21600</v>
          </cell>
          <cell r="O2245">
            <v>0</v>
          </cell>
          <cell r="P2245">
            <v>21600</v>
          </cell>
          <cell r="Q2245">
            <v>0</v>
          </cell>
          <cell r="R2245">
            <v>21600</v>
          </cell>
          <cell r="S2245">
            <v>0</v>
          </cell>
          <cell r="T2245">
            <v>21600</v>
          </cell>
          <cell r="U2245">
            <v>0</v>
          </cell>
          <cell r="V2245">
            <v>21600</v>
          </cell>
          <cell r="W2245">
            <v>0</v>
          </cell>
          <cell r="X2245">
            <v>21600</v>
          </cell>
          <cell r="Y2245">
            <v>0</v>
          </cell>
          <cell r="Z2245">
            <v>21600</v>
          </cell>
          <cell r="AA2245">
            <v>0</v>
          </cell>
          <cell r="AB2245">
            <v>0</v>
          </cell>
          <cell r="AC2245">
            <v>0</v>
          </cell>
          <cell r="AD2245">
            <v>0.26100000000000001</v>
          </cell>
          <cell r="AE2245">
            <v>0</v>
          </cell>
          <cell r="AF2245">
            <v>0</v>
          </cell>
          <cell r="AG2245">
            <v>9900</v>
          </cell>
          <cell r="AH2245">
            <v>96</v>
          </cell>
          <cell r="AI2245">
            <v>0.98899999999999999</v>
          </cell>
          <cell r="AJ2245">
            <v>1</v>
          </cell>
          <cell r="AK2245">
            <v>97.06</v>
          </cell>
          <cell r="AL2245">
            <v>0</v>
          </cell>
        </row>
        <row r="2246">
          <cell r="E2246" t="str">
            <v>V9MPB-321PN</v>
          </cell>
          <cell r="F2246" t="str">
            <v>台</v>
          </cell>
          <cell r="G2246">
            <v>0</v>
          </cell>
          <cell r="H2246">
            <v>14700</v>
          </cell>
          <cell r="I2246">
            <v>0</v>
          </cell>
          <cell r="J2246">
            <v>14700</v>
          </cell>
          <cell r="K2246">
            <v>0</v>
          </cell>
          <cell r="L2246">
            <v>14700</v>
          </cell>
          <cell r="M2246">
            <v>0</v>
          </cell>
          <cell r="N2246">
            <v>14700</v>
          </cell>
          <cell r="O2246">
            <v>0</v>
          </cell>
          <cell r="P2246">
            <v>14700</v>
          </cell>
          <cell r="Q2246">
            <v>0</v>
          </cell>
          <cell r="R2246">
            <v>14700</v>
          </cell>
          <cell r="S2246">
            <v>0</v>
          </cell>
          <cell r="T2246">
            <v>14700</v>
          </cell>
          <cell r="U2246">
            <v>0</v>
          </cell>
          <cell r="V2246">
            <v>14700</v>
          </cell>
          <cell r="W2246">
            <v>0</v>
          </cell>
          <cell r="X2246">
            <v>14700</v>
          </cell>
          <cell r="Y2246">
            <v>0</v>
          </cell>
          <cell r="Z2246">
            <v>14700</v>
          </cell>
          <cell r="AA2246">
            <v>0</v>
          </cell>
          <cell r="AB2246">
            <v>0</v>
          </cell>
          <cell r="AC2246">
            <v>0</v>
          </cell>
          <cell r="AD2246">
            <v>0.20899999999999999</v>
          </cell>
          <cell r="AE2246">
            <v>0</v>
          </cell>
          <cell r="AF2246">
            <v>0</v>
          </cell>
          <cell r="AG2246">
            <v>4950</v>
          </cell>
          <cell r="AH2246">
            <v>48</v>
          </cell>
          <cell r="AI2246">
            <v>0.97899999999999998</v>
          </cell>
          <cell r="AJ2246">
            <v>1</v>
          </cell>
          <cell r="AK2246">
            <v>49.02</v>
          </cell>
          <cell r="AL2246">
            <v>0</v>
          </cell>
        </row>
        <row r="2247">
          <cell r="E2247" t="str">
            <v>V9MPB-321PH</v>
          </cell>
          <cell r="F2247" t="str">
            <v>台</v>
          </cell>
          <cell r="G2247">
            <v>0</v>
          </cell>
          <cell r="H2247">
            <v>17100</v>
          </cell>
          <cell r="I2247">
            <v>0</v>
          </cell>
          <cell r="J2247">
            <v>17100</v>
          </cell>
          <cell r="K2247">
            <v>0</v>
          </cell>
          <cell r="L2247">
            <v>17100</v>
          </cell>
          <cell r="M2247">
            <v>0</v>
          </cell>
          <cell r="N2247">
            <v>17100</v>
          </cell>
          <cell r="O2247">
            <v>0</v>
          </cell>
          <cell r="P2247">
            <v>17100</v>
          </cell>
          <cell r="Q2247">
            <v>0</v>
          </cell>
          <cell r="R2247">
            <v>17100</v>
          </cell>
          <cell r="S2247">
            <v>0</v>
          </cell>
          <cell r="T2247">
            <v>17100</v>
          </cell>
          <cell r="U2247">
            <v>0</v>
          </cell>
          <cell r="V2247">
            <v>17100</v>
          </cell>
          <cell r="W2247">
            <v>0</v>
          </cell>
          <cell r="X2247">
            <v>17100</v>
          </cell>
          <cell r="Y2247">
            <v>0</v>
          </cell>
          <cell r="Z2247">
            <v>17100</v>
          </cell>
          <cell r="AA2247">
            <v>0</v>
          </cell>
          <cell r="AB2247">
            <v>0</v>
          </cell>
          <cell r="AC2247">
            <v>0</v>
          </cell>
          <cell r="AD2247">
            <v>0.20899999999999999</v>
          </cell>
          <cell r="AE2247">
            <v>0</v>
          </cell>
          <cell r="AF2247">
            <v>0</v>
          </cell>
          <cell r="AG2247">
            <v>4950</v>
          </cell>
          <cell r="AH2247">
            <v>48</v>
          </cell>
          <cell r="AI2247">
            <v>0.97899999999999998</v>
          </cell>
          <cell r="AJ2247">
            <v>1</v>
          </cell>
          <cell r="AK2247">
            <v>49.02</v>
          </cell>
          <cell r="AL2247">
            <v>0</v>
          </cell>
        </row>
        <row r="2248">
          <cell r="E2248" t="str">
            <v>V9MPB-322PN</v>
          </cell>
          <cell r="F2248" t="str">
            <v>台</v>
          </cell>
          <cell r="G2248">
            <v>0</v>
          </cell>
          <cell r="H2248">
            <v>18500</v>
          </cell>
          <cell r="I2248">
            <v>0</v>
          </cell>
          <cell r="J2248">
            <v>18500</v>
          </cell>
          <cell r="K2248">
            <v>0</v>
          </cell>
          <cell r="L2248">
            <v>18500</v>
          </cell>
          <cell r="M2248">
            <v>0</v>
          </cell>
          <cell r="N2248">
            <v>18500</v>
          </cell>
          <cell r="O2248">
            <v>0</v>
          </cell>
          <cell r="P2248">
            <v>18500</v>
          </cell>
          <cell r="Q2248">
            <v>0</v>
          </cell>
          <cell r="R2248">
            <v>18500</v>
          </cell>
          <cell r="S2248">
            <v>0</v>
          </cell>
          <cell r="T2248">
            <v>18500</v>
          </cell>
          <cell r="U2248">
            <v>0</v>
          </cell>
          <cell r="V2248">
            <v>18500</v>
          </cell>
          <cell r="W2248">
            <v>0</v>
          </cell>
          <cell r="X2248">
            <v>18500</v>
          </cell>
          <cell r="Y2248">
            <v>0</v>
          </cell>
          <cell r="Z2248">
            <v>18500</v>
          </cell>
          <cell r="AA2248">
            <v>0</v>
          </cell>
          <cell r="AB2248">
            <v>0</v>
          </cell>
          <cell r="AC2248">
            <v>0</v>
          </cell>
          <cell r="AD2248">
            <v>0.26100000000000001</v>
          </cell>
          <cell r="AE2248">
            <v>0</v>
          </cell>
          <cell r="AF2248">
            <v>0</v>
          </cell>
          <cell r="AG2248">
            <v>9900</v>
          </cell>
          <cell r="AH2248">
            <v>96</v>
          </cell>
          <cell r="AI2248">
            <v>0.98899999999999999</v>
          </cell>
          <cell r="AJ2248">
            <v>1</v>
          </cell>
          <cell r="AK2248">
            <v>97.06</v>
          </cell>
          <cell r="AL2248">
            <v>0</v>
          </cell>
        </row>
        <row r="2249">
          <cell r="E2249" t="str">
            <v>V9MPB-322PH</v>
          </cell>
          <cell r="F2249" t="str">
            <v>台</v>
          </cell>
          <cell r="G2249">
            <v>0</v>
          </cell>
          <cell r="H2249">
            <v>21600</v>
          </cell>
          <cell r="I2249">
            <v>0</v>
          </cell>
          <cell r="J2249">
            <v>21600</v>
          </cell>
          <cell r="K2249">
            <v>0</v>
          </cell>
          <cell r="L2249">
            <v>21600</v>
          </cell>
          <cell r="M2249">
            <v>0</v>
          </cell>
          <cell r="N2249">
            <v>21600</v>
          </cell>
          <cell r="O2249">
            <v>0</v>
          </cell>
          <cell r="P2249">
            <v>21600</v>
          </cell>
          <cell r="Q2249">
            <v>0</v>
          </cell>
          <cell r="R2249">
            <v>21600</v>
          </cell>
          <cell r="S2249">
            <v>0</v>
          </cell>
          <cell r="T2249">
            <v>21600</v>
          </cell>
          <cell r="U2249">
            <v>0</v>
          </cell>
          <cell r="V2249">
            <v>21600</v>
          </cell>
          <cell r="W2249">
            <v>0</v>
          </cell>
          <cell r="X2249">
            <v>21600</v>
          </cell>
          <cell r="Y2249">
            <v>0</v>
          </cell>
          <cell r="Z2249">
            <v>21600</v>
          </cell>
          <cell r="AA2249">
            <v>0</v>
          </cell>
          <cell r="AB2249">
            <v>0</v>
          </cell>
          <cell r="AC2249">
            <v>0</v>
          </cell>
          <cell r="AD2249">
            <v>0.26100000000000001</v>
          </cell>
          <cell r="AE2249">
            <v>0</v>
          </cell>
          <cell r="AF2249">
            <v>0</v>
          </cell>
          <cell r="AG2249">
            <v>9900</v>
          </cell>
          <cell r="AH2249">
            <v>96</v>
          </cell>
          <cell r="AI2249">
            <v>0.98899999999999999</v>
          </cell>
          <cell r="AJ2249">
            <v>1</v>
          </cell>
          <cell r="AK2249">
            <v>97.06</v>
          </cell>
          <cell r="AL2249">
            <v>0</v>
          </cell>
        </row>
        <row r="2250">
          <cell r="E2250" t="str">
            <v>■Ｈｆトラフ</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row>
        <row r="2251">
          <cell r="E2251" t="str">
            <v>T10-321PH</v>
          </cell>
          <cell r="F2251" t="str">
            <v>台</v>
          </cell>
          <cell r="G2251">
            <v>0</v>
          </cell>
          <cell r="H2251">
            <v>6220</v>
          </cell>
          <cell r="I2251">
            <v>0</v>
          </cell>
          <cell r="J2251">
            <v>6220</v>
          </cell>
          <cell r="K2251">
            <v>0</v>
          </cell>
          <cell r="L2251">
            <v>6220</v>
          </cell>
          <cell r="M2251">
            <v>0</v>
          </cell>
          <cell r="N2251">
            <v>6220</v>
          </cell>
          <cell r="O2251">
            <v>0</v>
          </cell>
          <cell r="P2251">
            <v>6220</v>
          </cell>
          <cell r="Q2251">
            <v>0</v>
          </cell>
          <cell r="R2251">
            <v>6220</v>
          </cell>
          <cell r="S2251">
            <v>0</v>
          </cell>
          <cell r="T2251">
            <v>6220</v>
          </cell>
          <cell r="U2251">
            <v>0</v>
          </cell>
          <cell r="V2251">
            <v>6220</v>
          </cell>
          <cell r="W2251">
            <v>0</v>
          </cell>
          <cell r="X2251">
            <v>6220</v>
          </cell>
          <cell r="Y2251">
            <v>0</v>
          </cell>
          <cell r="Z2251">
            <v>6220</v>
          </cell>
          <cell r="AA2251">
            <v>0</v>
          </cell>
          <cell r="AB2251">
            <v>0</v>
          </cell>
          <cell r="AC2251">
            <v>0</v>
          </cell>
          <cell r="AD2251">
            <v>0.20899999999999999</v>
          </cell>
          <cell r="AE2251">
            <v>0</v>
          </cell>
          <cell r="AF2251">
            <v>0</v>
          </cell>
          <cell r="AG2251">
            <v>4950</v>
          </cell>
          <cell r="AH2251">
            <v>48</v>
          </cell>
          <cell r="AI2251">
            <v>0.97899999999999998</v>
          </cell>
          <cell r="AJ2251">
            <v>1</v>
          </cell>
          <cell r="AK2251">
            <v>49.02</v>
          </cell>
          <cell r="AL2251">
            <v>0</v>
          </cell>
        </row>
        <row r="2252">
          <cell r="E2252" t="str">
            <v>T10-321PZ</v>
          </cell>
          <cell r="F2252" t="str">
            <v>台</v>
          </cell>
          <cell r="G2252">
            <v>0</v>
          </cell>
          <cell r="H2252">
            <v>10700</v>
          </cell>
          <cell r="I2252">
            <v>0</v>
          </cell>
          <cell r="J2252">
            <v>10700</v>
          </cell>
          <cell r="K2252">
            <v>0</v>
          </cell>
          <cell r="L2252">
            <v>10700</v>
          </cell>
          <cell r="M2252">
            <v>0</v>
          </cell>
          <cell r="N2252">
            <v>10700</v>
          </cell>
          <cell r="O2252">
            <v>0</v>
          </cell>
          <cell r="P2252">
            <v>10700</v>
          </cell>
          <cell r="Q2252">
            <v>0</v>
          </cell>
          <cell r="R2252">
            <v>10700</v>
          </cell>
          <cell r="S2252">
            <v>0</v>
          </cell>
          <cell r="T2252">
            <v>10700</v>
          </cell>
          <cell r="U2252">
            <v>0</v>
          </cell>
          <cell r="V2252">
            <v>10700</v>
          </cell>
          <cell r="W2252">
            <v>0</v>
          </cell>
          <cell r="X2252">
            <v>10700</v>
          </cell>
          <cell r="Y2252">
            <v>0</v>
          </cell>
          <cell r="Z2252">
            <v>10700</v>
          </cell>
          <cell r="AA2252">
            <v>0</v>
          </cell>
          <cell r="AB2252">
            <v>0</v>
          </cell>
          <cell r="AC2252">
            <v>0</v>
          </cell>
          <cell r="AD2252">
            <v>0.20899999999999999</v>
          </cell>
          <cell r="AE2252">
            <v>0</v>
          </cell>
          <cell r="AF2252">
            <v>0</v>
          </cell>
          <cell r="AG2252">
            <v>4950</v>
          </cell>
          <cell r="AH2252">
            <v>48</v>
          </cell>
          <cell r="AI2252">
            <v>0.97899999999999998</v>
          </cell>
          <cell r="AJ2252">
            <v>1</v>
          </cell>
          <cell r="AK2252">
            <v>49.02</v>
          </cell>
          <cell r="AL2252">
            <v>0</v>
          </cell>
        </row>
        <row r="2253">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row>
        <row r="2254">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row>
        <row r="2255">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row>
        <row r="2256">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row>
        <row r="2257">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row>
        <row r="2258">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row>
        <row r="2259">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row>
        <row r="2260">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row>
        <row r="2261">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row>
        <row r="2262">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row>
        <row r="2263">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row>
        <row r="2264">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row>
        <row r="2265">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row>
        <row r="2266">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row>
        <row r="2267">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row>
        <row r="2268">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row>
        <row r="2269">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row>
        <row r="2270">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row>
        <row r="2271">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row>
        <row r="2272">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row>
        <row r="2273">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row>
        <row r="2274">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row>
        <row r="2275">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row>
        <row r="2276">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row>
        <row r="2277">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row>
        <row r="2278">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row>
        <row r="2279">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row>
        <row r="2280">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row>
        <row r="2281">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row>
        <row r="2282">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row>
        <row r="2283">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row>
        <row r="2284">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row>
        <row r="2285">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row>
        <row r="2286">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row>
        <row r="2287">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row>
        <row r="2288">
          <cell r="E2288" t="str">
            <v>■Ｈｆ開放埋込形</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row>
        <row r="2289">
          <cell r="E2289" t="str">
            <v>A26-322PH+40eB</v>
          </cell>
          <cell r="F2289" t="str">
            <v>台</v>
          </cell>
          <cell r="G2289">
            <v>0</v>
          </cell>
          <cell r="H2289">
            <v>9180</v>
          </cell>
          <cell r="I2289">
            <v>0</v>
          </cell>
          <cell r="J2289">
            <v>9180</v>
          </cell>
          <cell r="K2289">
            <v>0</v>
          </cell>
          <cell r="L2289">
            <v>9180</v>
          </cell>
          <cell r="M2289">
            <v>0</v>
          </cell>
          <cell r="N2289">
            <v>9180</v>
          </cell>
          <cell r="O2289">
            <v>0</v>
          </cell>
          <cell r="P2289">
            <v>9180</v>
          </cell>
          <cell r="Q2289">
            <v>0</v>
          </cell>
          <cell r="R2289">
            <v>9180</v>
          </cell>
          <cell r="S2289">
            <v>0</v>
          </cell>
          <cell r="T2289">
            <v>9180</v>
          </cell>
          <cell r="U2289">
            <v>0</v>
          </cell>
          <cell r="V2289">
            <v>9180</v>
          </cell>
          <cell r="W2289">
            <v>0</v>
          </cell>
          <cell r="X2289">
            <v>9180</v>
          </cell>
          <cell r="Y2289">
            <v>0</v>
          </cell>
          <cell r="Z2289">
            <v>9180</v>
          </cell>
          <cell r="AA2289">
            <v>0</v>
          </cell>
          <cell r="AB2289">
            <v>0</v>
          </cell>
          <cell r="AC2289">
            <v>0</v>
          </cell>
          <cell r="AD2289">
            <v>0.48799999999999999</v>
          </cell>
          <cell r="AE2289">
            <v>0</v>
          </cell>
          <cell r="AF2289">
            <v>0</v>
          </cell>
          <cell r="AG2289">
            <v>4950</v>
          </cell>
          <cell r="AH2289">
            <v>48</v>
          </cell>
          <cell r="AI2289">
            <v>0.97899999999999998</v>
          </cell>
          <cell r="AJ2289">
            <v>1</v>
          </cell>
          <cell r="AK2289">
            <v>49.02</v>
          </cell>
          <cell r="AL2289" t="str">
            <v>電池別置型</v>
          </cell>
        </row>
        <row r="2290">
          <cell r="E2290" t="str">
            <v>■Ｈｆルーバー直付形</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row>
        <row r="2291">
          <cell r="E2291" t="str">
            <v>Ds1-322PH+40eB</v>
          </cell>
          <cell r="F2291" t="str">
            <v>台</v>
          </cell>
          <cell r="G2291">
            <v>0</v>
          </cell>
          <cell r="H2291">
            <v>10700</v>
          </cell>
          <cell r="I2291">
            <v>0</v>
          </cell>
          <cell r="J2291">
            <v>10700</v>
          </cell>
          <cell r="K2291">
            <v>0</v>
          </cell>
          <cell r="L2291">
            <v>10700</v>
          </cell>
          <cell r="M2291">
            <v>0</v>
          </cell>
          <cell r="N2291">
            <v>10700</v>
          </cell>
          <cell r="O2291">
            <v>0</v>
          </cell>
          <cell r="P2291">
            <v>10700</v>
          </cell>
          <cell r="Q2291">
            <v>0</v>
          </cell>
          <cell r="R2291">
            <v>10700</v>
          </cell>
          <cell r="S2291">
            <v>0</v>
          </cell>
          <cell r="T2291">
            <v>10700</v>
          </cell>
          <cell r="U2291">
            <v>0</v>
          </cell>
          <cell r="V2291">
            <v>10700</v>
          </cell>
          <cell r="W2291">
            <v>0</v>
          </cell>
          <cell r="X2291">
            <v>10700</v>
          </cell>
          <cell r="Y2291">
            <v>0</v>
          </cell>
          <cell r="Z2291">
            <v>10700</v>
          </cell>
          <cell r="AA2291">
            <v>0</v>
          </cell>
          <cell r="AB2291">
            <v>0</v>
          </cell>
          <cell r="AC2291">
            <v>0</v>
          </cell>
          <cell r="AD2291">
            <v>0.32600000000000001</v>
          </cell>
          <cell r="AE2291">
            <v>0</v>
          </cell>
          <cell r="AF2291">
            <v>0</v>
          </cell>
          <cell r="AG2291">
            <v>9900</v>
          </cell>
          <cell r="AH2291">
            <v>96</v>
          </cell>
          <cell r="AI2291">
            <v>0.98899999999999999</v>
          </cell>
          <cell r="AJ2291">
            <v>1</v>
          </cell>
          <cell r="AK2291">
            <v>97.06</v>
          </cell>
          <cell r="AL2291" t="str">
            <v>電池別置型</v>
          </cell>
        </row>
        <row r="2292">
          <cell r="E2292" t="str">
            <v>■Ｈｆ開放直付形</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row>
        <row r="2293">
          <cell r="E2293" t="str">
            <v>As6-322PN+40eB</v>
          </cell>
          <cell r="F2293" t="str">
            <v>台</v>
          </cell>
          <cell r="G2293">
            <v>0</v>
          </cell>
          <cell r="H2293">
            <v>7950</v>
          </cell>
          <cell r="I2293">
            <v>0</v>
          </cell>
          <cell r="J2293">
            <v>7950</v>
          </cell>
          <cell r="K2293">
            <v>0</v>
          </cell>
          <cell r="L2293">
            <v>7950</v>
          </cell>
          <cell r="M2293">
            <v>0</v>
          </cell>
          <cell r="N2293">
            <v>7950</v>
          </cell>
          <cell r="O2293">
            <v>0</v>
          </cell>
          <cell r="P2293">
            <v>7950</v>
          </cell>
          <cell r="Q2293">
            <v>0</v>
          </cell>
          <cell r="R2293">
            <v>7950</v>
          </cell>
          <cell r="S2293">
            <v>0</v>
          </cell>
          <cell r="T2293">
            <v>7950</v>
          </cell>
          <cell r="U2293">
            <v>0</v>
          </cell>
          <cell r="V2293">
            <v>7950</v>
          </cell>
          <cell r="W2293">
            <v>0</v>
          </cell>
          <cell r="X2293">
            <v>7950</v>
          </cell>
          <cell r="Y2293">
            <v>0</v>
          </cell>
          <cell r="Z2293">
            <v>7950</v>
          </cell>
          <cell r="AA2293">
            <v>0</v>
          </cell>
          <cell r="AB2293">
            <v>0</v>
          </cell>
          <cell r="AC2293">
            <v>0</v>
          </cell>
          <cell r="AD2293">
            <v>0.32600000000000001</v>
          </cell>
          <cell r="AE2293">
            <v>0</v>
          </cell>
          <cell r="AF2293">
            <v>0</v>
          </cell>
          <cell r="AG2293">
            <v>9900</v>
          </cell>
          <cell r="AH2293">
            <v>96</v>
          </cell>
          <cell r="AI2293">
            <v>0.98899999999999999</v>
          </cell>
          <cell r="AJ2293">
            <v>1</v>
          </cell>
          <cell r="AK2293">
            <v>97.06</v>
          </cell>
          <cell r="AL2293" t="str">
            <v>電池別置型</v>
          </cell>
        </row>
        <row r="2294">
          <cell r="E2294" t="str">
            <v>As6-322PH+40eB</v>
          </cell>
          <cell r="F2294" t="str">
            <v>台</v>
          </cell>
          <cell r="G2294">
            <v>0</v>
          </cell>
          <cell r="H2294">
            <v>9350</v>
          </cell>
          <cell r="I2294">
            <v>0</v>
          </cell>
          <cell r="J2294">
            <v>9350</v>
          </cell>
          <cell r="K2294">
            <v>0</v>
          </cell>
          <cell r="L2294">
            <v>9350</v>
          </cell>
          <cell r="M2294">
            <v>0</v>
          </cell>
          <cell r="N2294">
            <v>9350</v>
          </cell>
          <cell r="O2294">
            <v>0</v>
          </cell>
          <cell r="P2294">
            <v>9350</v>
          </cell>
          <cell r="Q2294">
            <v>0</v>
          </cell>
          <cell r="R2294">
            <v>9350</v>
          </cell>
          <cell r="S2294">
            <v>0</v>
          </cell>
          <cell r="T2294">
            <v>9350</v>
          </cell>
          <cell r="U2294">
            <v>0</v>
          </cell>
          <cell r="V2294">
            <v>9350</v>
          </cell>
          <cell r="W2294">
            <v>0</v>
          </cell>
          <cell r="X2294">
            <v>9350</v>
          </cell>
          <cell r="Y2294">
            <v>0</v>
          </cell>
          <cell r="Z2294">
            <v>9350</v>
          </cell>
          <cell r="AA2294">
            <v>0</v>
          </cell>
          <cell r="AB2294">
            <v>0</v>
          </cell>
          <cell r="AC2294">
            <v>0</v>
          </cell>
          <cell r="AD2294">
            <v>0.32600000000000001</v>
          </cell>
          <cell r="AE2294">
            <v>0</v>
          </cell>
          <cell r="AF2294">
            <v>0</v>
          </cell>
          <cell r="AG2294">
            <v>9900</v>
          </cell>
          <cell r="AH2294">
            <v>96</v>
          </cell>
          <cell r="AI2294">
            <v>0.98899999999999999</v>
          </cell>
          <cell r="AJ2294">
            <v>1</v>
          </cell>
          <cell r="AK2294">
            <v>97.06</v>
          </cell>
          <cell r="AL2294" t="str">
            <v>電池別置型</v>
          </cell>
        </row>
        <row r="2295">
          <cell r="E2295" t="str">
            <v>■Ｈｆ逆富士</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row>
        <row r="2296">
          <cell r="E2296" t="str">
            <v>V9-322PN+40eB</v>
          </cell>
          <cell r="F2296" t="str">
            <v>台</v>
          </cell>
          <cell r="G2296">
            <v>0</v>
          </cell>
          <cell r="H2296">
            <v>6830</v>
          </cell>
          <cell r="I2296">
            <v>0</v>
          </cell>
          <cell r="J2296">
            <v>6830</v>
          </cell>
          <cell r="K2296">
            <v>0</v>
          </cell>
          <cell r="L2296">
            <v>6830</v>
          </cell>
          <cell r="M2296">
            <v>0</v>
          </cell>
          <cell r="N2296">
            <v>6830</v>
          </cell>
          <cell r="O2296">
            <v>0</v>
          </cell>
          <cell r="P2296">
            <v>6830</v>
          </cell>
          <cell r="Q2296">
            <v>0</v>
          </cell>
          <cell r="R2296">
            <v>6830</v>
          </cell>
          <cell r="S2296">
            <v>0</v>
          </cell>
          <cell r="T2296">
            <v>6830</v>
          </cell>
          <cell r="U2296">
            <v>0</v>
          </cell>
          <cell r="V2296">
            <v>6830</v>
          </cell>
          <cell r="W2296">
            <v>0</v>
          </cell>
          <cell r="X2296">
            <v>6830</v>
          </cell>
          <cell r="Y2296">
            <v>0</v>
          </cell>
          <cell r="Z2296">
            <v>6830</v>
          </cell>
          <cell r="AA2296">
            <v>0</v>
          </cell>
          <cell r="AB2296">
            <v>0</v>
          </cell>
          <cell r="AC2296">
            <v>0</v>
          </cell>
          <cell r="AD2296">
            <v>0.32600000000000001</v>
          </cell>
          <cell r="AE2296">
            <v>0</v>
          </cell>
          <cell r="AF2296">
            <v>0</v>
          </cell>
          <cell r="AG2296">
            <v>9900</v>
          </cell>
          <cell r="AH2296">
            <v>96</v>
          </cell>
          <cell r="AI2296">
            <v>0.98899999999999999</v>
          </cell>
          <cell r="AJ2296">
            <v>1</v>
          </cell>
          <cell r="AK2296">
            <v>97.06</v>
          </cell>
          <cell r="AL2296" t="str">
            <v>電池別置型</v>
          </cell>
        </row>
        <row r="2297">
          <cell r="E2297" t="str">
            <v>V9-322PH+40eB</v>
          </cell>
          <cell r="F2297" t="str">
            <v>台</v>
          </cell>
          <cell r="G2297">
            <v>0</v>
          </cell>
          <cell r="H2297">
            <v>8090</v>
          </cell>
          <cell r="I2297">
            <v>0</v>
          </cell>
          <cell r="J2297">
            <v>8090</v>
          </cell>
          <cell r="K2297">
            <v>0</v>
          </cell>
          <cell r="L2297">
            <v>8090</v>
          </cell>
          <cell r="M2297">
            <v>0</v>
          </cell>
          <cell r="N2297">
            <v>8090</v>
          </cell>
          <cell r="O2297">
            <v>0</v>
          </cell>
          <cell r="P2297">
            <v>8090</v>
          </cell>
          <cell r="Q2297">
            <v>0</v>
          </cell>
          <cell r="R2297">
            <v>8090</v>
          </cell>
          <cell r="S2297">
            <v>0</v>
          </cell>
          <cell r="T2297">
            <v>8090</v>
          </cell>
          <cell r="U2297">
            <v>0</v>
          </cell>
          <cell r="V2297">
            <v>8090</v>
          </cell>
          <cell r="W2297">
            <v>0</v>
          </cell>
          <cell r="X2297">
            <v>8090</v>
          </cell>
          <cell r="Y2297">
            <v>0</v>
          </cell>
          <cell r="Z2297">
            <v>8090</v>
          </cell>
          <cell r="AA2297">
            <v>0</v>
          </cell>
          <cell r="AB2297">
            <v>0</v>
          </cell>
          <cell r="AC2297">
            <v>0</v>
          </cell>
          <cell r="AD2297">
            <v>0.32600000000000001</v>
          </cell>
          <cell r="AE2297">
            <v>0</v>
          </cell>
          <cell r="AF2297">
            <v>0</v>
          </cell>
          <cell r="AG2297">
            <v>9900</v>
          </cell>
          <cell r="AH2297">
            <v>96</v>
          </cell>
          <cell r="AI2297">
            <v>0.98899999999999999</v>
          </cell>
          <cell r="AJ2297">
            <v>1</v>
          </cell>
          <cell r="AK2297">
            <v>97.06</v>
          </cell>
          <cell r="AL2297" t="str">
            <v>電池別置型</v>
          </cell>
        </row>
        <row r="2298">
          <cell r="E2298" t="str">
            <v>■ダウンライト</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row>
        <row r="2299">
          <cell r="E2299" t="str">
            <v>d5-40eB</v>
          </cell>
          <cell r="F2299" t="str">
            <v>台</v>
          </cell>
          <cell r="G2299">
            <v>0</v>
          </cell>
          <cell r="H2299">
            <v>1370</v>
          </cell>
          <cell r="I2299">
            <v>0</v>
          </cell>
          <cell r="J2299">
            <v>1370</v>
          </cell>
          <cell r="K2299">
            <v>0</v>
          </cell>
          <cell r="L2299">
            <v>1370</v>
          </cell>
          <cell r="M2299">
            <v>0</v>
          </cell>
          <cell r="N2299">
            <v>1370</v>
          </cell>
          <cell r="O2299">
            <v>0</v>
          </cell>
          <cell r="P2299">
            <v>1370</v>
          </cell>
          <cell r="Q2299">
            <v>0</v>
          </cell>
          <cell r="R2299">
            <v>1370</v>
          </cell>
          <cell r="S2299">
            <v>0</v>
          </cell>
          <cell r="T2299">
            <v>1370</v>
          </cell>
          <cell r="U2299">
            <v>0</v>
          </cell>
          <cell r="V2299">
            <v>1370</v>
          </cell>
          <cell r="W2299">
            <v>0</v>
          </cell>
          <cell r="X2299">
            <v>1370</v>
          </cell>
          <cell r="Y2299">
            <v>0</v>
          </cell>
          <cell r="Z2299">
            <v>1370</v>
          </cell>
          <cell r="AA2299">
            <v>0</v>
          </cell>
          <cell r="AB2299">
            <v>0</v>
          </cell>
          <cell r="AC2299">
            <v>0</v>
          </cell>
          <cell r="AD2299">
            <v>0.20899999999999999</v>
          </cell>
          <cell r="AE2299">
            <v>0</v>
          </cell>
          <cell r="AF2299">
            <v>0</v>
          </cell>
          <cell r="AG2299">
            <v>0</v>
          </cell>
          <cell r="AH2299">
            <v>0</v>
          </cell>
          <cell r="AI2299">
            <v>0</v>
          </cell>
          <cell r="AJ2299">
            <v>0</v>
          </cell>
          <cell r="AK2299">
            <v>0</v>
          </cell>
          <cell r="AL2299" t="str">
            <v>電池別置型</v>
          </cell>
        </row>
        <row r="2300">
          <cell r="E2300" t="str">
            <v>■Ｈｆウォールライト</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row>
        <row r="2301">
          <cell r="E2301" t="str">
            <v>B15-321PHe</v>
          </cell>
          <cell r="F2301" t="str">
            <v>台</v>
          </cell>
          <cell r="G2301">
            <v>0</v>
          </cell>
          <cell r="H2301">
            <v>35400</v>
          </cell>
          <cell r="I2301">
            <v>0</v>
          </cell>
          <cell r="J2301">
            <v>35400</v>
          </cell>
          <cell r="K2301">
            <v>0</v>
          </cell>
          <cell r="L2301">
            <v>35400</v>
          </cell>
          <cell r="M2301">
            <v>0</v>
          </cell>
          <cell r="N2301">
            <v>35400</v>
          </cell>
          <cell r="O2301">
            <v>0</v>
          </cell>
          <cell r="P2301">
            <v>35400</v>
          </cell>
          <cell r="Q2301">
            <v>0</v>
          </cell>
          <cell r="R2301">
            <v>35400</v>
          </cell>
          <cell r="S2301">
            <v>0</v>
          </cell>
          <cell r="T2301">
            <v>35400</v>
          </cell>
          <cell r="U2301">
            <v>0</v>
          </cell>
          <cell r="V2301">
            <v>35400</v>
          </cell>
          <cell r="W2301">
            <v>0</v>
          </cell>
          <cell r="X2301">
            <v>35400</v>
          </cell>
          <cell r="Y2301">
            <v>0</v>
          </cell>
          <cell r="Z2301">
            <v>35400</v>
          </cell>
          <cell r="AA2301">
            <v>0</v>
          </cell>
          <cell r="AB2301">
            <v>0</v>
          </cell>
          <cell r="AC2301">
            <v>0</v>
          </cell>
          <cell r="AD2301">
            <v>0.26100000000000001</v>
          </cell>
          <cell r="AE2301">
            <v>0</v>
          </cell>
          <cell r="AF2301">
            <v>0</v>
          </cell>
          <cell r="AG2301">
            <v>4950</v>
          </cell>
          <cell r="AH2301">
            <v>48</v>
          </cell>
          <cell r="AI2301">
            <v>0.97899999999999998</v>
          </cell>
          <cell r="AJ2301">
            <v>1</v>
          </cell>
          <cell r="AK2301">
            <v>49.02</v>
          </cell>
          <cell r="AL2301">
            <v>0</v>
          </cell>
        </row>
        <row r="2302">
          <cell r="E2302" t="str">
            <v>■Ｈｆルーバ埋込形</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row>
        <row r="2303">
          <cell r="E2303" t="str">
            <v>D9-321PNe</v>
          </cell>
          <cell r="F2303" t="str">
            <v>台</v>
          </cell>
          <cell r="G2303">
            <v>0</v>
          </cell>
          <cell r="H2303">
            <v>30600</v>
          </cell>
          <cell r="I2303">
            <v>0</v>
          </cell>
          <cell r="J2303">
            <v>30600</v>
          </cell>
          <cell r="K2303">
            <v>0</v>
          </cell>
          <cell r="L2303">
            <v>30600</v>
          </cell>
          <cell r="M2303">
            <v>0</v>
          </cell>
          <cell r="N2303">
            <v>30600</v>
          </cell>
          <cell r="O2303">
            <v>0</v>
          </cell>
          <cell r="P2303">
            <v>30600</v>
          </cell>
          <cell r="Q2303">
            <v>0</v>
          </cell>
          <cell r="R2303">
            <v>30600</v>
          </cell>
          <cell r="S2303">
            <v>0</v>
          </cell>
          <cell r="T2303">
            <v>30600</v>
          </cell>
          <cell r="U2303">
            <v>0</v>
          </cell>
          <cell r="V2303">
            <v>30600</v>
          </cell>
          <cell r="W2303">
            <v>0</v>
          </cell>
          <cell r="X2303">
            <v>30600</v>
          </cell>
          <cell r="Y2303">
            <v>0</v>
          </cell>
          <cell r="Z2303">
            <v>30600</v>
          </cell>
          <cell r="AA2303">
            <v>0</v>
          </cell>
          <cell r="AB2303">
            <v>0</v>
          </cell>
          <cell r="AC2303">
            <v>0</v>
          </cell>
          <cell r="AD2303">
            <v>0.39100000000000001</v>
          </cell>
          <cell r="AE2303">
            <v>0</v>
          </cell>
          <cell r="AF2303">
            <v>0</v>
          </cell>
          <cell r="AG2303">
            <v>4950</v>
          </cell>
          <cell r="AH2303">
            <v>48</v>
          </cell>
          <cell r="AI2303">
            <v>0.97899999999999998</v>
          </cell>
          <cell r="AJ2303">
            <v>1</v>
          </cell>
          <cell r="AK2303">
            <v>49.02</v>
          </cell>
          <cell r="AL2303">
            <v>0</v>
          </cell>
        </row>
        <row r="2304">
          <cell r="E2304" t="str">
            <v>D9-321PHe</v>
          </cell>
          <cell r="F2304" t="str">
            <v>台</v>
          </cell>
          <cell r="G2304">
            <v>0</v>
          </cell>
          <cell r="H2304">
            <v>32600</v>
          </cell>
          <cell r="I2304">
            <v>0</v>
          </cell>
          <cell r="J2304">
            <v>32600</v>
          </cell>
          <cell r="K2304">
            <v>0</v>
          </cell>
          <cell r="L2304">
            <v>32600</v>
          </cell>
          <cell r="M2304">
            <v>0</v>
          </cell>
          <cell r="N2304">
            <v>32600</v>
          </cell>
          <cell r="O2304">
            <v>0</v>
          </cell>
          <cell r="P2304">
            <v>32600</v>
          </cell>
          <cell r="Q2304">
            <v>0</v>
          </cell>
          <cell r="R2304">
            <v>32600</v>
          </cell>
          <cell r="S2304">
            <v>0</v>
          </cell>
          <cell r="T2304">
            <v>32600</v>
          </cell>
          <cell r="U2304">
            <v>0</v>
          </cell>
          <cell r="V2304">
            <v>32600</v>
          </cell>
          <cell r="W2304">
            <v>0</v>
          </cell>
          <cell r="X2304">
            <v>32600</v>
          </cell>
          <cell r="Y2304">
            <v>0</v>
          </cell>
          <cell r="Z2304">
            <v>32600</v>
          </cell>
          <cell r="AA2304">
            <v>0</v>
          </cell>
          <cell r="AB2304">
            <v>0</v>
          </cell>
          <cell r="AC2304">
            <v>0</v>
          </cell>
          <cell r="AD2304">
            <v>0.39100000000000001</v>
          </cell>
          <cell r="AE2304">
            <v>0</v>
          </cell>
          <cell r="AF2304">
            <v>0</v>
          </cell>
          <cell r="AG2304">
            <v>4950</v>
          </cell>
          <cell r="AH2304">
            <v>48</v>
          </cell>
          <cell r="AI2304">
            <v>0.97899999999999998</v>
          </cell>
          <cell r="AJ2304">
            <v>1</v>
          </cell>
          <cell r="AK2304">
            <v>49.02</v>
          </cell>
          <cell r="AL2304">
            <v>0</v>
          </cell>
        </row>
        <row r="2305">
          <cell r="E2305" t="str">
            <v>D10-322PNe</v>
          </cell>
          <cell r="F2305" t="str">
            <v>台</v>
          </cell>
          <cell r="G2305">
            <v>0</v>
          </cell>
          <cell r="H2305">
            <v>30600</v>
          </cell>
          <cell r="I2305">
            <v>0</v>
          </cell>
          <cell r="J2305">
            <v>30600</v>
          </cell>
          <cell r="K2305">
            <v>0</v>
          </cell>
          <cell r="L2305">
            <v>30600</v>
          </cell>
          <cell r="M2305">
            <v>0</v>
          </cell>
          <cell r="N2305">
            <v>30600</v>
          </cell>
          <cell r="O2305">
            <v>0</v>
          </cell>
          <cell r="P2305">
            <v>30600</v>
          </cell>
          <cell r="Q2305">
            <v>0</v>
          </cell>
          <cell r="R2305">
            <v>30600</v>
          </cell>
          <cell r="S2305">
            <v>0</v>
          </cell>
          <cell r="T2305">
            <v>30600</v>
          </cell>
          <cell r="U2305">
            <v>0</v>
          </cell>
          <cell r="V2305">
            <v>30600</v>
          </cell>
          <cell r="W2305">
            <v>0</v>
          </cell>
          <cell r="X2305">
            <v>30600</v>
          </cell>
          <cell r="Y2305">
            <v>0</v>
          </cell>
          <cell r="Z2305">
            <v>30600</v>
          </cell>
          <cell r="AA2305">
            <v>0</v>
          </cell>
          <cell r="AB2305">
            <v>0</v>
          </cell>
          <cell r="AC2305">
            <v>0</v>
          </cell>
          <cell r="AD2305">
            <v>0.48799999999999999</v>
          </cell>
          <cell r="AE2305">
            <v>0</v>
          </cell>
          <cell r="AF2305">
            <v>0</v>
          </cell>
          <cell r="AG2305">
            <v>9900</v>
          </cell>
          <cell r="AH2305">
            <v>96</v>
          </cell>
          <cell r="AI2305">
            <v>0.98899999999999999</v>
          </cell>
          <cell r="AJ2305">
            <v>1</v>
          </cell>
          <cell r="AK2305">
            <v>97.06</v>
          </cell>
          <cell r="AL2305">
            <v>0</v>
          </cell>
        </row>
        <row r="2306">
          <cell r="E2306" t="str">
            <v>D10-322PHe</v>
          </cell>
          <cell r="F2306" t="str">
            <v>台</v>
          </cell>
          <cell r="G2306">
            <v>0</v>
          </cell>
          <cell r="H2306">
            <v>31200</v>
          </cell>
          <cell r="I2306">
            <v>0</v>
          </cell>
          <cell r="J2306">
            <v>31200</v>
          </cell>
          <cell r="K2306">
            <v>0</v>
          </cell>
          <cell r="L2306">
            <v>31200</v>
          </cell>
          <cell r="M2306">
            <v>0</v>
          </cell>
          <cell r="N2306">
            <v>31200</v>
          </cell>
          <cell r="O2306">
            <v>0</v>
          </cell>
          <cell r="P2306">
            <v>31200</v>
          </cell>
          <cell r="Q2306">
            <v>0</v>
          </cell>
          <cell r="R2306">
            <v>31200</v>
          </cell>
          <cell r="S2306">
            <v>0</v>
          </cell>
          <cell r="T2306">
            <v>31200</v>
          </cell>
          <cell r="U2306">
            <v>0</v>
          </cell>
          <cell r="V2306">
            <v>31200</v>
          </cell>
          <cell r="W2306">
            <v>0</v>
          </cell>
          <cell r="X2306">
            <v>31200</v>
          </cell>
          <cell r="Y2306">
            <v>0</v>
          </cell>
          <cell r="Z2306">
            <v>31200</v>
          </cell>
          <cell r="AA2306">
            <v>0</v>
          </cell>
          <cell r="AB2306">
            <v>0</v>
          </cell>
          <cell r="AC2306">
            <v>0</v>
          </cell>
          <cell r="AD2306">
            <v>0.48799999999999999</v>
          </cell>
          <cell r="AE2306">
            <v>0</v>
          </cell>
          <cell r="AF2306">
            <v>0</v>
          </cell>
          <cell r="AG2306">
            <v>9900</v>
          </cell>
          <cell r="AH2306">
            <v>96</v>
          </cell>
          <cell r="AI2306">
            <v>0.98899999999999999</v>
          </cell>
          <cell r="AJ2306">
            <v>1</v>
          </cell>
          <cell r="AK2306">
            <v>97.06</v>
          </cell>
          <cell r="AL2306">
            <v>0</v>
          </cell>
        </row>
        <row r="2307">
          <cell r="E2307" t="str">
            <v>■Ｈｆ開放埋込形</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row>
        <row r="2308">
          <cell r="E2308" t="str">
            <v>A15-321PNe</v>
          </cell>
          <cell r="F2308" t="str">
            <v>台</v>
          </cell>
          <cell r="G2308">
            <v>0</v>
          </cell>
          <cell r="H2308">
            <v>27900</v>
          </cell>
          <cell r="I2308">
            <v>0</v>
          </cell>
          <cell r="J2308">
            <v>27900</v>
          </cell>
          <cell r="K2308">
            <v>0</v>
          </cell>
          <cell r="L2308">
            <v>27900</v>
          </cell>
          <cell r="M2308">
            <v>0</v>
          </cell>
          <cell r="N2308">
            <v>27900</v>
          </cell>
          <cell r="O2308">
            <v>0</v>
          </cell>
          <cell r="P2308">
            <v>27900</v>
          </cell>
          <cell r="Q2308">
            <v>0</v>
          </cell>
          <cell r="R2308">
            <v>27900</v>
          </cell>
          <cell r="S2308">
            <v>0</v>
          </cell>
          <cell r="T2308">
            <v>27900</v>
          </cell>
          <cell r="U2308">
            <v>0</v>
          </cell>
          <cell r="V2308">
            <v>27900</v>
          </cell>
          <cell r="W2308">
            <v>0</v>
          </cell>
          <cell r="X2308">
            <v>27900</v>
          </cell>
          <cell r="Y2308">
            <v>0</v>
          </cell>
          <cell r="Z2308">
            <v>27900</v>
          </cell>
          <cell r="AA2308">
            <v>0</v>
          </cell>
          <cell r="AB2308">
            <v>0</v>
          </cell>
          <cell r="AC2308">
            <v>0</v>
          </cell>
          <cell r="AD2308">
            <v>0.39100000000000001</v>
          </cell>
          <cell r="AE2308">
            <v>0</v>
          </cell>
          <cell r="AF2308">
            <v>0</v>
          </cell>
          <cell r="AG2308">
            <v>4950</v>
          </cell>
          <cell r="AH2308">
            <v>48</v>
          </cell>
          <cell r="AI2308">
            <v>0.97899999999999998</v>
          </cell>
          <cell r="AJ2308">
            <v>1</v>
          </cell>
          <cell r="AK2308">
            <v>49.02</v>
          </cell>
          <cell r="AL2308">
            <v>0</v>
          </cell>
        </row>
        <row r="2309">
          <cell r="E2309" t="str">
            <v>A15-321PHe</v>
          </cell>
          <cell r="F2309" t="str">
            <v>台</v>
          </cell>
          <cell r="G2309">
            <v>0</v>
          </cell>
          <cell r="H2309">
            <v>29900</v>
          </cell>
          <cell r="I2309">
            <v>0</v>
          </cell>
          <cell r="J2309">
            <v>29900</v>
          </cell>
          <cell r="K2309">
            <v>0</v>
          </cell>
          <cell r="L2309">
            <v>29900</v>
          </cell>
          <cell r="M2309">
            <v>0</v>
          </cell>
          <cell r="N2309">
            <v>29900</v>
          </cell>
          <cell r="O2309">
            <v>0</v>
          </cell>
          <cell r="P2309">
            <v>29900</v>
          </cell>
          <cell r="Q2309">
            <v>0</v>
          </cell>
          <cell r="R2309">
            <v>29900</v>
          </cell>
          <cell r="S2309">
            <v>0</v>
          </cell>
          <cell r="T2309">
            <v>29900</v>
          </cell>
          <cell r="U2309">
            <v>0</v>
          </cell>
          <cell r="V2309">
            <v>29900</v>
          </cell>
          <cell r="W2309">
            <v>0</v>
          </cell>
          <cell r="X2309">
            <v>29900</v>
          </cell>
          <cell r="Y2309">
            <v>0</v>
          </cell>
          <cell r="Z2309">
            <v>29900</v>
          </cell>
          <cell r="AA2309">
            <v>0</v>
          </cell>
          <cell r="AB2309">
            <v>0</v>
          </cell>
          <cell r="AC2309">
            <v>0</v>
          </cell>
          <cell r="AD2309">
            <v>0.39100000000000001</v>
          </cell>
          <cell r="AE2309">
            <v>0</v>
          </cell>
          <cell r="AF2309">
            <v>0</v>
          </cell>
          <cell r="AG2309">
            <v>4950</v>
          </cell>
          <cell r="AH2309">
            <v>48</v>
          </cell>
          <cell r="AI2309">
            <v>0.97899999999999998</v>
          </cell>
          <cell r="AJ2309">
            <v>1</v>
          </cell>
          <cell r="AK2309">
            <v>49.02</v>
          </cell>
          <cell r="AL2309">
            <v>0</v>
          </cell>
        </row>
        <row r="2310">
          <cell r="E2310" t="str">
            <v>A15-322PNe</v>
          </cell>
          <cell r="F2310" t="str">
            <v>台</v>
          </cell>
          <cell r="G2310">
            <v>0</v>
          </cell>
          <cell r="H2310">
            <v>29300</v>
          </cell>
          <cell r="I2310">
            <v>0</v>
          </cell>
          <cell r="J2310">
            <v>29300</v>
          </cell>
          <cell r="K2310">
            <v>0</v>
          </cell>
          <cell r="L2310">
            <v>29300</v>
          </cell>
          <cell r="M2310">
            <v>0</v>
          </cell>
          <cell r="N2310">
            <v>29300</v>
          </cell>
          <cell r="O2310">
            <v>0</v>
          </cell>
          <cell r="P2310">
            <v>29300</v>
          </cell>
          <cell r="Q2310">
            <v>0</v>
          </cell>
          <cell r="R2310">
            <v>29300</v>
          </cell>
          <cell r="S2310">
            <v>0</v>
          </cell>
          <cell r="T2310">
            <v>29300</v>
          </cell>
          <cell r="U2310">
            <v>0</v>
          </cell>
          <cell r="V2310">
            <v>29300</v>
          </cell>
          <cell r="W2310">
            <v>0</v>
          </cell>
          <cell r="X2310">
            <v>29300</v>
          </cell>
          <cell r="Y2310">
            <v>0</v>
          </cell>
          <cell r="Z2310">
            <v>29300</v>
          </cell>
          <cell r="AA2310">
            <v>0</v>
          </cell>
          <cell r="AB2310">
            <v>0</v>
          </cell>
          <cell r="AC2310">
            <v>0</v>
          </cell>
          <cell r="AD2310">
            <v>0.48799999999999999</v>
          </cell>
          <cell r="AE2310">
            <v>0</v>
          </cell>
          <cell r="AF2310">
            <v>0</v>
          </cell>
          <cell r="AG2310">
            <v>9900</v>
          </cell>
          <cell r="AH2310">
            <v>96</v>
          </cell>
          <cell r="AI2310">
            <v>0.98899999999999999</v>
          </cell>
          <cell r="AJ2310">
            <v>1</v>
          </cell>
          <cell r="AK2310">
            <v>97.06</v>
          </cell>
          <cell r="AL2310">
            <v>0</v>
          </cell>
        </row>
        <row r="2311">
          <cell r="E2311" t="str">
            <v>A15-322PHe</v>
          </cell>
          <cell r="F2311" t="str">
            <v>台</v>
          </cell>
          <cell r="G2311">
            <v>0</v>
          </cell>
          <cell r="H2311">
            <v>30700</v>
          </cell>
          <cell r="I2311">
            <v>0</v>
          </cell>
          <cell r="J2311">
            <v>30700</v>
          </cell>
          <cell r="K2311">
            <v>0</v>
          </cell>
          <cell r="L2311">
            <v>30700</v>
          </cell>
          <cell r="M2311">
            <v>0</v>
          </cell>
          <cell r="N2311">
            <v>30700</v>
          </cell>
          <cell r="O2311">
            <v>0</v>
          </cell>
          <cell r="P2311">
            <v>30700</v>
          </cell>
          <cell r="Q2311">
            <v>0</v>
          </cell>
          <cell r="R2311">
            <v>30700</v>
          </cell>
          <cell r="S2311">
            <v>0</v>
          </cell>
          <cell r="T2311">
            <v>30700</v>
          </cell>
          <cell r="U2311">
            <v>0</v>
          </cell>
          <cell r="V2311">
            <v>30700</v>
          </cell>
          <cell r="W2311">
            <v>0</v>
          </cell>
          <cell r="X2311">
            <v>30700</v>
          </cell>
          <cell r="Y2311">
            <v>0</v>
          </cell>
          <cell r="Z2311">
            <v>30700</v>
          </cell>
          <cell r="AA2311">
            <v>0</v>
          </cell>
          <cell r="AB2311">
            <v>0</v>
          </cell>
          <cell r="AC2311">
            <v>0</v>
          </cell>
          <cell r="AD2311">
            <v>0.48799999999999999</v>
          </cell>
          <cell r="AE2311">
            <v>0</v>
          </cell>
          <cell r="AF2311">
            <v>0</v>
          </cell>
          <cell r="AG2311">
            <v>9900</v>
          </cell>
          <cell r="AH2311">
            <v>96</v>
          </cell>
          <cell r="AI2311">
            <v>0.98899999999999999</v>
          </cell>
          <cell r="AJ2311">
            <v>1</v>
          </cell>
          <cell r="AK2311">
            <v>97.06</v>
          </cell>
          <cell r="AL2311">
            <v>0</v>
          </cell>
        </row>
        <row r="2312">
          <cell r="E2312" t="str">
            <v>A15-322PXe</v>
          </cell>
          <cell r="F2312" t="str">
            <v>台</v>
          </cell>
          <cell r="G2312">
            <v>0</v>
          </cell>
          <cell r="H2312">
            <v>31700</v>
          </cell>
          <cell r="I2312">
            <v>0</v>
          </cell>
          <cell r="J2312">
            <v>31700</v>
          </cell>
          <cell r="K2312">
            <v>0</v>
          </cell>
          <cell r="L2312">
            <v>31700</v>
          </cell>
          <cell r="M2312">
            <v>0</v>
          </cell>
          <cell r="N2312">
            <v>31700</v>
          </cell>
          <cell r="O2312">
            <v>0</v>
          </cell>
          <cell r="P2312">
            <v>31700</v>
          </cell>
          <cell r="Q2312">
            <v>0</v>
          </cell>
          <cell r="R2312">
            <v>31700</v>
          </cell>
          <cell r="S2312">
            <v>0</v>
          </cell>
          <cell r="T2312">
            <v>31700</v>
          </cell>
          <cell r="U2312">
            <v>0</v>
          </cell>
          <cell r="V2312">
            <v>31700</v>
          </cell>
          <cell r="W2312">
            <v>0</v>
          </cell>
          <cell r="X2312">
            <v>31700</v>
          </cell>
          <cell r="Y2312">
            <v>0</v>
          </cell>
          <cell r="Z2312">
            <v>31700</v>
          </cell>
          <cell r="AA2312">
            <v>0</v>
          </cell>
          <cell r="AB2312">
            <v>0</v>
          </cell>
          <cell r="AC2312">
            <v>0</v>
          </cell>
          <cell r="AD2312">
            <v>0.48799999999999999</v>
          </cell>
          <cell r="AE2312">
            <v>0</v>
          </cell>
          <cell r="AF2312">
            <v>0</v>
          </cell>
          <cell r="AG2312">
            <v>9900</v>
          </cell>
          <cell r="AH2312">
            <v>96</v>
          </cell>
          <cell r="AI2312">
            <v>0.98899999999999999</v>
          </cell>
          <cell r="AJ2312">
            <v>1</v>
          </cell>
          <cell r="AK2312">
            <v>97.06</v>
          </cell>
          <cell r="AL2312">
            <v>0</v>
          </cell>
        </row>
        <row r="2313">
          <cell r="E2313" t="str">
            <v>A15-322PKe</v>
          </cell>
          <cell r="F2313" t="str">
            <v>台</v>
          </cell>
          <cell r="G2313">
            <v>0</v>
          </cell>
          <cell r="H2313">
            <v>31700</v>
          </cell>
          <cell r="I2313">
            <v>0</v>
          </cell>
          <cell r="J2313">
            <v>31700</v>
          </cell>
          <cell r="K2313">
            <v>0</v>
          </cell>
          <cell r="L2313">
            <v>31700</v>
          </cell>
          <cell r="M2313">
            <v>0</v>
          </cell>
          <cell r="N2313">
            <v>31700</v>
          </cell>
          <cell r="O2313">
            <v>0</v>
          </cell>
          <cell r="P2313">
            <v>31700</v>
          </cell>
          <cell r="Q2313">
            <v>0</v>
          </cell>
          <cell r="R2313">
            <v>31700</v>
          </cell>
          <cell r="S2313">
            <v>0</v>
          </cell>
          <cell r="T2313">
            <v>31700</v>
          </cell>
          <cell r="U2313">
            <v>0</v>
          </cell>
          <cell r="V2313">
            <v>31700</v>
          </cell>
          <cell r="W2313">
            <v>0</v>
          </cell>
          <cell r="X2313">
            <v>31700</v>
          </cell>
          <cell r="Y2313">
            <v>0</v>
          </cell>
          <cell r="Z2313">
            <v>31700</v>
          </cell>
          <cell r="AA2313">
            <v>0</v>
          </cell>
          <cell r="AB2313">
            <v>0</v>
          </cell>
          <cell r="AC2313">
            <v>0</v>
          </cell>
          <cell r="AD2313">
            <v>0.48799999999999999</v>
          </cell>
          <cell r="AE2313">
            <v>0</v>
          </cell>
          <cell r="AF2313">
            <v>0</v>
          </cell>
          <cell r="AG2313">
            <v>9900</v>
          </cell>
          <cell r="AH2313">
            <v>96</v>
          </cell>
          <cell r="AI2313">
            <v>0.98899999999999999</v>
          </cell>
          <cell r="AJ2313">
            <v>1</v>
          </cell>
          <cell r="AK2313">
            <v>97.06</v>
          </cell>
          <cell r="AL2313">
            <v>0</v>
          </cell>
        </row>
        <row r="2314">
          <cell r="E2314" t="str">
            <v>■Ｈｆルーバー埋込形</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row>
        <row r="2315">
          <cell r="E2315" t="str">
            <v>D15-321PNe</v>
          </cell>
          <cell r="F2315" t="str">
            <v>台</v>
          </cell>
          <cell r="G2315">
            <v>0</v>
          </cell>
          <cell r="H2315">
            <v>34500</v>
          </cell>
          <cell r="I2315">
            <v>0</v>
          </cell>
          <cell r="J2315">
            <v>34500</v>
          </cell>
          <cell r="K2315">
            <v>0</v>
          </cell>
          <cell r="L2315">
            <v>34500</v>
          </cell>
          <cell r="M2315">
            <v>0</v>
          </cell>
          <cell r="N2315">
            <v>34500</v>
          </cell>
          <cell r="O2315">
            <v>0</v>
          </cell>
          <cell r="P2315">
            <v>34500</v>
          </cell>
          <cell r="Q2315">
            <v>0</v>
          </cell>
          <cell r="R2315">
            <v>34500</v>
          </cell>
          <cell r="S2315">
            <v>0</v>
          </cell>
          <cell r="T2315">
            <v>34500</v>
          </cell>
          <cell r="U2315">
            <v>0</v>
          </cell>
          <cell r="V2315">
            <v>34500</v>
          </cell>
          <cell r="W2315">
            <v>0</v>
          </cell>
          <cell r="X2315">
            <v>34500</v>
          </cell>
          <cell r="Y2315">
            <v>0</v>
          </cell>
          <cell r="Z2315">
            <v>34500</v>
          </cell>
          <cell r="AA2315">
            <v>0</v>
          </cell>
          <cell r="AB2315">
            <v>0</v>
          </cell>
          <cell r="AC2315">
            <v>0</v>
          </cell>
          <cell r="AD2315">
            <v>0.39100000000000001</v>
          </cell>
          <cell r="AE2315">
            <v>0</v>
          </cell>
          <cell r="AF2315">
            <v>0</v>
          </cell>
          <cell r="AG2315">
            <v>4950</v>
          </cell>
          <cell r="AH2315">
            <v>48</v>
          </cell>
          <cell r="AI2315">
            <v>0.97899999999999998</v>
          </cell>
          <cell r="AJ2315">
            <v>1</v>
          </cell>
          <cell r="AK2315">
            <v>49.02</v>
          </cell>
          <cell r="AL2315">
            <v>0</v>
          </cell>
        </row>
        <row r="2316">
          <cell r="E2316" t="str">
            <v>D15-321PHe</v>
          </cell>
          <cell r="F2316" t="str">
            <v>台</v>
          </cell>
          <cell r="G2316">
            <v>0</v>
          </cell>
          <cell r="H2316">
            <v>36600</v>
          </cell>
          <cell r="I2316">
            <v>0</v>
          </cell>
          <cell r="J2316">
            <v>36600</v>
          </cell>
          <cell r="K2316">
            <v>0</v>
          </cell>
          <cell r="L2316">
            <v>36600</v>
          </cell>
          <cell r="M2316">
            <v>0</v>
          </cell>
          <cell r="N2316">
            <v>36600</v>
          </cell>
          <cell r="O2316">
            <v>0</v>
          </cell>
          <cell r="P2316">
            <v>36600</v>
          </cell>
          <cell r="Q2316">
            <v>0</v>
          </cell>
          <cell r="R2316">
            <v>36600</v>
          </cell>
          <cell r="S2316">
            <v>0</v>
          </cell>
          <cell r="T2316">
            <v>36600</v>
          </cell>
          <cell r="U2316">
            <v>0</v>
          </cell>
          <cell r="V2316">
            <v>36600</v>
          </cell>
          <cell r="W2316">
            <v>0</v>
          </cell>
          <cell r="X2316">
            <v>36600</v>
          </cell>
          <cell r="Y2316">
            <v>0</v>
          </cell>
          <cell r="Z2316">
            <v>36600</v>
          </cell>
          <cell r="AA2316">
            <v>0</v>
          </cell>
          <cell r="AB2316">
            <v>0</v>
          </cell>
          <cell r="AC2316">
            <v>0</v>
          </cell>
          <cell r="AD2316">
            <v>0.39100000000000001</v>
          </cell>
          <cell r="AE2316">
            <v>0</v>
          </cell>
          <cell r="AF2316">
            <v>0</v>
          </cell>
          <cell r="AG2316">
            <v>4950</v>
          </cell>
          <cell r="AH2316">
            <v>48</v>
          </cell>
          <cell r="AI2316">
            <v>0.97899999999999998</v>
          </cell>
          <cell r="AJ2316">
            <v>1</v>
          </cell>
          <cell r="AK2316">
            <v>49.02</v>
          </cell>
          <cell r="AL2316">
            <v>0</v>
          </cell>
        </row>
        <row r="2317">
          <cell r="E2317" t="str">
            <v>D15-322PNe</v>
          </cell>
          <cell r="F2317" t="str">
            <v>台</v>
          </cell>
          <cell r="G2317">
            <v>0</v>
          </cell>
          <cell r="H2317">
            <v>37100</v>
          </cell>
          <cell r="I2317">
            <v>0</v>
          </cell>
          <cell r="J2317">
            <v>37100</v>
          </cell>
          <cell r="K2317">
            <v>0</v>
          </cell>
          <cell r="L2317">
            <v>37100</v>
          </cell>
          <cell r="M2317">
            <v>0</v>
          </cell>
          <cell r="N2317">
            <v>37100</v>
          </cell>
          <cell r="O2317">
            <v>0</v>
          </cell>
          <cell r="P2317">
            <v>37100</v>
          </cell>
          <cell r="Q2317">
            <v>0</v>
          </cell>
          <cell r="R2317">
            <v>37100</v>
          </cell>
          <cell r="S2317">
            <v>0</v>
          </cell>
          <cell r="T2317">
            <v>37100</v>
          </cell>
          <cell r="U2317">
            <v>0</v>
          </cell>
          <cell r="V2317">
            <v>37100</v>
          </cell>
          <cell r="W2317">
            <v>0</v>
          </cell>
          <cell r="X2317">
            <v>37100</v>
          </cell>
          <cell r="Y2317">
            <v>0</v>
          </cell>
          <cell r="Z2317">
            <v>37100</v>
          </cell>
          <cell r="AA2317">
            <v>0</v>
          </cell>
          <cell r="AB2317">
            <v>0</v>
          </cell>
          <cell r="AC2317">
            <v>0</v>
          </cell>
          <cell r="AD2317">
            <v>0.48799999999999999</v>
          </cell>
          <cell r="AE2317">
            <v>0</v>
          </cell>
          <cell r="AF2317">
            <v>0</v>
          </cell>
          <cell r="AG2317">
            <v>9900</v>
          </cell>
          <cell r="AH2317">
            <v>96</v>
          </cell>
          <cell r="AI2317">
            <v>0.98899999999999999</v>
          </cell>
          <cell r="AJ2317">
            <v>1</v>
          </cell>
          <cell r="AK2317">
            <v>97.06</v>
          </cell>
          <cell r="AL2317">
            <v>0</v>
          </cell>
        </row>
        <row r="2318">
          <cell r="E2318" t="str">
            <v>D15-322PHe</v>
          </cell>
          <cell r="F2318" t="str">
            <v>台</v>
          </cell>
          <cell r="G2318">
            <v>0</v>
          </cell>
          <cell r="H2318">
            <v>38500</v>
          </cell>
          <cell r="I2318">
            <v>0</v>
          </cell>
          <cell r="J2318">
            <v>38500</v>
          </cell>
          <cell r="K2318">
            <v>0</v>
          </cell>
          <cell r="L2318">
            <v>38500</v>
          </cell>
          <cell r="M2318">
            <v>0</v>
          </cell>
          <cell r="N2318">
            <v>38500</v>
          </cell>
          <cell r="O2318">
            <v>0</v>
          </cell>
          <cell r="P2318">
            <v>38500</v>
          </cell>
          <cell r="Q2318">
            <v>0</v>
          </cell>
          <cell r="R2318">
            <v>38500</v>
          </cell>
          <cell r="S2318">
            <v>0</v>
          </cell>
          <cell r="T2318">
            <v>38500</v>
          </cell>
          <cell r="U2318">
            <v>0</v>
          </cell>
          <cell r="V2318">
            <v>38500</v>
          </cell>
          <cell r="W2318">
            <v>0</v>
          </cell>
          <cell r="X2318">
            <v>38500</v>
          </cell>
          <cell r="Y2318">
            <v>0</v>
          </cell>
          <cell r="Z2318">
            <v>38500</v>
          </cell>
          <cell r="AA2318">
            <v>0</v>
          </cell>
          <cell r="AB2318">
            <v>0</v>
          </cell>
          <cell r="AC2318">
            <v>0</v>
          </cell>
          <cell r="AD2318">
            <v>0.48799999999999999</v>
          </cell>
          <cell r="AE2318">
            <v>0</v>
          </cell>
          <cell r="AF2318">
            <v>0</v>
          </cell>
          <cell r="AG2318">
            <v>9900</v>
          </cell>
          <cell r="AH2318">
            <v>96</v>
          </cell>
          <cell r="AI2318">
            <v>0.98899999999999999</v>
          </cell>
          <cell r="AJ2318">
            <v>1</v>
          </cell>
          <cell r="AK2318">
            <v>97.06</v>
          </cell>
          <cell r="AL2318">
            <v>0</v>
          </cell>
        </row>
        <row r="2319">
          <cell r="E2319" t="str">
            <v>D15-322PKe</v>
          </cell>
          <cell r="F2319" t="str">
            <v>台</v>
          </cell>
          <cell r="G2319">
            <v>0</v>
          </cell>
          <cell r="H2319">
            <v>39600</v>
          </cell>
          <cell r="I2319">
            <v>0</v>
          </cell>
          <cell r="J2319">
            <v>39600</v>
          </cell>
          <cell r="K2319">
            <v>0</v>
          </cell>
          <cell r="L2319">
            <v>39600</v>
          </cell>
          <cell r="M2319">
            <v>0</v>
          </cell>
          <cell r="N2319">
            <v>39600</v>
          </cell>
          <cell r="O2319">
            <v>0</v>
          </cell>
          <cell r="P2319">
            <v>39600</v>
          </cell>
          <cell r="Q2319">
            <v>0</v>
          </cell>
          <cell r="R2319">
            <v>39600</v>
          </cell>
          <cell r="S2319">
            <v>0</v>
          </cell>
          <cell r="T2319">
            <v>39600</v>
          </cell>
          <cell r="U2319">
            <v>0</v>
          </cell>
          <cell r="V2319">
            <v>39600</v>
          </cell>
          <cell r="W2319">
            <v>0</v>
          </cell>
          <cell r="X2319">
            <v>39600</v>
          </cell>
          <cell r="Y2319">
            <v>0</v>
          </cell>
          <cell r="Z2319">
            <v>39600</v>
          </cell>
          <cell r="AA2319">
            <v>0</v>
          </cell>
          <cell r="AB2319">
            <v>0</v>
          </cell>
          <cell r="AC2319">
            <v>0</v>
          </cell>
          <cell r="AD2319">
            <v>0.48799999999999999</v>
          </cell>
          <cell r="AE2319">
            <v>0</v>
          </cell>
          <cell r="AF2319">
            <v>0</v>
          </cell>
          <cell r="AG2319">
            <v>9900</v>
          </cell>
          <cell r="AH2319">
            <v>96</v>
          </cell>
          <cell r="AI2319">
            <v>0.98899999999999999</v>
          </cell>
          <cell r="AJ2319">
            <v>1</v>
          </cell>
          <cell r="AK2319">
            <v>97.06</v>
          </cell>
          <cell r="AL2319">
            <v>0</v>
          </cell>
        </row>
        <row r="2320">
          <cell r="E2320" t="str">
            <v>D15V-321PNe</v>
          </cell>
          <cell r="F2320" t="str">
            <v>台</v>
          </cell>
          <cell r="G2320">
            <v>0</v>
          </cell>
          <cell r="H2320">
            <v>34500</v>
          </cell>
          <cell r="I2320">
            <v>0</v>
          </cell>
          <cell r="J2320">
            <v>34500</v>
          </cell>
          <cell r="K2320">
            <v>0</v>
          </cell>
          <cell r="L2320">
            <v>34500</v>
          </cell>
          <cell r="M2320">
            <v>0</v>
          </cell>
          <cell r="N2320">
            <v>34500</v>
          </cell>
          <cell r="O2320">
            <v>0</v>
          </cell>
          <cell r="P2320">
            <v>34500</v>
          </cell>
          <cell r="Q2320">
            <v>0</v>
          </cell>
          <cell r="R2320">
            <v>34500</v>
          </cell>
          <cell r="S2320">
            <v>0</v>
          </cell>
          <cell r="T2320">
            <v>34500</v>
          </cell>
          <cell r="U2320">
            <v>0</v>
          </cell>
          <cell r="V2320">
            <v>34500</v>
          </cell>
          <cell r="W2320">
            <v>0</v>
          </cell>
          <cell r="X2320">
            <v>34500</v>
          </cell>
          <cell r="Y2320">
            <v>0</v>
          </cell>
          <cell r="Z2320">
            <v>34500</v>
          </cell>
          <cell r="AA2320">
            <v>0</v>
          </cell>
          <cell r="AB2320">
            <v>0</v>
          </cell>
          <cell r="AC2320">
            <v>0</v>
          </cell>
          <cell r="AD2320">
            <v>0.39100000000000001</v>
          </cell>
          <cell r="AE2320">
            <v>0</v>
          </cell>
          <cell r="AF2320">
            <v>0</v>
          </cell>
          <cell r="AG2320">
            <v>4950</v>
          </cell>
          <cell r="AH2320">
            <v>48</v>
          </cell>
          <cell r="AI2320">
            <v>0.97899999999999998</v>
          </cell>
          <cell r="AJ2320">
            <v>1</v>
          </cell>
          <cell r="AK2320">
            <v>49.02</v>
          </cell>
          <cell r="AL2320">
            <v>0</v>
          </cell>
        </row>
        <row r="2321">
          <cell r="E2321" t="str">
            <v>D15V-321PHe</v>
          </cell>
          <cell r="F2321" t="str">
            <v>台</v>
          </cell>
          <cell r="G2321">
            <v>0</v>
          </cell>
          <cell r="H2321">
            <v>36600</v>
          </cell>
          <cell r="I2321">
            <v>0</v>
          </cell>
          <cell r="J2321">
            <v>36600</v>
          </cell>
          <cell r="K2321">
            <v>0</v>
          </cell>
          <cell r="L2321">
            <v>36600</v>
          </cell>
          <cell r="M2321">
            <v>0</v>
          </cell>
          <cell r="N2321">
            <v>36600</v>
          </cell>
          <cell r="O2321">
            <v>0</v>
          </cell>
          <cell r="P2321">
            <v>36600</v>
          </cell>
          <cell r="Q2321">
            <v>0</v>
          </cell>
          <cell r="R2321">
            <v>36600</v>
          </cell>
          <cell r="S2321">
            <v>0</v>
          </cell>
          <cell r="T2321">
            <v>36600</v>
          </cell>
          <cell r="U2321">
            <v>0</v>
          </cell>
          <cell r="V2321">
            <v>36600</v>
          </cell>
          <cell r="W2321">
            <v>0</v>
          </cell>
          <cell r="X2321">
            <v>36600</v>
          </cell>
          <cell r="Y2321">
            <v>0</v>
          </cell>
          <cell r="Z2321">
            <v>36600</v>
          </cell>
          <cell r="AA2321">
            <v>0</v>
          </cell>
          <cell r="AB2321">
            <v>0</v>
          </cell>
          <cell r="AC2321">
            <v>0</v>
          </cell>
          <cell r="AD2321">
            <v>0.39100000000000001</v>
          </cell>
          <cell r="AE2321">
            <v>0</v>
          </cell>
          <cell r="AF2321">
            <v>0</v>
          </cell>
          <cell r="AG2321">
            <v>4950</v>
          </cell>
          <cell r="AH2321">
            <v>48</v>
          </cell>
          <cell r="AI2321">
            <v>0.97899999999999998</v>
          </cell>
          <cell r="AJ2321">
            <v>1</v>
          </cell>
          <cell r="AK2321">
            <v>49.02</v>
          </cell>
          <cell r="AL2321">
            <v>0</v>
          </cell>
        </row>
        <row r="2322">
          <cell r="E2322" t="str">
            <v>D15V-322PNe</v>
          </cell>
          <cell r="F2322" t="str">
            <v>台</v>
          </cell>
          <cell r="G2322">
            <v>0</v>
          </cell>
          <cell r="H2322">
            <v>37100</v>
          </cell>
          <cell r="I2322">
            <v>0</v>
          </cell>
          <cell r="J2322">
            <v>37100</v>
          </cell>
          <cell r="K2322">
            <v>0</v>
          </cell>
          <cell r="L2322">
            <v>37100</v>
          </cell>
          <cell r="M2322">
            <v>0</v>
          </cell>
          <cell r="N2322">
            <v>37100</v>
          </cell>
          <cell r="O2322">
            <v>0</v>
          </cell>
          <cell r="P2322">
            <v>37100</v>
          </cell>
          <cell r="Q2322">
            <v>0</v>
          </cell>
          <cell r="R2322">
            <v>37100</v>
          </cell>
          <cell r="S2322">
            <v>0</v>
          </cell>
          <cell r="T2322">
            <v>37100</v>
          </cell>
          <cell r="U2322">
            <v>0</v>
          </cell>
          <cell r="V2322">
            <v>37100</v>
          </cell>
          <cell r="W2322">
            <v>0</v>
          </cell>
          <cell r="X2322">
            <v>37100</v>
          </cell>
          <cell r="Y2322">
            <v>0</v>
          </cell>
          <cell r="Z2322">
            <v>37100</v>
          </cell>
          <cell r="AA2322">
            <v>0</v>
          </cell>
          <cell r="AB2322">
            <v>0</v>
          </cell>
          <cell r="AC2322">
            <v>0</v>
          </cell>
          <cell r="AD2322">
            <v>0.48799999999999999</v>
          </cell>
          <cell r="AE2322">
            <v>0</v>
          </cell>
          <cell r="AF2322">
            <v>0</v>
          </cell>
          <cell r="AG2322">
            <v>9900</v>
          </cell>
          <cell r="AH2322">
            <v>96</v>
          </cell>
          <cell r="AI2322">
            <v>0.98899999999999999</v>
          </cell>
          <cell r="AJ2322">
            <v>1</v>
          </cell>
          <cell r="AK2322">
            <v>97.06</v>
          </cell>
          <cell r="AL2322">
            <v>0</v>
          </cell>
        </row>
        <row r="2323">
          <cell r="E2323" t="str">
            <v>D15V-321PHe</v>
          </cell>
          <cell r="F2323" t="str">
            <v>台</v>
          </cell>
          <cell r="G2323">
            <v>0</v>
          </cell>
          <cell r="H2323">
            <v>38500</v>
          </cell>
          <cell r="I2323">
            <v>0</v>
          </cell>
          <cell r="J2323">
            <v>38500</v>
          </cell>
          <cell r="K2323">
            <v>0</v>
          </cell>
          <cell r="L2323">
            <v>38500</v>
          </cell>
          <cell r="M2323">
            <v>0</v>
          </cell>
          <cell r="N2323">
            <v>38500</v>
          </cell>
          <cell r="O2323">
            <v>0</v>
          </cell>
          <cell r="P2323">
            <v>38500</v>
          </cell>
          <cell r="Q2323">
            <v>0</v>
          </cell>
          <cell r="R2323">
            <v>38500</v>
          </cell>
          <cell r="S2323">
            <v>0</v>
          </cell>
          <cell r="T2323">
            <v>38500</v>
          </cell>
          <cell r="U2323">
            <v>0</v>
          </cell>
          <cell r="V2323">
            <v>38500</v>
          </cell>
          <cell r="W2323">
            <v>0</v>
          </cell>
          <cell r="X2323">
            <v>38500</v>
          </cell>
          <cell r="Y2323">
            <v>0</v>
          </cell>
          <cell r="Z2323">
            <v>38500</v>
          </cell>
          <cell r="AA2323">
            <v>0</v>
          </cell>
          <cell r="AB2323">
            <v>0</v>
          </cell>
          <cell r="AC2323">
            <v>0</v>
          </cell>
          <cell r="AD2323">
            <v>0.39100000000000001</v>
          </cell>
          <cell r="AE2323">
            <v>0</v>
          </cell>
          <cell r="AF2323">
            <v>0</v>
          </cell>
          <cell r="AG2323">
            <v>4950</v>
          </cell>
          <cell r="AH2323">
            <v>48</v>
          </cell>
          <cell r="AI2323">
            <v>0.97899999999999998</v>
          </cell>
          <cell r="AJ2323">
            <v>1</v>
          </cell>
          <cell r="AK2323">
            <v>49.02</v>
          </cell>
          <cell r="AL2323">
            <v>0</v>
          </cell>
        </row>
        <row r="2324">
          <cell r="E2324" t="str">
            <v>D15V-321PXe</v>
          </cell>
          <cell r="F2324" t="str">
            <v>台</v>
          </cell>
          <cell r="G2324">
            <v>0</v>
          </cell>
          <cell r="H2324">
            <v>39600</v>
          </cell>
          <cell r="I2324">
            <v>0</v>
          </cell>
          <cell r="J2324">
            <v>39600</v>
          </cell>
          <cell r="K2324">
            <v>0</v>
          </cell>
          <cell r="L2324">
            <v>39600</v>
          </cell>
          <cell r="M2324">
            <v>0</v>
          </cell>
          <cell r="N2324">
            <v>39600</v>
          </cell>
          <cell r="O2324">
            <v>0</v>
          </cell>
          <cell r="P2324">
            <v>39600</v>
          </cell>
          <cell r="Q2324">
            <v>0</v>
          </cell>
          <cell r="R2324">
            <v>39600</v>
          </cell>
          <cell r="S2324">
            <v>0</v>
          </cell>
          <cell r="T2324">
            <v>39600</v>
          </cell>
          <cell r="U2324">
            <v>0</v>
          </cell>
          <cell r="V2324">
            <v>39600</v>
          </cell>
          <cell r="W2324">
            <v>0</v>
          </cell>
          <cell r="X2324">
            <v>39600</v>
          </cell>
          <cell r="Y2324">
            <v>0</v>
          </cell>
          <cell r="Z2324">
            <v>39600</v>
          </cell>
          <cell r="AA2324">
            <v>0</v>
          </cell>
          <cell r="AB2324">
            <v>0</v>
          </cell>
          <cell r="AC2324">
            <v>0</v>
          </cell>
          <cell r="AD2324">
            <v>0.39100000000000001</v>
          </cell>
          <cell r="AE2324">
            <v>0</v>
          </cell>
          <cell r="AF2324">
            <v>0</v>
          </cell>
          <cell r="AG2324">
            <v>4950</v>
          </cell>
          <cell r="AH2324">
            <v>48</v>
          </cell>
          <cell r="AI2324">
            <v>0.97899999999999998</v>
          </cell>
          <cell r="AJ2324">
            <v>1</v>
          </cell>
          <cell r="AK2324">
            <v>49.02</v>
          </cell>
          <cell r="AL2324">
            <v>0</v>
          </cell>
        </row>
        <row r="2325">
          <cell r="E2325" t="str">
            <v>D15V-322PKe</v>
          </cell>
          <cell r="F2325" t="str">
            <v>台</v>
          </cell>
          <cell r="G2325">
            <v>0</v>
          </cell>
          <cell r="H2325">
            <v>39600</v>
          </cell>
          <cell r="I2325">
            <v>0</v>
          </cell>
          <cell r="J2325">
            <v>39600</v>
          </cell>
          <cell r="K2325">
            <v>0</v>
          </cell>
          <cell r="L2325">
            <v>39600</v>
          </cell>
          <cell r="M2325">
            <v>0</v>
          </cell>
          <cell r="N2325">
            <v>39600</v>
          </cell>
          <cell r="O2325">
            <v>0</v>
          </cell>
          <cell r="P2325">
            <v>39600</v>
          </cell>
          <cell r="Q2325">
            <v>0</v>
          </cell>
          <cell r="R2325">
            <v>39600</v>
          </cell>
          <cell r="S2325">
            <v>0</v>
          </cell>
          <cell r="T2325">
            <v>39600</v>
          </cell>
          <cell r="U2325">
            <v>0</v>
          </cell>
          <cell r="V2325">
            <v>39600</v>
          </cell>
          <cell r="W2325">
            <v>0</v>
          </cell>
          <cell r="X2325">
            <v>39600</v>
          </cell>
          <cell r="Y2325">
            <v>0</v>
          </cell>
          <cell r="Z2325">
            <v>39600</v>
          </cell>
          <cell r="AA2325">
            <v>0</v>
          </cell>
          <cell r="AB2325">
            <v>0</v>
          </cell>
          <cell r="AC2325">
            <v>0</v>
          </cell>
          <cell r="AD2325">
            <v>0.48799999999999999</v>
          </cell>
          <cell r="AE2325">
            <v>0</v>
          </cell>
          <cell r="AF2325">
            <v>0</v>
          </cell>
          <cell r="AG2325">
            <v>9900</v>
          </cell>
          <cell r="AH2325">
            <v>96</v>
          </cell>
          <cell r="AI2325">
            <v>0.98899999999999999</v>
          </cell>
          <cell r="AJ2325">
            <v>1</v>
          </cell>
          <cell r="AK2325">
            <v>97.06</v>
          </cell>
          <cell r="AL2325">
            <v>0</v>
          </cell>
        </row>
        <row r="2326">
          <cell r="E2326" t="str">
            <v>D15L-321PNe</v>
          </cell>
          <cell r="F2326" t="str">
            <v>台</v>
          </cell>
          <cell r="G2326">
            <v>0</v>
          </cell>
          <cell r="H2326">
            <v>30800</v>
          </cell>
          <cell r="I2326">
            <v>0</v>
          </cell>
          <cell r="J2326">
            <v>30800</v>
          </cell>
          <cell r="K2326">
            <v>0</v>
          </cell>
          <cell r="L2326">
            <v>30800</v>
          </cell>
          <cell r="M2326">
            <v>0</v>
          </cell>
          <cell r="N2326">
            <v>30800</v>
          </cell>
          <cell r="O2326">
            <v>0</v>
          </cell>
          <cell r="P2326">
            <v>30800</v>
          </cell>
          <cell r="Q2326">
            <v>0</v>
          </cell>
          <cell r="R2326">
            <v>30800</v>
          </cell>
          <cell r="S2326">
            <v>0</v>
          </cell>
          <cell r="T2326">
            <v>30800</v>
          </cell>
          <cell r="U2326">
            <v>0</v>
          </cell>
          <cell r="V2326">
            <v>30800</v>
          </cell>
          <cell r="W2326">
            <v>0</v>
          </cell>
          <cell r="X2326">
            <v>30800</v>
          </cell>
          <cell r="Y2326">
            <v>0</v>
          </cell>
          <cell r="Z2326">
            <v>30800</v>
          </cell>
          <cell r="AA2326">
            <v>0</v>
          </cell>
          <cell r="AB2326">
            <v>0</v>
          </cell>
          <cell r="AC2326">
            <v>0</v>
          </cell>
          <cell r="AD2326">
            <v>0.39100000000000001</v>
          </cell>
          <cell r="AE2326">
            <v>0</v>
          </cell>
          <cell r="AF2326">
            <v>0</v>
          </cell>
          <cell r="AG2326">
            <v>4950</v>
          </cell>
          <cell r="AH2326">
            <v>48</v>
          </cell>
          <cell r="AI2326">
            <v>0.97899999999999998</v>
          </cell>
          <cell r="AJ2326">
            <v>1</v>
          </cell>
          <cell r="AK2326">
            <v>49.02</v>
          </cell>
          <cell r="AL2326">
            <v>0</v>
          </cell>
        </row>
        <row r="2327">
          <cell r="E2327" t="str">
            <v>D15L-321PHe</v>
          </cell>
          <cell r="F2327" t="str">
            <v>台</v>
          </cell>
          <cell r="G2327">
            <v>0</v>
          </cell>
          <cell r="H2327">
            <v>32800</v>
          </cell>
          <cell r="I2327">
            <v>0</v>
          </cell>
          <cell r="J2327">
            <v>32800</v>
          </cell>
          <cell r="K2327">
            <v>0</v>
          </cell>
          <cell r="L2327">
            <v>32800</v>
          </cell>
          <cell r="M2327">
            <v>0</v>
          </cell>
          <cell r="N2327">
            <v>32800</v>
          </cell>
          <cell r="O2327">
            <v>0</v>
          </cell>
          <cell r="P2327">
            <v>32800</v>
          </cell>
          <cell r="Q2327">
            <v>0</v>
          </cell>
          <cell r="R2327">
            <v>32800</v>
          </cell>
          <cell r="S2327">
            <v>0</v>
          </cell>
          <cell r="T2327">
            <v>32800</v>
          </cell>
          <cell r="U2327">
            <v>0</v>
          </cell>
          <cell r="V2327">
            <v>32800</v>
          </cell>
          <cell r="W2327">
            <v>0</v>
          </cell>
          <cell r="X2327">
            <v>32800</v>
          </cell>
          <cell r="Y2327">
            <v>0</v>
          </cell>
          <cell r="Z2327">
            <v>32800</v>
          </cell>
          <cell r="AA2327">
            <v>0</v>
          </cell>
          <cell r="AB2327">
            <v>0</v>
          </cell>
          <cell r="AC2327">
            <v>0</v>
          </cell>
          <cell r="AD2327">
            <v>0.39100000000000001</v>
          </cell>
          <cell r="AE2327">
            <v>0</v>
          </cell>
          <cell r="AF2327">
            <v>0</v>
          </cell>
          <cell r="AG2327">
            <v>4950</v>
          </cell>
          <cell r="AH2327">
            <v>48</v>
          </cell>
          <cell r="AI2327">
            <v>0.97899999999999998</v>
          </cell>
          <cell r="AJ2327">
            <v>1</v>
          </cell>
          <cell r="AK2327">
            <v>49.02</v>
          </cell>
          <cell r="AL2327">
            <v>0</v>
          </cell>
        </row>
        <row r="2328">
          <cell r="E2328" t="str">
            <v>D15L-322PNe</v>
          </cell>
          <cell r="F2328" t="str">
            <v>台</v>
          </cell>
          <cell r="G2328">
            <v>0</v>
          </cell>
          <cell r="H2328">
            <v>32500</v>
          </cell>
          <cell r="I2328">
            <v>0</v>
          </cell>
          <cell r="J2328">
            <v>32500</v>
          </cell>
          <cell r="K2328">
            <v>0</v>
          </cell>
          <cell r="L2328">
            <v>32500</v>
          </cell>
          <cell r="M2328">
            <v>0</v>
          </cell>
          <cell r="N2328">
            <v>32500</v>
          </cell>
          <cell r="O2328">
            <v>0</v>
          </cell>
          <cell r="P2328">
            <v>32500</v>
          </cell>
          <cell r="Q2328">
            <v>0</v>
          </cell>
          <cell r="R2328">
            <v>32500</v>
          </cell>
          <cell r="S2328">
            <v>0</v>
          </cell>
          <cell r="T2328">
            <v>32500</v>
          </cell>
          <cell r="U2328">
            <v>0</v>
          </cell>
          <cell r="V2328">
            <v>32500</v>
          </cell>
          <cell r="W2328">
            <v>0</v>
          </cell>
          <cell r="X2328">
            <v>32500</v>
          </cell>
          <cell r="Y2328">
            <v>0</v>
          </cell>
          <cell r="Z2328">
            <v>32500</v>
          </cell>
          <cell r="AA2328">
            <v>0</v>
          </cell>
          <cell r="AB2328">
            <v>0</v>
          </cell>
          <cell r="AC2328">
            <v>0</v>
          </cell>
          <cell r="AD2328">
            <v>0.48799999999999999</v>
          </cell>
          <cell r="AE2328">
            <v>0</v>
          </cell>
          <cell r="AF2328">
            <v>0</v>
          </cell>
          <cell r="AG2328">
            <v>9900</v>
          </cell>
          <cell r="AH2328">
            <v>96</v>
          </cell>
          <cell r="AI2328">
            <v>0.98899999999999999</v>
          </cell>
          <cell r="AJ2328">
            <v>1</v>
          </cell>
          <cell r="AK2328">
            <v>97.06</v>
          </cell>
          <cell r="AL2328">
            <v>0</v>
          </cell>
        </row>
        <row r="2329">
          <cell r="E2329" t="str">
            <v>D15L-321PHe</v>
          </cell>
          <cell r="F2329" t="str">
            <v>台</v>
          </cell>
          <cell r="G2329">
            <v>0</v>
          </cell>
          <cell r="H2329">
            <v>34000</v>
          </cell>
          <cell r="I2329">
            <v>0</v>
          </cell>
          <cell r="J2329">
            <v>34000</v>
          </cell>
          <cell r="K2329">
            <v>0</v>
          </cell>
          <cell r="L2329">
            <v>34000</v>
          </cell>
          <cell r="M2329">
            <v>0</v>
          </cell>
          <cell r="N2329">
            <v>34000</v>
          </cell>
          <cell r="O2329">
            <v>0</v>
          </cell>
          <cell r="P2329">
            <v>34000</v>
          </cell>
          <cell r="Q2329">
            <v>0</v>
          </cell>
          <cell r="R2329">
            <v>34000</v>
          </cell>
          <cell r="S2329">
            <v>0</v>
          </cell>
          <cell r="T2329">
            <v>34000</v>
          </cell>
          <cell r="U2329">
            <v>0</v>
          </cell>
          <cell r="V2329">
            <v>34000</v>
          </cell>
          <cell r="W2329">
            <v>0</v>
          </cell>
          <cell r="X2329">
            <v>34000</v>
          </cell>
          <cell r="Y2329">
            <v>0</v>
          </cell>
          <cell r="Z2329">
            <v>34000</v>
          </cell>
          <cell r="AA2329">
            <v>0</v>
          </cell>
          <cell r="AB2329">
            <v>0</v>
          </cell>
          <cell r="AC2329">
            <v>0</v>
          </cell>
          <cell r="AD2329">
            <v>0.39100000000000001</v>
          </cell>
          <cell r="AE2329">
            <v>0</v>
          </cell>
          <cell r="AF2329">
            <v>0</v>
          </cell>
          <cell r="AG2329">
            <v>4950</v>
          </cell>
          <cell r="AH2329">
            <v>48</v>
          </cell>
          <cell r="AI2329">
            <v>0.97899999999999998</v>
          </cell>
          <cell r="AJ2329">
            <v>1</v>
          </cell>
          <cell r="AK2329">
            <v>49.02</v>
          </cell>
          <cell r="AL2329">
            <v>0</v>
          </cell>
        </row>
        <row r="2330">
          <cell r="E2330" t="str">
            <v>D15L-321PXe</v>
          </cell>
          <cell r="F2330" t="str">
            <v>台</v>
          </cell>
          <cell r="G2330">
            <v>0</v>
          </cell>
          <cell r="H2330">
            <v>35000</v>
          </cell>
          <cell r="I2330">
            <v>0</v>
          </cell>
          <cell r="J2330">
            <v>35000</v>
          </cell>
          <cell r="K2330">
            <v>0</v>
          </cell>
          <cell r="L2330">
            <v>35000</v>
          </cell>
          <cell r="M2330">
            <v>0</v>
          </cell>
          <cell r="N2330">
            <v>35000</v>
          </cell>
          <cell r="O2330">
            <v>0</v>
          </cell>
          <cell r="P2330">
            <v>35000</v>
          </cell>
          <cell r="Q2330">
            <v>0</v>
          </cell>
          <cell r="R2330">
            <v>35000</v>
          </cell>
          <cell r="S2330">
            <v>0</v>
          </cell>
          <cell r="T2330">
            <v>35000</v>
          </cell>
          <cell r="U2330">
            <v>0</v>
          </cell>
          <cell r="V2330">
            <v>35000</v>
          </cell>
          <cell r="W2330">
            <v>0</v>
          </cell>
          <cell r="X2330">
            <v>35000</v>
          </cell>
          <cell r="Y2330">
            <v>0</v>
          </cell>
          <cell r="Z2330">
            <v>35000</v>
          </cell>
          <cell r="AA2330">
            <v>0</v>
          </cell>
          <cell r="AB2330">
            <v>0</v>
          </cell>
          <cell r="AC2330">
            <v>0</v>
          </cell>
          <cell r="AD2330">
            <v>0.39100000000000001</v>
          </cell>
          <cell r="AE2330">
            <v>0</v>
          </cell>
          <cell r="AF2330">
            <v>0</v>
          </cell>
          <cell r="AG2330">
            <v>4950</v>
          </cell>
          <cell r="AH2330">
            <v>48</v>
          </cell>
          <cell r="AI2330">
            <v>0.97899999999999998</v>
          </cell>
          <cell r="AJ2330">
            <v>1</v>
          </cell>
          <cell r="AK2330">
            <v>49.02</v>
          </cell>
          <cell r="AL2330">
            <v>0</v>
          </cell>
        </row>
        <row r="2331">
          <cell r="E2331" t="str">
            <v>D15L-322PKe</v>
          </cell>
          <cell r="F2331" t="str">
            <v>台</v>
          </cell>
          <cell r="G2331">
            <v>0</v>
          </cell>
          <cell r="H2331">
            <v>35000</v>
          </cell>
          <cell r="I2331">
            <v>0</v>
          </cell>
          <cell r="J2331">
            <v>35000</v>
          </cell>
          <cell r="K2331">
            <v>0</v>
          </cell>
          <cell r="L2331">
            <v>35000</v>
          </cell>
          <cell r="M2331">
            <v>0</v>
          </cell>
          <cell r="N2331">
            <v>35000</v>
          </cell>
          <cell r="O2331">
            <v>0</v>
          </cell>
          <cell r="P2331">
            <v>35000</v>
          </cell>
          <cell r="Q2331">
            <v>0</v>
          </cell>
          <cell r="R2331">
            <v>35000</v>
          </cell>
          <cell r="S2331">
            <v>0</v>
          </cell>
          <cell r="T2331">
            <v>35000</v>
          </cell>
          <cell r="U2331">
            <v>0</v>
          </cell>
          <cell r="V2331">
            <v>35000</v>
          </cell>
          <cell r="W2331">
            <v>0</v>
          </cell>
          <cell r="X2331">
            <v>35000</v>
          </cell>
          <cell r="Y2331">
            <v>0</v>
          </cell>
          <cell r="Z2331">
            <v>35000</v>
          </cell>
          <cell r="AA2331">
            <v>0</v>
          </cell>
          <cell r="AB2331">
            <v>0</v>
          </cell>
          <cell r="AC2331">
            <v>0</v>
          </cell>
          <cell r="AD2331">
            <v>0.48799999999999999</v>
          </cell>
          <cell r="AE2331">
            <v>0</v>
          </cell>
          <cell r="AF2331">
            <v>0</v>
          </cell>
          <cell r="AG2331">
            <v>9900</v>
          </cell>
          <cell r="AH2331">
            <v>96</v>
          </cell>
          <cell r="AI2331">
            <v>0.98899999999999999</v>
          </cell>
          <cell r="AJ2331">
            <v>1</v>
          </cell>
          <cell r="AK2331">
            <v>97.06</v>
          </cell>
          <cell r="AL2331">
            <v>0</v>
          </cell>
        </row>
        <row r="2332">
          <cell r="E2332" t="str">
            <v>■Ｈｆ開放埋込形</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row>
        <row r="2333">
          <cell r="E2333" t="str">
            <v>A18-322PNe</v>
          </cell>
          <cell r="F2333" t="str">
            <v>台</v>
          </cell>
          <cell r="G2333">
            <v>0</v>
          </cell>
          <cell r="H2333">
            <v>29700</v>
          </cell>
          <cell r="I2333">
            <v>0</v>
          </cell>
          <cell r="J2333">
            <v>29700</v>
          </cell>
          <cell r="K2333">
            <v>0</v>
          </cell>
          <cell r="L2333">
            <v>29700</v>
          </cell>
          <cell r="M2333">
            <v>0</v>
          </cell>
          <cell r="N2333">
            <v>29700</v>
          </cell>
          <cell r="O2333">
            <v>0</v>
          </cell>
          <cell r="P2333">
            <v>29700</v>
          </cell>
          <cell r="Q2333">
            <v>0</v>
          </cell>
          <cell r="R2333">
            <v>29700</v>
          </cell>
          <cell r="S2333">
            <v>0</v>
          </cell>
          <cell r="T2333">
            <v>29700</v>
          </cell>
          <cell r="U2333">
            <v>0</v>
          </cell>
          <cell r="V2333">
            <v>29700</v>
          </cell>
          <cell r="W2333">
            <v>0</v>
          </cell>
          <cell r="X2333">
            <v>29700</v>
          </cell>
          <cell r="Y2333">
            <v>0</v>
          </cell>
          <cell r="Z2333">
            <v>29700</v>
          </cell>
          <cell r="AA2333">
            <v>0</v>
          </cell>
          <cell r="AB2333">
            <v>0</v>
          </cell>
          <cell r="AC2333">
            <v>0</v>
          </cell>
          <cell r="AD2333">
            <v>0.48799999999999999</v>
          </cell>
          <cell r="AE2333">
            <v>0</v>
          </cell>
          <cell r="AF2333">
            <v>0</v>
          </cell>
          <cell r="AG2333">
            <v>9900</v>
          </cell>
          <cell r="AH2333">
            <v>96</v>
          </cell>
          <cell r="AI2333">
            <v>0.98899999999999999</v>
          </cell>
          <cell r="AJ2333">
            <v>1</v>
          </cell>
          <cell r="AK2333">
            <v>97.06</v>
          </cell>
          <cell r="AL2333">
            <v>0</v>
          </cell>
        </row>
        <row r="2334">
          <cell r="E2334" t="str">
            <v>A18-322PHe</v>
          </cell>
          <cell r="F2334" t="str">
            <v>台</v>
          </cell>
          <cell r="G2334">
            <v>0</v>
          </cell>
          <cell r="H2334">
            <v>30900</v>
          </cell>
          <cell r="I2334">
            <v>0</v>
          </cell>
          <cell r="J2334">
            <v>30900</v>
          </cell>
          <cell r="K2334">
            <v>0</v>
          </cell>
          <cell r="L2334">
            <v>30900</v>
          </cell>
          <cell r="M2334">
            <v>0</v>
          </cell>
          <cell r="N2334">
            <v>30900</v>
          </cell>
          <cell r="O2334">
            <v>0</v>
          </cell>
          <cell r="P2334">
            <v>30900</v>
          </cell>
          <cell r="Q2334">
            <v>0</v>
          </cell>
          <cell r="R2334">
            <v>30900</v>
          </cell>
          <cell r="S2334">
            <v>0</v>
          </cell>
          <cell r="T2334">
            <v>30900</v>
          </cell>
          <cell r="U2334">
            <v>0</v>
          </cell>
          <cell r="V2334">
            <v>30900</v>
          </cell>
          <cell r="W2334">
            <v>0</v>
          </cell>
          <cell r="X2334">
            <v>30900</v>
          </cell>
          <cell r="Y2334">
            <v>0</v>
          </cell>
          <cell r="Z2334">
            <v>30900</v>
          </cell>
          <cell r="AA2334">
            <v>0</v>
          </cell>
          <cell r="AB2334">
            <v>0</v>
          </cell>
          <cell r="AC2334">
            <v>0</v>
          </cell>
          <cell r="AD2334">
            <v>0.48799999999999999</v>
          </cell>
          <cell r="AE2334">
            <v>0</v>
          </cell>
          <cell r="AF2334">
            <v>0</v>
          </cell>
          <cell r="AG2334">
            <v>9900</v>
          </cell>
          <cell r="AH2334">
            <v>96</v>
          </cell>
          <cell r="AI2334">
            <v>0.98899999999999999</v>
          </cell>
          <cell r="AJ2334">
            <v>1</v>
          </cell>
          <cell r="AK2334">
            <v>97.06</v>
          </cell>
          <cell r="AL2334">
            <v>0</v>
          </cell>
        </row>
        <row r="2335">
          <cell r="E2335" t="str">
            <v>A18-322PKe</v>
          </cell>
          <cell r="F2335" t="str">
            <v>台</v>
          </cell>
          <cell r="G2335">
            <v>0</v>
          </cell>
          <cell r="H2335">
            <v>31900</v>
          </cell>
          <cell r="I2335">
            <v>0</v>
          </cell>
          <cell r="J2335">
            <v>31900</v>
          </cell>
          <cell r="K2335">
            <v>0</v>
          </cell>
          <cell r="L2335">
            <v>31900</v>
          </cell>
          <cell r="M2335">
            <v>0</v>
          </cell>
          <cell r="N2335">
            <v>31900</v>
          </cell>
          <cell r="O2335">
            <v>0</v>
          </cell>
          <cell r="P2335">
            <v>31900</v>
          </cell>
          <cell r="Q2335">
            <v>0</v>
          </cell>
          <cell r="R2335">
            <v>31900</v>
          </cell>
          <cell r="S2335">
            <v>0</v>
          </cell>
          <cell r="T2335">
            <v>31900</v>
          </cell>
          <cell r="U2335">
            <v>0</v>
          </cell>
          <cell r="V2335">
            <v>31900</v>
          </cell>
          <cell r="W2335">
            <v>0</v>
          </cell>
          <cell r="X2335">
            <v>31900</v>
          </cell>
          <cell r="Y2335">
            <v>0</v>
          </cell>
          <cell r="Z2335">
            <v>31900</v>
          </cell>
          <cell r="AA2335">
            <v>0</v>
          </cell>
          <cell r="AB2335">
            <v>0</v>
          </cell>
          <cell r="AC2335">
            <v>0</v>
          </cell>
          <cell r="AD2335">
            <v>0.48799999999999999</v>
          </cell>
          <cell r="AE2335">
            <v>0</v>
          </cell>
          <cell r="AF2335">
            <v>0</v>
          </cell>
          <cell r="AG2335">
            <v>9900</v>
          </cell>
          <cell r="AH2335">
            <v>96</v>
          </cell>
          <cell r="AI2335">
            <v>0.98899999999999999</v>
          </cell>
          <cell r="AJ2335">
            <v>1</v>
          </cell>
          <cell r="AK2335">
            <v>97.06</v>
          </cell>
          <cell r="AL2335">
            <v>0</v>
          </cell>
        </row>
        <row r="2336">
          <cell r="E2336" t="str">
            <v>■Ｈｆルーバー埋込形</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row>
        <row r="2337">
          <cell r="E2337" t="str">
            <v>D18-322PNe</v>
          </cell>
          <cell r="F2337" t="str">
            <v>台</v>
          </cell>
          <cell r="G2337">
            <v>0</v>
          </cell>
          <cell r="H2337">
            <v>53600</v>
          </cell>
          <cell r="I2337">
            <v>0</v>
          </cell>
          <cell r="J2337">
            <v>53600</v>
          </cell>
          <cell r="K2337">
            <v>0</v>
          </cell>
          <cell r="L2337">
            <v>53600</v>
          </cell>
          <cell r="M2337">
            <v>0</v>
          </cell>
          <cell r="N2337">
            <v>53600</v>
          </cell>
          <cell r="O2337">
            <v>0</v>
          </cell>
          <cell r="P2337">
            <v>53600</v>
          </cell>
          <cell r="Q2337">
            <v>0</v>
          </cell>
          <cell r="R2337">
            <v>53600</v>
          </cell>
          <cell r="S2337">
            <v>0</v>
          </cell>
          <cell r="T2337">
            <v>53600</v>
          </cell>
          <cell r="U2337">
            <v>0</v>
          </cell>
          <cell r="V2337">
            <v>53600</v>
          </cell>
          <cell r="W2337">
            <v>0</v>
          </cell>
          <cell r="X2337">
            <v>53600</v>
          </cell>
          <cell r="Y2337">
            <v>0</v>
          </cell>
          <cell r="Z2337">
            <v>53600</v>
          </cell>
          <cell r="AA2337">
            <v>0</v>
          </cell>
          <cell r="AB2337">
            <v>0</v>
          </cell>
          <cell r="AC2337">
            <v>0</v>
          </cell>
          <cell r="AD2337">
            <v>0.48799999999999999</v>
          </cell>
          <cell r="AE2337">
            <v>0</v>
          </cell>
          <cell r="AF2337">
            <v>0</v>
          </cell>
          <cell r="AG2337">
            <v>9900</v>
          </cell>
          <cell r="AH2337">
            <v>96</v>
          </cell>
          <cell r="AI2337">
            <v>0.98899999999999999</v>
          </cell>
          <cell r="AJ2337">
            <v>1</v>
          </cell>
          <cell r="AK2337">
            <v>97.06</v>
          </cell>
          <cell r="AL2337">
            <v>0</v>
          </cell>
        </row>
        <row r="2338">
          <cell r="E2338" t="str">
            <v>D18-322PHe</v>
          </cell>
          <cell r="F2338" t="str">
            <v>台</v>
          </cell>
          <cell r="G2338">
            <v>0</v>
          </cell>
          <cell r="H2338">
            <v>44800</v>
          </cell>
          <cell r="I2338">
            <v>0</v>
          </cell>
          <cell r="J2338">
            <v>44800</v>
          </cell>
          <cell r="K2338">
            <v>0</v>
          </cell>
          <cell r="L2338">
            <v>44800</v>
          </cell>
          <cell r="M2338">
            <v>0</v>
          </cell>
          <cell r="N2338">
            <v>44800</v>
          </cell>
          <cell r="O2338">
            <v>0</v>
          </cell>
          <cell r="P2338">
            <v>44800</v>
          </cell>
          <cell r="Q2338">
            <v>0</v>
          </cell>
          <cell r="R2338">
            <v>44800</v>
          </cell>
          <cell r="S2338">
            <v>0</v>
          </cell>
          <cell r="T2338">
            <v>44800</v>
          </cell>
          <cell r="U2338">
            <v>0</v>
          </cell>
          <cell r="V2338">
            <v>44800</v>
          </cell>
          <cell r="W2338">
            <v>0</v>
          </cell>
          <cell r="X2338">
            <v>44800</v>
          </cell>
          <cell r="Y2338">
            <v>0</v>
          </cell>
          <cell r="Z2338">
            <v>44800</v>
          </cell>
          <cell r="AA2338">
            <v>0</v>
          </cell>
          <cell r="AB2338">
            <v>0</v>
          </cell>
          <cell r="AC2338">
            <v>0</v>
          </cell>
          <cell r="AD2338">
            <v>0.48799999999999999</v>
          </cell>
          <cell r="AE2338">
            <v>0</v>
          </cell>
          <cell r="AF2338">
            <v>0</v>
          </cell>
          <cell r="AG2338">
            <v>9900</v>
          </cell>
          <cell r="AH2338">
            <v>96</v>
          </cell>
          <cell r="AI2338">
            <v>0.98899999999999999</v>
          </cell>
          <cell r="AJ2338">
            <v>1</v>
          </cell>
          <cell r="AK2338">
            <v>97.06</v>
          </cell>
          <cell r="AL2338">
            <v>0</v>
          </cell>
        </row>
        <row r="2339">
          <cell r="E2339" t="str">
            <v>D18-322PKe</v>
          </cell>
          <cell r="F2339" t="str">
            <v>台</v>
          </cell>
          <cell r="G2339">
            <v>0</v>
          </cell>
          <cell r="H2339">
            <v>45900</v>
          </cell>
          <cell r="I2339">
            <v>0</v>
          </cell>
          <cell r="J2339">
            <v>45900</v>
          </cell>
          <cell r="K2339">
            <v>0</v>
          </cell>
          <cell r="L2339">
            <v>45900</v>
          </cell>
          <cell r="M2339">
            <v>0</v>
          </cell>
          <cell r="N2339">
            <v>45900</v>
          </cell>
          <cell r="O2339">
            <v>0</v>
          </cell>
          <cell r="P2339">
            <v>45900</v>
          </cell>
          <cell r="Q2339">
            <v>0</v>
          </cell>
          <cell r="R2339">
            <v>45900</v>
          </cell>
          <cell r="S2339">
            <v>0</v>
          </cell>
          <cell r="T2339">
            <v>45900</v>
          </cell>
          <cell r="U2339">
            <v>0</v>
          </cell>
          <cell r="V2339">
            <v>45900</v>
          </cell>
          <cell r="W2339">
            <v>0</v>
          </cell>
          <cell r="X2339">
            <v>45900</v>
          </cell>
          <cell r="Y2339">
            <v>0</v>
          </cell>
          <cell r="Z2339">
            <v>45900</v>
          </cell>
          <cell r="AA2339">
            <v>0</v>
          </cell>
          <cell r="AB2339">
            <v>0</v>
          </cell>
          <cell r="AC2339">
            <v>0</v>
          </cell>
          <cell r="AD2339">
            <v>0.48799999999999999</v>
          </cell>
          <cell r="AE2339">
            <v>0</v>
          </cell>
          <cell r="AF2339">
            <v>0</v>
          </cell>
          <cell r="AG2339">
            <v>9900</v>
          </cell>
          <cell r="AH2339">
            <v>96</v>
          </cell>
          <cell r="AI2339">
            <v>0.98899999999999999</v>
          </cell>
          <cell r="AJ2339">
            <v>1</v>
          </cell>
          <cell r="AK2339">
            <v>97.06</v>
          </cell>
          <cell r="AL2339">
            <v>0</v>
          </cell>
        </row>
        <row r="2340">
          <cell r="E2340" t="str">
            <v>D18L-322PNe</v>
          </cell>
          <cell r="F2340" t="str">
            <v>台</v>
          </cell>
          <cell r="G2340">
            <v>0</v>
          </cell>
          <cell r="H2340">
            <v>32000</v>
          </cell>
          <cell r="I2340">
            <v>0</v>
          </cell>
          <cell r="J2340">
            <v>32000</v>
          </cell>
          <cell r="K2340">
            <v>0</v>
          </cell>
          <cell r="L2340">
            <v>32000</v>
          </cell>
          <cell r="M2340">
            <v>0</v>
          </cell>
          <cell r="N2340">
            <v>32000</v>
          </cell>
          <cell r="O2340">
            <v>0</v>
          </cell>
          <cell r="P2340">
            <v>32000</v>
          </cell>
          <cell r="Q2340">
            <v>0</v>
          </cell>
          <cell r="R2340">
            <v>32000</v>
          </cell>
          <cell r="S2340">
            <v>0</v>
          </cell>
          <cell r="T2340">
            <v>32000</v>
          </cell>
          <cell r="U2340">
            <v>0</v>
          </cell>
          <cell r="V2340">
            <v>32000</v>
          </cell>
          <cell r="W2340">
            <v>0</v>
          </cell>
          <cell r="X2340">
            <v>32000</v>
          </cell>
          <cell r="Y2340">
            <v>0</v>
          </cell>
          <cell r="Z2340">
            <v>32000</v>
          </cell>
          <cell r="AA2340">
            <v>0</v>
          </cell>
          <cell r="AB2340">
            <v>0</v>
          </cell>
          <cell r="AC2340">
            <v>0</v>
          </cell>
          <cell r="AD2340">
            <v>0.48799999999999999</v>
          </cell>
          <cell r="AE2340">
            <v>0</v>
          </cell>
          <cell r="AF2340">
            <v>0</v>
          </cell>
          <cell r="AG2340">
            <v>9900</v>
          </cell>
          <cell r="AH2340">
            <v>96</v>
          </cell>
          <cell r="AI2340">
            <v>0.98899999999999999</v>
          </cell>
          <cell r="AJ2340">
            <v>1</v>
          </cell>
          <cell r="AK2340">
            <v>97.06</v>
          </cell>
          <cell r="AL2340">
            <v>0</v>
          </cell>
        </row>
        <row r="2341">
          <cell r="E2341" t="str">
            <v>D18L-322PHe</v>
          </cell>
          <cell r="F2341" t="str">
            <v>台</v>
          </cell>
          <cell r="G2341">
            <v>0</v>
          </cell>
          <cell r="H2341">
            <v>33200</v>
          </cell>
          <cell r="I2341">
            <v>0</v>
          </cell>
          <cell r="J2341">
            <v>33200</v>
          </cell>
          <cell r="K2341">
            <v>0</v>
          </cell>
          <cell r="L2341">
            <v>33200</v>
          </cell>
          <cell r="M2341">
            <v>0</v>
          </cell>
          <cell r="N2341">
            <v>33200</v>
          </cell>
          <cell r="O2341">
            <v>0</v>
          </cell>
          <cell r="P2341">
            <v>33200</v>
          </cell>
          <cell r="Q2341">
            <v>0</v>
          </cell>
          <cell r="R2341">
            <v>33200</v>
          </cell>
          <cell r="S2341">
            <v>0</v>
          </cell>
          <cell r="T2341">
            <v>33200</v>
          </cell>
          <cell r="U2341">
            <v>0</v>
          </cell>
          <cell r="V2341">
            <v>33200</v>
          </cell>
          <cell r="W2341">
            <v>0</v>
          </cell>
          <cell r="X2341">
            <v>33200</v>
          </cell>
          <cell r="Y2341">
            <v>0</v>
          </cell>
          <cell r="Z2341">
            <v>33200</v>
          </cell>
          <cell r="AA2341">
            <v>0</v>
          </cell>
          <cell r="AB2341">
            <v>0</v>
          </cell>
          <cell r="AC2341">
            <v>0</v>
          </cell>
          <cell r="AD2341">
            <v>0.48799999999999999</v>
          </cell>
          <cell r="AE2341">
            <v>0</v>
          </cell>
          <cell r="AF2341">
            <v>0</v>
          </cell>
          <cell r="AG2341">
            <v>9900</v>
          </cell>
          <cell r="AH2341">
            <v>96</v>
          </cell>
          <cell r="AI2341">
            <v>0.98899999999999999</v>
          </cell>
          <cell r="AJ2341">
            <v>1</v>
          </cell>
          <cell r="AK2341">
            <v>97.06</v>
          </cell>
          <cell r="AL2341">
            <v>0</v>
          </cell>
        </row>
        <row r="2342">
          <cell r="E2342" t="str">
            <v>D18L-322PKe</v>
          </cell>
          <cell r="F2342" t="str">
            <v>台</v>
          </cell>
          <cell r="G2342">
            <v>0</v>
          </cell>
          <cell r="H2342">
            <v>34200</v>
          </cell>
          <cell r="I2342">
            <v>0</v>
          </cell>
          <cell r="J2342">
            <v>34200</v>
          </cell>
          <cell r="K2342">
            <v>0</v>
          </cell>
          <cell r="L2342">
            <v>34200</v>
          </cell>
          <cell r="M2342">
            <v>0</v>
          </cell>
          <cell r="N2342">
            <v>34200</v>
          </cell>
          <cell r="O2342">
            <v>0</v>
          </cell>
          <cell r="P2342">
            <v>34200</v>
          </cell>
          <cell r="Q2342">
            <v>0</v>
          </cell>
          <cell r="R2342">
            <v>34200</v>
          </cell>
          <cell r="S2342">
            <v>0</v>
          </cell>
          <cell r="T2342">
            <v>34200</v>
          </cell>
          <cell r="U2342">
            <v>0</v>
          </cell>
          <cell r="V2342">
            <v>34200</v>
          </cell>
          <cell r="W2342">
            <v>0</v>
          </cell>
          <cell r="X2342">
            <v>34200</v>
          </cell>
          <cell r="Y2342">
            <v>0</v>
          </cell>
          <cell r="Z2342">
            <v>34200</v>
          </cell>
          <cell r="AA2342">
            <v>0</v>
          </cell>
          <cell r="AB2342">
            <v>0</v>
          </cell>
          <cell r="AC2342">
            <v>0</v>
          </cell>
          <cell r="AD2342">
            <v>0.48799999999999999</v>
          </cell>
          <cell r="AE2342">
            <v>0</v>
          </cell>
          <cell r="AF2342">
            <v>0</v>
          </cell>
          <cell r="AG2342">
            <v>9900</v>
          </cell>
          <cell r="AH2342">
            <v>96</v>
          </cell>
          <cell r="AI2342">
            <v>0.98899999999999999</v>
          </cell>
          <cell r="AJ2342">
            <v>1</v>
          </cell>
          <cell r="AK2342">
            <v>97.06</v>
          </cell>
          <cell r="AL2342">
            <v>0</v>
          </cell>
        </row>
        <row r="2343">
          <cell r="E2343" t="str">
            <v>■Ｈｆ開放埋込形</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row>
        <row r="2344">
          <cell r="E2344" t="str">
            <v>A26-322PNe</v>
          </cell>
          <cell r="F2344" t="str">
            <v>台</v>
          </cell>
          <cell r="G2344">
            <v>0</v>
          </cell>
          <cell r="H2344">
            <v>27200</v>
          </cell>
          <cell r="I2344">
            <v>0</v>
          </cell>
          <cell r="J2344">
            <v>27200</v>
          </cell>
          <cell r="K2344">
            <v>0</v>
          </cell>
          <cell r="L2344">
            <v>27200</v>
          </cell>
          <cell r="M2344">
            <v>0</v>
          </cell>
          <cell r="N2344">
            <v>27200</v>
          </cell>
          <cell r="O2344">
            <v>0</v>
          </cell>
          <cell r="P2344">
            <v>27200</v>
          </cell>
          <cell r="Q2344">
            <v>0</v>
          </cell>
          <cell r="R2344">
            <v>27200</v>
          </cell>
          <cell r="S2344">
            <v>0</v>
          </cell>
          <cell r="T2344">
            <v>27200</v>
          </cell>
          <cell r="U2344">
            <v>0</v>
          </cell>
          <cell r="V2344">
            <v>27200</v>
          </cell>
          <cell r="W2344">
            <v>0</v>
          </cell>
          <cell r="X2344">
            <v>27200</v>
          </cell>
          <cell r="Y2344">
            <v>0</v>
          </cell>
          <cell r="Z2344">
            <v>27200</v>
          </cell>
          <cell r="AA2344">
            <v>0</v>
          </cell>
          <cell r="AB2344">
            <v>0</v>
          </cell>
          <cell r="AC2344">
            <v>0</v>
          </cell>
          <cell r="AD2344">
            <v>0.48799999999999999</v>
          </cell>
          <cell r="AE2344">
            <v>0</v>
          </cell>
          <cell r="AF2344">
            <v>0</v>
          </cell>
          <cell r="AG2344">
            <v>9900</v>
          </cell>
          <cell r="AH2344">
            <v>96</v>
          </cell>
          <cell r="AI2344">
            <v>0.98899999999999999</v>
          </cell>
          <cell r="AJ2344">
            <v>1</v>
          </cell>
          <cell r="AK2344">
            <v>97.06</v>
          </cell>
          <cell r="AL2344">
            <v>0</v>
          </cell>
        </row>
        <row r="2345">
          <cell r="E2345" t="str">
            <v>A26-322PHe</v>
          </cell>
          <cell r="F2345" t="str">
            <v>台</v>
          </cell>
          <cell r="G2345">
            <v>0</v>
          </cell>
          <cell r="H2345">
            <v>29200</v>
          </cell>
          <cell r="I2345">
            <v>0</v>
          </cell>
          <cell r="J2345">
            <v>29200</v>
          </cell>
          <cell r="K2345">
            <v>0</v>
          </cell>
          <cell r="L2345">
            <v>29200</v>
          </cell>
          <cell r="M2345">
            <v>0</v>
          </cell>
          <cell r="N2345">
            <v>29200</v>
          </cell>
          <cell r="O2345">
            <v>0</v>
          </cell>
          <cell r="P2345">
            <v>29200</v>
          </cell>
          <cell r="Q2345">
            <v>0</v>
          </cell>
          <cell r="R2345">
            <v>29200</v>
          </cell>
          <cell r="S2345">
            <v>0</v>
          </cell>
          <cell r="T2345">
            <v>29200</v>
          </cell>
          <cell r="U2345">
            <v>0</v>
          </cell>
          <cell r="V2345">
            <v>29200</v>
          </cell>
          <cell r="W2345">
            <v>0</v>
          </cell>
          <cell r="X2345">
            <v>29200</v>
          </cell>
          <cell r="Y2345">
            <v>0</v>
          </cell>
          <cell r="Z2345">
            <v>29200</v>
          </cell>
          <cell r="AA2345">
            <v>0</v>
          </cell>
          <cell r="AB2345">
            <v>0</v>
          </cell>
          <cell r="AC2345">
            <v>0</v>
          </cell>
          <cell r="AD2345">
            <v>0.48799999999999999</v>
          </cell>
          <cell r="AE2345">
            <v>0</v>
          </cell>
          <cell r="AF2345">
            <v>0</v>
          </cell>
          <cell r="AG2345">
            <v>9900</v>
          </cell>
          <cell r="AH2345">
            <v>96</v>
          </cell>
          <cell r="AI2345">
            <v>0.98899999999999999</v>
          </cell>
          <cell r="AJ2345">
            <v>1</v>
          </cell>
          <cell r="AK2345">
            <v>97.06</v>
          </cell>
          <cell r="AL2345">
            <v>0</v>
          </cell>
        </row>
        <row r="2346">
          <cell r="E2346" t="str">
            <v>A26-322PKe</v>
          </cell>
          <cell r="F2346" t="str">
            <v>台</v>
          </cell>
          <cell r="G2346">
            <v>0</v>
          </cell>
          <cell r="H2346">
            <v>30200</v>
          </cell>
          <cell r="I2346">
            <v>0</v>
          </cell>
          <cell r="J2346">
            <v>30200</v>
          </cell>
          <cell r="K2346">
            <v>0</v>
          </cell>
          <cell r="L2346">
            <v>30200</v>
          </cell>
          <cell r="M2346">
            <v>0</v>
          </cell>
          <cell r="N2346">
            <v>30200</v>
          </cell>
          <cell r="O2346">
            <v>0</v>
          </cell>
          <cell r="P2346">
            <v>30200</v>
          </cell>
          <cell r="Q2346">
            <v>0</v>
          </cell>
          <cell r="R2346">
            <v>30200</v>
          </cell>
          <cell r="S2346">
            <v>0</v>
          </cell>
          <cell r="T2346">
            <v>30200</v>
          </cell>
          <cell r="U2346">
            <v>0</v>
          </cell>
          <cell r="V2346">
            <v>30200</v>
          </cell>
          <cell r="W2346">
            <v>0</v>
          </cell>
          <cell r="X2346">
            <v>30200</v>
          </cell>
          <cell r="Y2346">
            <v>0</v>
          </cell>
          <cell r="Z2346">
            <v>30200</v>
          </cell>
          <cell r="AA2346">
            <v>0</v>
          </cell>
          <cell r="AB2346">
            <v>0</v>
          </cell>
          <cell r="AC2346">
            <v>0</v>
          </cell>
          <cell r="AD2346">
            <v>0.48799999999999999</v>
          </cell>
          <cell r="AE2346">
            <v>0</v>
          </cell>
          <cell r="AF2346">
            <v>0</v>
          </cell>
          <cell r="AG2346">
            <v>9900</v>
          </cell>
          <cell r="AH2346">
            <v>96</v>
          </cell>
          <cell r="AI2346">
            <v>0.98899999999999999</v>
          </cell>
          <cell r="AJ2346">
            <v>1</v>
          </cell>
          <cell r="AK2346">
            <v>97.06</v>
          </cell>
          <cell r="AL2346">
            <v>0</v>
          </cell>
        </row>
        <row r="2347">
          <cell r="E2347" t="str">
            <v>A27-322PNe</v>
          </cell>
          <cell r="F2347" t="str">
            <v>台</v>
          </cell>
          <cell r="G2347">
            <v>0</v>
          </cell>
          <cell r="H2347">
            <v>28800</v>
          </cell>
          <cell r="I2347">
            <v>0</v>
          </cell>
          <cell r="J2347">
            <v>28800</v>
          </cell>
          <cell r="K2347">
            <v>0</v>
          </cell>
          <cell r="L2347">
            <v>28800</v>
          </cell>
          <cell r="M2347">
            <v>0</v>
          </cell>
          <cell r="N2347">
            <v>28800</v>
          </cell>
          <cell r="O2347">
            <v>0</v>
          </cell>
          <cell r="P2347">
            <v>28800</v>
          </cell>
          <cell r="Q2347">
            <v>0</v>
          </cell>
          <cell r="R2347">
            <v>28800</v>
          </cell>
          <cell r="S2347">
            <v>0</v>
          </cell>
          <cell r="T2347">
            <v>28800</v>
          </cell>
          <cell r="U2347">
            <v>0</v>
          </cell>
          <cell r="V2347">
            <v>28800</v>
          </cell>
          <cell r="W2347">
            <v>0</v>
          </cell>
          <cell r="X2347">
            <v>28800</v>
          </cell>
          <cell r="Y2347">
            <v>0</v>
          </cell>
          <cell r="Z2347">
            <v>28800</v>
          </cell>
          <cell r="AA2347">
            <v>0</v>
          </cell>
          <cell r="AB2347">
            <v>0</v>
          </cell>
          <cell r="AC2347">
            <v>0</v>
          </cell>
          <cell r="AD2347">
            <v>0.48799999999999999</v>
          </cell>
          <cell r="AE2347">
            <v>0</v>
          </cell>
          <cell r="AF2347">
            <v>0</v>
          </cell>
          <cell r="AG2347">
            <v>9900</v>
          </cell>
          <cell r="AH2347">
            <v>96</v>
          </cell>
          <cell r="AI2347">
            <v>0.98899999999999999</v>
          </cell>
          <cell r="AJ2347">
            <v>1</v>
          </cell>
          <cell r="AK2347">
            <v>97.06</v>
          </cell>
          <cell r="AL2347">
            <v>0</v>
          </cell>
        </row>
        <row r="2348">
          <cell r="E2348" t="str">
            <v>A27-322PHe</v>
          </cell>
          <cell r="F2348" t="str">
            <v>台</v>
          </cell>
          <cell r="G2348">
            <v>0</v>
          </cell>
          <cell r="H2348">
            <v>30400</v>
          </cell>
          <cell r="I2348">
            <v>0</v>
          </cell>
          <cell r="J2348">
            <v>30400</v>
          </cell>
          <cell r="K2348">
            <v>0</v>
          </cell>
          <cell r="L2348">
            <v>30400</v>
          </cell>
          <cell r="M2348">
            <v>0</v>
          </cell>
          <cell r="N2348">
            <v>30400</v>
          </cell>
          <cell r="O2348">
            <v>0</v>
          </cell>
          <cell r="P2348">
            <v>30400</v>
          </cell>
          <cell r="Q2348">
            <v>0</v>
          </cell>
          <cell r="R2348">
            <v>30400</v>
          </cell>
          <cell r="S2348">
            <v>0</v>
          </cell>
          <cell r="T2348">
            <v>30400</v>
          </cell>
          <cell r="U2348">
            <v>0</v>
          </cell>
          <cell r="V2348">
            <v>30400</v>
          </cell>
          <cell r="W2348">
            <v>0</v>
          </cell>
          <cell r="X2348">
            <v>30400</v>
          </cell>
          <cell r="Y2348">
            <v>0</v>
          </cell>
          <cell r="Z2348">
            <v>30400</v>
          </cell>
          <cell r="AA2348">
            <v>0</v>
          </cell>
          <cell r="AB2348">
            <v>0</v>
          </cell>
          <cell r="AC2348">
            <v>0</v>
          </cell>
          <cell r="AD2348">
            <v>0.48799999999999999</v>
          </cell>
          <cell r="AE2348">
            <v>0</v>
          </cell>
          <cell r="AF2348">
            <v>0</v>
          </cell>
          <cell r="AG2348">
            <v>9900</v>
          </cell>
          <cell r="AH2348">
            <v>96</v>
          </cell>
          <cell r="AI2348">
            <v>0.98899999999999999</v>
          </cell>
          <cell r="AJ2348">
            <v>1</v>
          </cell>
          <cell r="AK2348">
            <v>97.06</v>
          </cell>
          <cell r="AL2348">
            <v>0</v>
          </cell>
        </row>
        <row r="2349">
          <cell r="E2349" t="str">
            <v>■Ｈｆルーバー直付形</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row>
        <row r="2350">
          <cell r="E2350" t="str">
            <v>D2-322PHe</v>
          </cell>
          <cell r="F2350" t="str">
            <v>台</v>
          </cell>
          <cell r="G2350">
            <v>0</v>
          </cell>
          <cell r="H2350">
            <v>38700</v>
          </cell>
          <cell r="I2350">
            <v>0</v>
          </cell>
          <cell r="J2350">
            <v>38700</v>
          </cell>
          <cell r="K2350">
            <v>0</v>
          </cell>
          <cell r="L2350">
            <v>38700</v>
          </cell>
          <cell r="M2350">
            <v>0</v>
          </cell>
          <cell r="N2350">
            <v>38700</v>
          </cell>
          <cell r="O2350">
            <v>0</v>
          </cell>
          <cell r="P2350">
            <v>38700</v>
          </cell>
          <cell r="Q2350">
            <v>0</v>
          </cell>
          <cell r="R2350">
            <v>38700</v>
          </cell>
          <cell r="S2350">
            <v>0</v>
          </cell>
          <cell r="T2350">
            <v>38700</v>
          </cell>
          <cell r="U2350">
            <v>0</v>
          </cell>
          <cell r="V2350">
            <v>38700</v>
          </cell>
          <cell r="W2350">
            <v>0</v>
          </cell>
          <cell r="X2350">
            <v>38700</v>
          </cell>
          <cell r="Y2350">
            <v>0</v>
          </cell>
          <cell r="Z2350">
            <v>38700</v>
          </cell>
          <cell r="AA2350">
            <v>0</v>
          </cell>
          <cell r="AB2350">
            <v>0</v>
          </cell>
          <cell r="AC2350">
            <v>0</v>
          </cell>
          <cell r="AD2350">
            <v>0.32600000000000001</v>
          </cell>
          <cell r="AE2350">
            <v>0</v>
          </cell>
          <cell r="AF2350">
            <v>0</v>
          </cell>
          <cell r="AG2350">
            <v>9900</v>
          </cell>
          <cell r="AH2350">
            <v>96</v>
          </cell>
          <cell r="AI2350">
            <v>0.98899999999999999</v>
          </cell>
          <cell r="AJ2350">
            <v>1</v>
          </cell>
          <cell r="AK2350">
            <v>97.06</v>
          </cell>
          <cell r="AL2350">
            <v>0</v>
          </cell>
        </row>
        <row r="2351">
          <cell r="E2351" t="str">
            <v>D2V-322PHe</v>
          </cell>
          <cell r="F2351" t="str">
            <v>台</v>
          </cell>
          <cell r="G2351">
            <v>0</v>
          </cell>
          <cell r="H2351">
            <v>38700</v>
          </cell>
          <cell r="I2351">
            <v>0</v>
          </cell>
          <cell r="J2351">
            <v>38700</v>
          </cell>
          <cell r="K2351">
            <v>0</v>
          </cell>
          <cell r="L2351">
            <v>38700</v>
          </cell>
          <cell r="M2351">
            <v>0</v>
          </cell>
          <cell r="N2351">
            <v>38700</v>
          </cell>
          <cell r="O2351">
            <v>0</v>
          </cell>
          <cell r="P2351">
            <v>38700</v>
          </cell>
          <cell r="Q2351">
            <v>0</v>
          </cell>
          <cell r="R2351">
            <v>38700</v>
          </cell>
          <cell r="S2351">
            <v>0</v>
          </cell>
          <cell r="T2351">
            <v>38700</v>
          </cell>
          <cell r="U2351">
            <v>0</v>
          </cell>
          <cell r="V2351">
            <v>38700</v>
          </cell>
          <cell r="W2351">
            <v>0</v>
          </cell>
          <cell r="X2351">
            <v>38700</v>
          </cell>
          <cell r="Y2351">
            <v>0</v>
          </cell>
          <cell r="Z2351">
            <v>38700</v>
          </cell>
          <cell r="AA2351">
            <v>0</v>
          </cell>
          <cell r="AB2351">
            <v>0</v>
          </cell>
          <cell r="AC2351">
            <v>0</v>
          </cell>
          <cell r="AD2351">
            <v>0.32600000000000001</v>
          </cell>
          <cell r="AE2351">
            <v>0</v>
          </cell>
          <cell r="AF2351">
            <v>0</v>
          </cell>
          <cell r="AG2351">
            <v>9900</v>
          </cell>
          <cell r="AH2351">
            <v>96</v>
          </cell>
          <cell r="AI2351">
            <v>0.98899999999999999</v>
          </cell>
          <cell r="AJ2351">
            <v>1</v>
          </cell>
          <cell r="AK2351">
            <v>97.06</v>
          </cell>
          <cell r="AL2351">
            <v>0</v>
          </cell>
        </row>
        <row r="2352">
          <cell r="E2352" t="str">
            <v>■Ｈｆ反射笠</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row>
        <row r="2353">
          <cell r="E2353" t="str">
            <v>R2-321PNe</v>
          </cell>
          <cell r="F2353" t="str">
            <v>台</v>
          </cell>
          <cell r="G2353">
            <v>0</v>
          </cell>
          <cell r="H2353">
            <v>24100</v>
          </cell>
          <cell r="I2353">
            <v>0</v>
          </cell>
          <cell r="J2353">
            <v>24100</v>
          </cell>
          <cell r="K2353">
            <v>0</v>
          </cell>
          <cell r="L2353">
            <v>24100</v>
          </cell>
          <cell r="M2353">
            <v>0</v>
          </cell>
          <cell r="N2353">
            <v>24100</v>
          </cell>
          <cell r="O2353">
            <v>0</v>
          </cell>
          <cell r="P2353">
            <v>24100</v>
          </cell>
          <cell r="Q2353">
            <v>0</v>
          </cell>
          <cell r="R2353">
            <v>24100</v>
          </cell>
          <cell r="S2353">
            <v>0</v>
          </cell>
          <cell r="T2353">
            <v>24100</v>
          </cell>
          <cell r="U2353">
            <v>0</v>
          </cell>
          <cell r="V2353">
            <v>24100</v>
          </cell>
          <cell r="W2353">
            <v>0</v>
          </cell>
          <cell r="X2353">
            <v>24100</v>
          </cell>
          <cell r="Y2353">
            <v>0</v>
          </cell>
          <cell r="Z2353">
            <v>24100</v>
          </cell>
          <cell r="AA2353">
            <v>0</v>
          </cell>
          <cell r="AB2353">
            <v>0</v>
          </cell>
          <cell r="AC2353">
            <v>0</v>
          </cell>
          <cell r="AD2353">
            <v>0.26100000000000001</v>
          </cell>
          <cell r="AE2353">
            <v>0</v>
          </cell>
          <cell r="AF2353">
            <v>0</v>
          </cell>
          <cell r="AG2353">
            <v>4950</v>
          </cell>
          <cell r="AH2353">
            <v>48</v>
          </cell>
          <cell r="AI2353">
            <v>0.97899999999999998</v>
          </cell>
          <cell r="AJ2353">
            <v>1</v>
          </cell>
          <cell r="AK2353">
            <v>49.02</v>
          </cell>
          <cell r="AL2353">
            <v>0</v>
          </cell>
        </row>
        <row r="2354">
          <cell r="E2354" t="str">
            <v>R2-321PHe</v>
          </cell>
          <cell r="F2354" t="str">
            <v>台</v>
          </cell>
          <cell r="G2354">
            <v>0</v>
          </cell>
          <cell r="H2354">
            <v>25100</v>
          </cell>
          <cell r="I2354">
            <v>0</v>
          </cell>
          <cell r="J2354">
            <v>25100</v>
          </cell>
          <cell r="K2354">
            <v>0</v>
          </cell>
          <cell r="L2354">
            <v>25100</v>
          </cell>
          <cell r="M2354">
            <v>0</v>
          </cell>
          <cell r="N2354">
            <v>25100</v>
          </cell>
          <cell r="O2354">
            <v>0</v>
          </cell>
          <cell r="P2354">
            <v>25100</v>
          </cell>
          <cell r="Q2354">
            <v>0</v>
          </cell>
          <cell r="R2354">
            <v>25100</v>
          </cell>
          <cell r="S2354">
            <v>0</v>
          </cell>
          <cell r="T2354">
            <v>25100</v>
          </cell>
          <cell r="U2354">
            <v>0</v>
          </cell>
          <cell r="V2354">
            <v>25100</v>
          </cell>
          <cell r="W2354">
            <v>0</v>
          </cell>
          <cell r="X2354">
            <v>25100</v>
          </cell>
          <cell r="Y2354">
            <v>0</v>
          </cell>
          <cell r="Z2354">
            <v>25100</v>
          </cell>
          <cell r="AA2354">
            <v>0</v>
          </cell>
          <cell r="AB2354">
            <v>0</v>
          </cell>
          <cell r="AC2354">
            <v>0</v>
          </cell>
          <cell r="AD2354">
            <v>0.26100000000000001</v>
          </cell>
          <cell r="AE2354">
            <v>0</v>
          </cell>
          <cell r="AF2354">
            <v>0</v>
          </cell>
          <cell r="AG2354">
            <v>4950</v>
          </cell>
          <cell r="AH2354">
            <v>48</v>
          </cell>
          <cell r="AI2354">
            <v>0.97899999999999998</v>
          </cell>
          <cell r="AJ2354">
            <v>1</v>
          </cell>
          <cell r="AK2354">
            <v>49.02</v>
          </cell>
          <cell r="AL2354">
            <v>0</v>
          </cell>
        </row>
        <row r="2355">
          <cell r="E2355" t="str">
            <v>R2-321PKe</v>
          </cell>
          <cell r="F2355" t="str">
            <v>台</v>
          </cell>
          <cell r="G2355">
            <v>0</v>
          </cell>
          <cell r="H2355">
            <v>27100</v>
          </cell>
          <cell r="I2355">
            <v>0</v>
          </cell>
          <cell r="J2355">
            <v>27100</v>
          </cell>
          <cell r="K2355">
            <v>0</v>
          </cell>
          <cell r="L2355">
            <v>27100</v>
          </cell>
          <cell r="M2355">
            <v>0</v>
          </cell>
          <cell r="N2355">
            <v>27100</v>
          </cell>
          <cell r="O2355">
            <v>0</v>
          </cell>
          <cell r="P2355">
            <v>27100</v>
          </cell>
          <cell r="Q2355">
            <v>0</v>
          </cell>
          <cell r="R2355">
            <v>27100</v>
          </cell>
          <cell r="S2355">
            <v>0</v>
          </cell>
          <cell r="T2355">
            <v>27100</v>
          </cell>
          <cell r="U2355">
            <v>0</v>
          </cell>
          <cell r="V2355">
            <v>27100</v>
          </cell>
          <cell r="W2355">
            <v>0</v>
          </cell>
          <cell r="X2355">
            <v>27100</v>
          </cell>
          <cell r="Y2355">
            <v>0</v>
          </cell>
          <cell r="Z2355">
            <v>27100</v>
          </cell>
          <cell r="AA2355">
            <v>0</v>
          </cell>
          <cell r="AB2355">
            <v>0</v>
          </cell>
          <cell r="AC2355">
            <v>0</v>
          </cell>
          <cell r="AD2355">
            <v>0.26100000000000001</v>
          </cell>
          <cell r="AE2355">
            <v>0</v>
          </cell>
          <cell r="AF2355">
            <v>0</v>
          </cell>
          <cell r="AG2355">
            <v>4950</v>
          </cell>
          <cell r="AH2355">
            <v>48</v>
          </cell>
          <cell r="AI2355">
            <v>0.97899999999999998</v>
          </cell>
          <cell r="AJ2355">
            <v>1</v>
          </cell>
          <cell r="AK2355">
            <v>49.02</v>
          </cell>
          <cell r="AL2355">
            <v>0</v>
          </cell>
        </row>
        <row r="2356">
          <cell r="E2356" t="str">
            <v>R2-322PNe</v>
          </cell>
          <cell r="F2356" t="str">
            <v>台</v>
          </cell>
          <cell r="G2356">
            <v>0</v>
          </cell>
          <cell r="H2356">
            <v>25800</v>
          </cell>
          <cell r="I2356">
            <v>0</v>
          </cell>
          <cell r="J2356">
            <v>25800</v>
          </cell>
          <cell r="K2356">
            <v>0</v>
          </cell>
          <cell r="L2356">
            <v>25800</v>
          </cell>
          <cell r="M2356">
            <v>0</v>
          </cell>
          <cell r="N2356">
            <v>25800</v>
          </cell>
          <cell r="O2356">
            <v>0</v>
          </cell>
          <cell r="P2356">
            <v>25800</v>
          </cell>
          <cell r="Q2356">
            <v>0</v>
          </cell>
          <cell r="R2356">
            <v>25800</v>
          </cell>
          <cell r="S2356">
            <v>0</v>
          </cell>
          <cell r="T2356">
            <v>25800</v>
          </cell>
          <cell r="U2356">
            <v>0</v>
          </cell>
          <cell r="V2356">
            <v>25800</v>
          </cell>
          <cell r="W2356">
            <v>0</v>
          </cell>
          <cell r="X2356">
            <v>25800</v>
          </cell>
          <cell r="Y2356">
            <v>0</v>
          </cell>
          <cell r="Z2356">
            <v>25800</v>
          </cell>
          <cell r="AA2356">
            <v>0</v>
          </cell>
          <cell r="AB2356">
            <v>0</v>
          </cell>
          <cell r="AC2356">
            <v>0</v>
          </cell>
          <cell r="AD2356">
            <v>0.32600000000000001</v>
          </cell>
          <cell r="AE2356">
            <v>0</v>
          </cell>
          <cell r="AF2356">
            <v>0</v>
          </cell>
          <cell r="AG2356">
            <v>9900</v>
          </cell>
          <cell r="AH2356">
            <v>96</v>
          </cell>
          <cell r="AI2356">
            <v>0.98899999999999999</v>
          </cell>
          <cell r="AJ2356">
            <v>1</v>
          </cell>
          <cell r="AK2356">
            <v>97.06</v>
          </cell>
          <cell r="AL2356">
            <v>0</v>
          </cell>
        </row>
        <row r="2357">
          <cell r="E2357" t="str">
            <v>R2-322PHe</v>
          </cell>
          <cell r="F2357" t="str">
            <v>台</v>
          </cell>
          <cell r="G2357">
            <v>0</v>
          </cell>
          <cell r="H2357">
            <v>26700</v>
          </cell>
          <cell r="I2357">
            <v>0</v>
          </cell>
          <cell r="J2357">
            <v>26700</v>
          </cell>
          <cell r="K2357">
            <v>0</v>
          </cell>
          <cell r="L2357">
            <v>26700</v>
          </cell>
          <cell r="M2357">
            <v>0</v>
          </cell>
          <cell r="N2357">
            <v>26700</v>
          </cell>
          <cell r="O2357">
            <v>0</v>
          </cell>
          <cell r="P2357">
            <v>26700</v>
          </cell>
          <cell r="Q2357">
            <v>0</v>
          </cell>
          <cell r="R2357">
            <v>26700</v>
          </cell>
          <cell r="S2357">
            <v>0</v>
          </cell>
          <cell r="T2357">
            <v>26700</v>
          </cell>
          <cell r="U2357">
            <v>0</v>
          </cell>
          <cell r="V2357">
            <v>26700</v>
          </cell>
          <cell r="W2357">
            <v>0</v>
          </cell>
          <cell r="X2357">
            <v>26700</v>
          </cell>
          <cell r="Y2357">
            <v>0</v>
          </cell>
          <cell r="Z2357">
            <v>26700</v>
          </cell>
          <cell r="AA2357">
            <v>0</v>
          </cell>
          <cell r="AB2357">
            <v>0</v>
          </cell>
          <cell r="AC2357">
            <v>0</v>
          </cell>
          <cell r="AD2357">
            <v>0.32600000000000001</v>
          </cell>
          <cell r="AE2357">
            <v>0</v>
          </cell>
          <cell r="AF2357">
            <v>0</v>
          </cell>
          <cell r="AG2357">
            <v>9900</v>
          </cell>
          <cell r="AH2357">
            <v>96</v>
          </cell>
          <cell r="AI2357">
            <v>0.98899999999999999</v>
          </cell>
          <cell r="AJ2357">
            <v>1</v>
          </cell>
          <cell r="AK2357">
            <v>97.06</v>
          </cell>
          <cell r="AL2357">
            <v>0</v>
          </cell>
        </row>
        <row r="2358">
          <cell r="E2358" t="str">
            <v>R2-322PKe</v>
          </cell>
          <cell r="F2358" t="str">
            <v>台</v>
          </cell>
          <cell r="G2358">
            <v>0</v>
          </cell>
          <cell r="H2358">
            <v>28400</v>
          </cell>
          <cell r="I2358">
            <v>0</v>
          </cell>
          <cell r="J2358">
            <v>28400</v>
          </cell>
          <cell r="K2358">
            <v>0</v>
          </cell>
          <cell r="L2358">
            <v>28400</v>
          </cell>
          <cell r="M2358">
            <v>0</v>
          </cell>
          <cell r="N2358">
            <v>28400</v>
          </cell>
          <cell r="O2358">
            <v>0</v>
          </cell>
          <cell r="P2358">
            <v>28400</v>
          </cell>
          <cell r="Q2358">
            <v>0</v>
          </cell>
          <cell r="R2358">
            <v>28400</v>
          </cell>
          <cell r="S2358">
            <v>0</v>
          </cell>
          <cell r="T2358">
            <v>28400</v>
          </cell>
          <cell r="U2358">
            <v>0</v>
          </cell>
          <cell r="V2358">
            <v>28400</v>
          </cell>
          <cell r="W2358">
            <v>0</v>
          </cell>
          <cell r="X2358">
            <v>28400</v>
          </cell>
          <cell r="Y2358">
            <v>0</v>
          </cell>
          <cell r="Z2358">
            <v>28400</v>
          </cell>
          <cell r="AA2358">
            <v>0</v>
          </cell>
          <cell r="AB2358">
            <v>0</v>
          </cell>
          <cell r="AC2358">
            <v>0</v>
          </cell>
          <cell r="AD2358">
            <v>0.32600000000000001</v>
          </cell>
          <cell r="AE2358">
            <v>0</v>
          </cell>
          <cell r="AF2358">
            <v>0</v>
          </cell>
          <cell r="AG2358">
            <v>9900</v>
          </cell>
          <cell r="AH2358">
            <v>96</v>
          </cell>
          <cell r="AI2358">
            <v>0.98899999999999999</v>
          </cell>
          <cell r="AJ2358">
            <v>1</v>
          </cell>
          <cell r="AK2358">
            <v>97.06</v>
          </cell>
          <cell r="AL2358">
            <v>0</v>
          </cell>
        </row>
        <row r="2359">
          <cell r="E2359" t="str">
            <v>■Ｈｆ逆富士</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row>
        <row r="2360">
          <cell r="E2360" t="str">
            <v>V9-321PNe</v>
          </cell>
          <cell r="F2360" t="str">
            <v>台</v>
          </cell>
          <cell r="G2360">
            <v>0</v>
          </cell>
          <cell r="H2360">
            <v>24300</v>
          </cell>
          <cell r="I2360">
            <v>0</v>
          </cell>
          <cell r="J2360">
            <v>24300</v>
          </cell>
          <cell r="K2360">
            <v>0</v>
          </cell>
          <cell r="L2360">
            <v>24300</v>
          </cell>
          <cell r="M2360">
            <v>0</v>
          </cell>
          <cell r="N2360">
            <v>24300</v>
          </cell>
          <cell r="O2360">
            <v>0</v>
          </cell>
          <cell r="P2360">
            <v>24300</v>
          </cell>
          <cell r="Q2360">
            <v>0</v>
          </cell>
          <cell r="R2360">
            <v>24300</v>
          </cell>
          <cell r="S2360">
            <v>0</v>
          </cell>
          <cell r="T2360">
            <v>24300</v>
          </cell>
          <cell r="U2360">
            <v>0</v>
          </cell>
          <cell r="V2360">
            <v>24300</v>
          </cell>
          <cell r="W2360">
            <v>0</v>
          </cell>
          <cell r="X2360">
            <v>24300</v>
          </cell>
          <cell r="Y2360">
            <v>0</v>
          </cell>
          <cell r="Z2360">
            <v>24300</v>
          </cell>
          <cell r="AA2360">
            <v>0</v>
          </cell>
          <cell r="AB2360">
            <v>0</v>
          </cell>
          <cell r="AC2360">
            <v>0</v>
          </cell>
          <cell r="AD2360">
            <v>0.26100000000000001</v>
          </cell>
          <cell r="AE2360">
            <v>0</v>
          </cell>
          <cell r="AF2360">
            <v>0</v>
          </cell>
          <cell r="AG2360">
            <v>4950</v>
          </cell>
          <cell r="AH2360">
            <v>48</v>
          </cell>
          <cell r="AI2360">
            <v>0.97899999999999998</v>
          </cell>
          <cell r="AJ2360">
            <v>1</v>
          </cell>
          <cell r="AK2360">
            <v>49.02</v>
          </cell>
          <cell r="AL2360">
            <v>0</v>
          </cell>
        </row>
        <row r="2361">
          <cell r="E2361" t="str">
            <v>V9-321PHe</v>
          </cell>
          <cell r="F2361" t="str">
            <v>台</v>
          </cell>
          <cell r="G2361">
            <v>0</v>
          </cell>
          <cell r="H2361">
            <v>25100</v>
          </cell>
          <cell r="I2361">
            <v>0</v>
          </cell>
          <cell r="J2361">
            <v>25100</v>
          </cell>
          <cell r="K2361">
            <v>0</v>
          </cell>
          <cell r="L2361">
            <v>25100</v>
          </cell>
          <cell r="M2361">
            <v>0</v>
          </cell>
          <cell r="N2361">
            <v>25100</v>
          </cell>
          <cell r="O2361">
            <v>0</v>
          </cell>
          <cell r="P2361">
            <v>25100</v>
          </cell>
          <cell r="Q2361">
            <v>0</v>
          </cell>
          <cell r="R2361">
            <v>25100</v>
          </cell>
          <cell r="S2361">
            <v>0</v>
          </cell>
          <cell r="T2361">
            <v>25100</v>
          </cell>
          <cell r="U2361">
            <v>0</v>
          </cell>
          <cell r="V2361">
            <v>25100</v>
          </cell>
          <cell r="W2361">
            <v>0</v>
          </cell>
          <cell r="X2361">
            <v>25100</v>
          </cell>
          <cell r="Y2361">
            <v>0</v>
          </cell>
          <cell r="Z2361">
            <v>25100</v>
          </cell>
          <cell r="AA2361">
            <v>0</v>
          </cell>
          <cell r="AB2361">
            <v>0</v>
          </cell>
          <cell r="AC2361">
            <v>0</v>
          </cell>
          <cell r="AD2361">
            <v>0.26100000000000001</v>
          </cell>
          <cell r="AE2361">
            <v>0</v>
          </cell>
          <cell r="AF2361">
            <v>0</v>
          </cell>
          <cell r="AG2361">
            <v>4950</v>
          </cell>
          <cell r="AH2361">
            <v>48</v>
          </cell>
          <cell r="AI2361">
            <v>0.97899999999999998</v>
          </cell>
          <cell r="AJ2361">
            <v>1</v>
          </cell>
          <cell r="AK2361">
            <v>49.02</v>
          </cell>
          <cell r="AL2361">
            <v>0</v>
          </cell>
        </row>
        <row r="2362">
          <cell r="E2362" t="str">
            <v>V9-322PNe</v>
          </cell>
          <cell r="F2362" t="str">
            <v>台</v>
          </cell>
          <cell r="G2362">
            <v>0</v>
          </cell>
          <cell r="H2362">
            <v>26600</v>
          </cell>
          <cell r="I2362">
            <v>0</v>
          </cell>
          <cell r="J2362">
            <v>26600</v>
          </cell>
          <cell r="K2362">
            <v>0</v>
          </cell>
          <cell r="L2362">
            <v>26600</v>
          </cell>
          <cell r="M2362">
            <v>0</v>
          </cell>
          <cell r="N2362">
            <v>26600</v>
          </cell>
          <cell r="O2362">
            <v>0</v>
          </cell>
          <cell r="P2362">
            <v>26600</v>
          </cell>
          <cell r="Q2362">
            <v>0</v>
          </cell>
          <cell r="R2362">
            <v>26600</v>
          </cell>
          <cell r="S2362">
            <v>0</v>
          </cell>
          <cell r="T2362">
            <v>26600</v>
          </cell>
          <cell r="U2362">
            <v>0</v>
          </cell>
          <cell r="V2362">
            <v>26600</v>
          </cell>
          <cell r="W2362">
            <v>0</v>
          </cell>
          <cell r="X2362">
            <v>26600</v>
          </cell>
          <cell r="Y2362">
            <v>0</v>
          </cell>
          <cell r="Z2362">
            <v>26600</v>
          </cell>
          <cell r="AA2362">
            <v>0</v>
          </cell>
          <cell r="AB2362">
            <v>0</v>
          </cell>
          <cell r="AC2362">
            <v>0</v>
          </cell>
          <cell r="AD2362">
            <v>0.32600000000000001</v>
          </cell>
          <cell r="AE2362">
            <v>0</v>
          </cell>
          <cell r="AF2362">
            <v>0</v>
          </cell>
          <cell r="AG2362">
            <v>9900</v>
          </cell>
          <cell r="AH2362">
            <v>96</v>
          </cell>
          <cell r="AI2362">
            <v>0.98899999999999999</v>
          </cell>
          <cell r="AJ2362">
            <v>1</v>
          </cell>
          <cell r="AK2362">
            <v>97.06</v>
          </cell>
          <cell r="AL2362">
            <v>0</v>
          </cell>
        </row>
        <row r="2363">
          <cell r="E2363" t="str">
            <v>V9-322PHe</v>
          </cell>
          <cell r="F2363" t="str">
            <v>台</v>
          </cell>
          <cell r="G2363">
            <v>0</v>
          </cell>
          <cell r="H2363">
            <v>27900</v>
          </cell>
          <cell r="I2363">
            <v>0</v>
          </cell>
          <cell r="J2363">
            <v>27900</v>
          </cell>
          <cell r="K2363">
            <v>0</v>
          </cell>
          <cell r="L2363">
            <v>27900</v>
          </cell>
          <cell r="M2363">
            <v>0</v>
          </cell>
          <cell r="N2363">
            <v>27900</v>
          </cell>
          <cell r="O2363">
            <v>0</v>
          </cell>
          <cell r="P2363">
            <v>27900</v>
          </cell>
          <cell r="Q2363">
            <v>0</v>
          </cell>
          <cell r="R2363">
            <v>27900</v>
          </cell>
          <cell r="S2363">
            <v>0</v>
          </cell>
          <cell r="T2363">
            <v>27900</v>
          </cell>
          <cell r="U2363">
            <v>0</v>
          </cell>
          <cell r="V2363">
            <v>27900</v>
          </cell>
          <cell r="W2363">
            <v>0</v>
          </cell>
          <cell r="X2363">
            <v>27900</v>
          </cell>
          <cell r="Y2363">
            <v>0</v>
          </cell>
          <cell r="Z2363">
            <v>27900</v>
          </cell>
          <cell r="AA2363">
            <v>0</v>
          </cell>
          <cell r="AB2363">
            <v>0</v>
          </cell>
          <cell r="AC2363">
            <v>0</v>
          </cell>
          <cell r="AD2363">
            <v>0.32600000000000001</v>
          </cell>
          <cell r="AE2363">
            <v>0</v>
          </cell>
          <cell r="AF2363">
            <v>0</v>
          </cell>
          <cell r="AG2363">
            <v>9900</v>
          </cell>
          <cell r="AH2363">
            <v>96</v>
          </cell>
          <cell r="AI2363">
            <v>0.98899999999999999</v>
          </cell>
          <cell r="AJ2363">
            <v>1</v>
          </cell>
          <cell r="AK2363">
            <v>97.06</v>
          </cell>
          <cell r="AL2363">
            <v>0</v>
          </cell>
        </row>
        <row r="2364">
          <cell r="E2364" t="str">
            <v>V9-322PKe</v>
          </cell>
          <cell r="F2364" t="str">
            <v>台</v>
          </cell>
          <cell r="G2364">
            <v>0</v>
          </cell>
          <cell r="H2364">
            <v>29000</v>
          </cell>
          <cell r="I2364">
            <v>0</v>
          </cell>
          <cell r="J2364">
            <v>29000</v>
          </cell>
          <cell r="K2364">
            <v>0</v>
          </cell>
          <cell r="L2364">
            <v>29000</v>
          </cell>
          <cell r="M2364">
            <v>0</v>
          </cell>
          <cell r="N2364">
            <v>29000</v>
          </cell>
          <cell r="O2364">
            <v>0</v>
          </cell>
          <cell r="P2364">
            <v>29000</v>
          </cell>
          <cell r="Q2364">
            <v>0</v>
          </cell>
          <cell r="R2364">
            <v>29000</v>
          </cell>
          <cell r="S2364">
            <v>0</v>
          </cell>
          <cell r="T2364">
            <v>29000</v>
          </cell>
          <cell r="U2364">
            <v>0</v>
          </cell>
          <cell r="V2364">
            <v>29000</v>
          </cell>
          <cell r="W2364">
            <v>0</v>
          </cell>
          <cell r="X2364">
            <v>29000</v>
          </cell>
          <cell r="Y2364">
            <v>0</v>
          </cell>
          <cell r="Z2364">
            <v>29000</v>
          </cell>
          <cell r="AA2364">
            <v>0</v>
          </cell>
          <cell r="AB2364">
            <v>0</v>
          </cell>
          <cell r="AC2364">
            <v>0</v>
          </cell>
          <cell r="AD2364">
            <v>0.32600000000000001</v>
          </cell>
          <cell r="AE2364">
            <v>0</v>
          </cell>
          <cell r="AF2364">
            <v>0</v>
          </cell>
          <cell r="AG2364">
            <v>9900</v>
          </cell>
          <cell r="AH2364">
            <v>96</v>
          </cell>
          <cell r="AI2364">
            <v>0.98899999999999999</v>
          </cell>
          <cell r="AJ2364">
            <v>1</v>
          </cell>
          <cell r="AK2364">
            <v>97.06</v>
          </cell>
          <cell r="AL2364">
            <v>0</v>
          </cell>
        </row>
        <row r="2365">
          <cell r="E2365" t="str">
            <v>■埋込ダウンライト</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row>
        <row r="2366">
          <cell r="E2366" t="str">
            <v>d4-09e</v>
          </cell>
          <cell r="F2366" t="str">
            <v>台</v>
          </cell>
          <cell r="G2366">
            <v>0</v>
          </cell>
          <cell r="H2366">
            <v>11000</v>
          </cell>
          <cell r="I2366">
            <v>0</v>
          </cell>
          <cell r="J2366">
            <v>11000</v>
          </cell>
          <cell r="K2366">
            <v>0</v>
          </cell>
          <cell r="L2366">
            <v>11000</v>
          </cell>
          <cell r="M2366">
            <v>0</v>
          </cell>
          <cell r="N2366">
            <v>11000</v>
          </cell>
          <cell r="O2366">
            <v>0</v>
          </cell>
          <cell r="P2366">
            <v>11000</v>
          </cell>
          <cell r="Q2366">
            <v>0</v>
          </cell>
          <cell r="R2366">
            <v>11000</v>
          </cell>
          <cell r="S2366">
            <v>0</v>
          </cell>
          <cell r="T2366">
            <v>11000</v>
          </cell>
          <cell r="U2366">
            <v>0</v>
          </cell>
          <cell r="V2366">
            <v>11000</v>
          </cell>
          <cell r="W2366">
            <v>0</v>
          </cell>
          <cell r="X2366">
            <v>11000</v>
          </cell>
          <cell r="Y2366">
            <v>0</v>
          </cell>
          <cell r="Z2366">
            <v>11000</v>
          </cell>
          <cell r="AA2366">
            <v>0</v>
          </cell>
          <cell r="AB2366">
            <v>0</v>
          </cell>
          <cell r="AC2366">
            <v>0</v>
          </cell>
          <cell r="AD2366">
            <v>0.20899999999999999</v>
          </cell>
          <cell r="AE2366">
            <v>0</v>
          </cell>
          <cell r="AF2366">
            <v>0</v>
          </cell>
          <cell r="AG2366">
            <v>0</v>
          </cell>
          <cell r="AH2366">
            <v>0</v>
          </cell>
          <cell r="AI2366">
            <v>0</v>
          </cell>
          <cell r="AJ2366">
            <v>0</v>
          </cell>
          <cell r="AK2366">
            <v>0</v>
          </cell>
          <cell r="AL2366" t="str">
            <v>専用器具</v>
          </cell>
        </row>
        <row r="2367">
          <cell r="E2367" t="str">
            <v>d4-13e</v>
          </cell>
          <cell r="F2367" t="str">
            <v>台</v>
          </cell>
          <cell r="G2367">
            <v>0</v>
          </cell>
          <cell r="H2367">
            <v>12600</v>
          </cell>
          <cell r="I2367">
            <v>0</v>
          </cell>
          <cell r="J2367">
            <v>12600</v>
          </cell>
          <cell r="K2367">
            <v>0</v>
          </cell>
          <cell r="L2367">
            <v>12600</v>
          </cell>
          <cell r="M2367">
            <v>0</v>
          </cell>
          <cell r="N2367">
            <v>12600</v>
          </cell>
          <cell r="O2367">
            <v>0</v>
          </cell>
          <cell r="P2367">
            <v>12600</v>
          </cell>
          <cell r="Q2367">
            <v>0</v>
          </cell>
          <cell r="R2367">
            <v>12600</v>
          </cell>
          <cell r="S2367">
            <v>0</v>
          </cell>
          <cell r="T2367">
            <v>12600</v>
          </cell>
          <cell r="U2367">
            <v>0</v>
          </cell>
          <cell r="V2367">
            <v>12600</v>
          </cell>
          <cell r="W2367">
            <v>0</v>
          </cell>
          <cell r="X2367">
            <v>12600</v>
          </cell>
          <cell r="Y2367">
            <v>0</v>
          </cell>
          <cell r="Z2367">
            <v>12600</v>
          </cell>
          <cell r="AA2367">
            <v>0</v>
          </cell>
          <cell r="AB2367">
            <v>0</v>
          </cell>
          <cell r="AC2367">
            <v>0</v>
          </cell>
          <cell r="AD2367">
            <v>0.20899999999999999</v>
          </cell>
          <cell r="AE2367">
            <v>0</v>
          </cell>
          <cell r="AF2367">
            <v>0</v>
          </cell>
          <cell r="AG2367">
            <v>0</v>
          </cell>
          <cell r="AH2367">
            <v>0</v>
          </cell>
          <cell r="AI2367">
            <v>0</v>
          </cell>
          <cell r="AJ2367">
            <v>0</v>
          </cell>
          <cell r="AK2367">
            <v>0</v>
          </cell>
          <cell r="AL2367" t="str">
            <v>専用器具</v>
          </cell>
        </row>
        <row r="2368">
          <cell r="E2368" t="str">
            <v>d4-30e</v>
          </cell>
          <cell r="F2368" t="str">
            <v>台</v>
          </cell>
          <cell r="G2368">
            <v>0</v>
          </cell>
          <cell r="H2368">
            <v>22900</v>
          </cell>
          <cell r="I2368">
            <v>0</v>
          </cell>
          <cell r="J2368">
            <v>22900</v>
          </cell>
          <cell r="K2368">
            <v>0</v>
          </cell>
          <cell r="L2368">
            <v>22900</v>
          </cell>
          <cell r="M2368">
            <v>0</v>
          </cell>
          <cell r="N2368">
            <v>22900</v>
          </cell>
          <cell r="O2368">
            <v>0</v>
          </cell>
          <cell r="P2368">
            <v>22900</v>
          </cell>
          <cell r="Q2368">
            <v>0</v>
          </cell>
          <cell r="R2368">
            <v>22900</v>
          </cell>
          <cell r="S2368">
            <v>0</v>
          </cell>
          <cell r="T2368">
            <v>22900</v>
          </cell>
          <cell r="U2368">
            <v>0</v>
          </cell>
          <cell r="V2368">
            <v>22900</v>
          </cell>
          <cell r="W2368">
            <v>0</v>
          </cell>
          <cell r="X2368">
            <v>22900</v>
          </cell>
          <cell r="Y2368">
            <v>0</v>
          </cell>
          <cell r="Z2368">
            <v>22900</v>
          </cell>
          <cell r="AA2368">
            <v>0</v>
          </cell>
          <cell r="AB2368">
            <v>0</v>
          </cell>
          <cell r="AC2368">
            <v>0</v>
          </cell>
          <cell r="AD2368">
            <v>0.20899999999999999</v>
          </cell>
          <cell r="AE2368">
            <v>0</v>
          </cell>
          <cell r="AF2368">
            <v>0</v>
          </cell>
          <cell r="AG2368">
            <v>0</v>
          </cell>
          <cell r="AH2368">
            <v>0</v>
          </cell>
          <cell r="AI2368">
            <v>0</v>
          </cell>
          <cell r="AJ2368">
            <v>0</v>
          </cell>
          <cell r="AK2368">
            <v>0</v>
          </cell>
          <cell r="AL2368" t="str">
            <v>専用器具</v>
          </cell>
        </row>
        <row r="2369">
          <cell r="E2369" t="str">
            <v>■直付ダウンライト</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row>
        <row r="2370">
          <cell r="E2370" t="str">
            <v>CL14MP-13e</v>
          </cell>
          <cell r="F2370" t="str">
            <v>台</v>
          </cell>
          <cell r="G2370">
            <v>0</v>
          </cell>
          <cell r="H2370">
            <v>19300</v>
          </cell>
          <cell r="I2370">
            <v>0</v>
          </cell>
          <cell r="J2370">
            <v>19300</v>
          </cell>
          <cell r="K2370">
            <v>0</v>
          </cell>
          <cell r="L2370">
            <v>19300</v>
          </cell>
          <cell r="M2370">
            <v>0</v>
          </cell>
          <cell r="N2370">
            <v>19300</v>
          </cell>
          <cell r="O2370">
            <v>0</v>
          </cell>
          <cell r="P2370">
            <v>19300</v>
          </cell>
          <cell r="Q2370">
            <v>0</v>
          </cell>
          <cell r="R2370">
            <v>19300</v>
          </cell>
          <cell r="S2370">
            <v>0</v>
          </cell>
          <cell r="T2370">
            <v>19300</v>
          </cell>
          <cell r="U2370">
            <v>0</v>
          </cell>
          <cell r="V2370">
            <v>19300</v>
          </cell>
          <cell r="W2370">
            <v>0</v>
          </cell>
          <cell r="X2370">
            <v>19300</v>
          </cell>
          <cell r="Y2370">
            <v>0</v>
          </cell>
          <cell r="Z2370">
            <v>19300</v>
          </cell>
          <cell r="AA2370">
            <v>0</v>
          </cell>
          <cell r="AB2370">
            <v>0</v>
          </cell>
          <cell r="AC2370">
            <v>0</v>
          </cell>
          <cell r="AD2370">
            <v>0.153</v>
          </cell>
          <cell r="AE2370">
            <v>0</v>
          </cell>
          <cell r="AF2370">
            <v>0</v>
          </cell>
          <cell r="AG2370">
            <v>0</v>
          </cell>
          <cell r="AH2370">
            <v>0</v>
          </cell>
          <cell r="AI2370">
            <v>0</v>
          </cell>
          <cell r="AJ2370">
            <v>0</v>
          </cell>
          <cell r="AK2370">
            <v>0</v>
          </cell>
          <cell r="AL2370" t="str">
            <v>専用器具</v>
          </cell>
        </row>
        <row r="2371">
          <cell r="E2371" t="str">
            <v>CL14MP-30e</v>
          </cell>
          <cell r="F2371" t="str">
            <v>台</v>
          </cell>
          <cell r="G2371">
            <v>0</v>
          </cell>
          <cell r="H2371">
            <v>26300</v>
          </cell>
          <cell r="I2371">
            <v>0</v>
          </cell>
          <cell r="J2371">
            <v>26300</v>
          </cell>
          <cell r="K2371">
            <v>0</v>
          </cell>
          <cell r="L2371">
            <v>26300</v>
          </cell>
          <cell r="M2371">
            <v>0</v>
          </cell>
          <cell r="N2371">
            <v>26300</v>
          </cell>
          <cell r="O2371">
            <v>0</v>
          </cell>
          <cell r="P2371">
            <v>26300</v>
          </cell>
          <cell r="Q2371">
            <v>0</v>
          </cell>
          <cell r="R2371">
            <v>26300</v>
          </cell>
          <cell r="S2371">
            <v>0</v>
          </cell>
          <cell r="T2371">
            <v>26300</v>
          </cell>
          <cell r="U2371">
            <v>0</v>
          </cell>
          <cell r="V2371">
            <v>26300</v>
          </cell>
          <cell r="W2371">
            <v>0</v>
          </cell>
          <cell r="X2371">
            <v>26300</v>
          </cell>
          <cell r="Y2371">
            <v>0</v>
          </cell>
          <cell r="Z2371">
            <v>26300</v>
          </cell>
          <cell r="AA2371">
            <v>0</v>
          </cell>
          <cell r="AB2371">
            <v>0</v>
          </cell>
          <cell r="AC2371">
            <v>0</v>
          </cell>
          <cell r="AD2371">
            <v>0.153</v>
          </cell>
          <cell r="AE2371">
            <v>0</v>
          </cell>
          <cell r="AF2371">
            <v>0</v>
          </cell>
          <cell r="AG2371">
            <v>0</v>
          </cell>
          <cell r="AH2371">
            <v>0</v>
          </cell>
          <cell r="AI2371">
            <v>0</v>
          </cell>
          <cell r="AJ2371">
            <v>0</v>
          </cell>
          <cell r="AK2371">
            <v>0</v>
          </cell>
          <cell r="AL2371" t="str">
            <v>専用器具</v>
          </cell>
        </row>
        <row r="2372">
          <cell r="E2372" t="str">
            <v>■直付ダウンライト</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row>
        <row r="2373">
          <cell r="E2373" t="str">
            <v>ds4-09e</v>
          </cell>
          <cell r="F2373" t="str">
            <v>台</v>
          </cell>
          <cell r="G2373">
            <v>0</v>
          </cell>
          <cell r="H2373">
            <v>8670</v>
          </cell>
          <cell r="I2373">
            <v>0</v>
          </cell>
          <cell r="J2373">
            <v>8670</v>
          </cell>
          <cell r="K2373">
            <v>0</v>
          </cell>
          <cell r="L2373">
            <v>8670</v>
          </cell>
          <cell r="M2373">
            <v>0</v>
          </cell>
          <cell r="N2373">
            <v>8670</v>
          </cell>
          <cell r="O2373">
            <v>0</v>
          </cell>
          <cell r="P2373">
            <v>8670</v>
          </cell>
          <cell r="Q2373">
            <v>0</v>
          </cell>
          <cell r="R2373">
            <v>8670</v>
          </cell>
          <cell r="S2373">
            <v>0</v>
          </cell>
          <cell r="T2373">
            <v>8670</v>
          </cell>
          <cell r="U2373">
            <v>0</v>
          </cell>
          <cell r="V2373">
            <v>8670</v>
          </cell>
          <cell r="W2373">
            <v>0</v>
          </cell>
          <cell r="X2373">
            <v>8670</v>
          </cell>
          <cell r="Y2373">
            <v>0</v>
          </cell>
          <cell r="Z2373">
            <v>8670</v>
          </cell>
          <cell r="AA2373">
            <v>0</v>
          </cell>
          <cell r="AB2373">
            <v>0</v>
          </cell>
          <cell r="AC2373">
            <v>0</v>
          </cell>
          <cell r="AD2373">
            <v>0.153</v>
          </cell>
          <cell r="AE2373">
            <v>0</v>
          </cell>
          <cell r="AF2373">
            <v>0</v>
          </cell>
          <cell r="AG2373">
            <v>0</v>
          </cell>
          <cell r="AH2373">
            <v>0</v>
          </cell>
          <cell r="AI2373">
            <v>0</v>
          </cell>
          <cell r="AJ2373">
            <v>0</v>
          </cell>
          <cell r="AK2373">
            <v>0</v>
          </cell>
          <cell r="AL2373" t="str">
            <v>専用器具</v>
          </cell>
        </row>
        <row r="2374">
          <cell r="E2374" t="str">
            <v>ds4-13e</v>
          </cell>
          <cell r="F2374" t="str">
            <v>台</v>
          </cell>
          <cell r="G2374">
            <v>0</v>
          </cell>
          <cell r="H2374">
            <v>11900</v>
          </cell>
          <cell r="I2374">
            <v>0</v>
          </cell>
          <cell r="J2374">
            <v>11900</v>
          </cell>
          <cell r="K2374">
            <v>0</v>
          </cell>
          <cell r="L2374">
            <v>11900</v>
          </cell>
          <cell r="M2374">
            <v>0</v>
          </cell>
          <cell r="N2374">
            <v>11900</v>
          </cell>
          <cell r="O2374">
            <v>0</v>
          </cell>
          <cell r="P2374">
            <v>11900</v>
          </cell>
          <cell r="Q2374">
            <v>0</v>
          </cell>
          <cell r="R2374">
            <v>11900</v>
          </cell>
          <cell r="S2374">
            <v>0</v>
          </cell>
          <cell r="T2374">
            <v>11900</v>
          </cell>
          <cell r="U2374">
            <v>0</v>
          </cell>
          <cell r="V2374">
            <v>11900</v>
          </cell>
          <cell r="W2374">
            <v>0</v>
          </cell>
          <cell r="X2374">
            <v>11900</v>
          </cell>
          <cell r="Y2374">
            <v>0</v>
          </cell>
          <cell r="Z2374">
            <v>11900</v>
          </cell>
          <cell r="AA2374">
            <v>0</v>
          </cell>
          <cell r="AB2374">
            <v>0</v>
          </cell>
          <cell r="AC2374">
            <v>0</v>
          </cell>
          <cell r="AD2374">
            <v>0.153</v>
          </cell>
          <cell r="AE2374">
            <v>0</v>
          </cell>
          <cell r="AF2374">
            <v>0</v>
          </cell>
          <cell r="AG2374">
            <v>0</v>
          </cell>
          <cell r="AH2374">
            <v>0</v>
          </cell>
          <cell r="AI2374">
            <v>0</v>
          </cell>
          <cell r="AJ2374">
            <v>0</v>
          </cell>
          <cell r="AK2374">
            <v>0</v>
          </cell>
          <cell r="AL2374" t="str">
            <v>専用器具</v>
          </cell>
        </row>
        <row r="2375">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row>
        <row r="2376">
          <cell r="E2376" t="str">
            <v>ds4-30e</v>
          </cell>
          <cell r="F2376" t="str">
            <v>台</v>
          </cell>
          <cell r="G2376">
            <v>0</v>
          </cell>
          <cell r="H2376">
            <v>19500</v>
          </cell>
          <cell r="I2376">
            <v>0</v>
          </cell>
          <cell r="J2376">
            <v>19500</v>
          </cell>
          <cell r="K2376">
            <v>0</v>
          </cell>
          <cell r="L2376">
            <v>19500</v>
          </cell>
          <cell r="M2376">
            <v>0</v>
          </cell>
          <cell r="N2376">
            <v>19500</v>
          </cell>
          <cell r="O2376">
            <v>0</v>
          </cell>
          <cell r="P2376">
            <v>19500</v>
          </cell>
          <cell r="Q2376">
            <v>0</v>
          </cell>
          <cell r="R2376">
            <v>19500</v>
          </cell>
          <cell r="S2376">
            <v>0</v>
          </cell>
          <cell r="T2376">
            <v>19500</v>
          </cell>
          <cell r="U2376">
            <v>0</v>
          </cell>
          <cell r="V2376">
            <v>19500</v>
          </cell>
          <cell r="W2376">
            <v>0</v>
          </cell>
          <cell r="X2376">
            <v>19500</v>
          </cell>
          <cell r="Y2376">
            <v>0</v>
          </cell>
          <cell r="Z2376">
            <v>19500</v>
          </cell>
          <cell r="AA2376">
            <v>0</v>
          </cell>
          <cell r="AB2376">
            <v>0</v>
          </cell>
          <cell r="AC2376">
            <v>0</v>
          </cell>
          <cell r="AD2376">
            <v>0.153</v>
          </cell>
          <cell r="AE2376">
            <v>0</v>
          </cell>
          <cell r="AF2376">
            <v>0</v>
          </cell>
          <cell r="AG2376">
            <v>0</v>
          </cell>
          <cell r="AH2376">
            <v>0</v>
          </cell>
          <cell r="AI2376">
            <v>0</v>
          </cell>
          <cell r="AJ2376">
            <v>0</v>
          </cell>
          <cell r="AK2376">
            <v>0</v>
          </cell>
          <cell r="AL2376" t="str">
            <v>専用器具</v>
          </cell>
        </row>
        <row r="2377">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row>
        <row r="2378">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row>
        <row r="2379">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row>
        <row r="2380">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row>
        <row r="2381">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row>
        <row r="2382">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row>
        <row r="2383">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row>
        <row r="2384">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row>
        <row r="2385">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row>
        <row r="2386">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row>
        <row r="2387">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row>
        <row r="2388">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row>
        <row r="2389">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row>
        <row r="2390">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row>
        <row r="2391">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row>
        <row r="2392">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row>
        <row r="2393">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row>
        <row r="2394">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row>
        <row r="2395">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row>
        <row r="2396">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row>
        <row r="2397">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row>
        <row r="2398">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row>
        <row r="2399">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row>
        <row r="2400">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row>
        <row r="2401">
          <cell r="E2401" t="str">
            <v>■避難口(壁埋込)</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row>
        <row r="2402">
          <cell r="E2402" t="str">
            <v>Xa1-Ce</v>
          </cell>
          <cell r="F2402" t="str">
            <v>台</v>
          </cell>
          <cell r="G2402">
            <v>0</v>
          </cell>
          <cell r="H2402">
            <v>13600</v>
          </cell>
          <cell r="I2402">
            <v>0</v>
          </cell>
          <cell r="J2402">
            <v>13600</v>
          </cell>
          <cell r="K2402">
            <v>0</v>
          </cell>
          <cell r="L2402">
            <v>13600</v>
          </cell>
          <cell r="M2402">
            <v>0</v>
          </cell>
          <cell r="N2402">
            <v>13600</v>
          </cell>
          <cell r="O2402">
            <v>0</v>
          </cell>
          <cell r="P2402">
            <v>13600</v>
          </cell>
          <cell r="Q2402">
            <v>0</v>
          </cell>
          <cell r="R2402">
            <v>13600</v>
          </cell>
          <cell r="S2402">
            <v>0</v>
          </cell>
          <cell r="T2402">
            <v>13600</v>
          </cell>
          <cell r="U2402">
            <v>0</v>
          </cell>
          <cell r="V2402">
            <v>13600</v>
          </cell>
          <cell r="W2402">
            <v>0</v>
          </cell>
          <cell r="X2402">
            <v>13600</v>
          </cell>
          <cell r="Y2402">
            <v>0</v>
          </cell>
          <cell r="Z2402">
            <v>13600</v>
          </cell>
          <cell r="AA2402">
            <v>0</v>
          </cell>
          <cell r="AB2402">
            <v>0</v>
          </cell>
          <cell r="AC2402">
            <v>0</v>
          </cell>
          <cell r="AD2402">
            <v>0.217</v>
          </cell>
          <cell r="AE2402">
            <v>0</v>
          </cell>
          <cell r="AF2402">
            <v>0</v>
          </cell>
          <cell r="AG2402">
            <v>0</v>
          </cell>
          <cell r="AH2402">
            <v>1.9</v>
          </cell>
          <cell r="AI2402">
            <v>0.47499999999999998</v>
          </cell>
          <cell r="AJ2402">
            <v>1</v>
          </cell>
          <cell r="AK2402">
            <v>4</v>
          </cell>
          <cell r="AL2402">
            <v>0</v>
          </cell>
        </row>
        <row r="2403">
          <cell r="E2403" t="str">
            <v>Xa1-Ce60</v>
          </cell>
          <cell r="F2403" t="str">
            <v>台</v>
          </cell>
          <cell r="G2403">
            <v>0</v>
          </cell>
          <cell r="H2403">
            <v>29100</v>
          </cell>
          <cell r="I2403">
            <v>0</v>
          </cell>
          <cell r="J2403">
            <v>29100</v>
          </cell>
          <cell r="K2403">
            <v>0</v>
          </cell>
          <cell r="L2403">
            <v>29100</v>
          </cell>
          <cell r="M2403">
            <v>0</v>
          </cell>
          <cell r="N2403">
            <v>29100</v>
          </cell>
          <cell r="O2403">
            <v>0</v>
          </cell>
          <cell r="P2403">
            <v>29100</v>
          </cell>
          <cell r="Q2403">
            <v>0</v>
          </cell>
          <cell r="R2403">
            <v>29100</v>
          </cell>
          <cell r="S2403">
            <v>0</v>
          </cell>
          <cell r="T2403">
            <v>29100</v>
          </cell>
          <cell r="U2403">
            <v>0</v>
          </cell>
          <cell r="V2403">
            <v>29100</v>
          </cell>
          <cell r="W2403">
            <v>0</v>
          </cell>
          <cell r="X2403">
            <v>29100</v>
          </cell>
          <cell r="Y2403">
            <v>0</v>
          </cell>
          <cell r="Z2403">
            <v>29100</v>
          </cell>
          <cell r="AA2403">
            <v>0</v>
          </cell>
          <cell r="AB2403">
            <v>0</v>
          </cell>
          <cell r="AC2403">
            <v>0</v>
          </cell>
          <cell r="AD2403">
            <v>0.217</v>
          </cell>
          <cell r="AE2403">
            <v>0</v>
          </cell>
          <cell r="AF2403">
            <v>0</v>
          </cell>
          <cell r="AG2403">
            <v>0</v>
          </cell>
          <cell r="AH2403">
            <v>1.9</v>
          </cell>
          <cell r="AI2403">
            <v>0.46300000000000002</v>
          </cell>
          <cell r="AJ2403">
            <v>1</v>
          </cell>
          <cell r="AK2403">
            <v>4.0999999999999996</v>
          </cell>
          <cell r="AL2403">
            <v>0</v>
          </cell>
        </row>
        <row r="2404">
          <cell r="E2404" t="str">
            <v>Xa1-BLe</v>
          </cell>
          <cell r="F2404" t="str">
            <v>台</v>
          </cell>
          <cell r="G2404">
            <v>0</v>
          </cell>
          <cell r="H2404">
            <v>20000</v>
          </cell>
          <cell r="I2404">
            <v>0</v>
          </cell>
          <cell r="J2404">
            <v>20000</v>
          </cell>
          <cell r="K2404">
            <v>0</v>
          </cell>
          <cell r="L2404">
            <v>20000</v>
          </cell>
          <cell r="M2404">
            <v>0</v>
          </cell>
          <cell r="N2404">
            <v>20000</v>
          </cell>
          <cell r="O2404">
            <v>0</v>
          </cell>
          <cell r="P2404">
            <v>20000</v>
          </cell>
          <cell r="Q2404">
            <v>0</v>
          </cell>
          <cell r="R2404">
            <v>20000</v>
          </cell>
          <cell r="S2404">
            <v>0</v>
          </cell>
          <cell r="T2404">
            <v>20000</v>
          </cell>
          <cell r="U2404">
            <v>0</v>
          </cell>
          <cell r="V2404">
            <v>20000</v>
          </cell>
          <cell r="W2404">
            <v>0</v>
          </cell>
          <cell r="X2404">
            <v>20000</v>
          </cell>
          <cell r="Y2404">
            <v>0</v>
          </cell>
          <cell r="Z2404">
            <v>20000</v>
          </cell>
          <cell r="AA2404">
            <v>0</v>
          </cell>
          <cell r="AB2404">
            <v>0</v>
          </cell>
          <cell r="AC2404">
            <v>0</v>
          </cell>
          <cell r="AD2404">
            <v>0.25</v>
          </cell>
          <cell r="AE2404">
            <v>0</v>
          </cell>
          <cell r="AF2404">
            <v>0</v>
          </cell>
          <cell r="AG2404">
            <v>0</v>
          </cell>
          <cell r="AH2404">
            <v>2.5</v>
          </cell>
          <cell r="AI2404">
            <v>0.49</v>
          </cell>
          <cell r="AJ2404">
            <v>1</v>
          </cell>
          <cell r="AK2404">
            <v>5.0999999999999996</v>
          </cell>
          <cell r="AL2404">
            <v>0</v>
          </cell>
        </row>
        <row r="2405">
          <cell r="E2405" t="str">
            <v>Xa1-BLe60</v>
          </cell>
          <cell r="F2405" t="str">
            <v>台</v>
          </cell>
          <cell r="G2405">
            <v>0</v>
          </cell>
          <cell r="H2405">
            <v>34900</v>
          </cell>
          <cell r="I2405">
            <v>0</v>
          </cell>
          <cell r="J2405">
            <v>34900</v>
          </cell>
          <cell r="K2405">
            <v>0</v>
          </cell>
          <cell r="L2405">
            <v>34900</v>
          </cell>
          <cell r="M2405">
            <v>0</v>
          </cell>
          <cell r="N2405">
            <v>34900</v>
          </cell>
          <cell r="O2405">
            <v>0</v>
          </cell>
          <cell r="P2405">
            <v>34900</v>
          </cell>
          <cell r="Q2405">
            <v>0</v>
          </cell>
          <cell r="R2405">
            <v>34900</v>
          </cell>
          <cell r="S2405">
            <v>0</v>
          </cell>
          <cell r="T2405">
            <v>34900</v>
          </cell>
          <cell r="U2405">
            <v>0</v>
          </cell>
          <cell r="V2405">
            <v>34900</v>
          </cell>
          <cell r="W2405">
            <v>0</v>
          </cell>
          <cell r="X2405">
            <v>34900</v>
          </cell>
          <cell r="Y2405">
            <v>0</v>
          </cell>
          <cell r="Z2405">
            <v>34900</v>
          </cell>
          <cell r="AA2405">
            <v>0</v>
          </cell>
          <cell r="AB2405">
            <v>0</v>
          </cell>
          <cell r="AC2405">
            <v>0</v>
          </cell>
          <cell r="AD2405">
            <v>0.25</v>
          </cell>
          <cell r="AE2405">
            <v>0</v>
          </cell>
          <cell r="AF2405">
            <v>0</v>
          </cell>
          <cell r="AG2405">
            <v>0</v>
          </cell>
          <cell r="AH2405">
            <v>2.6</v>
          </cell>
          <cell r="AI2405">
            <v>0.49099999999999999</v>
          </cell>
          <cell r="AJ2405">
            <v>1</v>
          </cell>
          <cell r="AK2405">
            <v>5.29</v>
          </cell>
          <cell r="AL2405">
            <v>0</v>
          </cell>
        </row>
        <row r="2406">
          <cell r="E2406" t="str">
            <v>Xa1-BHe</v>
          </cell>
          <cell r="F2406" t="str">
            <v>台</v>
          </cell>
          <cell r="G2406">
            <v>0</v>
          </cell>
          <cell r="H2406">
            <v>28800</v>
          </cell>
          <cell r="I2406">
            <v>0</v>
          </cell>
          <cell r="J2406">
            <v>28800</v>
          </cell>
          <cell r="K2406">
            <v>0</v>
          </cell>
          <cell r="L2406">
            <v>28800</v>
          </cell>
          <cell r="M2406">
            <v>0</v>
          </cell>
          <cell r="N2406">
            <v>28800</v>
          </cell>
          <cell r="O2406">
            <v>0</v>
          </cell>
          <cell r="P2406">
            <v>28800</v>
          </cell>
          <cell r="Q2406">
            <v>0</v>
          </cell>
          <cell r="R2406">
            <v>28800</v>
          </cell>
          <cell r="S2406">
            <v>0</v>
          </cell>
          <cell r="T2406">
            <v>28800</v>
          </cell>
          <cell r="U2406">
            <v>0</v>
          </cell>
          <cell r="V2406">
            <v>28800</v>
          </cell>
          <cell r="W2406">
            <v>0</v>
          </cell>
          <cell r="X2406">
            <v>28800</v>
          </cell>
          <cell r="Y2406">
            <v>0</v>
          </cell>
          <cell r="Z2406">
            <v>28800</v>
          </cell>
          <cell r="AA2406">
            <v>0</v>
          </cell>
          <cell r="AB2406">
            <v>0</v>
          </cell>
          <cell r="AC2406">
            <v>0</v>
          </cell>
          <cell r="AD2406">
            <v>0.25</v>
          </cell>
          <cell r="AE2406">
            <v>0</v>
          </cell>
          <cell r="AF2406">
            <v>0</v>
          </cell>
          <cell r="AG2406">
            <v>0</v>
          </cell>
          <cell r="AH2406">
            <v>3.4</v>
          </cell>
          <cell r="AI2406">
            <v>0.50700000000000001</v>
          </cell>
          <cell r="AJ2406">
            <v>1</v>
          </cell>
          <cell r="AK2406">
            <v>6.7</v>
          </cell>
          <cell r="AL2406">
            <v>0</v>
          </cell>
        </row>
        <row r="2407">
          <cell r="E2407" t="str">
            <v>Xa1-BHe60</v>
          </cell>
          <cell r="F2407" t="str">
            <v>台</v>
          </cell>
          <cell r="G2407">
            <v>0</v>
          </cell>
          <cell r="H2407">
            <v>44000</v>
          </cell>
          <cell r="I2407">
            <v>0</v>
          </cell>
          <cell r="J2407">
            <v>44000</v>
          </cell>
          <cell r="K2407">
            <v>0</v>
          </cell>
          <cell r="L2407">
            <v>44000</v>
          </cell>
          <cell r="M2407">
            <v>0</v>
          </cell>
          <cell r="N2407">
            <v>44000</v>
          </cell>
          <cell r="O2407">
            <v>0</v>
          </cell>
          <cell r="P2407">
            <v>44000</v>
          </cell>
          <cell r="Q2407">
            <v>0</v>
          </cell>
          <cell r="R2407">
            <v>44000</v>
          </cell>
          <cell r="S2407">
            <v>0</v>
          </cell>
          <cell r="T2407">
            <v>44000</v>
          </cell>
          <cell r="U2407">
            <v>0</v>
          </cell>
          <cell r="V2407">
            <v>44000</v>
          </cell>
          <cell r="W2407">
            <v>0</v>
          </cell>
          <cell r="X2407">
            <v>44000</v>
          </cell>
          <cell r="Y2407">
            <v>0</v>
          </cell>
          <cell r="Z2407">
            <v>44000</v>
          </cell>
          <cell r="AA2407">
            <v>0</v>
          </cell>
          <cell r="AB2407">
            <v>0</v>
          </cell>
          <cell r="AC2407">
            <v>0</v>
          </cell>
          <cell r="AD2407">
            <v>0.25</v>
          </cell>
          <cell r="AE2407">
            <v>0</v>
          </cell>
          <cell r="AF2407">
            <v>0</v>
          </cell>
          <cell r="AG2407">
            <v>0</v>
          </cell>
          <cell r="AH2407">
            <v>3.5</v>
          </cell>
          <cell r="AI2407">
            <v>0.51500000000000001</v>
          </cell>
          <cell r="AJ2407">
            <v>1</v>
          </cell>
          <cell r="AK2407">
            <v>6.79</v>
          </cell>
          <cell r="AL2407">
            <v>0</v>
          </cell>
        </row>
        <row r="2408">
          <cell r="E2408" t="str">
            <v>■避難口(壁埋込)</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row>
        <row r="2409">
          <cell r="E2409" t="str">
            <v>Xb1AF-BLe</v>
          </cell>
          <cell r="F2409" t="str">
            <v>台</v>
          </cell>
          <cell r="G2409">
            <v>0</v>
          </cell>
          <cell r="H2409">
            <v>53300</v>
          </cell>
          <cell r="I2409">
            <v>0</v>
          </cell>
          <cell r="J2409">
            <v>53300</v>
          </cell>
          <cell r="K2409">
            <v>0</v>
          </cell>
          <cell r="L2409">
            <v>53300</v>
          </cell>
          <cell r="M2409">
            <v>0</v>
          </cell>
          <cell r="N2409">
            <v>53300</v>
          </cell>
          <cell r="O2409">
            <v>0</v>
          </cell>
          <cell r="P2409">
            <v>53300</v>
          </cell>
          <cell r="Q2409">
            <v>0</v>
          </cell>
          <cell r="R2409">
            <v>53300</v>
          </cell>
          <cell r="S2409">
            <v>0</v>
          </cell>
          <cell r="T2409">
            <v>53300</v>
          </cell>
          <cell r="U2409">
            <v>0</v>
          </cell>
          <cell r="V2409">
            <v>53300</v>
          </cell>
          <cell r="W2409">
            <v>0</v>
          </cell>
          <cell r="X2409">
            <v>53300</v>
          </cell>
          <cell r="Y2409">
            <v>0</v>
          </cell>
          <cell r="Z2409">
            <v>53300</v>
          </cell>
          <cell r="AA2409">
            <v>0</v>
          </cell>
          <cell r="AB2409">
            <v>0</v>
          </cell>
          <cell r="AC2409">
            <v>0</v>
          </cell>
          <cell r="AD2409">
            <v>0.25</v>
          </cell>
          <cell r="AE2409">
            <v>0</v>
          </cell>
          <cell r="AF2409">
            <v>0</v>
          </cell>
          <cell r="AG2409">
            <v>0</v>
          </cell>
          <cell r="AH2409">
            <v>4.5999999999999996</v>
          </cell>
          <cell r="AI2409">
            <v>0.63900000000000001</v>
          </cell>
          <cell r="AJ2409">
            <v>1</v>
          </cell>
          <cell r="AK2409">
            <v>7.19</v>
          </cell>
          <cell r="AL2409">
            <v>0</v>
          </cell>
        </row>
        <row r="2410">
          <cell r="E2410" t="str">
            <v>Xb1AF-BLe60</v>
          </cell>
          <cell r="F2410" t="str">
            <v>台</v>
          </cell>
          <cell r="G2410">
            <v>0</v>
          </cell>
          <cell r="H2410">
            <v>91800</v>
          </cell>
          <cell r="I2410">
            <v>0</v>
          </cell>
          <cell r="J2410">
            <v>91800</v>
          </cell>
          <cell r="K2410">
            <v>0</v>
          </cell>
          <cell r="L2410">
            <v>91800</v>
          </cell>
          <cell r="M2410">
            <v>0</v>
          </cell>
          <cell r="N2410">
            <v>91800</v>
          </cell>
          <cell r="O2410">
            <v>0</v>
          </cell>
          <cell r="P2410">
            <v>91800</v>
          </cell>
          <cell r="Q2410">
            <v>0</v>
          </cell>
          <cell r="R2410">
            <v>91800</v>
          </cell>
          <cell r="S2410">
            <v>0</v>
          </cell>
          <cell r="T2410">
            <v>91800</v>
          </cell>
          <cell r="U2410">
            <v>0</v>
          </cell>
          <cell r="V2410">
            <v>91800</v>
          </cell>
          <cell r="W2410">
            <v>0</v>
          </cell>
          <cell r="X2410">
            <v>91800</v>
          </cell>
          <cell r="Y2410">
            <v>0</v>
          </cell>
          <cell r="Z2410">
            <v>91800</v>
          </cell>
          <cell r="AA2410">
            <v>0</v>
          </cell>
          <cell r="AB2410">
            <v>0</v>
          </cell>
          <cell r="AC2410">
            <v>0</v>
          </cell>
          <cell r="AD2410">
            <v>0.25</v>
          </cell>
          <cell r="AE2410">
            <v>0</v>
          </cell>
          <cell r="AF2410">
            <v>0</v>
          </cell>
          <cell r="AG2410">
            <v>0</v>
          </cell>
          <cell r="AH2410">
            <v>2.8</v>
          </cell>
          <cell r="AI2410">
            <v>0.71599999999999997</v>
          </cell>
          <cell r="AJ2410">
            <v>1</v>
          </cell>
          <cell r="AK2410">
            <v>3.91</v>
          </cell>
          <cell r="AL2410">
            <v>0</v>
          </cell>
        </row>
        <row r="2411">
          <cell r="E2411" t="str">
            <v>Xb1AF-BHe</v>
          </cell>
          <cell r="F2411" t="str">
            <v>台</v>
          </cell>
          <cell r="G2411">
            <v>0</v>
          </cell>
          <cell r="H2411">
            <v>63100</v>
          </cell>
          <cell r="I2411">
            <v>0</v>
          </cell>
          <cell r="J2411">
            <v>63100</v>
          </cell>
          <cell r="K2411">
            <v>0</v>
          </cell>
          <cell r="L2411">
            <v>63100</v>
          </cell>
          <cell r="M2411">
            <v>0</v>
          </cell>
          <cell r="N2411">
            <v>63100</v>
          </cell>
          <cell r="O2411">
            <v>0</v>
          </cell>
          <cell r="P2411">
            <v>63100</v>
          </cell>
          <cell r="Q2411">
            <v>0</v>
          </cell>
          <cell r="R2411">
            <v>63100</v>
          </cell>
          <cell r="S2411">
            <v>0</v>
          </cell>
          <cell r="T2411">
            <v>63100</v>
          </cell>
          <cell r="U2411">
            <v>0</v>
          </cell>
          <cell r="V2411">
            <v>63100</v>
          </cell>
          <cell r="W2411">
            <v>0</v>
          </cell>
          <cell r="X2411">
            <v>63100</v>
          </cell>
          <cell r="Y2411">
            <v>0</v>
          </cell>
          <cell r="Z2411">
            <v>63100</v>
          </cell>
          <cell r="AA2411">
            <v>0</v>
          </cell>
          <cell r="AB2411">
            <v>0</v>
          </cell>
          <cell r="AC2411">
            <v>0</v>
          </cell>
          <cell r="AD2411">
            <v>0.25</v>
          </cell>
          <cell r="AE2411">
            <v>0</v>
          </cell>
          <cell r="AF2411">
            <v>0</v>
          </cell>
          <cell r="AG2411">
            <v>0</v>
          </cell>
          <cell r="AH2411">
            <v>5.6</v>
          </cell>
          <cell r="AI2411">
            <v>0.63600000000000001</v>
          </cell>
          <cell r="AJ2411">
            <v>1</v>
          </cell>
          <cell r="AK2411">
            <v>8.8000000000000007</v>
          </cell>
          <cell r="AL2411">
            <v>0</v>
          </cell>
        </row>
        <row r="2412">
          <cell r="E2412" t="str">
            <v>Xb1AF-BHe60</v>
          </cell>
          <cell r="F2412" t="str">
            <v>台</v>
          </cell>
          <cell r="G2412">
            <v>0</v>
          </cell>
          <cell r="H2412">
            <v>101000</v>
          </cell>
          <cell r="I2412">
            <v>0</v>
          </cell>
          <cell r="J2412">
            <v>101000</v>
          </cell>
          <cell r="K2412">
            <v>0</v>
          </cell>
          <cell r="L2412">
            <v>101000</v>
          </cell>
          <cell r="M2412">
            <v>0</v>
          </cell>
          <cell r="N2412">
            <v>101000</v>
          </cell>
          <cell r="O2412">
            <v>0</v>
          </cell>
          <cell r="P2412">
            <v>101000</v>
          </cell>
          <cell r="Q2412">
            <v>0</v>
          </cell>
          <cell r="R2412">
            <v>101000</v>
          </cell>
          <cell r="S2412">
            <v>0</v>
          </cell>
          <cell r="T2412">
            <v>101000</v>
          </cell>
          <cell r="U2412">
            <v>0</v>
          </cell>
          <cell r="V2412">
            <v>101000</v>
          </cell>
          <cell r="W2412">
            <v>0</v>
          </cell>
          <cell r="X2412">
            <v>101000</v>
          </cell>
          <cell r="Y2412">
            <v>0</v>
          </cell>
          <cell r="Z2412">
            <v>101000</v>
          </cell>
          <cell r="AA2412">
            <v>0</v>
          </cell>
          <cell r="AB2412">
            <v>0</v>
          </cell>
          <cell r="AC2412">
            <v>0</v>
          </cell>
          <cell r="AD2412">
            <v>0.25</v>
          </cell>
          <cell r="AE2412">
            <v>0</v>
          </cell>
          <cell r="AF2412">
            <v>0</v>
          </cell>
          <cell r="AG2412">
            <v>0</v>
          </cell>
          <cell r="AH2412">
            <v>6.7</v>
          </cell>
          <cell r="AI2412">
            <v>0.69099999999999995</v>
          </cell>
          <cell r="AJ2412">
            <v>1</v>
          </cell>
          <cell r="AK2412">
            <v>9.69</v>
          </cell>
          <cell r="AL2412">
            <v>0</v>
          </cell>
        </row>
        <row r="2413">
          <cell r="E2413" t="str">
            <v>Xb1F-BLe</v>
          </cell>
          <cell r="F2413" t="str">
            <v>台</v>
          </cell>
          <cell r="G2413">
            <v>0</v>
          </cell>
          <cell r="H2413">
            <v>44200</v>
          </cell>
          <cell r="I2413">
            <v>0</v>
          </cell>
          <cell r="J2413">
            <v>44200</v>
          </cell>
          <cell r="K2413">
            <v>0</v>
          </cell>
          <cell r="L2413">
            <v>44200</v>
          </cell>
          <cell r="M2413">
            <v>0</v>
          </cell>
          <cell r="N2413">
            <v>44200</v>
          </cell>
          <cell r="O2413">
            <v>0</v>
          </cell>
          <cell r="P2413">
            <v>44200</v>
          </cell>
          <cell r="Q2413">
            <v>0</v>
          </cell>
          <cell r="R2413">
            <v>44200</v>
          </cell>
          <cell r="S2413">
            <v>0</v>
          </cell>
          <cell r="T2413">
            <v>44200</v>
          </cell>
          <cell r="U2413">
            <v>0</v>
          </cell>
          <cell r="V2413">
            <v>44200</v>
          </cell>
          <cell r="W2413">
            <v>0</v>
          </cell>
          <cell r="X2413">
            <v>44200</v>
          </cell>
          <cell r="Y2413">
            <v>0</v>
          </cell>
          <cell r="Z2413">
            <v>44200</v>
          </cell>
          <cell r="AA2413">
            <v>0</v>
          </cell>
          <cell r="AB2413">
            <v>0</v>
          </cell>
          <cell r="AC2413">
            <v>0</v>
          </cell>
          <cell r="AD2413">
            <v>0.25</v>
          </cell>
          <cell r="AE2413">
            <v>0</v>
          </cell>
          <cell r="AF2413">
            <v>0</v>
          </cell>
          <cell r="AG2413">
            <v>0</v>
          </cell>
          <cell r="AH2413">
            <v>4.4000000000000004</v>
          </cell>
          <cell r="AI2413">
            <v>0.64700000000000002</v>
          </cell>
          <cell r="AJ2413">
            <v>1</v>
          </cell>
          <cell r="AK2413">
            <v>6.8</v>
          </cell>
          <cell r="AL2413">
            <v>0</v>
          </cell>
        </row>
        <row r="2414">
          <cell r="E2414" t="str">
            <v>Xb1F-BLe60</v>
          </cell>
          <cell r="F2414" t="str">
            <v>台</v>
          </cell>
          <cell r="G2414">
            <v>0</v>
          </cell>
          <cell r="H2414">
            <v>79400</v>
          </cell>
          <cell r="I2414">
            <v>0</v>
          </cell>
          <cell r="J2414">
            <v>79400</v>
          </cell>
          <cell r="K2414">
            <v>0</v>
          </cell>
          <cell r="L2414">
            <v>79400</v>
          </cell>
          <cell r="M2414">
            <v>0</v>
          </cell>
          <cell r="N2414">
            <v>79400</v>
          </cell>
          <cell r="O2414">
            <v>0</v>
          </cell>
          <cell r="P2414">
            <v>79400</v>
          </cell>
          <cell r="Q2414">
            <v>0</v>
          </cell>
          <cell r="R2414">
            <v>79400</v>
          </cell>
          <cell r="S2414">
            <v>0</v>
          </cell>
          <cell r="T2414">
            <v>79400</v>
          </cell>
          <cell r="U2414">
            <v>0</v>
          </cell>
          <cell r="V2414">
            <v>79400</v>
          </cell>
          <cell r="W2414">
            <v>0</v>
          </cell>
          <cell r="X2414">
            <v>79400</v>
          </cell>
          <cell r="Y2414">
            <v>0</v>
          </cell>
          <cell r="Z2414">
            <v>79400</v>
          </cell>
          <cell r="AA2414">
            <v>0</v>
          </cell>
          <cell r="AB2414">
            <v>0</v>
          </cell>
          <cell r="AC2414">
            <v>0</v>
          </cell>
          <cell r="AD2414">
            <v>0.25</v>
          </cell>
          <cell r="AE2414">
            <v>0</v>
          </cell>
          <cell r="AF2414">
            <v>0</v>
          </cell>
          <cell r="AG2414">
            <v>0</v>
          </cell>
          <cell r="AH2414">
            <v>5.4</v>
          </cell>
          <cell r="AI2414">
            <v>0.73</v>
          </cell>
          <cell r="AJ2414">
            <v>1</v>
          </cell>
          <cell r="AK2414">
            <v>7.39</v>
          </cell>
          <cell r="AL2414">
            <v>0</v>
          </cell>
        </row>
        <row r="2415">
          <cell r="E2415" t="str">
            <v>Xb1F-BHe</v>
          </cell>
          <cell r="F2415" t="str">
            <v>台</v>
          </cell>
          <cell r="G2415">
            <v>0</v>
          </cell>
          <cell r="H2415">
            <v>54300</v>
          </cell>
          <cell r="I2415">
            <v>0</v>
          </cell>
          <cell r="J2415">
            <v>54300</v>
          </cell>
          <cell r="K2415">
            <v>0</v>
          </cell>
          <cell r="L2415">
            <v>54300</v>
          </cell>
          <cell r="M2415">
            <v>0</v>
          </cell>
          <cell r="N2415">
            <v>54300</v>
          </cell>
          <cell r="O2415">
            <v>0</v>
          </cell>
          <cell r="P2415">
            <v>54300</v>
          </cell>
          <cell r="Q2415">
            <v>0</v>
          </cell>
          <cell r="R2415">
            <v>54300</v>
          </cell>
          <cell r="S2415">
            <v>0</v>
          </cell>
          <cell r="T2415">
            <v>54300</v>
          </cell>
          <cell r="U2415">
            <v>0</v>
          </cell>
          <cell r="V2415">
            <v>54300</v>
          </cell>
          <cell r="W2415">
            <v>0</v>
          </cell>
          <cell r="X2415">
            <v>54300</v>
          </cell>
          <cell r="Y2415">
            <v>0</v>
          </cell>
          <cell r="Z2415">
            <v>54300</v>
          </cell>
          <cell r="AA2415">
            <v>0</v>
          </cell>
          <cell r="AB2415">
            <v>0</v>
          </cell>
          <cell r="AC2415">
            <v>0</v>
          </cell>
          <cell r="AD2415">
            <v>0.25</v>
          </cell>
          <cell r="AE2415">
            <v>0</v>
          </cell>
          <cell r="AF2415">
            <v>0</v>
          </cell>
          <cell r="AG2415">
            <v>0</v>
          </cell>
          <cell r="AH2415">
            <v>5.4</v>
          </cell>
          <cell r="AI2415">
            <v>0.623</v>
          </cell>
          <cell r="AJ2415">
            <v>1</v>
          </cell>
          <cell r="AK2415">
            <v>8.66</v>
          </cell>
          <cell r="AL2415">
            <v>0</v>
          </cell>
        </row>
        <row r="2416">
          <cell r="E2416" t="str">
            <v>Xb1F-BHe60</v>
          </cell>
          <cell r="F2416" t="str">
            <v>台</v>
          </cell>
          <cell r="G2416">
            <v>0</v>
          </cell>
          <cell r="H2416">
            <v>89200</v>
          </cell>
          <cell r="I2416">
            <v>0</v>
          </cell>
          <cell r="J2416">
            <v>89200</v>
          </cell>
          <cell r="K2416">
            <v>0</v>
          </cell>
          <cell r="L2416">
            <v>89200</v>
          </cell>
          <cell r="M2416">
            <v>0</v>
          </cell>
          <cell r="N2416">
            <v>89200</v>
          </cell>
          <cell r="O2416">
            <v>0</v>
          </cell>
          <cell r="P2416">
            <v>89200</v>
          </cell>
          <cell r="Q2416">
            <v>0</v>
          </cell>
          <cell r="R2416">
            <v>89200</v>
          </cell>
          <cell r="S2416">
            <v>0</v>
          </cell>
          <cell r="T2416">
            <v>89200</v>
          </cell>
          <cell r="U2416">
            <v>0</v>
          </cell>
          <cell r="V2416">
            <v>89200</v>
          </cell>
          <cell r="W2416">
            <v>0</v>
          </cell>
          <cell r="X2416">
            <v>89200</v>
          </cell>
          <cell r="Y2416">
            <v>0</v>
          </cell>
          <cell r="Z2416">
            <v>89200</v>
          </cell>
          <cell r="AA2416">
            <v>0</v>
          </cell>
          <cell r="AB2416">
            <v>0</v>
          </cell>
          <cell r="AC2416">
            <v>0</v>
          </cell>
          <cell r="AD2416">
            <v>0.25</v>
          </cell>
          <cell r="AE2416">
            <v>0</v>
          </cell>
          <cell r="AF2416">
            <v>0</v>
          </cell>
          <cell r="AG2416">
            <v>0</v>
          </cell>
          <cell r="AH2416">
            <v>6.3</v>
          </cell>
          <cell r="AI2416">
            <v>0.7</v>
          </cell>
          <cell r="AJ2416">
            <v>1</v>
          </cell>
          <cell r="AK2416">
            <v>9</v>
          </cell>
          <cell r="AL2416">
            <v>0</v>
          </cell>
        </row>
        <row r="2417">
          <cell r="E2417" t="str">
            <v>■避難口(直付)</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row>
        <row r="2418">
          <cell r="E2418" t="str">
            <v>Xc1-Ce</v>
          </cell>
          <cell r="F2418" t="str">
            <v>台</v>
          </cell>
          <cell r="G2418">
            <v>0</v>
          </cell>
          <cell r="H2418">
            <v>10400</v>
          </cell>
          <cell r="I2418">
            <v>0</v>
          </cell>
          <cell r="J2418">
            <v>10400</v>
          </cell>
          <cell r="K2418">
            <v>0</v>
          </cell>
          <cell r="L2418">
            <v>10400</v>
          </cell>
          <cell r="M2418">
            <v>0</v>
          </cell>
          <cell r="N2418">
            <v>10400</v>
          </cell>
          <cell r="O2418">
            <v>0</v>
          </cell>
          <cell r="P2418">
            <v>10400</v>
          </cell>
          <cell r="Q2418">
            <v>0</v>
          </cell>
          <cell r="R2418">
            <v>10400</v>
          </cell>
          <cell r="S2418">
            <v>0</v>
          </cell>
          <cell r="T2418">
            <v>10400</v>
          </cell>
          <cell r="U2418">
            <v>0</v>
          </cell>
          <cell r="V2418">
            <v>10400</v>
          </cell>
          <cell r="W2418">
            <v>0</v>
          </cell>
          <cell r="X2418">
            <v>10400</v>
          </cell>
          <cell r="Y2418">
            <v>0</v>
          </cell>
          <cell r="Z2418">
            <v>10400</v>
          </cell>
          <cell r="AA2418">
            <v>0</v>
          </cell>
          <cell r="AB2418">
            <v>0</v>
          </cell>
          <cell r="AC2418">
            <v>0</v>
          </cell>
          <cell r="AD2418">
            <v>0.14099999999999999</v>
          </cell>
          <cell r="AE2418">
            <v>0</v>
          </cell>
          <cell r="AF2418">
            <v>0</v>
          </cell>
          <cell r="AG2418">
            <v>0</v>
          </cell>
          <cell r="AH2418">
            <v>2</v>
          </cell>
          <cell r="AI2418">
            <v>0.47599999999999998</v>
          </cell>
          <cell r="AJ2418">
            <v>1</v>
          </cell>
          <cell r="AK2418">
            <v>4.2</v>
          </cell>
          <cell r="AL2418">
            <v>0</v>
          </cell>
        </row>
        <row r="2419">
          <cell r="E2419" t="str">
            <v>Xc1-Ce60</v>
          </cell>
          <cell r="F2419" t="str">
            <v>台</v>
          </cell>
          <cell r="G2419">
            <v>0</v>
          </cell>
          <cell r="H2419">
            <v>23800</v>
          </cell>
          <cell r="I2419">
            <v>0</v>
          </cell>
          <cell r="J2419">
            <v>23800</v>
          </cell>
          <cell r="K2419">
            <v>0</v>
          </cell>
          <cell r="L2419">
            <v>23800</v>
          </cell>
          <cell r="M2419">
            <v>0</v>
          </cell>
          <cell r="N2419">
            <v>23800</v>
          </cell>
          <cell r="O2419">
            <v>0</v>
          </cell>
          <cell r="P2419">
            <v>23800</v>
          </cell>
          <cell r="Q2419">
            <v>0</v>
          </cell>
          <cell r="R2419">
            <v>23800</v>
          </cell>
          <cell r="S2419">
            <v>0</v>
          </cell>
          <cell r="T2419">
            <v>23800</v>
          </cell>
          <cell r="U2419">
            <v>0</v>
          </cell>
          <cell r="V2419">
            <v>23800</v>
          </cell>
          <cell r="W2419">
            <v>0</v>
          </cell>
          <cell r="X2419">
            <v>23800</v>
          </cell>
          <cell r="Y2419">
            <v>0</v>
          </cell>
          <cell r="Z2419">
            <v>23800</v>
          </cell>
          <cell r="AA2419">
            <v>0</v>
          </cell>
          <cell r="AB2419">
            <v>0</v>
          </cell>
          <cell r="AC2419">
            <v>0</v>
          </cell>
          <cell r="AD2419">
            <v>0.14099999999999999</v>
          </cell>
          <cell r="AE2419">
            <v>0</v>
          </cell>
          <cell r="AF2419">
            <v>0</v>
          </cell>
          <cell r="AG2419">
            <v>0</v>
          </cell>
          <cell r="AH2419">
            <v>2.1</v>
          </cell>
          <cell r="AI2419">
            <v>0.47699999999999998</v>
          </cell>
          <cell r="AJ2419">
            <v>1</v>
          </cell>
          <cell r="AK2419">
            <v>4.4000000000000004</v>
          </cell>
          <cell r="AL2419">
            <v>0</v>
          </cell>
        </row>
        <row r="2420">
          <cell r="E2420" t="str">
            <v>Xc1-BLe</v>
          </cell>
          <cell r="F2420" t="str">
            <v>台</v>
          </cell>
          <cell r="G2420">
            <v>0</v>
          </cell>
          <cell r="H2420">
            <v>15500</v>
          </cell>
          <cell r="I2420">
            <v>0</v>
          </cell>
          <cell r="J2420">
            <v>15500</v>
          </cell>
          <cell r="K2420">
            <v>0</v>
          </cell>
          <cell r="L2420">
            <v>15500</v>
          </cell>
          <cell r="M2420">
            <v>0</v>
          </cell>
          <cell r="N2420">
            <v>15500</v>
          </cell>
          <cell r="O2420">
            <v>0</v>
          </cell>
          <cell r="P2420">
            <v>15500</v>
          </cell>
          <cell r="Q2420">
            <v>0</v>
          </cell>
          <cell r="R2420">
            <v>15500</v>
          </cell>
          <cell r="S2420">
            <v>0</v>
          </cell>
          <cell r="T2420">
            <v>15500</v>
          </cell>
          <cell r="U2420">
            <v>0</v>
          </cell>
          <cell r="V2420">
            <v>15500</v>
          </cell>
          <cell r="W2420">
            <v>0</v>
          </cell>
          <cell r="X2420">
            <v>15500</v>
          </cell>
          <cell r="Y2420">
            <v>0</v>
          </cell>
          <cell r="Z2420">
            <v>15500</v>
          </cell>
          <cell r="AA2420">
            <v>0</v>
          </cell>
          <cell r="AB2420">
            <v>0</v>
          </cell>
          <cell r="AC2420">
            <v>0</v>
          </cell>
          <cell r="AD2420">
            <v>0.16200000000000001</v>
          </cell>
          <cell r="AE2420">
            <v>0</v>
          </cell>
          <cell r="AF2420">
            <v>0</v>
          </cell>
          <cell r="AG2420">
            <v>0</v>
          </cell>
          <cell r="AH2420">
            <v>2.7</v>
          </cell>
          <cell r="AI2420">
            <v>0.5</v>
          </cell>
          <cell r="AJ2420">
            <v>1</v>
          </cell>
          <cell r="AK2420">
            <v>5.4</v>
          </cell>
          <cell r="AL2420">
            <v>0</v>
          </cell>
        </row>
        <row r="2421">
          <cell r="E2421" t="str">
            <v>Xc1-BLe60</v>
          </cell>
          <cell r="F2421" t="str">
            <v>台</v>
          </cell>
          <cell r="G2421">
            <v>0</v>
          </cell>
          <cell r="H2421">
            <v>28200</v>
          </cell>
          <cell r="I2421">
            <v>0</v>
          </cell>
          <cell r="J2421">
            <v>28200</v>
          </cell>
          <cell r="K2421">
            <v>0</v>
          </cell>
          <cell r="L2421">
            <v>28200</v>
          </cell>
          <cell r="M2421">
            <v>0</v>
          </cell>
          <cell r="N2421">
            <v>28200</v>
          </cell>
          <cell r="O2421">
            <v>0</v>
          </cell>
          <cell r="P2421">
            <v>28200</v>
          </cell>
          <cell r="Q2421">
            <v>0</v>
          </cell>
          <cell r="R2421">
            <v>28200</v>
          </cell>
          <cell r="S2421">
            <v>0</v>
          </cell>
          <cell r="T2421">
            <v>28200</v>
          </cell>
          <cell r="U2421">
            <v>0</v>
          </cell>
          <cell r="V2421">
            <v>28200</v>
          </cell>
          <cell r="W2421">
            <v>0</v>
          </cell>
          <cell r="X2421">
            <v>28200</v>
          </cell>
          <cell r="Y2421">
            <v>0</v>
          </cell>
          <cell r="Z2421">
            <v>28200</v>
          </cell>
          <cell r="AA2421">
            <v>0</v>
          </cell>
          <cell r="AB2421">
            <v>0</v>
          </cell>
          <cell r="AC2421">
            <v>0</v>
          </cell>
          <cell r="AD2421">
            <v>0.16200000000000001</v>
          </cell>
          <cell r="AE2421">
            <v>0</v>
          </cell>
          <cell r="AF2421">
            <v>0</v>
          </cell>
          <cell r="AG2421">
            <v>0</v>
          </cell>
          <cell r="AH2421">
            <v>2.7</v>
          </cell>
          <cell r="AI2421">
            <v>0.5</v>
          </cell>
          <cell r="AJ2421">
            <v>1</v>
          </cell>
          <cell r="AK2421">
            <v>5.4</v>
          </cell>
          <cell r="AL2421">
            <v>0</v>
          </cell>
        </row>
        <row r="2422">
          <cell r="E2422" t="str">
            <v>Xc1-BHe</v>
          </cell>
          <cell r="F2422" t="str">
            <v>台</v>
          </cell>
          <cell r="G2422">
            <v>0</v>
          </cell>
          <cell r="H2422">
            <v>22900</v>
          </cell>
          <cell r="I2422">
            <v>0</v>
          </cell>
          <cell r="J2422">
            <v>22900</v>
          </cell>
          <cell r="K2422">
            <v>0</v>
          </cell>
          <cell r="L2422">
            <v>22900</v>
          </cell>
          <cell r="M2422">
            <v>0</v>
          </cell>
          <cell r="N2422">
            <v>22900</v>
          </cell>
          <cell r="O2422">
            <v>0</v>
          </cell>
          <cell r="P2422">
            <v>22900</v>
          </cell>
          <cell r="Q2422">
            <v>0</v>
          </cell>
          <cell r="R2422">
            <v>22900</v>
          </cell>
          <cell r="S2422">
            <v>0</v>
          </cell>
          <cell r="T2422">
            <v>22900</v>
          </cell>
          <cell r="U2422">
            <v>0</v>
          </cell>
          <cell r="V2422">
            <v>22900</v>
          </cell>
          <cell r="W2422">
            <v>0</v>
          </cell>
          <cell r="X2422">
            <v>22900</v>
          </cell>
          <cell r="Y2422">
            <v>0</v>
          </cell>
          <cell r="Z2422">
            <v>22900</v>
          </cell>
          <cell r="AA2422">
            <v>0</v>
          </cell>
          <cell r="AB2422">
            <v>0</v>
          </cell>
          <cell r="AC2422">
            <v>0</v>
          </cell>
          <cell r="AD2422">
            <v>0.16200000000000001</v>
          </cell>
          <cell r="AE2422">
            <v>0</v>
          </cell>
          <cell r="AF2422">
            <v>0</v>
          </cell>
          <cell r="AG2422">
            <v>0</v>
          </cell>
          <cell r="AH2422">
            <v>3.6</v>
          </cell>
          <cell r="AI2422">
            <v>0.51400000000000001</v>
          </cell>
          <cell r="AJ2422">
            <v>1</v>
          </cell>
          <cell r="AK2422">
            <v>7</v>
          </cell>
          <cell r="AL2422">
            <v>0</v>
          </cell>
        </row>
        <row r="2423">
          <cell r="E2423" t="str">
            <v>Xc1-BHe60</v>
          </cell>
          <cell r="F2423" t="str">
            <v>台</v>
          </cell>
          <cell r="G2423">
            <v>0</v>
          </cell>
          <cell r="H2423">
            <v>35900</v>
          </cell>
          <cell r="I2423">
            <v>0</v>
          </cell>
          <cell r="J2423">
            <v>35900</v>
          </cell>
          <cell r="K2423">
            <v>0</v>
          </cell>
          <cell r="L2423">
            <v>35900</v>
          </cell>
          <cell r="M2423">
            <v>0</v>
          </cell>
          <cell r="N2423">
            <v>35900</v>
          </cell>
          <cell r="O2423">
            <v>0</v>
          </cell>
          <cell r="P2423">
            <v>35900</v>
          </cell>
          <cell r="Q2423">
            <v>0</v>
          </cell>
          <cell r="R2423">
            <v>35900</v>
          </cell>
          <cell r="S2423">
            <v>0</v>
          </cell>
          <cell r="T2423">
            <v>35900</v>
          </cell>
          <cell r="U2423">
            <v>0</v>
          </cell>
          <cell r="V2423">
            <v>35900</v>
          </cell>
          <cell r="W2423">
            <v>0</v>
          </cell>
          <cell r="X2423">
            <v>35900</v>
          </cell>
          <cell r="Y2423">
            <v>0</v>
          </cell>
          <cell r="Z2423">
            <v>35900</v>
          </cell>
          <cell r="AA2423">
            <v>0</v>
          </cell>
          <cell r="AB2423">
            <v>0</v>
          </cell>
          <cell r="AC2423">
            <v>0</v>
          </cell>
          <cell r="AD2423">
            <v>0.16200000000000001</v>
          </cell>
          <cell r="AE2423">
            <v>0</v>
          </cell>
          <cell r="AF2423">
            <v>0</v>
          </cell>
          <cell r="AG2423">
            <v>0</v>
          </cell>
          <cell r="AH2423">
            <v>3.7</v>
          </cell>
          <cell r="AI2423">
            <v>0.52900000000000003</v>
          </cell>
          <cell r="AJ2423">
            <v>1</v>
          </cell>
          <cell r="AK2423">
            <v>6.99</v>
          </cell>
          <cell r="AL2423">
            <v>0</v>
          </cell>
        </row>
        <row r="2424">
          <cell r="E2424" t="str">
            <v>Xc1-Ae</v>
          </cell>
          <cell r="F2424" t="str">
            <v>台</v>
          </cell>
          <cell r="G2424">
            <v>0</v>
          </cell>
          <cell r="H2424">
            <v>45600</v>
          </cell>
          <cell r="I2424">
            <v>0</v>
          </cell>
          <cell r="J2424">
            <v>45600</v>
          </cell>
          <cell r="K2424">
            <v>0</v>
          </cell>
          <cell r="L2424">
            <v>45600</v>
          </cell>
          <cell r="M2424">
            <v>0</v>
          </cell>
          <cell r="N2424">
            <v>45600</v>
          </cell>
          <cell r="O2424">
            <v>0</v>
          </cell>
          <cell r="P2424">
            <v>45600</v>
          </cell>
          <cell r="Q2424">
            <v>0</v>
          </cell>
          <cell r="R2424">
            <v>45600</v>
          </cell>
          <cell r="S2424">
            <v>0</v>
          </cell>
          <cell r="T2424">
            <v>45600</v>
          </cell>
          <cell r="U2424">
            <v>0</v>
          </cell>
          <cell r="V2424">
            <v>45600</v>
          </cell>
          <cell r="W2424">
            <v>0</v>
          </cell>
          <cell r="X2424">
            <v>45600</v>
          </cell>
          <cell r="Y2424">
            <v>0</v>
          </cell>
          <cell r="Z2424">
            <v>45600</v>
          </cell>
          <cell r="AA2424">
            <v>0</v>
          </cell>
          <cell r="AB2424">
            <v>0</v>
          </cell>
          <cell r="AC2424">
            <v>0</v>
          </cell>
          <cell r="AD2424">
            <v>0.26100000000000001</v>
          </cell>
          <cell r="AE2424">
            <v>0</v>
          </cell>
          <cell r="AF2424">
            <v>0</v>
          </cell>
          <cell r="AG2424">
            <v>0</v>
          </cell>
          <cell r="AH2424">
            <v>10.5</v>
          </cell>
          <cell r="AI2424">
            <v>0.55300000000000005</v>
          </cell>
          <cell r="AJ2424">
            <v>1</v>
          </cell>
          <cell r="AK2424">
            <v>18.98</v>
          </cell>
          <cell r="AL2424">
            <v>0</v>
          </cell>
        </row>
        <row r="2425">
          <cell r="E2425" t="str">
            <v>Xc1AF-BLe</v>
          </cell>
          <cell r="F2425" t="str">
            <v>台</v>
          </cell>
          <cell r="G2425">
            <v>0</v>
          </cell>
          <cell r="H2425">
            <v>47700</v>
          </cell>
          <cell r="I2425">
            <v>0</v>
          </cell>
          <cell r="J2425">
            <v>47700</v>
          </cell>
          <cell r="K2425">
            <v>0</v>
          </cell>
          <cell r="L2425">
            <v>47700</v>
          </cell>
          <cell r="M2425">
            <v>0</v>
          </cell>
          <cell r="N2425">
            <v>47700</v>
          </cell>
          <cell r="O2425">
            <v>0</v>
          </cell>
          <cell r="P2425">
            <v>47700</v>
          </cell>
          <cell r="Q2425">
            <v>0</v>
          </cell>
          <cell r="R2425">
            <v>47700</v>
          </cell>
          <cell r="S2425">
            <v>0</v>
          </cell>
          <cell r="T2425">
            <v>47700</v>
          </cell>
          <cell r="U2425">
            <v>0</v>
          </cell>
          <cell r="V2425">
            <v>47700</v>
          </cell>
          <cell r="W2425">
            <v>0</v>
          </cell>
          <cell r="X2425">
            <v>47700</v>
          </cell>
          <cell r="Y2425">
            <v>0</v>
          </cell>
          <cell r="Z2425">
            <v>47700</v>
          </cell>
          <cell r="AA2425">
            <v>0</v>
          </cell>
          <cell r="AB2425">
            <v>0</v>
          </cell>
          <cell r="AC2425">
            <v>0</v>
          </cell>
          <cell r="AD2425">
            <v>0.16200000000000001</v>
          </cell>
          <cell r="AE2425">
            <v>0</v>
          </cell>
          <cell r="AF2425">
            <v>0</v>
          </cell>
          <cell r="AG2425">
            <v>0</v>
          </cell>
          <cell r="AH2425">
            <v>4.5999999999999996</v>
          </cell>
          <cell r="AI2425">
            <v>0.63900000000000001</v>
          </cell>
          <cell r="AJ2425">
            <v>1</v>
          </cell>
          <cell r="AK2425">
            <v>7.19</v>
          </cell>
          <cell r="AL2425">
            <v>0</v>
          </cell>
        </row>
        <row r="2426">
          <cell r="E2426" t="str">
            <v>Xc1AF-BLe60</v>
          </cell>
          <cell r="F2426" t="str">
            <v>台</v>
          </cell>
          <cell r="G2426">
            <v>0</v>
          </cell>
          <cell r="H2426">
            <v>82800</v>
          </cell>
          <cell r="I2426">
            <v>0</v>
          </cell>
          <cell r="J2426">
            <v>82800</v>
          </cell>
          <cell r="K2426">
            <v>0</v>
          </cell>
          <cell r="L2426">
            <v>82800</v>
          </cell>
          <cell r="M2426">
            <v>0</v>
          </cell>
          <cell r="N2426">
            <v>82800</v>
          </cell>
          <cell r="O2426">
            <v>0</v>
          </cell>
          <cell r="P2426">
            <v>82800</v>
          </cell>
          <cell r="Q2426">
            <v>0</v>
          </cell>
          <cell r="R2426">
            <v>82800</v>
          </cell>
          <cell r="S2426">
            <v>0</v>
          </cell>
          <cell r="T2426">
            <v>82800</v>
          </cell>
          <cell r="U2426">
            <v>0</v>
          </cell>
          <cell r="V2426">
            <v>82800</v>
          </cell>
          <cell r="W2426">
            <v>0</v>
          </cell>
          <cell r="X2426">
            <v>82800</v>
          </cell>
          <cell r="Y2426">
            <v>0</v>
          </cell>
          <cell r="Z2426">
            <v>82800</v>
          </cell>
          <cell r="AA2426">
            <v>0</v>
          </cell>
          <cell r="AB2426">
            <v>0</v>
          </cell>
          <cell r="AC2426">
            <v>0</v>
          </cell>
          <cell r="AD2426">
            <v>0.16200000000000001</v>
          </cell>
          <cell r="AE2426">
            <v>0</v>
          </cell>
          <cell r="AF2426">
            <v>0</v>
          </cell>
          <cell r="AG2426">
            <v>0</v>
          </cell>
          <cell r="AH2426">
            <v>5.8</v>
          </cell>
          <cell r="AI2426">
            <v>0.71599999999999997</v>
          </cell>
          <cell r="AJ2426">
            <v>1</v>
          </cell>
          <cell r="AK2426">
            <v>8.1</v>
          </cell>
          <cell r="AL2426">
            <v>0</v>
          </cell>
        </row>
        <row r="2427">
          <cell r="E2427" t="str">
            <v>Xc1AF-BHe</v>
          </cell>
          <cell r="F2427" t="str">
            <v>台</v>
          </cell>
          <cell r="G2427">
            <v>0</v>
          </cell>
          <cell r="H2427">
            <v>55800</v>
          </cell>
          <cell r="I2427">
            <v>0</v>
          </cell>
          <cell r="J2427">
            <v>55800</v>
          </cell>
          <cell r="K2427">
            <v>0</v>
          </cell>
          <cell r="L2427">
            <v>55800</v>
          </cell>
          <cell r="M2427">
            <v>0</v>
          </cell>
          <cell r="N2427">
            <v>55800</v>
          </cell>
          <cell r="O2427">
            <v>0</v>
          </cell>
          <cell r="P2427">
            <v>55800</v>
          </cell>
          <cell r="Q2427">
            <v>0</v>
          </cell>
          <cell r="R2427">
            <v>55800</v>
          </cell>
          <cell r="S2427">
            <v>0</v>
          </cell>
          <cell r="T2427">
            <v>55800</v>
          </cell>
          <cell r="U2427">
            <v>0</v>
          </cell>
          <cell r="V2427">
            <v>55800</v>
          </cell>
          <cell r="W2427">
            <v>0</v>
          </cell>
          <cell r="X2427">
            <v>55800</v>
          </cell>
          <cell r="Y2427">
            <v>0</v>
          </cell>
          <cell r="Z2427">
            <v>55800</v>
          </cell>
          <cell r="AA2427">
            <v>0</v>
          </cell>
          <cell r="AB2427">
            <v>0</v>
          </cell>
          <cell r="AC2427">
            <v>0</v>
          </cell>
          <cell r="AD2427">
            <v>0.16200000000000001</v>
          </cell>
          <cell r="AE2427">
            <v>0</v>
          </cell>
          <cell r="AF2427">
            <v>0</v>
          </cell>
          <cell r="AG2427">
            <v>0</v>
          </cell>
          <cell r="AH2427">
            <v>5.4</v>
          </cell>
          <cell r="AI2427">
            <v>0.64300000000000002</v>
          </cell>
          <cell r="AJ2427">
            <v>1</v>
          </cell>
          <cell r="AK2427">
            <v>8.39</v>
          </cell>
          <cell r="AL2427">
            <v>0</v>
          </cell>
        </row>
        <row r="2428">
          <cell r="E2428" t="str">
            <v>Xd1F-BLe</v>
          </cell>
          <cell r="F2428" t="str">
            <v>台</v>
          </cell>
          <cell r="G2428">
            <v>0</v>
          </cell>
          <cell r="H2428">
            <v>39000</v>
          </cell>
          <cell r="I2428">
            <v>0</v>
          </cell>
          <cell r="J2428">
            <v>39000</v>
          </cell>
          <cell r="K2428">
            <v>0</v>
          </cell>
          <cell r="L2428">
            <v>39000</v>
          </cell>
          <cell r="M2428">
            <v>0</v>
          </cell>
          <cell r="N2428">
            <v>39000</v>
          </cell>
          <cell r="O2428">
            <v>0</v>
          </cell>
          <cell r="P2428">
            <v>39000</v>
          </cell>
          <cell r="Q2428">
            <v>0</v>
          </cell>
          <cell r="R2428">
            <v>39000</v>
          </cell>
          <cell r="S2428">
            <v>0</v>
          </cell>
          <cell r="T2428">
            <v>39000</v>
          </cell>
          <cell r="U2428">
            <v>0</v>
          </cell>
          <cell r="V2428">
            <v>39000</v>
          </cell>
          <cell r="W2428">
            <v>0</v>
          </cell>
          <cell r="X2428">
            <v>39000</v>
          </cell>
          <cell r="Y2428">
            <v>0</v>
          </cell>
          <cell r="Z2428">
            <v>39000</v>
          </cell>
          <cell r="AA2428">
            <v>0</v>
          </cell>
          <cell r="AB2428">
            <v>0</v>
          </cell>
          <cell r="AC2428">
            <v>0</v>
          </cell>
          <cell r="AD2428">
            <v>0.16200000000000001</v>
          </cell>
          <cell r="AE2428">
            <v>0</v>
          </cell>
          <cell r="AF2428">
            <v>0</v>
          </cell>
          <cell r="AG2428">
            <v>0</v>
          </cell>
          <cell r="AH2428">
            <v>4.4000000000000004</v>
          </cell>
          <cell r="AI2428">
            <v>0.64700000000000002</v>
          </cell>
          <cell r="AJ2428">
            <v>1</v>
          </cell>
          <cell r="AK2428">
            <v>6.8</v>
          </cell>
          <cell r="AL2428">
            <v>0</v>
          </cell>
        </row>
        <row r="2429">
          <cell r="E2429" t="str">
            <v>Xd1F-BLe60</v>
          </cell>
          <cell r="F2429" t="str">
            <v>台</v>
          </cell>
          <cell r="G2429">
            <v>0</v>
          </cell>
          <cell r="H2429">
            <v>71900</v>
          </cell>
          <cell r="I2429">
            <v>0</v>
          </cell>
          <cell r="J2429">
            <v>71900</v>
          </cell>
          <cell r="K2429">
            <v>0</v>
          </cell>
          <cell r="L2429">
            <v>71900</v>
          </cell>
          <cell r="M2429">
            <v>0</v>
          </cell>
          <cell r="N2429">
            <v>71900</v>
          </cell>
          <cell r="O2429">
            <v>0</v>
          </cell>
          <cell r="P2429">
            <v>71900</v>
          </cell>
          <cell r="Q2429">
            <v>0</v>
          </cell>
          <cell r="R2429">
            <v>71900</v>
          </cell>
          <cell r="S2429">
            <v>0</v>
          </cell>
          <cell r="T2429">
            <v>71900</v>
          </cell>
          <cell r="U2429">
            <v>0</v>
          </cell>
          <cell r="V2429">
            <v>71900</v>
          </cell>
          <cell r="W2429">
            <v>0</v>
          </cell>
          <cell r="X2429">
            <v>71900</v>
          </cell>
          <cell r="Y2429">
            <v>0</v>
          </cell>
          <cell r="Z2429">
            <v>71900</v>
          </cell>
          <cell r="AA2429">
            <v>0</v>
          </cell>
          <cell r="AB2429">
            <v>0</v>
          </cell>
          <cell r="AC2429">
            <v>0</v>
          </cell>
          <cell r="AD2429">
            <v>0.16200000000000001</v>
          </cell>
          <cell r="AE2429">
            <v>0</v>
          </cell>
          <cell r="AF2429">
            <v>0</v>
          </cell>
          <cell r="AG2429">
            <v>0</v>
          </cell>
          <cell r="AH2429">
            <v>5.4</v>
          </cell>
          <cell r="AI2429">
            <v>0.73</v>
          </cell>
          <cell r="AJ2429">
            <v>1</v>
          </cell>
          <cell r="AK2429">
            <v>7.39</v>
          </cell>
          <cell r="AL2429">
            <v>0</v>
          </cell>
        </row>
        <row r="2430">
          <cell r="E2430" t="str">
            <v>Xd1F-BHe</v>
          </cell>
          <cell r="F2430" t="str">
            <v>台</v>
          </cell>
          <cell r="G2430">
            <v>0</v>
          </cell>
          <cell r="H2430">
            <v>47400</v>
          </cell>
          <cell r="I2430">
            <v>0</v>
          </cell>
          <cell r="J2430">
            <v>47400</v>
          </cell>
          <cell r="K2430">
            <v>0</v>
          </cell>
          <cell r="L2430">
            <v>47400</v>
          </cell>
          <cell r="M2430">
            <v>0</v>
          </cell>
          <cell r="N2430">
            <v>47400</v>
          </cell>
          <cell r="O2430">
            <v>0</v>
          </cell>
          <cell r="P2430">
            <v>47400</v>
          </cell>
          <cell r="Q2430">
            <v>0</v>
          </cell>
          <cell r="R2430">
            <v>47400</v>
          </cell>
          <cell r="S2430">
            <v>0</v>
          </cell>
          <cell r="T2430">
            <v>47400</v>
          </cell>
          <cell r="U2430">
            <v>0</v>
          </cell>
          <cell r="V2430">
            <v>47400</v>
          </cell>
          <cell r="W2430">
            <v>0</v>
          </cell>
          <cell r="X2430">
            <v>47400</v>
          </cell>
          <cell r="Y2430">
            <v>0</v>
          </cell>
          <cell r="Z2430">
            <v>47400</v>
          </cell>
          <cell r="AA2430">
            <v>0</v>
          </cell>
          <cell r="AB2430">
            <v>0</v>
          </cell>
          <cell r="AC2430">
            <v>0</v>
          </cell>
          <cell r="AD2430">
            <v>0.16200000000000001</v>
          </cell>
          <cell r="AE2430">
            <v>0</v>
          </cell>
          <cell r="AF2430">
            <v>0</v>
          </cell>
          <cell r="AG2430">
            <v>0</v>
          </cell>
          <cell r="AH2430">
            <v>5.4</v>
          </cell>
          <cell r="AI2430">
            <v>0.64300000000000002</v>
          </cell>
          <cell r="AJ2430">
            <v>1</v>
          </cell>
          <cell r="AK2430">
            <v>8.39</v>
          </cell>
          <cell r="AL2430">
            <v>0</v>
          </cell>
        </row>
        <row r="2431">
          <cell r="E2431" t="str">
            <v>Xd1F-BHe60</v>
          </cell>
          <cell r="F2431" t="str">
            <v>台</v>
          </cell>
          <cell r="G2431">
            <v>0</v>
          </cell>
          <cell r="H2431">
            <v>80300</v>
          </cell>
          <cell r="I2431">
            <v>0</v>
          </cell>
          <cell r="J2431">
            <v>80300</v>
          </cell>
          <cell r="K2431">
            <v>0</v>
          </cell>
          <cell r="L2431">
            <v>80300</v>
          </cell>
          <cell r="M2431">
            <v>0</v>
          </cell>
          <cell r="N2431">
            <v>80300</v>
          </cell>
          <cell r="O2431">
            <v>0</v>
          </cell>
          <cell r="P2431">
            <v>80300</v>
          </cell>
          <cell r="Q2431">
            <v>0</v>
          </cell>
          <cell r="R2431">
            <v>80300</v>
          </cell>
          <cell r="S2431">
            <v>0</v>
          </cell>
          <cell r="T2431">
            <v>80300</v>
          </cell>
          <cell r="U2431">
            <v>0</v>
          </cell>
          <cell r="V2431">
            <v>80300</v>
          </cell>
          <cell r="W2431">
            <v>0</v>
          </cell>
          <cell r="X2431">
            <v>80300</v>
          </cell>
          <cell r="Y2431">
            <v>0</v>
          </cell>
          <cell r="Z2431">
            <v>80300</v>
          </cell>
          <cell r="AA2431">
            <v>0</v>
          </cell>
          <cell r="AB2431">
            <v>0</v>
          </cell>
          <cell r="AC2431">
            <v>0</v>
          </cell>
          <cell r="AD2431">
            <v>0.16200000000000001</v>
          </cell>
          <cell r="AE2431">
            <v>0</v>
          </cell>
          <cell r="AF2431">
            <v>0</v>
          </cell>
          <cell r="AG2431">
            <v>0</v>
          </cell>
          <cell r="AH2431">
            <v>6.3</v>
          </cell>
          <cell r="AI2431">
            <v>0.7</v>
          </cell>
          <cell r="AJ2431">
            <v>1</v>
          </cell>
          <cell r="AK2431">
            <v>9</v>
          </cell>
          <cell r="AL2431">
            <v>0</v>
          </cell>
        </row>
        <row r="2432">
          <cell r="E2432" t="str">
            <v>■避難口(片面天井埋込)</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row>
        <row r="2433">
          <cell r="E2433" t="str">
            <v>Xf1-Ce</v>
          </cell>
          <cell r="F2433" t="str">
            <v>台</v>
          </cell>
          <cell r="G2433">
            <v>0</v>
          </cell>
          <cell r="H2433">
            <v>13000</v>
          </cell>
          <cell r="I2433">
            <v>0</v>
          </cell>
          <cell r="J2433">
            <v>13000</v>
          </cell>
          <cell r="K2433">
            <v>0</v>
          </cell>
          <cell r="L2433">
            <v>13000</v>
          </cell>
          <cell r="M2433">
            <v>0</v>
          </cell>
          <cell r="N2433">
            <v>13000</v>
          </cell>
          <cell r="O2433">
            <v>0</v>
          </cell>
          <cell r="P2433">
            <v>13000</v>
          </cell>
          <cell r="Q2433">
            <v>0</v>
          </cell>
          <cell r="R2433">
            <v>13000</v>
          </cell>
          <cell r="S2433">
            <v>0</v>
          </cell>
          <cell r="T2433">
            <v>13000</v>
          </cell>
          <cell r="U2433">
            <v>0</v>
          </cell>
          <cell r="V2433">
            <v>13000</v>
          </cell>
          <cell r="W2433">
            <v>0</v>
          </cell>
          <cell r="X2433">
            <v>13000</v>
          </cell>
          <cell r="Y2433">
            <v>0</v>
          </cell>
          <cell r="Z2433">
            <v>13000</v>
          </cell>
          <cell r="AA2433">
            <v>0</v>
          </cell>
          <cell r="AB2433">
            <v>0</v>
          </cell>
          <cell r="AC2433">
            <v>0</v>
          </cell>
          <cell r="AD2433">
            <v>0.217</v>
          </cell>
          <cell r="AE2433">
            <v>0</v>
          </cell>
          <cell r="AF2433">
            <v>0</v>
          </cell>
          <cell r="AG2433">
            <v>0</v>
          </cell>
          <cell r="AH2433">
            <v>1.9</v>
          </cell>
          <cell r="AI2433">
            <v>0.47499999999999998</v>
          </cell>
          <cell r="AJ2433">
            <v>1</v>
          </cell>
          <cell r="AK2433">
            <v>4</v>
          </cell>
          <cell r="AL2433">
            <v>0</v>
          </cell>
        </row>
        <row r="2434">
          <cell r="E2434" t="str">
            <v>Xf1-Ce60</v>
          </cell>
          <cell r="F2434" t="str">
            <v>台</v>
          </cell>
          <cell r="G2434">
            <v>0</v>
          </cell>
          <cell r="H2434">
            <v>31000</v>
          </cell>
          <cell r="I2434">
            <v>0</v>
          </cell>
          <cell r="J2434">
            <v>31000</v>
          </cell>
          <cell r="K2434">
            <v>0</v>
          </cell>
          <cell r="L2434">
            <v>31000</v>
          </cell>
          <cell r="M2434">
            <v>0</v>
          </cell>
          <cell r="N2434">
            <v>31000</v>
          </cell>
          <cell r="O2434">
            <v>0</v>
          </cell>
          <cell r="P2434">
            <v>31000</v>
          </cell>
          <cell r="Q2434">
            <v>0</v>
          </cell>
          <cell r="R2434">
            <v>31000</v>
          </cell>
          <cell r="S2434">
            <v>0</v>
          </cell>
          <cell r="T2434">
            <v>31000</v>
          </cell>
          <cell r="U2434">
            <v>0</v>
          </cell>
          <cell r="V2434">
            <v>31000</v>
          </cell>
          <cell r="W2434">
            <v>0</v>
          </cell>
          <cell r="X2434">
            <v>31000</v>
          </cell>
          <cell r="Y2434">
            <v>0</v>
          </cell>
          <cell r="Z2434">
            <v>31000</v>
          </cell>
          <cell r="AA2434">
            <v>0</v>
          </cell>
          <cell r="AB2434">
            <v>0</v>
          </cell>
          <cell r="AC2434">
            <v>0</v>
          </cell>
          <cell r="AD2434">
            <v>0.217</v>
          </cell>
          <cell r="AE2434">
            <v>0</v>
          </cell>
          <cell r="AF2434">
            <v>0</v>
          </cell>
          <cell r="AG2434">
            <v>0</v>
          </cell>
          <cell r="AH2434">
            <v>2.1</v>
          </cell>
          <cell r="AI2434">
            <v>0.47699999999999998</v>
          </cell>
          <cell r="AJ2434">
            <v>1</v>
          </cell>
          <cell r="AK2434">
            <v>4.4000000000000004</v>
          </cell>
          <cell r="AL2434">
            <v>0</v>
          </cell>
        </row>
        <row r="2435">
          <cell r="E2435" t="str">
            <v>Xf1-BLe</v>
          </cell>
          <cell r="F2435" t="str">
            <v>台</v>
          </cell>
          <cell r="G2435">
            <v>0</v>
          </cell>
          <cell r="H2435">
            <v>19600</v>
          </cell>
          <cell r="I2435">
            <v>0</v>
          </cell>
          <cell r="J2435">
            <v>19600</v>
          </cell>
          <cell r="K2435">
            <v>0</v>
          </cell>
          <cell r="L2435">
            <v>19600</v>
          </cell>
          <cell r="M2435">
            <v>0</v>
          </cell>
          <cell r="N2435">
            <v>19600</v>
          </cell>
          <cell r="O2435">
            <v>0</v>
          </cell>
          <cell r="P2435">
            <v>19600</v>
          </cell>
          <cell r="Q2435">
            <v>0</v>
          </cell>
          <cell r="R2435">
            <v>19600</v>
          </cell>
          <cell r="S2435">
            <v>0</v>
          </cell>
          <cell r="T2435">
            <v>19600</v>
          </cell>
          <cell r="U2435">
            <v>0</v>
          </cell>
          <cell r="V2435">
            <v>19600</v>
          </cell>
          <cell r="W2435">
            <v>0</v>
          </cell>
          <cell r="X2435">
            <v>19600</v>
          </cell>
          <cell r="Y2435">
            <v>0</v>
          </cell>
          <cell r="Z2435">
            <v>19600</v>
          </cell>
          <cell r="AA2435">
            <v>0</v>
          </cell>
          <cell r="AB2435">
            <v>0</v>
          </cell>
          <cell r="AC2435">
            <v>0</v>
          </cell>
          <cell r="AD2435">
            <v>0.25</v>
          </cell>
          <cell r="AE2435">
            <v>0</v>
          </cell>
          <cell r="AF2435">
            <v>0</v>
          </cell>
          <cell r="AG2435">
            <v>0</v>
          </cell>
          <cell r="AH2435">
            <v>2.6</v>
          </cell>
          <cell r="AI2435">
            <v>0.49099999999999999</v>
          </cell>
          <cell r="AJ2435">
            <v>1</v>
          </cell>
          <cell r="AK2435">
            <v>5.29</v>
          </cell>
          <cell r="AL2435">
            <v>0</v>
          </cell>
        </row>
        <row r="2436">
          <cell r="E2436" t="str">
            <v>Xf1-BLe60</v>
          </cell>
          <cell r="F2436" t="str">
            <v>台</v>
          </cell>
          <cell r="G2436">
            <v>0</v>
          </cell>
          <cell r="H2436">
            <v>34000</v>
          </cell>
          <cell r="I2436">
            <v>0</v>
          </cell>
          <cell r="J2436">
            <v>34000</v>
          </cell>
          <cell r="K2436">
            <v>0</v>
          </cell>
          <cell r="L2436">
            <v>34000</v>
          </cell>
          <cell r="M2436">
            <v>0</v>
          </cell>
          <cell r="N2436">
            <v>34000</v>
          </cell>
          <cell r="O2436">
            <v>0</v>
          </cell>
          <cell r="P2436">
            <v>34000</v>
          </cell>
          <cell r="Q2436">
            <v>0</v>
          </cell>
          <cell r="R2436">
            <v>34000</v>
          </cell>
          <cell r="S2436">
            <v>0</v>
          </cell>
          <cell r="T2436">
            <v>34000</v>
          </cell>
          <cell r="U2436">
            <v>0</v>
          </cell>
          <cell r="V2436">
            <v>34000</v>
          </cell>
          <cell r="W2436">
            <v>0</v>
          </cell>
          <cell r="X2436">
            <v>34000</v>
          </cell>
          <cell r="Y2436">
            <v>0</v>
          </cell>
          <cell r="Z2436">
            <v>34000</v>
          </cell>
          <cell r="AA2436">
            <v>0</v>
          </cell>
          <cell r="AB2436">
            <v>0</v>
          </cell>
          <cell r="AC2436">
            <v>0</v>
          </cell>
          <cell r="AD2436">
            <v>0.25</v>
          </cell>
          <cell r="AE2436">
            <v>0</v>
          </cell>
          <cell r="AF2436">
            <v>0</v>
          </cell>
          <cell r="AG2436">
            <v>0</v>
          </cell>
          <cell r="AH2436">
            <v>2.7</v>
          </cell>
          <cell r="AI2436">
            <v>0.5</v>
          </cell>
          <cell r="AJ2436">
            <v>1</v>
          </cell>
          <cell r="AK2436">
            <v>5.4</v>
          </cell>
          <cell r="AL2436">
            <v>0</v>
          </cell>
        </row>
        <row r="2437">
          <cell r="E2437" t="str">
            <v>Xf1-BHe</v>
          </cell>
          <cell r="F2437" t="str">
            <v>台</v>
          </cell>
          <cell r="G2437">
            <v>0</v>
          </cell>
          <cell r="H2437">
            <v>29600</v>
          </cell>
          <cell r="I2437">
            <v>0</v>
          </cell>
          <cell r="J2437">
            <v>29600</v>
          </cell>
          <cell r="K2437">
            <v>0</v>
          </cell>
          <cell r="L2437">
            <v>29600</v>
          </cell>
          <cell r="M2437">
            <v>0</v>
          </cell>
          <cell r="N2437">
            <v>29600</v>
          </cell>
          <cell r="O2437">
            <v>0</v>
          </cell>
          <cell r="P2437">
            <v>29600</v>
          </cell>
          <cell r="Q2437">
            <v>0</v>
          </cell>
          <cell r="R2437">
            <v>29600</v>
          </cell>
          <cell r="S2437">
            <v>0</v>
          </cell>
          <cell r="T2437">
            <v>29600</v>
          </cell>
          <cell r="U2437">
            <v>0</v>
          </cell>
          <cell r="V2437">
            <v>29600</v>
          </cell>
          <cell r="W2437">
            <v>0</v>
          </cell>
          <cell r="X2437">
            <v>29600</v>
          </cell>
          <cell r="Y2437">
            <v>0</v>
          </cell>
          <cell r="Z2437">
            <v>29600</v>
          </cell>
          <cell r="AA2437">
            <v>0</v>
          </cell>
          <cell r="AB2437">
            <v>0</v>
          </cell>
          <cell r="AC2437">
            <v>0</v>
          </cell>
          <cell r="AD2437">
            <v>0.25</v>
          </cell>
          <cell r="AE2437">
            <v>0</v>
          </cell>
          <cell r="AF2437">
            <v>0</v>
          </cell>
          <cell r="AG2437">
            <v>0</v>
          </cell>
          <cell r="AH2437">
            <v>3.6</v>
          </cell>
          <cell r="AI2437">
            <v>0.51400000000000001</v>
          </cell>
          <cell r="AJ2437">
            <v>1</v>
          </cell>
          <cell r="AK2437">
            <v>7</v>
          </cell>
          <cell r="AL2437">
            <v>0</v>
          </cell>
        </row>
        <row r="2438">
          <cell r="E2438" t="str">
            <v>Xf1-BHe60</v>
          </cell>
          <cell r="F2438" t="str">
            <v>台</v>
          </cell>
          <cell r="G2438">
            <v>0</v>
          </cell>
          <cell r="H2438">
            <v>43800</v>
          </cell>
          <cell r="I2438">
            <v>0</v>
          </cell>
          <cell r="J2438">
            <v>43800</v>
          </cell>
          <cell r="K2438">
            <v>0</v>
          </cell>
          <cell r="L2438">
            <v>43800</v>
          </cell>
          <cell r="M2438">
            <v>0</v>
          </cell>
          <cell r="N2438">
            <v>43800</v>
          </cell>
          <cell r="O2438">
            <v>0</v>
          </cell>
          <cell r="P2438">
            <v>43800</v>
          </cell>
          <cell r="Q2438">
            <v>0</v>
          </cell>
          <cell r="R2438">
            <v>43800</v>
          </cell>
          <cell r="S2438">
            <v>0</v>
          </cell>
          <cell r="T2438">
            <v>43800</v>
          </cell>
          <cell r="U2438">
            <v>0</v>
          </cell>
          <cell r="V2438">
            <v>43800</v>
          </cell>
          <cell r="W2438">
            <v>0</v>
          </cell>
          <cell r="X2438">
            <v>43800</v>
          </cell>
          <cell r="Y2438">
            <v>0</v>
          </cell>
          <cell r="Z2438">
            <v>43800</v>
          </cell>
          <cell r="AA2438">
            <v>0</v>
          </cell>
          <cell r="AB2438">
            <v>0</v>
          </cell>
          <cell r="AC2438">
            <v>0</v>
          </cell>
          <cell r="AD2438">
            <v>0.25</v>
          </cell>
          <cell r="AE2438">
            <v>0</v>
          </cell>
          <cell r="AF2438">
            <v>0</v>
          </cell>
          <cell r="AG2438">
            <v>0</v>
          </cell>
          <cell r="AH2438">
            <v>3.7</v>
          </cell>
          <cell r="AI2438">
            <v>0.52900000000000003</v>
          </cell>
          <cell r="AJ2438">
            <v>1</v>
          </cell>
          <cell r="AK2438">
            <v>6.99</v>
          </cell>
          <cell r="AL2438">
            <v>0</v>
          </cell>
        </row>
        <row r="2439">
          <cell r="E2439" t="str">
            <v>Xf1F-BLe</v>
          </cell>
          <cell r="F2439" t="str">
            <v>台</v>
          </cell>
          <cell r="G2439">
            <v>0</v>
          </cell>
          <cell r="H2439">
            <v>47000</v>
          </cell>
          <cell r="I2439">
            <v>0</v>
          </cell>
          <cell r="J2439">
            <v>47000</v>
          </cell>
          <cell r="K2439">
            <v>0</v>
          </cell>
          <cell r="L2439">
            <v>47000</v>
          </cell>
          <cell r="M2439">
            <v>0</v>
          </cell>
          <cell r="N2439">
            <v>47000</v>
          </cell>
          <cell r="O2439">
            <v>0</v>
          </cell>
          <cell r="P2439">
            <v>47000</v>
          </cell>
          <cell r="Q2439">
            <v>0</v>
          </cell>
          <cell r="R2439">
            <v>47000</v>
          </cell>
          <cell r="S2439">
            <v>0</v>
          </cell>
          <cell r="T2439">
            <v>47000</v>
          </cell>
          <cell r="U2439">
            <v>0</v>
          </cell>
          <cell r="V2439">
            <v>47000</v>
          </cell>
          <cell r="W2439">
            <v>0</v>
          </cell>
          <cell r="X2439">
            <v>47000</v>
          </cell>
          <cell r="Y2439">
            <v>0</v>
          </cell>
          <cell r="Z2439">
            <v>47000</v>
          </cell>
          <cell r="AA2439">
            <v>0</v>
          </cell>
          <cell r="AB2439">
            <v>0</v>
          </cell>
          <cell r="AC2439">
            <v>0</v>
          </cell>
          <cell r="AD2439">
            <v>0.25</v>
          </cell>
          <cell r="AE2439">
            <v>0</v>
          </cell>
          <cell r="AF2439">
            <v>0</v>
          </cell>
          <cell r="AG2439">
            <v>0</v>
          </cell>
          <cell r="AH2439">
            <v>2.6</v>
          </cell>
          <cell r="AI2439">
            <v>0.49099999999999999</v>
          </cell>
          <cell r="AJ2439">
            <v>1</v>
          </cell>
          <cell r="AK2439">
            <v>5.29</v>
          </cell>
          <cell r="AL2439">
            <v>0</v>
          </cell>
        </row>
        <row r="2440">
          <cell r="E2440" t="str">
            <v>Xf1F-BHe</v>
          </cell>
          <cell r="F2440" t="str">
            <v>台</v>
          </cell>
          <cell r="G2440">
            <v>0</v>
          </cell>
          <cell r="H2440">
            <v>57000</v>
          </cell>
          <cell r="I2440">
            <v>0</v>
          </cell>
          <cell r="J2440">
            <v>57000</v>
          </cell>
          <cell r="K2440">
            <v>0</v>
          </cell>
          <cell r="L2440">
            <v>57000</v>
          </cell>
          <cell r="M2440">
            <v>0</v>
          </cell>
          <cell r="N2440">
            <v>57000</v>
          </cell>
          <cell r="O2440">
            <v>0</v>
          </cell>
          <cell r="P2440">
            <v>57000</v>
          </cell>
          <cell r="Q2440">
            <v>0</v>
          </cell>
          <cell r="R2440">
            <v>57000</v>
          </cell>
          <cell r="S2440">
            <v>0</v>
          </cell>
          <cell r="T2440">
            <v>57000</v>
          </cell>
          <cell r="U2440">
            <v>0</v>
          </cell>
          <cell r="V2440">
            <v>57000</v>
          </cell>
          <cell r="W2440">
            <v>0</v>
          </cell>
          <cell r="X2440">
            <v>57000</v>
          </cell>
          <cell r="Y2440">
            <v>0</v>
          </cell>
          <cell r="Z2440">
            <v>57000</v>
          </cell>
          <cell r="AA2440">
            <v>0</v>
          </cell>
          <cell r="AB2440">
            <v>0</v>
          </cell>
          <cell r="AC2440">
            <v>0</v>
          </cell>
          <cell r="AD2440">
            <v>0.25</v>
          </cell>
          <cell r="AE2440">
            <v>0</v>
          </cell>
          <cell r="AF2440">
            <v>0</v>
          </cell>
          <cell r="AG2440">
            <v>0</v>
          </cell>
          <cell r="AH2440">
            <v>3.6</v>
          </cell>
          <cell r="AI2440">
            <v>0.51400000000000001</v>
          </cell>
          <cell r="AJ2440">
            <v>1</v>
          </cell>
          <cell r="AK2440">
            <v>7</v>
          </cell>
          <cell r="AL2440">
            <v>0</v>
          </cell>
        </row>
        <row r="2441">
          <cell r="E2441" t="str">
            <v>■避難口(両面天井埋込)</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row>
        <row r="2442">
          <cell r="E2442" t="str">
            <v>Xg2-Ce</v>
          </cell>
          <cell r="F2442" t="str">
            <v>台</v>
          </cell>
          <cell r="G2442">
            <v>0</v>
          </cell>
          <cell r="H2442">
            <v>14500</v>
          </cell>
          <cell r="I2442">
            <v>0</v>
          </cell>
          <cell r="J2442">
            <v>14500</v>
          </cell>
          <cell r="K2442">
            <v>0</v>
          </cell>
          <cell r="L2442">
            <v>14500</v>
          </cell>
          <cell r="M2442">
            <v>0</v>
          </cell>
          <cell r="N2442">
            <v>14500</v>
          </cell>
          <cell r="O2442">
            <v>0</v>
          </cell>
          <cell r="P2442">
            <v>14500</v>
          </cell>
          <cell r="Q2442">
            <v>0</v>
          </cell>
          <cell r="R2442">
            <v>14500</v>
          </cell>
          <cell r="S2442">
            <v>0</v>
          </cell>
          <cell r="T2442">
            <v>14500</v>
          </cell>
          <cell r="U2442">
            <v>0</v>
          </cell>
          <cell r="V2442">
            <v>14500</v>
          </cell>
          <cell r="W2442">
            <v>0</v>
          </cell>
          <cell r="X2442">
            <v>14500</v>
          </cell>
          <cell r="Y2442">
            <v>0</v>
          </cell>
          <cell r="Z2442">
            <v>14500</v>
          </cell>
          <cell r="AA2442">
            <v>0</v>
          </cell>
          <cell r="AB2442">
            <v>0</v>
          </cell>
          <cell r="AC2442">
            <v>0</v>
          </cell>
          <cell r="AD2442">
            <v>0.217</v>
          </cell>
          <cell r="AE2442">
            <v>0</v>
          </cell>
          <cell r="AF2442">
            <v>0</v>
          </cell>
          <cell r="AG2442">
            <v>0</v>
          </cell>
          <cell r="AH2442">
            <v>2.6</v>
          </cell>
          <cell r="AI2442">
            <v>0.49099999999999999</v>
          </cell>
          <cell r="AJ2442">
            <v>1</v>
          </cell>
          <cell r="AK2442">
            <v>5.29</v>
          </cell>
          <cell r="AL2442">
            <v>0</v>
          </cell>
        </row>
        <row r="2443">
          <cell r="E2443" t="str">
            <v>Xg2-Ce60</v>
          </cell>
          <cell r="F2443" t="str">
            <v>台</v>
          </cell>
          <cell r="G2443">
            <v>0</v>
          </cell>
          <cell r="H2443">
            <v>36100</v>
          </cell>
          <cell r="I2443">
            <v>0</v>
          </cell>
          <cell r="J2443">
            <v>36100</v>
          </cell>
          <cell r="K2443">
            <v>0</v>
          </cell>
          <cell r="L2443">
            <v>36100</v>
          </cell>
          <cell r="M2443">
            <v>0</v>
          </cell>
          <cell r="N2443">
            <v>36100</v>
          </cell>
          <cell r="O2443">
            <v>0</v>
          </cell>
          <cell r="P2443">
            <v>36100</v>
          </cell>
          <cell r="Q2443">
            <v>0</v>
          </cell>
          <cell r="R2443">
            <v>36100</v>
          </cell>
          <cell r="S2443">
            <v>0</v>
          </cell>
          <cell r="T2443">
            <v>36100</v>
          </cell>
          <cell r="U2443">
            <v>0</v>
          </cell>
          <cell r="V2443">
            <v>36100</v>
          </cell>
          <cell r="W2443">
            <v>0</v>
          </cell>
          <cell r="X2443">
            <v>36100</v>
          </cell>
          <cell r="Y2443">
            <v>0</v>
          </cell>
          <cell r="Z2443">
            <v>36100</v>
          </cell>
          <cell r="AA2443">
            <v>0</v>
          </cell>
          <cell r="AB2443">
            <v>0</v>
          </cell>
          <cell r="AC2443">
            <v>0</v>
          </cell>
          <cell r="AD2443">
            <v>0.217</v>
          </cell>
          <cell r="AE2443">
            <v>0</v>
          </cell>
          <cell r="AF2443">
            <v>0</v>
          </cell>
          <cell r="AG2443">
            <v>0</v>
          </cell>
          <cell r="AH2443">
            <v>2.7</v>
          </cell>
          <cell r="AI2443">
            <v>0.5</v>
          </cell>
          <cell r="AJ2443">
            <v>1</v>
          </cell>
          <cell r="AK2443">
            <v>5.4</v>
          </cell>
          <cell r="AL2443">
            <v>0</v>
          </cell>
        </row>
        <row r="2444">
          <cell r="E2444" t="str">
            <v>Xg2-BLe</v>
          </cell>
          <cell r="F2444" t="str">
            <v>台</v>
          </cell>
          <cell r="G2444">
            <v>0</v>
          </cell>
          <cell r="H2444">
            <v>22800</v>
          </cell>
          <cell r="I2444">
            <v>0</v>
          </cell>
          <cell r="J2444">
            <v>22800</v>
          </cell>
          <cell r="K2444">
            <v>0</v>
          </cell>
          <cell r="L2444">
            <v>22800</v>
          </cell>
          <cell r="M2444">
            <v>0</v>
          </cell>
          <cell r="N2444">
            <v>22800</v>
          </cell>
          <cell r="O2444">
            <v>0</v>
          </cell>
          <cell r="P2444">
            <v>22800</v>
          </cell>
          <cell r="Q2444">
            <v>0</v>
          </cell>
          <cell r="R2444">
            <v>22800</v>
          </cell>
          <cell r="S2444">
            <v>0</v>
          </cell>
          <cell r="T2444">
            <v>22800</v>
          </cell>
          <cell r="U2444">
            <v>0</v>
          </cell>
          <cell r="V2444">
            <v>22800</v>
          </cell>
          <cell r="W2444">
            <v>0</v>
          </cell>
          <cell r="X2444">
            <v>22800</v>
          </cell>
          <cell r="Y2444">
            <v>0</v>
          </cell>
          <cell r="Z2444">
            <v>22800</v>
          </cell>
          <cell r="AA2444">
            <v>0</v>
          </cell>
          <cell r="AB2444">
            <v>0</v>
          </cell>
          <cell r="AC2444">
            <v>0</v>
          </cell>
          <cell r="AD2444">
            <v>0.25</v>
          </cell>
          <cell r="AE2444">
            <v>0</v>
          </cell>
          <cell r="AF2444">
            <v>0</v>
          </cell>
          <cell r="AG2444">
            <v>0</v>
          </cell>
          <cell r="AH2444">
            <v>3.6</v>
          </cell>
          <cell r="AI2444">
            <v>0.52200000000000002</v>
          </cell>
          <cell r="AJ2444">
            <v>1</v>
          </cell>
          <cell r="AK2444">
            <v>6.89</v>
          </cell>
          <cell r="AL2444">
            <v>0</v>
          </cell>
        </row>
        <row r="2445">
          <cell r="E2445" t="str">
            <v>Xg2-BLe60</v>
          </cell>
          <cell r="F2445" t="str">
            <v>台</v>
          </cell>
          <cell r="G2445">
            <v>0</v>
          </cell>
          <cell r="H2445">
            <v>37000</v>
          </cell>
          <cell r="I2445">
            <v>0</v>
          </cell>
          <cell r="J2445">
            <v>37000</v>
          </cell>
          <cell r="K2445">
            <v>0</v>
          </cell>
          <cell r="L2445">
            <v>37000</v>
          </cell>
          <cell r="M2445">
            <v>0</v>
          </cell>
          <cell r="N2445">
            <v>37000</v>
          </cell>
          <cell r="O2445">
            <v>0</v>
          </cell>
          <cell r="P2445">
            <v>37000</v>
          </cell>
          <cell r="Q2445">
            <v>0</v>
          </cell>
          <cell r="R2445">
            <v>37000</v>
          </cell>
          <cell r="S2445">
            <v>0</v>
          </cell>
          <cell r="T2445">
            <v>37000</v>
          </cell>
          <cell r="U2445">
            <v>0</v>
          </cell>
          <cell r="V2445">
            <v>37000</v>
          </cell>
          <cell r="W2445">
            <v>0</v>
          </cell>
          <cell r="X2445">
            <v>37000</v>
          </cell>
          <cell r="Y2445">
            <v>0</v>
          </cell>
          <cell r="Z2445">
            <v>37000</v>
          </cell>
          <cell r="AA2445">
            <v>0</v>
          </cell>
          <cell r="AB2445">
            <v>0</v>
          </cell>
          <cell r="AC2445">
            <v>0</v>
          </cell>
          <cell r="AD2445">
            <v>0.25</v>
          </cell>
          <cell r="AE2445">
            <v>0</v>
          </cell>
          <cell r="AF2445">
            <v>0</v>
          </cell>
          <cell r="AG2445">
            <v>0</v>
          </cell>
          <cell r="AH2445">
            <v>3.7</v>
          </cell>
          <cell r="AI2445">
            <v>0.52100000000000002</v>
          </cell>
          <cell r="AJ2445">
            <v>1</v>
          </cell>
          <cell r="AK2445">
            <v>7.1</v>
          </cell>
          <cell r="AL2445">
            <v>0</v>
          </cell>
        </row>
        <row r="2446">
          <cell r="E2446" t="str">
            <v>Xg2-BHe</v>
          </cell>
          <cell r="F2446" t="str">
            <v>台</v>
          </cell>
          <cell r="G2446">
            <v>0</v>
          </cell>
          <cell r="H2446">
            <v>34700</v>
          </cell>
          <cell r="I2446">
            <v>0</v>
          </cell>
          <cell r="J2446">
            <v>34700</v>
          </cell>
          <cell r="K2446">
            <v>0</v>
          </cell>
          <cell r="L2446">
            <v>34700</v>
          </cell>
          <cell r="M2446">
            <v>0</v>
          </cell>
          <cell r="N2446">
            <v>34700</v>
          </cell>
          <cell r="O2446">
            <v>0</v>
          </cell>
          <cell r="P2446">
            <v>34700</v>
          </cell>
          <cell r="Q2446">
            <v>0</v>
          </cell>
          <cell r="R2446">
            <v>34700</v>
          </cell>
          <cell r="S2446">
            <v>0</v>
          </cell>
          <cell r="T2446">
            <v>34700</v>
          </cell>
          <cell r="U2446">
            <v>0</v>
          </cell>
          <cell r="V2446">
            <v>34700</v>
          </cell>
          <cell r="W2446">
            <v>0</v>
          </cell>
          <cell r="X2446">
            <v>34700</v>
          </cell>
          <cell r="Y2446">
            <v>0</v>
          </cell>
          <cell r="Z2446">
            <v>34700</v>
          </cell>
          <cell r="AA2446">
            <v>0</v>
          </cell>
          <cell r="AB2446">
            <v>0</v>
          </cell>
          <cell r="AC2446">
            <v>0</v>
          </cell>
          <cell r="AD2446">
            <v>0.25</v>
          </cell>
          <cell r="AE2446">
            <v>0</v>
          </cell>
          <cell r="AF2446">
            <v>0</v>
          </cell>
          <cell r="AG2446">
            <v>0</v>
          </cell>
          <cell r="AH2446">
            <v>5.4</v>
          </cell>
          <cell r="AI2446">
            <v>0.54</v>
          </cell>
          <cell r="AJ2446">
            <v>1</v>
          </cell>
          <cell r="AK2446">
            <v>10</v>
          </cell>
          <cell r="AL2446">
            <v>0</v>
          </cell>
        </row>
        <row r="2447">
          <cell r="E2447" t="str">
            <v>Xg2-BHe60</v>
          </cell>
          <cell r="F2447" t="str">
            <v>台</v>
          </cell>
          <cell r="G2447">
            <v>0</v>
          </cell>
          <cell r="H2447">
            <v>48900</v>
          </cell>
          <cell r="I2447">
            <v>0</v>
          </cell>
          <cell r="J2447">
            <v>48900</v>
          </cell>
          <cell r="K2447">
            <v>0</v>
          </cell>
          <cell r="L2447">
            <v>48900</v>
          </cell>
          <cell r="M2447">
            <v>0</v>
          </cell>
          <cell r="N2447">
            <v>48900</v>
          </cell>
          <cell r="O2447">
            <v>0</v>
          </cell>
          <cell r="P2447">
            <v>48900</v>
          </cell>
          <cell r="Q2447">
            <v>0</v>
          </cell>
          <cell r="R2447">
            <v>48900</v>
          </cell>
          <cell r="S2447">
            <v>0</v>
          </cell>
          <cell r="T2447">
            <v>48900</v>
          </cell>
          <cell r="U2447">
            <v>0</v>
          </cell>
          <cell r="V2447">
            <v>48900</v>
          </cell>
          <cell r="W2447">
            <v>0</v>
          </cell>
          <cell r="X2447">
            <v>48900</v>
          </cell>
          <cell r="Y2447">
            <v>0</v>
          </cell>
          <cell r="Z2447">
            <v>48900</v>
          </cell>
          <cell r="AA2447">
            <v>0</v>
          </cell>
          <cell r="AB2447">
            <v>0</v>
          </cell>
          <cell r="AC2447">
            <v>0</v>
          </cell>
          <cell r="AD2447">
            <v>0.25</v>
          </cell>
          <cell r="AE2447">
            <v>0</v>
          </cell>
          <cell r="AF2447">
            <v>0</v>
          </cell>
          <cell r="AG2447">
            <v>0</v>
          </cell>
          <cell r="AH2447">
            <v>5.5</v>
          </cell>
          <cell r="AI2447">
            <v>0.55000000000000004</v>
          </cell>
          <cell r="AJ2447">
            <v>1</v>
          </cell>
          <cell r="AK2447">
            <v>10</v>
          </cell>
          <cell r="AL2447">
            <v>0</v>
          </cell>
        </row>
        <row r="2448">
          <cell r="E2448" t="str">
            <v>Xg2F-BLe</v>
          </cell>
          <cell r="F2448" t="str">
            <v>台</v>
          </cell>
          <cell r="G2448">
            <v>0</v>
          </cell>
          <cell r="H2448">
            <v>50200</v>
          </cell>
          <cell r="I2448">
            <v>0</v>
          </cell>
          <cell r="J2448">
            <v>50200</v>
          </cell>
          <cell r="K2448">
            <v>0</v>
          </cell>
          <cell r="L2448">
            <v>50200</v>
          </cell>
          <cell r="M2448">
            <v>0</v>
          </cell>
          <cell r="N2448">
            <v>50200</v>
          </cell>
          <cell r="O2448">
            <v>0</v>
          </cell>
          <cell r="P2448">
            <v>50200</v>
          </cell>
          <cell r="Q2448">
            <v>0</v>
          </cell>
          <cell r="R2448">
            <v>50200</v>
          </cell>
          <cell r="S2448">
            <v>0</v>
          </cell>
          <cell r="T2448">
            <v>50200</v>
          </cell>
          <cell r="U2448">
            <v>0</v>
          </cell>
          <cell r="V2448">
            <v>50200</v>
          </cell>
          <cell r="W2448">
            <v>0</v>
          </cell>
          <cell r="X2448">
            <v>50200</v>
          </cell>
          <cell r="Y2448">
            <v>0</v>
          </cell>
          <cell r="Z2448">
            <v>50200</v>
          </cell>
          <cell r="AA2448">
            <v>0</v>
          </cell>
          <cell r="AB2448">
            <v>0</v>
          </cell>
          <cell r="AC2448">
            <v>0</v>
          </cell>
          <cell r="AD2448">
            <v>0.25</v>
          </cell>
          <cell r="AE2448">
            <v>0</v>
          </cell>
          <cell r="AF2448">
            <v>0</v>
          </cell>
          <cell r="AG2448">
            <v>0</v>
          </cell>
          <cell r="AH2448">
            <v>3.6</v>
          </cell>
          <cell r="AI2448">
            <v>0.52200000000000002</v>
          </cell>
          <cell r="AJ2448">
            <v>1</v>
          </cell>
          <cell r="AK2448">
            <v>6.89</v>
          </cell>
          <cell r="AL2448">
            <v>0</v>
          </cell>
        </row>
        <row r="2449">
          <cell r="E2449" t="str">
            <v>Xg2F-BHe</v>
          </cell>
          <cell r="F2449" t="str">
            <v>台</v>
          </cell>
          <cell r="G2449">
            <v>0</v>
          </cell>
          <cell r="H2449">
            <v>62100</v>
          </cell>
          <cell r="I2449">
            <v>0</v>
          </cell>
          <cell r="J2449">
            <v>62100</v>
          </cell>
          <cell r="K2449">
            <v>0</v>
          </cell>
          <cell r="L2449">
            <v>62100</v>
          </cell>
          <cell r="M2449">
            <v>0</v>
          </cell>
          <cell r="N2449">
            <v>62100</v>
          </cell>
          <cell r="O2449">
            <v>0</v>
          </cell>
          <cell r="P2449">
            <v>62100</v>
          </cell>
          <cell r="Q2449">
            <v>0</v>
          </cell>
          <cell r="R2449">
            <v>62100</v>
          </cell>
          <cell r="S2449">
            <v>0</v>
          </cell>
          <cell r="T2449">
            <v>62100</v>
          </cell>
          <cell r="U2449">
            <v>0</v>
          </cell>
          <cell r="V2449">
            <v>62100</v>
          </cell>
          <cell r="W2449">
            <v>0</v>
          </cell>
          <cell r="X2449">
            <v>62100</v>
          </cell>
          <cell r="Y2449">
            <v>0</v>
          </cell>
          <cell r="Z2449">
            <v>62100</v>
          </cell>
          <cell r="AA2449">
            <v>0</v>
          </cell>
          <cell r="AB2449">
            <v>0</v>
          </cell>
          <cell r="AC2449">
            <v>0</v>
          </cell>
          <cell r="AD2449">
            <v>0.25</v>
          </cell>
          <cell r="AE2449">
            <v>0</v>
          </cell>
          <cell r="AF2449">
            <v>0</v>
          </cell>
          <cell r="AG2449">
            <v>0</v>
          </cell>
          <cell r="AH2449">
            <v>5.4</v>
          </cell>
          <cell r="AI2449">
            <v>0.54</v>
          </cell>
          <cell r="AJ2449">
            <v>1</v>
          </cell>
          <cell r="AK2449">
            <v>10</v>
          </cell>
          <cell r="AL2449">
            <v>0</v>
          </cell>
        </row>
        <row r="2450">
          <cell r="E2450" t="str">
            <v>■避難口(直付)</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row>
        <row r="2451">
          <cell r="E2451" t="str">
            <v>Xh1-Ce</v>
          </cell>
          <cell r="F2451" t="str">
            <v>台</v>
          </cell>
          <cell r="G2451">
            <v>0</v>
          </cell>
          <cell r="H2451">
            <v>10400</v>
          </cell>
          <cell r="I2451">
            <v>0</v>
          </cell>
          <cell r="J2451">
            <v>10400</v>
          </cell>
          <cell r="K2451">
            <v>0</v>
          </cell>
          <cell r="L2451">
            <v>10400</v>
          </cell>
          <cell r="M2451">
            <v>0</v>
          </cell>
          <cell r="N2451">
            <v>10400</v>
          </cell>
          <cell r="O2451">
            <v>0</v>
          </cell>
          <cell r="P2451">
            <v>10400</v>
          </cell>
          <cell r="Q2451">
            <v>0</v>
          </cell>
          <cell r="R2451">
            <v>10400</v>
          </cell>
          <cell r="S2451">
            <v>0</v>
          </cell>
          <cell r="T2451">
            <v>10400</v>
          </cell>
          <cell r="U2451">
            <v>0</v>
          </cell>
          <cell r="V2451">
            <v>10400</v>
          </cell>
          <cell r="W2451">
            <v>0</v>
          </cell>
          <cell r="X2451">
            <v>10400</v>
          </cell>
          <cell r="Y2451">
            <v>0</v>
          </cell>
          <cell r="Z2451">
            <v>10400</v>
          </cell>
          <cell r="AA2451">
            <v>0</v>
          </cell>
          <cell r="AB2451">
            <v>0</v>
          </cell>
          <cell r="AC2451">
            <v>0</v>
          </cell>
          <cell r="AD2451">
            <v>0.14099999999999999</v>
          </cell>
          <cell r="AE2451">
            <v>0</v>
          </cell>
          <cell r="AF2451">
            <v>0</v>
          </cell>
          <cell r="AG2451">
            <v>0</v>
          </cell>
          <cell r="AH2451">
            <v>2</v>
          </cell>
          <cell r="AI2451">
            <v>0.47599999999999998</v>
          </cell>
          <cell r="AJ2451">
            <v>1</v>
          </cell>
          <cell r="AK2451">
            <v>4.2</v>
          </cell>
          <cell r="AL2451">
            <v>0</v>
          </cell>
        </row>
        <row r="2452">
          <cell r="E2452" t="str">
            <v>Xh1-Ce60</v>
          </cell>
          <cell r="F2452" t="str">
            <v>台</v>
          </cell>
          <cell r="G2452">
            <v>0</v>
          </cell>
          <cell r="H2452">
            <v>23800</v>
          </cell>
          <cell r="I2452">
            <v>0</v>
          </cell>
          <cell r="J2452">
            <v>23800</v>
          </cell>
          <cell r="K2452">
            <v>0</v>
          </cell>
          <cell r="L2452">
            <v>23800</v>
          </cell>
          <cell r="M2452">
            <v>0</v>
          </cell>
          <cell r="N2452">
            <v>23800</v>
          </cell>
          <cell r="O2452">
            <v>0</v>
          </cell>
          <cell r="P2452">
            <v>23800</v>
          </cell>
          <cell r="Q2452">
            <v>0</v>
          </cell>
          <cell r="R2452">
            <v>23800</v>
          </cell>
          <cell r="S2452">
            <v>0</v>
          </cell>
          <cell r="T2452">
            <v>23800</v>
          </cell>
          <cell r="U2452">
            <v>0</v>
          </cell>
          <cell r="V2452">
            <v>23800</v>
          </cell>
          <cell r="W2452">
            <v>0</v>
          </cell>
          <cell r="X2452">
            <v>23800</v>
          </cell>
          <cell r="Y2452">
            <v>0</v>
          </cell>
          <cell r="Z2452">
            <v>23800</v>
          </cell>
          <cell r="AA2452">
            <v>0</v>
          </cell>
          <cell r="AB2452">
            <v>0</v>
          </cell>
          <cell r="AC2452">
            <v>0</v>
          </cell>
          <cell r="AD2452">
            <v>0.14099999999999999</v>
          </cell>
          <cell r="AE2452">
            <v>0</v>
          </cell>
          <cell r="AF2452">
            <v>0</v>
          </cell>
          <cell r="AG2452">
            <v>0</v>
          </cell>
          <cell r="AH2452">
            <v>2.1</v>
          </cell>
          <cell r="AI2452">
            <v>0.47699999999999998</v>
          </cell>
          <cell r="AJ2452">
            <v>1</v>
          </cell>
          <cell r="AK2452">
            <v>4.4000000000000004</v>
          </cell>
          <cell r="AL2452">
            <v>0</v>
          </cell>
        </row>
        <row r="2453">
          <cell r="E2453" t="str">
            <v>Xh1-BLe</v>
          </cell>
          <cell r="F2453" t="str">
            <v>台</v>
          </cell>
          <cell r="G2453">
            <v>0</v>
          </cell>
          <cell r="H2453">
            <v>15500</v>
          </cell>
          <cell r="I2453">
            <v>0</v>
          </cell>
          <cell r="J2453">
            <v>15500</v>
          </cell>
          <cell r="K2453">
            <v>0</v>
          </cell>
          <cell r="L2453">
            <v>15500</v>
          </cell>
          <cell r="M2453">
            <v>0</v>
          </cell>
          <cell r="N2453">
            <v>15500</v>
          </cell>
          <cell r="O2453">
            <v>0</v>
          </cell>
          <cell r="P2453">
            <v>15500</v>
          </cell>
          <cell r="Q2453">
            <v>0</v>
          </cell>
          <cell r="R2453">
            <v>15500</v>
          </cell>
          <cell r="S2453">
            <v>0</v>
          </cell>
          <cell r="T2453">
            <v>15500</v>
          </cell>
          <cell r="U2453">
            <v>0</v>
          </cell>
          <cell r="V2453">
            <v>15500</v>
          </cell>
          <cell r="W2453">
            <v>0</v>
          </cell>
          <cell r="X2453">
            <v>15500</v>
          </cell>
          <cell r="Y2453">
            <v>0</v>
          </cell>
          <cell r="Z2453">
            <v>15500</v>
          </cell>
          <cell r="AA2453">
            <v>0</v>
          </cell>
          <cell r="AB2453">
            <v>0</v>
          </cell>
          <cell r="AC2453">
            <v>0</v>
          </cell>
          <cell r="AD2453">
            <v>0.16200000000000001</v>
          </cell>
          <cell r="AE2453">
            <v>0</v>
          </cell>
          <cell r="AF2453">
            <v>0</v>
          </cell>
          <cell r="AG2453">
            <v>0</v>
          </cell>
          <cell r="AH2453">
            <v>2.7</v>
          </cell>
          <cell r="AI2453">
            <v>0.5</v>
          </cell>
          <cell r="AJ2453">
            <v>1</v>
          </cell>
          <cell r="AK2453">
            <v>5.4</v>
          </cell>
          <cell r="AL2453">
            <v>0</v>
          </cell>
        </row>
        <row r="2454">
          <cell r="E2454" t="str">
            <v>Xh1-BLe60</v>
          </cell>
          <cell r="F2454" t="str">
            <v>台</v>
          </cell>
          <cell r="G2454">
            <v>0</v>
          </cell>
          <cell r="H2454">
            <v>28200</v>
          </cell>
          <cell r="I2454">
            <v>0</v>
          </cell>
          <cell r="J2454">
            <v>28200</v>
          </cell>
          <cell r="K2454">
            <v>0</v>
          </cell>
          <cell r="L2454">
            <v>28200</v>
          </cell>
          <cell r="M2454">
            <v>0</v>
          </cell>
          <cell r="N2454">
            <v>28200</v>
          </cell>
          <cell r="O2454">
            <v>0</v>
          </cell>
          <cell r="P2454">
            <v>28200</v>
          </cell>
          <cell r="Q2454">
            <v>0</v>
          </cell>
          <cell r="R2454">
            <v>28200</v>
          </cell>
          <cell r="S2454">
            <v>0</v>
          </cell>
          <cell r="T2454">
            <v>28200</v>
          </cell>
          <cell r="U2454">
            <v>0</v>
          </cell>
          <cell r="V2454">
            <v>28200</v>
          </cell>
          <cell r="W2454">
            <v>0</v>
          </cell>
          <cell r="X2454">
            <v>28200</v>
          </cell>
          <cell r="Y2454">
            <v>0</v>
          </cell>
          <cell r="Z2454">
            <v>28200</v>
          </cell>
          <cell r="AA2454">
            <v>0</v>
          </cell>
          <cell r="AB2454">
            <v>0</v>
          </cell>
          <cell r="AC2454">
            <v>0</v>
          </cell>
          <cell r="AD2454">
            <v>0.16200000000000001</v>
          </cell>
          <cell r="AE2454">
            <v>0</v>
          </cell>
          <cell r="AF2454">
            <v>0</v>
          </cell>
          <cell r="AG2454">
            <v>0</v>
          </cell>
          <cell r="AH2454">
            <v>2.7</v>
          </cell>
          <cell r="AI2454">
            <v>0.5</v>
          </cell>
          <cell r="AJ2454">
            <v>1</v>
          </cell>
          <cell r="AK2454">
            <v>5.4</v>
          </cell>
          <cell r="AL2454">
            <v>0</v>
          </cell>
        </row>
        <row r="2455">
          <cell r="E2455" t="str">
            <v>Xh1-BHe</v>
          </cell>
          <cell r="F2455" t="str">
            <v>台</v>
          </cell>
          <cell r="G2455">
            <v>0</v>
          </cell>
          <cell r="H2455">
            <v>22900</v>
          </cell>
          <cell r="I2455">
            <v>0</v>
          </cell>
          <cell r="J2455">
            <v>22900</v>
          </cell>
          <cell r="K2455">
            <v>0</v>
          </cell>
          <cell r="L2455">
            <v>22900</v>
          </cell>
          <cell r="M2455">
            <v>0</v>
          </cell>
          <cell r="N2455">
            <v>22900</v>
          </cell>
          <cell r="O2455">
            <v>0</v>
          </cell>
          <cell r="P2455">
            <v>22900</v>
          </cell>
          <cell r="Q2455">
            <v>0</v>
          </cell>
          <cell r="R2455">
            <v>22900</v>
          </cell>
          <cell r="S2455">
            <v>0</v>
          </cell>
          <cell r="T2455">
            <v>22900</v>
          </cell>
          <cell r="U2455">
            <v>0</v>
          </cell>
          <cell r="V2455">
            <v>22900</v>
          </cell>
          <cell r="W2455">
            <v>0</v>
          </cell>
          <cell r="X2455">
            <v>22900</v>
          </cell>
          <cell r="Y2455">
            <v>0</v>
          </cell>
          <cell r="Z2455">
            <v>22900</v>
          </cell>
          <cell r="AA2455">
            <v>0</v>
          </cell>
          <cell r="AB2455">
            <v>0</v>
          </cell>
          <cell r="AC2455">
            <v>0</v>
          </cell>
          <cell r="AD2455">
            <v>0.16200000000000001</v>
          </cell>
          <cell r="AE2455">
            <v>0</v>
          </cell>
          <cell r="AF2455">
            <v>0</v>
          </cell>
          <cell r="AG2455">
            <v>0</v>
          </cell>
          <cell r="AH2455">
            <v>3.6</v>
          </cell>
          <cell r="AI2455">
            <v>0.51400000000000001</v>
          </cell>
          <cell r="AJ2455">
            <v>1</v>
          </cell>
          <cell r="AK2455">
            <v>7</v>
          </cell>
          <cell r="AL2455">
            <v>0</v>
          </cell>
        </row>
        <row r="2456">
          <cell r="E2456" t="str">
            <v>Xh1-BHe60</v>
          </cell>
          <cell r="F2456" t="str">
            <v>台</v>
          </cell>
          <cell r="G2456">
            <v>0</v>
          </cell>
          <cell r="H2456">
            <v>35900</v>
          </cell>
          <cell r="I2456">
            <v>0</v>
          </cell>
          <cell r="J2456">
            <v>35900</v>
          </cell>
          <cell r="K2456">
            <v>0</v>
          </cell>
          <cell r="L2456">
            <v>35900</v>
          </cell>
          <cell r="M2456">
            <v>0</v>
          </cell>
          <cell r="N2456">
            <v>35900</v>
          </cell>
          <cell r="O2456">
            <v>0</v>
          </cell>
          <cell r="P2456">
            <v>35900</v>
          </cell>
          <cell r="Q2456">
            <v>0</v>
          </cell>
          <cell r="R2456">
            <v>35900</v>
          </cell>
          <cell r="S2456">
            <v>0</v>
          </cell>
          <cell r="T2456">
            <v>35900</v>
          </cell>
          <cell r="U2456">
            <v>0</v>
          </cell>
          <cell r="V2456">
            <v>35900</v>
          </cell>
          <cell r="W2456">
            <v>0</v>
          </cell>
          <cell r="X2456">
            <v>35900</v>
          </cell>
          <cell r="Y2456">
            <v>0</v>
          </cell>
          <cell r="Z2456">
            <v>35900</v>
          </cell>
          <cell r="AA2456">
            <v>0</v>
          </cell>
          <cell r="AB2456">
            <v>0</v>
          </cell>
          <cell r="AC2456">
            <v>0</v>
          </cell>
          <cell r="AD2456">
            <v>0.16200000000000001</v>
          </cell>
          <cell r="AE2456">
            <v>0</v>
          </cell>
          <cell r="AF2456">
            <v>0</v>
          </cell>
          <cell r="AG2456">
            <v>0</v>
          </cell>
          <cell r="AH2456">
            <v>3.7</v>
          </cell>
          <cell r="AI2456">
            <v>0.52900000000000003</v>
          </cell>
          <cell r="AJ2456">
            <v>1</v>
          </cell>
          <cell r="AK2456">
            <v>6.99</v>
          </cell>
          <cell r="AL2456">
            <v>0</v>
          </cell>
        </row>
        <row r="2457">
          <cell r="E2457" t="str">
            <v>Xh1-Ae</v>
          </cell>
          <cell r="F2457" t="str">
            <v>台</v>
          </cell>
          <cell r="G2457">
            <v>0</v>
          </cell>
          <cell r="H2457">
            <v>45600</v>
          </cell>
          <cell r="I2457">
            <v>0</v>
          </cell>
          <cell r="J2457">
            <v>45600</v>
          </cell>
          <cell r="K2457">
            <v>0</v>
          </cell>
          <cell r="L2457">
            <v>45600</v>
          </cell>
          <cell r="M2457">
            <v>0</v>
          </cell>
          <cell r="N2457">
            <v>45600</v>
          </cell>
          <cell r="O2457">
            <v>0</v>
          </cell>
          <cell r="P2457">
            <v>45600</v>
          </cell>
          <cell r="Q2457">
            <v>0</v>
          </cell>
          <cell r="R2457">
            <v>45600</v>
          </cell>
          <cell r="S2457">
            <v>0</v>
          </cell>
          <cell r="T2457">
            <v>45600</v>
          </cell>
          <cell r="U2457">
            <v>0</v>
          </cell>
          <cell r="V2457">
            <v>45600</v>
          </cell>
          <cell r="W2457">
            <v>0</v>
          </cell>
          <cell r="X2457">
            <v>45600</v>
          </cell>
          <cell r="Y2457">
            <v>0</v>
          </cell>
          <cell r="Z2457">
            <v>45600</v>
          </cell>
          <cell r="AA2457">
            <v>0</v>
          </cell>
          <cell r="AB2457">
            <v>0</v>
          </cell>
          <cell r="AC2457">
            <v>0</v>
          </cell>
          <cell r="AD2457">
            <v>0.26100000000000001</v>
          </cell>
          <cell r="AE2457">
            <v>0</v>
          </cell>
          <cell r="AF2457">
            <v>0</v>
          </cell>
          <cell r="AG2457">
            <v>0</v>
          </cell>
          <cell r="AH2457">
            <v>10.5</v>
          </cell>
          <cell r="AI2457">
            <v>0.55300000000000005</v>
          </cell>
          <cell r="AJ2457">
            <v>1</v>
          </cell>
          <cell r="AK2457">
            <v>18.98</v>
          </cell>
          <cell r="AL2457">
            <v>0</v>
          </cell>
        </row>
        <row r="2458">
          <cell r="E2458" t="str">
            <v>Xh1AF-BLe</v>
          </cell>
          <cell r="F2458" t="str">
            <v>台</v>
          </cell>
          <cell r="G2458">
            <v>0</v>
          </cell>
          <cell r="H2458">
            <v>47700</v>
          </cell>
          <cell r="I2458">
            <v>0</v>
          </cell>
          <cell r="J2458">
            <v>47700</v>
          </cell>
          <cell r="K2458">
            <v>0</v>
          </cell>
          <cell r="L2458">
            <v>47700</v>
          </cell>
          <cell r="M2458">
            <v>0</v>
          </cell>
          <cell r="N2458">
            <v>47700</v>
          </cell>
          <cell r="O2458">
            <v>0</v>
          </cell>
          <cell r="P2458">
            <v>47700</v>
          </cell>
          <cell r="Q2458">
            <v>0</v>
          </cell>
          <cell r="R2458">
            <v>47700</v>
          </cell>
          <cell r="S2458">
            <v>0</v>
          </cell>
          <cell r="T2458">
            <v>47700</v>
          </cell>
          <cell r="U2458">
            <v>0</v>
          </cell>
          <cell r="V2458">
            <v>47700</v>
          </cell>
          <cell r="W2458">
            <v>0</v>
          </cell>
          <cell r="X2458">
            <v>47700</v>
          </cell>
          <cell r="Y2458">
            <v>0</v>
          </cell>
          <cell r="Z2458">
            <v>47700</v>
          </cell>
          <cell r="AA2458">
            <v>0</v>
          </cell>
          <cell r="AB2458">
            <v>0</v>
          </cell>
          <cell r="AC2458">
            <v>0</v>
          </cell>
          <cell r="AD2458">
            <v>0.16200000000000001</v>
          </cell>
          <cell r="AE2458">
            <v>0</v>
          </cell>
          <cell r="AF2458">
            <v>0</v>
          </cell>
          <cell r="AG2458">
            <v>0</v>
          </cell>
          <cell r="AH2458">
            <v>4.5999999999999996</v>
          </cell>
          <cell r="AI2458">
            <v>0.63900000000000001</v>
          </cell>
          <cell r="AJ2458">
            <v>1</v>
          </cell>
          <cell r="AK2458">
            <v>7.19</v>
          </cell>
          <cell r="AL2458">
            <v>0</v>
          </cell>
        </row>
        <row r="2459">
          <cell r="E2459" t="str">
            <v>Xh1AF-BLe60</v>
          </cell>
          <cell r="F2459" t="str">
            <v>台</v>
          </cell>
          <cell r="G2459">
            <v>0</v>
          </cell>
          <cell r="H2459">
            <v>82800</v>
          </cell>
          <cell r="I2459">
            <v>0</v>
          </cell>
          <cell r="J2459">
            <v>82800</v>
          </cell>
          <cell r="K2459">
            <v>0</v>
          </cell>
          <cell r="L2459">
            <v>82800</v>
          </cell>
          <cell r="M2459">
            <v>0</v>
          </cell>
          <cell r="N2459">
            <v>82800</v>
          </cell>
          <cell r="O2459">
            <v>0</v>
          </cell>
          <cell r="P2459">
            <v>82800</v>
          </cell>
          <cell r="Q2459">
            <v>0</v>
          </cell>
          <cell r="R2459">
            <v>82800</v>
          </cell>
          <cell r="S2459">
            <v>0</v>
          </cell>
          <cell r="T2459">
            <v>82800</v>
          </cell>
          <cell r="U2459">
            <v>0</v>
          </cell>
          <cell r="V2459">
            <v>82800</v>
          </cell>
          <cell r="W2459">
            <v>0</v>
          </cell>
          <cell r="X2459">
            <v>82800</v>
          </cell>
          <cell r="Y2459">
            <v>0</v>
          </cell>
          <cell r="Z2459">
            <v>82800</v>
          </cell>
          <cell r="AA2459">
            <v>0</v>
          </cell>
          <cell r="AB2459">
            <v>0</v>
          </cell>
          <cell r="AC2459">
            <v>0</v>
          </cell>
          <cell r="AD2459">
            <v>0.16200000000000001</v>
          </cell>
          <cell r="AE2459">
            <v>0</v>
          </cell>
          <cell r="AF2459">
            <v>0</v>
          </cell>
          <cell r="AG2459">
            <v>0</v>
          </cell>
          <cell r="AH2459">
            <v>5.8</v>
          </cell>
          <cell r="AI2459">
            <v>0.71599999999999997</v>
          </cell>
          <cell r="AJ2459">
            <v>1</v>
          </cell>
          <cell r="AK2459">
            <v>8.1</v>
          </cell>
          <cell r="AL2459">
            <v>0</v>
          </cell>
        </row>
        <row r="2460">
          <cell r="E2460" t="str">
            <v>Xh1AF-BHe</v>
          </cell>
          <cell r="F2460" t="str">
            <v>台</v>
          </cell>
          <cell r="G2460">
            <v>0</v>
          </cell>
          <cell r="H2460">
            <v>55800</v>
          </cell>
          <cell r="I2460">
            <v>0</v>
          </cell>
          <cell r="J2460">
            <v>55800</v>
          </cell>
          <cell r="K2460">
            <v>0</v>
          </cell>
          <cell r="L2460">
            <v>55800</v>
          </cell>
          <cell r="M2460">
            <v>0</v>
          </cell>
          <cell r="N2460">
            <v>55800</v>
          </cell>
          <cell r="O2460">
            <v>0</v>
          </cell>
          <cell r="P2460">
            <v>55800</v>
          </cell>
          <cell r="Q2460">
            <v>0</v>
          </cell>
          <cell r="R2460">
            <v>55800</v>
          </cell>
          <cell r="S2460">
            <v>0</v>
          </cell>
          <cell r="T2460">
            <v>55800</v>
          </cell>
          <cell r="U2460">
            <v>0</v>
          </cell>
          <cell r="V2460">
            <v>55800</v>
          </cell>
          <cell r="W2460">
            <v>0</v>
          </cell>
          <cell r="X2460">
            <v>55800</v>
          </cell>
          <cell r="Y2460">
            <v>0</v>
          </cell>
          <cell r="Z2460">
            <v>55800</v>
          </cell>
          <cell r="AA2460">
            <v>0</v>
          </cell>
          <cell r="AB2460">
            <v>0</v>
          </cell>
          <cell r="AC2460">
            <v>0</v>
          </cell>
          <cell r="AD2460">
            <v>0.16200000000000001</v>
          </cell>
          <cell r="AE2460">
            <v>0</v>
          </cell>
          <cell r="AF2460">
            <v>0</v>
          </cell>
          <cell r="AG2460">
            <v>0</v>
          </cell>
          <cell r="AH2460">
            <v>5.6</v>
          </cell>
          <cell r="AI2460">
            <v>0.63600000000000001</v>
          </cell>
          <cell r="AJ2460">
            <v>1</v>
          </cell>
          <cell r="AK2460">
            <v>8.8000000000000007</v>
          </cell>
          <cell r="AL2460">
            <v>0</v>
          </cell>
        </row>
        <row r="2461">
          <cell r="E2461" t="str">
            <v>Xh1AF-BHe60</v>
          </cell>
          <cell r="F2461" t="str">
            <v>台</v>
          </cell>
          <cell r="G2461">
            <v>0</v>
          </cell>
          <cell r="H2461">
            <v>92200</v>
          </cell>
          <cell r="I2461">
            <v>0</v>
          </cell>
          <cell r="J2461">
            <v>92200</v>
          </cell>
          <cell r="K2461">
            <v>0</v>
          </cell>
          <cell r="L2461">
            <v>92200</v>
          </cell>
          <cell r="M2461">
            <v>0</v>
          </cell>
          <cell r="N2461">
            <v>92200</v>
          </cell>
          <cell r="O2461">
            <v>0</v>
          </cell>
          <cell r="P2461">
            <v>92200</v>
          </cell>
          <cell r="Q2461">
            <v>0</v>
          </cell>
          <cell r="R2461">
            <v>92200</v>
          </cell>
          <cell r="S2461">
            <v>0</v>
          </cell>
          <cell r="T2461">
            <v>92200</v>
          </cell>
          <cell r="U2461">
            <v>0</v>
          </cell>
          <cell r="V2461">
            <v>92200</v>
          </cell>
          <cell r="W2461">
            <v>0</v>
          </cell>
          <cell r="X2461">
            <v>92200</v>
          </cell>
          <cell r="Y2461">
            <v>0</v>
          </cell>
          <cell r="Z2461">
            <v>92200</v>
          </cell>
          <cell r="AA2461">
            <v>0</v>
          </cell>
          <cell r="AB2461">
            <v>0</v>
          </cell>
          <cell r="AC2461">
            <v>0</v>
          </cell>
          <cell r="AD2461">
            <v>0.16200000000000001</v>
          </cell>
          <cell r="AE2461">
            <v>0</v>
          </cell>
          <cell r="AF2461">
            <v>0</v>
          </cell>
          <cell r="AG2461">
            <v>0</v>
          </cell>
          <cell r="AH2461">
            <v>6.7</v>
          </cell>
          <cell r="AI2461">
            <v>0.69099999999999995</v>
          </cell>
          <cell r="AJ2461">
            <v>1</v>
          </cell>
          <cell r="AK2461">
            <v>9.69</v>
          </cell>
          <cell r="AL2461">
            <v>0</v>
          </cell>
        </row>
        <row r="2462">
          <cell r="E2462" t="str">
            <v>Xh1F-BLe</v>
          </cell>
          <cell r="F2462" t="str">
            <v>台</v>
          </cell>
          <cell r="G2462">
            <v>0</v>
          </cell>
          <cell r="H2462">
            <v>39000</v>
          </cell>
          <cell r="I2462">
            <v>0</v>
          </cell>
          <cell r="J2462">
            <v>39000</v>
          </cell>
          <cell r="K2462">
            <v>0</v>
          </cell>
          <cell r="L2462">
            <v>39000</v>
          </cell>
          <cell r="M2462">
            <v>0</v>
          </cell>
          <cell r="N2462">
            <v>39000</v>
          </cell>
          <cell r="O2462">
            <v>0</v>
          </cell>
          <cell r="P2462">
            <v>39000</v>
          </cell>
          <cell r="Q2462">
            <v>0</v>
          </cell>
          <cell r="R2462">
            <v>39000</v>
          </cell>
          <cell r="S2462">
            <v>0</v>
          </cell>
          <cell r="T2462">
            <v>39000</v>
          </cell>
          <cell r="U2462">
            <v>0</v>
          </cell>
          <cell r="V2462">
            <v>39000</v>
          </cell>
          <cell r="W2462">
            <v>0</v>
          </cell>
          <cell r="X2462">
            <v>39000</v>
          </cell>
          <cell r="Y2462">
            <v>0</v>
          </cell>
          <cell r="Z2462">
            <v>39000</v>
          </cell>
          <cell r="AA2462">
            <v>0</v>
          </cell>
          <cell r="AB2462">
            <v>0</v>
          </cell>
          <cell r="AC2462">
            <v>0</v>
          </cell>
          <cell r="AD2462">
            <v>0.16200000000000001</v>
          </cell>
          <cell r="AE2462">
            <v>0</v>
          </cell>
          <cell r="AF2462">
            <v>0</v>
          </cell>
          <cell r="AG2462">
            <v>0</v>
          </cell>
          <cell r="AH2462">
            <v>4.4000000000000004</v>
          </cell>
          <cell r="AI2462">
            <v>0.64700000000000002</v>
          </cell>
          <cell r="AJ2462">
            <v>1</v>
          </cell>
          <cell r="AK2462">
            <v>6.8</v>
          </cell>
          <cell r="AL2462">
            <v>0</v>
          </cell>
        </row>
        <row r="2463">
          <cell r="E2463" t="str">
            <v>Xh1F-BLe60</v>
          </cell>
          <cell r="F2463" t="str">
            <v>台</v>
          </cell>
          <cell r="G2463">
            <v>0</v>
          </cell>
          <cell r="H2463">
            <v>71900</v>
          </cell>
          <cell r="I2463">
            <v>0</v>
          </cell>
          <cell r="J2463">
            <v>71900</v>
          </cell>
          <cell r="K2463">
            <v>0</v>
          </cell>
          <cell r="L2463">
            <v>71900</v>
          </cell>
          <cell r="M2463">
            <v>0</v>
          </cell>
          <cell r="N2463">
            <v>71900</v>
          </cell>
          <cell r="O2463">
            <v>0</v>
          </cell>
          <cell r="P2463">
            <v>71900</v>
          </cell>
          <cell r="Q2463">
            <v>0</v>
          </cell>
          <cell r="R2463">
            <v>71900</v>
          </cell>
          <cell r="S2463">
            <v>0</v>
          </cell>
          <cell r="T2463">
            <v>71900</v>
          </cell>
          <cell r="U2463">
            <v>0</v>
          </cell>
          <cell r="V2463">
            <v>71900</v>
          </cell>
          <cell r="W2463">
            <v>0</v>
          </cell>
          <cell r="X2463">
            <v>71900</v>
          </cell>
          <cell r="Y2463">
            <v>0</v>
          </cell>
          <cell r="Z2463">
            <v>71900</v>
          </cell>
          <cell r="AA2463">
            <v>0</v>
          </cell>
          <cell r="AB2463">
            <v>0</v>
          </cell>
          <cell r="AC2463">
            <v>0</v>
          </cell>
          <cell r="AD2463">
            <v>0.16200000000000001</v>
          </cell>
          <cell r="AE2463">
            <v>0</v>
          </cell>
          <cell r="AF2463">
            <v>0</v>
          </cell>
          <cell r="AG2463">
            <v>0</v>
          </cell>
          <cell r="AH2463">
            <v>5.4</v>
          </cell>
          <cell r="AI2463">
            <v>0.73</v>
          </cell>
          <cell r="AJ2463">
            <v>1</v>
          </cell>
          <cell r="AK2463">
            <v>7.39</v>
          </cell>
          <cell r="AL2463">
            <v>0</v>
          </cell>
        </row>
        <row r="2464">
          <cell r="E2464" t="str">
            <v>Xh1F-BHe</v>
          </cell>
          <cell r="F2464" t="str">
            <v>台</v>
          </cell>
          <cell r="G2464">
            <v>0</v>
          </cell>
          <cell r="H2464">
            <v>47400</v>
          </cell>
          <cell r="I2464">
            <v>0</v>
          </cell>
          <cell r="J2464">
            <v>47400</v>
          </cell>
          <cell r="K2464">
            <v>0</v>
          </cell>
          <cell r="L2464">
            <v>47400</v>
          </cell>
          <cell r="M2464">
            <v>0</v>
          </cell>
          <cell r="N2464">
            <v>47400</v>
          </cell>
          <cell r="O2464">
            <v>0</v>
          </cell>
          <cell r="P2464">
            <v>47400</v>
          </cell>
          <cell r="Q2464">
            <v>0</v>
          </cell>
          <cell r="R2464">
            <v>47400</v>
          </cell>
          <cell r="S2464">
            <v>0</v>
          </cell>
          <cell r="T2464">
            <v>47400</v>
          </cell>
          <cell r="U2464">
            <v>0</v>
          </cell>
          <cell r="V2464">
            <v>47400</v>
          </cell>
          <cell r="W2464">
            <v>0</v>
          </cell>
          <cell r="X2464">
            <v>47400</v>
          </cell>
          <cell r="Y2464">
            <v>0</v>
          </cell>
          <cell r="Z2464">
            <v>47400</v>
          </cell>
          <cell r="AA2464">
            <v>0</v>
          </cell>
          <cell r="AB2464">
            <v>0</v>
          </cell>
          <cell r="AC2464">
            <v>0</v>
          </cell>
          <cell r="AD2464">
            <v>0.16200000000000001</v>
          </cell>
          <cell r="AE2464">
            <v>0</v>
          </cell>
          <cell r="AF2464">
            <v>0</v>
          </cell>
          <cell r="AG2464">
            <v>0</v>
          </cell>
          <cell r="AH2464">
            <v>5.4</v>
          </cell>
          <cell r="AI2464">
            <v>0.64300000000000002</v>
          </cell>
          <cell r="AJ2464">
            <v>1</v>
          </cell>
          <cell r="AK2464">
            <v>8.39</v>
          </cell>
          <cell r="AL2464">
            <v>0</v>
          </cell>
        </row>
        <row r="2465">
          <cell r="E2465" t="str">
            <v>Xh1F-BHe60</v>
          </cell>
          <cell r="F2465" t="str">
            <v>台</v>
          </cell>
          <cell r="G2465">
            <v>0</v>
          </cell>
          <cell r="H2465">
            <v>80300</v>
          </cell>
          <cell r="I2465">
            <v>0</v>
          </cell>
          <cell r="J2465">
            <v>80300</v>
          </cell>
          <cell r="K2465">
            <v>0</v>
          </cell>
          <cell r="L2465">
            <v>80300</v>
          </cell>
          <cell r="M2465">
            <v>0</v>
          </cell>
          <cell r="N2465">
            <v>80300</v>
          </cell>
          <cell r="O2465">
            <v>0</v>
          </cell>
          <cell r="P2465">
            <v>80300</v>
          </cell>
          <cell r="Q2465">
            <v>0</v>
          </cell>
          <cell r="R2465">
            <v>80300</v>
          </cell>
          <cell r="S2465">
            <v>0</v>
          </cell>
          <cell r="T2465">
            <v>80300</v>
          </cell>
          <cell r="U2465">
            <v>0</v>
          </cell>
          <cell r="V2465">
            <v>80300</v>
          </cell>
          <cell r="W2465">
            <v>0</v>
          </cell>
          <cell r="X2465">
            <v>80300</v>
          </cell>
          <cell r="Y2465">
            <v>0</v>
          </cell>
          <cell r="Z2465">
            <v>80300</v>
          </cell>
          <cell r="AA2465">
            <v>0</v>
          </cell>
          <cell r="AB2465">
            <v>0</v>
          </cell>
          <cell r="AC2465">
            <v>0</v>
          </cell>
          <cell r="AD2465">
            <v>0.16200000000000001</v>
          </cell>
          <cell r="AE2465">
            <v>0</v>
          </cell>
          <cell r="AF2465">
            <v>0</v>
          </cell>
          <cell r="AG2465">
            <v>0</v>
          </cell>
          <cell r="AH2465">
            <v>6.3</v>
          </cell>
          <cell r="AI2465">
            <v>0.7</v>
          </cell>
          <cell r="AJ2465">
            <v>1</v>
          </cell>
          <cell r="AK2465">
            <v>9</v>
          </cell>
          <cell r="AL2465">
            <v>0</v>
          </cell>
        </row>
        <row r="2466">
          <cell r="E2466" t="str">
            <v>■避難口(両面直付)</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row>
        <row r="2467">
          <cell r="E2467" t="str">
            <v>Xh2-Ce</v>
          </cell>
          <cell r="F2467" t="str">
            <v>台</v>
          </cell>
          <cell r="G2467">
            <v>0</v>
          </cell>
          <cell r="H2467">
            <v>11600</v>
          </cell>
          <cell r="I2467">
            <v>0</v>
          </cell>
          <cell r="J2467">
            <v>11600</v>
          </cell>
          <cell r="K2467">
            <v>0</v>
          </cell>
          <cell r="L2467">
            <v>11600</v>
          </cell>
          <cell r="M2467">
            <v>0</v>
          </cell>
          <cell r="N2467">
            <v>11600</v>
          </cell>
          <cell r="O2467">
            <v>0</v>
          </cell>
          <cell r="P2467">
            <v>11600</v>
          </cell>
          <cell r="Q2467">
            <v>0</v>
          </cell>
          <cell r="R2467">
            <v>11600</v>
          </cell>
          <cell r="S2467">
            <v>0</v>
          </cell>
          <cell r="T2467">
            <v>11600</v>
          </cell>
          <cell r="U2467">
            <v>0</v>
          </cell>
          <cell r="V2467">
            <v>11600</v>
          </cell>
          <cell r="W2467">
            <v>0</v>
          </cell>
          <cell r="X2467">
            <v>11600</v>
          </cell>
          <cell r="Y2467">
            <v>0</v>
          </cell>
          <cell r="Z2467">
            <v>11600</v>
          </cell>
          <cell r="AA2467">
            <v>0</v>
          </cell>
          <cell r="AB2467">
            <v>0</v>
          </cell>
          <cell r="AC2467">
            <v>0</v>
          </cell>
          <cell r="AD2467">
            <v>0.14099999999999999</v>
          </cell>
          <cell r="AE2467">
            <v>0</v>
          </cell>
          <cell r="AF2467">
            <v>0</v>
          </cell>
          <cell r="AG2467">
            <v>0</v>
          </cell>
          <cell r="AH2467">
            <v>2.6</v>
          </cell>
          <cell r="AI2467">
            <v>0.49099999999999999</v>
          </cell>
          <cell r="AJ2467">
            <v>1</v>
          </cell>
          <cell r="AK2467">
            <v>5.29</v>
          </cell>
          <cell r="AL2467">
            <v>0</v>
          </cell>
        </row>
        <row r="2468">
          <cell r="E2468" t="str">
            <v>Xh2-Ce60</v>
          </cell>
          <cell r="F2468" t="str">
            <v>台</v>
          </cell>
          <cell r="G2468">
            <v>0</v>
          </cell>
          <cell r="H2468">
            <v>26700</v>
          </cell>
          <cell r="I2468">
            <v>0</v>
          </cell>
          <cell r="J2468">
            <v>26700</v>
          </cell>
          <cell r="K2468">
            <v>0</v>
          </cell>
          <cell r="L2468">
            <v>26700</v>
          </cell>
          <cell r="M2468">
            <v>0</v>
          </cell>
          <cell r="N2468">
            <v>26700</v>
          </cell>
          <cell r="O2468">
            <v>0</v>
          </cell>
          <cell r="P2468">
            <v>26700</v>
          </cell>
          <cell r="Q2468">
            <v>0</v>
          </cell>
          <cell r="R2468">
            <v>26700</v>
          </cell>
          <cell r="S2468">
            <v>0</v>
          </cell>
          <cell r="T2468">
            <v>26700</v>
          </cell>
          <cell r="U2468">
            <v>0</v>
          </cell>
          <cell r="V2468">
            <v>26700</v>
          </cell>
          <cell r="W2468">
            <v>0</v>
          </cell>
          <cell r="X2468">
            <v>26700</v>
          </cell>
          <cell r="Y2468">
            <v>0</v>
          </cell>
          <cell r="Z2468">
            <v>26700</v>
          </cell>
          <cell r="AA2468">
            <v>0</v>
          </cell>
          <cell r="AB2468">
            <v>0</v>
          </cell>
          <cell r="AC2468">
            <v>0</v>
          </cell>
          <cell r="AD2468">
            <v>0.14099999999999999</v>
          </cell>
          <cell r="AE2468">
            <v>0</v>
          </cell>
          <cell r="AF2468">
            <v>0</v>
          </cell>
          <cell r="AG2468">
            <v>0</v>
          </cell>
          <cell r="AH2468">
            <v>2.6</v>
          </cell>
          <cell r="AI2468">
            <v>0.49099999999999999</v>
          </cell>
          <cell r="AJ2468">
            <v>1</v>
          </cell>
          <cell r="AK2468">
            <v>5.29</v>
          </cell>
          <cell r="AL2468">
            <v>0</v>
          </cell>
        </row>
        <row r="2469">
          <cell r="E2469" t="str">
            <v>Xh2-BLe</v>
          </cell>
          <cell r="F2469" t="str">
            <v>台</v>
          </cell>
          <cell r="G2469">
            <v>0</v>
          </cell>
          <cell r="H2469">
            <v>17200</v>
          </cell>
          <cell r="I2469">
            <v>0</v>
          </cell>
          <cell r="J2469">
            <v>17200</v>
          </cell>
          <cell r="K2469">
            <v>0</v>
          </cell>
          <cell r="L2469">
            <v>17200</v>
          </cell>
          <cell r="M2469">
            <v>0</v>
          </cell>
          <cell r="N2469">
            <v>17200</v>
          </cell>
          <cell r="O2469">
            <v>0</v>
          </cell>
          <cell r="P2469">
            <v>17200</v>
          </cell>
          <cell r="Q2469">
            <v>0</v>
          </cell>
          <cell r="R2469">
            <v>17200</v>
          </cell>
          <cell r="S2469">
            <v>0</v>
          </cell>
          <cell r="T2469">
            <v>17200</v>
          </cell>
          <cell r="U2469">
            <v>0</v>
          </cell>
          <cell r="V2469">
            <v>17200</v>
          </cell>
          <cell r="W2469">
            <v>0</v>
          </cell>
          <cell r="X2469">
            <v>17200</v>
          </cell>
          <cell r="Y2469">
            <v>0</v>
          </cell>
          <cell r="Z2469">
            <v>17200</v>
          </cell>
          <cell r="AA2469">
            <v>0</v>
          </cell>
          <cell r="AB2469">
            <v>0</v>
          </cell>
          <cell r="AC2469">
            <v>0</v>
          </cell>
          <cell r="AD2469">
            <v>0.16200000000000001</v>
          </cell>
          <cell r="AE2469">
            <v>0</v>
          </cell>
          <cell r="AF2469">
            <v>0</v>
          </cell>
          <cell r="AG2469">
            <v>0</v>
          </cell>
          <cell r="AH2469">
            <v>3.6</v>
          </cell>
          <cell r="AI2469">
            <v>0.52900000000000003</v>
          </cell>
          <cell r="AJ2469">
            <v>1</v>
          </cell>
          <cell r="AK2469">
            <v>6.8</v>
          </cell>
          <cell r="AL2469">
            <v>0</v>
          </cell>
        </row>
        <row r="2470">
          <cell r="E2470" t="str">
            <v>Xh2-BLe60</v>
          </cell>
          <cell r="F2470" t="str">
            <v>台</v>
          </cell>
          <cell r="G2470">
            <v>0</v>
          </cell>
          <cell r="H2470">
            <v>31200</v>
          </cell>
          <cell r="I2470">
            <v>0</v>
          </cell>
          <cell r="J2470">
            <v>31200</v>
          </cell>
          <cell r="K2470">
            <v>0</v>
          </cell>
          <cell r="L2470">
            <v>31200</v>
          </cell>
          <cell r="M2470">
            <v>0</v>
          </cell>
          <cell r="N2470">
            <v>31200</v>
          </cell>
          <cell r="O2470">
            <v>0</v>
          </cell>
          <cell r="P2470">
            <v>31200</v>
          </cell>
          <cell r="Q2470">
            <v>0</v>
          </cell>
          <cell r="R2470">
            <v>31200</v>
          </cell>
          <cell r="S2470">
            <v>0</v>
          </cell>
          <cell r="T2470">
            <v>31200</v>
          </cell>
          <cell r="U2470">
            <v>0</v>
          </cell>
          <cell r="V2470">
            <v>31200</v>
          </cell>
          <cell r="W2470">
            <v>0</v>
          </cell>
          <cell r="X2470">
            <v>31200</v>
          </cell>
          <cell r="Y2470">
            <v>0</v>
          </cell>
          <cell r="Z2470">
            <v>31200</v>
          </cell>
          <cell r="AA2470">
            <v>0</v>
          </cell>
          <cell r="AB2470">
            <v>0</v>
          </cell>
          <cell r="AC2470">
            <v>0</v>
          </cell>
          <cell r="AD2470">
            <v>0.16200000000000001</v>
          </cell>
          <cell r="AE2470">
            <v>0</v>
          </cell>
          <cell r="AF2470">
            <v>0</v>
          </cell>
          <cell r="AG2470">
            <v>0</v>
          </cell>
          <cell r="AH2470">
            <v>3.7</v>
          </cell>
          <cell r="AI2470">
            <v>0.52100000000000002</v>
          </cell>
          <cell r="AJ2470">
            <v>1</v>
          </cell>
          <cell r="AK2470">
            <v>7.1</v>
          </cell>
          <cell r="AL2470">
            <v>0</v>
          </cell>
        </row>
        <row r="2471">
          <cell r="E2471" t="str">
            <v>Xh2-BHe</v>
          </cell>
          <cell r="F2471" t="str">
            <v>台</v>
          </cell>
          <cell r="G2471">
            <v>0</v>
          </cell>
          <cell r="H2471">
            <v>27300</v>
          </cell>
          <cell r="I2471">
            <v>0</v>
          </cell>
          <cell r="J2471">
            <v>27300</v>
          </cell>
          <cell r="K2471">
            <v>0</v>
          </cell>
          <cell r="L2471">
            <v>27300</v>
          </cell>
          <cell r="M2471">
            <v>0</v>
          </cell>
          <cell r="N2471">
            <v>27300</v>
          </cell>
          <cell r="O2471">
            <v>0</v>
          </cell>
          <cell r="P2471">
            <v>27300</v>
          </cell>
          <cell r="Q2471">
            <v>0</v>
          </cell>
          <cell r="R2471">
            <v>27300</v>
          </cell>
          <cell r="S2471">
            <v>0</v>
          </cell>
          <cell r="T2471">
            <v>27300</v>
          </cell>
          <cell r="U2471">
            <v>0</v>
          </cell>
          <cell r="V2471">
            <v>27300</v>
          </cell>
          <cell r="W2471">
            <v>0</v>
          </cell>
          <cell r="X2471">
            <v>27300</v>
          </cell>
          <cell r="Y2471">
            <v>0</v>
          </cell>
          <cell r="Z2471">
            <v>27300</v>
          </cell>
          <cell r="AA2471">
            <v>0</v>
          </cell>
          <cell r="AB2471">
            <v>0</v>
          </cell>
          <cell r="AC2471">
            <v>0</v>
          </cell>
          <cell r="AD2471">
            <v>0.16200000000000001</v>
          </cell>
          <cell r="AE2471">
            <v>0</v>
          </cell>
          <cell r="AF2471">
            <v>0</v>
          </cell>
          <cell r="AG2471">
            <v>0</v>
          </cell>
          <cell r="AH2471">
            <v>5.4</v>
          </cell>
          <cell r="AI2471">
            <v>0.54</v>
          </cell>
          <cell r="AJ2471">
            <v>1</v>
          </cell>
          <cell r="AK2471">
            <v>10</v>
          </cell>
          <cell r="AL2471">
            <v>0</v>
          </cell>
        </row>
        <row r="2472">
          <cell r="E2472" t="str">
            <v>Xh2-BHe60</v>
          </cell>
          <cell r="F2472" t="str">
            <v>台</v>
          </cell>
          <cell r="G2472">
            <v>0</v>
          </cell>
          <cell r="H2472">
            <v>41200</v>
          </cell>
          <cell r="I2472">
            <v>0</v>
          </cell>
          <cell r="J2472">
            <v>41200</v>
          </cell>
          <cell r="K2472">
            <v>0</v>
          </cell>
          <cell r="L2472">
            <v>41200</v>
          </cell>
          <cell r="M2472">
            <v>0</v>
          </cell>
          <cell r="N2472">
            <v>41200</v>
          </cell>
          <cell r="O2472">
            <v>0</v>
          </cell>
          <cell r="P2472">
            <v>41200</v>
          </cell>
          <cell r="Q2472">
            <v>0</v>
          </cell>
          <cell r="R2472">
            <v>41200</v>
          </cell>
          <cell r="S2472">
            <v>0</v>
          </cell>
          <cell r="T2472">
            <v>41200</v>
          </cell>
          <cell r="U2472">
            <v>0</v>
          </cell>
          <cell r="V2472">
            <v>41200</v>
          </cell>
          <cell r="W2472">
            <v>0</v>
          </cell>
          <cell r="X2472">
            <v>41200</v>
          </cell>
          <cell r="Y2472">
            <v>0</v>
          </cell>
          <cell r="Z2472">
            <v>41200</v>
          </cell>
          <cell r="AA2472">
            <v>0</v>
          </cell>
          <cell r="AB2472">
            <v>0</v>
          </cell>
          <cell r="AC2472">
            <v>0</v>
          </cell>
          <cell r="AD2472">
            <v>0.16200000000000001</v>
          </cell>
          <cell r="AE2472">
            <v>0</v>
          </cell>
          <cell r="AF2472">
            <v>0</v>
          </cell>
          <cell r="AG2472">
            <v>0</v>
          </cell>
          <cell r="AH2472">
            <v>5.5</v>
          </cell>
          <cell r="AI2472">
            <v>0.55000000000000004</v>
          </cell>
          <cell r="AJ2472">
            <v>1</v>
          </cell>
          <cell r="AK2472">
            <v>10</v>
          </cell>
          <cell r="AL2472">
            <v>0</v>
          </cell>
        </row>
        <row r="2473">
          <cell r="E2473" t="str">
            <v>Xh2-Ae</v>
          </cell>
          <cell r="F2473" t="str">
            <v>台</v>
          </cell>
          <cell r="G2473">
            <v>0</v>
          </cell>
          <cell r="H2473">
            <v>75200</v>
          </cell>
          <cell r="I2473">
            <v>0</v>
          </cell>
          <cell r="J2473">
            <v>75200</v>
          </cell>
          <cell r="K2473">
            <v>0</v>
          </cell>
          <cell r="L2473">
            <v>75200</v>
          </cell>
          <cell r="M2473">
            <v>0</v>
          </cell>
          <cell r="N2473">
            <v>75200</v>
          </cell>
          <cell r="O2473">
            <v>0</v>
          </cell>
          <cell r="P2473">
            <v>75200</v>
          </cell>
          <cell r="Q2473">
            <v>0</v>
          </cell>
          <cell r="R2473">
            <v>75200</v>
          </cell>
          <cell r="S2473">
            <v>0</v>
          </cell>
          <cell r="T2473">
            <v>75200</v>
          </cell>
          <cell r="U2473">
            <v>0</v>
          </cell>
          <cell r="V2473">
            <v>75200</v>
          </cell>
          <cell r="W2473">
            <v>0</v>
          </cell>
          <cell r="X2473">
            <v>75200</v>
          </cell>
          <cell r="Y2473">
            <v>0</v>
          </cell>
          <cell r="Z2473">
            <v>75200</v>
          </cell>
          <cell r="AA2473">
            <v>0</v>
          </cell>
          <cell r="AB2473">
            <v>0</v>
          </cell>
          <cell r="AC2473">
            <v>0</v>
          </cell>
          <cell r="AD2473">
            <v>0.26100000000000001</v>
          </cell>
          <cell r="AE2473">
            <v>0</v>
          </cell>
          <cell r="AF2473">
            <v>0</v>
          </cell>
          <cell r="AG2473">
            <v>0</v>
          </cell>
          <cell r="AH2473">
            <v>10.7</v>
          </cell>
          <cell r="AI2473">
            <v>0.53500000000000003</v>
          </cell>
          <cell r="AJ2473">
            <v>1</v>
          </cell>
          <cell r="AK2473">
            <v>20</v>
          </cell>
          <cell r="AL2473">
            <v>0</v>
          </cell>
        </row>
        <row r="2474">
          <cell r="E2474" t="str">
            <v>Xh2AF-BLe</v>
          </cell>
          <cell r="F2474" t="str">
            <v>台</v>
          </cell>
          <cell r="G2474">
            <v>0</v>
          </cell>
          <cell r="H2474">
            <v>64300</v>
          </cell>
          <cell r="I2474">
            <v>0</v>
          </cell>
          <cell r="J2474">
            <v>64300</v>
          </cell>
          <cell r="K2474">
            <v>0</v>
          </cell>
          <cell r="L2474">
            <v>64300</v>
          </cell>
          <cell r="M2474">
            <v>0</v>
          </cell>
          <cell r="N2474">
            <v>64300</v>
          </cell>
          <cell r="O2474">
            <v>0</v>
          </cell>
          <cell r="P2474">
            <v>64300</v>
          </cell>
          <cell r="Q2474">
            <v>0</v>
          </cell>
          <cell r="R2474">
            <v>64300</v>
          </cell>
          <cell r="S2474">
            <v>0</v>
          </cell>
          <cell r="T2474">
            <v>64300</v>
          </cell>
          <cell r="U2474">
            <v>0</v>
          </cell>
          <cell r="V2474">
            <v>64300</v>
          </cell>
          <cell r="W2474">
            <v>0</v>
          </cell>
          <cell r="X2474">
            <v>64300</v>
          </cell>
          <cell r="Y2474">
            <v>0</v>
          </cell>
          <cell r="Z2474">
            <v>64300</v>
          </cell>
          <cell r="AA2474">
            <v>0</v>
          </cell>
          <cell r="AB2474">
            <v>0</v>
          </cell>
          <cell r="AC2474">
            <v>0</v>
          </cell>
          <cell r="AD2474">
            <v>0.16200000000000001</v>
          </cell>
          <cell r="AE2474">
            <v>0</v>
          </cell>
          <cell r="AF2474">
            <v>0</v>
          </cell>
          <cell r="AG2474">
            <v>0</v>
          </cell>
          <cell r="AH2474">
            <v>4.5999999999999996</v>
          </cell>
          <cell r="AI2474">
            <v>0.63900000000000001</v>
          </cell>
          <cell r="AJ2474">
            <v>1</v>
          </cell>
          <cell r="AK2474">
            <v>7.19</v>
          </cell>
          <cell r="AL2474">
            <v>0</v>
          </cell>
        </row>
        <row r="2475">
          <cell r="E2475" t="str">
            <v>Xh2AF-BHe</v>
          </cell>
          <cell r="F2475" t="str">
            <v>台</v>
          </cell>
          <cell r="G2475">
            <v>0</v>
          </cell>
          <cell r="H2475">
            <v>79700</v>
          </cell>
          <cell r="I2475">
            <v>0</v>
          </cell>
          <cell r="J2475">
            <v>79700</v>
          </cell>
          <cell r="K2475">
            <v>0</v>
          </cell>
          <cell r="L2475">
            <v>79700</v>
          </cell>
          <cell r="M2475">
            <v>0</v>
          </cell>
          <cell r="N2475">
            <v>79700</v>
          </cell>
          <cell r="O2475">
            <v>0</v>
          </cell>
          <cell r="P2475">
            <v>79700</v>
          </cell>
          <cell r="Q2475">
            <v>0</v>
          </cell>
          <cell r="R2475">
            <v>79700</v>
          </cell>
          <cell r="S2475">
            <v>0</v>
          </cell>
          <cell r="T2475">
            <v>79700</v>
          </cell>
          <cell r="U2475">
            <v>0</v>
          </cell>
          <cell r="V2475">
            <v>79700</v>
          </cell>
          <cell r="W2475">
            <v>0</v>
          </cell>
          <cell r="X2475">
            <v>79700</v>
          </cell>
          <cell r="Y2475">
            <v>0</v>
          </cell>
          <cell r="Z2475">
            <v>79700</v>
          </cell>
          <cell r="AA2475">
            <v>0</v>
          </cell>
          <cell r="AB2475">
            <v>0</v>
          </cell>
          <cell r="AC2475">
            <v>0</v>
          </cell>
          <cell r="AD2475">
            <v>0.16200000000000001</v>
          </cell>
          <cell r="AE2475">
            <v>0</v>
          </cell>
          <cell r="AF2475">
            <v>0</v>
          </cell>
          <cell r="AG2475">
            <v>0</v>
          </cell>
          <cell r="AH2475">
            <v>5.6</v>
          </cell>
          <cell r="AI2475">
            <v>0.63600000000000001</v>
          </cell>
          <cell r="AJ2475">
            <v>1</v>
          </cell>
          <cell r="AK2475">
            <v>8.8000000000000007</v>
          </cell>
          <cell r="AL2475">
            <v>0</v>
          </cell>
        </row>
        <row r="2476">
          <cell r="E2476" t="str">
            <v>Xh2F-BLe</v>
          </cell>
          <cell r="F2476" t="str">
            <v>台</v>
          </cell>
          <cell r="G2476">
            <v>0</v>
          </cell>
          <cell r="H2476">
            <v>49700</v>
          </cell>
          <cell r="I2476">
            <v>0</v>
          </cell>
          <cell r="J2476">
            <v>49700</v>
          </cell>
          <cell r="K2476">
            <v>0</v>
          </cell>
          <cell r="L2476">
            <v>49700</v>
          </cell>
          <cell r="M2476">
            <v>0</v>
          </cell>
          <cell r="N2476">
            <v>49700</v>
          </cell>
          <cell r="O2476">
            <v>0</v>
          </cell>
          <cell r="P2476">
            <v>49700</v>
          </cell>
          <cell r="Q2476">
            <v>0</v>
          </cell>
          <cell r="R2476">
            <v>49700</v>
          </cell>
          <cell r="S2476">
            <v>0</v>
          </cell>
          <cell r="T2476">
            <v>49700</v>
          </cell>
          <cell r="U2476">
            <v>0</v>
          </cell>
          <cell r="V2476">
            <v>49700</v>
          </cell>
          <cell r="W2476">
            <v>0</v>
          </cell>
          <cell r="X2476">
            <v>49700</v>
          </cell>
          <cell r="Y2476">
            <v>0</v>
          </cell>
          <cell r="Z2476">
            <v>49700</v>
          </cell>
          <cell r="AA2476">
            <v>0</v>
          </cell>
          <cell r="AB2476">
            <v>0</v>
          </cell>
          <cell r="AC2476">
            <v>0</v>
          </cell>
          <cell r="AD2476">
            <v>0.16200000000000001</v>
          </cell>
          <cell r="AE2476">
            <v>0</v>
          </cell>
          <cell r="AF2476">
            <v>0</v>
          </cell>
          <cell r="AG2476">
            <v>0</v>
          </cell>
          <cell r="AH2476">
            <v>5.4</v>
          </cell>
          <cell r="AI2476">
            <v>0.623</v>
          </cell>
          <cell r="AJ2476">
            <v>1</v>
          </cell>
          <cell r="AK2476">
            <v>8.66</v>
          </cell>
          <cell r="AL2476">
            <v>0</v>
          </cell>
        </row>
        <row r="2477">
          <cell r="E2477" t="str">
            <v>Xh2F-BHe</v>
          </cell>
          <cell r="F2477" t="str">
            <v>台</v>
          </cell>
          <cell r="G2477">
            <v>0</v>
          </cell>
          <cell r="H2477">
            <v>59000</v>
          </cell>
          <cell r="I2477">
            <v>0</v>
          </cell>
          <cell r="J2477">
            <v>59000</v>
          </cell>
          <cell r="K2477">
            <v>0</v>
          </cell>
          <cell r="L2477">
            <v>59000</v>
          </cell>
          <cell r="M2477">
            <v>0</v>
          </cell>
          <cell r="N2477">
            <v>59000</v>
          </cell>
          <cell r="O2477">
            <v>0</v>
          </cell>
          <cell r="P2477">
            <v>59000</v>
          </cell>
          <cell r="Q2477">
            <v>0</v>
          </cell>
          <cell r="R2477">
            <v>59000</v>
          </cell>
          <cell r="S2477">
            <v>0</v>
          </cell>
          <cell r="T2477">
            <v>59000</v>
          </cell>
          <cell r="U2477">
            <v>0</v>
          </cell>
          <cell r="V2477">
            <v>59000</v>
          </cell>
          <cell r="W2477">
            <v>0</v>
          </cell>
          <cell r="X2477">
            <v>59000</v>
          </cell>
          <cell r="Y2477">
            <v>0</v>
          </cell>
          <cell r="Z2477">
            <v>59000</v>
          </cell>
          <cell r="AA2477">
            <v>0</v>
          </cell>
          <cell r="AB2477">
            <v>0</v>
          </cell>
          <cell r="AC2477">
            <v>0</v>
          </cell>
          <cell r="AD2477">
            <v>0.16200000000000001</v>
          </cell>
          <cell r="AE2477">
            <v>0</v>
          </cell>
          <cell r="AF2477">
            <v>0</v>
          </cell>
          <cell r="AG2477">
            <v>0</v>
          </cell>
          <cell r="AH2477">
            <v>7.2</v>
          </cell>
          <cell r="AI2477">
            <v>0.63200000000000001</v>
          </cell>
          <cell r="AJ2477">
            <v>1</v>
          </cell>
          <cell r="AK2477">
            <v>11.39</v>
          </cell>
          <cell r="AL2477">
            <v>0</v>
          </cell>
        </row>
        <row r="2478">
          <cell r="E2478" t="str">
            <v>■通路(壁埋込)</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row>
        <row r="2479">
          <cell r="E2479" t="str">
            <v>Ya1-Ce</v>
          </cell>
          <cell r="F2479" t="str">
            <v>台</v>
          </cell>
          <cell r="G2479">
            <v>0</v>
          </cell>
          <cell r="H2479">
            <v>13600</v>
          </cell>
          <cell r="I2479">
            <v>0</v>
          </cell>
          <cell r="J2479">
            <v>13600</v>
          </cell>
          <cell r="K2479">
            <v>0</v>
          </cell>
          <cell r="L2479">
            <v>13600</v>
          </cell>
          <cell r="M2479">
            <v>0</v>
          </cell>
          <cell r="N2479">
            <v>13600</v>
          </cell>
          <cell r="O2479">
            <v>0</v>
          </cell>
          <cell r="P2479">
            <v>13600</v>
          </cell>
          <cell r="Q2479">
            <v>0</v>
          </cell>
          <cell r="R2479">
            <v>13600</v>
          </cell>
          <cell r="S2479">
            <v>0</v>
          </cell>
          <cell r="T2479">
            <v>13600</v>
          </cell>
          <cell r="U2479">
            <v>0</v>
          </cell>
          <cell r="V2479">
            <v>13600</v>
          </cell>
          <cell r="W2479">
            <v>0</v>
          </cell>
          <cell r="X2479">
            <v>13600</v>
          </cell>
          <cell r="Y2479">
            <v>0</v>
          </cell>
          <cell r="Z2479">
            <v>13600</v>
          </cell>
          <cell r="AA2479">
            <v>0</v>
          </cell>
          <cell r="AB2479">
            <v>0</v>
          </cell>
          <cell r="AC2479">
            <v>0</v>
          </cell>
          <cell r="AD2479">
            <v>0.217</v>
          </cell>
          <cell r="AE2479">
            <v>0</v>
          </cell>
          <cell r="AF2479">
            <v>0</v>
          </cell>
          <cell r="AG2479">
            <v>0</v>
          </cell>
          <cell r="AH2479">
            <v>1.9</v>
          </cell>
          <cell r="AI2479">
            <v>0.47499999999999998</v>
          </cell>
          <cell r="AJ2479">
            <v>1</v>
          </cell>
          <cell r="AK2479">
            <v>4</v>
          </cell>
          <cell r="AL2479">
            <v>0</v>
          </cell>
        </row>
        <row r="2480">
          <cell r="E2480" t="str">
            <v>Ya1-Ce60</v>
          </cell>
          <cell r="F2480" t="str">
            <v>台</v>
          </cell>
          <cell r="G2480">
            <v>0</v>
          </cell>
          <cell r="H2480">
            <v>29100</v>
          </cell>
          <cell r="I2480">
            <v>0</v>
          </cell>
          <cell r="J2480">
            <v>29100</v>
          </cell>
          <cell r="K2480">
            <v>0</v>
          </cell>
          <cell r="L2480">
            <v>29100</v>
          </cell>
          <cell r="M2480">
            <v>0</v>
          </cell>
          <cell r="N2480">
            <v>29100</v>
          </cell>
          <cell r="O2480">
            <v>0</v>
          </cell>
          <cell r="P2480">
            <v>29100</v>
          </cell>
          <cell r="Q2480">
            <v>0</v>
          </cell>
          <cell r="R2480">
            <v>29100</v>
          </cell>
          <cell r="S2480">
            <v>0</v>
          </cell>
          <cell r="T2480">
            <v>29100</v>
          </cell>
          <cell r="U2480">
            <v>0</v>
          </cell>
          <cell r="V2480">
            <v>29100</v>
          </cell>
          <cell r="W2480">
            <v>0</v>
          </cell>
          <cell r="X2480">
            <v>29100</v>
          </cell>
          <cell r="Y2480">
            <v>0</v>
          </cell>
          <cell r="Z2480">
            <v>29100</v>
          </cell>
          <cell r="AA2480">
            <v>0</v>
          </cell>
          <cell r="AB2480">
            <v>0</v>
          </cell>
          <cell r="AC2480">
            <v>0</v>
          </cell>
          <cell r="AD2480">
            <v>0.217</v>
          </cell>
          <cell r="AE2480">
            <v>0</v>
          </cell>
          <cell r="AF2480">
            <v>0</v>
          </cell>
          <cell r="AG2480">
            <v>0</v>
          </cell>
          <cell r="AH2480">
            <v>1.9</v>
          </cell>
          <cell r="AI2480">
            <v>0.46300000000000002</v>
          </cell>
          <cell r="AJ2480">
            <v>1</v>
          </cell>
          <cell r="AK2480">
            <v>4.0999999999999996</v>
          </cell>
          <cell r="AL2480">
            <v>0</v>
          </cell>
        </row>
        <row r="2481">
          <cell r="E2481" t="str">
            <v>Ya1-BLe</v>
          </cell>
          <cell r="F2481" t="str">
            <v>台</v>
          </cell>
          <cell r="G2481">
            <v>0</v>
          </cell>
          <cell r="H2481">
            <v>20000</v>
          </cell>
          <cell r="I2481">
            <v>0</v>
          </cell>
          <cell r="J2481">
            <v>20000</v>
          </cell>
          <cell r="K2481">
            <v>0</v>
          </cell>
          <cell r="L2481">
            <v>20000</v>
          </cell>
          <cell r="M2481">
            <v>0</v>
          </cell>
          <cell r="N2481">
            <v>20000</v>
          </cell>
          <cell r="O2481">
            <v>0</v>
          </cell>
          <cell r="P2481">
            <v>20000</v>
          </cell>
          <cell r="Q2481">
            <v>0</v>
          </cell>
          <cell r="R2481">
            <v>20000</v>
          </cell>
          <cell r="S2481">
            <v>0</v>
          </cell>
          <cell r="T2481">
            <v>20000</v>
          </cell>
          <cell r="U2481">
            <v>0</v>
          </cell>
          <cell r="V2481">
            <v>20000</v>
          </cell>
          <cell r="W2481">
            <v>0</v>
          </cell>
          <cell r="X2481">
            <v>20000</v>
          </cell>
          <cell r="Y2481">
            <v>0</v>
          </cell>
          <cell r="Z2481">
            <v>20000</v>
          </cell>
          <cell r="AA2481">
            <v>0</v>
          </cell>
          <cell r="AB2481">
            <v>0</v>
          </cell>
          <cell r="AC2481">
            <v>0</v>
          </cell>
          <cell r="AD2481">
            <v>0.25</v>
          </cell>
          <cell r="AE2481">
            <v>0</v>
          </cell>
          <cell r="AF2481">
            <v>0</v>
          </cell>
          <cell r="AG2481">
            <v>0</v>
          </cell>
          <cell r="AH2481">
            <v>2.5</v>
          </cell>
          <cell r="AI2481">
            <v>0.49</v>
          </cell>
          <cell r="AJ2481">
            <v>1</v>
          </cell>
          <cell r="AK2481">
            <v>5.0999999999999996</v>
          </cell>
          <cell r="AL2481">
            <v>0</v>
          </cell>
        </row>
        <row r="2482">
          <cell r="E2482" t="str">
            <v>Ya1-BLe60</v>
          </cell>
          <cell r="F2482" t="str">
            <v>台</v>
          </cell>
          <cell r="G2482">
            <v>0</v>
          </cell>
          <cell r="H2482">
            <v>34900</v>
          </cell>
          <cell r="I2482">
            <v>0</v>
          </cell>
          <cell r="J2482">
            <v>34900</v>
          </cell>
          <cell r="K2482">
            <v>0</v>
          </cell>
          <cell r="L2482">
            <v>34900</v>
          </cell>
          <cell r="M2482">
            <v>0</v>
          </cell>
          <cell r="N2482">
            <v>34900</v>
          </cell>
          <cell r="O2482">
            <v>0</v>
          </cell>
          <cell r="P2482">
            <v>34900</v>
          </cell>
          <cell r="Q2482">
            <v>0</v>
          </cell>
          <cell r="R2482">
            <v>34900</v>
          </cell>
          <cell r="S2482">
            <v>0</v>
          </cell>
          <cell r="T2482">
            <v>34900</v>
          </cell>
          <cell r="U2482">
            <v>0</v>
          </cell>
          <cell r="V2482">
            <v>34900</v>
          </cell>
          <cell r="W2482">
            <v>0</v>
          </cell>
          <cell r="X2482">
            <v>34900</v>
          </cell>
          <cell r="Y2482">
            <v>0</v>
          </cell>
          <cell r="Z2482">
            <v>34900</v>
          </cell>
          <cell r="AA2482">
            <v>0</v>
          </cell>
          <cell r="AB2482">
            <v>0</v>
          </cell>
          <cell r="AC2482">
            <v>0</v>
          </cell>
          <cell r="AD2482">
            <v>0.25</v>
          </cell>
          <cell r="AE2482">
            <v>0</v>
          </cell>
          <cell r="AF2482">
            <v>0</v>
          </cell>
          <cell r="AG2482">
            <v>0</v>
          </cell>
          <cell r="AH2482">
            <v>2.6</v>
          </cell>
          <cell r="AI2482">
            <v>0.49099999999999999</v>
          </cell>
          <cell r="AJ2482">
            <v>1</v>
          </cell>
          <cell r="AK2482">
            <v>5.29</v>
          </cell>
          <cell r="AL2482">
            <v>0</v>
          </cell>
        </row>
        <row r="2483">
          <cell r="E2483" t="str">
            <v>Ya1-BHe</v>
          </cell>
          <cell r="F2483" t="str">
            <v>台</v>
          </cell>
          <cell r="G2483">
            <v>0</v>
          </cell>
          <cell r="H2483">
            <v>28800</v>
          </cell>
          <cell r="I2483">
            <v>0</v>
          </cell>
          <cell r="J2483">
            <v>28800</v>
          </cell>
          <cell r="K2483">
            <v>0</v>
          </cell>
          <cell r="L2483">
            <v>28800</v>
          </cell>
          <cell r="M2483">
            <v>0</v>
          </cell>
          <cell r="N2483">
            <v>28800</v>
          </cell>
          <cell r="O2483">
            <v>0</v>
          </cell>
          <cell r="P2483">
            <v>28800</v>
          </cell>
          <cell r="Q2483">
            <v>0</v>
          </cell>
          <cell r="R2483">
            <v>28800</v>
          </cell>
          <cell r="S2483">
            <v>0</v>
          </cell>
          <cell r="T2483">
            <v>28800</v>
          </cell>
          <cell r="U2483">
            <v>0</v>
          </cell>
          <cell r="V2483">
            <v>28800</v>
          </cell>
          <cell r="W2483">
            <v>0</v>
          </cell>
          <cell r="X2483">
            <v>28800</v>
          </cell>
          <cell r="Y2483">
            <v>0</v>
          </cell>
          <cell r="Z2483">
            <v>28800</v>
          </cell>
          <cell r="AA2483">
            <v>0</v>
          </cell>
          <cell r="AB2483">
            <v>0</v>
          </cell>
          <cell r="AC2483">
            <v>0</v>
          </cell>
          <cell r="AD2483">
            <v>0.25</v>
          </cell>
          <cell r="AE2483">
            <v>0</v>
          </cell>
          <cell r="AF2483">
            <v>0</v>
          </cell>
          <cell r="AG2483">
            <v>0</v>
          </cell>
          <cell r="AH2483">
            <v>3.4</v>
          </cell>
          <cell r="AI2483">
            <v>0.50700000000000001</v>
          </cell>
          <cell r="AJ2483">
            <v>1</v>
          </cell>
          <cell r="AK2483">
            <v>6.7</v>
          </cell>
          <cell r="AL2483">
            <v>0</v>
          </cell>
        </row>
        <row r="2484">
          <cell r="E2484" t="str">
            <v>Ya1-BHe60</v>
          </cell>
          <cell r="F2484" t="str">
            <v>台</v>
          </cell>
          <cell r="G2484">
            <v>0</v>
          </cell>
          <cell r="H2484">
            <v>44000</v>
          </cell>
          <cell r="I2484">
            <v>0</v>
          </cell>
          <cell r="J2484">
            <v>44000</v>
          </cell>
          <cell r="K2484">
            <v>0</v>
          </cell>
          <cell r="L2484">
            <v>44000</v>
          </cell>
          <cell r="M2484">
            <v>0</v>
          </cell>
          <cell r="N2484">
            <v>44000</v>
          </cell>
          <cell r="O2484">
            <v>0</v>
          </cell>
          <cell r="P2484">
            <v>44000</v>
          </cell>
          <cell r="Q2484">
            <v>0</v>
          </cell>
          <cell r="R2484">
            <v>44000</v>
          </cell>
          <cell r="S2484">
            <v>0</v>
          </cell>
          <cell r="T2484">
            <v>44000</v>
          </cell>
          <cell r="U2484">
            <v>0</v>
          </cell>
          <cell r="V2484">
            <v>44000</v>
          </cell>
          <cell r="W2484">
            <v>0</v>
          </cell>
          <cell r="X2484">
            <v>44000</v>
          </cell>
          <cell r="Y2484">
            <v>0</v>
          </cell>
          <cell r="Z2484">
            <v>44000</v>
          </cell>
          <cell r="AA2484">
            <v>0</v>
          </cell>
          <cell r="AB2484">
            <v>0</v>
          </cell>
          <cell r="AC2484">
            <v>0</v>
          </cell>
          <cell r="AD2484">
            <v>0.25</v>
          </cell>
          <cell r="AE2484">
            <v>0</v>
          </cell>
          <cell r="AF2484">
            <v>0</v>
          </cell>
          <cell r="AG2484">
            <v>0</v>
          </cell>
          <cell r="AH2484">
            <v>3.5</v>
          </cell>
          <cell r="AI2484">
            <v>0.51500000000000001</v>
          </cell>
          <cell r="AJ2484">
            <v>1</v>
          </cell>
          <cell r="AK2484">
            <v>6.79</v>
          </cell>
          <cell r="AL2484">
            <v>0</v>
          </cell>
        </row>
        <row r="2485">
          <cell r="E2485" t="str">
            <v>■通路(壁直付)</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row>
        <row r="2486">
          <cell r="E2486" t="str">
            <v>Yb1-Ce</v>
          </cell>
          <cell r="F2486" t="str">
            <v>台</v>
          </cell>
          <cell r="G2486">
            <v>0</v>
          </cell>
          <cell r="H2486">
            <v>10400</v>
          </cell>
          <cell r="I2486">
            <v>0</v>
          </cell>
          <cell r="J2486">
            <v>10400</v>
          </cell>
          <cell r="K2486">
            <v>0</v>
          </cell>
          <cell r="L2486">
            <v>10400</v>
          </cell>
          <cell r="M2486">
            <v>0</v>
          </cell>
          <cell r="N2486">
            <v>10400</v>
          </cell>
          <cell r="O2486">
            <v>0</v>
          </cell>
          <cell r="P2486">
            <v>10400</v>
          </cell>
          <cell r="Q2486">
            <v>0</v>
          </cell>
          <cell r="R2486">
            <v>10400</v>
          </cell>
          <cell r="S2486">
            <v>0</v>
          </cell>
          <cell r="T2486">
            <v>10400</v>
          </cell>
          <cell r="U2486">
            <v>0</v>
          </cell>
          <cell r="V2486">
            <v>10400</v>
          </cell>
          <cell r="W2486">
            <v>0</v>
          </cell>
          <cell r="X2486">
            <v>10400</v>
          </cell>
          <cell r="Y2486">
            <v>0</v>
          </cell>
          <cell r="Z2486">
            <v>10400</v>
          </cell>
          <cell r="AA2486">
            <v>0</v>
          </cell>
          <cell r="AB2486">
            <v>0</v>
          </cell>
          <cell r="AC2486">
            <v>0</v>
          </cell>
          <cell r="AD2486">
            <v>0.14099999999999999</v>
          </cell>
          <cell r="AE2486">
            <v>0</v>
          </cell>
          <cell r="AF2486">
            <v>0</v>
          </cell>
          <cell r="AG2486">
            <v>0</v>
          </cell>
          <cell r="AH2486">
            <v>2</v>
          </cell>
          <cell r="AI2486">
            <v>0.47599999999999998</v>
          </cell>
          <cell r="AJ2486">
            <v>1</v>
          </cell>
          <cell r="AK2486">
            <v>4.2</v>
          </cell>
          <cell r="AL2486">
            <v>0</v>
          </cell>
        </row>
        <row r="2487">
          <cell r="E2487" t="str">
            <v>Yb1-Ce60</v>
          </cell>
          <cell r="F2487" t="str">
            <v>台</v>
          </cell>
          <cell r="G2487">
            <v>0</v>
          </cell>
          <cell r="H2487">
            <v>23800</v>
          </cell>
          <cell r="I2487">
            <v>0</v>
          </cell>
          <cell r="J2487">
            <v>23800</v>
          </cell>
          <cell r="K2487">
            <v>0</v>
          </cell>
          <cell r="L2487">
            <v>23800</v>
          </cell>
          <cell r="M2487">
            <v>0</v>
          </cell>
          <cell r="N2487">
            <v>23800</v>
          </cell>
          <cell r="O2487">
            <v>0</v>
          </cell>
          <cell r="P2487">
            <v>23800</v>
          </cell>
          <cell r="Q2487">
            <v>0</v>
          </cell>
          <cell r="R2487">
            <v>23800</v>
          </cell>
          <cell r="S2487">
            <v>0</v>
          </cell>
          <cell r="T2487">
            <v>23800</v>
          </cell>
          <cell r="U2487">
            <v>0</v>
          </cell>
          <cell r="V2487">
            <v>23800</v>
          </cell>
          <cell r="W2487">
            <v>0</v>
          </cell>
          <cell r="X2487">
            <v>23800</v>
          </cell>
          <cell r="Y2487">
            <v>0</v>
          </cell>
          <cell r="Z2487">
            <v>23800</v>
          </cell>
          <cell r="AA2487">
            <v>0</v>
          </cell>
          <cell r="AB2487">
            <v>0</v>
          </cell>
          <cell r="AC2487">
            <v>0</v>
          </cell>
          <cell r="AD2487">
            <v>0.14099999999999999</v>
          </cell>
          <cell r="AE2487">
            <v>0</v>
          </cell>
          <cell r="AF2487">
            <v>0</v>
          </cell>
          <cell r="AG2487">
            <v>0</v>
          </cell>
          <cell r="AH2487">
            <v>2.1</v>
          </cell>
          <cell r="AI2487">
            <v>0.47699999999999998</v>
          </cell>
          <cell r="AJ2487">
            <v>1</v>
          </cell>
          <cell r="AK2487">
            <v>4.4000000000000004</v>
          </cell>
          <cell r="AL2487">
            <v>0</v>
          </cell>
        </row>
        <row r="2488">
          <cell r="E2488" t="str">
            <v>Yb1-BLe</v>
          </cell>
          <cell r="F2488" t="str">
            <v>台</v>
          </cell>
          <cell r="G2488">
            <v>0</v>
          </cell>
          <cell r="H2488">
            <v>15500</v>
          </cell>
          <cell r="I2488">
            <v>0</v>
          </cell>
          <cell r="J2488">
            <v>15500</v>
          </cell>
          <cell r="K2488">
            <v>0</v>
          </cell>
          <cell r="L2488">
            <v>15500</v>
          </cell>
          <cell r="M2488">
            <v>0</v>
          </cell>
          <cell r="N2488">
            <v>15500</v>
          </cell>
          <cell r="O2488">
            <v>0</v>
          </cell>
          <cell r="P2488">
            <v>15500</v>
          </cell>
          <cell r="Q2488">
            <v>0</v>
          </cell>
          <cell r="R2488">
            <v>15500</v>
          </cell>
          <cell r="S2488">
            <v>0</v>
          </cell>
          <cell r="T2488">
            <v>15500</v>
          </cell>
          <cell r="U2488">
            <v>0</v>
          </cell>
          <cell r="V2488">
            <v>15500</v>
          </cell>
          <cell r="W2488">
            <v>0</v>
          </cell>
          <cell r="X2488">
            <v>15500</v>
          </cell>
          <cell r="Y2488">
            <v>0</v>
          </cell>
          <cell r="Z2488">
            <v>15500</v>
          </cell>
          <cell r="AA2488">
            <v>0</v>
          </cell>
          <cell r="AB2488">
            <v>0</v>
          </cell>
          <cell r="AC2488">
            <v>0</v>
          </cell>
          <cell r="AD2488">
            <v>0.16200000000000001</v>
          </cell>
          <cell r="AE2488">
            <v>0</v>
          </cell>
          <cell r="AF2488">
            <v>0</v>
          </cell>
          <cell r="AG2488">
            <v>0</v>
          </cell>
          <cell r="AH2488">
            <v>2.7</v>
          </cell>
          <cell r="AI2488">
            <v>0.5</v>
          </cell>
          <cell r="AJ2488">
            <v>1</v>
          </cell>
          <cell r="AK2488">
            <v>5.4</v>
          </cell>
          <cell r="AL2488">
            <v>0</v>
          </cell>
        </row>
        <row r="2489">
          <cell r="E2489" t="str">
            <v>Yb1-BLe60</v>
          </cell>
          <cell r="F2489" t="str">
            <v>台</v>
          </cell>
          <cell r="G2489">
            <v>0</v>
          </cell>
          <cell r="H2489">
            <v>28200</v>
          </cell>
          <cell r="I2489">
            <v>0</v>
          </cell>
          <cell r="J2489">
            <v>28200</v>
          </cell>
          <cell r="K2489">
            <v>0</v>
          </cell>
          <cell r="L2489">
            <v>28200</v>
          </cell>
          <cell r="M2489">
            <v>0</v>
          </cell>
          <cell r="N2489">
            <v>28200</v>
          </cell>
          <cell r="O2489">
            <v>0</v>
          </cell>
          <cell r="P2489">
            <v>28200</v>
          </cell>
          <cell r="Q2489">
            <v>0</v>
          </cell>
          <cell r="R2489">
            <v>28200</v>
          </cell>
          <cell r="S2489">
            <v>0</v>
          </cell>
          <cell r="T2489">
            <v>28200</v>
          </cell>
          <cell r="U2489">
            <v>0</v>
          </cell>
          <cell r="V2489">
            <v>28200</v>
          </cell>
          <cell r="W2489">
            <v>0</v>
          </cell>
          <cell r="X2489">
            <v>28200</v>
          </cell>
          <cell r="Y2489">
            <v>0</v>
          </cell>
          <cell r="Z2489">
            <v>28200</v>
          </cell>
          <cell r="AA2489">
            <v>0</v>
          </cell>
          <cell r="AB2489">
            <v>0</v>
          </cell>
          <cell r="AC2489">
            <v>0</v>
          </cell>
          <cell r="AD2489">
            <v>0.16200000000000001</v>
          </cell>
          <cell r="AE2489">
            <v>0</v>
          </cell>
          <cell r="AF2489">
            <v>0</v>
          </cell>
          <cell r="AG2489">
            <v>0</v>
          </cell>
          <cell r="AH2489">
            <v>2.7</v>
          </cell>
          <cell r="AI2489">
            <v>0.5</v>
          </cell>
          <cell r="AJ2489">
            <v>1</v>
          </cell>
          <cell r="AK2489">
            <v>5.4</v>
          </cell>
          <cell r="AL2489">
            <v>0</v>
          </cell>
        </row>
        <row r="2490">
          <cell r="E2490" t="str">
            <v>Yb1-BHe</v>
          </cell>
          <cell r="F2490" t="str">
            <v>台</v>
          </cell>
          <cell r="G2490">
            <v>0</v>
          </cell>
          <cell r="H2490">
            <v>22900</v>
          </cell>
          <cell r="I2490">
            <v>0</v>
          </cell>
          <cell r="J2490">
            <v>22900</v>
          </cell>
          <cell r="K2490">
            <v>0</v>
          </cell>
          <cell r="L2490">
            <v>22900</v>
          </cell>
          <cell r="M2490">
            <v>0</v>
          </cell>
          <cell r="N2490">
            <v>22900</v>
          </cell>
          <cell r="O2490">
            <v>0</v>
          </cell>
          <cell r="P2490">
            <v>22900</v>
          </cell>
          <cell r="Q2490">
            <v>0</v>
          </cell>
          <cell r="R2490">
            <v>22900</v>
          </cell>
          <cell r="S2490">
            <v>0</v>
          </cell>
          <cell r="T2490">
            <v>22900</v>
          </cell>
          <cell r="U2490">
            <v>0</v>
          </cell>
          <cell r="V2490">
            <v>22900</v>
          </cell>
          <cell r="W2490">
            <v>0</v>
          </cell>
          <cell r="X2490">
            <v>22900</v>
          </cell>
          <cell r="Y2490">
            <v>0</v>
          </cell>
          <cell r="Z2490">
            <v>22900</v>
          </cell>
          <cell r="AA2490">
            <v>0</v>
          </cell>
          <cell r="AB2490">
            <v>0</v>
          </cell>
          <cell r="AC2490">
            <v>0</v>
          </cell>
          <cell r="AD2490">
            <v>0.16200000000000001</v>
          </cell>
          <cell r="AE2490">
            <v>0</v>
          </cell>
          <cell r="AF2490">
            <v>0</v>
          </cell>
          <cell r="AG2490">
            <v>0</v>
          </cell>
          <cell r="AH2490">
            <v>3.6</v>
          </cell>
          <cell r="AI2490">
            <v>0.51400000000000001</v>
          </cell>
          <cell r="AJ2490">
            <v>1</v>
          </cell>
          <cell r="AK2490">
            <v>7</v>
          </cell>
          <cell r="AL2490">
            <v>0</v>
          </cell>
        </row>
        <row r="2491">
          <cell r="E2491" t="str">
            <v>Yb1-BHe60</v>
          </cell>
          <cell r="F2491" t="str">
            <v>台</v>
          </cell>
          <cell r="G2491">
            <v>0</v>
          </cell>
          <cell r="H2491">
            <v>35900</v>
          </cell>
          <cell r="I2491">
            <v>0</v>
          </cell>
          <cell r="J2491">
            <v>35900</v>
          </cell>
          <cell r="K2491">
            <v>0</v>
          </cell>
          <cell r="L2491">
            <v>35900</v>
          </cell>
          <cell r="M2491">
            <v>0</v>
          </cell>
          <cell r="N2491">
            <v>35900</v>
          </cell>
          <cell r="O2491">
            <v>0</v>
          </cell>
          <cell r="P2491">
            <v>35900</v>
          </cell>
          <cell r="Q2491">
            <v>0</v>
          </cell>
          <cell r="R2491">
            <v>35900</v>
          </cell>
          <cell r="S2491">
            <v>0</v>
          </cell>
          <cell r="T2491">
            <v>35900</v>
          </cell>
          <cell r="U2491">
            <v>0</v>
          </cell>
          <cell r="V2491">
            <v>35900</v>
          </cell>
          <cell r="W2491">
            <v>0</v>
          </cell>
          <cell r="X2491">
            <v>35900</v>
          </cell>
          <cell r="Y2491">
            <v>0</v>
          </cell>
          <cell r="Z2491">
            <v>35900</v>
          </cell>
          <cell r="AA2491">
            <v>0</v>
          </cell>
          <cell r="AB2491">
            <v>0</v>
          </cell>
          <cell r="AC2491">
            <v>0</v>
          </cell>
          <cell r="AD2491">
            <v>0.16200000000000001</v>
          </cell>
          <cell r="AE2491">
            <v>0</v>
          </cell>
          <cell r="AF2491">
            <v>0</v>
          </cell>
          <cell r="AG2491">
            <v>0</v>
          </cell>
          <cell r="AH2491">
            <v>3.7</v>
          </cell>
          <cell r="AI2491">
            <v>0.52900000000000003</v>
          </cell>
          <cell r="AJ2491">
            <v>1</v>
          </cell>
          <cell r="AK2491">
            <v>6.99</v>
          </cell>
          <cell r="AL2491">
            <v>0</v>
          </cell>
        </row>
        <row r="2492">
          <cell r="E2492" t="str">
            <v>Yb1-Ae</v>
          </cell>
          <cell r="F2492" t="str">
            <v>台</v>
          </cell>
          <cell r="G2492">
            <v>0</v>
          </cell>
          <cell r="H2492">
            <v>45600</v>
          </cell>
          <cell r="I2492">
            <v>0</v>
          </cell>
          <cell r="J2492">
            <v>45600</v>
          </cell>
          <cell r="K2492">
            <v>0</v>
          </cell>
          <cell r="L2492">
            <v>45600</v>
          </cell>
          <cell r="M2492">
            <v>0</v>
          </cell>
          <cell r="N2492">
            <v>45600</v>
          </cell>
          <cell r="O2492">
            <v>0</v>
          </cell>
          <cell r="P2492">
            <v>45600</v>
          </cell>
          <cell r="Q2492">
            <v>0</v>
          </cell>
          <cell r="R2492">
            <v>45600</v>
          </cell>
          <cell r="S2492">
            <v>0</v>
          </cell>
          <cell r="T2492">
            <v>45600</v>
          </cell>
          <cell r="U2492">
            <v>0</v>
          </cell>
          <cell r="V2492">
            <v>45600</v>
          </cell>
          <cell r="W2492">
            <v>0</v>
          </cell>
          <cell r="X2492">
            <v>45600</v>
          </cell>
          <cell r="Y2492">
            <v>0</v>
          </cell>
          <cell r="Z2492">
            <v>45600</v>
          </cell>
          <cell r="AA2492">
            <v>0</v>
          </cell>
          <cell r="AB2492">
            <v>0</v>
          </cell>
          <cell r="AC2492">
            <v>0</v>
          </cell>
          <cell r="AD2492">
            <v>0.26100000000000001</v>
          </cell>
          <cell r="AE2492">
            <v>0</v>
          </cell>
          <cell r="AF2492">
            <v>0</v>
          </cell>
          <cell r="AG2492">
            <v>0</v>
          </cell>
          <cell r="AH2492">
            <v>10.5</v>
          </cell>
          <cell r="AI2492">
            <v>0.55300000000000005</v>
          </cell>
          <cell r="AJ2492">
            <v>1</v>
          </cell>
          <cell r="AK2492">
            <v>18.98</v>
          </cell>
          <cell r="AL2492">
            <v>0</v>
          </cell>
        </row>
        <row r="2493">
          <cell r="E2493" t="str">
            <v>■通路(片面天井埋込)</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row>
        <row r="2494">
          <cell r="E2494" t="str">
            <v>Yc1-Ce</v>
          </cell>
          <cell r="F2494" t="str">
            <v>台</v>
          </cell>
          <cell r="G2494">
            <v>0</v>
          </cell>
          <cell r="H2494">
            <v>13000</v>
          </cell>
          <cell r="I2494">
            <v>0</v>
          </cell>
          <cell r="J2494">
            <v>13000</v>
          </cell>
          <cell r="K2494">
            <v>0</v>
          </cell>
          <cell r="L2494">
            <v>13000</v>
          </cell>
          <cell r="M2494">
            <v>0</v>
          </cell>
          <cell r="N2494">
            <v>13000</v>
          </cell>
          <cell r="O2494">
            <v>0</v>
          </cell>
          <cell r="P2494">
            <v>13000</v>
          </cell>
          <cell r="Q2494">
            <v>0</v>
          </cell>
          <cell r="R2494">
            <v>13000</v>
          </cell>
          <cell r="S2494">
            <v>0</v>
          </cell>
          <cell r="T2494">
            <v>13000</v>
          </cell>
          <cell r="U2494">
            <v>0</v>
          </cell>
          <cell r="V2494">
            <v>13000</v>
          </cell>
          <cell r="W2494">
            <v>0</v>
          </cell>
          <cell r="X2494">
            <v>13000</v>
          </cell>
          <cell r="Y2494">
            <v>0</v>
          </cell>
          <cell r="Z2494">
            <v>13000</v>
          </cell>
          <cell r="AA2494">
            <v>0</v>
          </cell>
          <cell r="AB2494">
            <v>0</v>
          </cell>
          <cell r="AC2494">
            <v>0</v>
          </cell>
          <cell r="AD2494">
            <v>0.217</v>
          </cell>
          <cell r="AE2494">
            <v>0</v>
          </cell>
          <cell r="AF2494">
            <v>0</v>
          </cell>
          <cell r="AG2494">
            <v>0</v>
          </cell>
          <cell r="AH2494">
            <v>1.9</v>
          </cell>
          <cell r="AI2494">
            <v>0.47499999999999998</v>
          </cell>
          <cell r="AJ2494">
            <v>1</v>
          </cell>
          <cell r="AK2494">
            <v>4</v>
          </cell>
          <cell r="AL2494">
            <v>0</v>
          </cell>
        </row>
        <row r="2495">
          <cell r="E2495" t="str">
            <v>Yc1-Ce60</v>
          </cell>
          <cell r="F2495" t="str">
            <v>台</v>
          </cell>
          <cell r="G2495">
            <v>0</v>
          </cell>
          <cell r="H2495">
            <v>31000</v>
          </cell>
          <cell r="I2495">
            <v>0</v>
          </cell>
          <cell r="J2495">
            <v>31000</v>
          </cell>
          <cell r="K2495">
            <v>0</v>
          </cell>
          <cell r="L2495">
            <v>31000</v>
          </cell>
          <cell r="M2495">
            <v>0</v>
          </cell>
          <cell r="N2495">
            <v>31000</v>
          </cell>
          <cell r="O2495">
            <v>0</v>
          </cell>
          <cell r="P2495">
            <v>31000</v>
          </cell>
          <cell r="Q2495">
            <v>0</v>
          </cell>
          <cell r="R2495">
            <v>31000</v>
          </cell>
          <cell r="S2495">
            <v>0</v>
          </cell>
          <cell r="T2495">
            <v>31000</v>
          </cell>
          <cell r="U2495">
            <v>0</v>
          </cell>
          <cell r="V2495">
            <v>31000</v>
          </cell>
          <cell r="W2495">
            <v>0</v>
          </cell>
          <cell r="X2495">
            <v>31000</v>
          </cell>
          <cell r="Y2495">
            <v>0</v>
          </cell>
          <cell r="Z2495">
            <v>31000</v>
          </cell>
          <cell r="AA2495">
            <v>0</v>
          </cell>
          <cell r="AB2495">
            <v>0</v>
          </cell>
          <cell r="AC2495">
            <v>0</v>
          </cell>
          <cell r="AD2495">
            <v>0.217</v>
          </cell>
          <cell r="AE2495">
            <v>0</v>
          </cell>
          <cell r="AF2495">
            <v>0</v>
          </cell>
          <cell r="AG2495">
            <v>0</v>
          </cell>
          <cell r="AH2495">
            <v>2.1</v>
          </cell>
          <cell r="AI2495">
            <v>0.47699999999999998</v>
          </cell>
          <cell r="AJ2495">
            <v>1</v>
          </cell>
          <cell r="AK2495">
            <v>4.4000000000000004</v>
          </cell>
          <cell r="AL2495">
            <v>0</v>
          </cell>
        </row>
        <row r="2496">
          <cell r="E2496" t="str">
            <v>Yc1-BLe</v>
          </cell>
          <cell r="F2496" t="str">
            <v>台</v>
          </cell>
          <cell r="G2496">
            <v>0</v>
          </cell>
          <cell r="H2496">
            <v>19600</v>
          </cell>
          <cell r="I2496">
            <v>0</v>
          </cell>
          <cell r="J2496">
            <v>19600</v>
          </cell>
          <cell r="K2496">
            <v>0</v>
          </cell>
          <cell r="L2496">
            <v>19600</v>
          </cell>
          <cell r="M2496">
            <v>0</v>
          </cell>
          <cell r="N2496">
            <v>19600</v>
          </cell>
          <cell r="O2496">
            <v>0</v>
          </cell>
          <cell r="P2496">
            <v>19600</v>
          </cell>
          <cell r="Q2496">
            <v>0</v>
          </cell>
          <cell r="R2496">
            <v>19600</v>
          </cell>
          <cell r="S2496">
            <v>0</v>
          </cell>
          <cell r="T2496">
            <v>19600</v>
          </cell>
          <cell r="U2496">
            <v>0</v>
          </cell>
          <cell r="V2496">
            <v>19600</v>
          </cell>
          <cell r="W2496">
            <v>0</v>
          </cell>
          <cell r="X2496">
            <v>19600</v>
          </cell>
          <cell r="Y2496">
            <v>0</v>
          </cell>
          <cell r="Z2496">
            <v>19600</v>
          </cell>
          <cell r="AA2496">
            <v>0</v>
          </cell>
          <cell r="AB2496">
            <v>0</v>
          </cell>
          <cell r="AC2496">
            <v>0</v>
          </cell>
          <cell r="AD2496">
            <v>0.25</v>
          </cell>
          <cell r="AE2496">
            <v>0</v>
          </cell>
          <cell r="AF2496">
            <v>0</v>
          </cell>
          <cell r="AG2496">
            <v>0</v>
          </cell>
          <cell r="AH2496">
            <v>2.6</v>
          </cell>
          <cell r="AI2496">
            <v>0.49099999999999999</v>
          </cell>
          <cell r="AJ2496">
            <v>1</v>
          </cell>
          <cell r="AK2496">
            <v>5.29</v>
          </cell>
          <cell r="AL2496">
            <v>0</v>
          </cell>
        </row>
        <row r="2497">
          <cell r="E2497" t="str">
            <v>Yc1-BLe60</v>
          </cell>
          <cell r="F2497" t="str">
            <v>台</v>
          </cell>
          <cell r="G2497">
            <v>0</v>
          </cell>
          <cell r="H2497">
            <v>34000</v>
          </cell>
          <cell r="I2497">
            <v>0</v>
          </cell>
          <cell r="J2497">
            <v>34000</v>
          </cell>
          <cell r="K2497">
            <v>0</v>
          </cell>
          <cell r="L2497">
            <v>34000</v>
          </cell>
          <cell r="M2497">
            <v>0</v>
          </cell>
          <cell r="N2497">
            <v>34000</v>
          </cell>
          <cell r="O2497">
            <v>0</v>
          </cell>
          <cell r="P2497">
            <v>34000</v>
          </cell>
          <cell r="Q2497">
            <v>0</v>
          </cell>
          <cell r="R2497">
            <v>34000</v>
          </cell>
          <cell r="S2497">
            <v>0</v>
          </cell>
          <cell r="T2497">
            <v>34000</v>
          </cell>
          <cell r="U2497">
            <v>0</v>
          </cell>
          <cell r="V2497">
            <v>34000</v>
          </cell>
          <cell r="W2497">
            <v>0</v>
          </cell>
          <cell r="X2497">
            <v>34000</v>
          </cell>
          <cell r="Y2497">
            <v>0</v>
          </cell>
          <cell r="Z2497">
            <v>34000</v>
          </cell>
          <cell r="AA2497">
            <v>0</v>
          </cell>
          <cell r="AB2497">
            <v>0</v>
          </cell>
          <cell r="AC2497">
            <v>0</v>
          </cell>
          <cell r="AD2497">
            <v>0.25</v>
          </cell>
          <cell r="AE2497">
            <v>0</v>
          </cell>
          <cell r="AF2497">
            <v>0</v>
          </cell>
          <cell r="AG2497">
            <v>0</v>
          </cell>
          <cell r="AH2497">
            <v>2.7</v>
          </cell>
          <cell r="AI2497">
            <v>0.5</v>
          </cell>
          <cell r="AJ2497">
            <v>1</v>
          </cell>
          <cell r="AK2497">
            <v>5.4</v>
          </cell>
          <cell r="AL2497">
            <v>0</v>
          </cell>
        </row>
        <row r="2498">
          <cell r="E2498" t="str">
            <v>Yc1-BHe</v>
          </cell>
          <cell r="F2498" t="str">
            <v>台</v>
          </cell>
          <cell r="G2498">
            <v>0</v>
          </cell>
          <cell r="H2498">
            <v>29600</v>
          </cell>
          <cell r="I2498">
            <v>0</v>
          </cell>
          <cell r="J2498">
            <v>29600</v>
          </cell>
          <cell r="K2498">
            <v>0</v>
          </cell>
          <cell r="L2498">
            <v>29600</v>
          </cell>
          <cell r="M2498">
            <v>0</v>
          </cell>
          <cell r="N2498">
            <v>29600</v>
          </cell>
          <cell r="O2498">
            <v>0</v>
          </cell>
          <cell r="P2498">
            <v>29600</v>
          </cell>
          <cell r="Q2498">
            <v>0</v>
          </cell>
          <cell r="R2498">
            <v>29600</v>
          </cell>
          <cell r="S2498">
            <v>0</v>
          </cell>
          <cell r="T2498">
            <v>29600</v>
          </cell>
          <cell r="U2498">
            <v>0</v>
          </cell>
          <cell r="V2498">
            <v>29600</v>
          </cell>
          <cell r="W2498">
            <v>0</v>
          </cell>
          <cell r="X2498">
            <v>29600</v>
          </cell>
          <cell r="Y2498">
            <v>0</v>
          </cell>
          <cell r="Z2498">
            <v>29600</v>
          </cell>
          <cell r="AA2498">
            <v>0</v>
          </cell>
          <cell r="AB2498">
            <v>0</v>
          </cell>
          <cell r="AC2498">
            <v>0</v>
          </cell>
          <cell r="AD2498">
            <v>0.25</v>
          </cell>
          <cell r="AE2498">
            <v>0</v>
          </cell>
          <cell r="AF2498">
            <v>0</v>
          </cell>
          <cell r="AG2498">
            <v>0</v>
          </cell>
          <cell r="AH2498">
            <v>3.6</v>
          </cell>
          <cell r="AI2498">
            <v>0.51400000000000001</v>
          </cell>
          <cell r="AJ2498">
            <v>1</v>
          </cell>
          <cell r="AK2498">
            <v>7</v>
          </cell>
          <cell r="AL2498">
            <v>0</v>
          </cell>
        </row>
        <row r="2499">
          <cell r="E2499" t="str">
            <v>Yc1-BHe60</v>
          </cell>
          <cell r="F2499" t="str">
            <v>台</v>
          </cell>
          <cell r="G2499">
            <v>0</v>
          </cell>
          <cell r="H2499">
            <v>43800</v>
          </cell>
          <cell r="I2499">
            <v>0</v>
          </cell>
          <cell r="J2499">
            <v>43800</v>
          </cell>
          <cell r="K2499">
            <v>0</v>
          </cell>
          <cell r="L2499">
            <v>43800</v>
          </cell>
          <cell r="M2499">
            <v>0</v>
          </cell>
          <cell r="N2499">
            <v>43800</v>
          </cell>
          <cell r="O2499">
            <v>0</v>
          </cell>
          <cell r="P2499">
            <v>43800</v>
          </cell>
          <cell r="Q2499">
            <v>0</v>
          </cell>
          <cell r="R2499">
            <v>43800</v>
          </cell>
          <cell r="S2499">
            <v>0</v>
          </cell>
          <cell r="T2499">
            <v>43800</v>
          </cell>
          <cell r="U2499">
            <v>0</v>
          </cell>
          <cell r="V2499">
            <v>43800</v>
          </cell>
          <cell r="W2499">
            <v>0</v>
          </cell>
          <cell r="X2499">
            <v>43800</v>
          </cell>
          <cell r="Y2499">
            <v>0</v>
          </cell>
          <cell r="Z2499">
            <v>43800</v>
          </cell>
          <cell r="AA2499">
            <v>0</v>
          </cell>
          <cell r="AB2499">
            <v>0</v>
          </cell>
          <cell r="AC2499">
            <v>0</v>
          </cell>
          <cell r="AD2499">
            <v>0.25</v>
          </cell>
          <cell r="AE2499">
            <v>0</v>
          </cell>
          <cell r="AF2499">
            <v>0</v>
          </cell>
          <cell r="AG2499">
            <v>0</v>
          </cell>
          <cell r="AH2499">
            <v>3.7</v>
          </cell>
          <cell r="AI2499">
            <v>0.52900000000000003</v>
          </cell>
          <cell r="AJ2499">
            <v>1</v>
          </cell>
          <cell r="AK2499">
            <v>6.99</v>
          </cell>
          <cell r="AL2499">
            <v>0</v>
          </cell>
        </row>
        <row r="2500">
          <cell r="E2500" t="str">
            <v>■通路(両面天井埋込)</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row>
        <row r="2501">
          <cell r="E2501" t="str">
            <v>Yd2-Ce</v>
          </cell>
          <cell r="F2501" t="str">
            <v>台</v>
          </cell>
          <cell r="G2501">
            <v>0</v>
          </cell>
          <cell r="H2501">
            <v>14500</v>
          </cell>
          <cell r="I2501">
            <v>0</v>
          </cell>
          <cell r="J2501">
            <v>14500</v>
          </cell>
          <cell r="K2501">
            <v>0</v>
          </cell>
          <cell r="L2501">
            <v>14500</v>
          </cell>
          <cell r="M2501">
            <v>0</v>
          </cell>
          <cell r="N2501">
            <v>14500</v>
          </cell>
          <cell r="O2501">
            <v>0</v>
          </cell>
          <cell r="P2501">
            <v>14500</v>
          </cell>
          <cell r="Q2501">
            <v>0</v>
          </cell>
          <cell r="R2501">
            <v>14500</v>
          </cell>
          <cell r="S2501">
            <v>0</v>
          </cell>
          <cell r="T2501">
            <v>14500</v>
          </cell>
          <cell r="U2501">
            <v>0</v>
          </cell>
          <cell r="V2501">
            <v>14500</v>
          </cell>
          <cell r="W2501">
            <v>0</v>
          </cell>
          <cell r="X2501">
            <v>14500</v>
          </cell>
          <cell r="Y2501">
            <v>0</v>
          </cell>
          <cell r="Z2501">
            <v>14500</v>
          </cell>
          <cell r="AA2501">
            <v>0</v>
          </cell>
          <cell r="AB2501">
            <v>0</v>
          </cell>
          <cell r="AC2501">
            <v>0</v>
          </cell>
          <cell r="AD2501">
            <v>0.217</v>
          </cell>
          <cell r="AE2501">
            <v>0</v>
          </cell>
          <cell r="AF2501">
            <v>0</v>
          </cell>
          <cell r="AG2501">
            <v>0</v>
          </cell>
          <cell r="AH2501">
            <v>2.6</v>
          </cell>
          <cell r="AI2501">
            <v>0.49099999999999999</v>
          </cell>
          <cell r="AJ2501">
            <v>1</v>
          </cell>
          <cell r="AK2501">
            <v>5.29</v>
          </cell>
          <cell r="AL2501">
            <v>0</v>
          </cell>
        </row>
        <row r="2502">
          <cell r="E2502" t="str">
            <v>Yd2-Ce60</v>
          </cell>
          <cell r="F2502" t="str">
            <v>台</v>
          </cell>
          <cell r="G2502">
            <v>0</v>
          </cell>
          <cell r="H2502">
            <v>36100</v>
          </cell>
          <cell r="I2502">
            <v>0</v>
          </cell>
          <cell r="J2502">
            <v>36100</v>
          </cell>
          <cell r="K2502">
            <v>0</v>
          </cell>
          <cell r="L2502">
            <v>36100</v>
          </cell>
          <cell r="M2502">
            <v>0</v>
          </cell>
          <cell r="N2502">
            <v>36100</v>
          </cell>
          <cell r="O2502">
            <v>0</v>
          </cell>
          <cell r="P2502">
            <v>36100</v>
          </cell>
          <cell r="Q2502">
            <v>0</v>
          </cell>
          <cell r="R2502">
            <v>36100</v>
          </cell>
          <cell r="S2502">
            <v>0</v>
          </cell>
          <cell r="T2502">
            <v>36100</v>
          </cell>
          <cell r="U2502">
            <v>0</v>
          </cell>
          <cell r="V2502">
            <v>36100</v>
          </cell>
          <cell r="W2502">
            <v>0</v>
          </cell>
          <cell r="X2502">
            <v>36100</v>
          </cell>
          <cell r="Y2502">
            <v>0</v>
          </cell>
          <cell r="Z2502">
            <v>36100</v>
          </cell>
          <cell r="AA2502">
            <v>0</v>
          </cell>
          <cell r="AB2502">
            <v>0</v>
          </cell>
          <cell r="AC2502">
            <v>0</v>
          </cell>
          <cell r="AD2502">
            <v>0.217</v>
          </cell>
          <cell r="AE2502">
            <v>0</v>
          </cell>
          <cell r="AF2502">
            <v>0</v>
          </cell>
          <cell r="AG2502">
            <v>0</v>
          </cell>
          <cell r="AH2502">
            <v>2.7</v>
          </cell>
          <cell r="AI2502">
            <v>0.5</v>
          </cell>
          <cell r="AJ2502">
            <v>1</v>
          </cell>
          <cell r="AK2502">
            <v>5.4</v>
          </cell>
          <cell r="AL2502">
            <v>0</v>
          </cell>
        </row>
        <row r="2503">
          <cell r="E2503" t="str">
            <v>Yd2-BLe</v>
          </cell>
          <cell r="F2503" t="str">
            <v>台</v>
          </cell>
          <cell r="G2503">
            <v>0</v>
          </cell>
          <cell r="H2503">
            <v>22800</v>
          </cell>
          <cell r="I2503">
            <v>0</v>
          </cell>
          <cell r="J2503">
            <v>22800</v>
          </cell>
          <cell r="K2503">
            <v>0</v>
          </cell>
          <cell r="L2503">
            <v>22800</v>
          </cell>
          <cell r="M2503">
            <v>0</v>
          </cell>
          <cell r="N2503">
            <v>22800</v>
          </cell>
          <cell r="O2503">
            <v>0</v>
          </cell>
          <cell r="P2503">
            <v>22800</v>
          </cell>
          <cell r="Q2503">
            <v>0</v>
          </cell>
          <cell r="R2503">
            <v>22800</v>
          </cell>
          <cell r="S2503">
            <v>0</v>
          </cell>
          <cell r="T2503">
            <v>22800</v>
          </cell>
          <cell r="U2503">
            <v>0</v>
          </cell>
          <cell r="V2503">
            <v>22800</v>
          </cell>
          <cell r="W2503">
            <v>0</v>
          </cell>
          <cell r="X2503">
            <v>22800</v>
          </cell>
          <cell r="Y2503">
            <v>0</v>
          </cell>
          <cell r="Z2503">
            <v>22800</v>
          </cell>
          <cell r="AA2503">
            <v>0</v>
          </cell>
          <cell r="AB2503">
            <v>0</v>
          </cell>
          <cell r="AC2503">
            <v>0</v>
          </cell>
          <cell r="AD2503">
            <v>0.25</v>
          </cell>
          <cell r="AE2503">
            <v>0</v>
          </cell>
          <cell r="AF2503">
            <v>0</v>
          </cell>
          <cell r="AG2503">
            <v>0</v>
          </cell>
          <cell r="AH2503">
            <v>3.6</v>
          </cell>
          <cell r="AI2503">
            <v>0.52200000000000002</v>
          </cell>
          <cell r="AJ2503">
            <v>1</v>
          </cell>
          <cell r="AK2503">
            <v>6.89</v>
          </cell>
          <cell r="AL2503">
            <v>0</v>
          </cell>
        </row>
        <row r="2504">
          <cell r="E2504" t="str">
            <v>Yd2-BLe60</v>
          </cell>
          <cell r="F2504" t="str">
            <v>台</v>
          </cell>
          <cell r="G2504">
            <v>0</v>
          </cell>
          <cell r="H2504">
            <v>37000</v>
          </cell>
          <cell r="I2504">
            <v>0</v>
          </cell>
          <cell r="J2504">
            <v>37000</v>
          </cell>
          <cell r="K2504">
            <v>0</v>
          </cell>
          <cell r="L2504">
            <v>37000</v>
          </cell>
          <cell r="M2504">
            <v>0</v>
          </cell>
          <cell r="N2504">
            <v>37000</v>
          </cell>
          <cell r="O2504">
            <v>0</v>
          </cell>
          <cell r="P2504">
            <v>37000</v>
          </cell>
          <cell r="Q2504">
            <v>0</v>
          </cell>
          <cell r="R2504">
            <v>37000</v>
          </cell>
          <cell r="S2504">
            <v>0</v>
          </cell>
          <cell r="T2504">
            <v>37000</v>
          </cell>
          <cell r="U2504">
            <v>0</v>
          </cell>
          <cell r="V2504">
            <v>37000</v>
          </cell>
          <cell r="W2504">
            <v>0</v>
          </cell>
          <cell r="X2504">
            <v>37000</v>
          </cell>
          <cell r="Y2504">
            <v>0</v>
          </cell>
          <cell r="Z2504">
            <v>37000</v>
          </cell>
          <cell r="AA2504">
            <v>0</v>
          </cell>
          <cell r="AB2504">
            <v>0</v>
          </cell>
          <cell r="AC2504">
            <v>0</v>
          </cell>
          <cell r="AD2504">
            <v>0.25</v>
          </cell>
          <cell r="AE2504">
            <v>0</v>
          </cell>
          <cell r="AF2504">
            <v>0</v>
          </cell>
          <cell r="AG2504">
            <v>0</v>
          </cell>
          <cell r="AH2504">
            <v>3.7</v>
          </cell>
          <cell r="AI2504">
            <v>0.52100000000000002</v>
          </cell>
          <cell r="AJ2504">
            <v>1</v>
          </cell>
          <cell r="AK2504">
            <v>7.1</v>
          </cell>
          <cell r="AL2504">
            <v>0</v>
          </cell>
        </row>
        <row r="2505">
          <cell r="E2505" t="str">
            <v>Yd2-BHe</v>
          </cell>
          <cell r="F2505" t="str">
            <v>台</v>
          </cell>
          <cell r="G2505">
            <v>0</v>
          </cell>
          <cell r="H2505">
            <v>34700</v>
          </cell>
          <cell r="I2505">
            <v>0</v>
          </cell>
          <cell r="J2505">
            <v>34700</v>
          </cell>
          <cell r="K2505">
            <v>0</v>
          </cell>
          <cell r="L2505">
            <v>34700</v>
          </cell>
          <cell r="M2505">
            <v>0</v>
          </cell>
          <cell r="N2505">
            <v>34700</v>
          </cell>
          <cell r="O2505">
            <v>0</v>
          </cell>
          <cell r="P2505">
            <v>34700</v>
          </cell>
          <cell r="Q2505">
            <v>0</v>
          </cell>
          <cell r="R2505">
            <v>34700</v>
          </cell>
          <cell r="S2505">
            <v>0</v>
          </cell>
          <cell r="T2505">
            <v>34700</v>
          </cell>
          <cell r="U2505">
            <v>0</v>
          </cell>
          <cell r="V2505">
            <v>34700</v>
          </cell>
          <cell r="W2505">
            <v>0</v>
          </cell>
          <cell r="X2505">
            <v>34700</v>
          </cell>
          <cell r="Y2505">
            <v>0</v>
          </cell>
          <cell r="Z2505">
            <v>34700</v>
          </cell>
          <cell r="AA2505">
            <v>0</v>
          </cell>
          <cell r="AB2505">
            <v>0</v>
          </cell>
          <cell r="AC2505">
            <v>0</v>
          </cell>
          <cell r="AD2505">
            <v>0.25</v>
          </cell>
          <cell r="AE2505">
            <v>0</v>
          </cell>
          <cell r="AF2505">
            <v>0</v>
          </cell>
          <cell r="AG2505">
            <v>0</v>
          </cell>
          <cell r="AH2505">
            <v>5.4</v>
          </cell>
          <cell r="AI2505">
            <v>0.54</v>
          </cell>
          <cell r="AJ2505">
            <v>1</v>
          </cell>
          <cell r="AK2505">
            <v>10</v>
          </cell>
          <cell r="AL2505">
            <v>0</v>
          </cell>
        </row>
        <row r="2506">
          <cell r="E2506" t="str">
            <v>Yd2-BHe60</v>
          </cell>
          <cell r="F2506" t="str">
            <v>台</v>
          </cell>
          <cell r="G2506">
            <v>0</v>
          </cell>
          <cell r="H2506">
            <v>48900</v>
          </cell>
          <cell r="I2506">
            <v>0</v>
          </cell>
          <cell r="J2506">
            <v>48900</v>
          </cell>
          <cell r="K2506">
            <v>0</v>
          </cell>
          <cell r="L2506">
            <v>48900</v>
          </cell>
          <cell r="M2506">
            <v>0</v>
          </cell>
          <cell r="N2506">
            <v>48900</v>
          </cell>
          <cell r="O2506">
            <v>0</v>
          </cell>
          <cell r="P2506">
            <v>48900</v>
          </cell>
          <cell r="Q2506">
            <v>0</v>
          </cell>
          <cell r="R2506">
            <v>48900</v>
          </cell>
          <cell r="S2506">
            <v>0</v>
          </cell>
          <cell r="T2506">
            <v>48900</v>
          </cell>
          <cell r="U2506">
            <v>0</v>
          </cell>
          <cell r="V2506">
            <v>48900</v>
          </cell>
          <cell r="W2506">
            <v>0</v>
          </cell>
          <cell r="X2506">
            <v>48900</v>
          </cell>
          <cell r="Y2506">
            <v>0</v>
          </cell>
          <cell r="Z2506">
            <v>48900</v>
          </cell>
          <cell r="AA2506">
            <v>0</v>
          </cell>
          <cell r="AB2506">
            <v>0</v>
          </cell>
          <cell r="AC2506">
            <v>0</v>
          </cell>
          <cell r="AD2506">
            <v>0.25</v>
          </cell>
          <cell r="AE2506">
            <v>0</v>
          </cell>
          <cell r="AF2506">
            <v>0</v>
          </cell>
          <cell r="AG2506">
            <v>0</v>
          </cell>
          <cell r="AH2506">
            <v>5.5</v>
          </cell>
          <cell r="AI2506">
            <v>0.55000000000000004</v>
          </cell>
          <cell r="AJ2506">
            <v>1</v>
          </cell>
          <cell r="AK2506">
            <v>10</v>
          </cell>
          <cell r="AL2506">
            <v>0</v>
          </cell>
        </row>
        <row r="2507">
          <cell r="E2507" t="str">
            <v>■通路(直付)</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row>
        <row r="2508">
          <cell r="E2508" t="str">
            <v>Yf1-Ce</v>
          </cell>
          <cell r="F2508" t="str">
            <v>台</v>
          </cell>
          <cell r="G2508">
            <v>0</v>
          </cell>
          <cell r="H2508">
            <v>10400</v>
          </cell>
          <cell r="I2508">
            <v>0</v>
          </cell>
          <cell r="J2508">
            <v>10400</v>
          </cell>
          <cell r="K2508">
            <v>0</v>
          </cell>
          <cell r="L2508">
            <v>10400</v>
          </cell>
          <cell r="M2508">
            <v>0</v>
          </cell>
          <cell r="N2508">
            <v>10400</v>
          </cell>
          <cell r="O2508">
            <v>0</v>
          </cell>
          <cell r="P2508">
            <v>10400</v>
          </cell>
          <cell r="Q2508">
            <v>0</v>
          </cell>
          <cell r="R2508">
            <v>10400</v>
          </cell>
          <cell r="S2508">
            <v>0</v>
          </cell>
          <cell r="T2508">
            <v>10400</v>
          </cell>
          <cell r="U2508">
            <v>0</v>
          </cell>
          <cell r="V2508">
            <v>10400</v>
          </cell>
          <cell r="W2508">
            <v>0</v>
          </cell>
          <cell r="X2508">
            <v>10400</v>
          </cell>
          <cell r="Y2508">
            <v>0</v>
          </cell>
          <cell r="Z2508">
            <v>10400</v>
          </cell>
          <cell r="AA2508">
            <v>0</v>
          </cell>
          <cell r="AB2508">
            <v>0</v>
          </cell>
          <cell r="AC2508">
            <v>0</v>
          </cell>
          <cell r="AD2508">
            <v>0.14099999999999999</v>
          </cell>
          <cell r="AE2508">
            <v>0</v>
          </cell>
          <cell r="AF2508">
            <v>0</v>
          </cell>
          <cell r="AG2508">
            <v>0</v>
          </cell>
          <cell r="AH2508">
            <v>2</v>
          </cell>
          <cell r="AI2508">
            <v>0.47599999999999998</v>
          </cell>
          <cell r="AJ2508">
            <v>1</v>
          </cell>
          <cell r="AK2508">
            <v>4.2</v>
          </cell>
          <cell r="AL2508">
            <v>0</v>
          </cell>
        </row>
        <row r="2509">
          <cell r="E2509" t="str">
            <v>Yf1-Ce60</v>
          </cell>
          <cell r="F2509" t="str">
            <v>台</v>
          </cell>
          <cell r="G2509">
            <v>0</v>
          </cell>
          <cell r="H2509">
            <v>23800</v>
          </cell>
          <cell r="I2509">
            <v>0</v>
          </cell>
          <cell r="J2509">
            <v>23800</v>
          </cell>
          <cell r="K2509">
            <v>0</v>
          </cell>
          <cell r="L2509">
            <v>23800</v>
          </cell>
          <cell r="M2509">
            <v>0</v>
          </cell>
          <cell r="N2509">
            <v>23800</v>
          </cell>
          <cell r="O2509">
            <v>0</v>
          </cell>
          <cell r="P2509">
            <v>23800</v>
          </cell>
          <cell r="Q2509">
            <v>0</v>
          </cell>
          <cell r="R2509">
            <v>23800</v>
          </cell>
          <cell r="S2509">
            <v>0</v>
          </cell>
          <cell r="T2509">
            <v>23800</v>
          </cell>
          <cell r="U2509">
            <v>0</v>
          </cell>
          <cell r="V2509">
            <v>23800</v>
          </cell>
          <cell r="W2509">
            <v>0</v>
          </cell>
          <cell r="X2509">
            <v>23800</v>
          </cell>
          <cell r="Y2509">
            <v>0</v>
          </cell>
          <cell r="Z2509">
            <v>23800</v>
          </cell>
          <cell r="AA2509">
            <v>0</v>
          </cell>
          <cell r="AB2509">
            <v>0</v>
          </cell>
          <cell r="AC2509">
            <v>0</v>
          </cell>
          <cell r="AD2509">
            <v>0.14099999999999999</v>
          </cell>
          <cell r="AE2509">
            <v>0</v>
          </cell>
          <cell r="AF2509">
            <v>0</v>
          </cell>
          <cell r="AG2509">
            <v>0</v>
          </cell>
          <cell r="AH2509">
            <v>2.1</v>
          </cell>
          <cell r="AI2509">
            <v>0.47699999999999998</v>
          </cell>
          <cell r="AJ2509">
            <v>1</v>
          </cell>
          <cell r="AK2509">
            <v>4.4000000000000004</v>
          </cell>
          <cell r="AL2509">
            <v>0</v>
          </cell>
        </row>
        <row r="2510">
          <cell r="E2510" t="str">
            <v>Yf1-BLe</v>
          </cell>
          <cell r="F2510" t="str">
            <v>台</v>
          </cell>
          <cell r="G2510">
            <v>0</v>
          </cell>
          <cell r="H2510">
            <v>15500</v>
          </cell>
          <cell r="I2510">
            <v>0</v>
          </cell>
          <cell r="J2510">
            <v>15500</v>
          </cell>
          <cell r="K2510">
            <v>0</v>
          </cell>
          <cell r="L2510">
            <v>15500</v>
          </cell>
          <cell r="M2510">
            <v>0</v>
          </cell>
          <cell r="N2510">
            <v>15500</v>
          </cell>
          <cell r="O2510">
            <v>0</v>
          </cell>
          <cell r="P2510">
            <v>15500</v>
          </cell>
          <cell r="Q2510">
            <v>0</v>
          </cell>
          <cell r="R2510">
            <v>15500</v>
          </cell>
          <cell r="S2510">
            <v>0</v>
          </cell>
          <cell r="T2510">
            <v>15500</v>
          </cell>
          <cell r="U2510">
            <v>0</v>
          </cell>
          <cell r="V2510">
            <v>15500</v>
          </cell>
          <cell r="W2510">
            <v>0</v>
          </cell>
          <cell r="X2510">
            <v>15500</v>
          </cell>
          <cell r="Y2510">
            <v>0</v>
          </cell>
          <cell r="Z2510">
            <v>15500</v>
          </cell>
          <cell r="AA2510">
            <v>0</v>
          </cell>
          <cell r="AB2510">
            <v>0</v>
          </cell>
          <cell r="AC2510">
            <v>0</v>
          </cell>
          <cell r="AD2510">
            <v>0.16200000000000001</v>
          </cell>
          <cell r="AE2510">
            <v>0</v>
          </cell>
          <cell r="AF2510">
            <v>0</v>
          </cell>
          <cell r="AG2510">
            <v>0</v>
          </cell>
          <cell r="AH2510">
            <v>2.7</v>
          </cell>
          <cell r="AI2510">
            <v>0.5</v>
          </cell>
          <cell r="AJ2510">
            <v>1</v>
          </cell>
          <cell r="AK2510">
            <v>5.4</v>
          </cell>
          <cell r="AL2510">
            <v>0</v>
          </cell>
        </row>
        <row r="2511">
          <cell r="E2511" t="str">
            <v>Yf1-BLe60</v>
          </cell>
          <cell r="F2511" t="str">
            <v>台</v>
          </cell>
          <cell r="G2511">
            <v>0</v>
          </cell>
          <cell r="H2511">
            <v>28200</v>
          </cell>
          <cell r="I2511">
            <v>0</v>
          </cell>
          <cell r="J2511">
            <v>28200</v>
          </cell>
          <cell r="K2511">
            <v>0</v>
          </cell>
          <cell r="L2511">
            <v>28200</v>
          </cell>
          <cell r="M2511">
            <v>0</v>
          </cell>
          <cell r="N2511">
            <v>28200</v>
          </cell>
          <cell r="O2511">
            <v>0</v>
          </cell>
          <cell r="P2511">
            <v>28200</v>
          </cell>
          <cell r="Q2511">
            <v>0</v>
          </cell>
          <cell r="R2511">
            <v>28200</v>
          </cell>
          <cell r="S2511">
            <v>0</v>
          </cell>
          <cell r="T2511">
            <v>28200</v>
          </cell>
          <cell r="U2511">
            <v>0</v>
          </cell>
          <cell r="V2511">
            <v>28200</v>
          </cell>
          <cell r="W2511">
            <v>0</v>
          </cell>
          <cell r="X2511">
            <v>28200</v>
          </cell>
          <cell r="Y2511">
            <v>0</v>
          </cell>
          <cell r="Z2511">
            <v>28200</v>
          </cell>
          <cell r="AA2511">
            <v>0</v>
          </cell>
          <cell r="AB2511">
            <v>0</v>
          </cell>
          <cell r="AC2511">
            <v>0</v>
          </cell>
          <cell r="AD2511">
            <v>0.16200000000000001</v>
          </cell>
          <cell r="AE2511">
            <v>0</v>
          </cell>
          <cell r="AF2511">
            <v>0</v>
          </cell>
          <cell r="AG2511">
            <v>0</v>
          </cell>
          <cell r="AH2511">
            <v>2.7</v>
          </cell>
          <cell r="AI2511">
            <v>0.5</v>
          </cell>
          <cell r="AJ2511">
            <v>1</v>
          </cell>
          <cell r="AK2511">
            <v>5.4</v>
          </cell>
          <cell r="AL2511">
            <v>0</v>
          </cell>
        </row>
        <row r="2512">
          <cell r="E2512" t="str">
            <v>Yf1-BHe</v>
          </cell>
          <cell r="F2512" t="str">
            <v>台</v>
          </cell>
          <cell r="G2512">
            <v>0</v>
          </cell>
          <cell r="H2512">
            <v>22900</v>
          </cell>
          <cell r="I2512">
            <v>0</v>
          </cell>
          <cell r="J2512">
            <v>22900</v>
          </cell>
          <cell r="K2512">
            <v>0</v>
          </cell>
          <cell r="L2512">
            <v>22900</v>
          </cell>
          <cell r="M2512">
            <v>0</v>
          </cell>
          <cell r="N2512">
            <v>22900</v>
          </cell>
          <cell r="O2512">
            <v>0</v>
          </cell>
          <cell r="P2512">
            <v>22900</v>
          </cell>
          <cell r="Q2512">
            <v>0</v>
          </cell>
          <cell r="R2512">
            <v>22900</v>
          </cell>
          <cell r="S2512">
            <v>0</v>
          </cell>
          <cell r="T2512">
            <v>22900</v>
          </cell>
          <cell r="U2512">
            <v>0</v>
          </cell>
          <cell r="V2512">
            <v>22900</v>
          </cell>
          <cell r="W2512">
            <v>0</v>
          </cell>
          <cell r="X2512">
            <v>22900</v>
          </cell>
          <cell r="Y2512">
            <v>0</v>
          </cell>
          <cell r="Z2512">
            <v>22900</v>
          </cell>
          <cell r="AA2512">
            <v>0</v>
          </cell>
          <cell r="AB2512">
            <v>0</v>
          </cell>
          <cell r="AC2512">
            <v>0</v>
          </cell>
          <cell r="AD2512">
            <v>0.16200000000000001</v>
          </cell>
          <cell r="AE2512">
            <v>0</v>
          </cell>
          <cell r="AF2512">
            <v>0</v>
          </cell>
          <cell r="AG2512">
            <v>0</v>
          </cell>
          <cell r="AH2512">
            <v>3.6</v>
          </cell>
          <cell r="AI2512">
            <v>0.51400000000000001</v>
          </cell>
          <cell r="AJ2512">
            <v>1</v>
          </cell>
          <cell r="AK2512">
            <v>7</v>
          </cell>
          <cell r="AL2512">
            <v>0</v>
          </cell>
        </row>
        <row r="2513">
          <cell r="E2513" t="str">
            <v>Yf1-BHe60</v>
          </cell>
          <cell r="F2513" t="str">
            <v>台</v>
          </cell>
          <cell r="G2513">
            <v>0</v>
          </cell>
          <cell r="H2513">
            <v>35900</v>
          </cell>
          <cell r="I2513">
            <v>0</v>
          </cell>
          <cell r="J2513">
            <v>35900</v>
          </cell>
          <cell r="K2513">
            <v>0</v>
          </cell>
          <cell r="L2513">
            <v>35900</v>
          </cell>
          <cell r="M2513">
            <v>0</v>
          </cell>
          <cell r="N2513">
            <v>35900</v>
          </cell>
          <cell r="O2513">
            <v>0</v>
          </cell>
          <cell r="P2513">
            <v>35900</v>
          </cell>
          <cell r="Q2513">
            <v>0</v>
          </cell>
          <cell r="R2513">
            <v>35900</v>
          </cell>
          <cell r="S2513">
            <v>0</v>
          </cell>
          <cell r="T2513">
            <v>35900</v>
          </cell>
          <cell r="U2513">
            <v>0</v>
          </cell>
          <cell r="V2513">
            <v>35900</v>
          </cell>
          <cell r="W2513">
            <v>0</v>
          </cell>
          <cell r="X2513">
            <v>35900</v>
          </cell>
          <cell r="Y2513">
            <v>0</v>
          </cell>
          <cell r="Z2513">
            <v>35900</v>
          </cell>
          <cell r="AA2513">
            <v>0</v>
          </cell>
          <cell r="AB2513">
            <v>0</v>
          </cell>
          <cell r="AC2513">
            <v>0</v>
          </cell>
          <cell r="AD2513">
            <v>0.16200000000000001</v>
          </cell>
          <cell r="AE2513">
            <v>0</v>
          </cell>
          <cell r="AF2513">
            <v>0</v>
          </cell>
          <cell r="AG2513">
            <v>0</v>
          </cell>
          <cell r="AH2513">
            <v>3.7</v>
          </cell>
          <cell r="AI2513">
            <v>0.52900000000000003</v>
          </cell>
          <cell r="AJ2513">
            <v>1</v>
          </cell>
          <cell r="AK2513">
            <v>6.99</v>
          </cell>
          <cell r="AL2513">
            <v>0</v>
          </cell>
        </row>
        <row r="2514">
          <cell r="E2514" t="str">
            <v>Yf1-Ae</v>
          </cell>
          <cell r="F2514" t="str">
            <v>台</v>
          </cell>
          <cell r="G2514">
            <v>0</v>
          </cell>
          <cell r="H2514">
            <v>45600</v>
          </cell>
          <cell r="I2514">
            <v>0</v>
          </cell>
          <cell r="J2514">
            <v>45600</v>
          </cell>
          <cell r="K2514">
            <v>0</v>
          </cell>
          <cell r="L2514">
            <v>45600</v>
          </cell>
          <cell r="M2514">
            <v>0</v>
          </cell>
          <cell r="N2514">
            <v>45600</v>
          </cell>
          <cell r="O2514">
            <v>0</v>
          </cell>
          <cell r="P2514">
            <v>45600</v>
          </cell>
          <cell r="Q2514">
            <v>0</v>
          </cell>
          <cell r="R2514">
            <v>45600</v>
          </cell>
          <cell r="S2514">
            <v>0</v>
          </cell>
          <cell r="T2514">
            <v>45600</v>
          </cell>
          <cell r="U2514">
            <v>0</v>
          </cell>
          <cell r="V2514">
            <v>45600</v>
          </cell>
          <cell r="W2514">
            <v>0</v>
          </cell>
          <cell r="X2514">
            <v>45600</v>
          </cell>
          <cell r="Y2514">
            <v>0</v>
          </cell>
          <cell r="Z2514">
            <v>45600</v>
          </cell>
          <cell r="AA2514">
            <v>0</v>
          </cell>
          <cell r="AB2514">
            <v>0</v>
          </cell>
          <cell r="AC2514">
            <v>0</v>
          </cell>
          <cell r="AD2514">
            <v>0.26100000000000001</v>
          </cell>
          <cell r="AE2514">
            <v>0</v>
          </cell>
          <cell r="AF2514">
            <v>0</v>
          </cell>
          <cell r="AG2514">
            <v>0</v>
          </cell>
          <cell r="AH2514">
            <v>10.5</v>
          </cell>
          <cell r="AI2514">
            <v>0.55300000000000005</v>
          </cell>
          <cell r="AJ2514">
            <v>1</v>
          </cell>
          <cell r="AK2514">
            <v>18.98</v>
          </cell>
          <cell r="AL2514">
            <v>0</v>
          </cell>
        </row>
        <row r="2515">
          <cell r="E2515" t="str">
            <v>■通路(直付両面)</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row>
        <row r="2516">
          <cell r="E2516" t="str">
            <v>Yg2-Ce</v>
          </cell>
          <cell r="F2516" t="str">
            <v>台</v>
          </cell>
          <cell r="G2516">
            <v>0</v>
          </cell>
          <cell r="H2516">
            <v>11600</v>
          </cell>
          <cell r="I2516">
            <v>0</v>
          </cell>
          <cell r="J2516">
            <v>11600</v>
          </cell>
          <cell r="K2516">
            <v>0</v>
          </cell>
          <cell r="L2516">
            <v>11600</v>
          </cell>
          <cell r="M2516">
            <v>0</v>
          </cell>
          <cell r="N2516">
            <v>11600</v>
          </cell>
          <cell r="O2516">
            <v>0</v>
          </cell>
          <cell r="P2516">
            <v>11600</v>
          </cell>
          <cell r="Q2516">
            <v>0</v>
          </cell>
          <cell r="R2516">
            <v>11600</v>
          </cell>
          <cell r="S2516">
            <v>0</v>
          </cell>
          <cell r="T2516">
            <v>11600</v>
          </cell>
          <cell r="U2516">
            <v>0</v>
          </cell>
          <cell r="V2516">
            <v>11600</v>
          </cell>
          <cell r="W2516">
            <v>0</v>
          </cell>
          <cell r="X2516">
            <v>11600</v>
          </cell>
          <cell r="Y2516">
            <v>0</v>
          </cell>
          <cell r="Z2516">
            <v>11600</v>
          </cell>
          <cell r="AA2516">
            <v>0</v>
          </cell>
          <cell r="AB2516">
            <v>0</v>
          </cell>
          <cell r="AC2516">
            <v>0</v>
          </cell>
          <cell r="AD2516">
            <v>0.14099999999999999</v>
          </cell>
          <cell r="AE2516">
            <v>0</v>
          </cell>
          <cell r="AF2516">
            <v>0</v>
          </cell>
          <cell r="AG2516">
            <v>0</v>
          </cell>
          <cell r="AH2516">
            <v>2.6</v>
          </cell>
          <cell r="AI2516">
            <v>0.49099999999999999</v>
          </cell>
          <cell r="AJ2516">
            <v>1</v>
          </cell>
          <cell r="AK2516">
            <v>5.29</v>
          </cell>
          <cell r="AL2516">
            <v>0</v>
          </cell>
        </row>
        <row r="2517">
          <cell r="E2517" t="str">
            <v>Yg2-Ce60</v>
          </cell>
          <cell r="F2517" t="str">
            <v>台</v>
          </cell>
          <cell r="G2517">
            <v>0</v>
          </cell>
          <cell r="H2517">
            <v>26700</v>
          </cell>
          <cell r="I2517">
            <v>0</v>
          </cell>
          <cell r="J2517">
            <v>26700</v>
          </cell>
          <cell r="K2517">
            <v>0</v>
          </cell>
          <cell r="L2517">
            <v>26700</v>
          </cell>
          <cell r="M2517">
            <v>0</v>
          </cell>
          <cell r="N2517">
            <v>26700</v>
          </cell>
          <cell r="O2517">
            <v>0</v>
          </cell>
          <cell r="P2517">
            <v>26700</v>
          </cell>
          <cell r="Q2517">
            <v>0</v>
          </cell>
          <cell r="R2517">
            <v>26700</v>
          </cell>
          <cell r="S2517">
            <v>0</v>
          </cell>
          <cell r="T2517">
            <v>26700</v>
          </cell>
          <cell r="U2517">
            <v>0</v>
          </cell>
          <cell r="V2517">
            <v>26700</v>
          </cell>
          <cell r="W2517">
            <v>0</v>
          </cell>
          <cell r="X2517">
            <v>26700</v>
          </cell>
          <cell r="Y2517">
            <v>0</v>
          </cell>
          <cell r="Z2517">
            <v>26700</v>
          </cell>
          <cell r="AA2517">
            <v>0</v>
          </cell>
          <cell r="AB2517">
            <v>0</v>
          </cell>
          <cell r="AC2517">
            <v>0</v>
          </cell>
          <cell r="AD2517">
            <v>0.14099999999999999</v>
          </cell>
          <cell r="AE2517">
            <v>0</v>
          </cell>
          <cell r="AF2517">
            <v>0</v>
          </cell>
          <cell r="AG2517">
            <v>0</v>
          </cell>
          <cell r="AH2517">
            <v>2.6</v>
          </cell>
          <cell r="AI2517">
            <v>0.49099999999999999</v>
          </cell>
          <cell r="AJ2517">
            <v>1</v>
          </cell>
          <cell r="AK2517">
            <v>5.29</v>
          </cell>
          <cell r="AL2517">
            <v>0</v>
          </cell>
        </row>
        <row r="2518">
          <cell r="E2518" t="str">
            <v>Yg2-BLe</v>
          </cell>
          <cell r="F2518" t="str">
            <v>台</v>
          </cell>
          <cell r="G2518">
            <v>0</v>
          </cell>
          <cell r="H2518">
            <v>17200</v>
          </cell>
          <cell r="I2518">
            <v>0</v>
          </cell>
          <cell r="J2518">
            <v>17200</v>
          </cell>
          <cell r="K2518">
            <v>0</v>
          </cell>
          <cell r="L2518">
            <v>17200</v>
          </cell>
          <cell r="M2518">
            <v>0</v>
          </cell>
          <cell r="N2518">
            <v>17200</v>
          </cell>
          <cell r="O2518">
            <v>0</v>
          </cell>
          <cell r="P2518">
            <v>17200</v>
          </cell>
          <cell r="Q2518">
            <v>0</v>
          </cell>
          <cell r="R2518">
            <v>17200</v>
          </cell>
          <cell r="S2518">
            <v>0</v>
          </cell>
          <cell r="T2518">
            <v>17200</v>
          </cell>
          <cell r="U2518">
            <v>0</v>
          </cell>
          <cell r="V2518">
            <v>17200</v>
          </cell>
          <cell r="W2518">
            <v>0</v>
          </cell>
          <cell r="X2518">
            <v>17200</v>
          </cell>
          <cell r="Y2518">
            <v>0</v>
          </cell>
          <cell r="Z2518">
            <v>17200</v>
          </cell>
          <cell r="AA2518">
            <v>0</v>
          </cell>
          <cell r="AB2518">
            <v>0</v>
          </cell>
          <cell r="AC2518">
            <v>0</v>
          </cell>
          <cell r="AD2518">
            <v>0.16200000000000001</v>
          </cell>
          <cell r="AE2518">
            <v>0</v>
          </cell>
          <cell r="AF2518">
            <v>0</v>
          </cell>
          <cell r="AG2518">
            <v>0</v>
          </cell>
          <cell r="AH2518">
            <v>3.6</v>
          </cell>
          <cell r="AI2518">
            <v>0.52900000000000003</v>
          </cell>
          <cell r="AJ2518">
            <v>1</v>
          </cell>
          <cell r="AK2518">
            <v>6.8</v>
          </cell>
          <cell r="AL2518">
            <v>0</v>
          </cell>
        </row>
        <row r="2519">
          <cell r="E2519" t="str">
            <v>Yg2-BLe60</v>
          </cell>
          <cell r="F2519" t="str">
            <v>台</v>
          </cell>
          <cell r="G2519">
            <v>0</v>
          </cell>
          <cell r="H2519">
            <v>31200</v>
          </cell>
          <cell r="I2519">
            <v>0</v>
          </cell>
          <cell r="J2519">
            <v>31200</v>
          </cell>
          <cell r="K2519">
            <v>0</v>
          </cell>
          <cell r="L2519">
            <v>31200</v>
          </cell>
          <cell r="M2519">
            <v>0</v>
          </cell>
          <cell r="N2519">
            <v>31200</v>
          </cell>
          <cell r="O2519">
            <v>0</v>
          </cell>
          <cell r="P2519">
            <v>31200</v>
          </cell>
          <cell r="Q2519">
            <v>0</v>
          </cell>
          <cell r="R2519">
            <v>31200</v>
          </cell>
          <cell r="S2519">
            <v>0</v>
          </cell>
          <cell r="T2519">
            <v>31200</v>
          </cell>
          <cell r="U2519">
            <v>0</v>
          </cell>
          <cell r="V2519">
            <v>31200</v>
          </cell>
          <cell r="W2519">
            <v>0</v>
          </cell>
          <cell r="X2519">
            <v>31200</v>
          </cell>
          <cell r="Y2519">
            <v>0</v>
          </cell>
          <cell r="Z2519">
            <v>31200</v>
          </cell>
          <cell r="AA2519">
            <v>0</v>
          </cell>
          <cell r="AB2519">
            <v>0</v>
          </cell>
          <cell r="AC2519">
            <v>0</v>
          </cell>
          <cell r="AD2519">
            <v>0.16200000000000001</v>
          </cell>
          <cell r="AE2519">
            <v>0</v>
          </cell>
          <cell r="AF2519">
            <v>0</v>
          </cell>
          <cell r="AG2519">
            <v>0</v>
          </cell>
          <cell r="AH2519">
            <v>3.7</v>
          </cell>
          <cell r="AI2519">
            <v>0.52100000000000002</v>
          </cell>
          <cell r="AJ2519">
            <v>1</v>
          </cell>
          <cell r="AK2519">
            <v>7.1</v>
          </cell>
          <cell r="AL2519">
            <v>0</v>
          </cell>
        </row>
        <row r="2520">
          <cell r="E2520" t="str">
            <v>Yg2-BHe</v>
          </cell>
          <cell r="F2520" t="str">
            <v>台</v>
          </cell>
          <cell r="G2520">
            <v>0</v>
          </cell>
          <cell r="H2520">
            <v>27300</v>
          </cell>
          <cell r="I2520">
            <v>0</v>
          </cell>
          <cell r="J2520">
            <v>27300</v>
          </cell>
          <cell r="K2520">
            <v>0</v>
          </cell>
          <cell r="L2520">
            <v>27300</v>
          </cell>
          <cell r="M2520">
            <v>0</v>
          </cell>
          <cell r="N2520">
            <v>27300</v>
          </cell>
          <cell r="O2520">
            <v>0</v>
          </cell>
          <cell r="P2520">
            <v>27300</v>
          </cell>
          <cell r="Q2520">
            <v>0</v>
          </cell>
          <cell r="R2520">
            <v>27300</v>
          </cell>
          <cell r="S2520">
            <v>0</v>
          </cell>
          <cell r="T2520">
            <v>27300</v>
          </cell>
          <cell r="U2520">
            <v>0</v>
          </cell>
          <cell r="V2520">
            <v>27300</v>
          </cell>
          <cell r="W2520">
            <v>0</v>
          </cell>
          <cell r="X2520">
            <v>27300</v>
          </cell>
          <cell r="Y2520">
            <v>0</v>
          </cell>
          <cell r="Z2520">
            <v>27300</v>
          </cell>
          <cell r="AA2520">
            <v>0</v>
          </cell>
          <cell r="AB2520">
            <v>0</v>
          </cell>
          <cell r="AC2520">
            <v>0</v>
          </cell>
          <cell r="AD2520">
            <v>0.16200000000000001</v>
          </cell>
          <cell r="AE2520">
            <v>0</v>
          </cell>
          <cell r="AF2520">
            <v>0</v>
          </cell>
          <cell r="AG2520">
            <v>0</v>
          </cell>
          <cell r="AH2520">
            <v>5.4</v>
          </cell>
          <cell r="AI2520">
            <v>0.54</v>
          </cell>
          <cell r="AJ2520">
            <v>1</v>
          </cell>
          <cell r="AK2520">
            <v>10</v>
          </cell>
          <cell r="AL2520">
            <v>0</v>
          </cell>
        </row>
        <row r="2521">
          <cell r="E2521" t="str">
            <v>Yg2-BHe60</v>
          </cell>
          <cell r="F2521" t="str">
            <v>台</v>
          </cell>
          <cell r="G2521">
            <v>0</v>
          </cell>
          <cell r="H2521">
            <v>41200</v>
          </cell>
          <cell r="I2521">
            <v>0</v>
          </cell>
          <cell r="J2521">
            <v>41200</v>
          </cell>
          <cell r="K2521">
            <v>0</v>
          </cell>
          <cell r="L2521">
            <v>41200</v>
          </cell>
          <cell r="M2521">
            <v>0</v>
          </cell>
          <cell r="N2521">
            <v>41200</v>
          </cell>
          <cell r="O2521">
            <v>0</v>
          </cell>
          <cell r="P2521">
            <v>41200</v>
          </cell>
          <cell r="Q2521">
            <v>0</v>
          </cell>
          <cell r="R2521">
            <v>41200</v>
          </cell>
          <cell r="S2521">
            <v>0</v>
          </cell>
          <cell r="T2521">
            <v>41200</v>
          </cell>
          <cell r="U2521">
            <v>0</v>
          </cell>
          <cell r="V2521">
            <v>41200</v>
          </cell>
          <cell r="W2521">
            <v>0</v>
          </cell>
          <cell r="X2521">
            <v>41200</v>
          </cell>
          <cell r="Y2521">
            <v>0</v>
          </cell>
          <cell r="Z2521">
            <v>41200</v>
          </cell>
          <cell r="AA2521">
            <v>0</v>
          </cell>
          <cell r="AB2521">
            <v>0</v>
          </cell>
          <cell r="AC2521">
            <v>0</v>
          </cell>
          <cell r="AD2521">
            <v>0.16200000000000001</v>
          </cell>
          <cell r="AE2521">
            <v>0</v>
          </cell>
          <cell r="AF2521">
            <v>0</v>
          </cell>
          <cell r="AG2521">
            <v>0</v>
          </cell>
          <cell r="AH2521">
            <v>5.5</v>
          </cell>
          <cell r="AI2521">
            <v>0.55000000000000004</v>
          </cell>
          <cell r="AJ2521">
            <v>1</v>
          </cell>
          <cell r="AK2521">
            <v>10</v>
          </cell>
          <cell r="AL2521">
            <v>0</v>
          </cell>
        </row>
        <row r="2522">
          <cell r="E2522" t="str">
            <v>Yg2-Ae</v>
          </cell>
          <cell r="F2522" t="str">
            <v>台</v>
          </cell>
          <cell r="G2522">
            <v>0</v>
          </cell>
          <cell r="H2522">
            <v>75200</v>
          </cell>
          <cell r="I2522">
            <v>0</v>
          </cell>
          <cell r="J2522">
            <v>75200</v>
          </cell>
          <cell r="K2522">
            <v>0</v>
          </cell>
          <cell r="L2522">
            <v>75200</v>
          </cell>
          <cell r="M2522">
            <v>0</v>
          </cell>
          <cell r="N2522">
            <v>75200</v>
          </cell>
          <cell r="O2522">
            <v>0</v>
          </cell>
          <cell r="P2522">
            <v>75200</v>
          </cell>
          <cell r="Q2522">
            <v>0</v>
          </cell>
          <cell r="R2522">
            <v>75200</v>
          </cell>
          <cell r="S2522">
            <v>0</v>
          </cell>
          <cell r="T2522">
            <v>75200</v>
          </cell>
          <cell r="U2522">
            <v>0</v>
          </cell>
          <cell r="V2522">
            <v>75200</v>
          </cell>
          <cell r="W2522">
            <v>0</v>
          </cell>
          <cell r="X2522">
            <v>75200</v>
          </cell>
          <cell r="Y2522">
            <v>0</v>
          </cell>
          <cell r="Z2522">
            <v>75200</v>
          </cell>
          <cell r="AA2522">
            <v>0</v>
          </cell>
          <cell r="AB2522">
            <v>0</v>
          </cell>
          <cell r="AC2522">
            <v>0</v>
          </cell>
          <cell r="AD2522">
            <v>0.26100000000000001</v>
          </cell>
          <cell r="AE2522">
            <v>0</v>
          </cell>
          <cell r="AF2522">
            <v>0</v>
          </cell>
          <cell r="AG2522">
            <v>0</v>
          </cell>
          <cell r="AH2522">
            <v>10.7</v>
          </cell>
          <cell r="AI2522">
            <v>0.53500000000000003</v>
          </cell>
          <cell r="AJ2522">
            <v>1</v>
          </cell>
          <cell r="AK2522">
            <v>20</v>
          </cell>
          <cell r="AL2522">
            <v>0</v>
          </cell>
        </row>
        <row r="2523">
          <cell r="E2523">
            <v>0</v>
          </cell>
          <cell r="F2523">
            <v>0</v>
          </cell>
          <cell r="G2523" t="str">
            <v>定価↓</v>
          </cell>
          <cell r="H2523">
            <v>0</v>
          </cell>
          <cell r="I2523" t="str">
            <v>定価↓</v>
          </cell>
          <cell r="J2523">
            <v>0</v>
          </cell>
          <cell r="K2523" t="str">
            <v>定価↓</v>
          </cell>
          <cell r="L2523">
            <v>0</v>
          </cell>
          <cell r="M2523" t="str">
            <v>定価↓</v>
          </cell>
          <cell r="N2523">
            <v>0</v>
          </cell>
          <cell r="O2523" t="str">
            <v>定価↓</v>
          </cell>
          <cell r="P2523">
            <v>0</v>
          </cell>
          <cell r="Q2523" t="str">
            <v>定価↓</v>
          </cell>
          <cell r="R2523">
            <v>0</v>
          </cell>
          <cell r="S2523" t="str">
            <v>定価↓</v>
          </cell>
          <cell r="T2523">
            <v>0</v>
          </cell>
          <cell r="U2523" t="str">
            <v>定価↓</v>
          </cell>
          <cell r="V2523">
            <v>0</v>
          </cell>
          <cell r="W2523" t="str">
            <v>定価↓</v>
          </cell>
          <cell r="X2523">
            <v>0</v>
          </cell>
          <cell r="Y2523" t="str">
            <v>定価↓</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row>
        <row r="2524">
          <cell r="E2524" t="str">
            <v>LBF1-LN</v>
          </cell>
          <cell r="F2524" t="str">
            <v>台</v>
          </cell>
          <cell r="G2524">
            <v>29500</v>
          </cell>
          <cell r="H2524">
            <v>13200</v>
          </cell>
          <cell r="I2524">
            <v>29500</v>
          </cell>
          <cell r="J2524">
            <v>13200</v>
          </cell>
          <cell r="K2524">
            <v>29500</v>
          </cell>
          <cell r="L2524">
            <v>13200</v>
          </cell>
          <cell r="M2524">
            <v>29500</v>
          </cell>
          <cell r="N2524">
            <v>13200</v>
          </cell>
          <cell r="O2524">
            <v>29500</v>
          </cell>
          <cell r="P2524">
            <v>13200</v>
          </cell>
          <cell r="Q2524">
            <v>29500</v>
          </cell>
          <cell r="R2524">
            <v>13200</v>
          </cell>
          <cell r="S2524">
            <v>29500</v>
          </cell>
          <cell r="T2524">
            <v>13200</v>
          </cell>
          <cell r="U2524">
            <v>29500</v>
          </cell>
          <cell r="V2524">
            <v>13200</v>
          </cell>
          <cell r="W2524">
            <v>29500</v>
          </cell>
          <cell r="X2524">
            <v>13200</v>
          </cell>
          <cell r="Y2524">
            <v>29500</v>
          </cell>
          <cell r="Z2524">
            <v>13200</v>
          </cell>
          <cell r="AA2524">
            <v>0</v>
          </cell>
          <cell r="AB2524">
            <v>0</v>
          </cell>
          <cell r="AC2524">
            <v>0</v>
          </cell>
          <cell r="AD2524">
            <v>0.13</v>
          </cell>
          <cell r="AE2524">
            <v>0</v>
          </cell>
          <cell r="AF2524">
            <v>0</v>
          </cell>
          <cell r="AG2524">
            <v>24.2</v>
          </cell>
          <cell r="AH2524">
            <v>2.2000000000000002</v>
          </cell>
          <cell r="AI2524">
            <v>0.629</v>
          </cell>
          <cell r="AJ2524">
            <v>1</v>
          </cell>
          <cell r="AK2524">
            <v>3.5</v>
          </cell>
          <cell r="AL2524" t="str">
            <v>Panasonic</v>
          </cell>
        </row>
        <row r="2525">
          <cell r="E2525" t="str">
            <v>LBF2R P-950LM-LN</v>
          </cell>
          <cell r="F2525" t="str">
            <v>台</v>
          </cell>
          <cell r="G2525">
            <v>23500</v>
          </cell>
          <cell r="H2525">
            <v>14100</v>
          </cell>
          <cell r="I2525">
            <v>23500</v>
          </cell>
          <cell r="J2525">
            <v>14100</v>
          </cell>
          <cell r="K2525">
            <v>23500</v>
          </cell>
          <cell r="L2525">
            <v>14100</v>
          </cell>
          <cell r="M2525">
            <v>23500</v>
          </cell>
          <cell r="N2525">
            <v>14100</v>
          </cell>
          <cell r="O2525">
            <v>23500</v>
          </cell>
          <cell r="P2525">
            <v>14100</v>
          </cell>
          <cell r="Q2525">
            <v>23500</v>
          </cell>
          <cell r="R2525">
            <v>14100</v>
          </cell>
          <cell r="S2525">
            <v>23500</v>
          </cell>
          <cell r="T2525">
            <v>14100</v>
          </cell>
          <cell r="U2525">
            <v>23500</v>
          </cell>
          <cell r="V2525">
            <v>14100</v>
          </cell>
          <cell r="W2525">
            <v>23500</v>
          </cell>
          <cell r="X2525">
            <v>14100</v>
          </cell>
          <cell r="Y2525">
            <v>23500</v>
          </cell>
          <cell r="Z2525">
            <v>14100</v>
          </cell>
          <cell r="AA2525">
            <v>0</v>
          </cell>
          <cell r="AB2525">
            <v>0</v>
          </cell>
          <cell r="AC2525">
            <v>0</v>
          </cell>
          <cell r="AD2525">
            <v>0.13</v>
          </cell>
          <cell r="AE2525">
            <v>0</v>
          </cell>
          <cell r="AF2525">
            <v>0</v>
          </cell>
          <cell r="AG2525">
            <v>1360</v>
          </cell>
          <cell r="AH2525">
            <v>15.3</v>
          </cell>
          <cell r="AI2525">
            <v>0.85</v>
          </cell>
          <cell r="AJ2525">
            <v>1</v>
          </cell>
          <cell r="AK2525">
            <v>18</v>
          </cell>
          <cell r="AL2525" t="str">
            <v>　 ↓</v>
          </cell>
        </row>
        <row r="2526">
          <cell r="E2526" t="str">
            <v>LRS1-950LM-LN</v>
          </cell>
          <cell r="F2526" t="str">
            <v>台</v>
          </cell>
          <cell r="G2526">
            <v>15500</v>
          </cell>
          <cell r="H2526">
            <v>6970</v>
          </cell>
          <cell r="I2526">
            <v>15500</v>
          </cell>
          <cell r="J2526">
            <v>6970</v>
          </cell>
          <cell r="K2526">
            <v>15500</v>
          </cell>
          <cell r="L2526">
            <v>6970</v>
          </cell>
          <cell r="M2526">
            <v>15500</v>
          </cell>
          <cell r="N2526">
            <v>6970</v>
          </cell>
          <cell r="O2526">
            <v>15500</v>
          </cell>
          <cell r="P2526">
            <v>6970</v>
          </cell>
          <cell r="Q2526">
            <v>15500</v>
          </cell>
          <cell r="R2526">
            <v>6970</v>
          </cell>
          <cell r="S2526">
            <v>15500</v>
          </cell>
          <cell r="T2526">
            <v>6970</v>
          </cell>
          <cell r="U2526">
            <v>15500</v>
          </cell>
          <cell r="V2526">
            <v>6970</v>
          </cell>
          <cell r="W2526">
            <v>15500</v>
          </cell>
          <cell r="X2526">
            <v>6970</v>
          </cell>
          <cell r="Y2526">
            <v>15500</v>
          </cell>
          <cell r="Z2526">
            <v>6970</v>
          </cell>
          <cell r="AA2526">
            <v>0</v>
          </cell>
          <cell r="AB2526">
            <v>0</v>
          </cell>
          <cell r="AC2526">
            <v>0</v>
          </cell>
          <cell r="AD2526">
            <v>0.20899999999999999</v>
          </cell>
          <cell r="AE2526">
            <v>0</v>
          </cell>
          <cell r="AF2526">
            <v>0</v>
          </cell>
          <cell r="AG2526">
            <v>1015</v>
          </cell>
          <cell r="AH2526">
            <v>10.1</v>
          </cell>
          <cell r="AI2526">
            <v>0.98099999999999998</v>
          </cell>
          <cell r="AJ2526">
            <v>1</v>
          </cell>
          <cell r="AK2526">
            <v>10.3</v>
          </cell>
          <cell r="AL2526" t="str">
            <v>　 ↓</v>
          </cell>
        </row>
        <row r="2527">
          <cell r="E2527" t="str">
            <v>LRS1-950LM-LZ</v>
          </cell>
          <cell r="F2527" t="str">
            <v>台</v>
          </cell>
          <cell r="G2527">
            <v>18500</v>
          </cell>
          <cell r="H2527">
            <v>8320</v>
          </cell>
          <cell r="I2527">
            <v>18500</v>
          </cell>
          <cell r="J2527">
            <v>8320</v>
          </cell>
          <cell r="K2527">
            <v>18500</v>
          </cell>
          <cell r="L2527">
            <v>8320</v>
          </cell>
          <cell r="M2527">
            <v>18500</v>
          </cell>
          <cell r="N2527">
            <v>8320</v>
          </cell>
          <cell r="O2527">
            <v>18500</v>
          </cell>
          <cell r="P2527">
            <v>8320</v>
          </cell>
          <cell r="Q2527">
            <v>18500</v>
          </cell>
          <cell r="R2527">
            <v>8320</v>
          </cell>
          <cell r="S2527">
            <v>18500</v>
          </cell>
          <cell r="T2527">
            <v>8320</v>
          </cell>
          <cell r="U2527">
            <v>18500</v>
          </cell>
          <cell r="V2527">
            <v>8320</v>
          </cell>
          <cell r="W2527">
            <v>18500</v>
          </cell>
          <cell r="X2527">
            <v>8320</v>
          </cell>
          <cell r="Y2527">
            <v>18500</v>
          </cell>
          <cell r="Z2527">
            <v>8320</v>
          </cell>
          <cell r="AA2527">
            <v>0</v>
          </cell>
          <cell r="AB2527">
            <v>0</v>
          </cell>
          <cell r="AC2527">
            <v>0</v>
          </cell>
          <cell r="AD2527">
            <v>0.20899999999999999</v>
          </cell>
          <cell r="AE2527">
            <v>0</v>
          </cell>
          <cell r="AF2527">
            <v>0</v>
          </cell>
          <cell r="AG2527">
            <v>1015</v>
          </cell>
          <cell r="AH2527">
            <v>10.1</v>
          </cell>
          <cell r="AI2527">
            <v>0.98099999999999998</v>
          </cell>
          <cell r="AJ2527">
            <v>1</v>
          </cell>
          <cell r="AK2527">
            <v>10.3</v>
          </cell>
          <cell r="AL2527" t="str">
            <v>　 ↓</v>
          </cell>
        </row>
        <row r="2528">
          <cell r="E2528" t="str">
            <v>LRS1-1400LM-LN</v>
          </cell>
          <cell r="F2528" t="str">
            <v>台</v>
          </cell>
          <cell r="G2528">
            <v>20800</v>
          </cell>
          <cell r="H2528">
            <v>9360</v>
          </cell>
          <cell r="I2528">
            <v>20800</v>
          </cell>
          <cell r="J2528">
            <v>9360</v>
          </cell>
          <cell r="K2528">
            <v>20800</v>
          </cell>
          <cell r="L2528">
            <v>9360</v>
          </cell>
          <cell r="M2528">
            <v>20800</v>
          </cell>
          <cell r="N2528">
            <v>9360</v>
          </cell>
          <cell r="O2528">
            <v>20800</v>
          </cell>
          <cell r="P2528">
            <v>9360</v>
          </cell>
          <cell r="Q2528">
            <v>20800</v>
          </cell>
          <cell r="R2528">
            <v>9360</v>
          </cell>
          <cell r="S2528">
            <v>20800</v>
          </cell>
          <cell r="T2528">
            <v>9360</v>
          </cell>
          <cell r="U2528">
            <v>20800</v>
          </cell>
          <cell r="V2528">
            <v>9360</v>
          </cell>
          <cell r="W2528">
            <v>20800</v>
          </cell>
          <cell r="X2528">
            <v>9360</v>
          </cell>
          <cell r="Y2528">
            <v>20800</v>
          </cell>
          <cell r="Z2528">
            <v>9360</v>
          </cell>
          <cell r="AA2528">
            <v>0</v>
          </cell>
          <cell r="AB2528">
            <v>0</v>
          </cell>
          <cell r="AC2528">
            <v>0</v>
          </cell>
          <cell r="AD2528">
            <v>0.20899999999999999</v>
          </cell>
          <cell r="AE2528">
            <v>0</v>
          </cell>
          <cell r="AF2528">
            <v>0</v>
          </cell>
          <cell r="AG2528">
            <v>1550</v>
          </cell>
          <cell r="AH2528">
            <v>14.7</v>
          </cell>
          <cell r="AI2528">
            <v>0.98599999999999999</v>
          </cell>
          <cell r="AJ2528">
            <v>1</v>
          </cell>
          <cell r="AK2528">
            <v>14.9</v>
          </cell>
          <cell r="AL2528" t="str">
            <v>　 ↓</v>
          </cell>
        </row>
        <row r="2529">
          <cell r="E2529" t="str">
            <v>LBS1-1400LM-LZ</v>
          </cell>
          <cell r="F2529" t="str">
            <v>台</v>
          </cell>
          <cell r="G2529">
            <v>23800</v>
          </cell>
          <cell r="H2529">
            <v>10700</v>
          </cell>
          <cell r="I2529">
            <v>23800</v>
          </cell>
          <cell r="J2529">
            <v>10700</v>
          </cell>
          <cell r="K2529">
            <v>23800</v>
          </cell>
          <cell r="L2529">
            <v>10700</v>
          </cell>
          <cell r="M2529">
            <v>23800</v>
          </cell>
          <cell r="N2529">
            <v>10700</v>
          </cell>
          <cell r="O2529">
            <v>23800</v>
          </cell>
          <cell r="P2529">
            <v>10700</v>
          </cell>
          <cell r="Q2529">
            <v>23800</v>
          </cell>
          <cell r="R2529">
            <v>10700</v>
          </cell>
          <cell r="S2529">
            <v>23800</v>
          </cell>
          <cell r="T2529">
            <v>10700</v>
          </cell>
          <cell r="U2529">
            <v>23800</v>
          </cell>
          <cell r="V2529">
            <v>10700</v>
          </cell>
          <cell r="W2529">
            <v>23800</v>
          </cell>
          <cell r="X2529">
            <v>10700</v>
          </cell>
          <cell r="Y2529">
            <v>23800</v>
          </cell>
          <cell r="Z2529">
            <v>10700</v>
          </cell>
          <cell r="AA2529">
            <v>0</v>
          </cell>
          <cell r="AB2529">
            <v>0</v>
          </cell>
          <cell r="AC2529">
            <v>0</v>
          </cell>
          <cell r="AD2529">
            <v>0.20899999999999999</v>
          </cell>
          <cell r="AE2529">
            <v>0</v>
          </cell>
          <cell r="AF2529">
            <v>0</v>
          </cell>
          <cell r="AG2529">
            <v>1695</v>
          </cell>
          <cell r="AH2529">
            <v>16.5</v>
          </cell>
          <cell r="AI2529">
            <v>0.97099999999999997</v>
          </cell>
          <cell r="AJ2529">
            <v>1</v>
          </cell>
          <cell r="AK2529">
            <v>17</v>
          </cell>
          <cell r="AL2529" t="str">
            <v>　 ↓</v>
          </cell>
        </row>
        <row r="2530">
          <cell r="E2530" t="str">
            <v>LRS1-1900LM-LN</v>
          </cell>
          <cell r="F2530" t="str">
            <v>台</v>
          </cell>
          <cell r="G2530">
            <v>25800</v>
          </cell>
          <cell r="H2530">
            <v>11600</v>
          </cell>
          <cell r="I2530">
            <v>25800</v>
          </cell>
          <cell r="J2530">
            <v>11600</v>
          </cell>
          <cell r="K2530">
            <v>25800</v>
          </cell>
          <cell r="L2530">
            <v>11600</v>
          </cell>
          <cell r="M2530">
            <v>25800</v>
          </cell>
          <cell r="N2530">
            <v>11600</v>
          </cell>
          <cell r="O2530">
            <v>25800</v>
          </cell>
          <cell r="P2530">
            <v>11600</v>
          </cell>
          <cell r="Q2530">
            <v>25800</v>
          </cell>
          <cell r="R2530">
            <v>11600</v>
          </cell>
          <cell r="S2530">
            <v>25800</v>
          </cell>
          <cell r="T2530">
            <v>11600</v>
          </cell>
          <cell r="U2530">
            <v>25800</v>
          </cell>
          <cell r="V2530">
            <v>11600</v>
          </cell>
          <cell r="W2530">
            <v>25800</v>
          </cell>
          <cell r="X2530">
            <v>11600</v>
          </cell>
          <cell r="Y2530">
            <v>25800</v>
          </cell>
          <cell r="Z2530">
            <v>11600</v>
          </cell>
          <cell r="AA2530">
            <v>0</v>
          </cell>
          <cell r="AB2530">
            <v>0</v>
          </cell>
          <cell r="AC2530">
            <v>0</v>
          </cell>
          <cell r="AD2530">
            <v>0.20899999999999999</v>
          </cell>
          <cell r="AE2530">
            <v>0</v>
          </cell>
          <cell r="AF2530">
            <v>0</v>
          </cell>
          <cell r="AG2530">
            <v>2015</v>
          </cell>
          <cell r="AH2530">
            <v>17.7</v>
          </cell>
          <cell r="AI2530">
            <v>0.98299999999999998</v>
          </cell>
          <cell r="AJ2530">
            <v>1</v>
          </cell>
          <cell r="AK2530">
            <v>18</v>
          </cell>
          <cell r="AL2530" t="str">
            <v>　 ↓</v>
          </cell>
        </row>
        <row r="2531">
          <cell r="E2531" t="str">
            <v>LBS1-1900LM-LZ</v>
          </cell>
          <cell r="F2531" t="str">
            <v>台</v>
          </cell>
          <cell r="G2531">
            <v>28800</v>
          </cell>
          <cell r="H2531">
            <v>12900</v>
          </cell>
          <cell r="I2531">
            <v>28800</v>
          </cell>
          <cell r="J2531">
            <v>12900</v>
          </cell>
          <cell r="K2531">
            <v>28800</v>
          </cell>
          <cell r="L2531">
            <v>12900</v>
          </cell>
          <cell r="M2531">
            <v>28800</v>
          </cell>
          <cell r="N2531">
            <v>12900</v>
          </cell>
          <cell r="O2531">
            <v>28800</v>
          </cell>
          <cell r="P2531">
            <v>12900</v>
          </cell>
          <cell r="Q2531">
            <v>28800</v>
          </cell>
          <cell r="R2531">
            <v>12900</v>
          </cell>
          <cell r="S2531">
            <v>28800</v>
          </cell>
          <cell r="T2531">
            <v>12900</v>
          </cell>
          <cell r="U2531">
            <v>28800</v>
          </cell>
          <cell r="V2531">
            <v>12900</v>
          </cell>
          <cell r="W2531">
            <v>28800</v>
          </cell>
          <cell r="X2531">
            <v>12900</v>
          </cell>
          <cell r="Y2531">
            <v>28800</v>
          </cell>
          <cell r="Z2531">
            <v>12900</v>
          </cell>
          <cell r="AA2531">
            <v>0</v>
          </cell>
          <cell r="AB2531">
            <v>0</v>
          </cell>
          <cell r="AC2531">
            <v>0</v>
          </cell>
          <cell r="AD2531">
            <v>0.20899999999999999</v>
          </cell>
          <cell r="AE2531">
            <v>0</v>
          </cell>
          <cell r="AF2531">
            <v>0</v>
          </cell>
          <cell r="AG2531">
            <v>2200</v>
          </cell>
          <cell r="AH2531">
            <v>19.899999999999999</v>
          </cell>
          <cell r="AI2531">
            <v>0.995</v>
          </cell>
          <cell r="AJ2531">
            <v>1</v>
          </cell>
          <cell r="AK2531">
            <v>20</v>
          </cell>
          <cell r="AL2531" t="str">
            <v>　 ↓</v>
          </cell>
        </row>
        <row r="2532">
          <cell r="E2532" t="str">
            <v>LBS1-3300LM-LZ</v>
          </cell>
          <cell r="F2532" t="str">
            <v>台</v>
          </cell>
          <cell r="G2532">
            <v>41500</v>
          </cell>
          <cell r="H2532">
            <v>18600</v>
          </cell>
          <cell r="I2532">
            <v>41500</v>
          </cell>
          <cell r="J2532">
            <v>18600</v>
          </cell>
          <cell r="K2532">
            <v>41500</v>
          </cell>
          <cell r="L2532">
            <v>18600</v>
          </cell>
          <cell r="M2532">
            <v>41500</v>
          </cell>
          <cell r="N2532">
            <v>18600</v>
          </cell>
          <cell r="O2532">
            <v>41500</v>
          </cell>
          <cell r="P2532">
            <v>18600</v>
          </cell>
          <cell r="Q2532">
            <v>41500</v>
          </cell>
          <cell r="R2532">
            <v>18600</v>
          </cell>
          <cell r="S2532">
            <v>41500</v>
          </cell>
          <cell r="T2532">
            <v>18600</v>
          </cell>
          <cell r="U2532">
            <v>41500</v>
          </cell>
          <cell r="V2532">
            <v>18600</v>
          </cell>
          <cell r="W2532">
            <v>41500</v>
          </cell>
          <cell r="X2532">
            <v>18600</v>
          </cell>
          <cell r="Y2532">
            <v>41500</v>
          </cell>
          <cell r="Z2532">
            <v>18600</v>
          </cell>
          <cell r="AA2532">
            <v>0</v>
          </cell>
          <cell r="AB2532">
            <v>0</v>
          </cell>
          <cell r="AC2532">
            <v>0</v>
          </cell>
          <cell r="AD2532">
            <v>0.20899999999999999</v>
          </cell>
          <cell r="AE2532">
            <v>0</v>
          </cell>
          <cell r="AF2532">
            <v>0</v>
          </cell>
          <cell r="AG2532">
            <v>3705</v>
          </cell>
          <cell r="AH2532">
            <v>34.799999999999997</v>
          </cell>
          <cell r="AI2532">
            <v>0.94099999999999995</v>
          </cell>
          <cell r="AJ2532">
            <v>1</v>
          </cell>
          <cell r="AK2532">
            <v>37</v>
          </cell>
          <cell r="AL2532" t="str">
            <v>　 ↓</v>
          </cell>
        </row>
        <row r="2533">
          <cell r="E2533" t="str">
            <v>LBS1-5000LM-LZ</v>
          </cell>
          <cell r="F2533" t="str">
            <v>台</v>
          </cell>
          <cell r="G2533">
            <v>56800</v>
          </cell>
          <cell r="H2533">
            <v>25500</v>
          </cell>
          <cell r="I2533">
            <v>56800</v>
          </cell>
          <cell r="J2533">
            <v>25500</v>
          </cell>
          <cell r="K2533">
            <v>56800</v>
          </cell>
          <cell r="L2533">
            <v>25500</v>
          </cell>
          <cell r="M2533">
            <v>56800</v>
          </cell>
          <cell r="N2533">
            <v>25500</v>
          </cell>
          <cell r="O2533">
            <v>56800</v>
          </cell>
          <cell r="P2533">
            <v>25500</v>
          </cell>
          <cell r="Q2533">
            <v>56800</v>
          </cell>
          <cell r="R2533">
            <v>25500</v>
          </cell>
          <cell r="S2533">
            <v>56800</v>
          </cell>
          <cell r="T2533">
            <v>25500</v>
          </cell>
          <cell r="U2533">
            <v>56800</v>
          </cell>
          <cell r="V2533">
            <v>25500</v>
          </cell>
          <cell r="W2533">
            <v>56800</v>
          </cell>
          <cell r="X2533">
            <v>25500</v>
          </cell>
          <cell r="Y2533">
            <v>56800</v>
          </cell>
          <cell r="Z2533">
            <v>25500</v>
          </cell>
          <cell r="AA2533">
            <v>0</v>
          </cell>
          <cell r="AB2533">
            <v>0</v>
          </cell>
          <cell r="AC2533">
            <v>0</v>
          </cell>
          <cell r="AD2533">
            <v>0.35699999999999998</v>
          </cell>
          <cell r="AE2533">
            <v>0</v>
          </cell>
          <cell r="AF2533">
            <v>0</v>
          </cell>
          <cell r="AG2533">
            <v>5670</v>
          </cell>
          <cell r="AH2533">
            <v>54.4</v>
          </cell>
          <cell r="AI2533">
            <v>0.93799999999999994</v>
          </cell>
          <cell r="AJ2533">
            <v>1</v>
          </cell>
          <cell r="AK2533">
            <v>58</v>
          </cell>
          <cell r="AL2533" t="str">
            <v>　 ↓</v>
          </cell>
        </row>
        <row r="2534">
          <cell r="E2534" t="str">
            <v>LBS1-6800LM-LZ</v>
          </cell>
          <cell r="F2534" t="str">
            <v>台</v>
          </cell>
          <cell r="G2534">
            <v>67500</v>
          </cell>
          <cell r="H2534">
            <v>30300</v>
          </cell>
          <cell r="I2534">
            <v>67500</v>
          </cell>
          <cell r="J2534">
            <v>30300</v>
          </cell>
          <cell r="K2534">
            <v>67500</v>
          </cell>
          <cell r="L2534">
            <v>30300</v>
          </cell>
          <cell r="M2534">
            <v>67500</v>
          </cell>
          <cell r="N2534">
            <v>30300</v>
          </cell>
          <cell r="O2534">
            <v>67500</v>
          </cell>
          <cell r="P2534">
            <v>30300</v>
          </cell>
          <cell r="Q2534">
            <v>67500</v>
          </cell>
          <cell r="R2534">
            <v>30300</v>
          </cell>
          <cell r="S2534">
            <v>67500</v>
          </cell>
          <cell r="T2534">
            <v>30300</v>
          </cell>
          <cell r="U2534">
            <v>67500</v>
          </cell>
          <cell r="V2534">
            <v>30300</v>
          </cell>
          <cell r="W2534">
            <v>67500</v>
          </cell>
          <cell r="X2534">
            <v>30300</v>
          </cell>
          <cell r="Y2534">
            <v>67500</v>
          </cell>
          <cell r="Z2534">
            <v>30300</v>
          </cell>
          <cell r="AA2534">
            <v>0</v>
          </cell>
          <cell r="AB2534">
            <v>0</v>
          </cell>
          <cell r="AC2534">
            <v>0</v>
          </cell>
          <cell r="AD2534">
            <v>0.35699999999999998</v>
          </cell>
          <cell r="AE2534">
            <v>0</v>
          </cell>
          <cell r="AF2534">
            <v>0</v>
          </cell>
          <cell r="AG2534">
            <v>7820</v>
          </cell>
          <cell r="AH2534">
            <v>69.7</v>
          </cell>
          <cell r="AI2534">
            <v>0.95499999999999996</v>
          </cell>
          <cell r="AJ2534">
            <v>1</v>
          </cell>
          <cell r="AK2534">
            <v>73</v>
          </cell>
          <cell r="AL2534" t="str">
            <v>　 ↓</v>
          </cell>
        </row>
        <row r="2535">
          <cell r="E2535" t="str">
            <v>LBS1-8600LM-LZ</v>
          </cell>
          <cell r="F2535" t="str">
            <v>台</v>
          </cell>
          <cell r="G2535">
            <v>90500</v>
          </cell>
          <cell r="H2535">
            <v>40700</v>
          </cell>
          <cell r="I2535">
            <v>90500</v>
          </cell>
          <cell r="J2535">
            <v>40700</v>
          </cell>
          <cell r="K2535">
            <v>90500</v>
          </cell>
          <cell r="L2535">
            <v>40700</v>
          </cell>
          <cell r="M2535">
            <v>90500</v>
          </cell>
          <cell r="N2535">
            <v>40700</v>
          </cell>
          <cell r="O2535">
            <v>90500</v>
          </cell>
          <cell r="P2535">
            <v>40700</v>
          </cell>
          <cell r="Q2535">
            <v>90500</v>
          </cell>
          <cell r="R2535">
            <v>40700</v>
          </cell>
          <cell r="S2535">
            <v>90500</v>
          </cell>
          <cell r="T2535">
            <v>40700</v>
          </cell>
          <cell r="U2535">
            <v>90500</v>
          </cell>
          <cell r="V2535">
            <v>40700</v>
          </cell>
          <cell r="W2535">
            <v>90500</v>
          </cell>
          <cell r="X2535">
            <v>40700</v>
          </cell>
          <cell r="Y2535">
            <v>90500</v>
          </cell>
          <cell r="Z2535">
            <v>40700</v>
          </cell>
          <cell r="AA2535">
            <v>0</v>
          </cell>
          <cell r="AB2535">
            <v>0</v>
          </cell>
          <cell r="AC2535">
            <v>0</v>
          </cell>
          <cell r="AD2535">
            <v>0.35699999999999998</v>
          </cell>
          <cell r="AE2535">
            <v>0</v>
          </cell>
          <cell r="AF2535">
            <v>0</v>
          </cell>
          <cell r="AG2535">
            <v>9620</v>
          </cell>
          <cell r="AH2535">
            <v>85.5</v>
          </cell>
          <cell r="AI2535">
            <v>0.95</v>
          </cell>
          <cell r="AJ2535">
            <v>1</v>
          </cell>
          <cell r="AK2535">
            <v>90</v>
          </cell>
          <cell r="AL2535" t="str">
            <v>　 ↓</v>
          </cell>
        </row>
        <row r="2536">
          <cell r="E2536" t="str">
            <v>LDS2-LRS1-950LM-LN</v>
          </cell>
          <cell r="F2536" t="str">
            <v>台</v>
          </cell>
          <cell r="G2536">
            <v>35800</v>
          </cell>
          <cell r="H2536">
            <v>16100</v>
          </cell>
          <cell r="I2536">
            <v>35800</v>
          </cell>
          <cell r="J2536">
            <v>16100</v>
          </cell>
          <cell r="K2536">
            <v>35800</v>
          </cell>
          <cell r="L2536">
            <v>16100</v>
          </cell>
          <cell r="M2536">
            <v>35800</v>
          </cell>
          <cell r="N2536">
            <v>16100</v>
          </cell>
          <cell r="O2536">
            <v>35800</v>
          </cell>
          <cell r="P2536">
            <v>16100</v>
          </cell>
          <cell r="Q2536">
            <v>35800</v>
          </cell>
          <cell r="R2536">
            <v>16100</v>
          </cell>
          <cell r="S2536">
            <v>35800</v>
          </cell>
          <cell r="T2536">
            <v>16100</v>
          </cell>
          <cell r="U2536">
            <v>35800</v>
          </cell>
          <cell r="V2536">
            <v>16100</v>
          </cell>
          <cell r="W2536">
            <v>35800</v>
          </cell>
          <cell r="X2536">
            <v>16100</v>
          </cell>
          <cell r="Y2536">
            <v>35800</v>
          </cell>
          <cell r="Z2536">
            <v>16100</v>
          </cell>
          <cell r="AA2536">
            <v>0</v>
          </cell>
          <cell r="AB2536">
            <v>0</v>
          </cell>
          <cell r="AC2536">
            <v>0</v>
          </cell>
          <cell r="AD2536">
            <v>0.20899999999999999</v>
          </cell>
          <cell r="AE2536">
            <v>0</v>
          </cell>
          <cell r="AF2536">
            <v>0</v>
          </cell>
          <cell r="AG2536">
            <v>1075</v>
          </cell>
          <cell r="AH2536">
            <v>11.5</v>
          </cell>
          <cell r="AI2536">
            <v>0.96599999999999997</v>
          </cell>
          <cell r="AJ2536">
            <v>1</v>
          </cell>
          <cell r="AK2536">
            <v>11.9</v>
          </cell>
          <cell r="AL2536" t="str">
            <v>　 ↓</v>
          </cell>
        </row>
        <row r="2537">
          <cell r="E2537" t="str">
            <v>LDS2-LRS1-1400LM-LN</v>
          </cell>
          <cell r="F2537" t="str">
            <v>台</v>
          </cell>
          <cell r="G2537">
            <v>40800</v>
          </cell>
          <cell r="H2537">
            <v>18300</v>
          </cell>
          <cell r="I2537">
            <v>40800</v>
          </cell>
          <cell r="J2537">
            <v>18300</v>
          </cell>
          <cell r="K2537">
            <v>40800</v>
          </cell>
          <cell r="L2537">
            <v>18300</v>
          </cell>
          <cell r="M2537">
            <v>40800</v>
          </cell>
          <cell r="N2537">
            <v>18300</v>
          </cell>
          <cell r="O2537">
            <v>40800</v>
          </cell>
          <cell r="P2537">
            <v>18300</v>
          </cell>
          <cell r="Q2537">
            <v>40800</v>
          </cell>
          <cell r="R2537">
            <v>18300</v>
          </cell>
          <cell r="S2537">
            <v>40800</v>
          </cell>
          <cell r="T2537">
            <v>18300</v>
          </cell>
          <cell r="U2537">
            <v>40800</v>
          </cell>
          <cell r="V2537">
            <v>18300</v>
          </cell>
          <cell r="W2537">
            <v>40800</v>
          </cell>
          <cell r="X2537">
            <v>18300</v>
          </cell>
          <cell r="Y2537">
            <v>40800</v>
          </cell>
          <cell r="Z2537">
            <v>18300</v>
          </cell>
          <cell r="AA2537">
            <v>0</v>
          </cell>
          <cell r="AB2537">
            <v>0</v>
          </cell>
          <cell r="AC2537">
            <v>0</v>
          </cell>
          <cell r="AD2537">
            <v>0.20899999999999999</v>
          </cell>
          <cell r="AE2537">
            <v>0</v>
          </cell>
          <cell r="AF2537">
            <v>0</v>
          </cell>
          <cell r="AG2537">
            <v>1640</v>
          </cell>
          <cell r="AH2537">
            <v>16.899999999999999</v>
          </cell>
          <cell r="AI2537">
            <v>0.97099999999999997</v>
          </cell>
          <cell r="AJ2537">
            <v>1</v>
          </cell>
          <cell r="AK2537">
            <v>17.399999999999999</v>
          </cell>
          <cell r="AL2537" t="str">
            <v>　 ↓</v>
          </cell>
        </row>
        <row r="2538">
          <cell r="E2538" t="str">
            <v>LDS2-LRS1-1900LM-LN</v>
          </cell>
          <cell r="F2538" t="str">
            <v>台</v>
          </cell>
          <cell r="G2538">
            <v>45800</v>
          </cell>
          <cell r="H2538">
            <v>20600</v>
          </cell>
          <cell r="I2538">
            <v>45800</v>
          </cell>
          <cell r="J2538">
            <v>20600</v>
          </cell>
          <cell r="K2538">
            <v>45800</v>
          </cell>
          <cell r="L2538">
            <v>20600</v>
          </cell>
          <cell r="M2538">
            <v>45800</v>
          </cell>
          <cell r="N2538">
            <v>20600</v>
          </cell>
          <cell r="O2538">
            <v>45800</v>
          </cell>
          <cell r="P2538">
            <v>20600</v>
          </cell>
          <cell r="Q2538">
            <v>45800</v>
          </cell>
          <cell r="R2538">
            <v>20600</v>
          </cell>
          <cell r="S2538">
            <v>45800</v>
          </cell>
          <cell r="T2538">
            <v>20600</v>
          </cell>
          <cell r="U2538">
            <v>45800</v>
          </cell>
          <cell r="V2538">
            <v>20600</v>
          </cell>
          <cell r="W2538">
            <v>45800</v>
          </cell>
          <cell r="X2538">
            <v>20600</v>
          </cell>
          <cell r="Y2538">
            <v>45800</v>
          </cell>
          <cell r="Z2538">
            <v>20600</v>
          </cell>
          <cell r="AA2538">
            <v>0</v>
          </cell>
          <cell r="AB2538">
            <v>0</v>
          </cell>
          <cell r="AC2538">
            <v>0</v>
          </cell>
          <cell r="AD2538">
            <v>0.20899999999999999</v>
          </cell>
          <cell r="AE2538">
            <v>0</v>
          </cell>
          <cell r="AF2538">
            <v>0</v>
          </cell>
          <cell r="AG2538">
            <v>2020</v>
          </cell>
          <cell r="AH2538">
            <v>20.3</v>
          </cell>
          <cell r="AI2538">
            <v>0.995</v>
          </cell>
          <cell r="AJ2538">
            <v>1</v>
          </cell>
          <cell r="AK2538">
            <v>20.399999999999999</v>
          </cell>
          <cell r="AL2538" t="str">
            <v>　 ↓</v>
          </cell>
        </row>
        <row r="2539">
          <cell r="E2539" t="str">
            <v>LRS1RP-950LM-LN</v>
          </cell>
          <cell r="F2539" t="str">
            <v>台</v>
          </cell>
          <cell r="G2539">
            <v>23800</v>
          </cell>
          <cell r="H2539">
            <v>10700</v>
          </cell>
          <cell r="I2539">
            <v>23800</v>
          </cell>
          <cell r="J2539">
            <v>10700</v>
          </cell>
          <cell r="K2539">
            <v>23800</v>
          </cell>
          <cell r="L2539">
            <v>10700</v>
          </cell>
          <cell r="M2539">
            <v>23800</v>
          </cell>
          <cell r="N2539">
            <v>10700</v>
          </cell>
          <cell r="O2539">
            <v>23800</v>
          </cell>
          <cell r="P2539">
            <v>10700</v>
          </cell>
          <cell r="Q2539">
            <v>23800</v>
          </cell>
          <cell r="R2539">
            <v>10700</v>
          </cell>
          <cell r="S2539">
            <v>23800</v>
          </cell>
          <cell r="T2539">
            <v>10700</v>
          </cell>
          <cell r="U2539">
            <v>23800</v>
          </cell>
          <cell r="V2539">
            <v>10700</v>
          </cell>
          <cell r="W2539">
            <v>23800</v>
          </cell>
          <cell r="X2539">
            <v>10700</v>
          </cell>
          <cell r="Y2539">
            <v>23800</v>
          </cell>
          <cell r="Z2539">
            <v>10700</v>
          </cell>
          <cell r="AA2539">
            <v>0</v>
          </cell>
          <cell r="AB2539">
            <v>0</v>
          </cell>
          <cell r="AC2539">
            <v>0</v>
          </cell>
          <cell r="AD2539">
            <v>0.20899999999999999</v>
          </cell>
          <cell r="AE2539">
            <v>0</v>
          </cell>
          <cell r="AF2539">
            <v>0</v>
          </cell>
          <cell r="AG2539">
            <v>1055</v>
          </cell>
          <cell r="AH2539">
            <v>11.1</v>
          </cell>
          <cell r="AI2539">
            <v>0.96499999999999997</v>
          </cell>
          <cell r="AJ2539">
            <v>1</v>
          </cell>
          <cell r="AK2539">
            <v>11.5</v>
          </cell>
          <cell r="AL2539" t="str">
            <v>　 ↓</v>
          </cell>
        </row>
        <row r="2540">
          <cell r="E2540" t="str">
            <v>LRS1RP-1400LM-LN</v>
          </cell>
          <cell r="F2540" t="str">
            <v>台</v>
          </cell>
          <cell r="G2540">
            <v>27800</v>
          </cell>
          <cell r="H2540">
            <v>12500</v>
          </cell>
          <cell r="I2540">
            <v>27800</v>
          </cell>
          <cell r="J2540">
            <v>12500</v>
          </cell>
          <cell r="K2540">
            <v>27800</v>
          </cell>
          <cell r="L2540">
            <v>12500</v>
          </cell>
          <cell r="M2540">
            <v>27800</v>
          </cell>
          <cell r="N2540">
            <v>12500</v>
          </cell>
          <cell r="O2540">
            <v>27800</v>
          </cell>
          <cell r="P2540">
            <v>12500</v>
          </cell>
          <cell r="Q2540">
            <v>27800</v>
          </cell>
          <cell r="R2540">
            <v>12500</v>
          </cell>
          <cell r="S2540">
            <v>27800</v>
          </cell>
          <cell r="T2540">
            <v>12500</v>
          </cell>
          <cell r="U2540">
            <v>27800</v>
          </cell>
          <cell r="V2540">
            <v>12500</v>
          </cell>
          <cell r="W2540">
            <v>27800</v>
          </cell>
          <cell r="X2540">
            <v>12500</v>
          </cell>
          <cell r="Y2540">
            <v>27800</v>
          </cell>
          <cell r="Z2540">
            <v>12500</v>
          </cell>
          <cell r="AA2540">
            <v>0</v>
          </cell>
          <cell r="AB2540">
            <v>0</v>
          </cell>
          <cell r="AC2540">
            <v>0</v>
          </cell>
          <cell r="AD2540">
            <v>0.20899999999999999</v>
          </cell>
          <cell r="AE2540">
            <v>0</v>
          </cell>
          <cell r="AF2540">
            <v>0</v>
          </cell>
          <cell r="AG2540">
            <v>1480</v>
          </cell>
          <cell r="AH2540">
            <v>16.5</v>
          </cell>
          <cell r="AI2540">
            <v>0.97099999999999997</v>
          </cell>
          <cell r="AJ2540">
            <v>1</v>
          </cell>
          <cell r="AK2540">
            <v>17</v>
          </cell>
          <cell r="AL2540" t="str">
            <v>　 ↓</v>
          </cell>
        </row>
        <row r="2541">
          <cell r="E2541" t="str">
            <v>LRS1RP-1900LM-LN</v>
          </cell>
          <cell r="F2541" t="str">
            <v>台</v>
          </cell>
          <cell r="G2541">
            <v>36800</v>
          </cell>
          <cell r="H2541">
            <v>16500</v>
          </cell>
          <cell r="I2541">
            <v>36800</v>
          </cell>
          <cell r="J2541">
            <v>16500</v>
          </cell>
          <cell r="K2541">
            <v>36800</v>
          </cell>
          <cell r="L2541">
            <v>16500</v>
          </cell>
          <cell r="M2541">
            <v>36800</v>
          </cell>
          <cell r="N2541">
            <v>16500</v>
          </cell>
          <cell r="O2541">
            <v>36800</v>
          </cell>
          <cell r="P2541">
            <v>16500</v>
          </cell>
          <cell r="Q2541">
            <v>36800</v>
          </cell>
          <cell r="R2541">
            <v>16500</v>
          </cell>
          <cell r="S2541">
            <v>36800</v>
          </cell>
          <cell r="T2541">
            <v>16500</v>
          </cell>
          <cell r="U2541">
            <v>36800</v>
          </cell>
          <cell r="V2541">
            <v>16500</v>
          </cell>
          <cell r="W2541">
            <v>36800</v>
          </cell>
          <cell r="X2541">
            <v>16500</v>
          </cell>
          <cell r="Y2541">
            <v>36800</v>
          </cell>
          <cell r="Z2541">
            <v>16500</v>
          </cell>
          <cell r="AA2541">
            <v>0</v>
          </cell>
          <cell r="AB2541">
            <v>0</v>
          </cell>
          <cell r="AC2541">
            <v>0</v>
          </cell>
          <cell r="AD2541">
            <v>0.20899999999999999</v>
          </cell>
          <cell r="AE2541">
            <v>0</v>
          </cell>
          <cell r="AF2541">
            <v>0</v>
          </cell>
          <cell r="AG2541">
            <v>1940</v>
          </cell>
          <cell r="AH2541">
            <v>19.899999999999999</v>
          </cell>
          <cell r="AI2541">
            <v>0.995</v>
          </cell>
          <cell r="AJ2541">
            <v>1</v>
          </cell>
          <cell r="AK2541">
            <v>20</v>
          </cell>
          <cell r="AL2541" t="str">
            <v>　 ↓</v>
          </cell>
        </row>
        <row r="2542">
          <cell r="E2542" t="str">
            <v>LRS2-12000LM-LZ</v>
          </cell>
          <cell r="F2542" t="str">
            <v>台</v>
          </cell>
          <cell r="G2542">
            <v>189600</v>
          </cell>
          <cell r="H2542">
            <v>85300</v>
          </cell>
          <cell r="I2542">
            <v>189600</v>
          </cell>
          <cell r="J2542">
            <v>85300</v>
          </cell>
          <cell r="K2542">
            <v>189600</v>
          </cell>
          <cell r="L2542">
            <v>85300</v>
          </cell>
          <cell r="M2542">
            <v>189600</v>
          </cell>
          <cell r="N2542">
            <v>85300</v>
          </cell>
          <cell r="O2542">
            <v>189600</v>
          </cell>
          <cell r="P2542">
            <v>85300</v>
          </cell>
          <cell r="Q2542">
            <v>189600</v>
          </cell>
          <cell r="R2542">
            <v>85300</v>
          </cell>
          <cell r="S2542">
            <v>189600</v>
          </cell>
          <cell r="T2542">
            <v>85300</v>
          </cell>
          <cell r="U2542">
            <v>189600</v>
          </cell>
          <cell r="V2542">
            <v>85300</v>
          </cell>
          <cell r="W2542">
            <v>189600</v>
          </cell>
          <cell r="X2542">
            <v>85300</v>
          </cell>
          <cell r="Y2542">
            <v>189600</v>
          </cell>
          <cell r="Z2542">
            <v>85300</v>
          </cell>
          <cell r="AA2542">
            <v>0</v>
          </cell>
          <cell r="AB2542">
            <v>0</v>
          </cell>
          <cell r="AC2542">
            <v>0</v>
          </cell>
          <cell r="AD2542">
            <v>0.35699999999999998</v>
          </cell>
          <cell r="AE2542">
            <v>0</v>
          </cell>
          <cell r="AF2542">
            <v>0</v>
          </cell>
          <cell r="AG2542">
            <v>15430</v>
          </cell>
          <cell r="AH2542">
            <v>163.9</v>
          </cell>
          <cell r="AI2542">
            <v>0.99299999999999999</v>
          </cell>
          <cell r="AJ2542">
            <v>1</v>
          </cell>
          <cell r="AK2542">
            <v>165</v>
          </cell>
          <cell r="AL2542" t="str">
            <v>　 ↓</v>
          </cell>
        </row>
        <row r="2543">
          <cell r="E2543" t="str">
            <v>LRS2-18000LM-LZ</v>
          </cell>
          <cell r="F2543" t="str">
            <v>台</v>
          </cell>
          <cell r="G2543">
            <v>237600</v>
          </cell>
          <cell r="H2543">
            <v>106000</v>
          </cell>
          <cell r="I2543">
            <v>237600</v>
          </cell>
          <cell r="J2543">
            <v>106000</v>
          </cell>
          <cell r="K2543">
            <v>237600</v>
          </cell>
          <cell r="L2543">
            <v>106000</v>
          </cell>
          <cell r="M2543">
            <v>237600</v>
          </cell>
          <cell r="N2543">
            <v>106000</v>
          </cell>
          <cell r="O2543">
            <v>237600</v>
          </cell>
          <cell r="P2543">
            <v>106000</v>
          </cell>
          <cell r="Q2543">
            <v>237600</v>
          </cell>
          <cell r="R2543">
            <v>106000</v>
          </cell>
          <cell r="S2543">
            <v>237600</v>
          </cell>
          <cell r="T2543">
            <v>106000</v>
          </cell>
          <cell r="U2543">
            <v>237600</v>
          </cell>
          <cell r="V2543">
            <v>106000</v>
          </cell>
          <cell r="W2543">
            <v>237600</v>
          </cell>
          <cell r="X2543">
            <v>106000</v>
          </cell>
          <cell r="Y2543">
            <v>237600</v>
          </cell>
          <cell r="Z2543">
            <v>106000</v>
          </cell>
          <cell r="AA2543">
            <v>0</v>
          </cell>
          <cell r="AB2543">
            <v>0</v>
          </cell>
          <cell r="AC2543">
            <v>0</v>
          </cell>
          <cell r="AD2543">
            <v>0.35699999999999998</v>
          </cell>
          <cell r="AE2543">
            <v>0</v>
          </cell>
          <cell r="AF2543">
            <v>0</v>
          </cell>
          <cell r="AG2543">
            <v>20360</v>
          </cell>
          <cell r="AH2543">
            <v>216.4</v>
          </cell>
          <cell r="AI2543">
            <v>0.997</v>
          </cell>
          <cell r="AJ2543">
            <v>1</v>
          </cell>
          <cell r="AK2543">
            <v>217</v>
          </cell>
          <cell r="AL2543" t="str">
            <v>　 ↓</v>
          </cell>
        </row>
        <row r="2544">
          <cell r="E2544" t="str">
            <v>LRS3-6300LM-LJ</v>
          </cell>
          <cell r="F2544" t="str">
            <v>台</v>
          </cell>
          <cell r="G2544">
            <v>36000</v>
          </cell>
          <cell r="H2544">
            <v>22500</v>
          </cell>
          <cell r="I2544">
            <v>36000</v>
          </cell>
          <cell r="J2544">
            <v>22500</v>
          </cell>
          <cell r="K2544">
            <v>36000</v>
          </cell>
          <cell r="L2544">
            <v>22500</v>
          </cell>
          <cell r="M2544">
            <v>36000</v>
          </cell>
          <cell r="N2544">
            <v>22500</v>
          </cell>
          <cell r="O2544">
            <v>36000</v>
          </cell>
          <cell r="P2544">
            <v>22500</v>
          </cell>
          <cell r="Q2544">
            <v>36000</v>
          </cell>
          <cell r="R2544">
            <v>22500</v>
          </cell>
          <cell r="S2544">
            <v>36000</v>
          </cell>
          <cell r="T2544">
            <v>22500</v>
          </cell>
          <cell r="U2544">
            <v>36000</v>
          </cell>
          <cell r="V2544">
            <v>22500</v>
          </cell>
          <cell r="W2544">
            <v>36000</v>
          </cell>
          <cell r="X2544">
            <v>22500</v>
          </cell>
          <cell r="Y2544">
            <v>36000</v>
          </cell>
          <cell r="Z2544">
            <v>22500</v>
          </cell>
          <cell r="AA2544">
            <v>0</v>
          </cell>
          <cell r="AB2544">
            <v>0</v>
          </cell>
          <cell r="AC2544">
            <v>0</v>
          </cell>
          <cell r="AD2544">
            <v>0.35699999999999998</v>
          </cell>
          <cell r="AE2544">
            <v>0</v>
          </cell>
          <cell r="AF2544">
            <v>0</v>
          </cell>
          <cell r="AG2544">
            <v>6680</v>
          </cell>
          <cell r="AH2544">
            <v>52.1</v>
          </cell>
          <cell r="AI2544">
            <v>0.96499999999999997</v>
          </cell>
          <cell r="AJ2544">
            <v>1</v>
          </cell>
          <cell r="AK2544">
            <v>54</v>
          </cell>
          <cell r="AL2544" t="str">
            <v>　 ↓</v>
          </cell>
        </row>
        <row r="2545">
          <cell r="E2545" t="str">
            <v>LRS3-6300LM-LX</v>
          </cell>
          <cell r="F2545" t="str">
            <v>台</v>
          </cell>
          <cell r="G2545">
            <v>36000</v>
          </cell>
          <cell r="H2545">
            <v>22500</v>
          </cell>
          <cell r="I2545">
            <v>36000</v>
          </cell>
          <cell r="J2545">
            <v>22500</v>
          </cell>
          <cell r="K2545">
            <v>36000</v>
          </cell>
          <cell r="L2545">
            <v>22500</v>
          </cell>
          <cell r="M2545">
            <v>36000</v>
          </cell>
          <cell r="N2545">
            <v>22500</v>
          </cell>
          <cell r="O2545">
            <v>36000</v>
          </cell>
          <cell r="P2545">
            <v>22500</v>
          </cell>
          <cell r="Q2545">
            <v>36000</v>
          </cell>
          <cell r="R2545">
            <v>22500</v>
          </cell>
          <cell r="S2545">
            <v>36000</v>
          </cell>
          <cell r="T2545">
            <v>22500</v>
          </cell>
          <cell r="U2545">
            <v>36000</v>
          </cell>
          <cell r="V2545">
            <v>22500</v>
          </cell>
          <cell r="W2545">
            <v>36000</v>
          </cell>
          <cell r="X2545">
            <v>22500</v>
          </cell>
          <cell r="Y2545">
            <v>36000</v>
          </cell>
          <cell r="Z2545">
            <v>22500</v>
          </cell>
          <cell r="AA2545">
            <v>0</v>
          </cell>
          <cell r="AB2545">
            <v>0</v>
          </cell>
          <cell r="AC2545">
            <v>0</v>
          </cell>
          <cell r="AD2545">
            <v>0.35699999999999998</v>
          </cell>
          <cell r="AE2545">
            <v>0</v>
          </cell>
          <cell r="AF2545">
            <v>0</v>
          </cell>
          <cell r="AG2545">
            <v>6680</v>
          </cell>
          <cell r="AH2545">
            <v>52.1</v>
          </cell>
          <cell r="AI2545">
            <v>0.96499999999999997</v>
          </cell>
          <cell r="AJ2545">
            <v>1</v>
          </cell>
          <cell r="AK2545">
            <v>54</v>
          </cell>
          <cell r="AL2545" t="str">
            <v>　 ↓</v>
          </cell>
        </row>
        <row r="2546">
          <cell r="E2546" t="str">
            <v>LRS4-6300LM-LJ</v>
          </cell>
          <cell r="F2546" t="str">
            <v>台</v>
          </cell>
          <cell r="G2546">
            <v>53000</v>
          </cell>
          <cell r="H2546">
            <v>26500</v>
          </cell>
          <cell r="I2546">
            <v>53000</v>
          </cell>
          <cell r="J2546">
            <v>26500</v>
          </cell>
          <cell r="K2546">
            <v>53000</v>
          </cell>
          <cell r="L2546">
            <v>26500</v>
          </cell>
          <cell r="M2546">
            <v>53000</v>
          </cell>
          <cell r="N2546">
            <v>26500</v>
          </cell>
          <cell r="O2546">
            <v>53000</v>
          </cell>
          <cell r="P2546">
            <v>26500</v>
          </cell>
          <cell r="Q2546">
            <v>53000</v>
          </cell>
          <cell r="R2546">
            <v>26500</v>
          </cell>
          <cell r="S2546">
            <v>53000</v>
          </cell>
          <cell r="T2546">
            <v>26500</v>
          </cell>
          <cell r="U2546">
            <v>53000</v>
          </cell>
          <cell r="V2546">
            <v>26500</v>
          </cell>
          <cell r="W2546">
            <v>53000</v>
          </cell>
          <cell r="X2546">
            <v>26500</v>
          </cell>
          <cell r="Y2546">
            <v>53000</v>
          </cell>
          <cell r="Z2546">
            <v>26500</v>
          </cell>
          <cell r="AA2546">
            <v>0</v>
          </cell>
          <cell r="AB2546">
            <v>0</v>
          </cell>
          <cell r="AC2546">
            <v>0</v>
          </cell>
          <cell r="AD2546">
            <v>0.35699999999999998</v>
          </cell>
          <cell r="AE2546">
            <v>0</v>
          </cell>
          <cell r="AF2546">
            <v>0</v>
          </cell>
          <cell r="AG2546">
            <v>6750</v>
          </cell>
          <cell r="AH2546">
            <v>55</v>
          </cell>
          <cell r="AI2546">
            <v>1</v>
          </cell>
          <cell r="AJ2546">
            <v>1</v>
          </cell>
          <cell r="AK2546">
            <v>55</v>
          </cell>
          <cell r="AL2546" t="str">
            <v>　 ↓</v>
          </cell>
        </row>
        <row r="2547">
          <cell r="E2547" t="str">
            <v>LRS4-6300LM-LX</v>
          </cell>
          <cell r="F2547" t="str">
            <v>台</v>
          </cell>
          <cell r="G2547">
            <v>53000</v>
          </cell>
          <cell r="H2547">
            <v>26500</v>
          </cell>
          <cell r="I2547">
            <v>53000</v>
          </cell>
          <cell r="J2547">
            <v>26500</v>
          </cell>
          <cell r="K2547">
            <v>53000</v>
          </cell>
          <cell r="L2547">
            <v>26500</v>
          </cell>
          <cell r="M2547">
            <v>53000</v>
          </cell>
          <cell r="N2547">
            <v>26500</v>
          </cell>
          <cell r="O2547">
            <v>53000</v>
          </cell>
          <cell r="P2547">
            <v>26500</v>
          </cell>
          <cell r="Q2547">
            <v>53000</v>
          </cell>
          <cell r="R2547">
            <v>26500</v>
          </cell>
          <cell r="S2547">
            <v>53000</v>
          </cell>
          <cell r="T2547">
            <v>26500</v>
          </cell>
          <cell r="U2547">
            <v>53000</v>
          </cell>
          <cell r="V2547">
            <v>26500</v>
          </cell>
          <cell r="W2547">
            <v>53000</v>
          </cell>
          <cell r="X2547">
            <v>26500</v>
          </cell>
          <cell r="Y2547">
            <v>53000</v>
          </cell>
          <cell r="Z2547">
            <v>26500</v>
          </cell>
          <cell r="AA2547">
            <v>0</v>
          </cell>
          <cell r="AB2547">
            <v>0</v>
          </cell>
          <cell r="AC2547">
            <v>0</v>
          </cell>
          <cell r="AD2547">
            <v>0.35699999999999998</v>
          </cell>
          <cell r="AE2547">
            <v>0</v>
          </cell>
          <cell r="AF2547">
            <v>0</v>
          </cell>
          <cell r="AG2547">
            <v>6750</v>
          </cell>
          <cell r="AH2547">
            <v>55</v>
          </cell>
          <cell r="AI2547">
            <v>1</v>
          </cell>
          <cell r="AJ2547">
            <v>1</v>
          </cell>
          <cell r="AK2547">
            <v>55</v>
          </cell>
          <cell r="AL2547" t="str">
            <v>　 ↓</v>
          </cell>
        </row>
        <row r="2548">
          <cell r="E2548" t="str">
            <v>LSS1-3150LM-LJ</v>
          </cell>
          <cell r="F2548" t="str">
            <v>台</v>
          </cell>
          <cell r="G2548">
            <v>21500</v>
          </cell>
          <cell r="H2548">
            <v>12500</v>
          </cell>
          <cell r="I2548">
            <v>21500</v>
          </cell>
          <cell r="J2548">
            <v>12500</v>
          </cell>
          <cell r="K2548">
            <v>21500</v>
          </cell>
          <cell r="L2548">
            <v>12500</v>
          </cell>
          <cell r="M2548">
            <v>21500</v>
          </cell>
          <cell r="N2548">
            <v>12500</v>
          </cell>
          <cell r="O2548">
            <v>21500</v>
          </cell>
          <cell r="P2548">
            <v>12500</v>
          </cell>
          <cell r="Q2548">
            <v>21500</v>
          </cell>
          <cell r="R2548">
            <v>12500</v>
          </cell>
          <cell r="S2548">
            <v>21500</v>
          </cell>
          <cell r="T2548">
            <v>12500</v>
          </cell>
          <cell r="U2548">
            <v>21500</v>
          </cell>
          <cell r="V2548">
            <v>12500</v>
          </cell>
          <cell r="W2548">
            <v>21500</v>
          </cell>
          <cell r="X2548">
            <v>12500</v>
          </cell>
          <cell r="Y2548">
            <v>21500</v>
          </cell>
          <cell r="Z2548">
            <v>12500</v>
          </cell>
          <cell r="AA2548">
            <v>0</v>
          </cell>
          <cell r="AB2548">
            <v>0</v>
          </cell>
          <cell r="AC2548">
            <v>0</v>
          </cell>
          <cell r="AD2548">
            <v>0.20899999999999999</v>
          </cell>
          <cell r="AE2548">
            <v>0</v>
          </cell>
          <cell r="AF2548">
            <v>0</v>
          </cell>
          <cell r="AG2548">
            <v>3200</v>
          </cell>
          <cell r="AH2548">
            <v>24</v>
          </cell>
          <cell r="AI2548">
            <v>0.96</v>
          </cell>
          <cell r="AJ2548">
            <v>1</v>
          </cell>
          <cell r="AK2548">
            <v>25</v>
          </cell>
          <cell r="AL2548" t="str">
            <v>　 ↓</v>
          </cell>
        </row>
        <row r="2549">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row>
        <row r="2550">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row>
        <row r="2551">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row>
        <row r="2552">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row>
        <row r="2553">
          <cell r="E2553">
            <v>0</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row>
        <row r="2554">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row>
        <row r="2555">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row>
        <row r="2556">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row>
        <row r="2557">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row>
        <row r="2558">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row>
        <row r="2559">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row>
        <row r="2560">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row>
        <row r="2561">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row>
        <row r="2562">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row>
        <row r="2563">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row>
        <row r="2564">
          <cell r="E2564">
            <v>0</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row>
        <row r="2565">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row>
        <row r="2566">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row>
        <row r="2567">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row>
        <row r="2568">
          <cell r="E2568">
            <v>0</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row>
        <row r="2569">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row>
        <row r="2570">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row>
        <row r="2571">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row>
        <row r="2572">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row>
        <row r="2573">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row>
        <row r="2574">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row>
        <row r="2575">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row>
        <row r="2576">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row>
        <row r="2577">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row>
        <row r="2578">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row>
        <row r="2579">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row>
        <row r="2580">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row>
        <row r="2581">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row>
        <row r="2582">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row>
        <row r="2583">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row>
        <row r="2584">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row>
        <row r="2585">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row>
        <row r="2586">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row>
        <row r="2587">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row>
        <row r="2588">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row>
        <row r="2589">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row>
        <row r="2590">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row>
        <row r="2591">
          <cell r="E2591">
            <v>0</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row>
        <row r="2592">
          <cell r="E2592">
            <v>0</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row>
        <row r="2593">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row>
        <row r="2594">
          <cell r="E2594" t="str">
            <v>SW:1P-15A</v>
          </cell>
          <cell r="F2594" t="str">
            <v>組</v>
          </cell>
          <cell r="G2594">
            <v>0</v>
          </cell>
          <cell r="H2594">
            <v>1000</v>
          </cell>
          <cell r="I2594">
            <v>0</v>
          </cell>
          <cell r="J2594">
            <v>1000</v>
          </cell>
          <cell r="K2594">
            <v>0</v>
          </cell>
          <cell r="L2594">
            <v>1000</v>
          </cell>
          <cell r="M2594">
            <v>0</v>
          </cell>
          <cell r="N2594">
            <v>1000</v>
          </cell>
          <cell r="O2594">
            <v>0</v>
          </cell>
          <cell r="P2594">
            <v>1000</v>
          </cell>
          <cell r="Q2594">
            <v>0</v>
          </cell>
          <cell r="R2594">
            <v>1000</v>
          </cell>
          <cell r="S2594">
            <v>0</v>
          </cell>
          <cell r="T2594">
            <v>1000</v>
          </cell>
          <cell r="U2594">
            <v>0</v>
          </cell>
          <cell r="V2594">
            <v>1000</v>
          </cell>
          <cell r="W2594">
            <v>0</v>
          </cell>
          <cell r="X2594">
            <v>1000</v>
          </cell>
          <cell r="Y2594">
            <v>0</v>
          </cell>
          <cell r="Z2594">
            <v>1000</v>
          </cell>
          <cell r="AA2594">
            <v>0</v>
          </cell>
          <cell r="AB2594">
            <v>0</v>
          </cell>
          <cell r="AC2594">
            <v>0</v>
          </cell>
          <cell r="AD2594">
            <v>0.1</v>
          </cell>
          <cell r="AE2594">
            <v>0</v>
          </cell>
          <cell r="AF2594">
            <v>0</v>
          </cell>
          <cell r="AG2594">
            <v>0</v>
          </cell>
          <cell r="AH2594">
            <v>0</v>
          </cell>
          <cell r="AI2594">
            <v>0</v>
          </cell>
          <cell r="AJ2594">
            <v>0</v>
          </cell>
          <cell r="AK2594">
            <v>0</v>
          </cell>
          <cell r="AL2594">
            <v>0</v>
          </cell>
        </row>
        <row r="2595">
          <cell r="E2595" t="str">
            <v>センサSW</v>
          </cell>
          <cell r="F2595" t="str">
            <v>組</v>
          </cell>
          <cell r="G2595">
            <v>0</v>
          </cell>
          <cell r="H2595">
            <v>8000</v>
          </cell>
          <cell r="I2595">
            <v>0</v>
          </cell>
          <cell r="J2595">
            <v>8000</v>
          </cell>
          <cell r="K2595">
            <v>0</v>
          </cell>
          <cell r="L2595">
            <v>8000</v>
          </cell>
          <cell r="M2595">
            <v>0</v>
          </cell>
          <cell r="N2595">
            <v>8000</v>
          </cell>
          <cell r="O2595">
            <v>0</v>
          </cell>
          <cell r="P2595">
            <v>8000</v>
          </cell>
          <cell r="Q2595">
            <v>0</v>
          </cell>
          <cell r="R2595">
            <v>8000</v>
          </cell>
          <cell r="S2595">
            <v>0</v>
          </cell>
          <cell r="T2595">
            <v>8000</v>
          </cell>
          <cell r="U2595">
            <v>0</v>
          </cell>
          <cell r="V2595">
            <v>8000</v>
          </cell>
          <cell r="W2595">
            <v>0</v>
          </cell>
          <cell r="X2595">
            <v>8000</v>
          </cell>
          <cell r="Y2595">
            <v>0</v>
          </cell>
          <cell r="Z2595">
            <v>8000</v>
          </cell>
          <cell r="AA2595">
            <v>0</v>
          </cell>
          <cell r="AB2595">
            <v>0</v>
          </cell>
          <cell r="AC2595">
            <v>0</v>
          </cell>
          <cell r="AD2595">
            <v>0.1</v>
          </cell>
          <cell r="AE2595">
            <v>0</v>
          </cell>
          <cell r="AF2595">
            <v>0</v>
          </cell>
          <cell r="AG2595">
            <v>0</v>
          </cell>
          <cell r="AH2595">
            <v>0</v>
          </cell>
          <cell r="AI2595">
            <v>0</v>
          </cell>
          <cell r="AJ2595">
            <v>0</v>
          </cell>
          <cell r="AK2595">
            <v>0</v>
          </cell>
          <cell r="AL2595">
            <v>0</v>
          </cell>
        </row>
        <row r="2596">
          <cell r="E2596" t="str">
            <v>Con:2P-15AE</v>
          </cell>
          <cell r="F2596" t="str">
            <v>組</v>
          </cell>
          <cell r="G2596">
            <v>0</v>
          </cell>
          <cell r="H2596">
            <v>800</v>
          </cell>
          <cell r="I2596">
            <v>0</v>
          </cell>
          <cell r="J2596">
            <v>800</v>
          </cell>
          <cell r="K2596">
            <v>0</v>
          </cell>
          <cell r="L2596">
            <v>800</v>
          </cell>
          <cell r="M2596">
            <v>0</v>
          </cell>
          <cell r="N2596">
            <v>800</v>
          </cell>
          <cell r="O2596">
            <v>0</v>
          </cell>
          <cell r="P2596">
            <v>800</v>
          </cell>
          <cell r="Q2596">
            <v>0</v>
          </cell>
          <cell r="R2596">
            <v>800</v>
          </cell>
          <cell r="S2596">
            <v>0</v>
          </cell>
          <cell r="T2596">
            <v>800</v>
          </cell>
          <cell r="U2596">
            <v>0</v>
          </cell>
          <cell r="V2596">
            <v>800</v>
          </cell>
          <cell r="W2596">
            <v>0</v>
          </cell>
          <cell r="X2596">
            <v>800</v>
          </cell>
          <cell r="Y2596">
            <v>0</v>
          </cell>
          <cell r="Z2596">
            <v>800</v>
          </cell>
          <cell r="AA2596">
            <v>0</v>
          </cell>
          <cell r="AB2596">
            <v>0</v>
          </cell>
          <cell r="AC2596">
            <v>0</v>
          </cell>
          <cell r="AD2596">
            <v>0.1</v>
          </cell>
          <cell r="AE2596">
            <v>0</v>
          </cell>
          <cell r="AF2596">
            <v>0</v>
          </cell>
          <cell r="AG2596">
            <v>0</v>
          </cell>
          <cell r="AH2596">
            <v>0</v>
          </cell>
          <cell r="AI2596">
            <v>0</v>
          </cell>
          <cell r="AJ2596">
            <v>0</v>
          </cell>
          <cell r="AK2596">
            <v>0</v>
          </cell>
          <cell r="AL2596">
            <v>0</v>
          </cell>
        </row>
        <row r="2597">
          <cell r="E2597" t="str">
            <v>Con:2P-20AE</v>
          </cell>
          <cell r="F2597" t="str">
            <v>組</v>
          </cell>
          <cell r="G2597">
            <v>0</v>
          </cell>
          <cell r="H2597">
            <v>900</v>
          </cell>
          <cell r="I2597">
            <v>0</v>
          </cell>
          <cell r="J2597">
            <v>900</v>
          </cell>
          <cell r="K2597">
            <v>0</v>
          </cell>
          <cell r="L2597">
            <v>900</v>
          </cell>
          <cell r="M2597">
            <v>0</v>
          </cell>
          <cell r="N2597">
            <v>900</v>
          </cell>
          <cell r="O2597">
            <v>0</v>
          </cell>
          <cell r="P2597">
            <v>900</v>
          </cell>
          <cell r="Q2597">
            <v>0</v>
          </cell>
          <cell r="R2597">
            <v>900</v>
          </cell>
          <cell r="S2597">
            <v>0</v>
          </cell>
          <cell r="T2597">
            <v>900</v>
          </cell>
          <cell r="U2597">
            <v>0</v>
          </cell>
          <cell r="V2597">
            <v>900</v>
          </cell>
          <cell r="W2597">
            <v>0</v>
          </cell>
          <cell r="X2597">
            <v>900</v>
          </cell>
          <cell r="Y2597">
            <v>0</v>
          </cell>
          <cell r="Z2597">
            <v>900</v>
          </cell>
          <cell r="AA2597">
            <v>0</v>
          </cell>
          <cell r="AB2597">
            <v>0</v>
          </cell>
          <cell r="AC2597">
            <v>0</v>
          </cell>
          <cell r="AD2597">
            <v>0.1</v>
          </cell>
          <cell r="AE2597">
            <v>0</v>
          </cell>
          <cell r="AF2597">
            <v>0</v>
          </cell>
          <cell r="AG2597">
            <v>0</v>
          </cell>
          <cell r="AH2597">
            <v>0</v>
          </cell>
          <cell r="AI2597">
            <v>0</v>
          </cell>
          <cell r="AJ2597">
            <v>0</v>
          </cell>
          <cell r="AK2597">
            <v>0</v>
          </cell>
          <cell r="AL2597">
            <v>0</v>
          </cell>
        </row>
        <row r="2598">
          <cell r="E2598" t="str">
            <v>防火区画処理</v>
          </cell>
          <cell r="F2598" t="str">
            <v>箇所</v>
          </cell>
          <cell r="G2598">
            <v>0</v>
          </cell>
          <cell r="H2598">
            <v>2500</v>
          </cell>
          <cell r="I2598">
            <v>0</v>
          </cell>
          <cell r="J2598">
            <v>2500</v>
          </cell>
          <cell r="K2598">
            <v>0</v>
          </cell>
          <cell r="L2598">
            <v>2500</v>
          </cell>
          <cell r="M2598">
            <v>0</v>
          </cell>
          <cell r="N2598">
            <v>2500</v>
          </cell>
          <cell r="O2598">
            <v>0</v>
          </cell>
          <cell r="P2598">
            <v>2500</v>
          </cell>
          <cell r="Q2598">
            <v>0</v>
          </cell>
          <cell r="R2598">
            <v>2500</v>
          </cell>
          <cell r="S2598">
            <v>0</v>
          </cell>
          <cell r="T2598">
            <v>2500</v>
          </cell>
          <cell r="U2598">
            <v>0</v>
          </cell>
          <cell r="V2598">
            <v>2500</v>
          </cell>
          <cell r="W2598">
            <v>0</v>
          </cell>
          <cell r="X2598">
            <v>2500</v>
          </cell>
          <cell r="Y2598">
            <v>0</v>
          </cell>
          <cell r="Z2598">
            <v>2500</v>
          </cell>
          <cell r="AA2598">
            <v>0</v>
          </cell>
          <cell r="AB2598">
            <v>0</v>
          </cell>
          <cell r="AC2598">
            <v>0</v>
          </cell>
          <cell r="AD2598">
            <v>0.1</v>
          </cell>
          <cell r="AE2598">
            <v>0</v>
          </cell>
          <cell r="AF2598">
            <v>0</v>
          </cell>
          <cell r="AG2598">
            <v>0</v>
          </cell>
          <cell r="AH2598">
            <v>0</v>
          </cell>
          <cell r="AI2598">
            <v>0</v>
          </cell>
          <cell r="AJ2598">
            <v>0</v>
          </cell>
          <cell r="AK2598">
            <v>0</v>
          </cell>
          <cell r="AL2598">
            <v>0</v>
          </cell>
        </row>
        <row r="2599">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row>
        <row r="2600">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row>
        <row r="2601">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row>
        <row r="2602">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row>
        <row r="2603">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row>
        <row r="2604">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row>
        <row r="2605">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row>
        <row r="2606">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row>
        <row r="2607">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row>
        <row r="2608">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row>
        <row r="2609">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row>
        <row r="2610">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row>
        <row r="2611">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row>
        <row r="2612">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row>
        <row r="2613">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row>
        <row r="2614">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row>
        <row r="2615">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row>
        <row r="2616">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row>
        <row r="2617">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row>
        <row r="2618">
          <cell r="E2618" t="str">
            <v>高圧カットアウト PC-6 7.2KV-30A</v>
          </cell>
          <cell r="F2618" t="str">
            <v>個</v>
          </cell>
          <cell r="G2618">
            <v>0</v>
          </cell>
          <cell r="H2618">
            <v>15050</v>
          </cell>
          <cell r="I2618">
            <v>0</v>
          </cell>
          <cell r="J2618">
            <v>15050</v>
          </cell>
          <cell r="K2618">
            <v>0</v>
          </cell>
          <cell r="L2618">
            <v>15050</v>
          </cell>
          <cell r="M2618">
            <v>0</v>
          </cell>
          <cell r="N2618">
            <v>15050</v>
          </cell>
          <cell r="O2618">
            <v>0</v>
          </cell>
          <cell r="P2618">
            <v>15050</v>
          </cell>
          <cell r="Q2618">
            <v>0</v>
          </cell>
          <cell r="R2618">
            <v>15050</v>
          </cell>
          <cell r="S2618">
            <v>0</v>
          </cell>
          <cell r="T2618">
            <v>15050</v>
          </cell>
          <cell r="U2618">
            <v>0</v>
          </cell>
          <cell r="V2618">
            <v>15050</v>
          </cell>
          <cell r="W2618">
            <v>0</v>
          </cell>
          <cell r="X2618">
            <v>15050</v>
          </cell>
          <cell r="Y2618">
            <v>0</v>
          </cell>
          <cell r="Z2618">
            <v>15050</v>
          </cell>
          <cell r="AA2618">
            <v>0</v>
          </cell>
          <cell r="AB2618">
            <v>0</v>
          </cell>
          <cell r="AC2618">
            <v>0</v>
          </cell>
          <cell r="AD2618">
            <v>0.159</v>
          </cell>
          <cell r="AE2618">
            <v>0</v>
          </cell>
          <cell r="AF2618">
            <v>0</v>
          </cell>
          <cell r="AG2618">
            <v>0</v>
          </cell>
          <cell r="AH2618">
            <v>0</v>
          </cell>
          <cell r="AI2618">
            <v>0</v>
          </cell>
          <cell r="AJ2618">
            <v>0</v>
          </cell>
          <cell r="AK2618">
            <v>0</v>
          </cell>
          <cell r="AL2618" t="str">
            <v>ヒューズ付</v>
          </cell>
        </row>
        <row r="2619">
          <cell r="E2619" t="str">
            <v>高圧カットアウト PC-6 7.2KV-50A</v>
          </cell>
          <cell r="F2619" t="str">
            <v>個</v>
          </cell>
          <cell r="G2619">
            <v>0</v>
          </cell>
          <cell r="H2619">
            <v>17820</v>
          </cell>
          <cell r="I2619">
            <v>0</v>
          </cell>
          <cell r="J2619">
            <v>17820</v>
          </cell>
          <cell r="K2619">
            <v>0</v>
          </cell>
          <cell r="L2619">
            <v>17820</v>
          </cell>
          <cell r="M2619">
            <v>0</v>
          </cell>
          <cell r="N2619">
            <v>17820</v>
          </cell>
          <cell r="O2619">
            <v>0</v>
          </cell>
          <cell r="P2619">
            <v>17820</v>
          </cell>
          <cell r="Q2619">
            <v>0</v>
          </cell>
          <cell r="R2619">
            <v>17820</v>
          </cell>
          <cell r="S2619">
            <v>0</v>
          </cell>
          <cell r="T2619">
            <v>17820</v>
          </cell>
          <cell r="U2619">
            <v>0</v>
          </cell>
          <cell r="V2619">
            <v>17820</v>
          </cell>
          <cell r="W2619">
            <v>0</v>
          </cell>
          <cell r="X2619">
            <v>17820</v>
          </cell>
          <cell r="Y2619">
            <v>0</v>
          </cell>
          <cell r="Z2619">
            <v>17820</v>
          </cell>
          <cell r="AA2619">
            <v>0</v>
          </cell>
          <cell r="AB2619">
            <v>0</v>
          </cell>
          <cell r="AC2619">
            <v>0</v>
          </cell>
          <cell r="AD2619">
            <v>0.159</v>
          </cell>
          <cell r="AE2619">
            <v>0</v>
          </cell>
          <cell r="AF2619">
            <v>0</v>
          </cell>
          <cell r="AG2619">
            <v>0</v>
          </cell>
          <cell r="AH2619">
            <v>0</v>
          </cell>
          <cell r="AI2619">
            <v>0</v>
          </cell>
          <cell r="AJ2619">
            <v>0</v>
          </cell>
          <cell r="AK2619">
            <v>0</v>
          </cell>
          <cell r="AL2619" t="str">
            <v>ヒューズ付</v>
          </cell>
        </row>
        <row r="2620">
          <cell r="E2620" t="str">
            <v>高圧カットアウト PC-7 7.2KV-100A</v>
          </cell>
          <cell r="F2620" t="str">
            <v>個</v>
          </cell>
          <cell r="G2620">
            <v>0</v>
          </cell>
          <cell r="H2620">
            <v>18820</v>
          </cell>
          <cell r="I2620">
            <v>0</v>
          </cell>
          <cell r="J2620">
            <v>18820</v>
          </cell>
          <cell r="K2620">
            <v>0</v>
          </cell>
          <cell r="L2620">
            <v>18820</v>
          </cell>
          <cell r="M2620">
            <v>0</v>
          </cell>
          <cell r="N2620">
            <v>18820</v>
          </cell>
          <cell r="O2620">
            <v>0</v>
          </cell>
          <cell r="P2620">
            <v>18820</v>
          </cell>
          <cell r="Q2620">
            <v>0</v>
          </cell>
          <cell r="R2620">
            <v>18820</v>
          </cell>
          <cell r="S2620">
            <v>0</v>
          </cell>
          <cell r="T2620">
            <v>18820</v>
          </cell>
          <cell r="U2620">
            <v>0</v>
          </cell>
          <cell r="V2620">
            <v>18820</v>
          </cell>
          <cell r="W2620">
            <v>0</v>
          </cell>
          <cell r="X2620">
            <v>18820</v>
          </cell>
          <cell r="Y2620">
            <v>0</v>
          </cell>
          <cell r="Z2620">
            <v>18820</v>
          </cell>
          <cell r="AA2620">
            <v>0</v>
          </cell>
          <cell r="AB2620">
            <v>0</v>
          </cell>
          <cell r="AC2620">
            <v>0</v>
          </cell>
          <cell r="AD2620">
            <v>0.159</v>
          </cell>
          <cell r="AE2620">
            <v>0</v>
          </cell>
          <cell r="AF2620">
            <v>0</v>
          </cell>
          <cell r="AG2620">
            <v>0</v>
          </cell>
          <cell r="AH2620">
            <v>0</v>
          </cell>
          <cell r="AI2620">
            <v>0</v>
          </cell>
          <cell r="AJ2620">
            <v>0</v>
          </cell>
          <cell r="AK2620">
            <v>0</v>
          </cell>
          <cell r="AL2620" t="str">
            <v>ヒューズ付</v>
          </cell>
        </row>
        <row r="2621">
          <cell r="E2621" t="str">
            <v>高圧カットアウト PC-6S 7.2KV-30A</v>
          </cell>
          <cell r="F2621" t="str">
            <v>個</v>
          </cell>
          <cell r="G2621">
            <v>0</v>
          </cell>
          <cell r="H2621">
            <v>18820</v>
          </cell>
          <cell r="I2621">
            <v>0</v>
          </cell>
          <cell r="J2621">
            <v>18820</v>
          </cell>
          <cell r="K2621">
            <v>0</v>
          </cell>
          <cell r="L2621">
            <v>18820</v>
          </cell>
          <cell r="M2621">
            <v>0</v>
          </cell>
          <cell r="N2621">
            <v>18820</v>
          </cell>
          <cell r="O2621">
            <v>0</v>
          </cell>
          <cell r="P2621">
            <v>18820</v>
          </cell>
          <cell r="Q2621">
            <v>0</v>
          </cell>
          <cell r="R2621">
            <v>18820</v>
          </cell>
          <cell r="S2621">
            <v>0</v>
          </cell>
          <cell r="T2621">
            <v>18820</v>
          </cell>
          <cell r="U2621">
            <v>0</v>
          </cell>
          <cell r="V2621">
            <v>18820</v>
          </cell>
          <cell r="W2621">
            <v>0</v>
          </cell>
          <cell r="X2621">
            <v>18820</v>
          </cell>
          <cell r="Y2621">
            <v>0</v>
          </cell>
          <cell r="Z2621">
            <v>18820</v>
          </cell>
          <cell r="AA2621">
            <v>0</v>
          </cell>
          <cell r="AB2621">
            <v>0</v>
          </cell>
          <cell r="AC2621">
            <v>0</v>
          </cell>
          <cell r="AD2621">
            <v>0.159</v>
          </cell>
          <cell r="AE2621">
            <v>0</v>
          </cell>
          <cell r="AF2621">
            <v>0</v>
          </cell>
          <cell r="AG2621">
            <v>0</v>
          </cell>
          <cell r="AH2621">
            <v>0</v>
          </cell>
          <cell r="AI2621">
            <v>0</v>
          </cell>
          <cell r="AJ2621">
            <v>0</v>
          </cell>
          <cell r="AK2621">
            <v>0</v>
          </cell>
          <cell r="AL2621" t="str">
            <v>ヒューズ付</v>
          </cell>
        </row>
        <row r="2622">
          <cell r="E2622" t="str">
            <v>高圧カットアウト PC-7S7.2KV-30A</v>
          </cell>
          <cell r="F2622" t="str">
            <v>個</v>
          </cell>
          <cell r="G2622">
            <v>0</v>
          </cell>
          <cell r="H2622">
            <v>18820</v>
          </cell>
          <cell r="I2622">
            <v>0</v>
          </cell>
          <cell r="J2622">
            <v>18820</v>
          </cell>
          <cell r="K2622">
            <v>0</v>
          </cell>
          <cell r="L2622">
            <v>18820</v>
          </cell>
          <cell r="M2622">
            <v>0</v>
          </cell>
          <cell r="N2622">
            <v>18820</v>
          </cell>
          <cell r="O2622">
            <v>0</v>
          </cell>
          <cell r="P2622">
            <v>18820</v>
          </cell>
          <cell r="Q2622">
            <v>0</v>
          </cell>
          <cell r="R2622">
            <v>18820</v>
          </cell>
          <cell r="S2622">
            <v>0</v>
          </cell>
          <cell r="T2622">
            <v>18820</v>
          </cell>
          <cell r="U2622">
            <v>0</v>
          </cell>
          <cell r="V2622">
            <v>18820</v>
          </cell>
          <cell r="W2622">
            <v>0</v>
          </cell>
          <cell r="X2622">
            <v>18820</v>
          </cell>
          <cell r="Y2622">
            <v>0</v>
          </cell>
          <cell r="Z2622">
            <v>18820</v>
          </cell>
          <cell r="AA2622">
            <v>0</v>
          </cell>
          <cell r="AB2622">
            <v>0</v>
          </cell>
          <cell r="AC2622">
            <v>0</v>
          </cell>
          <cell r="AD2622">
            <v>0.159</v>
          </cell>
          <cell r="AE2622">
            <v>0</v>
          </cell>
          <cell r="AF2622">
            <v>0</v>
          </cell>
          <cell r="AG2622">
            <v>0</v>
          </cell>
          <cell r="AH2622">
            <v>0</v>
          </cell>
          <cell r="AI2622">
            <v>0</v>
          </cell>
          <cell r="AJ2622">
            <v>0</v>
          </cell>
          <cell r="AK2622">
            <v>0</v>
          </cell>
          <cell r="AL2622" t="str">
            <v>ヒューズ付</v>
          </cell>
        </row>
        <row r="2623">
          <cell r="E2623" t="str">
            <v>高圧カットアウト PC-7S 7.2KV-100A</v>
          </cell>
          <cell r="F2623" t="str">
            <v>個</v>
          </cell>
          <cell r="G2623">
            <v>0</v>
          </cell>
          <cell r="H2623">
            <v>26780</v>
          </cell>
          <cell r="I2623">
            <v>0</v>
          </cell>
          <cell r="J2623">
            <v>26780</v>
          </cell>
          <cell r="K2623">
            <v>0</v>
          </cell>
          <cell r="L2623">
            <v>26780</v>
          </cell>
          <cell r="M2623">
            <v>0</v>
          </cell>
          <cell r="N2623">
            <v>26780</v>
          </cell>
          <cell r="O2623">
            <v>0</v>
          </cell>
          <cell r="P2623">
            <v>26780</v>
          </cell>
          <cell r="Q2623">
            <v>0</v>
          </cell>
          <cell r="R2623">
            <v>26780</v>
          </cell>
          <cell r="S2623">
            <v>0</v>
          </cell>
          <cell r="T2623">
            <v>26780</v>
          </cell>
          <cell r="U2623">
            <v>0</v>
          </cell>
          <cell r="V2623">
            <v>26780</v>
          </cell>
          <cell r="W2623">
            <v>0</v>
          </cell>
          <cell r="X2623">
            <v>26780</v>
          </cell>
          <cell r="Y2623">
            <v>0</v>
          </cell>
          <cell r="Z2623">
            <v>26780</v>
          </cell>
          <cell r="AA2623">
            <v>0</v>
          </cell>
          <cell r="AB2623">
            <v>0</v>
          </cell>
          <cell r="AC2623">
            <v>0</v>
          </cell>
          <cell r="AD2623">
            <v>0.159</v>
          </cell>
          <cell r="AE2623">
            <v>0</v>
          </cell>
          <cell r="AF2623">
            <v>0</v>
          </cell>
          <cell r="AG2623">
            <v>0</v>
          </cell>
          <cell r="AH2623">
            <v>0</v>
          </cell>
          <cell r="AI2623">
            <v>0</v>
          </cell>
          <cell r="AJ2623">
            <v>0</v>
          </cell>
          <cell r="AK2623">
            <v>0</v>
          </cell>
          <cell r="AL2623" t="str">
            <v>ヒューズ付</v>
          </cell>
        </row>
        <row r="2624">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row>
        <row r="2625">
          <cell r="E2625" t="str">
            <v>GLアレスタ GL-86G-8.4KV</v>
          </cell>
          <cell r="F2625" t="str">
            <v>個</v>
          </cell>
          <cell r="G2625">
            <v>0</v>
          </cell>
          <cell r="H2625">
            <v>10100</v>
          </cell>
          <cell r="I2625">
            <v>0</v>
          </cell>
          <cell r="J2625">
            <v>10100</v>
          </cell>
          <cell r="K2625">
            <v>0</v>
          </cell>
          <cell r="L2625">
            <v>10100</v>
          </cell>
          <cell r="M2625">
            <v>0</v>
          </cell>
          <cell r="N2625">
            <v>10100</v>
          </cell>
          <cell r="O2625">
            <v>0</v>
          </cell>
          <cell r="P2625">
            <v>10100</v>
          </cell>
          <cell r="Q2625">
            <v>0</v>
          </cell>
          <cell r="R2625">
            <v>10100</v>
          </cell>
          <cell r="S2625">
            <v>0</v>
          </cell>
          <cell r="T2625">
            <v>10100</v>
          </cell>
          <cell r="U2625">
            <v>0</v>
          </cell>
          <cell r="V2625">
            <v>10100</v>
          </cell>
          <cell r="W2625">
            <v>0</v>
          </cell>
          <cell r="X2625">
            <v>10100</v>
          </cell>
          <cell r="Y2625">
            <v>0</v>
          </cell>
          <cell r="Z2625">
            <v>10100</v>
          </cell>
          <cell r="AA2625">
            <v>0</v>
          </cell>
          <cell r="AB2625">
            <v>0</v>
          </cell>
          <cell r="AC2625">
            <v>0</v>
          </cell>
          <cell r="AD2625">
            <v>0.22</v>
          </cell>
          <cell r="AE2625">
            <v>0</v>
          </cell>
          <cell r="AF2625">
            <v>0</v>
          </cell>
          <cell r="AG2625">
            <v>0</v>
          </cell>
          <cell r="AH2625">
            <v>0</v>
          </cell>
          <cell r="AI2625">
            <v>0</v>
          </cell>
          <cell r="AJ2625">
            <v>0</v>
          </cell>
          <cell r="AK2625">
            <v>0</v>
          </cell>
          <cell r="AL2625">
            <v>0</v>
          </cell>
        </row>
        <row r="2626">
          <cell r="E2626" t="str">
            <v>配電用アレスタ GL-6R-8.4KV</v>
          </cell>
          <cell r="F2626" t="str">
            <v>個</v>
          </cell>
          <cell r="G2626">
            <v>0</v>
          </cell>
          <cell r="H2626">
            <v>12900</v>
          </cell>
          <cell r="I2626">
            <v>0</v>
          </cell>
          <cell r="J2626">
            <v>12900</v>
          </cell>
          <cell r="K2626">
            <v>0</v>
          </cell>
          <cell r="L2626">
            <v>12900</v>
          </cell>
          <cell r="M2626">
            <v>0</v>
          </cell>
          <cell r="N2626">
            <v>12900</v>
          </cell>
          <cell r="O2626">
            <v>0</v>
          </cell>
          <cell r="P2626">
            <v>12900</v>
          </cell>
          <cell r="Q2626">
            <v>0</v>
          </cell>
          <cell r="R2626">
            <v>12900</v>
          </cell>
          <cell r="S2626">
            <v>0</v>
          </cell>
          <cell r="T2626">
            <v>12900</v>
          </cell>
          <cell r="U2626">
            <v>0</v>
          </cell>
          <cell r="V2626">
            <v>12900</v>
          </cell>
          <cell r="W2626">
            <v>0</v>
          </cell>
          <cell r="X2626">
            <v>12900</v>
          </cell>
          <cell r="Y2626">
            <v>0</v>
          </cell>
          <cell r="Z2626">
            <v>12900</v>
          </cell>
          <cell r="AA2626">
            <v>0</v>
          </cell>
          <cell r="AB2626">
            <v>0</v>
          </cell>
          <cell r="AC2626">
            <v>0</v>
          </cell>
          <cell r="AD2626">
            <v>0.22</v>
          </cell>
          <cell r="AE2626">
            <v>0</v>
          </cell>
          <cell r="AF2626">
            <v>0</v>
          </cell>
          <cell r="AG2626">
            <v>0</v>
          </cell>
          <cell r="AH2626">
            <v>0</v>
          </cell>
          <cell r="AI2626">
            <v>0</v>
          </cell>
          <cell r="AJ2626">
            <v>0</v>
          </cell>
          <cell r="AK2626">
            <v>0</v>
          </cell>
          <cell r="AL2626">
            <v>0</v>
          </cell>
        </row>
        <row r="2627">
          <cell r="E2627" t="str">
            <v>配電用アレスタ GL-6DS-8.4KV</v>
          </cell>
          <cell r="F2627" t="str">
            <v>個</v>
          </cell>
          <cell r="G2627">
            <v>0</v>
          </cell>
          <cell r="H2627">
            <v>16600</v>
          </cell>
          <cell r="I2627">
            <v>0</v>
          </cell>
          <cell r="J2627">
            <v>16600</v>
          </cell>
          <cell r="K2627">
            <v>0</v>
          </cell>
          <cell r="L2627">
            <v>16600</v>
          </cell>
          <cell r="M2627">
            <v>0</v>
          </cell>
          <cell r="N2627">
            <v>16600</v>
          </cell>
          <cell r="O2627">
            <v>0</v>
          </cell>
          <cell r="P2627">
            <v>16600</v>
          </cell>
          <cell r="Q2627">
            <v>0</v>
          </cell>
          <cell r="R2627">
            <v>16600</v>
          </cell>
          <cell r="S2627">
            <v>0</v>
          </cell>
          <cell r="T2627">
            <v>16600</v>
          </cell>
          <cell r="U2627">
            <v>0</v>
          </cell>
          <cell r="V2627">
            <v>16600</v>
          </cell>
          <cell r="W2627">
            <v>0</v>
          </cell>
          <cell r="X2627">
            <v>16600</v>
          </cell>
          <cell r="Y2627">
            <v>0</v>
          </cell>
          <cell r="Z2627">
            <v>16600</v>
          </cell>
          <cell r="AA2627">
            <v>0</v>
          </cell>
          <cell r="AB2627">
            <v>0</v>
          </cell>
          <cell r="AC2627">
            <v>0</v>
          </cell>
          <cell r="AD2627">
            <v>0.22</v>
          </cell>
          <cell r="AE2627">
            <v>0</v>
          </cell>
          <cell r="AF2627">
            <v>0</v>
          </cell>
          <cell r="AG2627">
            <v>0</v>
          </cell>
          <cell r="AH2627">
            <v>0</v>
          </cell>
          <cell r="AI2627">
            <v>0</v>
          </cell>
          <cell r="AJ2627">
            <v>0</v>
          </cell>
          <cell r="AK2627">
            <v>0</v>
          </cell>
          <cell r="AL2627">
            <v>0</v>
          </cell>
        </row>
        <row r="2628">
          <cell r="E2628" t="str">
            <v>配電用アレスタ GL-86DS5-8.4KV</v>
          </cell>
          <cell r="F2628" t="str">
            <v>個</v>
          </cell>
          <cell r="G2628">
            <v>0</v>
          </cell>
          <cell r="H2628">
            <v>16400</v>
          </cell>
          <cell r="I2628">
            <v>0</v>
          </cell>
          <cell r="J2628">
            <v>16400</v>
          </cell>
          <cell r="K2628">
            <v>0</v>
          </cell>
          <cell r="L2628">
            <v>16400</v>
          </cell>
          <cell r="M2628">
            <v>0</v>
          </cell>
          <cell r="N2628">
            <v>16400</v>
          </cell>
          <cell r="O2628">
            <v>0</v>
          </cell>
          <cell r="P2628">
            <v>16400</v>
          </cell>
          <cell r="Q2628">
            <v>0</v>
          </cell>
          <cell r="R2628">
            <v>16400</v>
          </cell>
          <cell r="S2628">
            <v>0</v>
          </cell>
          <cell r="T2628">
            <v>16400</v>
          </cell>
          <cell r="U2628">
            <v>0</v>
          </cell>
          <cell r="V2628">
            <v>16400</v>
          </cell>
          <cell r="W2628">
            <v>0</v>
          </cell>
          <cell r="X2628">
            <v>16400</v>
          </cell>
          <cell r="Y2628">
            <v>0</v>
          </cell>
          <cell r="Z2628">
            <v>16400</v>
          </cell>
          <cell r="AA2628">
            <v>0</v>
          </cell>
          <cell r="AB2628">
            <v>0</v>
          </cell>
          <cell r="AC2628">
            <v>0</v>
          </cell>
          <cell r="AD2628">
            <v>0.22</v>
          </cell>
          <cell r="AE2628">
            <v>0</v>
          </cell>
          <cell r="AF2628">
            <v>0</v>
          </cell>
          <cell r="AG2628">
            <v>0</v>
          </cell>
          <cell r="AH2628">
            <v>0</v>
          </cell>
          <cell r="AI2628">
            <v>0</v>
          </cell>
          <cell r="AJ2628">
            <v>0</v>
          </cell>
          <cell r="AK2628">
            <v>0</v>
          </cell>
          <cell r="AL2628">
            <v>0</v>
          </cell>
        </row>
        <row r="2629">
          <cell r="E2629" t="str">
            <v>配電用アレスタ GL-65G-8.4KV</v>
          </cell>
          <cell r="F2629" t="str">
            <v>個</v>
          </cell>
          <cell r="G2629">
            <v>0</v>
          </cell>
          <cell r="H2629">
            <v>45500</v>
          </cell>
          <cell r="I2629">
            <v>0</v>
          </cell>
          <cell r="J2629">
            <v>45500</v>
          </cell>
          <cell r="K2629">
            <v>0</v>
          </cell>
          <cell r="L2629">
            <v>45500</v>
          </cell>
          <cell r="M2629">
            <v>0</v>
          </cell>
          <cell r="N2629">
            <v>45500</v>
          </cell>
          <cell r="O2629">
            <v>0</v>
          </cell>
          <cell r="P2629">
            <v>45500</v>
          </cell>
          <cell r="Q2629">
            <v>0</v>
          </cell>
          <cell r="R2629">
            <v>45500</v>
          </cell>
          <cell r="S2629">
            <v>0</v>
          </cell>
          <cell r="T2629">
            <v>45500</v>
          </cell>
          <cell r="U2629">
            <v>0</v>
          </cell>
          <cell r="V2629">
            <v>45500</v>
          </cell>
          <cell r="W2629">
            <v>0</v>
          </cell>
          <cell r="X2629">
            <v>45500</v>
          </cell>
          <cell r="Y2629">
            <v>0</v>
          </cell>
          <cell r="Z2629">
            <v>45500</v>
          </cell>
          <cell r="AA2629">
            <v>0</v>
          </cell>
          <cell r="AB2629">
            <v>0</v>
          </cell>
          <cell r="AC2629">
            <v>0</v>
          </cell>
          <cell r="AD2629">
            <v>0.22</v>
          </cell>
          <cell r="AE2629">
            <v>0</v>
          </cell>
          <cell r="AF2629">
            <v>0</v>
          </cell>
          <cell r="AG2629">
            <v>0</v>
          </cell>
          <cell r="AH2629">
            <v>0</v>
          </cell>
          <cell r="AI2629">
            <v>0</v>
          </cell>
          <cell r="AJ2629">
            <v>0</v>
          </cell>
          <cell r="AK2629">
            <v>0</v>
          </cell>
          <cell r="AL2629">
            <v>0</v>
          </cell>
        </row>
        <row r="2630">
          <cell r="E2630" t="str">
            <v>配電用アレスタ RVSQ-6GPL2-8.4KV</v>
          </cell>
          <cell r="F2630" t="str">
            <v>個</v>
          </cell>
          <cell r="G2630">
            <v>0</v>
          </cell>
          <cell r="H2630">
            <v>9120</v>
          </cell>
          <cell r="I2630">
            <v>0</v>
          </cell>
          <cell r="J2630">
            <v>9120</v>
          </cell>
          <cell r="K2630">
            <v>0</v>
          </cell>
          <cell r="L2630">
            <v>9120</v>
          </cell>
          <cell r="M2630">
            <v>0</v>
          </cell>
          <cell r="N2630">
            <v>9120</v>
          </cell>
          <cell r="O2630">
            <v>0</v>
          </cell>
          <cell r="P2630">
            <v>9120</v>
          </cell>
          <cell r="Q2630">
            <v>0</v>
          </cell>
          <cell r="R2630">
            <v>9120</v>
          </cell>
          <cell r="S2630">
            <v>0</v>
          </cell>
          <cell r="T2630">
            <v>9120</v>
          </cell>
          <cell r="U2630">
            <v>0</v>
          </cell>
          <cell r="V2630">
            <v>9120</v>
          </cell>
          <cell r="W2630">
            <v>0</v>
          </cell>
          <cell r="X2630">
            <v>9120</v>
          </cell>
          <cell r="Y2630">
            <v>0</v>
          </cell>
          <cell r="Z2630">
            <v>9120</v>
          </cell>
          <cell r="AA2630">
            <v>0</v>
          </cell>
          <cell r="AB2630">
            <v>0</v>
          </cell>
          <cell r="AC2630">
            <v>0</v>
          </cell>
          <cell r="AD2630">
            <v>0.22</v>
          </cell>
          <cell r="AE2630">
            <v>0</v>
          </cell>
          <cell r="AF2630">
            <v>0</v>
          </cell>
          <cell r="AG2630">
            <v>0</v>
          </cell>
          <cell r="AH2630">
            <v>0</v>
          </cell>
          <cell r="AI2630">
            <v>0</v>
          </cell>
          <cell r="AJ2630">
            <v>0</v>
          </cell>
          <cell r="AK2630">
            <v>0</v>
          </cell>
          <cell r="AL2630">
            <v>0</v>
          </cell>
        </row>
        <row r="2631">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row>
        <row r="2632">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row>
        <row r="2633">
          <cell r="E2633" t="str">
            <v>接地工事 EA</v>
          </cell>
          <cell r="F2633" t="str">
            <v>箇所</v>
          </cell>
          <cell r="G2633">
            <v>0</v>
          </cell>
          <cell r="H2633">
            <v>19000</v>
          </cell>
          <cell r="I2633">
            <v>0</v>
          </cell>
          <cell r="J2633">
            <v>19000</v>
          </cell>
          <cell r="K2633">
            <v>0</v>
          </cell>
          <cell r="L2633">
            <v>19000</v>
          </cell>
          <cell r="M2633">
            <v>0</v>
          </cell>
          <cell r="N2633">
            <v>19000</v>
          </cell>
          <cell r="O2633">
            <v>0</v>
          </cell>
          <cell r="P2633">
            <v>19000</v>
          </cell>
          <cell r="Q2633">
            <v>0</v>
          </cell>
          <cell r="R2633">
            <v>19000</v>
          </cell>
          <cell r="S2633">
            <v>0</v>
          </cell>
          <cell r="T2633">
            <v>19000</v>
          </cell>
          <cell r="U2633">
            <v>0</v>
          </cell>
          <cell r="V2633">
            <v>19000</v>
          </cell>
          <cell r="W2633">
            <v>0</v>
          </cell>
          <cell r="X2633">
            <v>19000</v>
          </cell>
          <cell r="Y2633">
            <v>0</v>
          </cell>
          <cell r="Z2633">
            <v>19000</v>
          </cell>
          <cell r="AA2633">
            <v>0</v>
          </cell>
          <cell r="AB2633">
            <v>0</v>
          </cell>
          <cell r="AC2633">
            <v>0</v>
          </cell>
          <cell r="AD2633">
            <v>3.7330000000000001</v>
          </cell>
          <cell r="AE2633">
            <v>0</v>
          </cell>
          <cell r="AF2633">
            <v>0</v>
          </cell>
          <cell r="AG2633">
            <v>0</v>
          </cell>
          <cell r="AH2633">
            <v>0</v>
          </cell>
          <cell r="AI2633">
            <v>0</v>
          </cell>
          <cell r="AJ2633">
            <v>0</v>
          </cell>
          <cell r="AK2633">
            <v>0</v>
          </cell>
          <cell r="AL2633">
            <v>0</v>
          </cell>
        </row>
        <row r="2634">
          <cell r="E2634" t="str">
            <v>接地工事 EA-LA</v>
          </cell>
          <cell r="F2634" t="str">
            <v>箇所</v>
          </cell>
          <cell r="G2634">
            <v>0</v>
          </cell>
          <cell r="H2634">
            <v>19000</v>
          </cell>
          <cell r="I2634">
            <v>0</v>
          </cell>
          <cell r="J2634">
            <v>19000</v>
          </cell>
          <cell r="K2634">
            <v>0</v>
          </cell>
          <cell r="L2634">
            <v>19000</v>
          </cell>
          <cell r="M2634">
            <v>0</v>
          </cell>
          <cell r="N2634">
            <v>19000</v>
          </cell>
          <cell r="O2634">
            <v>0</v>
          </cell>
          <cell r="P2634">
            <v>19000</v>
          </cell>
          <cell r="Q2634">
            <v>0</v>
          </cell>
          <cell r="R2634">
            <v>19000</v>
          </cell>
          <cell r="S2634">
            <v>0</v>
          </cell>
          <cell r="T2634">
            <v>19000</v>
          </cell>
          <cell r="U2634">
            <v>0</v>
          </cell>
          <cell r="V2634">
            <v>19000</v>
          </cell>
          <cell r="W2634">
            <v>0</v>
          </cell>
          <cell r="X2634">
            <v>19000</v>
          </cell>
          <cell r="Y2634">
            <v>0</v>
          </cell>
          <cell r="Z2634">
            <v>19000</v>
          </cell>
          <cell r="AA2634">
            <v>0</v>
          </cell>
          <cell r="AB2634">
            <v>0</v>
          </cell>
          <cell r="AC2634">
            <v>0</v>
          </cell>
          <cell r="AD2634">
            <v>3.7330000000000001</v>
          </cell>
          <cell r="AE2634">
            <v>0</v>
          </cell>
          <cell r="AF2634">
            <v>0</v>
          </cell>
          <cell r="AG2634">
            <v>0</v>
          </cell>
          <cell r="AH2634">
            <v>0</v>
          </cell>
          <cell r="AI2634">
            <v>0</v>
          </cell>
          <cell r="AJ2634">
            <v>0</v>
          </cell>
          <cell r="AK2634">
            <v>0</v>
          </cell>
          <cell r="AL2634">
            <v>0</v>
          </cell>
        </row>
        <row r="2635">
          <cell r="E2635" t="str">
            <v>接地工事 EB</v>
          </cell>
          <cell r="F2635" t="str">
            <v>箇所</v>
          </cell>
          <cell r="G2635">
            <v>0</v>
          </cell>
          <cell r="H2635">
            <v>19000</v>
          </cell>
          <cell r="I2635">
            <v>0</v>
          </cell>
          <cell r="J2635">
            <v>19000</v>
          </cell>
          <cell r="K2635">
            <v>0</v>
          </cell>
          <cell r="L2635">
            <v>19000</v>
          </cell>
          <cell r="M2635">
            <v>0</v>
          </cell>
          <cell r="N2635">
            <v>19000</v>
          </cell>
          <cell r="O2635">
            <v>0</v>
          </cell>
          <cell r="P2635">
            <v>19000</v>
          </cell>
          <cell r="Q2635">
            <v>0</v>
          </cell>
          <cell r="R2635">
            <v>19000</v>
          </cell>
          <cell r="S2635">
            <v>0</v>
          </cell>
          <cell r="T2635">
            <v>19000</v>
          </cell>
          <cell r="U2635">
            <v>0</v>
          </cell>
          <cell r="V2635">
            <v>19000</v>
          </cell>
          <cell r="W2635">
            <v>0</v>
          </cell>
          <cell r="X2635">
            <v>19000</v>
          </cell>
          <cell r="Y2635">
            <v>0</v>
          </cell>
          <cell r="Z2635">
            <v>19000</v>
          </cell>
          <cell r="AA2635">
            <v>0</v>
          </cell>
          <cell r="AB2635">
            <v>0</v>
          </cell>
          <cell r="AC2635">
            <v>0</v>
          </cell>
          <cell r="AD2635">
            <v>3.7330000000000001</v>
          </cell>
          <cell r="AE2635">
            <v>0</v>
          </cell>
          <cell r="AF2635">
            <v>0</v>
          </cell>
          <cell r="AG2635">
            <v>0</v>
          </cell>
          <cell r="AH2635">
            <v>0</v>
          </cell>
          <cell r="AI2635">
            <v>0</v>
          </cell>
          <cell r="AJ2635">
            <v>0</v>
          </cell>
          <cell r="AK2635">
            <v>0</v>
          </cell>
          <cell r="AL2635">
            <v>0</v>
          </cell>
        </row>
        <row r="2636">
          <cell r="E2636" t="str">
            <v>接地工事 ED</v>
          </cell>
          <cell r="F2636" t="str">
            <v>箇所</v>
          </cell>
          <cell r="G2636">
            <v>0</v>
          </cell>
          <cell r="H2636">
            <v>2800</v>
          </cell>
          <cell r="I2636">
            <v>0</v>
          </cell>
          <cell r="J2636">
            <v>2800</v>
          </cell>
          <cell r="K2636">
            <v>0</v>
          </cell>
          <cell r="L2636">
            <v>2800</v>
          </cell>
          <cell r="M2636">
            <v>0</v>
          </cell>
          <cell r="N2636">
            <v>2800</v>
          </cell>
          <cell r="O2636">
            <v>0</v>
          </cell>
          <cell r="P2636">
            <v>2800</v>
          </cell>
          <cell r="Q2636">
            <v>0</v>
          </cell>
          <cell r="R2636">
            <v>2800</v>
          </cell>
          <cell r="S2636">
            <v>0</v>
          </cell>
          <cell r="T2636">
            <v>2800</v>
          </cell>
          <cell r="U2636">
            <v>0</v>
          </cell>
          <cell r="V2636">
            <v>2800</v>
          </cell>
          <cell r="W2636">
            <v>0</v>
          </cell>
          <cell r="X2636">
            <v>2800</v>
          </cell>
          <cell r="Y2636">
            <v>0</v>
          </cell>
          <cell r="Z2636">
            <v>2800</v>
          </cell>
          <cell r="AA2636">
            <v>0</v>
          </cell>
          <cell r="AB2636">
            <v>0</v>
          </cell>
          <cell r="AC2636">
            <v>0</v>
          </cell>
          <cell r="AD2636">
            <v>3.7330000000000001</v>
          </cell>
          <cell r="AE2636">
            <v>0</v>
          </cell>
          <cell r="AF2636">
            <v>0</v>
          </cell>
          <cell r="AG2636">
            <v>0</v>
          </cell>
          <cell r="AH2636">
            <v>0</v>
          </cell>
          <cell r="AI2636">
            <v>0</v>
          </cell>
          <cell r="AJ2636">
            <v>0</v>
          </cell>
          <cell r="AK2636">
            <v>0</v>
          </cell>
          <cell r="AL2636">
            <v>0</v>
          </cell>
        </row>
        <row r="2637">
          <cell r="E2637" t="str">
            <v>接地工事 ED-ELB</v>
          </cell>
          <cell r="F2637" t="str">
            <v>箇所</v>
          </cell>
          <cell r="G2637">
            <v>0</v>
          </cell>
          <cell r="H2637">
            <v>2800</v>
          </cell>
          <cell r="I2637">
            <v>0</v>
          </cell>
          <cell r="J2637">
            <v>2800</v>
          </cell>
          <cell r="K2637">
            <v>0</v>
          </cell>
          <cell r="L2637">
            <v>2800</v>
          </cell>
          <cell r="M2637">
            <v>0</v>
          </cell>
          <cell r="N2637">
            <v>2800</v>
          </cell>
          <cell r="O2637">
            <v>0</v>
          </cell>
          <cell r="P2637">
            <v>2800</v>
          </cell>
          <cell r="Q2637">
            <v>0</v>
          </cell>
          <cell r="R2637">
            <v>2800</v>
          </cell>
          <cell r="S2637">
            <v>0</v>
          </cell>
          <cell r="T2637">
            <v>2800</v>
          </cell>
          <cell r="U2637">
            <v>0</v>
          </cell>
          <cell r="V2637">
            <v>2800</v>
          </cell>
          <cell r="W2637">
            <v>0</v>
          </cell>
          <cell r="X2637">
            <v>2800</v>
          </cell>
          <cell r="Y2637">
            <v>0</v>
          </cell>
          <cell r="Z2637">
            <v>2800</v>
          </cell>
          <cell r="AA2637">
            <v>0</v>
          </cell>
          <cell r="AB2637">
            <v>0</v>
          </cell>
          <cell r="AC2637">
            <v>0</v>
          </cell>
          <cell r="AD2637">
            <v>3.7330000000000001</v>
          </cell>
          <cell r="AE2637">
            <v>0</v>
          </cell>
          <cell r="AF2637">
            <v>0</v>
          </cell>
          <cell r="AG2637">
            <v>0</v>
          </cell>
          <cell r="AH2637">
            <v>0</v>
          </cell>
          <cell r="AI2637">
            <v>0</v>
          </cell>
          <cell r="AJ2637">
            <v>0</v>
          </cell>
          <cell r="AK2637">
            <v>0</v>
          </cell>
          <cell r="AL2637">
            <v>0</v>
          </cell>
        </row>
        <row r="2638">
          <cell r="E2638" t="str">
            <v>接地工事 Ep,Ec</v>
          </cell>
          <cell r="F2638" t="str">
            <v>箇所</v>
          </cell>
          <cell r="G2638">
            <v>0</v>
          </cell>
          <cell r="H2638">
            <v>720</v>
          </cell>
          <cell r="I2638">
            <v>0</v>
          </cell>
          <cell r="J2638">
            <v>720</v>
          </cell>
          <cell r="K2638">
            <v>0</v>
          </cell>
          <cell r="L2638">
            <v>720</v>
          </cell>
          <cell r="M2638">
            <v>0</v>
          </cell>
          <cell r="N2638">
            <v>720</v>
          </cell>
          <cell r="O2638">
            <v>0</v>
          </cell>
          <cell r="P2638">
            <v>720</v>
          </cell>
          <cell r="Q2638">
            <v>0</v>
          </cell>
          <cell r="R2638">
            <v>720</v>
          </cell>
          <cell r="S2638">
            <v>0</v>
          </cell>
          <cell r="T2638">
            <v>720</v>
          </cell>
          <cell r="U2638">
            <v>0</v>
          </cell>
          <cell r="V2638">
            <v>720</v>
          </cell>
          <cell r="W2638">
            <v>0</v>
          </cell>
          <cell r="X2638">
            <v>720</v>
          </cell>
          <cell r="Y2638">
            <v>0</v>
          </cell>
          <cell r="Z2638">
            <v>720</v>
          </cell>
          <cell r="AA2638">
            <v>0</v>
          </cell>
          <cell r="AB2638">
            <v>0</v>
          </cell>
          <cell r="AC2638">
            <v>0</v>
          </cell>
          <cell r="AD2638">
            <v>0.183</v>
          </cell>
          <cell r="AE2638">
            <v>0</v>
          </cell>
          <cell r="AF2638">
            <v>0</v>
          </cell>
          <cell r="AG2638">
            <v>0</v>
          </cell>
          <cell r="AH2638">
            <v>0</v>
          </cell>
          <cell r="AI2638">
            <v>0</v>
          </cell>
          <cell r="AJ2638">
            <v>0</v>
          </cell>
          <cell r="AK2638">
            <v>0</v>
          </cell>
          <cell r="AL2638" t="str">
            <v>普通作業員</v>
          </cell>
        </row>
        <row r="2639">
          <cell r="E2639" t="str">
            <v>接地工事 Et</v>
          </cell>
          <cell r="F2639" t="str">
            <v>箇所</v>
          </cell>
          <cell r="G2639">
            <v>0</v>
          </cell>
          <cell r="H2639">
            <v>19000</v>
          </cell>
          <cell r="I2639">
            <v>0</v>
          </cell>
          <cell r="J2639">
            <v>19000</v>
          </cell>
          <cell r="K2639">
            <v>0</v>
          </cell>
          <cell r="L2639">
            <v>19000</v>
          </cell>
          <cell r="M2639">
            <v>0</v>
          </cell>
          <cell r="N2639">
            <v>19000</v>
          </cell>
          <cell r="O2639">
            <v>0</v>
          </cell>
          <cell r="P2639">
            <v>19000</v>
          </cell>
          <cell r="Q2639">
            <v>0</v>
          </cell>
          <cell r="R2639">
            <v>19000</v>
          </cell>
          <cell r="S2639">
            <v>0</v>
          </cell>
          <cell r="T2639">
            <v>19000</v>
          </cell>
          <cell r="U2639">
            <v>0</v>
          </cell>
          <cell r="V2639">
            <v>19000</v>
          </cell>
          <cell r="W2639">
            <v>0</v>
          </cell>
          <cell r="X2639">
            <v>19000</v>
          </cell>
          <cell r="Y2639">
            <v>0</v>
          </cell>
          <cell r="Z2639">
            <v>19000</v>
          </cell>
          <cell r="AA2639">
            <v>0</v>
          </cell>
          <cell r="AB2639">
            <v>0</v>
          </cell>
          <cell r="AC2639">
            <v>0</v>
          </cell>
          <cell r="AD2639">
            <v>3.7330000000000001</v>
          </cell>
          <cell r="AE2639">
            <v>0</v>
          </cell>
          <cell r="AF2639">
            <v>0</v>
          </cell>
          <cell r="AG2639">
            <v>0</v>
          </cell>
          <cell r="AH2639">
            <v>0</v>
          </cell>
          <cell r="AI2639">
            <v>0</v>
          </cell>
          <cell r="AJ2639">
            <v>0</v>
          </cell>
          <cell r="AK2639">
            <v>0</v>
          </cell>
          <cell r="AL2639">
            <v>0</v>
          </cell>
        </row>
        <row r="2640">
          <cell r="E2640" t="str">
            <v>CP 10-19-350Kg</v>
          </cell>
          <cell r="F2640" t="str">
            <v>本</v>
          </cell>
          <cell r="G2640">
            <v>0</v>
          </cell>
          <cell r="H2640">
            <v>37100</v>
          </cell>
          <cell r="I2640">
            <v>0</v>
          </cell>
          <cell r="J2640">
            <v>37100</v>
          </cell>
          <cell r="K2640">
            <v>0</v>
          </cell>
          <cell r="L2640">
            <v>37100</v>
          </cell>
          <cell r="M2640">
            <v>0</v>
          </cell>
          <cell r="N2640">
            <v>37500</v>
          </cell>
          <cell r="O2640">
            <v>0</v>
          </cell>
          <cell r="P2640">
            <v>36200</v>
          </cell>
          <cell r="Q2640">
            <v>0</v>
          </cell>
          <cell r="R2640">
            <v>37500</v>
          </cell>
          <cell r="S2640">
            <v>0</v>
          </cell>
          <cell r="T2640">
            <v>36200</v>
          </cell>
          <cell r="U2640">
            <v>0</v>
          </cell>
          <cell r="V2640">
            <v>36200</v>
          </cell>
          <cell r="W2640">
            <v>0</v>
          </cell>
          <cell r="X2640">
            <v>37100</v>
          </cell>
          <cell r="Y2640">
            <v>0</v>
          </cell>
          <cell r="Z2640">
            <v>37100</v>
          </cell>
          <cell r="AA2640">
            <v>0</v>
          </cell>
          <cell r="AB2640">
            <v>0</v>
          </cell>
          <cell r="AC2640">
            <v>0</v>
          </cell>
          <cell r="AD2640">
            <v>2.61</v>
          </cell>
          <cell r="AE2640">
            <v>0</v>
          </cell>
          <cell r="AF2640">
            <v>0</v>
          </cell>
          <cell r="AG2640">
            <v>0</v>
          </cell>
          <cell r="AH2640">
            <v>0</v>
          </cell>
          <cell r="AI2640">
            <v>0</v>
          </cell>
          <cell r="AJ2640">
            <v>0</v>
          </cell>
          <cell r="AK2640">
            <v>0</v>
          </cell>
          <cell r="AL2640">
            <v>1.04</v>
          </cell>
        </row>
        <row r="2641">
          <cell r="E2641" t="str">
            <v>CP 12-19-350Kg</v>
          </cell>
          <cell r="F2641" t="str">
            <v>本</v>
          </cell>
          <cell r="G2641">
            <v>0</v>
          </cell>
          <cell r="H2641">
            <v>46100</v>
          </cell>
          <cell r="I2641">
            <v>0</v>
          </cell>
          <cell r="J2641">
            <v>46100</v>
          </cell>
          <cell r="K2641">
            <v>0</v>
          </cell>
          <cell r="L2641">
            <v>46100</v>
          </cell>
          <cell r="M2641">
            <v>0</v>
          </cell>
          <cell r="N2641">
            <v>46600</v>
          </cell>
          <cell r="O2641">
            <v>0</v>
          </cell>
          <cell r="P2641">
            <v>45000</v>
          </cell>
          <cell r="Q2641">
            <v>0</v>
          </cell>
          <cell r="R2641">
            <v>46600</v>
          </cell>
          <cell r="S2641">
            <v>0</v>
          </cell>
          <cell r="T2641">
            <v>45000</v>
          </cell>
          <cell r="U2641">
            <v>0</v>
          </cell>
          <cell r="V2641">
            <v>45000</v>
          </cell>
          <cell r="W2641">
            <v>0</v>
          </cell>
          <cell r="X2641">
            <v>46100</v>
          </cell>
          <cell r="Y2641">
            <v>0</v>
          </cell>
          <cell r="Z2641">
            <v>46100</v>
          </cell>
          <cell r="AA2641">
            <v>0</v>
          </cell>
          <cell r="AB2641">
            <v>0</v>
          </cell>
          <cell r="AC2641">
            <v>0</v>
          </cell>
          <cell r="AD2641">
            <v>3.48</v>
          </cell>
          <cell r="AE2641">
            <v>0</v>
          </cell>
          <cell r="AF2641">
            <v>0</v>
          </cell>
          <cell r="AG2641">
            <v>0</v>
          </cell>
          <cell r="AH2641">
            <v>0</v>
          </cell>
          <cell r="AI2641">
            <v>0</v>
          </cell>
          <cell r="AJ2641">
            <v>0</v>
          </cell>
          <cell r="AK2641">
            <v>0</v>
          </cell>
          <cell r="AL2641">
            <v>1.74</v>
          </cell>
        </row>
        <row r="2642">
          <cell r="E2642" t="str">
            <v>CP 12-19-500Kg</v>
          </cell>
          <cell r="F2642" t="str">
            <v>本</v>
          </cell>
          <cell r="G2642">
            <v>0</v>
          </cell>
          <cell r="H2642">
            <v>60300</v>
          </cell>
          <cell r="I2642">
            <v>0</v>
          </cell>
          <cell r="J2642">
            <v>60300</v>
          </cell>
          <cell r="K2642">
            <v>0</v>
          </cell>
          <cell r="L2642">
            <v>60300</v>
          </cell>
          <cell r="M2642">
            <v>0</v>
          </cell>
          <cell r="N2642">
            <v>61300</v>
          </cell>
          <cell r="O2642">
            <v>0</v>
          </cell>
          <cell r="P2642">
            <v>57900</v>
          </cell>
          <cell r="Q2642">
            <v>0</v>
          </cell>
          <cell r="R2642">
            <v>61300</v>
          </cell>
          <cell r="S2642">
            <v>0</v>
          </cell>
          <cell r="T2642">
            <v>57900</v>
          </cell>
          <cell r="U2642">
            <v>0</v>
          </cell>
          <cell r="V2642">
            <v>57900</v>
          </cell>
          <cell r="W2642">
            <v>0</v>
          </cell>
          <cell r="X2642">
            <v>60300</v>
          </cell>
          <cell r="Y2642">
            <v>0</v>
          </cell>
          <cell r="Z2642">
            <v>60300</v>
          </cell>
          <cell r="AA2642">
            <v>0</v>
          </cell>
          <cell r="AB2642">
            <v>0</v>
          </cell>
          <cell r="AC2642">
            <v>0</v>
          </cell>
          <cell r="AD2642">
            <v>3.48</v>
          </cell>
          <cell r="AE2642">
            <v>0</v>
          </cell>
          <cell r="AF2642">
            <v>0</v>
          </cell>
          <cell r="AG2642">
            <v>0</v>
          </cell>
          <cell r="AH2642">
            <v>0</v>
          </cell>
          <cell r="AI2642">
            <v>0</v>
          </cell>
          <cell r="AJ2642">
            <v>0</v>
          </cell>
          <cell r="AK2642">
            <v>0</v>
          </cell>
          <cell r="AL2642">
            <v>1.74</v>
          </cell>
        </row>
        <row r="2643">
          <cell r="E2643" t="str">
            <v>CP 13-19-500Kg</v>
          </cell>
          <cell r="F2643" t="str">
            <v>本</v>
          </cell>
          <cell r="G2643">
            <v>0</v>
          </cell>
          <cell r="H2643">
            <v>66700</v>
          </cell>
          <cell r="I2643">
            <v>0</v>
          </cell>
          <cell r="J2643">
            <v>66700</v>
          </cell>
          <cell r="K2643">
            <v>0</v>
          </cell>
          <cell r="L2643">
            <v>66700</v>
          </cell>
          <cell r="M2643">
            <v>0</v>
          </cell>
          <cell r="N2643">
            <v>67300</v>
          </cell>
          <cell r="O2643">
            <v>0</v>
          </cell>
          <cell r="P2643">
            <v>64000</v>
          </cell>
          <cell r="Q2643">
            <v>0</v>
          </cell>
          <cell r="R2643">
            <v>67300</v>
          </cell>
          <cell r="S2643">
            <v>0</v>
          </cell>
          <cell r="T2643">
            <v>64000</v>
          </cell>
          <cell r="U2643">
            <v>0</v>
          </cell>
          <cell r="V2643">
            <v>64000</v>
          </cell>
          <cell r="W2643">
            <v>0</v>
          </cell>
          <cell r="X2643">
            <v>66700</v>
          </cell>
          <cell r="Y2643">
            <v>0</v>
          </cell>
          <cell r="Z2643">
            <v>66700</v>
          </cell>
          <cell r="AA2643">
            <v>0</v>
          </cell>
          <cell r="AB2643">
            <v>0</v>
          </cell>
          <cell r="AC2643">
            <v>0</v>
          </cell>
          <cell r="AD2643">
            <v>3.91</v>
          </cell>
          <cell r="AE2643">
            <v>0</v>
          </cell>
          <cell r="AF2643">
            <v>0</v>
          </cell>
          <cell r="AG2643">
            <v>0</v>
          </cell>
          <cell r="AH2643">
            <v>0</v>
          </cell>
          <cell r="AI2643">
            <v>0</v>
          </cell>
          <cell r="AJ2643">
            <v>0</v>
          </cell>
          <cell r="AK2643">
            <v>0</v>
          </cell>
          <cell r="AL2643">
            <v>1.19</v>
          </cell>
        </row>
        <row r="2644">
          <cell r="E2644" t="str">
            <v>CP 14-19-500Kg</v>
          </cell>
          <cell r="F2644" t="str">
            <v>本</v>
          </cell>
          <cell r="G2644">
            <v>0</v>
          </cell>
          <cell r="H2644">
            <v>72200</v>
          </cell>
          <cell r="I2644">
            <v>0</v>
          </cell>
          <cell r="J2644">
            <v>72200</v>
          </cell>
          <cell r="K2644">
            <v>0</v>
          </cell>
          <cell r="L2644">
            <v>72200</v>
          </cell>
          <cell r="M2644">
            <v>0</v>
          </cell>
          <cell r="N2644">
            <v>72800</v>
          </cell>
          <cell r="O2644">
            <v>0</v>
          </cell>
          <cell r="P2644">
            <v>70500</v>
          </cell>
          <cell r="Q2644">
            <v>0</v>
          </cell>
          <cell r="R2644">
            <v>72800</v>
          </cell>
          <cell r="S2644">
            <v>0</v>
          </cell>
          <cell r="T2644">
            <v>70500</v>
          </cell>
          <cell r="U2644">
            <v>0</v>
          </cell>
          <cell r="V2644">
            <v>70500</v>
          </cell>
          <cell r="W2644">
            <v>0</v>
          </cell>
          <cell r="X2644">
            <v>72200</v>
          </cell>
          <cell r="Y2644">
            <v>0</v>
          </cell>
          <cell r="Z2644">
            <v>72200</v>
          </cell>
          <cell r="AA2644">
            <v>0</v>
          </cell>
          <cell r="AB2644">
            <v>0</v>
          </cell>
          <cell r="AC2644">
            <v>0</v>
          </cell>
          <cell r="AD2644">
            <v>4.3499999999999996</v>
          </cell>
          <cell r="AE2644">
            <v>0</v>
          </cell>
          <cell r="AF2644">
            <v>0</v>
          </cell>
          <cell r="AG2644">
            <v>0</v>
          </cell>
          <cell r="AH2644">
            <v>0</v>
          </cell>
          <cell r="AI2644">
            <v>0</v>
          </cell>
          <cell r="AJ2644">
            <v>0</v>
          </cell>
          <cell r="AK2644">
            <v>0</v>
          </cell>
          <cell r="AL2644">
            <v>2.09</v>
          </cell>
        </row>
        <row r="2645">
          <cell r="E2645" t="str">
            <v>CP 15-19-500Kg</v>
          </cell>
          <cell r="F2645" t="str">
            <v>本</v>
          </cell>
          <cell r="G2645">
            <v>0</v>
          </cell>
          <cell r="H2645">
            <v>79500</v>
          </cell>
          <cell r="I2645">
            <v>0</v>
          </cell>
          <cell r="J2645">
            <v>79500</v>
          </cell>
          <cell r="K2645">
            <v>0</v>
          </cell>
          <cell r="L2645">
            <v>79500</v>
          </cell>
          <cell r="M2645">
            <v>0</v>
          </cell>
          <cell r="N2645">
            <v>80400</v>
          </cell>
          <cell r="O2645">
            <v>0</v>
          </cell>
          <cell r="P2645">
            <v>77800</v>
          </cell>
          <cell r="Q2645">
            <v>0</v>
          </cell>
          <cell r="R2645">
            <v>80400</v>
          </cell>
          <cell r="S2645">
            <v>0</v>
          </cell>
          <cell r="T2645">
            <v>77800</v>
          </cell>
          <cell r="U2645">
            <v>0</v>
          </cell>
          <cell r="V2645">
            <v>77800</v>
          </cell>
          <cell r="W2645">
            <v>0</v>
          </cell>
          <cell r="X2645">
            <v>79500</v>
          </cell>
          <cell r="Y2645">
            <v>0</v>
          </cell>
          <cell r="Z2645">
            <v>79500</v>
          </cell>
          <cell r="AA2645">
            <v>0</v>
          </cell>
          <cell r="AB2645">
            <v>0</v>
          </cell>
          <cell r="AC2645">
            <v>0</v>
          </cell>
          <cell r="AD2645">
            <v>4.78</v>
          </cell>
          <cell r="AE2645">
            <v>0</v>
          </cell>
          <cell r="AF2645">
            <v>0</v>
          </cell>
          <cell r="AG2645">
            <v>0</v>
          </cell>
          <cell r="AH2645">
            <v>0</v>
          </cell>
          <cell r="AI2645">
            <v>0</v>
          </cell>
          <cell r="AJ2645">
            <v>0</v>
          </cell>
          <cell r="AK2645">
            <v>0</v>
          </cell>
          <cell r="AL2645">
            <v>2.4300000000000002</v>
          </cell>
        </row>
        <row r="2646">
          <cell r="E2646" t="str">
            <v>CP 16-19-500Kg</v>
          </cell>
          <cell r="F2646" t="str">
            <v>本</v>
          </cell>
          <cell r="G2646">
            <v>0</v>
          </cell>
          <cell r="H2646">
            <v>85900</v>
          </cell>
          <cell r="I2646">
            <v>0</v>
          </cell>
          <cell r="J2646">
            <v>85900</v>
          </cell>
          <cell r="K2646">
            <v>0</v>
          </cell>
          <cell r="L2646">
            <v>85900</v>
          </cell>
          <cell r="M2646">
            <v>0</v>
          </cell>
          <cell r="N2646">
            <v>87000</v>
          </cell>
          <cell r="O2646">
            <v>0</v>
          </cell>
          <cell r="P2646">
            <v>82500</v>
          </cell>
          <cell r="Q2646">
            <v>0</v>
          </cell>
          <cell r="R2646">
            <v>87000</v>
          </cell>
          <cell r="S2646">
            <v>0</v>
          </cell>
          <cell r="T2646">
            <v>82500</v>
          </cell>
          <cell r="U2646">
            <v>0</v>
          </cell>
          <cell r="V2646">
            <v>82500</v>
          </cell>
          <cell r="W2646">
            <v>0</v>
          </cell>
          <cell r="X2646">
            <v>85900</v>
          </cell>
          <cell r="Y2646">
            <v>0</v>
          </cell>
          <cell r="Z2646">
            <v>85900</v>
          </cell>
          <cell r="AA2646">
            <v>0</v>
          </cell>
          <cell r="AB2646">
            <v>0</v>
          </cell>
          <cell r="AC2646">
            <v>0</v>
          </cell>
          <cell r="AD2646">
            <v>5.23</v>
          </cell>
          <cell r="AE2646">
            <v>0</v>
          </cell>
          <cell r="AF2646">
            <v>0</v>
          </cell>
          <cell r="AG2646">
            <v>0</v>
          </cell>
          <cell r="AH2646">
            <v>0</v>
          </cell>
          <cell r="AI2646">
            <v>0</v>
          </cell>
          <cell r="AJ2646">
            <v>0</v>
          </cell>
          <cell r="AK2646">
            <v>0</v>
          </cell>
          <cell r="AL2646">
            <v>2.78</v>
          </cell>
        </row>
        <row r="2647">
          <cell r="E2647" t="str">
            <v>CP 13-19-700Kg</v>
          </cell>
          <cell r="F2647" t="str">
            <v>本</v>
          </cell>
          <cell r="G2647">
            <v>0</v>
          </cell>
          <cell r="H2647">
            <v>88100</v>
          </cell>
          <cell r="I2647">
            <v>0</v>
          </cell>
          <cell r="J2647">
            <v>88100</v>
          </cell>
          <cell r="K2647">
            <v>0</v>
          </cell>
          <cell r="L2647">
            <v>88100</v>
          </cell>
          <cell r="M2647">
            <v>0</v>
          </cell>
          <cell r="N2647">
            <v>89000</v>
          </cell>
          <cell r="O2647">
            <v>0</v>
          </cell>
          <cell r="P2647">
            <v>84600</v>
          </cell>
          <cell r="Q2647">
            <v>0</v>
          </cell>
          <cell r="R2647">
            <v>89000</v>
          </cell>
          <cell r="S2647">
            <v>0</v>
          </cell>
          <cell r="T2647">
            <v>84600</v>
          </cell>
          <cell r="U2647">
            <v>0</v>
          </cell>
          <cell r="V2647">
            <v>84600</v>
          </cell>
          <cell r="W2647">
            <v>0</v>
          </cell>
          <cell r="X2647">
            <v>88100</v>
          </cell>
          <cell r="Y2647">
            <v>0</v>
          </cell>
          <cell r="Z2647">
            <v>88100</v>
          </cell>
          <cell r="AA2647">
            <v>0</v>
          </cell>
          <cell r="AB2647">
            <v>0</v>
          </cell>
          <cell r="AC2647">
            <v>0</v>
          </cell>
          <cell r="AD2647">
            <v>3.91</v>
          </cell>
          <cell r="AE2647">
            <v>0</v>
          </cell>
          <cell r="AF2647">
            <v>0</v>
          </cell>
          <cell r="AG2647">
            <v>0</v>
          </cell>
          <cell r="AH2647">
            <v>0</v>
          </cell>
          <cell r="AI2647">
            <v>0</v>
          </cell>
          <cell r="AJ2647">
            <v>0</v>
          </cell>
          <cell r="AK2647">
            <v>0</v>
          </cell>
          <cell r="AL2647">
            <v>1.19</v>
          </cell>
        </row>
        <row r="2648">
          <cell r="E2648" t="str">
            <v>CP 14-19-700Kg</v>
          </cell>
          <cell r="F2648" t="str">
            <v>本</v>
          </cell>
          <cell r="G2648">
            <v>0</v>
          </cell>
          <cell r="H2648">
            <v>96700</v>
          </cell>
          <cell r="I2648">
            <v>0</v>
          </cell>
          <cell r="J2648">
            <v>96700</v>
          </cell>
          <cell r="K2648">
            <v>0</v>
          </cell>
          <cell r="L2648">
            <v>96700</v>
          </cell>
          <cell r="M2648">
            <v>0</v>
          </cell>
          <cell r="N2648">
            <v>98000</v>
          </cell>
          <cell r="O2648">
            <v>0</v>
          </cell>
          <cell r="P2648">
            <v>92800</v>
          </cell>
          <cell r="Q2648">
            <v>0</v>
          </cell>
          <cell r="R2648">
            <v>98000</v>
          </cell>
          <cell r="S2648">
            <v>0</v>
          </cell>
          <cell r="T2648">
            <v>92800</v>
          </cell>
          <cell r="U2648">
            <v>0</v>
          </cell>
          <cell r="V2648">
            <v>92800</v>
          </cell>
          <cell r="W2648">
            <v>0</v>
          </cell>
          <cell r="X2648">
            <v>96700</v>
          </cell>
          <cell r="Y2648">
            <v>0</v>
          </cell>
          <cell r="Z2648">
            <v>96700</v>
          </cell>
          <cell r="AA2648">
            <v>0</v>
          </cell>
          <cell r="AB2648">
            <v>0</v>
          </cell>
          <cell r="AC2648">
            <v>0</v>
          </cell>
          <cell r="AD2648">
            <v>4.3499999999999996</v>
          </cell>
          <cell r="AE2648">
            <v>0</v>
          </cell>
          <cell r="AF2648">
            <v>0</v>
          </cell>
          <cell r="AG2648">
            <v>0</v>
          </cell>
          <cell r="AH2648">
            <v>0</v>
          </cell>
          <cell r="AI2648">
            <v>0</v>
          </cell>
          <cell r="AJ2648">
            <v>0</v>
          </cell>
          <cell r="AK2648">
            <v>0</v>
          </cell>
          <cell r="AL2648">
            <v>2.09</v>
          </cell>
        </row>
        <row r="2649">
          <cell r="E2649" t="str">
            <v>CP 15-19-700Kg</v>
          </cell>
          <cell r="F2649" t="str">
            <v>本</v>
          </cell>
          <cell r="G2649">
            <v>0</v>
          </cell>
          <cell r="H2649">
            <v>106600</v>
          </cell>
          <cell r="I2649">
            <v>0</v>
          </cell>
          <cell r="J2649">
            <v>106600</v>
          </cell>
          <cell r="K2649">
            <v>0</v>
          </cell>
          <cell r="L2649">
            <v>106600</v>
          </cell>
          <cell r="M2649">
            <v>0</v>
          </cell>
          <cell r="N2649">
            <v>107900</v>
          </cell>
          <cell r="O2649">
            <v>0</v>
          </cell>
          <cell r="P2649">
            <v>102000</v>
          </cell>
          <cell r="Q2649">
            <v>0</v>
          </cell>
          <cell r="R2649">
            <v>107900</v>
          </cell>
          <cell r="S2649">
            <v>0</v>
          </cell>
          <cell r="T2649">
            <v>102000</v>
          </cell>
          <cell r="U2649">
            <v>0</v>
          </cell>
          <cell r="V2649">
            <v>102000</v>
          </cell>
          <cell r="W2649">
            <v>0</v>
          </cell>
          <cell r="X2649">
            <v>106600</v>
          </cell>
          <cell r="Y2649">
            <v>0</v>
          </cell>
          <cell r="Z2649">
            <v>106600</v>
          </cell>
          <cell r="AA2649">
            <v>0</v>
          </cell>
          <cell r="AB2649">
            <v>0</v>
          </cell>
          <cell r="AC2649">
            <v>0</v>
          </cell>
          <cell r="AD2649">
            <v>4.78</v>
          </cell>
          <cell r="AE2649">
            <v>0</v>
          </cell>
          <cell r="AF2649">
            <v>0</v>
          </cell>
          <cell r="AG2649">
            <v>0</v>
          </cell>
          <cell r="AH2649">
            <v>0</v>
          </cell>
          <cell r="AI2649">
            <v>0</v>
          </cell>
          <cell r="AJ2649">
            <v>0</v>
          </cell>
          <cell r="AK2649">
            <v>0</v>
          </cell>
          <cell r="AL2649">
            <v>2.4300000000000002</v>
          </cell>
        </row>
        <row r="2650">
          <cell r="E2650" t="str">
            <v>CP 16-19-700Kg</v>
          </cell>
          <cell r="F2650" t="str">
            <v>本</v>
          </cell>
          <cell r="G2650">
            <v>0</v>
          </cell>
          <cell r="H2650">
            <v>116500</v>
          </cell>
          <cell r="I2650">
            <v>0</v>
          </cell>
          <cell r="J2650">
            <v>116500</v>
          </cell>
          <cell r="K2650">
            <v>0</v>
          </cell>
          <cell r="L2650">
            <v>116500</v>
          </cell>
          <cell r="M2650">
            <v>0</v>
          </cell>
          <cell r="N2650">
            <v>117900</v>
          </cell>
          <cell r="O2650">
            <v>0</v>
          </cell>
          <cell r="P2650">
            <v>111000</v>
          </cell>
          <cell r="Q2650">
            <v>0</v>
          </cell>
          <cell r="R2650">
            <v>117900</v>
          </cell>
          <cell r="S2650">
            <v>0</v>
          </cell>
          <cell r="T2650">
            <v>111000</v>
          </cell>
          <cell r="U2650">
            <v>0</v>
          </cell>
          <cell r="V2650">
            <v>111000</v>
          </cell>
          <cell r="W2650">
            <v>0</v>
          </cell>
          <cell r="X2650">
            <v>116500</v>
          </cell>
          <cell r="Y2650">
            <v>0</v>
          </cell>
          <cell r="Z2650">
            <v>116500</v>
          </cell>
          <cell r="AA2650">
            <v>0</v>
          </cell>
          <cell r="AB2650">
            <v>0</v>
          </cell>
          <cell r="AC2650">
            <v>0</v>
          </cell>
          <cell r="AD2650">
            <v>5.23</v>
          </cell>
          <cell r="AE2650">
            <v>0</v>
          </cell>
          <cell r="AF2650">
            <v>0</v>
          </cell>
          <cell r="AG2650">
            <v>0</v>
          </cell>
          <cell r="AH2650">
            <v>0</v>
          </cell>
          <cell r="AI2650">
            <v>0</v>
          </cell>
          <cell r="AJ2650">
            <v>0</v>
          </cell>
          <cell r="AK2650">
            <v>0</v>
          </cell>
          <cell r="AL2650">
            <v>2.78</v>
          </cell>
        </row>
        <row r="2651">
          <cell r="E2651" t="str">
            <v>CP 17-19-700Kg</v>
          </cell>
          <cell r="F2651" t="str">
            <v>本</v>
          </cell>
          <cell r="G2651">
            <v>0</v>
          </cell>
          <cell r="H2651">
            <v>127800</v>
          </cell>
          <cell r="I2651">
            <v>0</v>
          </cell>
          <cell r="J2651">
            <v>127800</v>
          </cell>
          <cell r="K2651">
            <v>0</v>
          </cell>
          <cell r="L2651">
            <v>127800</v>
          </cell>
          <cell r="M2651">
            <v>0</v>
          </cell>
          <cell r="N2651">
            <v>129800</v>
          </cell>
          <cell r="O2651">
            <v>0</v>
          </cell>
          <cell r="P2651">
            <v>122000</v>
          </cell>
          <cell r="Q2651">
            <v>0</v>
          </cell>
          <cell r="R2651">
            <v>129800</v>
          </cell>
          <cell r="S2651">
            <v>0</v>
          </cell>
          <cell r="T2651">
            <v>122000</v>
          </cell>
          <cell r="U2651">
            <v>0</v>
          </cell>
          <cell r="V2651">
            <v>122000</v>
          </cell>
          <cell r="W2651">
            <v>0</v>
          </cell>
          <cell r="X2651">
            <v>127800</v>
          </cell>
          <cell r="Y2651">
            <v>0</v>
          </cell>
          <cell r="Z2651">
            <v>127800</v>
          </cell>
          <cell r="AA2651">
            <v>0</v>
          </cell>
          <cell r="AB2651">
            <v>0</v>
          </cell>
          <cell r="AC2651">
            <v>0</v>
          </cell>
          <cell r="AD2651">
            <v>5.68</v>
          </cell>
          <cell r="AE2651">
            <v>0</v>
          </cell>
          <cell r="AF2651">
            <v>0</v>
          </cell>
          <cell r="AG2651">
            <v>0</v>
          </cell>
          <cell r="AH2651">
            <v>0</v>
          </cell>
          <cell r="AI2651">
            <v>0</v>
          </cell>
          <cell r="AJ2651">
            <v>0</v>
          </cell>
          <cell r="AK2651">
            <v>0</v>
          </cell>
          <cell r="AL2651">
            <v>3.13</v>
          </cell>
        </row>
        <row r="2652">
          <cell r="E2652" t="str">
            <v>CP 14-22-1000Kg</v>
          </cell>
          <cell r="F2652" t="str">
            <v>本</v>
          </cell>
          <cell r="G2652">
            <v>0</v>
          </cell>
          <cell r="H2652">
            <v>129100</v>
          </cell>
          <cell r="I2652">
            <v>0</v>
          </cell>
          <cell r="J2652">
            <v>129100</v>
          </cell>
          <cell r="K2652">
            <v>0</v>
          </cell>
          <cell r="L2652">
            <v>129100</v>
          </cell>
          <cell r="M2652">
            <v>0</v>
          </cell>
          <cell r="N2652">
            <v>131400</v>
          </cell>
          <cell r="O2652">
            <v>0</v>
          </cell>
          <cell r="P2652">
            <v>123000</v>
          </cell>
          <cell r="Q2652">
            <v>0</v>
          </cell>
          <cell r="R2652">
            <v>131400</v>
          </cell>
          <cell r="S2652">
            <v>0</v>
          </cell>
          <cell r="T2652">
            <v>123000</v>
          </cell>
          <cell r="U2652">
            <v>0</v>
          </cell>
          <cell r="V2652">
            <v>123000</v>
          </cell>
          <cell r="W2652">
            <v>0</v>
          </cell>
          <cell r="X2652">
            <v>129100</v>
          </cell>
          <cell r="Y2652">
            <v>0</v>
          </cell>
          <cell r="Z2652">
            <v>129100</v>
          </cell>
          <cell r="AA2652">
            <v>0</v>
          </cell>
          <cell r="AB2652">
            <v>0</v>
          </cell>
          <cell r="AC2652">
            <v>0</v>
          </cell>
          <cell r="AD2652">
            <v>4.3499999999999996</v>
          </cell>
          <cell r="AE2652">
            <v>0</v>
          </cell>
          <cell r="AF2652">
            <v>0</v>
          </cell>
          <cell r="AG2652">
            <v>0</v>
          </cell>
          <cell r="AH2652">
            <v>0</v>
          </cell>
          <cell r="AI2652">
            <v>0</v>
          </cell>
          <cell r="AJ2652">
            <v>0</v>
          </cell>
          <cell r="AK2652">
            <v>0</v>
          </cell>
          <cell r="AL2652">
            <v>2.09</v>
          </cell>
        </row>
        <row r="2653">
          <cell r="E2653" t="str">
            <v>CP 15-22-1000Kg</v>
          </cell>
          <cell r="F2653" t="str">
            <v>本</v>
          </cell>
          <cell r="G2653">
            <v>0</v>
          </cell>
          <cell r="H2653">
            <v>143200</v>
          </cell>
          <cell r="I2653">
            <v>0</v>
          </cell>
          <cell r="J2653">
            <v>143200</v>
          </cell>
          <cell r="K2653">
            <v>0</v>
          </cell>
          <cell r="L2653">
            <v>143200</v>
          </cell>
          <cell r="M2653">
            <v>0</v>
          </cell>
          <cell r="N2653">
            <v>145600</v>
          </cell>
          <cell r="O2653">
            <v>0</v>
          </cell>
          <cell r="P2653">
            <v>137000</v>
          </cell>
          <cell r="Q2653">
            <v>0</v>
          </cell>
          <cell r="R2653">
            <v>145600</v>
          </cell>
          <cell r="S2653">
            <v>0</v>
          </cell>
          <cell r="T2653">
            <v>137000</v>
          </cell>
          <cell r="U2653">
            <v>0</v>
          </cell>
          <cell r="V2653">
            <v>137000</v>
          </cell>
          <cell r="W2653">
            <v>0</v>
          </cell>
          <cell r="X2653">
            <v>143200</v>
          </cell>
          <cell r="Y2653">
            <v>0</v>
          </cell>
          <cell r="Z2653">
            <v>143200</v>
          </cell>
          <cell r="AA2653">
            <v>0</v>
          </cell>
          <cell r="AB2653">
            <v>0</v>
          </cell>
          <cell r="AC2653">
            <v>0</v>
          </cell>
          <cell r="AD2653">
            <v>4.78</v>
          </cell>
          <cell r="AE2653">
            <v>0</v>
          </cell>
          <cell r="AF2653">
            <v>0</v>
          </cell>
          <cell r="AG2653">
            <v>0</v>
          </cell>
          <cell r="AH2653">
            <v>0</v>
          </cell>
          <cell r="AI2653">
            <v>0</v>
          </cell>
          <cell r="AJ2653">
            <v>0</v>
          </cell>
          <cell r="AK2653">
            <v>0</v>
          </cell>
          <cell r="AL2653">
            <v>2.4300000000000002</v>
          </cell>
        </row>
        <row r="2654">
          <cell r="E2654" t="str">
            <v>CP 16-22-1000Kg</v>
          </cell>
          <cell r="F2654" t="str">
            <v>本</v>
          </cell>
          <cell r="G2654">
            <v>0</v>
          </cell>
          <cell r="H2654">
            <v>158600</v>
          </cell>
          <cell r="I2654">
            <v>0</v>
          </cell>
          <cell r="J2654">
            <v>158600</v>
          </cell>
          <cell r="K2654">
            <v>0</v>
          </cell>
          <cell r="L2654">
            <v>158600</v>
          </cell>
          <cell r="M2654">
            <v>0</v>
          </cell>
          <cell r="N2654">
            <v>161300</v>
          </cell>
          <cell r="O2654">
            <v>0</v>
          </cell>
          <cell r="P2654">
            <v>152000</v>
          </cell>
          <cell r="Q2654">
            <v>0</v>
          </cell>
          <cell r="R2654">
            <v>161300</v>
          </cell>
          <cell r="S2654">
            <v>0</v>
          </cell>
          <cell r="T2654">
            <v>152000</v>
          </cell>
          <cell r="U2654">
            <v>0</v>
          </cell>
          <cell r="V2654">
            <v>152000</v>
          </cell>
          <cell r="W2654">
            <v>0</v>
          </cell>
          <cell r="X2654">
            <v>158600</v>
          </cell>
          <cell r="Y2654">
            <v>0</v>
          </cell>
          <cell r="Z2654">
            <v>158600</v>
          </cell>
          <cell r="AA2654">
            <v>0</v>
          </cell>
          <cell r="AB2654">
            <v>0</v>
          </cell>
          <cell r="AC2654">
            <v>0</v>
          </cell>
          <cell r="AD2654">
            <v>5.23</v>
          </cell>
          <cell r="AE2654">
            <v>0</v>
          </cell>
          <cell r="AF2654">
            <v>0</v>
          </cell>
          <cell r="AG2654">
            <v>0</v>
          </cell>
          <cell r="AH2654">
            <v>0</v>
          </cell>
          <cell r="AI2654">
            <v>0</v>
          </cell>
          <cell r="AJ2654">
            <v>0</v>
          </cell>
          <cell r="AK2654">
            <v>0</v>
          </cell>
          <cell r="AL2654">
            <v>2.78</v>
          </cell>
        </row>
        <row r="2655">
          <cell r="E2655" t="str">
            <v>CP 17-22-1000Kg</v>
          </cell>
          <cell r="F2655" t="str">
            <v>本</v>
          </cell>
          <cell r="G2655">
            <v>0</v>
          </cell>
          <cell r="H2655">
            <v>168000</v>
          </cell>
          <cell r="I2655">
            <v>0</v>
          </cell>
          <cell r="J2655">
            <v>168000</v>
          </cell>
          <cell r="K2655">
            <v>0</v>
          </cell>
          <cell r="L2655">
            <v>168000</v>
          </cell>
          <cell r="M2655">
            <v>0</v>
          </cell>
          <cell r="N2655">
            <v>171400</v>
          </cell>
          <cell r="O2655">
            <v>0</v>
          </cell>
          <cell r="P2655">
            <v>162000</v>
          </cell>
          <cell r="Q2655">
            <v>0</v>
          </cell>
          <cell r="R2655">
            <v>171400</v>
          </cell>
          <cell r="S2655">
            <v>0</v>
          </cell>
          <cell r="T2655">
            <v>162000</v>
          </cell>
          <cell r="U2655">
            <v>0</v>
          </cell>
          <cell r="V2655">
            <v>162000</v>
          </cell>
          <cell r="W2655">
            <v>0</v>
          </cell>
          <cell r="X2655">
            <v>168000</v>
          </cell>
          <cell r="Y2655">
            <v>0</v>
          </cell>
          <cell r="Z2655">
            <v>168000</v>
          </cell>
          <cell r="AA2655">
            <v>0</v>
          </cell>
          <cell r="AB2655">
            <v>0</v>
          </cell>
          <cell r="AC2655">
            <v>0</v>
          </cell>
          <cell r="AD2655">
            <v>5.68</v>
          </cell>
          <cell r="AE2655">
            <v>0</v>
          </cell>
          <cell r="AF2655">
            <v>0</v>
          </cell>
          <cell r="AG2655">
            <v>0</v>
          </cell>
          <cell r="AH2655">
            <v>0</v>
          </cell>
          <cell r="AI2655">
            <v>0</v>
          </cell>
          <cell r="AJ2655">
            <v>0</v>
          </cell>
          <cell r="AK2655">
            <v>0</v>
          </cell>
          <cell r="AL2655">
            <v>3.13</v>
          </cell>
        </row>
        <row r="2656">
          <cell r="E2656" t="str">
            <v>CP 14-22-1500Kg</v>
          </cell>
          <cell r="F2656" t="str">
            <v>本</v>
          </cell>
          <cell r="G2656">
            <v>0</v>
          </cell>
          <cell r="H2656">
            <v>206000</v>
          </cell>
          <cell r="I2656">
            <v>0</v>
          </cell>
          <cell r="J2656">
            <v>206000</v>
          </cell>
          <cell r="K2656">
            <v>0</v>
          </cell>
          <cell r="L2656">
            <v>206000</v>
          </cell>
          <cell r="M2656">
            <v>0</v>
          </cell>
          <cell r="N2656">
            <v>209400</v>
          </cell>
          <cell r="O2656">
            <v>0</v>
          </cell>
          <cell r="P2656">
            <v>197000</v>
          </cell>
          <cell r="Q2656">
            <v>0</v>
          </cell>
          <cell r="R2656">
            <v>209400</v>
          </cell>
          <cell r="S2656">
            <v>0</v>
          </cell>
          <cell r="T2656">
            <v>197000</v>
          </cell>
          <cell r="U2656">
            <v>0</v>
          </cell>
          <cell r="V2656">
            <v>197000</v>
          </cell>
          <cell r="W2656">
            <v>0</v>
          </cell>
          <cell r="X2656">
            <v>206000</v>
          </cell>
          <cell r="Y2656">
            <v>0</v>
          </cell>
          <cell r="Z2656">
            <v>206000</v>
          </cell>
          <cell r="AA2656">
            <v>0</v>
          </cell>
          <cell r="AB2656">
            <v>0</v>
          </cell>
          <cell r="AC2656">
            <v>0</v>
          </cell>
          <cell r="AD2656">
            <v>4.3499999999999996</v>
          </cell>
          <cell r="AE2656">
            <v>0</v>
          </cell>
          <cell r="AF2656">
            <v>0</v>
          </cell>
          <cell r="AG2656">
            <v>0</v>
          </cell>
          <cell r="AH2656">
            <v>0</v>
          </cell>
          <cell r="AI2656">
            <v>0</v>
          </cell>
          <cell r="AJ2656">
            <v>0</v>
          </cell>
          <cell r="AK2656">
            <v>0</v>
          </cell>
          <cell r="AL2656">
            <v>2.09</v>
          </cell>
        </row>
        <row r="2657">
          <cell r="E2657" t="str">
            <v>CP 15-22-1500Kg</v>
          </cell>
          <cell r="F2657" t="str">
            <v>本</v>
          </cell>
          <cell r="G2657">
            <v>0</v>
          </cell>
          <cell r="H2657">
            <v>229800</v>
          </cell>
          <cell r="I2657">
            <v>0</v>
          </cell>
          <cell r="J2657">
            <v>229800</v>
          </cell>
          <cell r="K2657">
            <v>0</v>
          </cell>
          <cell r="L2657">
            <v>229800</v>
          </cell>
          <cell r="M2657">
            <v>0</v>
          </cell>
          <cell r="N2657">
            <v>233600</v>
          </cell>
          <cell r="O2657">
            <v>0</v>
          </cell>
          <cell r="P2657">
            <v>220000</v>
          </cell>
          <cell r="Q2657">
            <v>0</v>
          </cell>
          <cell r="R2657">
            <v>233600</v>
          </cell>
          <cell r="S2657">
            <v>0</v>
          </cell>
          <cell r="T2657">
            <v>220000</v>
          </cell>
          <cell r="U2657">
            <v>0</v>
          </cell>
          <cell r="V2657">
            <v>220000</v>
          </cell>
          <cell r="W2657">
            <v>0</v>
          </cell>
          <cell r="X2657">
            <v>229800</v>
          </cell>
          <cell r="Y2657">
            <v>0</v>
          </cell>
          <cell r="Z2657">
            <v>229800</v>
          </cell>
          <cell r="AA2657">
            <v>0</v>
          </cell>
          <cell r="AB2657">
            <v>0</v>
          </cell>
          <cell r="AC2657">
            <v>0</v>
          </cell>
          <cell r="AD2657">
            <v>4.78</v>
          </cell>
          <cell r="AE2657">
            <v>0</v>
          </cell>
          <cell r="AF2657">
            <v>0</v>
          </cell>
          <cell r="AG2657">
            <v>0</v>
          </cell>
          <cell r="AH2657">
            <v>0</v>
          </cell>
          <cell r="AI2657">
            <v>0</v>
          </cell>
          <cell r="AJ2657">
            <v>0</v>
          </cell>
          <cell r="AK2657">
            <v>0</v>
          </cell>
          <cell r="AL2657">
            <v>2.4300000000000002</v>
          </cell>
        </row>
        <row r="2658">
          <cell r="E2658" t="str">
            <v>CP 16-22-1500Kg</v>
          </cell>
          <cell r="F2658" t="str">
            <v>本</v>
          </cell>
          <cell r="G2658">
            <v>0</v>
          </cell>
          <cell r="H2658">
            <v>248600</v>
          </cell>
          <cell r="I2658">
            <v>0</v>
          </cell>
          <cell r="J2658">
            <v>248600</v>
          </cell>
          <cell r="K2658">
            <v>0</v>
          </cell>
          <cell r="L2658">
            <v>248600</v>
          </cell>
          <cell r="M2658">
            <v>0</v>
          </cell>
          <cell r="N2658">
            <v>252600</v>
          </cell>
          <cell r="O2658">
            <v>0</v>
          </cell>
          <cell r="P2658">
            <v>238000</v>
          </cell>
          <cell r="Q2658">
            <v>0</v>
          </cell>
          <cell r="R2658">
            <v>252600</v>
          </cell>
          <cell r="S2658">
            <v>0</v>
          </cell>
          <cell r="T2658">
            <v>238000</v>
          </cell>
          <cell r="U2658">
            <v>0</v>
          </cell>
          <cell r="V2658">
            <v>238000</v>
          </cell>
          <cell r="W2658">
            <v>0</v>
          </cell>
          <cell r="X2658">
            <v>248600</v>
          </cell>
          <cell r="Y2658">
            <v>0</v>
          </cell>
          <cell r="Z2658">
            <v>248600</v>
          </cell>
          <cell r="AA2658">
            <v>0</v>
          </cell>
          <cell r="AB2658">
            <v>0</v>
          </cell>
          <cell r="AC2658">
            <v>0</v>
          </cell>
          <cell r="AD2658">
            <v>5.23</v>
          </cell>
          <cell r="AE2658">
            <v>0</v>
          </cell>
          <cell r="AF2658">
            <v>0</v>
          </cell>
          <cell r="AG2658">
            <v>0</v>
          </cell>
          <cell r="AH2658">
            <v>0</v>
          </cell>
          <cell r="AI2658">
            <v>0</v>
          </cell>
          <cell r="AJ2658">
            <v>0</v>
          </cell>
          <cell r="AK2658">
            <v>0</v>
          </cell>
          <cell r="AL2658">
            <v>2.78</v>
          </cell>
        </row>
        <row r="2659">
          <cell r="E2659" t="str">
            <v>CP 17-22-1500Kg</v>
          </cell>
          <cell r="F2659" t="str">
            <v>本</v>
          </cell>
          <cell r="G2659">
            <v>0</v>
          </cell>
          <cell r="H2659">
            <v>275100</v>
          </cell>
          <cell r="I2659">
            <v>0</v>
          </cell>
          <cell r="J2659">
            <v>275100</v>
          </cell>
          <cell r="K2659">
            <v>0</v>
          </cell>
          <cell r="L2659">
            <v>275100</v>
          </cell>
          <cell r="M2659">
            <v>0</v>
          </cell>
          <cell r="N2659">
            <v>279500</v>
          </cell>
          <cell r="O2659">
            <v>0</v>
          </cell>
          <cell r="P2659">
            <v>264000</v>
          </cell>
          <cell r="Q2659">
            <v>0</v>
          </cell>
          <cell r="R2659">
            <v>279500</v>
          </cell>
          <cell r="S2659">
            <v>0</v>
          </cell>
          <cell r="T2659">
            <v>264000</v>
          </cell>
          <cell r="U2659">
            <v>0</v>
          </cell>
          <cell r="V2659">
            <v>264000</v>
          </cell>
          <cell r="W2659">
            <v>0</v>
          </cell>
          <cell r="X2659">
            <v>275100</v>
          </cell>
          <cell r="Y2659">
            <v>0</v>
          </cell>
          <cell r="Z2659">
            <v>275100</v>
          </cell>
          <cell r="AA2659">
            <v>0</v>
          </cell>
          <cell r="AB2659">
            <v>0</v>
          </cell>
          <cell r="AC2659">
            <v>0</v>
          </cell>
          <cell r="AD2659">
            <v>5.68</v>
          </cell>
          <cell r="AE2659">
            <v>0</v>
          </cell>
          <cell r="AF2659">
            <v>0</v>
          </cell>
          <cell r="AG2659">
            <v>0</v>
          </cell>
          <cell r="AH2659">
            <v>0</v>
          </cell>
          <cell r="AI2659">
            <v>0</v>
          </cell>
          <cell r="AJ2659">
            <v>0</v>
          </cell>
          <cell r="AK2659">
            <v>0</v>
          </cell>
          <cell r="AL2659" t="str">
            <v>3.13 [Kg/Km]</v>
          </cell>
        </row>
        <row r="2660">
          <cell r="E2660" t="str">
            <v>支線14sq-7/1.6</v>
          </cell>
          <cell r="F2660" t="str">
            <v>ｍ</v>
          </cell>
          <cell r="G2660">
            <v>401</v>
          </cell>
          <cell r="H2660">
            <v>44</v>
          </cell>
          <cell r="I2660">
            <v>401</v>
          </cell>
          <cell r="J2660">
            <v>44</v>
          </cell>
          <cell r="K2660">
            <v>393</v>
          </cell>
          <cell r="L2660">
            <v>43</v>
          </cell>
          <cell r="M2660">
            <v>393</v>
          </cell>
          <cell r="N2660">
            <v>43</v>
          </cell>
          <cell r="O2660">
            <v>393</v>
          </cell>
          <cell r="P2660">
            <v>43</v>
          </cell>
          <cell r="Q2660">
            <v>393</v>
          </cell>
          <cell r="R2660">
            <v>43</v>
          </cell>
          <cell r="S2660">
            <v>393</v>
          </cell>
          <cell r="T2660">
            <v>43</v>
          </cell>
          <cell r="U2660">
            <v>393</v>
          </cell>
          <cell r="V2660">
            <v>43</v>
          </cell>
          <cell r="W2660">
            <v>393</v>
          </cell>
          <cell r="X2660">
            <v>43</v>
          </cell>
          <cell r="Y2660">
            <v>393</v>
          </cell>
          <cell r="Z2660">
            <v>43</v>
          </cell>
          <cell r="AA2660">
            <v>0</v>
          </cell>
          <cell r="AB2660">
            <v>0</v>
          </cell>
          <cell r="AC2660">
            <v>0</v>
          </cell>
          <cell r="AD2660">
            <v>5.5E-2</v>
          </cell>
          <cell r="AE2660">
            <v>0</v>
          </cell>
          <cell r="AF2660">
            <v>0</v>
          </cell>
          <cell r="AG2660">
            <v>0</v>
          </cell>
          <cell r="AH2660">
            <v>0</v>
          </cell>
          <cell r="AI2660">
            <v>0</v>
          </cell>
          <cell r="AJ2660">
            <v>0</v>
          </cell>
          <cell r="AK2660">
            <v>0</v>
          </cell>
          <cell r="AL2660">
            <v>111</v>
          </cell>
        </row>
        <row r="2661">
          <cell r="E2661" t="str">
            <v>支線18sq-7/1.8</v>
          </cell>
          <cell r="F2661" t="str">
            <v>ｍ</v>
          </cell>
          <cell r="G2661">
            <v>376</v>
          </cell>
          <cell r="H2661">
            <v>53</v>
          </cell>
          <cell r="I2661">
            <v>376</v>
          </cell>
          <cell r="J2661">
            <v>53</v>
          </cell>
          <cell r="K2661">
            <v>368</v>
          </cell>
          <cell r="L2661">
            <v>51</v>
          </cell>
          <cell r="M2661">
            <v>368</v>
          </cell>
          <cell r="N2661">
            <v>51</v>
          </cell>
          <cell r="O2661">
            <v>368</v>
          </cell>
          <cell r="P2661">
            <v>51</v>
          </cell>
          <cell r="Q2661">
            <v>368</v>
          </cell>
          <cell r="R2661">
            <v>51</v>
          </cell>
          <cell r="S2661">
            <v>368</v>
          </cell>
          <cell r="T2661">
            <v>51</v>
          </cell>
          <cell r="U2661">
            <v>368</v>
          </cell>
          <cell r="V2661">
            <v>51</v>
          </cell>
          <cell r="W2661">
            <v>368</v>
          </cell>
          <cell r="X2661">
            <v>51</v>
          </cell>
          <cell r="Y2661">
            <v>368</v>
          </cell>
          <cell r="Z2661">
            <v>51</v>
          </cell>
          <cell r="AA2661">
            <v>0</v>
          </cell>
          <cell r="AB2661">
            <v>0</v>
          </cell>
          <cell r="AC2661">
            <v>0</v>
          </cell>
          <cell r="AD2661">
            <v>5.5E-2</v>
          </cell>
          <cell r="AE2661">
            <v>0</v>
          </cell>
          <cell r="AF2661">
            <v>0</v>
          </cell>
          <cell r="AG2661">
            <v>0</v>
          </cell>
          <cell r="AH2661">
            <v>0</v>
          </cell>
          <cell r="AI2661">
            <v>0</v>
          </cell>
          <cell r="AJ2661">
            <v>0</v>
          </cell>
          <cell r="AK2661">
            <v>0</v>
          </cell>
          <cell r="AL2661">
            <v>141</v>
          </cell>
        </row>
        <row r="2662">
          <cell r="E2662" t="str">
            <v>支線22sq-7/2.0</v>
          </cell>
          <cell r="F2662" t="str">
            <v>ｍ</v>
          </cell>
          <cell r="G2662">
            <v>372</v>
          </cell>
          <cell r="H2662">
            <v>64</v>
          </cell>
          <cell r="I2662">
            <v>372</v>
          </cell>
          <cell r="J2662">
            <v>64</v>
          </cell>
          <cell r="K2662">
            <v>364</v>
          </cell>
          <cell r="L2662">
            <v>63</v>
          </cell>
          <cell r="M2662">
            <v>364</v>
          </cell>
          <cell r="N2662">
            <v>63</v>
          </cell>
          <cell r="O2662">
            <v>364</v>
          </cell>
          <cell r="P2662">
            <v>63</v>
          </cell>
          <cell r="Q2662">
            <v>364</v>
          </cell>
          <cell r="R2662">
            <v>63</v>
          </cell>
          <cell r="S2662">
            <v>364</v>
          </cell>
          <cell r="T2662">
            <v>63</v>
          </cell>
          <cell r="U2662">
            <v>364</v>
          </cell>
          <cell r="V2662">
            <v>63</v>
          </cell>
          <cell r="W2662">
            <v>364</v>
          </cell>
          <cell r="X2662">
            <v>63</v>
          </cell>
          <cell r="Y2662">
            <v>364</v>
          </cell>
          <cell r="Z2662">
            <v>63</v>
          </cell>
          <cell r="AA2662">
            <v>0</v>
          </cell>
          <cell r="AB2662">
            <v>0</v>
          </cell>
          <cell r="AC2662">
            <v>0</v>
          </cell>
          <cell r="AD2662">
            <v>5.5E-2</v>
          </cell>
          <cell r="AE2662">
            <v>0</v>
          </cell>
          <cell r="AF2662">
            <v>0</v>
          </cell>
          <cell r="AG2662">
            <v>0</v>
          </cell>
          <cell r="AH2662">
            <v>0</v>
          </cell>
          <cell r="AI2662">
            <v>0</v>
          </cell>
          <cell r="AJ2662">
            <v>0</v>
          </cell>
          <cell r="AK2662">
            <v>0</v>
          </cell>
          <cell r="AL2662">
            <v>174</v>
          </cell>
        </row>
        <row r="2663">
          <cell r="E2663" t="str">
            <v>支線30sq-7/2.3</v>
          </cell>
          <cell r="F2663" t="str">
            <v>ｍ</v>
          </cell>
          <cell r="G2663">
            <v>365</v>
          </cell>
          <cell r="H2663">
            <v>83</v>
          </cell>
          <cell r="I2663">
            <v>365</v>
          </cell>
          <cell r="J2663">
            <v>83</v>
          </cell>
          <cell r="K2663">
            <v>357</v>
          </cell>
          <cell r="L2663">
            <v>82</v>
          </cell>
          <cell r="M2663">
            <v>357</v>
          </cell>
          <cell r="N2663">
            <v>82</v>
          </cell>
          <cell r="O2663">
            <v>357</v>
          </cell>
          <cell r="P2663">
            <v>82</v>
          </cell>
          <cell r="Q2663">
            <v>357</v>
          </cell>
          <cell r="R2663">
            <v>82</v>
          </cell>
          <cell r="S2663">
            <v>357</v>
          </cell>
          <cell r="T2663">
            <v>82</v>
          </cell>
          <cell r="U2663">
            <v>357</v>
          </cell>
          <cell r="V2663">
            <v>82</v>
          </cell>
          <cell r="W2663">
            <v>357</v>
          </cell>
          <cell r="X2663">
            <v>82</v>
          </cell>
          <cell r="Y2663">
            <v>357</v>
          </cell>
          <cell r="Z2663">
            <v>82</v>
          </cell>
          <cell r="AA2663">
            <v>0</v>
          </cell>
          <cell r="AB2663">
            <v>0</v>
          </cell>
          <cell r="AC2663">
            <v>0</v>
          </cell>
          <cell r="AD2663">
            <v>5.5E-2</v>
          </cell>
          <cell r="AE2663">
            <v>0</v>
          </cell>
          <cell r="AF2663">
            <v>0</v>
          </cell>
          <cell r="AG2663">
            <v>0</v>
          </cell>
          <cell r="AH2663">
            <v>0</v>
          </cell>
          <cell r="AI2663">
            <v>0</v>
          </cell>
          <cell r="AJ2663">
            <v>0</v>
          </cell>
          <cell r="AK2663">
            <v>0</v>
          </cell>
          <cell r="AL2663">
            <v>230</v>
          </cell>
        </row>
        <row r="2664">
          <cell r="E2664" t="str">
            <v>支線38sq-7/2.6</v>
          </cell>
          <cell r="F2664" t="str">
            <v>ｍ</v>
          </cell>
          <cell r="G2664">
            <v>361</v>
          </cell>
          <cell r="H2664">
            <v>106</v>
          </cell>
          <cell r="I2664">
            <v>361</v>
          </cell>
          <cell r="J2664">
            <v>106</v>
          </cell>
          <cell r="K2664">
            <v>353</v>
          </cell>
          <cell r="L2664">
            <v>103</v>
          </cell>
          <cell r="M2664">
            <v>353</v>
          </cell>
          <cell r="N2664">
            <v>103</v>
          </cell>
          <cell r="O2664">
            <v>353</v>
          </cell>
          <cell r="P2664">
            <v>103</v>
          </cell>
          <cell r="Q2664">
            <v>353</v>
          </cell>
          <cell r="R2664">
            <v>103</v>
          </cell>
          <cell r="S2664">
            <v>353</v>
          </cell>
          <cell r="T2664">
            <v>103</v>
          </cell>
          <cell r="U2664">
            <v>353</v>
          </cell>
          <cell r="V2664">
            <v>103</v>
          </cell>
          <cell r="W2664">
            <v>353</v>
          </cell>
          <cell r="X2664">
            <v>103</v>
          </cell>
          <cell r="Y2664">
            <v>353</v>
          </cell>
          <cell r="Z2664">
            <v>103</v>
          </cell>
          <cell r="AA2664">
            <v>0</v>
          </cell>
          <cell r="AB2664">
            <v>0</v>
          </cell>
          <cell r="AC2664">
            <v>0</v>
          </cell>
          <cell r="AD2664">
            <v>5.5E-2</v>
          </cell>
          <cell r="AE2664">
            <v>0</v>
          </cell>
          <cell r="AF2664">
            <v>0</v>
          </cell>
          <cell r="AG2664">
            <v>0</v>
          </cell>
          <cell r="AH2664">
            <v>0</v>
          </cell>
          <cell r="AI2664">
            <v>0</v>
          </cell>
          <cell r="AJ2664">
            <v>0</v>
          </cell>
          <cell r="AK2664">
            <v>0</v>
          </cell>
          <cell r="AL2664">
            <v>294</v>
          </cell>
        </row>
        <row r="2665">
          <cell r="E2665" t="str">
            <v>支線45sq-7/2.9</v>
          </cell>
          <cell r="F2665" t="str">
            <v>ｍ</v>
          </cell>
          <cell r="G2665">
            <v>359</v>
          </cell>
          <cell r="H2665">
            <v>131</v>
          </cell>
          <cell r="I2665">
            <v>359</v>
          </cell>
          <cell r="J2665">
            <v>131</v>
          </cell>
          <cell r="K2665">
            <v>351</v>
          </cell>
          <cell r="L2665">
            <v>128</v>
          </cell>
          <cell r="M2665">
            <v>351</v>
          </cell>
          <cell r="N2665">
            <v>128</v>
          </cell>
          <cell r="O2665">
            <v>351</v>
          </cell>
          <cell r="P2665">
            <v>128</v>
          </cell>
          <cell r="Q2665">
            <v>351</v>
          </cell>
          <cell r="R2665">
            <v>128</v>
          </cell>
          <cell r="S2665">
            <v>351</v>
          </cell>
          <cell r="T2665">
            <v>128</v>
          </cell>
          <cell r="U2665">
            <v>351</v>
          </cell>
          <cell r="V2665">
            <v>128</v>
          </cell>
          <cell r="W2665">
            <v>351</v>
          </cell>
          <cell r="X2665">
            <v>128</v>
          </cell>
          <cell r="Y2665">
            <v>351</v>
          </cell>
          <cell r="Z2665">
            <v>128</v>
          </cell>
          <cell r="AA2665">
            <v>0</v>
          </cell>
          <cell r="AB2665">
            <v>0</v>
          </cell>
          <cell r="AC2665">
            <v>0</v>
          </cell>
          <cell r="AD2665">
            <v>6.5000000000000002E-2</v>
          </cell>
          <cell r="AE2665">
            <v>0</v>
          </cell>
          <cell r="AF2665">
            <v>0</v>
          </cell>
          <cell r="AG2665">
            <v>0</v>
          </cell>
          <cell r="AH2665">
            <v>0</v>
          </cell>
          <cell r="AI2665">
            <v>0</v>
          </cell>
          <cell r="AJ2665">
            <v>0</v>
          </cell>
          <cell r="AK2665">
            <v>0</v>
          </cell>
          <cell r="AL2665">
            <v>366</v>
          </cell>
        </row>
        <row r="2666">
          <cell r="E2666" t="str">
            <v>支線55sq-7/3.2</v>
          </cell>
          <cell r="F2666" t="str">
            <v>ｍ</v>
          </cell>
          <cell r="G2666">
            <v>356</v>
          </cell>
          <cell r="H2666">
            <v>158</v>
          </cell>
          <cell r="I2666">
            <v>356</v>
          </cell>
          <cell r="J2666">
            <v>158</v>
          </cell>
          <cell r="K2666">
            <v>348</v>
          </cell>
          <cell r="L2666">
            <v>155</v>
          </cell>
          <cell r="M2666">
            <v>348</v>
          </cell>
          <cell r="N2666">
            <v>155</v>
          </cell>
          <cell r="O2666">
            <v>348</v>
          </cell>
          <cell r="P2666">
            <v>155</v>
          </cell>
          <cell r="Q2666">
            <v>348</v>
          </cell>
          <cell r="R2666">
            <v>155</v>
          </cell>
          <cell r="S2666">
            <v>348</v>
          </cell>
          <cell r="T2666">
            <v>155</v>
          </cell>
          <cell r="U2666">
            <v>348</v>
          </cell>
          <cell r="V2666">
            <v>155</v>
          </cell>
          <cell r="W2666">
            <v>348</v>
          </cell>
          <cell r="X2666">
            <v>155</v>
          </cell>
          <cell r="Y2666">
            <v>348</v>
          </cell>
          <cell r="Z2666">
            <v>155</v>
          </cell>
          <cell r="AA2666">
            <v>0</v>
          </cell>
          <cell r="AB2666">
            <v>0</v>
          </cell>
          <cell r="AC2666">
            <v>0</v>
          </cell>
          <cell r="AD2666">
            <v>6.5000000000000002E-2</v>
          </cell>
          <cell r="AE2666">
            <v>0</v>
          </cell>
          <cell r="AF2666">
            <v>0</v>
          </cell>
          <cell r="AG2666">
            <v>0</v>
          </cell>
          <cell r="AH2666">
            <v>0</v>
          </cell>
          <cell r="AI2666">
            <v>0</v>
          </cell>
          <cell r="AJ2666">
            <v>0</v>
          </cell>
          <cell r="AK2666">
            <v>0</v>
          </cell>
          <cell r="AL2666">
            <v>446</v>
          </cell>
        </row>
        <row r="2667">
          <cell r="E2667" t="str">
            <v>支線70sq-7/3.5</v>
          </cell>
          <cell r="F2667" t="str">
            <v>ｍ</v>
          </cell>
          <cell r="G2667">
            <v>352</v>
          </cell>
          <cell r="H2667">
            <v>187</v>
          </cell>
          <cell r="I2667">
            <v>352</v>
          </cell>
          <cell r="J2667">
            <v>187</v>
          </cell>
          <cell r="K2667">
            <v>344</v>
          </cell>
          <cell r="L2667">
            <v>183</v>
          </cell>
          <cell r="M2667">
            <v>344</v>
          </cell>
          <cell r="N2667">
            <v>183</v>
          </cell>
          <cell r="O2667">
            <v>344</v>
          </cell>
          <cell r="P2667">
            <v>183</v>
          </cell>
          <cell r="Q2667">
            <v>344</v>
          </cell>
          <cell r="R2667">
            <v>183</v>
          </cell>
          <cell r="S2667">
            <v>344</v>
          </cell>
          <cell r="T2667">
            <v>183</v>
          </cell>
          <cell r="U2667">
            <v>344</v>
          </cell>
          <cell r="V2667">
            <v>183</v>
          </cell>
          <cell r="W2667">
            <v>344</v>
          </cell>
          <cell r="X2667">
            <v>183</v>
          </cell>
          <cell r="Y2667">
            <v>344</v>
          </cell>
          <cell r="Z2667">
            <v>183</v>
          </cell>
          <cell r="AA2667">
            <v>0</v>
          </cell>
          <cell r="AB2667">
            <v>0</v>
          </cell>
          <cell r="AC2667">
            <v>0</v>
          </cell>
          <cell r="AD2667">
            <v>6.5000000000000002E-2</v>
          </cell>
          <cell r="AE2667">
            <v>0</v>
          </cell>
          <cell r="AF2667">
            <v>0</v>
          </cell>
          <cell r="AG2667">
            <v>0</v>
          </cell>
          <cell r="AH2667">
            <v>0</v>
          </cell>
          <cell r="AI2667">
            <v>0</v>
          </cell>
          <cell r="AJ2667">
            <v>0</v>
          </cell>
          <cell r="AK2667">
            <v>0</v>
          </cell>
          <cell r="AL2667">
            <v>533</v>
          </cell>
        </row>
        <row r="2668">
          <cell r="E2668" t="str">
            <v>支線90sq-7/4.0</v>
          </cell>
          <cell r="F2668" t="str">
            <v>ｍ</v>
          </cell>
          <cell r="G2668">
            <v>354</v>
          </cell>
          <cell r="H2668">
            <v>246</v>
          </cell>
          <cell r="I2668">
            <v>354</v>
          </cell>
          <cell r="J2668">
            <v>246</v>
          </cell>
          <cell r="K2668">
            <v>346</v>
          </cell>
          <cell r="L2668">
            <v>241</v>
          </cell>
          <cell r="M2668">
            <v>346</v>
          </cell>
          <cell r="N2668">
            <v>241</v>
          </cell>
          <cell r="O2668">
            <v>346</v>
          </cell>
          <cell r="P2668">
            <v>241</v>
          </cell>
          <cell r="Q2668">
            <v>346</v>
          </cell>
          <cell r="R2668">
            <v>241</v>
          </cell>
          <cell r="S2668">
            <v>346</v>
          </cell>
          <cell r="T2668">
            <v>241</v>
          </cell>
          <cell r="U2668">
            <v>346</v>
          </cell>
          <cell r="V2668">
            <v>241</v>
          </cell>
          <cell r="W2668">
            <v>346</v>
          </cell>
          <cell r="X2668">
            <v>241</v>
          </cell>
          <cell r="Y2668">
            <v>346</v>
          </cell>
          <cell r="Z2668">
            <v>241</v>
          </cell>
          <cell r="AA2668">
            <v>0</v>
          </cell>
          <cell r="AB2668">
            <v>0</v>
          </cell>
          <cell r="AC2668">
            <v>0</v>
          </cell>
          <cell r="AD2668">
            <v>6.5000000000000002E-2</v>
          </cell>
          <cell r="AE2668">
            <v>0</v>
          </cell>
          <cell r="AF2668">
            <v>0</v>
          </cell>
          <cell r="AG2668">
            <v>0</v>
          </cell>
          <cell r="AH2668">
            <v>0</v>
          </cell>
          <cell r="AI2668">
            <v>0</v>
          </cell>
          <cell r="AJ2668">
            <v>0</v>
          </cell>
          <cell r="AK2668">
            <v>0</v>
          </cell>
          <cell r="AL2668">
            <v>697</v>
          </cell>
        </row>
        <row r="2669">
          <cell r="E2669" t="str">
            <v>支線110sq-7/4.5</v>
          </cell>
          <cell r="F2669" t="str">
            <v>ｍ</v>
          </cell>
          <cell r="G2669">
            <v>354</v>
          </cell>
          <cell r="H2669">
            <v>312</v>
          </cell>
          <cell r="I2669">
            <v>354</v>
          </cell>
          <cell r="J2669">
            <v>312</v>
          </cell>
          <cell r="K2669">
            <v>346</v>
          </cell>
          <cell r="L2669">
            <v>305</v>
          </cell>
          <cell r="M2669">
            <v>346</v>
          </cell>
          <cell r="N2669">
            <v>305</v>
          </cell>
          <cell r="O2669">
            <v>346</v>
          </cell>
          <cell r="P2669">
            <v>305</v>
          </cell>
          <cell r="Q2669">
            <v>346</v>
          </cell>
          <cell r="R2669">
            <v>305</v>
          </cell>
          <cell r="S2669">
            <v>346</v>
          </cell>
          <cell r="T2669">
            <v>305</v>
          </cell>
          <cell r="U2669">
            <v>346</v>
          </cell>
          <cell r="V2669">
            <v>305</v>
          </cell>
          <cell r="W2669">
            <v>346</v>
          </cell>
          <cell r="X2669">
            <v>305</v>
          </cell>
          <cell r="Y2669">
            <v>346</v>
          </cell>
          <cell r="Z2669">
            <v>305</v>
          </cell>
          <cell r="AA2669">
            <v>0</v>
          </cell>
          <cell r="AB2669">
            <v>0</v>
          </cell>
          <cell r="AC2669">
            <v>0</v>
          </cell>
          <cell r="AD2669">
            <v>6.5000000000000002E-2</v>
          </cell>
          <cell r="AE2669">
            <v>0</v>
          </cell>
          <cell r="AF2669">
            <v>0</v>
          </cell>
          <cell r="AG2669">
            <v>0</v>
          </cell>
          <cell r="AH2669">
            <v>0</v>
          </cell>
          <cell r="AI2669">
            <v>0</v>
          </cell>
          <cell r="AJ2669">
            <v>0</v>
          </cell>
          <cell r="AK2669">
            <v>0</v>
          </cell>
          <cell r="AL2669">
            <v>882</v>
          </cell>
        </row>
        <row r="2670">
          <cell r="E2670" t="str">
            <v>支線135sq-7/5.0</v>
          </cell>
          <cell r="F2670" t="str">
            <v>ｍ</v>
          </cell>
          <cell r="G2670">
            <v>362</v>
          </cell>
          <cell r="H2670">
            <v>394</v>
          </cell>
          <cell r="I2670">
            <v>362</v>
          </cell>
          <cell r="J2670">
            <v>394</v>
          </cell>
          <cell r="K2670">
            <v>354</v>
          </cell>
          <cell r="L2670">
            <v>385</v>
          </cell>
          <cell r="M2670">
            <v>354</v>
          </cell>
          <cell r="N2670">
            <v>385</v>
          </cell>
          <cell r="O2670">
            <v>354</v>
          </cell>
          <cell r="P2670">
            <v>385</v>
          </cell>
          <cell r="Q2670">
            <v>354</v>
          </cell>
          <cell r="R2670">
            <v>385</v>
          </cell>
          <cell r="S2670">
            <v>354</v>
          </cell>
          <cell r="T2670">
            <v>385</v>
          </cell>
          <cell r="U2670">
            <v>354</v>
          </cell>
          <cell r="V2670">
            <v>385</v>
          </cell>
          <cell r="W2670">
            <v>354</v>
          </cell>
          <cell r="X2670">
            <v>385</v>
          </cell>
          <cell r="Y2670">
            <v>354</v>
          </cell>
          <cell r="Z2670">
            <v>385</v>
          </cell>
          <cell r="AA2670">
            <v>0</v>
          </cell>
          <cell r="AB2670">
            <v>0</v>
          </cell>
          <cell r="AC2670">
            <v>0</v>
          </cell>
          <cell r="AD2670">
            <v>6.5000000000000002E-2</v>
          </cell>
          <cell r="AE2670">
            <v>0</v>
          </cell>
          <cell r="AF2670">
            <v>0</v>
          </cell>
          <cell r="AG2670">
            <v>0</v>
          </cell>
          <cell r="AH2670">
            <v>0</v>
          </cell>
          <cell r="AI2670">
            <v>0</v>
          </cell>
          <cell r="AJ2670">
            <v>0</v>
          </cell>
          <cell r="AK2670">
            <v>0</v>
          </cell>
          <cell r="AL2670">
            <v>1090</v>
          </cell>
        </row>
        <row r="2671">
          <cell r="E2671" t="str">
            <v>ステンレス・ハンガー 3号</v>
          </cell>
          <cell r="F2671" t="str">
            <v>個</v>
          </cell>
          <cell r="G2671">
            <v>0</v>
          </cell>
          <cell r="H2671">
            <v>223</v>
          </cell>
          <cell r="I2671">
            <v>0</v>
          </cell>
          <cell r="J2671">
            <v>223</v>
          </cell>
          <cell r="K2671">
            <v>0</v>
          </cell>
          <cell r="L2671">
            <v>223</v>
          </cell>
          <cell r="M2671">
            <v>0</v>
          </cell>
          <cell r="N2671">
            <v>223</v>
          </cell>
          <cell r="O2671">
            <v>0</v>
          </cell>
          <cell r="P2671">
            <v>223</v>
          </cell>
          <cell r="Q2671">
            <v>0</v>
          </cell>
          <cell r="R2671">
            <v>223</v>
          </cell>
          <cell r="S2671">
            <v>0</v>
          </cell>
          <cell r="T2671">
            <v>223</v>
          </cell>
          <cell r="U2671">
            <v>0</v>
          </cell>
          <cell r="V2671">
            <v>223</v>
          </cell>
          <cell r="W2671">
            <v>0</v>
          </cell>
          <cell r="X2671">
            <v>223</v>
          </cell>
          <cell r="Y2671">
            <v>0</v>
          </cell>
          <cell r="Z2671">
            <v>223</v>
          </cell>
          <cell r="AA2671">
            <v>0</v>
          </cell>
          <cell r="AB2671">
            <v>0</v>
          </cell>
          <cell r="AC2671">
            <v>0</v>
          </cell>
          <cell r="AD2671">
            <v>0</v>
          </cell>
          <cell r="AE2671">
            <v>0</v>
          </cell>
          <cell r="AF2671">
            <v>0</v>
          </cell>
          <cell r="AG2671">
            <v>0</v>
          </cell>
          <cell r="AH2671">
            <v>0</v>
          </cell>
          <cell r="AI2671">
            <v>0</v>
          </cell>
          <cell r="AJ2671">
            <v>0</v>
          </cell>
          <cell r="AK2671">
            <v>0</v>
          </cell>
          <cell r="AL2671">
            <v>0</v>
          </cell>
        </row>
        <row r="2672">
          <cell r="E2672" t="str">
            <v>装柱材料</v>
          </cell>
          <cell r="F2672" t="str">
            <v>箇所</v>
          </cell>
          <cell r="G2672">
            <v>0</v>
          </cell>
          <cell r="H2672">
            <v>25000</v>
          </cell>
          <cell r="I2672">
            <v>0</v>
          </cell>
          <cell r="J2672">
            <v>25000</v>
          </cell>
          <cell r="K2672">
            <v>0</v>
          </cell>
          <cell r="L2672">
            <v>25000</v>
          </cell>
          <cell r="M2672">
            <v>0</v>
          </cell>
          <cell r="N2672">
            <v>25000</v>
          </cell>
          <cell r="O2672">
            <v>0</v>
          </cell>
          <cell r="P2672">
            <v>25000</v>
          </cell>
          <cell r="Q2672">
            <v>0</v>
          </cell>
          <cell r="R2672">
            <v>25000</v>
          </cell>
          <cell r="S2672">
            <v>0</v>
          </cell>
          <cell r="T2672">
            <v>25000</v>
          </cell>
          <cell r="U2672">
            <v>0</v>
          </cell>
          <cell r="V2672">
            <v>25000</v>
          </cell>
          <cell r="W2672">
            <v>0</v>
          </cell>
          <cell r="X2672">
            <v>25000</v>
          </cell>
          <cell r="Y2672">
            <v>0</v>
          </cell>
          <cell r="Z2672">
            <v>25000</v>
          </cell>
          <cell r="AA2672">
            <v>0</v>
          </cell>
          <cell r="AB2672">
            <v>0</v>
          </cell>
          <cell r="AC2672">
            <v>0</v>
          </cell>
          <cell r="AD2672">
            <v>1.8</v>
          </cell>
          <cell r="AE2672">
            <v>0</v>
          </cell>
          <cell r="AF2672">
            <v>0</v>
          </cell>
          <cell r="AG2672">
            <v>0</v>
          </cell>
          <cell r="AH2672">
            <v>0</v>
          </cell>
          <cell r="AI2672">
            <v>0</v>
          </cell>
          <cell r="AJ2672">
            <v>0</v>
          </cell>
          <cell r="AK2672">
            <v>0</v>
          </cell>
          <cell r="AL2672">
            <v>0</v>
          </cell>
        </row>
        <row r="2673">
          <cell r="E2673" t="str">
            <v>KK 600×600×700</v>
          </cell>
          <cell r="F2673" t="str">
            <v>基</v>
          </cell>
          <cell r="G2673">
            <v>0</v>
          </cell>
          <cell r="H2673">
            <v>61200</v>
          </cell>
          <cell r="I2673">
            <v>0</v>
          </cell>
          <cell r="J2673">
            <v>61200</v>
          </cell>
          <cell r="K2673">
            <v>0</v>
          </cell>
          <cell r="L2673">
            <v>61200</v>
          </cell>
          <cell r="M2673">
            <v>0</v>
          </cell>
          <cell r="N2673">
            <v>61200</v>
          </cell>
          <cell r="O2673">
            <v>0</v>
          </cell>
          <cell r="P2673">
            <v>61200</v>
          </cell>
          <cell r="Q2673">
            <v>0</v>
          </cell>
          <cell r="R2673">
            <v>61200</v>
          </cell>
          <cell r="S2673">
            <v>0</v>
          </cell>
          <cell r="T2673">
            <v>61200</v>
          </cell>
          <cell r="U2673">
            <v>0</v>
          </cell>
          <cell r="V2673">
            <v>61200</v>
          </cell>
          <cell r="W2673">
            <v>0</v>
          </cell>
          <cell r="X2673">
            <v>61200</v>
          </cell>
          <cell r="Y2673">
            <v>0</v>
          </cell>
          <cell r="Z2673">
            <v>61200</v>
          </cell>
          <cell r="AA2673">
            <v>0</v>
          </cell>
          <cell r="AB2673">
            <v>0</v>
          </cell>
          <cell r="AC2673">
            <v>0</v>
          </cell>
          <cell r="AD2673">
            <v>1.6600000000000001</v>
          </cell>
          <cell r="AE2673">
            <v>0</v>
          </cell>
          <cell r="AF2673">
            <v>0</v>
          </cell>
          <cell r="AG2673">
            <v>0</v>
          </cell>
          <cell r="AH2673">
            <v>0</v>
          </cell>
          <cell r="AI2673">
            <v>0</v>
          </cell>
          <cell r="AJ2673">
            <v>0</v>
          </cell>
          <cell r="AK2673">
            <v>0</v>
          </cell>
          <cell r="AL2673">
            <v>0</v>
          </cell>
        </row>
        <row r="2674">
          <cell r="E2674" t="str">
            <v>KK 600×600×1200</v>
          </cell>
          <cell r="F2674" t="str">
            <v>基</v>
          </cell>
          <cell r="G2674">
            <v>0</v>
          </cell>
          <cell r="H2674">
            <v>75600</v>
          </cell>
          <cell r="I2674">
            <v>0</v>
          </cell>
          <cell r="J2674">
            <v>75600</v>
          </cell>
          <cell r="K2674">
            <v>0</v>
          </cell>
          <cell r="L2674">
            <v>75600</v>
          </cell>
          <cell r="M2674">
            <v>0</v>
          </cell>
          <cell r="N2674">
            <v>75600</v>
          </cell>
          <cell r="O2674">
            <v>0</v>
          </cell>
          <cell r="P2674">
            <v>75600</v>
          </cell>
          <cell r="Q2674">
            <v>0</v>
          </cell>
          <cell r="R2674">
            <v>75600</v>
          </cell>
          <cell r="S2674">
            <v>0</v>
          </cell>
          <cell r="T2674">
            <v>75600</v>
          </cell>
          <cell r="U2674">
            <v>0</v>
          </cell>
          <cell r="V2674">
            <v>75600</v>
          </cell>
          <cell r="W2674">
            <v>0</v>
          </cell>
          <cell r="X2674">
            <v>75600</v>
          </cell>
          <cell r="Y2674">
            <v>0</v>
          </cell>
          <cell r="Z2674">
            <v>75600</v>
          </cell>
          <cell r="AA2674">
            <v>0</v>
          </cell>
          <cell r="AB2674">
            <v>0</v>
          </cell>
          <cell r="AC2674">
            <v>0</v>
          </cell>
          <cell r="AD2674">
            <v>2.16</v>
          </cell>
          <cell r="AE2674">
            <v>0</v>
          </cell>
          <cell r="AF2674">
            <v>0</v>
          </cell>
          <cell r="AG2674">
            <v>0</v>
          </cell>
          <cell r="AH2674">
            <v>0</v>
          </cell>
          <cell r="AI2674">
            <v>0</v>
          </cell>
          <cell r="AJ2674">
            <v>0</v>
          </cell>
          <cell r="AK2674">
            <v>0</v>
          </cell>
          <cell r="AL2674">
            <v>0</v>
          </cell>
        </row>
        <row r="2675">
          <cell r="E2675" t="str">
            <v>KK 750×750×900</v>
          </cell>
          <cell r="F2675" t="str">
            <v>基</v>
          </cell>
          <cell r="G2675">
            <v>0</v>
          </cell>
          <cell r="H2675">
            <v>81200</v>
          </cell>
          <cell r="I2675">
            <v>0</v>
          </cell>
          <cell r="J2675">
            <v>81200</v>
          </cell>
          <cell r="K2675">
            <v>0</v>
          </cell>
          <cell r="L2675">
            <v>81200</v>
          </cell>
          <cell r="M2675">
            <v>0</v>
          </cell>
          <cell r="N2675">
            <v>81200</v>
          </cell>
          <cell r="O2675">
            <v>0</v>
          </cell>
          <cell r="P2675">
            <v>81200</v>
          </cell>
          <cell r="Q2675">
            <v>0</v>
          </cell>
          <cell r="R2675">
            <v>81200</v>
          </cell>
          <cell r="S2675">
            <v>0</v>
          </cell>
          <cell r="T2675">
            <v>81200</v>
          </cell>
          <cell r="U2675">
            <v>0</v>
          </cell>
          <cell r="V2675">
            <v>81200</v>
          </cell>
          <cell r="W2675">
            <v>0</v>
          </cell>
          <cell r="X2675">
            <v>81200</v>
          </cell>
          <cell r="Y2675">
            <v>0</v>
          </cell>
          <cell r="Z2675">
            <v>81200</v>
          </cell>
          <cell r="AA2675">
            <v>0</v>
          </cell>
          <cell r="AB2675">
            <v>0</v>
          </cell>
          <cell r="AC2675">
            <v>0</v>
          </cell>
          <cell r="AD2675">
            <v>2.1</v>
          </cell>
          <cell r="AE2675">
            <v>0</v>
          </cell>
          <cell r="AF2675">
            <v>0</v>
          </cell>
          <cell r="AG2675">
            <v>0</v>
          </cell>
          <cell r="AH2675">
            <v>0</v>
          </cell>
          <cell r="AI2675">
            <v>0</v>
          </cell>
          <cell r="AJ2675">
            <v>0</v>
          </cell>
          <cell r="AK2675">
            <v>0</v>
          </cell>
          <cell r="AL2675">
            <v>0</v>
          </cell>
        </row>
        <row r="2676">
          <cell r="E2676" t="str">
            <v>KK 750×750×1200</v>
          </cell>
          <cell r="F2676" t="str">
            <v>基</v>
          </cell>
          <cell r="G2676">
            <v>0</v>
          </cell>
          <cell r="H2676">
            <v>93200</v>
          </cell>
          <cell r="I2676">
            <v>0</v>
          </cell>
          <cell r="J2676">
            <v>93200</v>
          </cell>
          <cell r="K2676">
            <v>0</v>
          </cell>
          <cell r="L2676">
            <v>93200</v>
          </cell>
          <cell r="M2676">
            <v>0</v>
          </cell>
          <cell r="N2676">
            <v>93200</v>
          </cell>
          <cell r="O2676">
            <v>0</v>
          </cell>
          <cell r="P2676">
            <v>93200</v>
          </cell>
          <cell r="Q2676">
            <v>0</v>
          </cell>
          <cell r="R2676">
            <v>93200</v>
          </cell>
          <cell r="S2676">
            <v>0</v>
          </cell>
          <cell r="T2676">
            <v>93200</v>
          </cell>
          <cell r="U2676">
            <v>0</v>
          </cell>
          <cell r="V2676">
            <v>93200</v>
          </cell>
          <cell r="W2676">
            <v>0</v>
          </cell>
          <cell r="X2676">
            <v>93200</v>
          </cell>
          <cell r="Y2676">
            <v>0</v>
          </cell>
          <cell r="Z2676">
            <v>93200</v>
          </cell>
          <cell r="AA2676">
            <v>0</v>
          </cell>
          <cell r="AB2676">
            <v>0</v>
          </cell>
          <cell r="AC2676">
            <v>0</v>
          </cell>
          <cell r="AD2676">
            <v>2.4</v>
          </cell>
          <cell r="AE2676">
            <v>0</v>
          </cell>
          <cell r="AF2676">
            <v>0</v>
          </cell>
          <cell r="AG2676">
            <v>0</v>
          </cell>
          <cell r="AH2676">
            <v>0</v>
          </cell>
          <cell r="AI2676">
            <v>0</v>
          </cell>
          <cell r="AJ2676">
            <v>0</v>
          </cell>
          <cell r="AK2676">
            <v>0</v>
          </cell>
          <cell r="AL2676">
            <v>0</v>
          </cell>
        </row>
        <row r="2677">
          <cell r="E2677" t="str">
            <v>KK 750×750×1500</v>
          </cell>
          <cell r="F2677" t="str">
            <v>基</v>
          </cell>
          <cell r="G2677">
            <v>0</v>
          </cell>
          <cell r="H2677">
            <v>105000</v>
          </cell>
          <cell r="I2677">
            <v>0</v>
          </cell>
          <cell r="J2677">
            <v>105000</v>
          </cell>
          <cell r="K2677">
            <v>0</v>
          </cell>
          <cell r="L2677">
            <v>105000</v>
          </cell>
          <cell r="M2677">
            <v>0</v>
          </cell>
          <cell r="N2677">
            <v>105000</v>
          </cell>
          <cell r="O2677">
            <v>0</v>
          </cell>
          <cell r="P2677">
            <v>105000</v>
          </cell>
          <cell r="Q2677">
            <v>0</v>
          </cell>
          <cell r="R2677">
            <v>105000</v>
          </cell>
          <cell r="S2677">
            <v>0</v>
          </cell>
          <cell r="T2677">
            <v>105000</v>
          </cell>
          <cell r="U2677">
            <v>0</v>
          </cell>
          <cell r="V2677">
            <v>105000</v>
          </cell>
          <cell r="W2677">
            <v>0</v>
          </cell>
          <cell r="X2677">
            <v>105000</v>
          </cell>
          <cell r="Y2677">
            <v>0</v>
          </cell>
          <cell r="Z2677">
            <v>105000</v>
          </cell>
          <cell r="AA2677">
            <v>0</v>
          </cell>
          <cell r="AB2677">
            <v>0</v>
          </cell>
          <cell r="AC2677">
            <v>0</v>
          </cell>
          <cell r="AD2677">
            <v>2.7</v>
          </cell>
          <cell r="AE2677">
            <v>0</v>
          </cell>
          <cell r="AF2677">
            <v>0</v>
          </cell>
          <cell r="AG2677">
            <v>0</v>
          </cell>
          <cell r="AH2677">
            <v>0</v>
          </cell>
          <cell r="AI2677">
            <v>0</v>
          </cell>
          <cell r="AJ2677">
            <v>0</v>
          </cell>
          <cell r="AK2677">
            <v>0</v>
          </cell>
          <cell r="AL2677">
            <v>0</v>
          </cell>
        </row>
        <row r="2678">
          <cell r="E2678" t="str">
            <v>KK 800×800×900</v>
          </cell>
          <cell r="F2678" t="str">
            <v>基</v>
          </cell>
          <cell r="G2678">
            <v>0</v>
          </cell>
          <cell r="H2678">
            <v>85200</v>
          </cell>
          <cell r="I2678">
            <v>0</v>
          </cell>
          <cell r="J2678">
            <v>85200</v>
          </cell>
          <cell r="K2678">
            <v>0</v>
          </cell>
          <cell r="L2678">
            <v>85200</v>
          </cell>
          <cell r="M2678">
            <v>0</v>
          </cell>
          <cell r="N2678">
            <v>85200</v>
          </cell>
          <cell r="O2678">
            <v>0</v>
          </cell>
          <cell r="P2678">
            <v>85200</v>
          </cell>
          <cell r="Q2678">
            <v>0</v>
          </cell>
          <cell r="R2678">
            <v>85200</v>
          </cell>
          <cell r="S2678">
            <v>0</v>
          </cell>
          <cell r="T2678">
            <v>85200</v>
          </cell>
          <cell r="U2678">
            <v>0</v>
          </cell>
          <cell r="V2678">
            <v>85200</v>
          </cell>
          <cell r="W2678">
            <v>0</v>
          </cell>
          <cell r="X2678">
            <v>85200</v>
          </cell>
          <cell r="Y2678">
            <v>0</v>
          </cell>
          <cell r="Z2678">
            <v>85200</v>
          </cell>
          <cell r="AA2678">
            <v>0</v>
          </cell>
          <cell r="AB2678">
            <v>0</v>
          </cell>
          <cell r="AC2678">
            <v>0</v>
          </cell>
          <cell r="AD2678">
            <v>2.1800000000000002</v>
          </cell>
          <cell r="AE2678">
            <v>0</v>
          </cell>
          <cell r="AF2678">
            <v>0</v>
          </cell>
          <cell r="AG2678">
            <v>0</v>
          </cell>
          <cell r="AH2678">
            <v>0</v>
          </cell>
          <cell r="AI2678">
            <v>0</v>
          </cell>
          <cell r="AJ2678">
            <v>0</v>
          </cell>
          <cell r="AK2678">
            <v>0</v>
          </cell>
          <cell r="AL2678">
            <v>0</v>
          </cell>
        </row>
        <row r="2679">
          <cell r="E2679" t="str">
            <v>KK 800×800×1200</v>
          </cell>
          <cell r="F2679" t="str">
            <v>基</v>
          </cell>
          <cell r="G2679">
            <v>0</v>
          </cell>
          <cell r="H2679">
            <v>97200</v>
          </cell>
          <cell r="I2679">
            <v>0</v>
          </cell>
          <cell r="J2679">
            <v>97200</v>
          </cell>
          <cell r="K2679">
            <v>0</v>
          </cell>
          <cell r="L2679">
            <v>97200</v>
          </cell>
          <cell r="M2679">
            <v>0</v>
          </cell>
          <cell r="N2679">
            <v>97200</v>
          </cell>
          <cell r="O2679">
            <v>0</v>
          </cell>
          <cell r="P2679">
            <v>97200</v>
          </cell>
          <cell r="Q2679">
            <v>0</v>
          </cell>
          <cell r="R2679">
            <v>97200</v>
          </cell>
          <cell r="S2679">
            <v>0</v>
          </cell>
          <cell r="T2679">
            <v>97200</v>
          </cell>
          <cell r="U2679">
            <v>0</v>
          </cell>
          <cell r="V2679">
            <v>97200</v>
          </cell>
          <cell r="W2679">
            <v>0</v>
          </cell>
          <cell r="X2679">
            <v>97200</v>
          </cell>
          <cell r="Y2679">
            <v>0</v>
          </cell>
          <cell r="Z2679">
            <v>97200</v>
          </cell>
          <cell r="AA2679">
            <v>0</v>
          </cell>
          <cell r="AB2679">
            <v>0</v>
          </cell>
          <cell r="AC2679">
            <v>0</v>
          </cell>
          <cell r="AD2679">
            <v>2.48</v>
          </cell>
          <cell r="AE2679">
            <v>0</v>
          </cell>
          <cell r="AF2679">
            <v>0</v>
          </cell>
          <cell r="AG2679">
            <v>0</v>
          </cell>
          <cell r="AH2679">
            <v>0</v>
          </cell>
          <cell r="AI2679">
            <v>0</v>
          </cell>
          <cell r="AJ2679">
            <v>0</v>
          </cell>
          <cell r="AK2679">
            <v>0</v>
          </cell>
          <cell r="AL2679">
            <v>0</v>
          </cell>
        </row>
        <row r="2680">
          <cell r="E2680" t="str">
            <v>KK 800×800×1500</v>
          </cell>
          <cell r="F2680" t="str">
            <v>基</v>
          </cell>
          <cell r="G2680">
            <v>0</v>
          </cell>
          <cell r="H2680">
            <v>109000</v>
          </cell>
          <cell r="I2680">
            <v>0</v>
          </cell>
          <cell r="J2680">
            <v>109000</v>
          </cell>
          <cell r="K2680">
            <v>0</v>
          </cell>
          <cell r="L2680">
            <v>109000</v>
          </cell>
          <cell r="M2680">
            <v>0</v>
          </cell>
          <cell r="N2680">
            <v>109000</v>
          </cell>
          <cell r="O2680">
            <v>0</v>
          </cell>
          <cell r="P2680">
            <v>109000</v>
          </cell>
          <cell r="Q2680">
            <v>0</v>
          </cell>
          <cell r="R2680">
            <v>109000</v>
          </cell>
          <cell r="S2680">
            <v>0</v>
          </cell>
          <cell r="T2680">
            <v>109000</v>
          </cell>
          <cell r="U2680">
            <v>0</v>
          </cell>
          <cell r="V2680">
            <v>109000</v>
          </cell>
          <cell r="W2680">
            <v>0</v>
          </cell>
          <cell r="X2680">
            <v>109000</v>
          </cell>
          <cell r="Y2680">
            <v>0</v>
          </cell>
          <cell r="Z2680">
            <v>109000</v>
          </cell>
          <cell r="AA2680">
            <v>0</v>
          </cell>
          <cell r="AB2680">
            <v>0</v>
          </cell>
          <cell r="AC2680">
            <v>0</v>
          </cell>
          <cell r="AD2680">
            <v>2.7800000000000002</v>
          </cell>
          <cell r="AE2680">
            <v>0</v>
          </cell>
          <cell r="AF2680">
            <v>0</v>
          </cell>
          <cell r="AG2680">
            <v>0</v>
          </cell>
          <cell r="AH2680">
            <v>0</v>
          </cell>
          <cell r="AI2680">
            <v>0</v>
          </cell>
          <cell r="AJ2680">
            <v>0</v>
          </cell>
          <cell r="AK2680">
            <v>0</v>
          </cell>
          <cell r="AL2680">
            <v>0</v>
          </cell>
        </row>
        <row r="2681">
          <cell r="E2681" t="str">
            <v>KK 900×900×1200</v>
          </cell>
          <cell r="F2681" t="str">
            <v>基</v>
          </cell>
          <cell r="G2681">
            <v>0</v>
          </cell>
          <cell r="H2681">
            <v>106000</v>
          </cell>
          <cell r="I2681">
            <v>0</v>
          </cell>
          <cell r="J2681">
            <v>106000</v>
          </cell>
          <cell r="K2681">
            <v>0</v>
          </cell>
          <cell r="L2681">
            <v>106000</v>
          </cell>
          <cell r="M2681">
            <v>0</v>
          </cell>
          <cell r="N2681">
            <v>106000</v>
          </cell>
          <cell r="O2681">
            <v>0</v>
          </cell>
          <cell r="P2681">
            <v>106000</v>
          </cell>
          <cell r="Q2681">
            <v>0</v>
          </cell>
          <cell r="R2681">
            <v>106000</v>
          </cell>
          <cell r="S2681">
            <v>0</v>
          </cell>
          <cell r="T2681">
            <v>106000</v>
          </cell>
          <cell r="U2681">
            <v>0</v>
          </cell>
          <cell r="V2681">
            <v>106000</v>
          </cell>
          <cell r="W2681">
            <v>0</v>
          </cell>
          <cell r="X2681">
            <v>106000</v>
          </cell>
          <cell r="Y2681">
            <v>0</v>
          </cell>
          <cell r="Z2681">
            <v>106000</v>
          </cell>
          <cell r="AA2681">
            <v>0</v>
          </cell>
          <cell r="AB2681">
            <v>0</v>
          </cell>
          <cell r="AC2681">
            <v>0</v>
          </cell>
          <cell r="AD2681">
            <v>2.6399999999999997</v>
          </cell>
          <cell r="AE2681">
            <v>0</v>
          </cell>
          <cell r="AF2681">
            <v>0</v>
          </cell>
          <cell r="AG2681">
            <v>0</v>
          </cell>
          <cell r="AH2681">
            <v>0</v>
          </cell>
          <cell r="AI2681">
            <v>0</v>
          </cell>
          <cell r="AJ2681">
            <v>0</v>
          </cell>
          <cell r="AK2681">
            <v>0</v>
          </cell>
          <cell r="AL2681">
            <v>0</v>
          </cell>
        </row>
        <row r="2682">
          <cell r="E2682" t="str">
            <v>KK 900×900×1350</v>
          </cell>
          <cell r="F2682" t="str">
            <v>基</v>
          </cell>
          <cell r="G2682">
            <v>0</v>
          </cell>
          <cell r="H2682">
            <v>114000</v>
          </cell>
          <cell r="I2682">
            <v>0</v>
          </cell>
          <cell r="J2682">
            <v>114000</v>
          </cell>
          <cell r="K2682">
            <v>0</v>
          </cell>
          <cell r="L2682">
            <v>114000</v>
          </cell>
          <cell r="M2682">
            <v>0</v>
          </cell>
          <cell r="N2682">
            <v>114000</v>
          </cell>
          <cell r="O2682">
            <v>0</v>
          </cell>
          <cell r="P2682">
            <v>114000</v>
          </cell>
          <cell r="Q2682">
            <v>0</v>
          </cell>
          <cell r="R2682">
            <v>114000</v>
          </cell>
          <cell r="S2682">
            <v>0</v>
          </cell>
          <cell r="T2682">
            <v>114000</v>
          </cell>
          <cell r="U2682">
            <v>0</v>
          </cell>
          <cell r="V2682">
            <v>114000</v>
          </cell>
          <cell r="W2682">
            <v>0</v>
          </cell>
          <cell r="X2682">
            <v>114000</v>
          </cell>
          <cell r="Y2682">
            <v>0</v>
          </cell>
          <cell r="Z2682">
            <v>114000</v>
          </cell>
          <cell r="AA2682">
            <v>0</v>
          </cell>
          <cell r="AB2682">
            <v>0</v>
          </cell>
          <cell r="AC2682">
            <v>0</v>
          </cell>
          <cell r="AD2682">
            <v>1.4535</v>
          </cell>
          <cell r="AE2682">
            <v>0</v>
          </cell>
          <cell r="AF2682">
            <v>0</v>
          </cell>
          <cell r="AG2682">
            <v>0</v>
          </cell>
          <cell r="AH2682">
            <v>0</v>
          </cell>
          <cell r="AI2682">
            <v>0</v>
          </cell>
          <cell r="AJ2682">
            <v>0</v>
          </cell>
          <cell r="AK2682">
            <v>0</v>
          </cell>
          <cell r="AL2682">
            <v>0</v>
          </cell>
        </row>
        <row r="2683">
          <cell r="E2683" t="str">
            <v>KK 900×900×1500</v>
          </cell>
          <cell r="F2683" t="str">
            <v>基</v>
          </cell>
          <cell r="G2683">
            <v>0</v>
          </cell>
          <cell r="H2683">
            <v>119000</v>
          </cell>
          <cell r="I2683">
            <v>0</v>
          </cell>
          <cell r="J2683">
            <v>119000</v>
          </cell>
          <cell r="K2683">
            <v>0</v>
          </cell>
          <cell r="L2683">
            <v>119000</v>
          </cell>
          <cell r="M2683">
            <v>0</v>
          </cell>
          <cell r="N2683">
            <v>119000</v>
          </cell>
          <cell r="O2683">
            <v>0</v>
          </cell>
          <cell r="P2683">
            <v>119000</v>
          </cell>
          <cell r="Q2683">
            <v>0</v>
          </cell>
          <cell r="R2683">
            <v>119000</v>
          </cell>
          <cell r="S2683">
            <v>0</v>
          </cell>
          <cell r="T2683">
            <v>119000</v>
          </cell>
          <cell r="U2683">
            <v>0</v>
          </cell>
          <cell r="V2683">
            <v>119000</v>
          </cell>
          <cell r="W2683">
            <v>0</v>
          </cell>
          <cell r="X2683">
            <v>119000</v>
          </cell>
          <cell r="Y2683">
            <v>0</v>
          </cell>
          <cell r="Z2683">
            <v>119000</v>
          </cell>
          <cell r="AA2683">
            <v>0</v>
          </cell>
          <cell r="AB2683">
            <v>0</v>
          </cell>
          <cell r="AC2683">
            <v>0</v>
          </cell>
          <cell r="AD2683">
            <v>2.94</v>
          </cell>
          <cell r="AE2683">
            <v>0</v>
          </cell>
          <cell r="AF2683">
            <v>0</v>
          </cell>
          <cell r="AG2683">
            <v>0</v>
          </cell>
          <cell r="AH2683">
            <v>0</v>
          </cell>
          <cell r="AI2683">
            <v>0</v>
          </cell>
          <cell r="AJ2683">
            <v>0</v>
          </cell>
          <cell r="AK2683">
            <v>0</v>
          </cell>
          <cell r="AL2683">
            <v>0</v>
          </cell>
        </row>
        <row r="2684">
          <cell r="E2684" t="str">
            <v>KK 1000×1000×900</v>
          </cell>
          <cell r="F2684" t="str">
            <v>基</v>
          </cell>
          <cell r="G2684">
            <v>0</v>
          </cell>
          <cell r="H2684">
            <v>102000</v>
          </cell>
          <cell r="I2684">
            <v>0</v>
          </cell>
          <cell r="J2684">
            <v>102000</v>
          </cell>
          <cell r="K2684">
            <v>0</v>
          </cell>
          <cell r="L2684">
            <v>102000</v>
          </cell>
          <cell r="M2684">
            <v>0</v>
          </cell>
          <cell r="N2684">
            <v>102000</v>
          </cell>
          <cell r="O2684">
            <v>0</v>
          </cell>
          <cell r="P2684">
            <v>102000</v>
          </cell>
          <cell r="Q2684">
            <v>0</v>
          </cell>
          <cell r="R2684">
            <v>102000</v>
          </cell>
          <cell r="S2684">
            <v>0</v>
          </cell>
          <cell r="T2684">
            <v>102000</v>
          </cell>
          <cell r="U2684">
            <v>0</v>
          </cell>
          <cell r="V2684">
            <v>102000</v>
          </cell>
          <cell r="W2684">
            <v>0</v>
          </cell>
          <cell r="X2684">
            <v>102000</v>
          </cell>
          <cell r="Y2684">
            <v>0</v>
          </cell>
          <cell r="Z2684">
            <v>102000</v>
          </cell>
          <cell r="AA2684">
            <v>0</v>
          </cell>
          <cell r="AB2684">
            <v>0</v>
          </cell>
          <cell r="AC2684">
            <v>0</v>
          </cell>
          <cell r="AD2684">
            <v>2.5</v>
          </cell>
          <cell r="AE2684">
            <v>0</v>
          </cell>
          <cell r="AF2684">
            <v>0</v>
          </cell>
          <cell r="AG2684">
            <v>0</v>
          </cell>
          <cell r="AH2684">
            <v>0</v>
          </cell>
          <cell r="AI2684">
            <v>0</v>
          </cell>
          <cell r="AJ2684">
            <v>0</v>
          </cell>
          <cell r="AK2684">
            <v>0</v>
          </cell>
          <cell r="AL2684">
            <v>0</v>
          </cell>
        </row>
        <row r="2685">
          <cell r="E2685" t="str">
            <v>KK 1000×1000×1200</v>
          </cell>
          <cell r="F2685" t="str">
            <v>基</v>
          </cell>
          <cell r="G2685">
            <v>0</v>
          </cell>
          <cell r="H2685">
            <v>118000</v>
          </cell>
          <cell r="I2685">
            <v>0</v>
          </cell>
          <cell r="J2685">
            <v>118000</v>
          </cell>
          <cell r="K2685">
            <v>0</v>
          </cell>
          <cell r="L2685">
            <v>118000</v>
          </cell>
          <cell r="M2685">
            <v>0</v>
          </cell>
          <cell r="N2685">
            <v>118000</v>
          </cell>
          <cell r="O2685">
            <v>0</v>
          </cell>
          <cell r="P2685">
            <v>118000</v>
          </cell>
          <cell r="Q2685">
            <v>0</v>
          </cell>
          <cell r="R2685">
            <v>118000</v>
          </cell>
          <cell r="S2685">
            <v>0</v>
          </cell>
          <cell r="T2685">
            <v>118000</v>
          </cell>
          <cell r="U2685">
            <v>0</v>
          </cell>
          <cell r="V2685">
            <v>118000</v>
          </cell>
          <cell r="W2685">
            <v>0</v>
          </cell>
          <cell r="X2685">
            <v>118000</v>
          </cell>
          <cell r="Y2685">
            <v>0</v>
          </cell>
          <cell r="Z2685">
            <v>118000</v>
          </cell>
          <cell r="AA2685">
            <v>0</v>
          </cell>
          <cell r="AB2685">
            <v>0</v>
          </cell>
          <cell r="AC2685">
            <v>0</v>
          </cell>
          <cell r="AD2685">
            <v>2.8</v>
          </cell>
          <cell r="AE2685">
            <v>0</v>
          </cell>
          <cell r="AF2685">
            <v>0</v>
          </cell>
          <cell r="AG2685">
            <v>0</v>
          </cell>
          <cell r="AH2685">
            <v>0</v>
          </cell>
          <cell r="AI2685">
            <v>0</v>
          </cell>
          <cell r="AJ2685">
            <v>0</v>
          </cell>
          <cell r="AK2685">
            <v>0</v>
          </cell>
          <cell r="AL2685">
            <v>0</v>
          </cell>
        </row>
        <row r="2686">
          <cell r="E2686" t="str">
            <v>KK 1000×1000×1500</v>
          </cell>
          <cell r="F2686" t="str">
            <v>基</v>
          </cell>
          <cell r="G2686">
            <v>0</v>
          </cell>
          <cell r="H2686">
            <v>133000</v>
          </cell>
          <cell r="I2686">
            <v>0</v>
          </cell>
          <cell r="J2686">
            <v>133000</v>
          </cell>
          <cell r="K2686">
            <v>0</v>
          </cell>
          <cell r="L2686">
            <v>133000</v>
          </cell>
          <cell r="M2686">
            <v>0</v>
          </cell>
          <cell r="N2686">
            <v>133000</v>
          </cell>
          <cell r="O2686">
            <v>0</v>
          </cell>
          <cell r="P2686">
            <v>133000</v>
          </cell>
          <cell r="Q2686">
            <v>0</v>
          </cell>
          <cell r="R2686">
            <v>133000</v>
          </cell>
          <cell r="S2686">
            <v>0</v>
          </cell>
          <cell r="T2686">
            <v>133000</v>
          </cell>
          <cell r="U2686">
            <v>0</v>
          </cell>
          <cell r="V2686">
            <v>133000</v>
          </cell>
          <cell r="W2686">
            <v>0</v>
          </cell>
          <cell r="X2686">
            <v>133000</v>
          </cell>
          <cell r="Y2686">
            <v>0</v>
          </cell>
          <cell r="Z2686">
            <v>133000</v>
          </cell>
          <cell r="AA2686">
            <v>0</v>
          </cell>
          <cell r="AB2686">
            <v>0</v>
          </cell>
          <cell r="AC2686">
            <v>0</v>
          </cell>
          <cell r="AD2686">
            <v>3.1</v>
          </cell>
          <cell r="AE2686">
            <v>0</v>
          </cell>
          <cell r="AF2686">
            <v>0</v>
          </cell>
          <cell r="AG2686">
            <v>0</v>
          </cell>
          <cell r="AH2686">
            <v>0</v>
          </cell>
          <cell r="AI2686">
            <v>0</v>
          </cell>
          <cell r="AJ2686">
            <v>0</v>
          </cell>
          <cell r="AK2686">
            <v>0</v>
          </cell>
          <cell r="AL2686">
            <v>0</v>
          </cell>
        </row>
        <row r="2687">
          <cell r="E2687" t="str">
            <v>KK 1200×1200×900</v>
          </cell>
          <cell r="F2687" t="str">
            <v>基</v>
          </cell>
          <cell r="G2687">
            <v>0</v>
          </cell>
          <cell r="H2687">
            <v>122000</v>
          </cell>
          <cell r="I2687">
            <v>0</v>
          </cell>
          <cell r="J2687">
            <v>122000</v>
          </cell>
          <cell r="K2687">
            <v>0</v>
          </cell>
          <cell r="L2687">
            <v>122000</v>
          </cell>
          <cell r="M2687">
            <v>0</v>
          </cell>
          <cell r="N2687">
            <v>122000</v>
          </cell>
          <cell r="O2687">
            <v>0</v>
          </cell>
          <cell r="P2687">
            <v>122000</v>
          </cell>
          <cell r="Q2687">
            <v>0</v>
          </cell>
          <cell r="R2687">
            <v>122000</v>
          </cell>
          <cell r="S2687">
            <v>0</v>
          </cell>
          <cell r="T2687">
            <v>122000</v>
          </cell>
          <cell r="U2687">
            <v>0</v>
          </cell>
          <cell r="V2687">
            <v>122000</v>
          </cell>
          <cell r="W2687">
            <v>0</v>
          </cell>
          <cell r="X2687">
            <v>122000</v>
          </cell>
          <cell r="Y2687">
            <v>0</v>
          </cell>
          <cell r="Z2687">
            <v>122000</v>
          </cell>
          <cell r="AA2687">
            <v>0</v>
          </cell>
          <cell r="AB2687">
            <v>0</v>
          </cell>
          <cell r="AC2687">
            <v>0</v>
          </cell>
          <cell r="AD2687">
            <v>2.82</v>
          </cell>
          <cell r="AE2687">
            <v>0</v>
          </cell>
          <cell r="AF2687">
            <v>0</v>
          </cell>
          <cell r="AG2687">
            <v>0</v>
          </cell>
          <cell r="AH2687">
            <v>0</v>
          </cell>
          <cell r="AI2687">
            <v>0</v>
          </cell>
          <cell r="AJ2687">
            <v>0</v>
          </cell>
          <cell r="AK2687">
            <v>0</v>
          </cell>
          <cell r="AL2687">
            <v>0</v>
          </cell>
        </row>
        <row r="2688">
          <cell r="E2688" t="str">
            <v>KK 1200×1200×1200</v>
          </cell>
          <cell r="F2688" t="str">
            <v>基</v>
          </cell>
          <cell r="G2688">
            <v>0</v>
          </cell>
          <cell r="H2688">
            <v>140000</v>
          </cell>
          <cell r="I2688">
            <v>0</v>
          </cell>
          <cell r="J2688">
            <v>140000</v>
          </cell>
          <cell r="K2688">
            <v>0</v>
          </cell>
          <cell r="L2688">
            <v>140000</v>
          </cell>
          <cell r="M2688">
            <v>0</v>
          </cell>
          <cell r="N2688">
            <v>140000</v>
          </cell>
          <cell r="O2688">
            <v>0</v>
          </cell>
          <cell r="P2688">
            <v>140000</v>
          </cell>
          <cell r="Q2688">
            <v>0</v>
          </cell>
          <cell r="R2688">
            <v>140000</v>
          </cell>
          <cell r="S2688">
            <v>0</v>
          </cell>
          <cell r="T2688">
            <v>140000</v>
          </cell>
          <cell r="U2688">
            <v>0</v>
          </cell>
          <cell r="V2688">
            <v>140000</v>
          </cell>
          <cell r="W2688">
            <v>0</v>
          </cell>
          <cell r="X2688">
            <v>140000</v>
          </cell>
          <cell r="Y2688">
            <v>0</v>
          </cell>
          <cell r="Z2688">
            <v>140000</v>
          </cell>
          <cell r="AA2688">
            <v>0</v>
          </cell>
          <cell r="AB2688">
            <v>0</v>
          </cell>
          <cell r="AC2688">
            <v>0</v>
          </cell>
          <cell r="AD2688">
            <v>3.12</v>
          </cell>
          <cell r="AE2688">
            <v>0</v>
          </cell>
          <cell r="AF2688">
            <v>0</v>
          </cell>
          <cell r="AG2688">
            <v>0</v>
          </cell>
          <cell r="AH2688">
            <v>0</v>
          </cell>
          <cell r="AI2688">
            <v>0</v>
          </cell>
          <cell r="AJ2688">
            <v>0</v>
          </cell>
          <cell r="AK2688">
            <v>0</v>
          </cell>
          <cell r="AL2688">
            <v>0</v>
          </cell>
        </row>
        <row r="2689">
          <cell r="E2689" t="str">
            <v>KK 1200×1200×1500</v>
          </cell>
          <cell r="F2689" t="str">
            <v>基</v>
          </cell>
          <cell r="G2689">
            <v>0</v>
          </cell>
          <cell r="H2689">
            <v>158000</v>
          </cell>
          <cell r="I2689">
            <v>0</v>
          </cell>
          <cell r="J2689">
            <v>158000</v>
          </cell>
          <cell r="K2689">
            <v>0</v>
          </cell>
          <cell r="L2689">
            <v>158000</v>
          </cell>
          <cell r="M2689">
            <v>0</v>
          </cell>
          <cell r="N2689">
            <v>158000</v>
          </cell>
          <cell r="O2689">
            <v>0</v>
          </cell>
          <cell r="P2689">
            <v>158000</v>
          </cell>
          <cell r="Q2689">
            <v>0</v>
          </cell>
          <cell r="R2689">
            <v>158000</v>
          </cell>
          <cell r="S2689">
            <v>0</v>
          </cell>
          <cell r="T2689">
            <v>158000</v>
          </cell>
          <cell r="U2689">
            <v>0</v>
          </cell>
          <cell r="V2689">
            <v>158000</v>
          </cell>
          <cell r="W2689">
            <v>0</v>
          </cell>
          <cell r="X2689">
            <v>158000</v>
          </cell>
          <cell r="Y2689">
            <v>0</v>
          </cell>
          <cell r="Z2689">
            <v>158000</v>
          </cell>
          <cell r="AA2689">
            <v>0</v>
          </cell>
          <cell r="AB2689">
            <v>0</v>
          </cell>
          <cell r="AC2689">
            <v>0</v>
          </cell>
          <cell r="AD2689">
            <v>3.42</v>
          </cell>
          <cell r="AE2689">
            <v>0</v>
          </cell>
          <cell r="AF2689">
            <v>0</v>
          </cell>
          <cell r="AG2689">
            <v>0</v>
          </cell>
          <cell r="AH2689">
            <v>0</v>
          </cell>
          <cell r="AI2689">
            <v>0</v>
          </cell>
          <cell r="AJ2689">
            <v>0</v>
          </cell>
          <cell r="AK2689">
            <v>0</v>
          </cell>
          <cell r="AL2689">
            <v>0</v>
          </cell>
        </row>
        <row r="2690">
          <cell r="E2690" t="str">
            <v>KK 1500×1500×900</v>
          </cell>
          <cell r="F2690" t="str">
            <v>基</v>
          </cell>
          <cell r="G2690">
            <v>0</v>
          </cell>
          <cell r="H2690">
            <v>224000</v>
          </cell>
          <cell r="I2690">
            <v>0</v>
          </cell>
          <cell r="J2690">
            <v>224000</v>
          </cell>
          <cell r="K2690">
            <v>0</v>
          </cell>
          <cell r="L2690">
            <v>224000</v>
          </cell>
          <cell r="M2690">
            <v>0</v>
          </cell>
          <cell r="N2690">
            <v>224000</v>
          </cell>
          <cell r="O2690">
            <v>0</v>
          </cell>
          <cell r="P2690">
            <v>224000</v>
          </cell>
          <cell r="Q2690">
            <v>0</v>
          </cell>
          <cell r="R2690">
            <v>224000</v>
          </cell>
          <cell r="S2690">
            <v>0</v>
          </cell>
          <cell r="T2690">
            <v>224000</v>
          </cell>
          <cell r="U2690">
            <v>0</v>
          </cell>
          <cell r="V2690">
            <v>224000</v>
          </cell>
          <cell r="W2690">
            <v>0</v>
          </cell>
          <cell r="X2690">
            <v>224000</v>
          </cell>
          <cell r="Y2690">
            <v>0</v>
          </cell>
          <cell r="Z2690">
            <v>224000</v>
          </cell>
          <cell r="AA2690">
            <v>0</v>
          </cell>
          <cell r="AB2690">
            <v>0</v>
          </cell>
          <cell r="AC2690">
            <v>0</v>
          </cell>
          <cell r="AD2690">
            <v>3.3</v>
          </cell>
          <cell r="AE2690">
            <v>0</v>
          </cell>
          <cell r="AF2690">
            <v>0</v>
          </cell>
          <cell r="AG2690">
            <v>0</v>
          </cell>
          <cell r="AH2690">
            <v>0</v>
          </cell>
          <cell r="AI2690">
            <v>0</v>
          </cell>
          <cell r="AJ2690">
            <v>0</v>
          </cell>
          <cell r="AK2690">
            <v>0</v>
          </cell>
          <cell r="AL2690">
            <v>0</v>
          </cell>
        </row>
        <row r="2691">
          <cell r="E2691" t="str">
            <v>KK 1500×1500×1200</v>
          </cell>
          <cell r="F2691" t="str">
            <v>基</v>
          </cell>
          <cell r="G2691">
            <v>0</v>
          </cell>
          <cell r="H2691">
            <v>258000</v>
          </cell>
          <cell r="I2691">
            <v>0</v>
          </cell>
          <cell r="J2691">
            <v>258000</v>
          </cell>
          <cell r="K2691">
            <v>0</v>
          </cell>
          <cell r="L2691">
            <v>258000</v>
          </cell>
          <cell r="M2691">
            <v>0</v>
          </cell>
          <cell r="N2691">
            <v>258000</v>
          </cell>
          <cell r="O2691">
            <v>0</v>
          </cell>
          <cell r="P2691">
            <v>258000</v>
          </cell>
          <cell r="Q2691">
            <v>0</v>
          </cell>
          <cell r="R2691">
            <v>258000</v>
          </cell>
          <cell r="S2691">
            <v>0</v>
          </cell>
          <cell r="T2691">
            <v>258000</v>
          </cell>
          <cell r="U2691">
            <v>0</v>
          </cell>
          <cell r="V2691">
            <v>258000</v>
          </cell>
          <cell r="W2691">
            <v>0</v>
          </cell>
          <cell r="X2691">
            <v>258000</v>
          </cell>
          <cell r="Y2691">
            <v>0</v>
          </cell>
          <cell r="Z2691">
            <v>258000</v>
          </cell>
          <cell r="AA2691">
            <v>0</v>
          </cell>
          <cell r="AB2691">
            <v>0</v>
          </cell>
          <cell r="AC2691">
            <v>0</v>
          </cell>
          <cell r="AD2691">
            <v>3.5999999999999996</v>
          </cell>
          <cell r="AE2691">
            <v>0</v>
          </cell>
          <cell r="AF2691">
            <v>0</v>
          </cell>
          <cell r="AG2691">
            <v>0</v>
          </cell>
          <cell r="AH2691">
            <v>0</v>
          </cell>
          <cell r="AI2691">
            <v>0</v>
          </cell>
          <cell r="AJ2691">
            <v>0</v>
          </cell>
          <cell r="AK2691">
            <v>0</v>
          </cell>
          <cell r="AL2691">
            <v>0</v>
          </cell>
        </row>
        <row r="2692">
          <cell r="E2692" t="str">
            <v>KK 1500×1500×1500</v>
          </cell>
          <cell r="F2692" t="str">
            <v>基</v>
          </cell>
          <cell r="G2692">
            <v>0</v>
          </cell>
          <cell r="H2692">
            <v>291000</v>
          </cell>
          <cell r="I2692">
            <v>0</v>
          </cell>
          <cell r="J2692">
            <v>291000</v>
          </cell>
          <cell r="K2692">
            <v>0</v>
          </cell>
          <cell r="L2692">
            <v>291000</v>
          </cell>
          <cell r="M2692">
            <v>0</v>
          </cell>
          <cell r="N2692">
            <v>291000</v>
          </cell>
          <cell r="O2692">
            <v>0</v>
          </cell>
          <cell r="P2692">
            <v>291000</v>
          </cell>
          <cell r="Q2692">
            <v>0</v>
          </cell>
          <cell r="R2692">
            <v>291000</v>
          </cell>
          <cell r="S2692">
            <v>0</v>
          </cell>
          <cell r="T2692">
            <v>291000</v>
          </cell>
          <cell r="U2692">
            <v>0</v>
          </cell>
          <cell r="V2692">
            <v>291000</v>
          </cell>
          <cell r="W2692">
            <v>0</v>
          </cell>
          <cell r="X2692">
            <v>291000</v>
          </cell>
          <cell r="Y2692">
            <v>0</v>
          </cell>
          <cell r="Z2692">
            <v>291000</v>
          </cell>
          <cell r="AA2692">
            <v>0</v>
          </cell>
          <cell r="AB2692">
            <v>0</v>
          </cell>
          <cell r="AC2692">
            <v>0</v>
          </cell>
          <cell r="AD2692">
            <v>3.9</v>
          </cell>
          <cell r="AE2692">
            <v>0</v>
          </cell>
          <cell r="AF2692">
            <v>0</v>
          </cell>
          <cell r="AG2692">
            <v>0</v>
          </cell>
          <cell r="AH2692">
            <v>0</v>
          </cell>
          <cell r="AI2692">
            <v>0</v>
          </cell>
          <cell r="AJ2692">
            <v>0</v>
          </cell>
          <cell r="AK2692">
            <v>0</v>
          </cell>
          <cell r="AL2692">
            <v>0</v>
          </cell>
        </row>
        <row r="2693">
          <cell r="E2693" t="str">
            <v>KK 1800×1800×1500</v>
          </cell>
          <cell r="F2693" t="str">
            <v>基</v>
          </cell>
          <cell r="G2693">
            <v>0</v>
          </cell>
          <cell r="H2693">
            <v>487000</v>
          </cell>
          <cell r="I2693">
            <v>0</v>
          </cell>
          <cell r="J2693">
            <v>487000</v>
          </cell>
          <cell r="K2693">
            <v>0</v>
          </cell>
          <cell r="L2693">
            <v>487000</v>
          </cell>
          <cell r="M2693">
            <v>0</v>
          </cell>
          <cell r="N2693">
            <v>487000</v>
          </cell>
          <cell r="O2693">
            <v>0</v>
          </cell>
          <cell r="P2693">
            <v>487000</v>
          </cell>
          <cell r="Q2693">
            <v>0</v>
          </cell>
          <cell r="R2693">
            <v>487000</v>
          </cell>
          <cell r="S2693">
            <v>0</v>
          </cell>
          <cell r="T2693">
            <v>487000</v>
          </cell>
          <cell r="U2693">
            <v>0</v>
          </cell>
          <cell r="V2693">
            <v>487000</v>
          </cell>
          <cell r="W2693">
            <v>0</v>
          </cell>
          <cell r="X2693">
            <v>487000</v>
          </cell>
          <cell r="Y2693">
            <v>0</v>
          </cell>
          <cell r="Z2693">
            <v>487000</v>
          </cell>
          <cell r="AA2693">
            <v>0</v>
          </cell>
          <cell r="AB2693">
            <v>0</v>
          </cell>
          <cell r="AC2693">
            <v>0</v>
          </cell>
          <cell r="AD2693">
            <v>4.38</v>
          </cell>
          <cell r="AE2693">
            <v>0</v>
          </cell>
          <cell r="AF2693">
            <v>0</v>
          </cell>
          <cell r="AG2693">
            <v>0</v>
          </cell>
          <cell r="AH2693">
            <v>0</v>
          </cell>
          <cell r="AI2693">
            <v>0</v>
          </cell>
          <cell r="AJ2693">
            <v>0</v>
          </cell>
          <cell r="AK2693">
            <v>0</v>
          </cell>
          <cell r="AL2693">
            <v>0</v>
          </cell>
        </row>
        <row r="2694">
          <cell r="E2694" t="str">
            <v>KK 2000×2000×2100</v>
          </cell>
          <cell r="F2694" t="str">
            <v>基</v>
          </cell>
          <cell r="G2694">
            <v>0</v>
          </cell>
          <cell r="H2694">
            <v>756000</v>
          </cell>
          <cell r="I2694">
            <v>0</v>
          </cell>
          <cell r="J2694">
            <v>756000</v>
          </cell>
          <cell r="K2694">
            <v>0</v>
          </cell>
          <cell r="L2694">
            <v>756000</v>
          </cell>
          <cell r="M2694">
            <v>0</v>
          </cell>
          <cell r="N2694">
            <v>756000</v>
          </cell>
          <cell r="O2694">
            <v>0</v>
          </cell>
          <cell r="P2694">
            <v>756000</v>
          </cell>
          <cell r="Q2694">
            <v>0</v>
          </cell>
          <cell r="R2694">
            <v>756000</v>
          </cell>
          <cell r="S2694">
            <v>0</v>
          </cell>
          <cell r="T2694">
            <v>756000</v>
          </cell>
          <cell r="U2694">
            <v>0</v>
          </cell>
          <cell r="V2694">
            <v>756000</v>
          </cell>
          <cell r="W2694">
            <v>0</v>
          </cell>
          <cell r="X2694">
            <v>756000</v>
          </cell>
          <cell r="Y2694">
            <v>0</v>
          </cell>
          <cell r="Z2694">
            <v>756000</v>
          </cell>
          <cell r="AA2694">
            <v>0</v>
          </cell>
          <cell r="AB2694">
            <v>0</v>
          </cell>
          <cell r="AC2694">
            <v>0</v>
          </cell>
          <cell r="AD2694">
            <v>5.3000000000000007</v>
          </cell>
          <cell r="AE2694">
            <v>0</v>
          </cell>
          <cell r="AF2694">
            <v>0</v>
          </cell>
          <cell r="AG2694">
            <v>0</v>
          </cell>
          <cell r="AH2694">
            <v>0</v>
          </cell>
          <cell r="AI2694">
            <v>0</v>
          </cell>
          <cell r="AJ2694">
            <v>0</v>
          </cell>
          <cell r="AK2694">
            <v>0</v>
          </cell>
          <cell r="AL2694">
            <v>0</v>
          </cell>
        </row>
        <row r="2695">
          <cell r="E2695" t="str">
            <v>AHB-1  650×250</v>
          </cell>
          <cell r="F2695" t="str">
            <v>個</v>
          </cell>
          <cell r="G2695">
            <v>0</v>
          </cell>
          <cell r="H2695">
            <v>21600</v>
          </cell>
          <cell r="I2695">
            <v>0</v>
          </cell>
          <cell r="J2695">
            <v>21600</v>
          </cell>
          <cell r="K2695">
            <v>0</v>
          </cell>
          <cell r="L2695">
            <v>21600</v>
          </cell>
          <cell r="M2695">
            <v>0</v>
          </cell>
          <cell r="N2695">
            <v>21600</v>
          </cell>
          <cell r="O2695">
            <v>0</v>
          </cell>
          <cell r="P2695">
            <v>21600</v>
          </cell>
          <cell r="Q2695">
            <v>0</v>
          </cell>
          <cell r="R2695">
            <v>21600</v>
          </cell>
          <cell r="S2695">
            <v>0</v>
          </cell>
          <cell r="T2695">
            <v>21600</v>
          </cell>
          <cell r="U2695">
            <v>0</v>
          </cell>
          <cell r="V2695">
            <v>21600</v>
          </cell>
          <cell r="W2695">
            <v>0</v>
          </cell>
          <cell r="X2695">
            <v>21600</v>
          </cell>
          <cell r="Y2695">
            <v>0</v>
          </cell>
          <cell r="Z2695">
            <v>21600</v>
          </cell>
          <cell r="AA2695">
            <v>0</v>
          </cell>
          <cell r="AB2695">
            <v>0</v>
          </cell>
          <cell r="AC2695">
            <v>0</v>
          </cell>
          <cell r="AD2695">
            <v>0.8</v>
          </cell>
          <cell r="AE2695">
            <v>0</v>
          </cell>
          <cell r="AF2695">
            <v>0</v>
          </cell>
          <cell r="AG2695">
            <v>0</v>
          </cell>
          <cell r="AH2695">
            <v>0</v>
          </cell>
          <cell r="AI2695">
            <v>0</v>
          </cell>
          <cell r="AJ2695">
            <v>0</v>
          </cell>
          <cell r="AK2695">
            <v>0</v>
          </cell>
          <cell r="AL2695">
            <v>0</v>
          </cell>
        </row>
        <row r="2696">
          <cell r="E2696" t="str">
            <v>AHB-2  800×400</v>
          </cell>
          <cell r="F2696" t="str">
            <v>個</v>
          </cell>
          <cell r="G2696">
            <v>0</v>
          </cell>
          <cell r="H2696">
            <v>29200</v>
          </cell>
          <cell r="I2696">
            <v>0</v>
          </cell>
          <cell r="J2696">
            <v>29200</v>
          </cell>
          <cell r="K2696">
            <v>0</v>
          </cell>
          <cell r="L2696">
            <v>29200</v>
          </cell>
          <cell r="M2696">
            <v>0</v>
          </cell>
          <cell r="N2696">
            <v>29200</v>
          </cell>
          <cell r="O2696">
            <v>0</v>
          </cell>
          <cell r="P2696">
            <v>29200</v>
          </cell>
          <cell r="Q2696">
            <v>0</v>
          </cell>
          <cell r="R2696">
            <v>29200</v>
          </cell>
          <cell r="S2696">
            <v>0</v>
          </cell>
          <cell r="T2696">
            <v>29200</v>
          </cell>
          <cell r="U2696">
            <v>0</v>
          </cell>
          <cell r="V2696">
            <v>29200</v>
          </cell>
          <cell r="W2696">
            <v>0</v>
          </cell>
          <cell r="X2696">
            <v>29200</v>
          </cell>
          <cell r="Y2696">
            <v>0</v>
          </cell>
          <cell r="Z2696">
            <v>29200</v>
          </cell>
          <cell r="AA2696">
            <v>0</v>
          </cell>
          <cell r="AB2696">
            <v>0</v>
          </cell>
          <cell r="AC2696">
            <v>0</v>
          </cell>
          <cell r="AD2696">
            <v>1</v>
          </cell>
          <cell r="AE2696">
            <v>0</v>
          </cell>
          <cell r="AF2696">
            <v>0</v>
          </cell>
          <cell r="AG2696">
            <v>0</v>
          </cell>
          <cell r="AH2696">
            <v>0</v>
          </cell>
          <cell r="AI2696">
            <v>0</v>
          </cell>
          <cell r="AJ2696">
            <v>0</v>
          </cell>
          <cell r="AK2696">
            <v>0</v>
          </cell>
          <cell r="AL2696">
            <v>0</v>
          </cell>
        </row>
        <row r="2697">
          <cell r="E2697" t="str">
            <v>AHB-3 1200×600</v>
          </cell>
          <cell r="F2697" t="str">
            <v>個</v>
          </cell>
          <cell r="G2697">
            <v>0</v>
          </cell>
          <cell r="H2697">
            <v>68200</v>
          </cell>
          <cell r="I2697">
            <v>0</v>
          </cell>
          <cell r="J2697">
            <v>68200</v>
          </cell>
          <cell r="K2697">
            <v>0</v>
          </cell>
          <cell r="L2697">
            <v>68200</v>
          </cell>
          <cell r="M2697">
            <v>0</v>
          </cell>
          <cell r="N2697">
            <v>68200</v>
          </cell>
          <cell r="O2697">
            <v>0</v>
          </cell>
          <cell r="P2697">
            <v>68200</v>
          </cell>
          <cell r="Q2697">
            <v>0</v>
          </cell>
          <cell r="R2697">
            <v>68200</v>
          </cell>
          <cell r="S2697">
            <v>0</v>
          </cell>
          <cell r="T2697">
            <v>68200</v>
          </cell>
          <cell r="U2697">
            <v>0</v>
          </cell>
          <cell r="V2697">
            <v>68200</v>
          </cell>
          <cell r="W2697">
            <v>0</v>
          </cell>
          <cell r="X2697">
            <v>68200</v>
          </cell>
          <cell r="Y2697">
            <v>0</v>
          </cell>
          <cell r="Z2697">
            <v>68200</v>
          </cell>
          <cell r="AA2697">
            <v>0</v>
          </cell>
          <cell r="AB2697">
            <v>0</v>
          </cell>
          <cell r="AC2697">
            <v>0</v>
          </cell>
          <cell r="AD2697">
            <v>1.3</v>
          </cell>
          <cell r="AE2697">
            <v>0</v>
          </cell>
          <cell r="AF2697">
            <v>0</v>
          </cell>
          <cell r="AG2697">
            <v>0</v>
          </cell>
          <cell r="AH2697">
            <v>0</v>
          </cell>
          <cell r="AI2697">
            <v>0</v>
          </cell>
          <cell r="AJ2697">
            <v>0</v>
          </cell>
          <cell r="AK2697">
            <v>0</v>
          </cell>
          <cell r="AL2697">
            <v>0</v>
          </cell>
        </row>
        <row r="2698">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row>
        <row r="2699">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row>
        <row r="2700">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row>
        <row r="2701">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row>
        <row r="2702">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row>
        <row r="2703">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row>
        <row r="2704">
          <cell r="E2704" t="str">
            <v>土工費(掘削)</v>
          </cell>
          <cell r="F2704" t="str">
            <v>ｍ</v>
          </cell>
          <cell r="G2704">
            <v>0</v>
          </cell>
          <cell r="H2704">
            <v>2500</v>
          </cell>
          <cell r="I2704">
            <v>0</v>
          </cell>
          <cell r="J2704">
            <v>2500</v>
          </cell>
          <cell r="K2704">
            <v>0</v>
          </cell>
          <cell r="L2704">
            <v>2500</v>
          </cell>
          <cell r="M2704">
            <v>0</v>
          </cell>
          <cell r="N2704">
            <v>2500</v>
          </cell>
          <cell r="O2704">
            <v>0</v>
          </cell>
          <cell r="P2704">
            <v>2500</v>
          </cell>
          <cell r="Q2704">
            <v>0</v>
          </cell>
          <cell r="R2704">
            <v>2500</v>
          </cell>
          <cell r="S2704">
            <v>0</v>
          </cell>
          <cell r="T2704">
            <v>2500</v>
          </cell>
          <cell r="U2704">
            <v>0</v>
          </cell>
          <cell r="V2704">
            <v>2500</v>
          </cell>
          <cell r="W2704">
            <v>0</v>
          </cell>
          <cell r="X2704">
            <v>2500</v>
          </cell>
          <cell r="Y2704">
            <v>0</v>
          </cell>
          <cell r="Z2704">
            <v>2500</v>
          </cell>
          <cell r="AA2704">
            <v>0</v>
          </cell>
          <cell r="AB2704">
            <v>0</v>
          </cell>
          <cell r="AC2704">
            <v>0</v>
          </cell>
          <cell r="AD2704">
            <v>0</v>
          </cell>
          <cell r="AE2704">
            <v>0</v>
          </cell>
          <cell r="AF2704">
            <v>0</v>
          </cell>
          <cell r="AG2704">
            <v>0</v>
          </cell>
          <cell r="AH2704">
            <v>0</v>
          </cell>
          <cell r="AI2704">
            <v>0</v>
          </cell>
          <cell r="AJ2704">
            <v>0</v>
          </cell>
          <cell r="AK2704">
            <v>0</v>
          </cell>
          <cell r="AL2704">
            <v>0</v>
          </cell>
        </row>
        <row r="2705">
          <cell r="E2705" t="str">
            <v>支線工事</v>
          </cell>
          <cell r="F2705" t="str">
            <v>箇所</v>
          </cell>
          <cell r="G2705">
            <v>0</v>
          </cell>
          <cell r="H2705">
            <v>25000</v>
          </cell>
          <cell r="I2705">
            <v>0</v>
          </cell>
          <cell r="J2705">
            <v>25000</v>
          </cell>
          <cell r="K2705">
            <v>0</v>
          </cell>
          <cell r="L2705">
            <v>25000</v>
          </cell>
          <cell r="M2705">
            <v>0</v>
          </cell>
          <cell r="N2705">
            <v>25000</v>
          </cell>
          <cell r="O2705">
            <v>0</v>
          </cell>
          <cell r="P2705">
            <v>25000</v>
          </cell>
          <cell r="Q2705">
            <v>0</v>
          </cell>
          <cell r="R2705">
            <v>25000</v>
          </cell>
          <cell r="S2705">
            <v>0</v>
          </cell>
          <cell r="T2705">
            <v>25000</v>
          </cell>
          <cell r="U2705">
            <v>0</v>
          </cell>
          <cell r="V2705">
            <v>25000</v>
          </cell>
          <cell r="W2705">
            <v>0</v>
          </cell>
          <cell r="X2705">
            <v>25000</v>
          </cell>
          <cell r="Y2705">
            <v>0</v>
          </cell>
          <cell r="Z2705">
            <v>25000</v>
          </cell>
          <cell r="AA2705">
            <v>0</v>
          </cell>
          <cell r="AB2705">
            <v>0</v>
          </cell>
          <cell r="AC2705">
            <v>0</v>
          </cell>
          <cell r="AD2705">
            <v>0</v>
          </cell>
          <cell r="AE2705">
            <v>0</v>
          </cell>
          <cell r="AF2705">
            <v>0</v>
          </cell>
          <cell r="AG2705">
            <v>0</v>
          </cell>
          <cell r="AH2705">
            <v>0</v>
          </cell>
          <cell r="AI2705">
            <v>0</v>
          </cell>
          <cell r="AJ2705">
            <v>0</v>
          </cell>
          <cell r="AK2705">
            <v>0</v>
          </cell>
          <cell r="AL2705">
            <v>0</v>
          </cell>
        </row>
        <row r="2706">
          <cell r="E2706" t="str">
            <v>05_Users</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row>
        <row r="2707">
          <cell r="E2707" t="str">
            <v>05_Users</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row>
        <row r="2708">
          <cell r="E2708" t="str">
            <v>05_Users</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row>
        <row r="2709">
          <cell r="E2709" t="str">
            <v>05_Users</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row>
        <row r="2710">
          <cell r="E2710" t="str">
            <v>05_Users</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row>
        <row r="2711">
          <cell r="E2711" t="str">
            <v>05_Users</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row>
        <row r="2712">
          <cell r="E2712" t="str">
            <v>05_Users</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row>
        <row r="2713">
          <cell r="E2713" t="str">
            <v>05_Users</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row>
        <row r="2714">
          <cell r="E2714" t="str">
            <v>05_Users</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row>
        <row r="2715">
          <cell r="E2715" t="str">
            <v>05_Users</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row>
        <row r="2716">
          <cell r="E2716" t="str">
            <v>05_Users</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row>
        <row r="2717">
          <cell r="E2717" t="str">
            <v>05_Users</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row>
        <row r="2718">
          <cell r="E2718" t="str">
            <v>05_Users</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row>
        <row r="2719">
          <cell r="E2719" t="str">
            <v>05_Users</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row>
        <row r="2720">
          <cell r="E2720" t="str">
            <v>05_Users</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row>
        <row r="2721">
          <cell r="E2721" t="str">
            <v>05_Users</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row>
        <row r="2722">
          <cell r="E2722" t="str">
            <v>05_Users</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row>
        <row r="2723">
          <cell r="E2723" t="str">
            <v>05_Users</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row>
        <row r="2724">
          <cell r="E2724" t="str">
            <v>05_Users</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row>
        <row r="2725">
          <cell r="E2725" t="str">
            <v>05_Users</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row>
        <row r="2726">
          <cell r="E2726" t="str">
            <v>05_Users</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row>
        <row r="2727">
          <cell r="E2727" t="str">
            <v>05_Users</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row>
        <row r="2728">
          <cell r="E2728" t="str">
            <v>05_Users</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row>
        <row r="2729">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row>
        <row r="2730">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row>
        <row r="2731">
          <cell r="E2731" t="str">
            <v>基本主装置(128ポート、電源部含む)</v>
          </cell>
          <cell r="F2731" t="str">
            <v>台</v>
          </cell>
          <cell r="G2731">
            <v>0</v>
          </cell>
          <cell r="H2731">
            <v>97500</v>
          </cell>
          <cell r="I2731">
            <v>0</v>
          </cell>
          <cell r="J2731">
            <v>97500</v>
          </cell>
          <cell r="K2731">
            <v>0</v>
          </cell>
          <cell r="L2731">
            <v>97500</v>
          </cell>
          <cell r="M2731">
            <v>0</v>
          </cell>
          <cell r="N2731">
            <v>97500</v>
          </cell>
          <cell r="O2731">
            <v>0</v>
          </cell>
          <cell r="P2731">
            <v>97500</v>
          </cell>
          <cell r="Q2731">
            <v>0</v>
          </cell>
          <cell r="R2731">
            <v>97500</v>
          </cell>
          <cell r="S2731">
            <v>0</v>
          </cell>
          <cell r="T2731">
            <v>97500</v>
          </cell>
          <cell r="U2731">
            <v>0</v>
          </cell>
          <cell r="V2731">
            <v>97500</v>
          </cell>
          <cell r="W2731">
            <v>0</v>
          </cell>
          <cell r="X2731">
            <v>97500</v>
          </cell>
          <cell r="Y2731">
            <v>0</v>
          </cell>
          <cell r="Z2731">
            <v>97500</v>
          </cell>
          <cell r="AA2731">
            <v>0</v>
          </cell>
          <cell r="AB2731">
            <v>0</v>
          </cell>
          <cell r="AC2731">
            <v>0</v>
          </cell>
          <cell r="AD2731">
            <v>8.9499999999999993</v>
          </cell>
          <cell r="AE2731">
            <v>0</v>
          </cell>
          <cell r="AF2731">
            <v>0</v>
          </cell>
          <cell r="AG2731">
            <v>0</v>
          </cell>
          <cell r="AH2731">
            <v>0</v>
          </cell>
          <cell r="AI2731">
            <v>0</v>
          </cell>
          <cell r="AJ2731">
            <v>0</v>
          </cell>
          <cell r="AK2731">
            <v>0</v>
          </cell>
          <cell r="AL2731">
            <v>0</v>
          </cell>
        </row>
        <row r="2732">
          <cell r="E2732" t="str">
            <v>基本主装置(96ポート、電源部含む)</v>
          </cell>
          <cell r="F2732" t="str">
            <v>台</v>
          </cell>
          <cell r="G2732">
            <v>0</v>
          </cell>
          <cell r="H2732">
            <v>97500</v>
          </cell>
          <cell r="I2732">
            <v>0</v>
          </cell>
          <cell r="J2732">
            <v>97500</v>
          </cell>
          <cell r="K2732">
            <v>0</v>
          </cell>
          <cell r="L2732">
            <v>97500</v>
          </cell>
          <cell r="M2732">
            <v>0</v>
          </cell>
          <cell r="N2732">
            <v>97500</v>
          </cell>
          <cell r="O2732">
            <v>0</v>
          </cell>
          <cell r="P2732">
            <v>97500</v>
          </cell>
          <cell r="Q2732">
            <v>0</v>
          </cell>
          <cell r="R2732">
            <v>97500</v>
          </cell>
          <cell r="S2732">
            <v>0</v>
          </cell>
          <cell r="T2732">
            <v>97500</v>
          </cell>
          <cell r="U2732">
            <v>0</v>
          </cell>
          <cell r="V2732">
            <v>97500</v>
          </cell>
          <cell r="W2732">
            <v>0</v>
          </cell>
          <cell r="X2732">
            <v>97500</v>
          </cell>
          <cell r="Y2732">
            <v>0</v>
          </cell>
          <cell r="Z2732">
            <v>97500</v>
          </cell>
          <cell r="AA2732">
            <v>0</v>
          </cell>
          <cell r="AB2732">
            <v>0</v>
          </cell>
          <cell r="AC2732">
            <v>0</v>
          </cell>
          <cell r="AD2732">
            <v>6.55</v>
          </cell>
          <cell r="AE2732">
            <v>0</v>
          </cell>
          <cell r="AF2732">
            <v>0</v>
          </cell>
          <cell r="AG2732">
            <v>0</v>
          </cell>
          <cell r="AH2732">
            <v>0</v>
          </cell>
          <cell r="AI2732">
            <v>0</v>
          </cell>
          <cell r="AJ2732">
            <v>0</v>
          </cell>
          <cell r="AK2732">
            <v>0</v>
          </cell>
          <cell r="AL2732">
            <v>0</v>
          </cell>
        </row>
        <row r="2733">
          <cell r="E2733" t="str">
            <v>制御ユニット</v>
          </cell>
          <cell r="F2733" t="str">
            <v>台</v>
          </cell>
          <cell r="G2733">
            <v>0</v>
          </cell>
          <cell r="H2733">
            <v>75000</v>
          </cell>
          <cell r="I2733">
            <v>0</v>
          </cell>
          <cell r="J2733">
            <v>75000</v>
          </cell>
          <cell r="K2733">
            <v>0</v>
          </cell>
          <cell r="L2733">
            <v>75000</v>
          </cell>
          <cell r="M2733">
            <v>0</v>
          </cell>
          <cell r="N2733">
            <v>75000</v>
          </cell>
          <cell r="O2733">
            <v>0</v>
          </cell>
          <cell r="P2733">
            <v>75000</v>
          </cell>
          <cell r="Q2733">
            <v>0</v>
          </cell>
          <cell r="R2733">
            <v>75000</v>
          </cell>
          <cell r="S2733">
            <v>0</v>
          </cell>
          <cell r="T2733">
            <v>75000</v>
          </cell>
          <cell r="U2733">
            <v>0</v>
          </cell>
          <cell r="V2733">
            <v>75000</v>
          </cell>
          <cell r="W2733">
            <v>0</v>
          </cell>
          <cell r="X2733">
            <v>75000</v>
          </cell>
          <cell r="Y2733">
            <v>0</v>
          </cell>
          <cell r="Z2733">
            <v>75000</v>
          </cell>
          <cell r="AA2733">
            <v>0</v>
          </cell>
          <cell r="AB2733">
            <v>0</v>
          </cell>
          <cell r="AC2733">
            <v>0</v>
          </cell>
          <cell r="AD2733">
            <v>0.1</v>
          </cell>
          <cell r="AE2733">
            <v>0</v>
          </cell>
          <cell r="AF2733">
            <v>0</v>
          </cell>
          <cell r="AG2733">
            <v>0</v>
          </cell>
          <cell r="AH2733">
            <v>0</v>
          </cell>
          <cell r="AI2733">
            <v>0</v>
          </cell>
          <cell r="AJ2733">
            <v>0</v>
          </cell>
          <cell r="AK2733">
            <v>0</v>
          </cell>
          <cell r="AL2733">
            <v>0</v>
          </cell>
        </row>
        <row r="2734">
          <cell r="E2734" t="str">
            <v>基本ソフトウェア</v>
          </cell>
          <cell r="F2734" t="str">
            <v>式</v>
          </cell>
          <cell r="G2734">
            <v>0</v>
          </cell>
          <cell r="H2734">
            <v>75000</v>
          </cell>
          <cell r="I2734">
            <v>0</v>
          </cell>
          <cell r="J2734">
            <v>75000</v>
          </cell>
          <cell r="K2734">
            <v>0</v>
          </cell>
          <cell r="L2734">
            <v>75000</v>
          </cell>
          <cell r="M2734">
            <v>0</v>
          </cell>
          <cell r="N2734">
            <v>75000</v>
          </cell>
          <cell r="O2734">
            <v>0</v>
          </cell>
          <cell r="P2734">
            <v>75000</v>
          </cell>
          <cell r="Q2734">
            <v>0</v>
          </cell>
          <cell r="R2734">
            <v>75000</v>
          </cell>
          <cell r="S2734">
            <v>0</v>
          </cell>
          <cell r="T2734">
            <v>75000</v>
          </cell>
          <cell r="U2734">
            <v>0</v>
          </cell>
          <cell r="V2734">
            <v>75000</v>
          </cell>
          <cell r="W2734">
            <v>0</v>
          </cell>
          <cell r="X2734">
            <v>75000</v>
          </cell>
          <cell r="Y2734">
            <v>0</v>
          </cell>
          <cell r="Z2734">
            <v>75000</v>
          </cell>
          <cell r="AA2734">
            <v>0</v>
          </cell>
          <cell r="AB2734">
            <v>0</v>
          </cell>
          <cell r="AC2734">
            <v>0</v>
          </cell>
          <cell r="AD2734">
            <v>0.1</v>
          </cell>
          <cell r="AE2734">
            <v>0</v>
          </cell>
          <cell r="AF2734">
            <v>0</v>
          </cell>
          <cell r="AG2734">
            <v>0</v>
          </cell>
          <cell r="AH2734">
            <v>0</v>
          </cell>
          <cell r="AI2734">
            <v>0</v>
          </cell>
          <cell r="AJ2734">
            <v>0</v>
          </cell>
          <cell r="AK2734">
            <v>0</v>
          </cell>
          <cell r="AL2734">
            <v>0</v>
          </cell>
        </row>
        <row r="2735">
          <cell r="E2735" t="str">
            <v>アナログ局線ユニット(8回線)</v>
          </cell>
          <cell r="F2735" t="str">
            <v>台</v>
          </cell>
          <cell r="G2735">
            <v>0</v>
          </cell>
          <cell r="H2735">
            <v>41200</v>
          </cell>
          <cell r="I2735">
            <v>0</v>
          </cell>
          <cell r="J2735">
            <v>41200</v>
          </cell>
          <cell r="K2735">
            <v>0</v>
          </cell>
          <cell r="L2735">
            <v>41200</v>
          </cell>
          <cell r="M2735">
            <v>0</v>
          </cell>
          <cell r="N2735">
            <v>41200</v>
          </cell>
          <cell r="O2735">
            <v>0</v>
          </cell>
          <cell r="P2735">
            <v>41200</v>
          </cell>
          <cell r="Q2735">
            <v>0</v>
          </cell>
          <cell r="R2735">
            <v>41200</v>
          </cell>
          <cell r="S2735">
            <v>0</v>
          </cell>
          <cell r="T2735">
            <v>41200</v>
          </cell>
          <cell r="U2735">
            <v>0</v>
          </cell>
          <cell r="V2735">
            <v>41200</v>
          </cell>
          <cell r="W2735">
            <v>0</v>
          </cell>
          <cell r="X2735">
            <v>41200</v>
          </cell>
          <cell r="Y2735">
            <v>0</v>
          </cell>
          <cell r="Z2735">
            <v>41200</v>
          </cell>
          <cell r="AA2735">
            <v>0</v>
          </cell>
          <cell r="AB2735">
            <v>0</v>
          </cell>
          <cell r="AC2735">
            <v>0</v>
          </cell>
          <cell r="AD2735">
            <v>0.1</v>
          </cell>
          <cell r="AE2735">
            <v>0</v>
          </cell>
          <cell r="AF2735">
            <v>0</v>
          </cell>
          <cell r="AG2735">
            <v>0</v>
          </cell>
          <cell r="AH2735">
            <v>0</v>
          </cell>
          <cell r="AI2735">
            <v>0</v>
          </cell>
          <cell r="AJ2735">
            <v>0</v>
          </cell>
          <cell r="AK2735">
            <v>0</v>
          </cell>
          <cell r="AL2735">
            <v>0</v>
          </cell>
        </row>
        <row r="2736">
          <cell r="E2736" t="str">
            <v>INS局線ユニット(4回線)</v>
          </cell>
          <cell r="F2736" t="str">
            <v>台</v>
          </cell>
          <cell r="G2736">
            <v>0</v>
          </cell>
          <cell r="H2736">
            <v>75000</v>
          </cell>
          <cell r="I2736">
            <v>0</v>
          </cell>
          <cell r="J2736">
            <v>75000</v>
          </cell>
          <cell r="K2736">
            <v>0</v>
          </cell>
          <cell r="L2736">
            <v>75000</v>
          </cell>
          <cell r="M2736">
            <v>0</v>
          </cell>
          <cell r="N2736">
            <v>75000</v>
          </cell>
          <cell r="O2736">
            <v>0</v>
          </cell>
          <cell r="P2736">
            <v>75000</v>
          </cell>
          <cell r="Q2736">
            <v>0</v>
          </cell>
          <cell r="R2736">
            <v>75000</v>
          </cell>
          <cell r="S2736">
            <v>0</v>
          </cell>
          <cell r="T2736">
            <v>75000</v>
          </cell>
          <cell r="U2736">
            <v>0</v>
          </cell>
          <cell r="V2736">
            <v>75000</v>
          </cell>
          <cell r="W2736">
            <v>0</v>
          </cell>
          <cell r="X2736">
            <v>75000</v>
          </cell>
          <cell r="Y2736">
            <v>0</v>
          </cell>
          <cell r="Z2736">
            <v>75000</v>
          </cell>
          <cell r="AA2736">
            <v>0</v>
          </cell>
          <cell r="AB2736">
            <v>0</v>
          </cell>
          <cell r="AC2736">
            <v>0</v>
          </cell>
          <cell r="AD2736">
            <v>0.1</v>
          </cell>
          <cell r="AE2736">
            <v>0</v>
          </cell>
          <cell r="AF2736">
            <v>0</v>
          </cell>
          <cell r="AG2736">
            <v>0</v>
          </cell>
          <cell r="AH2736">
            <v>0</v>
          </cell>
          <cell r="AI2736">
            <v>0</v>
          </cell>
          <cell r="AJ2736">
            <v>0</v>
          </cell>
          <cell r="AK2736">
            <v>0</v>
          </cell>
          <cell r="AL2736">
            <v>0</v>
          </cell>
        </row>
        <row r="2737">
          <cell r="E2737" t="str">
            <v>多機能内線ユニット(8回線)</v>
          </cell>
          <cell r="F2737" t="str">
            <v>台</v>
          </cell>
          <cell r="G2737">
            <v>0</v>
          </cell>
          <cell r="H2737">
            <v>22500</v>
          </cell>
          <cell r="I2737">
            <v>0</v>
          </cell>
          <cell r="J2737">
            <v>22500</v>
          </cell>
          <cell r="K2737">
            <v>0</v>
          </cell>
          <cell r="L2737">
            <v>22500</v>
          </cell>
          <cell r="M2737">
            <v>0</v>
          </cell>
          <cell r="N2737">
            <v>22500</v>
          </cell>
          <cell r="O2737">
            <v>0</v>
          </cell>
          <cell r="P2737">
            <v>22500</v>
          </cell>
          <cell r="Q2737">
            <v>0</v>
          </cell>
          <cell r="R2737">
            <v>22500</v>
          </cell>
          <cell r="S2737">
            <v>0</v>
          </cell>
          <cell r="T2737">
            <v>22500</v>
          </cell>
          <cell r="U2737">
            <v>0</v>
          </cell>
          <cell r="V2737">
            <v>22500</v>
          </cell>
          <cell r="W2737">
            <v>0</v>
          </cell>
          <cell r="X2737">
            <v>22500</v>
          </cell>
          <cell r="Y2737">
            <v>0</v>
          </cell>
          <cell r="Z2737">
            <v>22500</v>
          </cell>
          <cell r="AA2737">
            <v>0</v>
          </cell>
          <cell r="AB2737">
            <v>0</v>
          </cell>
          <cell r="AC2737">
            <v>0</v>
          </cell>
          <cell r="AD2737">
            <v>0.1</v>
          </cell>
          <cell r="AE2737">
            <v>0</v>
          </cell>
          <cell r="AF2737">
            <v>0</v>
          </cell>
          <cell r="AG2737">
            <v>0</v>
          </cell>
          <cell r="AH2737">
            <v>0</v>
          </cell>
          <cell r="AI2737">
            <v>0</v>
          </cell>
          <cell r="AJ2737">
            <v>0</v>
          </cell>
          <cell r="AK2737">
            <v>0</v>
          </cell>
          <cell r="AL2737">
            <v>0</v>
          </cell>
        </row>
        <row r="2738">
          <cell r="E2738" t="str">
            <v>単独内線ユニット(8回線)</v>
          </cell>
          <cell r="F2738" t="str">
            <v>台</v>
          </cell>
          <cell r="G2738">
            <v>0</v>
          </cell>
          <cell r="H2738">
            <v>45000</v>
          </cell>
          <cell r="I2738">
            <v>0</v>
          </cell>
          <cell r="J2738">
            <v>45000</v>
          </cell>
          <cell r="K2738">
            <v>0</v>
          </cell>
          <cell r="L2738">
            <v>45000</v>
          </cell>
          <cell r="M2738">
            <v>0</v>
          </cell>
          <cell r="N2738">
            <v>45000</v>
          </cell>
          <cell r="O2738">
            <v>0</v>
          </cell>
          <cell r="P2738">
            <v>45000</v>
          </cell>
          <cell r="Q2738">
            <v>0</v>
          </cell>
          <cell r="R2738">
            <v>45000</v>
          </cell>
          <cell r="S2738">
            <v>0</v>
          </cell>
          <cell r="T2738">
            <v>45000</v>
          </cell>
          <cell r="U2738">
            <v>0</v>
          </cell>
          <cell r="V2738">
            <v>45000</v>
          </cell>
          <cell r="W2738">
            <v>0</v>
          </cell>
          <cell r="X2738">
            <v>45000</v>
          </cell>
          <cell r="Y2738">
            <v>0</v>
          </cell>
          <cell r="Z2738">
            <v>45000</v>
          </cell>
          <cell r="AA2738">
            <v>0</v>
          </cell>
          <cell r="AB2738">
            <v>0</v>
          </cell>
          <cell r="AC2738">
            <v>0</v>
          </cell>
          <cell r="AD2738">
            <v>0.1</v>
          </cell>
          <cell r="AE2738">
            <v>0</v>
          </cell>
          <cell r="AF2738">
            <v>0</v>
          </cell>
          <cell r="AG2738">
            <v>0</v>
          </cell>
          <cell r="AH2738">
            <v>0</v>
          </cell>
          <cell r="AI2738">
            <v>0</v>
          </cell>
          <cell r="AJ2738">
            <v>0</v>
          </cell>
          <cell r="AK2738">
            <v>0</v>
          </cell>
          <cell r="AL2738">
            <v>0</v>
          </cell>
        </row>
        <row r="2739">
          <cell r="E2739" t="str">
            <v>外部装置インターフェースユニット</v>
          </cell>
          <cell r="F2739" t="str">
            <v>台</v>
          </cell>
          <cell r="G2739">
            <v>0</v>
          </cell>
          <cell r="H2739">
            <v>45000</v>
          </cell>
          <cell r="I2739">
            <v>0</v>
          </cell>
          <cell r="J2739">
            <v>45000</v>
          </cell>
          <cell r="K2739">
            <v>0</v>
          </cell>
          <cell r="L2739">
            <v>45000</v>
          </cell>
          <cell r="M2739">
            <v>0</v>
          </cell>
          <cell r="N2739">
            <v>45000</v>
          </cell>
          <cell r="O2739">
            <v>0</v>
          </cell>
          <cell r="P2739">
            <v>45000</v>
          </cell>
          <cell r="Q2739">
            <v>0</v>
          </cell>
          <cell r="R2739">
            <v>45000</v>
          </cell>
          <cell r="S2739">
            <v>0</v>
          </cell>
          <cell r="T2739">
            <v>45000</v>
          </cell>
          <cell r="U2739">
            <v>0</v>
          </cell>
          <cell r="V2739">
            <v>45000</v>
          </cell>
          <cell r="W2739">
            <v>0</v>
          </cell>
          <cell r="X2739">
            <v>45000</v>
          </cell>
          <cell r="Y2739">
            <v>0</v>
          </cell>
          <cell r="Z2739">
            <v>45000</v>
          </cell>
          <cell r="AA2739">
            <v>0</v>
          </cell>
          <cell r="AB2739">
            <v>0</v>
          </cell>
          <cell r="AC2739">
            <v>0</v>
          </cell>
          <cell r="AD2739">
            <v>0.1</v>
          </cell>
          <cell r="AE2739">
            <v>0</v>
          </cell>
          <cell r="AF2739">
            <v>0</v>
          </cell>
          <cell r="AG2739">
            <v>0</v>
          </cell>
          <cell r="AH2739">
            <v>0</v>
          </cell>
          <cell r="AI2739">
            <v>0</v>
          </cell>
          <cell r="AJ2739">
            <v>0</v>
          </cell>
          <cell r="AK2739">
            <v>0</v>
          </cell>
          <cell r="AL2739">
            <v>0</v>
          </cell>
        </row>
        <row r="2740">
          <cell r="E2740" t="str">
            <v>アナログ局線停電転送(8局線)</v>
          </cell>
          <cell r="F2740" t="str">
            <v>台</v>
          </cell>
          <cell r="G2740">
            <v>0</v>
          </cell>
          <cell r="H2740">
            <v>30000</v>
          </cell>
          <cell r="I2740">
            <v>0</v>
          </cell>
          <cell r="J2740">
            <v>30000</v>
          </cell>
          <cell r="K2740">
            <v>0</v>
          </cell>
          <cell r="L2740">
            <v>30000</v>
          </cell>
          <cell r="M2740">
            <v>0</v>
          </cell>
          <cell r="N2740">
            <v>30000</v>
          </cell>
          <cell r="O2740">
            <v>0</v>
          </cell>
          <cell r="P2740">
            <v>30000</v>
          </cell>
          <cell r="Q2740">
            <v>0</v>
          </cell>
          <cell r="R2740">
            <v>30000</v>
          </cell>
          <cell r="S2740">
            <v>0</v>
          </cell>
          <cell r="T2740">
            <v>30000</v>
          </cell>
          <cell r="U2740">
            <v>0</v>
          </cell>
          <cell r="V2740">
            <v>30000</v>
          </cell>
          <cell r="W2740">
            <v>0</v>
          </cell>
          <cell r="X2740">
            <v>30000</v>
          </cell>
          <cell r="Y2740">
            <v>0</v>
          </cell>
          <cell r="Z2740">
            <v>30000</v>
          </cell>
          <cell r="AA2740">
            <v>0</v>
          </cell>
          <cell r="AB2740">
            <v>0</v>
          </cell>
          <cell r="AC2740">
            <v>0</v>
          </cell>
          <cell r="AD2740">
            <v>0.1</v>
          </cell>
          <cell r="AE2740">
            <v>0</v>
          </cell>
          <cell r="AF2740">
            <v>0</v>
          </cell>
          <cell r="AG2740">
            <v>0</v>
          </cell>
          <cell r="AH2740">
            <v>0</v>
          </cell>
          <cell r="AI2740">
            <v>0</v>
          </cell>
          <cell r="AJ2740">
            <v>0</v>
          </cell>
          <cell r="AK2740">
            <v>0</v>
          </cell>
          <cell r="AL2740">
            <v>0</v>
          </cell>
        </row>
        <row r="2741">
          <cell r="E2741" t="str">
            <v>バッテリー(3分間)</v>
          </cell>
          <cell r="F2741" t="str">
            <v>台</v>
          </cell>
          <cell r="G2741">
            <v>0</v>
          </cell>
          <cell r="H2741">
            <v>11200</v>
          </cell>
          <cell r="I2741">
            <v>0</v>
          </cell>
          <cell r="J2741">
            <v>11200</v>
          </cell>
          <cell r="K2741">
            <v>0</v>
          </cell>
          <cell r="L2741">
            <v>11200</v>
          </cell>
          <cell r="M2741">
            <v>0</v>
          </cell>
          <cell r="N2741">
            <v>11200</v>
          </cell>
          <cell r="O2741">
            <v>0</v>
          </cell>
          <cell r="P2741">
            <v>11200</v>
          </cell>
          <cell r="Q2741">
            <v>0</v>
          </cell>
          <cell r="R2741">
            <v>11200</v>
          </cell>
          <cell r="S2741">
            <v>0</v>
          </cell>
          <cell r="T2741">
            <v>11200</v>
          </cell>
          <cell r="U2741">
            <v>0</v>
          </cell>
          <cell r="V2741">
            <v>11200</v>
          </cell>
          <cell r="W2741">
            <v>0</v>
          </cell>
          <cell r="X2741">
            <v>11200</v>
          </cell>
          <cell r="Y2741">
            <v>0</v>
          </cell>
          <cell r="Z2741">
            <v>11200</v>
          </cell>
          <cell r="AA2741">
            <v>0</v>
          </cell>
          <cell r="AB2741">
            <v>0</v>
          </cell>
          <cell r="AC2741">
            <v>0</v>
          </cell>
          <cell r="AD2741">
            <v>0.1</v>
          </cell>
          <cell r="AE2741">
            <v>0</v>
          </cell>
          <cell r="AF2741">
            <v>0</v>
          </cell>
          <cell r="AG2741">
            <v>0</v>
          </cell>
          <cell r="AH2741">
            <v>0</v>
          </cell>
          <cell r="AI2741">
            <v>0</v>
          </cell>
          <cell r="AJ2741">
            <v>0</v>
          </cell>
          <cell r="AK2741">
            <v>0</v>
          </cell>
          <cell r="AL2741">
            <v>0</v>
          </cell>
        </row>
        <row r="2742">
          <cell r="E2742" t="str">
            <v>表示付きボタン電話機(24局)</v>
          </cell>
          <cell r="F2742" t="str">
            <v>台</v>
          </cell>
          <cell r="G2742">
            <v>0</v>
          </cell>
          <cell r="H2742">
            <v>26200</v>
          </cell>
          <cell r="I2742">
            <v>0</v>
          </cell>
          <cell r="J2742">
            <v>26200</v>
          </cell>
          <cell r="K2742">
            <v>0</v>
          </cell>
          <cell r="L2742">
            <v>26200</v>
          </cell>
          <cell r="M2742">
            <v>0</v>
          </cell>
          <cell r="N2742">
            <v>26200</v>
          </cell>
          <cell r="O2742">
            <v>0</v>
          </cell>
          <cell r="P2742">
            <v>26200</v>
          </cell>
          <cell r="Q2742">
            <v>0</v>
          </cell>
          <cell r="R2742">
            <v>26200</v>
          </cell>
          <cell r="S2742">
            <v>0</v>
          </cell>
          <cell r="T2742">
            <v>26200</v>
          </cell>
          <cell r="U2742">
            <v>0</v>
          </cell>
          <cell r="V2742">
            <v>26200</v>
          </cell>
          <cell r="W2742">
            <v>0</v>
          </cell>
          <cell r="X2742">
            <v>26200</v>
          </cell>
          <cell r="Y2742">
            <v>0</v>
          </cell>
          <cell r="Z2742">
            <v>26200</v>
          </cell>
          <cell r="AA2742">
            <v>0</v>
          </cell>
          <cell r="AB2742">
            <v>0</v>
          </cell>
          <cell r="AC2742">
            <v>0</v>
          </cell>
          <cell r="AD2742">
            <v>0.16800000000000001</v>
          </cell>
          <cell r="AE2742">
            <v>0</v>
          </cell>
          <cell r="AF2742">
            <v>0</v>
          </cell>
          <cell r="AG2742">
            <v>0</v>
          </cell>
          <cell r="AH2742">
            <v>0</v>
          </cell>
          <cell r="AI2742">
            <v>0</v>
          </cell>
          <cell r="AJ2742">
            <v>0</v>
          </cell>
          <cell r="AK2742">
            <v>0</v>
          </cell>
          <cell r="AL2742">
            <v>0</v>
          </cell>
        </row>
        <row r="2743">
          <cell r="E2743" t="str">
            <v>デジタルドァホン</v>
          </cell>
          <cell r="F2743" t="str">
            <v>台</v>
          </cell>
          <cell r="G2743">
            <v>0</v>
          </cell>
          <cell r="H2743">
            <v>11200</v>
          </cell>
          <cell r="I2743">
            <v>0</v>
          </cell>
          <cell r="J2743">
            <v>11200</v>
          </cell>
          <cell r="K2743">
            <v>0</v>
          </cell>
          <cell r="L2743">
            <v>11200</v>
          </cell>
          <cell r="M2743">
            <v>0</v>
          </cell>
          <cell r="N2743">
            <v>11200</v>
          </cell>
          <cell r="O2743">
            <v>0</v>
          </cell>
          <cell r="P2743">
            <v>11200</v>
          </cell>
          <cell r="Q2743">
            <v>0</v>
          </cell>
          <cell r="R2743">
            <v>11200</v>
          </cell>
          <cell r="S2743">
            <v>0</v>
          </cell>
          <cell r="T2743">
            <v>11200</v>
          </cell>
          <cell r="U2743">
            <v>0</v>
          </cell>
          <cell r="V2743">
            <v>11200</v>
          </cell>
          <cell r="W2743">
            <v>0</v>
          </cell>
          <cell r="X2743">
            <v>11200</v>
          </cell>
          <cell r="Y2743">
            <v>0</v>
          </cell>
          <cell r="Z2743">
            <v>11200</v>
          </cell>
          <cell r="AA2743">
            <v>0</v>
          </cell>
          <cell r="AB2743">
            <v>0</v>
          </cell>
          <cell r="AC2743">
            <v>0</v>
          </cell>
          <cell r="AD2743">
            <v>0.16800000000000001</v>
          </cell>
          <cell r="AE2743">
            <v>0</v>
          </cell>
          <cell r="AF2743">
            <v>0</v>
          </cell>
          <cell r="AG2743">
            <v>0</v>
          </cell>
          <cell r="AH2743">
            <v>0</v>
          </cell>
          <cell r="AI2743">
            <v>0</v>
          </cell>
          <cell r="AJ2743">
            <v>0</v>
          </cell>
          <cell r="AK2743">
            <v>0</v>
          </cell>
          <cell r="AL2743">
            <v>0</v>
          </cell>
        </row>
        <row r="2744">
          <cell r="E2744" t="str">
            <v>電話交換機</v>
          </cell>
          <cell r="F2744" t="str">
            <v>台</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row>
        <row r="2745">
          <cell r="E2745" t="str">
            <v>フロアダクト F-5</v>
          </cell>
          <cell r="F2745" t="str">
            <v>ｍ</v>
          </cell>
          <cell r="G2745">
            <v>0</v>
          </cell>
          <cell r="H2745">
            <v>1600</v>
          </cell>
          <cell r="I2745">
            <v>0</v>
          </cell>
          <cell r="J2745">
            <v>1600</v>
          </cell>
          <cell r="K2745">
            <v>0</v>
          </cell>
          <cell r="L2745">
            <v>1600</v>
          </cell>
          <cell r="M2745">
            <v>0</v>
          </cell>
          <cell r="N2745">
            <v>1600</v>
          </cell>
          <cell r="O2745">
            <v>0</v>
          </cell>
          <cell r="P2745">
            <v>1600</v>
          </cell>
          <cell r="Q2745">
            <v>0</v>
          </cell>
          <cell r="R2745">
            <v>1600</v>
          </cell>
          <cell r="S2745">
            <v>0</v>
          </cell>
          <cell r="T2745">
            <v>1600</v>
          </cell>
          <cell r="U2745">
            <v>0</v>
          </cell>
          <cell r="V2745">
            <v>1600</v>
          </cell>
          <cell r="W2745">
            <v>0</v>
          </cell>
          <cell r="X2745">
            <v>1600</v>
          </cell>
          <cell r="Y2745">
            <v>0</v>
          </cell>
          <cell r="Z2745">
            <v>1600</v>
          </cell>
          <cell r="AA2745">
            <v>0</v>
          </cell>
          <cell r="AB2745">
            <v>0</v>
          </cell>
          <cell r="AC2745">
            <v>0</v>
          </cell>
          <cell r="AD2745">
            <v>0.313</v>
          </cell>
          <cell r="AE2745">
            <v>0</v>
          </cell>
          <cell r="AF2745">
            <v>0</v>
          </cell>
          <cell r="AG2745">
            <v>0</v>
          </cell>
          <cell r="AH2745">
            <v>0</v>
          </cell>
          <cell r="AI2745">
            <v>0</v>
          </cell>
          <cell r="AJ2745">
            <v>0</v>
          </cell>
          <cell r="AK2745">
            <v>0</v>
          </cell>
          <cell r="AL2745">
            <v>0</v>
          </cell>
        </row>
        <row r="2746">
          <cell r="E2746" t="str">
            <v>フロアダクト F-7</v>
          </cell>
          <cell r="F2746" t="str">
            <v>ｍ</v>
          </cell>
          <cell r="G2746">
            <v>0</v>
          </cell>
          <cell r="H2746">
            <v>2000</v>
          </cell>
          <cell r="I2746">
            <v>0</v>
          </cell>
          <cell r="J2746">
            <v>2000</v>
          </cell>
          <cell r="K2746">
            <v>0</v>
          </cell>
          <cell r="L2746">
            <v>2000</v>
          </cell>
          <cell r="M2746">
            <v>0</v>
          </cell>
          <cell r="N2746">
            <v>2000</v>
          </cell>
          <cell r="O2746">
            <v>0</v>
          </cell>
          <cell r="P2746">
            <v>2000</v>
          </cell>
          <cell r="Q2746">
            <v>0</v>
          </cell>
          <cell r="R2746">
            <v>2000</v>
          </cell>
          <cell r="S2746">
            <v>0</v>
          </cell>
          <cell r="T2746">
            <v>2000</v>
          </cell>
          <cell r="U2746">
            <v>0</v>
          </cell>
          <cell r="V2746">
            <v>2000</v>
          </cell>
          <cell r="W2746">
            <v>0</v>
          </cell>
          <cell r="X2746">
            <v>2000</v>
          </cell>
          <cell r="Y2746">
            <v>0</v>
          </cell>
          <cell r="Z2746">
            <v>2000</v>
          </cell>
          <cell r="AA2746">
            <v>0</v>
          </cell>
          <cell r="AB2746">
            <v>0</v>
          </cell>
          <cell r="AC2746">
            <v>0</v>
          </cell>
          <cell r="AD2746">
            <v>0.38300000000000001</v>
          </cell>
          <cell r="AE2746">
            <v>0</v>
          </cell>
          <cell r="AF2746">
            <v>0</v>
          </cell>
          <cell r="AG2746">
            <v>0</v>
          </cell>
          <cell r="AH2746">
            <v>0</v>
          </cell>
          <cell r="AI2746">
            <v>0</v>
          </cell>
          <cell r="AJ2746">
            <v>0</v>
          </cell>
          <cell r="AK2746">
            <v>0</v>
          </cell>
          <cell r="AL2746">
            <v>0</v>
          </cell>
        </row>
        <row r="2747">
          <cell r="E2747" t="str">
            <v>フロアダクト FC-6</v>
          </cell>
          <cell r="F2747" t="str">
            <v>ｍ</v>
          </cell>
          <cell r="G2747">
            <v>0</v>
          </cell>
          <cell r="H2747">
            <v>1500</v>
          </cell>
          <cell r="I2747">
            <v>0</v>
          </cell>
          <cell r="J2747">
            <v>1500</v>
          </cell>
          <cell r="K2747">
            <v>0</v>
          </cell>
          <cell r="L2747">
            <v>1500</v>
          </cell>
          <cell r="M2747">
            <v>0</v>
          </cell>
          <cell r="N2747">
            <v>1500</v>
          </cell>
          <cell r="O2747">
            <v>0</v>
          </cell>
          <cell r="P2747">
            <v>1500</v>
          </cell>
          <cell r="Q2747">
            <v>0</v>
          </cell>
          <cell r="R2747">
            <v>1500</v>
          </cell>
          <cell r="S2747">
            <v>0</v>
          </cell>
          <cell r="T2747">
            <v>1500</v>
          </cell>
          <cell r="U2747">
            <v>0</v>
          </cell>
          <cell r="V2747">
            <v>1500</v>
          </cell>
          <cell r="W2747">
            <v>0</v>
          </cell>
          <cell r="X2747">
            <v>1500</v>
          </cell>
          <cell r="Y2747">
            <v>0</v>
          </cell>
          <cell r="Z2747">
            <v>1500</v>
          </cell>
          <cell r="AA2747">
            <v>0</v>
          </cell>
          <cell r="AB2747">
            <v>0</v>
          </cell>
          <cell r="AC2747">
            <v>0</v>
          </cell>
          <cell r="AD2747">
            <v>0.34799999999999998</v>
          </cell>
          <cell r="AE2747">
            <v>0</v>
          </cell>
          <cell r="AF2747">
            <v>0</v>
          </cell>
          <cell r="AG2747">
            <v>0</v>
          </cell>
          <cell r="AH2747">
            <v>0</v>
          </cell>
          <cell r="AI2747">
            <v>0</v>
          </cell>
          <cell r="AJ2747">
            <v>0</v>
          </cell>
          <cell r="AK2747">
            <v>0</v>
          </cell>
          <cell r="AL2747">
            <v>0</v>
          </cell>
        </row>
        <row r="2748">
          <cell r="E2748" t="str">
            <v>フロアダクト FC-8</v>
          </cell>
          <cell r="F2748" t="str">
            <v>ｍ</v>
          </cell>
          <cell r="G2748">
            <v>0</v>
          </cell>
          <cell r="H2748">
            <v>1800</v>
          </cell>
          <cell r="I2748">
            <v>0</v>
          </cell>
          <cell r="J2748">
            <v>1800</v>
          </cell>
          <cell r="K2748">
            <v>0</v>
          </cell>
          <cell r="L2748">
            <v>1800</v>
          </cell>
          <cell r="M2748">
            <v>0</v>
          </cell>
          <cell r="N2748">
            <v>1800</v>
          </cell>
          <cell r="O2748">
            <v>0</v>
          </cell>
          <cell r="P2748">
            <v>1800</v>
          </cell>
          <cell r="Q2748">
            <v>0</v>
          </cell>
          <cell r="R2748">
            <v>1800</v>
          </cell>
          <cell r="S2748">
            <v>0</v>
          </cell>
          <cell r="T2748">
            <v>1800</v>
          </cell>
          <cell r="U2748">
            <v>0</v>
          </cell>
          <cell r="V2748">
            <v>1800</v>
          </cell>
          <cell r="W2748">
            <v>0</v>
          </cell>
          <cell r="X2748">
            <v>1800</v>
          </cell>
          <cell r="Y2748">
            <v>0</v>
          </cell>
          <cell r="Z2748">
            <v>1800</v>
          </cell>
          <cell r="AA2748">
            <v>0</v>
          </cell>
          <cell r="AB2748">
            <v>0</v>
          </cell>
          <cell r="AC2748">
            <v>0</v>
          </cell>
          <cell r="AD2748">
            <v>0.74</v>
          </cell>
          <cell r="AE2748">
            <v>0</v>
          </cell>
          <cell r="AF2748">
            <v>0</v>
          </cell>
          <cell r="AG2748">
            <v>0</v>
          </cell>
          <cell r="AH2748">
            <v>0</v>
          </cell>
          <cell r="AI2748">
            <v>0</v>
          </cell>
          <cell r="AJ2748">
            <v>0</v>
          </cell>
          <cell r="AK2748">
            <v>0</v>
          </cell>
          <cell r="AL2748">
            <v>0</v>
          </cell>
        </row>
        <row r="2749">
          <cell r="E2749" t="str">
            <v>ジャンクションボックス 2Duct</v>
          </cell>
          <cell r="F2749" t="str">
            <v>個</v>
          </cell>
          <cell r="G2749">
            <v>0</v>
          </cell>
          <cell r="H2749">
            <v>7000</v>
          </cell>
          <cell r="I2749">
            <v>0</v>
          </cell>
          <cell r="J2749">
            <v>7000</v>
          </cell>
          <cell r="K2749">
            <v>0</v>
          </cell>
          <cell r="L2749">
            <v>7000</v>
          </cell>
          <cell r="M2749">
            <v>0</v>
          </cell>
          <cell r="N2749">
            <v>7000</v>
          </cell>
          <cell r="O2749">
            <v>0</v>
          </cell>
          <cell r="P2749">
            <v>7000</v>
          </cell>
          <cell r="Q2749">
            <v>0</v>
          </cell>
          <cell r="R2749">
            <v>7000</v>
          </cell>
          <cell r="S2749">
            <v>0</v>
          </cell>
          <cell r="T2749">
            <v>7000</v>
          </cell>
          <cell r="U2749">
            <v>0</v>
          </cell>
          <cell r="V2749">
            <v>7000</v>
          </cell>
          <cell r="W2749">
            <v>0</v>
          </cell>
          <cell r="X2749">
            <v>7000</v>
          </cell>
          <cell r="Y2749">
            <v>0</v>
          </cell>
          <cell r="Z2749">
            <v>7000</v>
          </cell>
          <cell r="AA2749">
            <v>0</v>
          </cell>
          <cell r="AB2749">
            <v>0</v>
          </cell>
          <cell r="AC2749">
            <v>0</v>
          </cell>
          <cell r="AD2749">
            <v>0.27800000000000002</v>
          </cell>
          <cell r="AE2749">
            <v>0</v>
          </cell>
          <cell r="AF2749">
            <v>0</v>
          </cell>
          <cell r="AG2749">
            <v>0</v>
          </cell>
          <cell r="AH2749">
            <v>0</v>
          </cell>
          <cell r="AI2749">
            <v>0</v>
          </cell>
          <cell r="AJ2749">
            <v>0</v>
          </cell>
          <cell r="AK2749">
            <v>0</v>
          </cell>
          <cell r="AL2749">
            <v>0</v>
          </cell>
        </row>
        <row r="2750">
          <cell r="E2750" t="str">
            <v>ローテンションアウトレット</v>
          </cell>
          <cell r="F2750" t="str">
            <v>個</v>
          </cell>
          <cell r="G2750">
            <v>0</v>
          </cell>
          <cell r="H2750">
            <v>3000</v>
          </cell>
          <cell r="I2750">
            <v>0</v>
          </cell>
          <cell r="J2750">
            <v>3000</v>
          </cell>
          <cell r="K2750">
            <v>0</v>
          </cell>
          <cell r="L2750">
            <v>3000</v>
          </cell>
          <cell r="M2750">
            <v>0</v>
          </cell>
          <cell r="N2750">
            <v>3000</v>
          </cell>
          <cell r="O2750">
            <v>0</v>
          </cell>
          <cell r="P2750">
            <v>3000</v>
          </cell>
          <cell r="Q2750">
            <v>0</v>
          </cell>
          <cell r="R2750">
            <v>3000</v>
          </cell>
          <cell r="S2750">
            <v>0</v>
          </cell>
          <cell r="T2750">
            <v>3000</v>
          </cell>
          <cell r="U2750">
            <v>0</v>
          </cell>
          <cell r="V2750">
            <v>3000</v>
          </cell>
          <cell r="W2750">
            <v>0</v>
          </cell>
          <cell r="X2750">
            <v>3000</v>
          </cell>
          <cell r="Y2750">
            <v>0</v>
          </cell>
          <cell r="Z2750">
            <v>3000</v>
          </cell>
          <cell r="AA2750">
            <v>0</v>
          </cell>
          <cell r="AB2750">
            <v>0</v>
          </cell>
          <cell r="AC2750">
            <v>0</v>
          </cell>
          <cell r="AD2750">
            <v>6.2E-2</v>
          </cell>
          <cell r="AE2750">
            <v>0</v>
          </cell>
          <cell r="AF2750">
            <v>0</v>
          </cell>
          <cell r="AG2750">
            <v>0</v>
          </cell>
          <cell r="AH2750">
            <v>0</v>
          </cell>
          <cell r="AI2750">
            <v>0</v>
          </cell>
          <cell r="AJ2750">
            <v>0</v>
          </cell>
          <cell r="AK2750">
            <v>0</v>
          </cell>
          <cell r="AL2750">
            <v>0</v>
          </cell>
        </row>
        <row r="2751">
          <cell r="E2751" t="str">
            <v>多機能内線電話機</v>
          </cell>
          <cell r="F2751" t="str">
            <v>台</v>
          </cell>
          <cell r="G2751">
            <v>0</v>
          </cell>
          <cell r="H2751">
            <v>28000</v>
          </cell>
          <cell r="I2751">
            <v>0</v>
          </cell>
          <cell r="J2751">
            <v>28000</v>
          </cell>
          <cell r="K2751">
            <v>0</v>
          </cell>
          <cell r="L2751">
            <v>28000</v>
          </cell>
          <cell r="M2751">
            <v>0</v>
          </cell>
          <cell r="N2751">
            <v>28000</v>
          </cell>
          <cell r="O2751">
            <v>0</v>
          </cell>
          <cell r="P2751">
            <v>28000</v>
          </cell>
          <cell r="Q2751">
            <v>0</v>
          </cell>
          <cell r="R2751">
            <v>28000</v>
          </cell>
          <cell r="S2751">
            <v>0</v>
          </cell>
          <cell r="T2751">
            <v>28000</v>
          </cell>
          <cell r="U2751">
            <v>0</v>
          </cell>
          <cell r="V2751">
            <v>28000</v>
          </cell>
          <cell r="W2751">
            <v>0</v>
          </cell>
          <cell r="X2751">
            <v>28000</v>
          </cell>
          <cell r="Y2751">
            <v>0</v>
          </cell>
          <cell r="Z2751">
            <v>28000</v>
          </cell>
          <cell r="AA2751">
            <v>0</v>
          </cell>
          <cell r="AB2751">
            <v>0</v>
          </cell>
          <cell r="AC2751">
            <v>0</v>
          </cell>
          <cell r="AD2751">
            <v>0.16800000000000001</v>
          </cell>
          <cell r="AE2751">
            <v>0</v>
          </cell>
          <cell r="AF2751">
            <v>0</v>
          </cell>
          <cell r="AG2751">
            <v>0</v>
          </cell>
          <cell r="AH2751">
            <v>0</v>
          </cell>
          <cell r="AI2751">
            <v>0</v>
          </cell>
          <cell r="AJ2751">
            <v>0</v>
          </cell>
          <cell r="AK2751">
            <v>0</v>
          </cell>
          <cell r="AL2751">
            <v>0</v>
          </cell>
        </row>
        <row r="2752">
          <cell r="E2752" t="str">
            <v>内線電話機</v>
          </cell>
          <cell r="F2752" t="str">
            <v>台</v>
          </cell>
          <cell r="G2752">
            <v>0</v>
          </cell>
          <cell r="H2752">
            <v>15000</v>
          </cell>
          <cell r="I2752">
            <v>0</v>
          </cell>
          <cell r="J2752">
            <v>15000</v>
          </cell>
          <cell r="K2752">
            <v>0</v>
          </cell>
          <cell r="L2752">
            <v>15000</v>
          </cell>
          <cell r="M2752">
            <v>0</v>
          </cell>
          <cell r="N2752">
            <v>15000</v>
          </cell>
          <cell r="O2752">
            <v>0</v>
          </cell>
          <cell r="P2752">
            <v>15000</v>
          </cell>
          <cell r="Q2752">
            <v>0</v>
          </cell>
          <cell r="R2752">
            <v>15000</v>
          </cell>
          <cell r="S2752">
            <v>0</v>
          </cell>
          <cell r="T2752">
            <v>15000</v>
          </cell>
          <cell r="U2752">
            <v>0</v>
          </cell>
          <cell r="V2752">
            <v>15000</v>
          </cell>
          <cell r="W2752">
            <v>0</v>
          </cell>
          <cell r="X2752">
            <v>15000</v>
          </cell>
          <cell r="Y2752">
            <v>0</v>
          </cell>
          <cell r="Z2752">
            <v>15000</v>
          </cell>
          <cell r="AA2752">
            <v>0</v>
          </cell>
          <cell r="AB2752">
            <v>0</v>
          </cell>
          <cell r="AC2752">
            <v>0</v>
          </cell>
          <cell r="AD2752">
            <v>0.16800000000000001</v>
          </cell>
          <cell r="AE2752">
            <v>0</v>
          </cell>
          <cell r="AF2752">
            <v>0</v>
          </cell>
          <cell r="AG2752">
            <v>0</v>
          </cell>
          <cell r="AH2752">
            <v>0</v>
          </cell>
          <cell r="AI2752">
            <v>0</v>
          </cell>
          <cell r="AJ2752">
            <v>0</v>
          </cell>
          <cell r="AK2752">
            <v>0</v>
          </cell>
          <cell r="AL2752">
            <v>0</v>
          </cell>
        </row>
        <row r="2753">
          <cell r="E2753" t="str">
            <v>PHSアンテナ</v>
          </cell>
          <cell r="F2753" t="str">
            <v>基</v>
          </cell>
          <cell r="G2753">
            <v>0</v>
          </cell>
          <cell r="H2753">
            <v>46000</v>
          </cell>
          <cell r="I2753">
            <v>0</v>
          </cell>
          <cell r="J2753">
            <v>46000</v>
          </cell>
          <cell r="K2753">
            <v>0</v>
          </cell>
          <cell r="L2753">
            <v>46000</v>
          </cell>
          <cell r="M2753">
            <v>0</v>
          </cell>
          <cell r="N2753">
            <v>46000</v>
          </cell>
          <cell r="O2753">
            <v>0</v>
          </cell>
          <cell r="P2753">
            <v>46000</v>
          </cell>
          <cell r="Q2753">
            <v>0</v>
          </cell>
          <cell r="R2753">
            <v>46000</v>
          </cell>
          <cell r="S2753">
            <v>0</v>
          </cell>
          <cell r="T2753">
            <v>46000</v>
          </cell>
          <cell r="U2753">
            <v>0</v>
          </cell>
          <cell r="V2753">
            <v>46000</v>
          </cell>
          <cell r="W2753">
            <v>0</v>
          </cell>
          <cell r="X2753">
            <v>46000</v>
          </cell>
          <cell r="Y2753">
            <v>0</v>
          </cell>
          <cell r="Z2753">
            <v>46000</v>
          </cell>
          <cell r="AA2753">
            <v>0</v>
          </cell>
          <cell r="AB2753">
            <v>0</v>
          </cell>
          <cell r="AC2753">
            <v>0</v>
          </cell>
          <cell r="AD2753">
            <v>1.4</v>
          </cell>
          <cell r="AE2753">
            <v>0</v>
          </cell>
          <cell r="AF2753">
            <v>0</v>
          </cell>
          <cell r="AG2753">
            <v>0</v>
          </cell>
          <cell r="AH2753">
            <v>0</v>
          </cell>
          <cell r="AI2753">
            <v>0</v>
          </cell>
          <cell r="AJ2753">
            <v>0</v>
          </cell>
          <cell r="AK2753">
            <v>0</v>
          </cell>
          <cell r="AL2753">
            <v>0</v>
          </cell>
        </row>
        <row r="2754">
          <cell r="E2754" t="str">
            <v>PHS電話機</v>
          </cell>
          <cell r="F2754" t="str">
            <v>台</v>
          </cell>
          <cell r="G2754">
            <v>0</v>
          </cell>
          <cell r="H2754">
            <v>35000</v>
          </cell>
          <cell r="I2754">
            <v>0</v>
          </cell>
          <cell r="J2754">
            <v>35000</v>
          </cell>
          <cell r="K2754">
            <v>0</v>
          </cell>
          <cell r="L2754">
            <v>35000</v>
          </cell>
          <cell r="M2754">
            <v>0</v>
          </cell>
          <cell r="N2754">
            <v>35000</v>
          </cell>
          <cell r="O2754">
            <v>0</v>
          </cell>
          <cell r="P2754">
            <v>35000</v>
          </cell>
          <cell r="Q2754">
            <v>0</v>
          </cell>
          <cell r="R2754">
            <v>35000</v>
          </cell>
          <cell r="S2754">
            <v>0</v>
          </cell>
          <cell r="T2754">
            <v>35000</v>
          </cell>
          <cell r="U2754">
            <v>0</v>
          </cell>
          <cell r="V2754">
            <v>35000</v>
          </cell>
          <cell r="W2754">
            <v>0</v>
          </cell>
          <cell r="X2754">
            <v>35000</v>
          </cell>
          <cell r="Y2754">
            <v>0</v>
          </cell>
          <cell r="Z2754">
            <v>35000</v>
          </cell>
          <cell r="AA2754">
            <v>0</v>
          </cell>
          <cell r="AB2754">
            <v>0</v>
          </cell>
          <cell r="AC2754">
            <v>0</v>
          </cell>
          <cell r="AD2754">
            <v>0.16800000000000001</v>
          </cell>
          <cell r="AE2754">
            <v>0</v>
          </cell>
          <cell r="AF2754">
            <v>0</v>
          </cell>
          <cell r="AG2754">
            <v>0</v>
          </cell>
          <cell r="AH2754">
            <v>0</v>
          </cell>
          <cell r="AI2754">
            <v>0</v>
          </cell>
          <cell r="AJ2754">
            <v>0</v>
          </cell>
          <cell r="AK2754">
            <v>0</v>
          </cell>
          <cell r="AL2754">
            <v>0</v>
          </cell>
        </row>
        <row r="2755">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row>
        <row r="2756">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row>
        <row r="2757">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row>
        <row r="2758">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row>
        <row r="2759">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row>
        <row r="2760">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row>
        <row r="2761">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row>
        <row r="2762">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row>
        <row r="2763">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row>
        <row r="2764">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row>
        <row r="2765">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row>
        <row r="2766">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row>
        <row r="2767">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row>
        <row r="2768">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row>
        <row r="2769">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row>
        <row r="2770">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row>
        <row r="2771">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row>
        <row r="2772">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row>
        <row r="2773">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row>
        <row r="2774">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row>
        <row r="2775">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row>
        <row r="2776">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row>
        <row r="2777">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row>
        <row r="2778">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row>
        <row r="2779">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row>
        <row r="2780">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row>
        <row r="2781">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row>
        <row r="2782">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row>
        <row r="2783">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row>
        <row r="2784">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row>
        <row r="2785">
          <cell r="E2785" t="str">
            <v>60W-5局</v>
          </cell>
          <cell r="F2785" t="str">
            <v>台</v>
          </cell>
          <cell r="G2785">
            <v>0</v>
          </cell>
          <cell r="H2785">
            <v>45000</v>
          </cell>
          <cell r="I2785">
            <v>0</v>
          </cell>
          <cell r="J2785">
            <v>45000</v>
          </cell>
          <cell r="K2785">
            <v>0</v>
          </cell>
          <cell r="L2785">
            <v>45000</v>
          </cell>
          <cell r="M2785">
            <v>0</v>
          </cell>
          <cell r="N2785">
            <v>45000</v>
          </cell>
          <cell r="O2785">
            <v>0</v>
          </cell>
          <cell r="P2785">
            <v>45000</v>
          </cell>
          <cell r="Q2785">
            <v>0</v>
          </cell>
          <cell r="R2785">
            <v>45000</v>
          </cell>
          <cell r="S2785">
            <v>0</v>
          </cell>
          <cell r="T2785">
            <v>45000</v>
          </cell>
          <cell r="U2785">
            <v>0</v>
          </cell>
          <cell r="V2785">
            <v>45000</v>
          </cell>
          <cell r="W2785">
            <v>0</v>
          </cell>
          <cell r="X2785">
            <v>45000</v>
          </cell>
          <cell r="Y2785">
            <v>0</v>
          </cell>
          <cell r="Z2785">
            <v>45000</v>
          </cell>
          <cell r="AA2785">
            <v>0</v>
          </cell>
          <cell r="AB2785">
            <v>0</v>
          </cell>
          <cell r="AC2785">
            <v>0</v>
          </cell>
          <cell r="AD2785">
            <v>1.51</v>
          </cell>
          <cell r="AE2785">
            <v>0</v>
          </cell>
          <cell r="AF2785">
            <v>0</v>
          </cell>
          <cell r="AG2785">
            <v>0</v>
          </cell>
          <cell r="AH2785">
            <v>0</v>
          </cell>
          <cell r="AI2785">
            <v>0</v>
          </cell>
          <cell r="AJ2785">
            <v>0</v>
          </cell>
          <cell r="AK2785">
            <v>0</v>
          </cell>
          <cell r="AL2785">
            <v>0</v>
          </cell>
        </row>
        <row r="2786">
          <cell r="E2786" t="str">
            <v>120W-5局</v>
          </cell>
          <cell r="F2786" t="str">
            <v>台</v>
          </cell>
          <cell r="G2786">
            <v>0</v>
          </cell>
          <cell r="H2786">
            <v>60000</v>
          </cell>
          <cell r="I2786">
            <v>0</v>
          </cell>
          <cell r="J2786">
            <v>60000</v>
          </cell>
          <cell r="K2786">
            <v>0</v>
          </cell>
          <cell r="L2786">
            <v>60000</v>
          </cell>
          <cell r="M2786">
            <v>0</v>
          </cell>
          <cell r="N2786">
            <v>60000</v>
          </cell>
          <cell r="O2786">
            <v>0</v>
          </cell>
          <cell r="P2786">
            <v>60000</v>
          </cell>
          <cell r="Q2786">
            <v>0</v>
          </cell>
          <cell r="R2786">
            <v>60000</v>
          </cell>
          <cell r="S2786">
            <v>0</v>
          </cell>
          <cell r="T2786">
            <v>60000</v>
          </cell>
          <cell r="U2786">
            <v>0</v>
          </cell>
          <cell r="V2786">
            <v>60000</v>
          </cell>
          <cell r="W2786">
            <v>0</v>
          </cell>
          <cell r="X2786">
            <v>60000</v>
          </cell>
          <cell r="Y2786">
            <v>0</v>
          </cell>
          <cell r="Z2786">
            <v>60000</v>
          </cell>
          <cell r="AA2786">
            <v>0</v>
          </cell>
          <cell r="AB2786">
            <v>0</v>
          </cell>
          <cell r="AC2786">
            <v>0</v>
          </cell>
          <cell r="AD2786">
            <v>4.03</v>
          </cell>
          <cell r="AE2786">
            <v>0</v>
          </cell>
          <cell r="AF2786">
            <v>0</v>
          </cell>
          <cell r="AG2786">
            <v>0</v>
          </cell>
          <cell r="AH2786">
            <v>0</v>
          </cell>
          <cell r="AI2786">
            <v>0</v>
          </cell>
          <cell r="AJ2786">
            <v>0</v>
          </cell>
          <cell r="AK2786">
            <v>0</v>
          </cell>
          <cell r="AL2786">
            <v>0</v>
          </cell>
        </row>
        <row r="2787">
          <cell r="E2787" t="str">
            <v>30W(50～20000Hz)</v>
          </cell>
          <cell r="F2787" t="str">
            <v>台</v>
          </cell>
          <cell r="G2787">
            <v>0</v>
          </cell>
          <cell r="H2787">
            <v>84000</v>
          </cell>
          <cell r="I2787">
            <v>0</v>
          </cell>
          <cell r="J2787">
            <v>84000</v>
          </cell>
          <cell r="K2787">
            <v>0</v>
          </cell>
          <cell r="L2787">
            <v>84000</v>
          </cell>
          <cell r="M2787">
            <v>0</v>
          </cell>
          <cell r="N2787">
            <v>84000</v>
          </cell>
          <cell r="O2787">
            <v>0</v>
          </cell>
          <cell r="P2787">
            <v>84000</v>
          </cell>
          <cell r="Q2787">
            <v>0</v>
          </cell>
          <cell r="R2787">
            <v>84000</v>
          </cell>
          <cell r="S2787">
            <v>0</v>
          </cell>
          <cell r="T2787">
            <v>84000</v>
          </cell>
          <cell r="U2787">
            <v>0</v>
          </cell>
          <cell r="V2787">
            <v>84000</v>
          </cell>
          <cell r="W2787">
            <v>0</v>
          </cell>
          <cell r="X2787">
            <v>84000</v>
          </cell>
          <cell r="Y2787">
            <v>0</v>
          </cell>
          <cell r="Z2787">
            <v>84000</v>
          </cell>
          <cell r="AA2787">
            <v>0</v>
          </cell>
          <cell r="AB2787">
            <v>0</v>
          </cell>
          <cell r="AC2787">
            <v>0</v>
          </cell>
          <cell r="AD2787">
            <v>0.96499999999999997</v>
          </cell>
          <cell r="AE2787">
            <v>0</v>
          </cell>
          <cell r="AF2787">
            <v>0</v>
          </cell>
          <cell r="AG2787">
            <v>0</v>
          </cell>
          <cell r="AH2787">
            <v>0</v>
          </cell>
          <cell r="AI2787">
            <v>0</v>
          </cell>
          <cell r="AJ2787">
            <v>0</v>
          </cell>
          <cell r="AK2787">
            <v>0</v>
          </cell>
          <cell r="AL2787">
            <v>0</v>
          </cell>
        </row>
        <row r="2788">
          <cell r="E2788" t="str">
            <v>60W(50～20000Hz)</v>
          </cell>
          <cell r="F2788" t="str">
            <v>台</v>
          </cell>
          <cell r="G2788">
            <v>0</v>
          </cell>
          <cell r="H2788">
            <v>93000</v>
          </cell>
          <cell r="I2788">
            <v>0</v>
          </cell>
          <cell r="J2788">
            <v>93000</v>
          </cell>
          <cell r="K2788">
            <v>0</v>
          </cell>
          <cell r="L2788">
            <v>93000</v>
          </cell>
          <cell r="M2788">
            <v>0</v>
          </cell>
          <cell r="N2788">
            <v>93000</v>
          </cell>
          <cell r="O2788">
            <v>0</v>
          </cell>
          <cell r="P2788">
            <v>93000</v>
          </cell>
          <cell r="Q2788">
            <v>0</v>
          </cell>
          <cell r="R2788">
            <v>93000</v>
          </cell>
          <cell r="S2788">
            <v>0</v>
          </cell>
          <cell r="T2788">
            <v>93000</v>
          </cell>
          <cell r="U2788">
            <v>0</v>
          </cell>
          <cell r="V2788">
            <v>93000</v>
          </cell>
          <cell r="W2788">
            <v>0</v>
          </cell>
          <cell r="X2788">
            <v>93000</v>
          </cell>
          <cell r="Y2788">
            <v>0</v>
          </cell>
          <cell r="Z2788">
            <v>93000</v>
          </cell>
          <cell r="AA2788">
            <v>0</v>
          </cell>
          <cell r="AB2788">
            <v>0</v>
          </cell>
          <cell r="AC2788">
            <v>0</v>
          </cell>
          <cell r="AD2788">
            <v>1.51</v>
          </cell>
          <cell r="AE2788">
            <v>0</v>
          </cell>
          <cell r="AF2788">
            <v>0</v>
          </cell>
          <cell r="AG2788">
            <v>0</v>
          </cell>
          <cell r="AH2788">
            <v>0</v>
          </cell>
          <cell r="AI2788">
            <v>0</v>
          </cell>
          <cell r="AJ2788">
            <v>0</v>
          </cell>
          <cell r="AK2788">
            <v>0</v>
          </cell>
          <cell r="AL2788">
            <v>0</v>
          </cell>
        </row>
        <row r="2789">
          <cell r="E2789" t="str">
            <v>120W(50～20000Hz)</v>
          </cell>
          <cell r="F2789" t="str">
            <v>台</v>
          </cell>
          <cell r="G2789">
            <v>0</v>
          </cell>
          <cell r="H2789">
            <v>111000</v>
          </cell>
          <cell r="I2789">
            <v>0</v>
          </cell>
          <cell r="J2789">
            <v>111000</v>
          </cell>
          <cell r="K2789">
            <v>0</v>
          </cell>
          <cell r="L2789">
            <v>111000</v>
          </cell>
          <cell r="M2789">
            <v>0</v>
          </cell>
          <cell r="N2789">
            <v>111000</v>
          </cell>
          <cell r="O2789">
            <v>0</v>
          </cell>
          <cell r="P2789">
            <v>111000</v>
          </cell>
          <cell r="Q2789">
            <v>0</v>
          </cell>
          <cell r="R2789">
            <v>111000</v>
          </cell>
          <cell r="S2789">
            <v>0</v>
          </cell>
          <cell r="T2789">
            <v>111000</v>
          </cell>
          <cell r="U2789">
            <v>0</v>
          </cell>
          <cell r="V2789">
            <v>111000</v>
          </cell>
          <cell r="W2789">
            <v>0</v>
          </cell>
          <cell r="X2789">
            <v>111000</v>
          </cell>
          <cell r="Y2789">
            <v>0</v>
          </cell>
          <cell r="Z2789">
            <v>111000</v>
          </cell>
          <cell r="AA2789">
            <v>0</v>
          </cell>
          <cell r="AB2789">
            <v>0</v>
          </cell>
          <cell r="AC2789">
            <v>0</v>
          </cell>
          <cell r="AD2789">
            <v>4.03</v>
          </cell>
          <cell r="AE2789">
            <v>0</v>
          </cell>
          <cell r="AF2789">
            <v>0</v>
          </cell>
          <cell r="AG2789">
            <v>0</v>
          </cell>
          <cell r="AH2789">
            <v>0</v>
          </cell>
          <cell r="AI2789">
            <v>0</v>
          </cell>
          <cell r="AJ2789">
            <v>0</v>
          </cell>
          <cell r="AK2789">
            <v>0</v>
          </cell>
          <cell r="AL2789">
            <v>0</v>
          </cell>
        </row>
        <row r="2790">
          <cell r="E2790" t="str">
            <v>壁掛形-ABS-3W</v>
          </cell>
          <cell r="F2790" t="str">
            <v>個</v>
          </cell>
          <cell r="G2790">
            <v>0</v>
          </cell>
          <cell r="H2790">
            <v>2340</v>
          </cell>
          <cell r="I2790">
            <v>0</v>
          </cell>
          <cell r="J2790">
            <v>2340</v>
          </cell>
          <cell r="K2790">
            <v>0</v>
          </cell>
          <cell r="L2790">
            <v>2340</v>
          </cell>
          <cell r="M2790">
            <v>0</v>
          </cell>
          <cell r="N2790">
            <v>2340</v>
          </cell>
          <cell r="O2790">
            <v>0</v>
          </cell>
          <cell r="P2790">
            <v>2340</v>
          </cell>
          <cell r="Q2790">
            <v>0</v>
          </cell>
          <cell r="R2790">
            <v>2340</v>
          </cell>
          <cell r="S2790">
            <v>0</v>
          </cell>
          <cell r="T2790">
            <v>2340</v>
          </cell>
          <cell r="U2790">
            <v>0</v>
          </cell>
          <cell r="V2790">
            <v>2340</v>
          </cell>
          <cell r="W2790">
            <v>0</v>
          </cell>
          <cell r="X2790">
            <v>2340</v>
          </cell>
          <cell r="Y2790">
            <v>0</v>
          </cell>
          <cell r="Z2790">
            <v>2340</v>
          </cell>
          <cell r="AA2790">
            <v>0</v>
          </cell>
          <cell r="AB2790">
            <v>0</v>
          </cell>
          <cell r="AC2790">
            <v>0</v>
          </cell>
          <cell r="AD2790">
            <v>9.7000000000000003E-2</v>
          </cell>
          <cell r="AE2790">
            <v>0</v>
          </cell>
          <cell r="AF2790">
            <v>0</v>
          </cell>
          <cell r="AG2790">
            <v>0</v>
          </cell>
          <cell r="AH2790">
            <v>0</v>
          </cell>
          <cell r="AI2790">
            <v>0</v>
          </cell>
          <cell r="AJ2790">
            <v>0</v>
          </cell>
          <cell r="AK2790">
            <v>0</v>
          </cell>
          <cell r="AL2790">
            <v>0</v>
          </cell>
        </row>
        <row r="2791">
          <cell r="E2791" t="str">
            <v>壁掛形-ABS-3W-AT付</v>
          </cell>
          <cell r="F2791" t="str">
            <v>個</v>
          </cell>
          <cell r="G2791">
            <v>0</v>
          </cell>
          <cell r="H2791">
            <v>3310</v>
          </cell>
          <cell r="I2791">
            <v>0</v>
          </cell>
          <cell r="J2791">
            <v>3310</v>
          </cell>
          <cell r="K2791">
            <v>0</v>
          </cell>
          <cell r="L2791">
            <v>3310</v>
          </cell>
          <cell r="M2791">
            <v>0</v>
          </cell>
          <cell r="N2791">
            <v>3310</v>
          </cell>
          <cell r="O2791">
            <v>0</v>
          </cell>
          <cell r="P2791">
            <v>3310</v>
          </cell>
          <cell r="Q2791">
            <v>0</v>
          </cell>
          <cell r="R2791">
            <v>3310</v>
          </cell>
          <cell r="S2791">
            <v>0</v>
          </cell>
          <cell r="T2791">
            <v>3310</v>
          </cell>
          <cell r="U2791">
            <v>0</v>
          </cell>
          <cell r="V2791">
            <v>3310</v>
          </cell>
          <cell r="W2791">
            <v>0</v>
          </cell>
          <cell r="X2791">
            <v>3310</v>
          </cell>
          <cell r="Y2791">
            <v>0</v>
          </cell>
          <cell r="Z2791">
            <v>3310</v>
          </cell>
          <cell r="AA2791">
            <v>0</v>
          </cell>
          <cell r="AB2791">
            <v>0</v>
          </cell>
          <cell r="AC2791">
            <v>0</v>
          </cell>
          <cell r="AD2791">
            <v>9.7000000000000003E-2</v>
          </cell>
          <cell r="AE2791">
            <v>0</v>
          </cell>
          <cell r="AF2791">
            <v>0</v>
          </cell>
          <cell r="AG2791">
            <v>0</v>
          </cell>
          <cell r="AH2791">
            <v>0</v>
          </cell>
          <cell r="AI2791">
            <v>0</v>
          </cell>
          <cell r="AJ2791">
            <v>0</v>
          </cell>
          <cell r="AK2791">
            <v>0</v>
          </cell>
          <cell r="AL2791">
            <v>0</v>
          </cell>
        </row>
        <row r="2792">
          <cell r="E2792" t="str">
            <v>壁掛形-木製3W</v>
          </cell>
          <cell r="F2792" t="str">
            <v>個</v>
          </cell>
          <cell r="G2792">
            <v>0</v>
          </cell>
          <cell r="H2792">
            <v>3770</v>
          </cell>
          <cell r="I2792">
            <v>0</v>
          </cell>
          <cell r="J2792">
            <v>3770</v>
          </cell>
          <cell r="K2792">
            <v>0</v>
          </cell>
          <cell r="L2792">
            <v>3770</v>
          </cell>
          <cell r="M2792">
            <v>0</v>
          </cell>
          <cell r="N2792">
            <v>3770</v>
          </cell>
          <cell r="O2792">
            <v>0</v>
          </cell>
          <cell r="P2792">
            <v>3770</v>
          </cell>
          <cell r="Q2792">
            <v>0</v>
          </cell>
          <cell r="R2792">
            <v>3770</v>
          </cell>
          <cell r="S2792">
            <v>0</v>
          </cell>
          <cell r="T2792">
            <v>3770</v>
          </cell>
          <cell r="U2792">
            <v>0</v>
          </cell>
          <cell r="V2792">
            <v>3770</v>
          </cell>
          <cell r="W2792">
            <v>0</v>
          </cell>
          <cell r="X2792">
            <v>3770</v>
          </cell>
          <cell r="Y2792">
            <v>0</v>
          </cell>
          <cell r="Z2792">
            <v>3770</v>
          </cell>
          <cell r="AA2792">
            <v>0</v>
          </cell>
          <cell r="AB2792">
            <v>0</v>
          </cell>
          <cell r="AC2792">
            <v>0</v>
          </cell>
          <cell r="AD2792">
            <v>9.7000000000000003E-2</v>
          </cell>
          <cell r="AE2792">
            <v>0</v>
          </cell>
          <cell r="AF2792">
            <v>0</v>
          </cell>
          <cell r="AG2792">
            <v>0</v>
          </cell>
          <cell r="AH2792">
            <v>0</v>
          </cell>
          <cell r="AI2792">
            <v>0</v>
          </cell>
          <cell r="AJ2792">
            <v>0</v>
          </cell>
          <cell r="AK2792">
            <v>0</v>
          </cell>
          <cell r="AL2792">
            <v>0</v>
          </cell>
        </row>
        <row r="2793">
          <cell r="E2793" t="str">
            <v>スピーカ 3W S3</v>
          </cell>
          <cell r="F2793" t="str">
            <v>個</v>
          </cell>
          <cell r="G2793">
            <v>0</v>
          </cell>
          <cell r="H2793">
            <v>4870</v>
          </cell>
          <cell r="I2793">
            <v>0</v>
          </cell>
          <cell r="J2793">
            <v>4870</v>
          </cell>
          <cell r="K2793">
            <v>0</v>
          </cell>
          <cell r="L2793">
            <v>4870</v>
          </cell>
          <cell r="M2793">
            <v>0</v>
          </cell>
          <cell r="N2793">
            <v>4870</v>
          </cell>
          <cell r="O2793">
            <v>0</v>
          </cell>
          <cell r="P2793">
            <v>4870</v>
          </cell>
          <cell r="Q2793">
            <v>0</v>
          </cell>
          <cell r="R2793">
            <v>4870</v>
          </cell>
          <cell r="S2793">
            <v>0</v>
          </cell>
          <cell r="T2793">
            <v>4870</v>
          </cell>
          <cell r="U2793">
            <v>0</v>
          </cell>
          <cell r="V2793">
            <v>4870</v>
          </cell>
          <cell r="W2793">
            <v>0</v>
          </cell>
          <cell r="X2793">
            <v>4870</v>
          </cell>
          <cell r="Y2793">
            <v>0</v>
          </cell>
          <cell r="Z2793">
            <v>4870</v>
          </cell>
          <cell r="AA2793">
            <v>0</v>
          </cell>
          <cell r="AB2793">
            <v>0</v>
          </cell>
          <cell r="AC2793">
            <v>0</v>
          </cell>
          <cell r="AD2793">
            <v>9.7000000000000003E-2</v>
          </cell>
          <cell r="AE2793">
            <v>0</v>
          </cell>
          <cell r="AF2793">
            <v>0</v>
          </cell>
          <cell r="AG2793">
            <v>0</v>
          </cell>
          <cell r="AH2793">
            <v>0</v>
          </cell>
          <cell r="AI2793">
            <v>0</v>
          </cell>
          <cell r="AJ2793">
            <v>0</v>
          </cell>
          <cell r="AK2793">
            <v>0</v>
          </cell>
          <cell r="AL2793" t="str">
            <v>壁掛形-木製3W-AT付</v>
          </cell>
        </row>
        <row r="2794">
          <cell r="E2794" t="str">
            <v>壁掛形-木製5W</v>
          </cell>
          <cell r="F2794" t="str">
            <v>個</v>
          </cell>
          <cell r="G2794">
            <v>0</v>
          </cell>
          <cell r="H2794">
            <v>5130</v>
          </cell>
          <cell r="I2794">
            <v>0</v>
          </cell>
          <cell r="J2794">
            <v>5130</v>
          </cell>
          <cell r="K2794">
            <v>0</v>
          </cell>
          <cell r="L2794">
            <v>5130</v>
          </cell>
          <cell r="M2794">
            <v>0</v>
          </cell>
          <cell r="N2794">
            <v>5130</v>
          </cell>
          <cell r="O2794">
            <v>0</v>
          </cell>
          <cell r="P2794">
            <v>5130</v>
          </cell>
          <cell r="Q2794">
            <v>0</v>
          </cell>
          <cell r="R2794">
            <v>5130</v>
          </cell>
          <cell r="S2794">
            <v>0</v>
          </cell>
          <cell r="T2794">
            <v>5130</v>
          </cell>
          <cell r="U2794">
            <v>0</v>
          </cell>
          <cell r="V2794">
            <v>5130</v>
          </cell>
          <cell r="W2794">
            <v>0</v>
          </cell>
          <cell r="X2794">
            <v>5130</v>
          </cell>
          <cell r="Y2794">
            <v>0</v>
          </cell>
          <cell r="Z2794">
            <v>5130</v>
          </cell>
          <cell r="AA2794">
            <v>0</v>
          </cell>
          <cell r="AB2794">
            <v>0</v>
          </cell>
          <cell r="AC2794">
            <v>0</v>
          </cell>
          <cell r="AD2794">
            <v>9.7000000000000003E-2</v>
          </cell>
          <cell r="AE2794">
            <v>0</v>
          </cell>
          <cell r="AF2794">
            <v>0</v>
          </cell>
          <cell r="AG2794">
            <v>0</v>
          </cell>
          <cell r="AH2794">
            <v>0</v>
          </cell>
          <cell r="AI2794">
            <v>0</v>
          </cell>
          <cell r="AJ2794">
            <v>0</v>
          </cell>
          <cell r="AK2794">
            <v>0</v>
          </cell>
          <cell r="AL2794">
            <v>0</v>
          </cell>
        </row>
        <row r="2795">
          <cell r="E2795" t="str">
            <v>スピーカ 5W S4</v>
          </cell>
          <cell r="F2795" t="str">
            <v>個</v>
          </cell>
          <cell r="G2795">
            <v>0</v>
          </cell>
          <cell r="H2795">
            <v>6240</v>
          </cell>
          <cell r="I2795">
            <v>0</v>
          </cell>
          <cell r="J2795">
            <v>6240</v>
          </cell>
          <cell r="K2795">
            <v>0</v>
          </cell>
          <cell r="L2795">
            <v>6240</v>
          </cell>
          <cell r="M2795">
            <v>0</v>
          </cell>
          <cell r="N2795">
            <v>6240</v>
          </cell>
          <cell r="O2795">
            <v>0</v>
          </cell>
          <cell r="P2795">
            <v>6240</v>
          </cell>
          <cell r="Q2795">
            <v>0</v>
          </cell>
          <cell r="R2795">
            <v>6240</v>
          </cell>
          <cell r="S2795">
            <v>0</v>
          </cell>
          <cell r="T2795">
            <v>6240</v>
          </cell>
          <cell r="U2795">
            <v>0</v>
          </cell>
          <cell r="V2795">
            <v>6240</v>
          </cell>
          <cell r="W2795">
            <v>0</v>
          </cell>
          <cell r="X2795">
            <v>6240</v>
          </cell>
          <cell r="Y2795">
            <v>0</v>
          </cell>
          <cell r="Z2795">
            <v>6240</v>
          </cell>
          <cell r="AA2795">
            <v>0</v>
          </cell>
          <cell r="AB2795">
            <v>0</v>
          </cell>
          <cell r="AC2795">
            <v>0</v>
          </cell>
          <cell r="AD2795">
            <v>9.7000000000000003E-2</v>
          </cell>
          <cell r="AE2795">
            <v>0</v>
          </cell>
          <cell r="AF2795">
            <v>0</v>
          </cell>
          <cell r="AG2795">
            <v>0</v>
          </cell>
          <cell r="AH2795">
            <v>0</v>
          </cell>
          <cell r="AI2795">
            <v>0</v>
          </cell>
          <cell r="AJ2795">
            <v>0</v>
          </cell>
          <cell r="AK2795">
            <v>0</v>
          </cell>
          <cell r="AL2795" t="str">
            <v>壁掛形-木製5W-AT付</v>
          </cell>
        </row>
        <row r="2796">
          <cell r="E2796" t="str">
            <v>天井埋込形-ABS-3W</v>
          </cell>
          <cell r="F2796" t="str">
            <v>個</v>
          </cell>
          <cell r="G2796">
            <v>0</v>
          </cell>
          <cell r="H2796">
            <v>3770</v>
          </cell>
          <cell r="I2796">
            <v>0</v>
          </cell>
          <cell r="J2796">
            <v>3770</v>
          </cell>
          <cell r="K2796">
            <v>0</v>
          </cell>
          <cell r="L2796">
            <v>3770</v>
          </cell>
          <cell r="M2796">
            <v>0</v>
          </cell>
          <cell r="N2796">
            <v>3770</v>
          </cell>
          <cell r="O2796">
            <v>0</v>
          </cell>
          <cell r="P2796">
            <v>3770</v>
          </cell>
          <cell r="Q2796">
            <v>0</v>
          </cell>
          <cell r="R2796">
            <v>3770</v>
          </cell>
          <cell r="S2796">
            <v>0</v>
          </cell>
          <cell r="T2796">
            <v>3770</v>
          </cell>
          <cell r="U2796">
            <v>0</v>
          </cell>
          <cell r="V2796">
            <v>3770</v>
          </cell>
          <cell r="W2796">
            <v>0</v>
          </cell>
          <cell r="X2796">
            <v>3770</v>
          </cell>
          <cell r="Y2796">
            <v>0</v>
          </cell>
          <cell r="Z2796">
            <v>3770</v>
          </cell>
          <cell r="AA2796">
            <v>0</v>
          </cell>
          <cell r="AB2796">
            <v>0</v>
          </cell>
          <cell r="AC2796">
            <v>0</v>
          </cell>
          <cell r="AD2796">
            <v>0.19500000000000001</v>
          </cell>
          <cell r="AE2796">
            <v>0</v>
          </cell>
          <cell r="AF2796">
            <v>0</v>
          </cell>
          <cell r="AG2796">
            <v>0</v>
          </cell>
          <cell r="AH2796">
            <v>0</v>
          </cell>
          <cell r="AI2796">
            <v>0</v>
          </cell>
          <cell r="AJ2796">
            <v>0</v>
          </cell>
          <cell r="AK2796">
            <v>0</v>
          </cell>
          <cell r="AL2796">
            <v>0</v>
          </cell>
        </row>
        <row r="2797">
          <cell r="E2797" t="str">
            <v>天井埋込形-ABS-3W-AT付</v>
          </cell>
          <cell r="F2797" t="str">
            <v>個</v>
          </cell>
          <cell r="G2797">
            <v>0</v>
          </cell>
          <cell r="H2797">
            <v>4680</v>
          </cell>
          <cell r="I2797">
            <v>0</v>
          </cell>
          <cell r="J2797">
            <v>4680</v>
          </cell>
          <cell r="K2797">
            <v>0</v>
          </cell>
          <cell r="L2797">
            <v>4680</v>
          </cell>
          <cell r="M2797">
            <v>0</v>
          </cell>
          <cell r="N2797">
            <v>4680</v>
          </cell>
          <cell r="O2797">
            <v>0</v>
          </cell>
          <cell r="P2797">
            <v>4680</v>
          </cell>
          <cell r="Q2797">
            <v>0</v>
          </cell>
          <cell r="R2797">
            <v>4680</v>
          </cell>
          <cell r="S2797">
            <v>0</v>
          </cell>
          <cell r="T2797">
            <v>4680</v>
          </cell>
          <cell r="U2797">
            <v>0</v>
          </cell>
          <cell r="V2797">
            <v>4680</v>
          </cell>
          <cell r="W2797">
            <v>0</v>
          </cell>
          <cell r="X2797">
            <v>4680</v>
          </cell>
          <cell r="Y2797">
            <v>0</v>
          </cell>
          <cell r="Z2797">
            <v>4680</v>
          </cell>
          <cell r="AA2797">
            <v>0</v>
          </cell>
          <cell r="AB2797">
            <v>0</v>
          </cell>
          <cell r="AC2797">
            <v>0</v>
          </cell>
          <cell r="AD2797">
            <v>0.19500000000000001</v>
          </cell>
          <cell r="AE2797">
            <v>0</v>
          </cell>
          <cell r="AF2797">
            <v>0</v>
          </cell>
          <cell r="AG2797">
            <v>0</v>
          </cell>
          <cell r="AH2797">
            <v>0</v>
          </cell>
          <cell r="AI2797">
            <v>0</v>
          </cell>
          <cell r="AJ2797">
            <v>0</v>
          </cell>
          <cell r="AK2797">
            <v>0</v>
          </cell>
          <cell r="AL2797">
            <v>0</v>
          </cell>
        </row>
        <row r="2798">
          <cell r="E2798" t="str">
            <v>天井埋込形-ABS-6W</v>
          </cell>
          <cell r="F2798" t="str">
            <v>個</v>
          </cell>
          <cell r="G2798">
            <v>0</v>
          </cell>
          <cell r="H2798">
            <v>3770</v>
          </cell>
          <cell r="I2798">
            <v>0</v>
          </cell>
          <cell r="J2798">
            <v>3770</v>
          </cell>
          <cell r="K2798">
            <v>0</v>
          </cell>
          <cell r="L2798">
            <v>3770</v>
          </cell>
          <cell r="M2798">
            <v>0</v>
          </cell>
          <cell r="N2798">
            <v>3770</v>
          </cell>
          <cell r="O2798">
            <v>0</v>
          </cell>
          <cell r="P2798">
            <v>3770</v>
          </cell>
          <cell r="Q2798">
            <v>0</v>
          </cell>
          <cell r="R2798">
            <v>3770</v>
          </cell>
          <cell r="S2798">
            <v>0</v>
          </cell>
          <cell r="T2798">
            <v>3770</v>
          </cell>
          <cell r="U2798">
            <v>0</v>
          </cell>
          <cell r="V2798">
            <v>3770</v>
          </cell>
          <cell r="W2798">
            <v>0</v>
          </cell>
          <cell r="X2798">
            <v>3770</v>
          </cell>
          <cell r="Y2798">
            <v>0</v>
          </cell>
          <cell r="Z2798">
            <v>3770</v>
          </cell>
          <cell r="AA2798">
            <v>0</v>
          </cell>
          <cell r="AB2798">
            <v>0</v>
          </cell>
          <cell r="AC2798">
            <v>0</v>
          </cell>
          <cell r="AD2798">
            <v>0.19500000000000001</v>
          </cell>
          <cell r="AE2798">
            <v>0</v>
          </cell>
          <cell r="AF2798">
            <v>0</v>
          </cell>
          <cell r="AG2798">
            <v>0</v>
          </cell>
          <cell r="AH2798">
            <v>0</v>
          </cell>
          <cell r="AI2798">
            <v>0</v>
          </cell>
          <cell r="AJ2798">
            <v>0</v>
          </cell>
          <cell r="AK2798">
            <v>0</v>
          </cell>
          <cell r="AL2798">
            <v>0</v>
          </cell>
        </row>
        <row r="2799">
          <cell r="E2799" t="str">
            <v>天井埋込形-ABS-6W-AT付</v>
          </cell>
          <cell r="F2799" t="str">
            <v>個</v>
          </cell>
          <cell r="G2799">
            <v>0</v>
          </cell>
          <cell r="H2799">
            <v>4680</v>
          </cell>
          <cell r="I2799">
            <v>0</v>
          </cell>
          <cell r="J2799">
            <v>4680</v>
          </cell>
          <cell r="K2799">
            <v>0</v>
          </cell>
          <cell r="L2799">
            <v>4680</v>
          </cell>
          <cell r="M2799">
            <v>0</v>
          </cell>
          <cell r="N2799">
            <v>4680</v>
          </cell>
          <cell r="O2799">
            <v>0</v>
          </cell>
          <cell r="P2799">
            <v>4680</v>
          </cell>
          <cell r="Q2799">
            <v>0</v>
          </cell>
          <cell r="R2799">
            <v>4680</v>
          </cell>
          <cell r="S2799">
            <v>0</v>
          </cell>
          <cell r="T2799">
            <v>4680</v>
          </cell>
          <cell r="U2799">
            <v>0</v>
          </cell>
          <cell r="V2799">
            <v>4680</v>
          </cell>
          <cell r="W2799">
            <v>0</v>
          </cell>
          <cell r="X2799">
            <v>4680</v>
          </cell>
          <cell r="Y2799">
            <v>0</v>
          </cell>
          <cell r="Z2799">
            <v>4680</v>
          </cell>
          <cell r="AA2799">
            <v>0</v>
          </cell>
          <cell r="AB2799">
            <v>0</v>
          </cell>
          <cell r="AC2799">
            <v>0</v>
          </cell>
          <cell r="AD2799">
            <v>0.19500000000000001</v>
          </cell>
          <cell r="AE2799">
            <v>0</v>
          </cell>
          <cell r="AF2799">
            <v>0</v>
          </cell>
          <cell r="AG2799">
            <v>0</v>
          </cell>
          <cell r="AH2799">
            <v>0</v>
          </cell>
          <cell r="AI2799">
            <v>0</v>
          </cell>
          <cell r="AJ2799">
            <v>0</v>
          </cell>
          <cell r="AK2799">
            <v>0</v>
          </cell>
          <cell r="AL2799">
            <v>0</v>
          </cell>
        </row>
        <row r="2800">
          <cell r="E2800" t="str">
            <v>天井埋込形-ABS-3W布張り</v>
          </cell>
          <cell r="F2800" t="str">
            <v>個</v>
          </cell>
          <cell r="G2800">
            <v>0</v>
          </cell>
          <cell r="H2800">
            <v>4030</v>
          </cell>
          <cell r="I2800">
            <v>0</v>
          </cell>
          <cell r="J2800">
            <v>4030</v>
          </cell>
          <cell r="K2800">
            <v>0</v>
          </cell>
          <cell r="L2800">
            <v>4030</v>
          </cell>
          <cell r="M2800">
            <v>0</v>
          </cell>
          <cell r="N2800">
            <v>4030</v>
          </cell>
          <cell r="O2800">
            <v>0</v>
          </cell>
          <cell r="P2800">
            <v>4030</v>
          </cell>
          <cell r="Q2800">
            <v>0</v>
          </cell>
          <cell r="R2800">
            <v>4030</v>
          </cell>
          <cell r="S2800">
            <v>0</v>
          </cell>
          <cell r="T2800">
            <v>4030</v>
          </cell>
          <cell r="U2800">
            <v>0</v>
          </cell>
          <cell r="V2800">
            <v>4030</v>
          </cell>
          <cell r="W2800">
            <v>0</v>
          </cell>
          <cell r="X2800">
            <v>4030</v>
          </cell>
          <cell r="Y2800">
            <v>0</v>
          </cell>
          <cell r="Z2800">
            <v>4030</v>
          </cell>
          <cell r="AA2800">
            <v>0</v>
          </cell>
          <cell r="AB2800">
            <v>0</v>
          </cell>
          <cell r="AC2800">
            <v>0</v>
          </cell>
          <cell r="AD2800">
            <v>0.19500000000000001</v>
          </cell>
          <cell r="AE2800">
            <v>0</v>
          </cell>
          <cell r="AF2800">
            <v>0</v>
          </cell>
          <cell r="AG2800">
            <v>0</v>
          </cell>
          <cell r="AH2800">
            <v>0</v>
          </cell>
          <cell r="AI2800">
            <v>0</v>
          </cell>
          <cell r="AJ2800">
            <v>0</v>
          </cell>
          <cell r="AK2800">
            <v>0</v>
          </cell>
          <cell r="AL2800">
            <v>0</v>
          </cell>
        </row>
        <row r="2801">
          <cell r="E2801" t="str">
            <v>天井埋込形-ABS-3W-AT付布張り</v>
          </cell>
          <cell r="F2801" t="str">
            <v>個</v>
          </cell>
          <cell r="G2801">
            <v>0</v>
          </cell>
          <cell r="H2801">
            <v>5000</v>
          </cell>
          <cell r="I2801">
            <v>0</v>
          </cell>
          <cell r="J2801">
            <v>5000</v>
          </cell>
          <cell r="K2801">
            <v>0</v>
          </cell>
          <cell r="L2801">
            <v>5000</v>
          </cell>
          <cell r="M2801">
            <v>0</v>
          </cell>
          <cell r="N2801">
            <v>5000</v>
          </cell>
          <cell r="O2801">
            <v>0</v>
          </cell>
          <cell r="P2801">
            <v>5000</v>
          </cell>
          <cell r="Q2801">
            <v>0</v>
          </cell>
          <cell r="R2801">
            <v>5000</v>
          </cell>
          <cell r="S2801">
            <v>0</v>
          </cell>
          <cell r="T2801">
            <v>5000</v>
          </cell>
          <cell r="U2801">
            <v>0</v>
          </cell>
          <cell r="V2801">
            <v>5000</v>
          </cell>
          <cell r="W2801">
            <v>0</v>
          </cell>
          <cell r="X2801">
            <v>5000</v>
          </cell>
          <cell r="Y2801">
            <v>0</v>
          </cell>
          <cell r="Z2801">
            <v>5000</v>
          </cell>
          <cell r="AA2801">
            <v>0</v>
          </cell>
          <cell r="AB2801">
            <v>0</v>
          </cell>
          <cell r="AC2801">
            <v>0</v>
          </cell>
          <cell r="AD2801">
            <v>0.19500000000000001</v>
          </cell>
          <cell r="AE2801">
            <v>0</v>
          </cell>
          <cell r="AF2801">
            <v>0</v>
          </cell>
          <cell r="AG2801">
            <v>0</v>
          </cell>
          <cell r="AH2801">
            <v>0</v>
          </cell>
          <cell r="AI2801">
            <v>0</v>
          </cell>
          <cell r="AJ2801">
            <v>0</v>
          </cell>
          <cell r="AK2801">
            <v>0</v>
          </cell>
          <cell r="AL2801">
            <v>0</v>
          </cell>
        </row>
        <row r="2802">
          <cell r="E2802" t="str">
            <v>天井埋込形-ABS-6W布張り</v>
          </cell>
          <cell r="F2802" t="str">
            <v>個</v>
          </cell>
          <cell r="G2802">
            <v>0</v>
          </cell>
          <cell r="H2802">
            <v>4030</v>
          </cell>
          <cell r="I2802">
            <v>0</v>
          </cell>
          <cell r="J2802">
            <v>4030</v>
          </cell>
          <cell r="K2802">
            <v>0</v>
          </cell>
          <cell r="L2802">
            <v>4030</v>
          </cell>
          <cell r="M2802">
            <v>0</v>
          </cell>
          <cell r="N2802">
            <v>4030</v>
          </cell>
          <cell r="O2802">
            <v>0</v>
          </cell>
          <cell r="P2802">
            <v>4030</v>
          </cell>
          <cell r="Q2802">
            <v>0</v>
          </cell>
          <cell r="R2802">
            <v>4030</v>
          </cell>
          <cell r="S2802">
            <v>0</v>
          </cell>
          <cell r="T2802">
            <v>4030</v>
          </cell>
          <cell r="U2802">
            <v>0</v>
          </cell>
          <cell r="V2802">
            <v>4030</v>
          </cell>
          <cell r="W2802">
            <v>0</v>
          </cell>
          <cell r="X2802">
            <v>4030</v>
          </cell>
          <cell r="Y2802">
            <v>0</v>
          </cell>
          <cell r="Z2802">
            <v>4030</v>
          </cell>
          <cell r="AA2802">
            <v>0</v>
          </cell>
          <cell r="AB2802">
            <v>0</v>
          </cell>
          <cell r="AC2802">
            <v>0</v>
          </cell>
          <cell r="AD2802">
            <v>0.19500000000000001</v>
          </cell>
          <cell r="AE2802">
            <v>0</v>
          </cell>
          <cell r="AF2802">
            <v>0</v>
          </cell>
          <cell r="AG2802">
            <v>0</v>
          </cell>
          <cell r="AH2802">
            <v>0</v>
          </cell>
          <cell r="AI2802">
            <v>0</v>
          </cell>
          <cell r="AJ2802">
            <v>0</v>
          </cell>
          <cell r="AK2802">
            <v>0</v>
          </cell>
          <cell r="AL2802">
            <v>0</v>
          </cell>
        </row>
        <row r="2803">
          <cell r="E2803" t="str">
            <v>天井埋込形-ABS-6W-AT付布張り</v>
          </cell>
          <cell r="F2803" t="str">
            <v>個</v>
          </cell>
          <cell r="G2803">
            <v>0</v>
          </cell>
          <cell r="H2803">
            <v>5000</v>
          </cell>
          <cell r="I2803">
            <v>0</v>
          </cell>
          <cell r="J2803">
            <v>5000</v>
          </cell>
          <cell r="K2803">
            <v>0</v>
          </cell>
          <cell r="L2803">
            <v>5000</v>
          </cell>
          <cell r="M2803">
            <v>0</v>
          </cell>
          <cell r="N2803">
            <v>5000</v>
          </cell>
          <cell r="O2803">
            <v>0</v>
          </cell>
          <cell r="P2803">
            <v>5000</v>
          </cell>
          <cell r="Q2803">
            <v>0</v>
          </cell>
          <cell r="R2803">
            <v>5000</v>
          </cell>
          <cell r="S2803">
            <v>0</v>
          </cell>
          <cell r="T2803">
            <v>5000</v>
          </cell>
          <cell r="U2803">
            <v>0</v>
          </cell>
          <cell r="V2803">
            <v>5000</v>
          </cell>
          <cell r="W2803">
            <v>0</v>
          </cell>
          <cell r="X2803">
            <v>5000</v>
          </cell>
          <cell r="Y2803">
            <v>0</v>
          </cell>
          <cell r="Z2803">
            <v>5000</v>
          </cell>
          <cell r="AA2803">
            <v>0</v>
          </cell>
          <cell r="AB2803">
            <v>0</v>
          </cell>
          <cell r="AC2803">
            <v>0</v>
          </cell>
          <cell r="AD2803">
            <v>0.19500000000000001</v>
          </cell>
          <cell r="AE2803">
            <v>0</v>
          </cell>
          <cell r="AF2803">
            <v>0</v>
          </cell>
          <cell r="AG2803">
            <v>0</v>
          </cell>
          <cell r="AH2803">
            <v>0</v>
          </cell>
          <cell r="AI2803">
            <v>0</v>
          </cell>
          <cell r="AJ2803">
            <v>0</v>
          </cell>
          <cell r="AK2803">
            <v>0</v>
          </cell>
          <cell r="AL2803">
            <v>0</v>
          </cell>
        </row>
        <row r="2804">
          <cell r="E2804" t="str">
            <v>スピーカ 3W S1</v>
          </cell>
          <cell r="F2804" t="str">
            <v>個</v>
          </cell>
          <cell r="G2804">
            <v>0</v>
          </cell>
          <cell r="H2804">
            <v>5330</v>
          </cell>
          <cell r="I2804">
            <v>0</v>
          </cell>
          <cell r="J2804">
            <v>5330</v>
          </cell>
          <cell r="K2804">
            <v>0</v>
          </cell>
          <cell r="L2804">
            <v>5330</v>
          </cell>
          <cell r="M2804">
            <v>0</v>
          </cell>
          <cell r="N2804">
            <v>5330</v>
          </cell>
          <cell r="O2804">
            <v>0</v>
          </cell>
          <cell r="P2804">
            <v>5330</v>
          </cell>
          <cell r="Q2804">
            <v>0</v>
          </cell>
          <cell r="R2804">
            <v>5330</v>
          </cell>
          <cell r="S2804">
            <v>0</v>
          </cell>
          <cell r="T2804">
            <v>5330</v>
          </cell>
          <cell r="U2804">
            <v>0</v>
          </cell>
          <cell r="V2804">
            <v>5330</v>
          </cell>
          <cell r="W2804">
            <v>0</v>
          </cell>
          <cell r="X2804">
            <v>5330</v>
          </cell>
          <cell r="Y2804">
            <v>0</v>
          </cell>
          <cell r="Z2804">
            <v>5330</v>
          </cell>
          <cell r="AA2804">
            <v>0</v>
          </cell>
          <cell r="AB2804">
            <v>0</v>
          </cell>
          <cell r="AC2804">
            <v>0</v>
          </cell>
          <cell r="AD2804">
            <v>0.19500000000000001</v>
          </cell>
          <cell r="AE2804">
            <v>0</v>
          </cell>
          <cell r="AF2804">
            <v>0</v>
          </cell>
          <cell r="AG2804">
            <v>0</v>
          </cell>
          <cell r="AH2804">
            <v>0</v>
          </cell>
          <cell r="AI2804">
            <v>0</v>
          </cell>
          <cell r="AJ2804">
            <v>0</v>
          </cell>
          <cell r="AK2804">
            <v>0</v>
          </cell>
          <cell r="AL2804" t="str">
            <v>天井埋込形-金属-3W</v>
          </cell>
        </row>
        <row r="2805">
          <cell r="E2805" t="str">
            <v>天井埋込形-金属-3W-AT付</v>
          </cell>
          <cell r="F2805" t="str">
            <v>個</v>
          </cell>
          <cell r="G2805">
            <v>0</v>
          </cell>
          <cell r="H2805">
            <v>6110</v>
          </cell>
          <cell r="I2805">
            <v>0</v>
          </cell>
          <cell r="J2805">
            <v>6110</v>
          </cell>
          <cell r="K2805">
            <v>0</v>
          </cell>
          <cell r="L2805">
            <v>6110</v>
          </cell>
          <cell r="M2805">
            <v>0</v>
          </cell>
          <cell r="N2805">
            <v>6110</v>
          </cell>
          <cell r="O2805">
            <v>0</v>
          </cell>
          <cell r="P2805">
            <v>6110</v>
          </cell>
          <cell r="Q2805">
            <v>0</v>
          </cell>
          <cell r="R2805">
            <v>6110</v>
          </cell>
          <cell r="S2805">
            <v>0</v>
          </cell>
          <cell r="T2805">
            <v>6110</v>
          </cell>
          <cell r="U2805">
            <v>0</v>
          </cell>
          <cell r="V2805">
            <v>6110</v>
          </cell>
          <cell r="W2805">
            <v>0</v>
          </cell>
          <cell r="X2805">
            <v>6110</v>
          </cell>
          <cell r="Y2805">
            <v>0</v>
          </cell>
          <cell r="Z2805">
            <v>6110</v>
          </cell>
          <cell r="AA2805">
            <v>0</v>
          </cell>
          <cell r="AB2805">
            <v>0</v>
          </cell>
          <cell r="AC2805">
            <v>0</v>
          </cell>
          <cell r="AD2805">
            <v>0.19500000000000001</v>
          </cell>
          <cell r="AE2805">
            <v>0</v>
          </cell>
          <cell r="AF2805">
            <v>0</v>
          </cell>
          <cell r="AG2805">
            <v>0</v>
          </cell>
          <cell r="AH2805">
            <v>0</v>
          </cell>
          <cell r="AI2805">
            <v>0</v>
          </cell>
          <cell r="AJ2805">
            <v>0</v>
          </cell>
          <cell r="AK2805">
            <v>0</v>
          </cell>
          <cell r="AL2805">
            <v>0</v>
          </cell>
        </row>
        <row r="2806">
          <cell r="E2806" t="str">
            <v>スピーカ 6W S2</v>
          </cell>
          <cell r="F2806" t="str">
            <v>個</v>
          </cell>
          <cell r="G2806">
            <v>0</v>
          </cell>
          <cell r="H2806">
            <v>5330</v>
          </cell>
          <cell r="I2806">
            <v>0</v>
          </cell>
          <cell r="J2806">
            <v>5330</v>
          </cell>
          <cell r="K2806">
            <v>0</v>
          </cell>
          <cell r="L2806">
            <v>5330</v>
          </cell>
          <cell r="M2806">
            <v>0</v>
          </cell>
          <cell r="N2806">
            <v>5330</v>
          </cell>
          <cell r="O2806">
            <v>0</v>
          </cell>
          <cell r="P2806">
            <v>5330</v>
          </cell>
          <cell r="Q2806">
            <v>0</v>
          </cell>
          <cell r="R2806">
            <v>5330</v>
          </cell>
          <cell r="S2806">
            <v>0</v>
          </cell>
          <cell r="T2806">
            <v>5330</v>
          </cell>
          <cell r="U2806">
            <v>0</v>
          </cell>
          <cell r="V2806">
            <v>5330</v>
          </cell>
          <cell r="W2806">
            <v>0</v>
          </cell>
          <cell r="X2806">
            <v>5330</v>
          </cell>
          <cell r="Y2806">
            <v>0</v>
          </cell>
          <cell r="Z2806">
            <v>5330</v>
          </cell>
          <cell r="AA2806">
            <v>0</v>
          </cell>
          <cell r="AB2806">
            <v>0</v>
          </cell>
          <cell r="AC2806">
            <v>0</v>
          </cell>
          <cell r="AD2806">
            <v>0.19500000000000001</v>
          </cell>
          <cell r="AE2806">
            <v>0</v>
          </cell>
          <cell r="AF2806">
            <v>0</v>
          </cell>
          <cell r="AG2806">
            <v>0</v>
          </cell>
          <cell r="AH2806">
            <v>0</v>
          </cell>
          <cell r="AI2806">
            <v>0</v>
          </cell>
          <cell r="AJ2806">
            <v>0</v>
          </cell>
          <cell r="AK2806">
            <v>0</v>
          </cell>
          <cell r="AL2806" t="str">
            <v>天井埋込形-金属-6W</v>
          </cell>
        </row>
        <row r="2807">
          <cell r="E2807" t="str">
            <v>天井埋込形-金属-6W-AT付</v>
          </cell>
          <cell r="F2807" t="str">
            <v>個</v>
          </cell>
          <cell r="G2807">
            <v>0</v>
          </cell>
          <cell r="H2807">
            <v>6110</v>
          </cell>
          <cell r="I2807">
            <v>0</v>
          </cell>
          <cell r="J2807">
            <v>6110</v>
          </cell>
          <cell r="K2807">
            <v>0</v>
          </cell>
          <cell r="L2807">
            <v>6110</v>
          </cell>
          <cell r="M2807">
            <v>0</v>
          </cell>
          <cell r="N2807">
            <v>6110</v>
          </cell>
          <cell r="O2807">
            <v>0</v>
          </cell>
          <cell r="P2807">
            <v>6110</v>
          </cell>
          <cell r="Q2807">
            <v>0</v>
          </cell>
          <cell r="R2807">
            <v>6110</v>
          </cell>
          <cell r="S2807">
            <v>0</v>
          </cell>
          <cell r="T2807">
            <v>6110</v>
          </cell>
          <cell r="U2807">
            <v>0</v>
          </cell>
          <cell r="V2807">
            <v>6110</v>
          </cell>
          <cell r="W2807">
            <v>0</v>
          </cell>
          <cell r="X2807">
            <v>6110</v>
          </cell>
          <cell r="Y2807">
            <v>0</v>
          </cell>
          <cell r="Z2807">
            <v>6110</v>
          </cell>
          <cell r="AA2807">
            <v>0</v>
          </cell>
          <cell r="AB2807">
            <v>0</v>
          </cell>
          <cell r="AC2807">
            <v>0</v>
          </cell>
          <cell r="AD2807">
            <v>0.19500000000000001</v>
          </cell>
          <cell r="AE2807">
            <v>0</v>
          </cell>
          <cell r="AF2807">
            <v>0</v>
          </cell>
          <cell r="AG2807">
            <v>0</v>
          </cell>
          <cell r="AH2807">
            <v>0</v>
          </cell>
          <cell r="AI2807">
            <v>0</v>
          </cell>
          <cell r="AJ2807">
            <v>0</v>
          </cell>
          <cell r="AK2807">
            <v>0</v>
          </cell>
          <cell r="AL2807">
            <v>0</v>
          </cell>
        </row>
        <row r="2808">
          <cell r="E2808" t="str">
            <v>カットリレー</v>
          </cell>
          <cell r="F2808" t="str">
            <v>個</v>
          </cell>
          <cell r="G2808">
            <v>0</v>
          </cell>
          <cell r="H2808">
            <v>12000</v>
          </cell>
          <cell r="I2808">
            <v>0</v>
          </cell>
          <cell r="J2808">
            <v>12000</v>
          </cell>
          <cell r="K2808">
            <v>0</v>
          </cell>
          <cell r="L2808">
            <v>12000</v>
          </cell>
          <cell r="M2808">
            <v>0</v>
          </cell>
          <cell r="N2808">
            <v>12000</v>
          </cell>
          <cell r="O2808">
            <v>0</v>
          </cell>
          <cell r="P2808">
            <v>12000</v>
          </cell>
          <cell r="Q2808">
            <v>0</v>
          </cell>
          <cell r="R2808">
            <v>12000</v>
          </cell>
          <cell r="S2808">
            <v>0</v>
          </cell>
          <cell r="T2808">
            <v>12000</v>
          </cell>
          <cell r="U2808">
            <v>0</v>
          </cell>
          <cell r="V2808">
            <v>12000</v>
          </cell>
          <cell r="W2808">
            <v>0</v>
          </cell>
          <cell r="X2808">
            <v>12000</v>
          </cell>
          <cell r="Y2808">
            <v>0</v>
          </cell>
          <cell r="Z2808">
            <v>12000</v>
          </cell>
          <cell r="AA2808">
            <v>0</v>
          </cell>
          <cell r="AB2808">
            <v>0</v>
          </cell>
          <cell r="AC2808">
            <v>0</v>
          </cell>
          <cell r="AD2808">
            <v>0.2</v>
          </cell>
          <cell r="AE2808">
            <v>0</v>
          </cell>
          <cell r="AF2808">
            <v>0</v>
          </cell>
          <cell r="AG2808">
            <v>0</v>
          </cell>
          <cell r="AH2808">
            <v>0</v>
          </cell>
          <cell r="AI2808">
            <v>0</v>
          </cell>
          <cell r="AJ2808">
            <v>0</v>
          </cell>
          <cell r="AK2808">
            <v>0</v>
          </cell>
          <cell r="AL2808">
            <v>0</v>
          </cell>
        </row>
        <row r="2809">
          <cell r="E2809" t="str">
            <v>プロセニアム・スピーカ 20W</v>
          </cell>
          <cell r="F2809" t="str">
            <v>個</v>
          </cell>
          <cell r="G2809">
            <v>0</v>
          </cell>
          <cell r="H2809">
            <v>50000</v>
          </cell>
          <cell r="I2809">
            <v>0</v>
          </cell>
          <cell r="J2809">
            <v>50000</v>
          </cell>
          <cell r="K2809">
            <v>0</v>
          </cell>
          <cell r="L2809">
            <v>50000</v>
          </cell>
          <cell r="M2809">
            <v>0</v>
          </cell>
          <cell r="N2809">
            <v>50000</v>
          </cell>
          <cell r="O2809">
            <v>0</v>
          </cell>
          <cell r="P2809">
            <v>50000</v>
          </cell>
          <cell r="Q2809">
            <v>0</v>
          </cell>
          <cell r="R2809">
            <v>50000</v>
          </cell>
          <cell r="S2809">
            <v>0</v>
          </cell>
          <cell r="T2809">
            <v>50000</v>
          </cell>
          <cell r="U2809">
            <v>0</v>
          </cell>
          <cell r="V2809">
            <v>50000</v>
          </cell>
          <cell r="W2809">
            <v>0</v>
          </cell>
          <cell r="X2809">
            <v>50000</v>
          </cell>
          <cell r="Y2809">
            <v>0</v>
          </cell>
          <cell r="Z2809">
            <v>50000</v>
          </cell>
          <cell r="AA2809">
            <v>0</v>
          </cell>
          <cell r="AB2809">
            <v>0</v>
          </cell>
          <cell r="AC2809">
            <v>0</v>
          </cell>
          <cell r="AD2809">
            <v>0.3</v>
          </cell>
          <cell r="AE2809">
            <v>0</v>
          </cell>
          <cell r="AF2809">
            <v>0</v>
          </cell>
          <cell r="AG2809">
            <v>0</v>
          </cell>
          <cell r="AH2809">
            <v>0</v>
          </cell>
          <cell r="AI2809">
            <v>0</v>
          </cell>
          <cell r="AJ2809">
            <v>0</v>
          </cell>
          <cell r="AK2809">
            <v>0</v>
          </cell>
          <cell r="AL2809">
            <v>0</v>
          </cell>
        </row>
        <row r="2810">
          <cell r="E2810" t="str">
            <v>ソノライン・スピーカ 20W</v>
          </cell>
          <cell r="F2810" t="str">
            <v>個</v>
          </cell>
          <cell r="G2810">
            <v>0</v>
          </cell>
          <cell r="H2810">
            <v>45000</v>
          </cell>
          <cell r="I2810">
            <v>0</v>
          </cell>
          <cell r="J2810">
            <v>45000</v>
          </cell>
          <cell r="K2810">
            <v>0</v>
          </cell>
          <cell r="L2810">
            <v>45000</v>
          </cell>
          <cell r="M2810">
            <v>0</v>
          </cell>
          <cell r="N2810">
            <v>45000</v>
          </cell>
          <cell r="O2810">
            <v>0</v>
          </cell>
          <cell r="P2810">
            <v>45000</v>
          </cell>
          <cell r="Q2810">
            <v>0</v>
          </cell>
          <cell r="R2810">
            <v>45000</v>
          </cell>
          <cell r="S2810">
            <v>0</v>
          </cell>
          <cell r="T2810">
            <v>45000</v>
          </cell>
          <cell r="U2810">
            <v>0</v>
          </cell>
          <cell r="V2810">
            <v>45000</v>
          </cell>
          <cell r="W2810">
            <v>0</v>
          </cell>
          <cell r="X2810">
            <v>45000</v>
          </cell>
          <cell r="Y2810">
            <v>0</v>
          </cell>
          <cell r="Z2810">
            <v>45000</v>
          </cell>
          <cell r="AA2810">
            <v>0</v>
          </cell>
          <cell r="AB2810">
            <v>0</v>
          </cell>
          <cell r="AC2810">
            <v>0</v>
          </cell>
          <cell r="AD2810">
            <v>0.2</v>
          </cell>
          <cell r="AE2810">
            <v>0</v>
          </cell>
          <cell r="AF2810">
            <v>0</v>
          </cell>
          <cell r="AG2810">
            <v>0</v>
          </cell>
          <cell r="AH2810">
            <v>0</v>
          </cell>
          <cell r="AI2810">
            <v>0</v>
          </cell>
          <cell r="AJ2810">
            <v>0</v>
          </cell>
          <cell r="AK2810">
            <v>0</v>
          </cell>
          <cell r="AL2810">
            <v>0</v>
          </cell>
        </row>
        <row r="2811">
          <cell r="E2811">
            <v>0</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row>
        <row r="2812">
          <cell r="E2812" t="str">
            <v>アッテネータ 3W</v>
          </cell>
          <cell r="F2812" t="str">
            <v>個</v>
          </cell>
          <cell r="G2812">
            <v>0</v>
          </cell>
          <cell r="H2812">
            <v>2500</v>
          </cell>
          <cell r="I2812">
            <v>0</v>
          </cell>
          <cell r="J2812">
            <v>2500</v>
          </cell>
          <cell r="K2812">
            <v>0</v>
          </cell>
          <cell r="L2812">
            <v>2500</v>
          </cell>
          <cell r="M2812">
            <v>0</v>
          </cell>
          <cell r="N2812">
            <v>2500</v>
          </cell>
          <cell r="O2812">
            <v>0</v>
          </cell>
          <cell r="P2812">
            <v>2500</v>
          </cell>
          <cell r="Q2812">
            <v>0</v>
          </cell>
          <cell r="R2812">
            <v>2500</v>
          </cell>
          <cell r="S2812">
            <v>0</v>
          </cell>
          <cell r="T2812">
            <v>2500</v>
          </cell>
          <cell r="U2812">
            <v>0</v>
          </cell>
          <cell r="V2812">
            <v>2500</v>
          </cell>
          <cell r="W2812">
            <v>0</v>
          </cell>
          <cell r="X2812">
            <v>2500</v>
          </cell>
          <cell r="Y2812">
            <v>0</v>
          </cell>
          <cell r="Z2812">
            <v>2500</v>
          </cell>
          <cell r="AA2812">
            <v>0</v>
          </cell>
          <cell r="AB2812">
            <v>0</v>
          </cell>
          <cell r="AC2812">
            <v>0</v>
          </cell>
          <cell r="AD2812">
            <v>5.2999999999999999E-2</v>
          </cell>
          <cell r="AE2812">
            <v>0</v>
          </cell>
          <cell r="AF2812">
            <v>0</v>
          </cell>
          <cell r="AG2812">
            <v>0</v>
          </cell>
          <cell r="AH2812">
            <v>0</v>
          </cell>
          <cell r="AI2812">
            <v>0</v>
          </cell>
          <cell r="AJ2812">
            <v>0</v>
          </cell>
          <cell r="AK2812">
            <v>0</v>
          </cell>
          <cell r="AL2812">
            <v>0</v>
          </cell>
        </row>
        <row r="2813">
          <cell r="E2813" t="str">
            <v>アッテネータ 6W</v>
          </cell>
          <cell r="F2813" t="str">
            <v>個</v>
          </cell>
          <cell r="G2813">
            <v>0</v>
          </cell>
          <cell r="H2813">
            <v>2800</v>
          </cell>
          <cell r="I2813">
            <v>0</v>
          </cell>
          <cell r="J2813">
            <v>2800</v>
          </cell>
          <cell r="K2813">
            <v>0</v>
          </cell>
          <cell r="L2813">
            <v>2800</v>
          </cell>
          <cell r="M2813">
            <v>0</v>
          </cell>
          <cell r="N2813">
            <v>2800</v>
          </cell>
          <cell r="O2813">
            <v>0</v>
          </cell>
          <cell r="P2813">
            <v>2800</v>
          </cell>
          <cell r="Q2813">
            <v>0</v>
          </cell>
          <cell r="R2813">
            <v>2800</v>
          </cell>
          <cell r="S2813">
            <v>0</v>
          </cell>
          <cell r="T2813">
            <v>2800</v>
          </cell>
          <cell r="U2813">
            <v>0</v>
          </cell>
          <cell r="V2813">
            <v>2800</v>
          </cell>
          <cell r="W2813">
            <v>0</v>
          </cell>
          <cell r="X2813">
            <v>2800</v>
          </cell>
          <cell r="Y2813">
            <v>0</v>
          </cell>
          <cell r="Z2813">
            <v>2800</v>
          </cell>
          <cell r="AA2813">
            <v>0</v>
          </cell>
          <cell r="AB2813">
            <v>0</v>
          </cell>
          <cell r="AC2813">
            <v>0</v>
          </cell>
          <cell r="AD2813">
            <v>5.2999999999999999E-2</v>
          </cell>
          <cell r="AE2813">
            <v>0</v>
          </cell>
          <cell r="AF2813">
            <v>0</v>
          </cell>
          <cell r="AG2813">
            <v>0</v>
          </cell>
          <cell r="AH2813">
            <v>0</v>
          </cell>
          <cell r="AI2813">
            <v>0</v>
          </cell>
          <cell r="AJ2813">
            <v>0</v>
          </cell>
          <cell r="AK2813">
            <v>0</v>
          </cell>
          <cell r="AL2813">
            <v>0</v>
          </cell>
        </row>
        <row r="2814">
          <cell r="E2814" t="str">
            <v>マイクロホン</v>
          </cell>
          <cell r="F2814" t="str">
            <v>個</v>
          </cell>
          <cell r="G2814">
            <v>0</v>
          </cell>
          <cell r="H2814">
            <v>15000</v>
          </cell>
          <cell r="I2814">
            <v>0</v>
          </cell>
          <cell r="J2814">
            <v>15000</v>
          </cell>
          <cell r="K2814">
            <v>0</v>
          </cell>
          <cell r="L2814">
            <v>15000</v>
          </cell>
          <cell r="M2814">
            <v>0</v>
          </cell>
          <cell r="N2814">
            <v>15000</v>
          </cell>
          <cell r="O2814">
            <v>0</v>
          </cell>
          <cell r="P2814">
            <v>15000</v>
          </cell>
          <cell r="Q2814">
            <v>0</v>
          </cell>
          <cell r="R2814">
            <v>15000</v>
          </cell>
          <cell r="S2814">
            <v>0</v>
          </cell>
          <cell r="T2814">
            <v>15000</v>
          </cell>
          <cell r="U2814">
            <v>0</v>
          </cell>
          <cell r="V2814">
            <v>15000</v>
          </cell>
          <cell r="W2814">
            <v>0</v>
          </cell>
          <cell r="X2814">
            <v>15000</v>
          </cell>
          <cell r="Y2814">
            <v>0</v>
          </cell>
          <cell r="Z2814">
            <v>15000</v>
          </cell>
          <cell r="AA2814">
            <v>0</v>
          </cell>
          <cell r="AB2814">
            <v>0</v>
          </cell>
          <cell r="AC2814">
            <v>0</v>
          </cell>
          <cell r="AD2814">
            <v>0.15</v>
          </cell>
          <cell r="AE2814">
            <v>0</v>
          </cell>
          <cell r="AF2814">
            <v>0</v>
          </cell>
          <cell r="AG2814">
            <v>0</v>
          </cell>
          <cell r="AH2814">
            <v>0</v>
          </cell>
          <cell r="AI2814">
            <v>0</v>
          </cell>
          <cell r="AJ2814">
            <v>0</v>
          </cell>
          <cell r="AK2814">
            <v>0</v>
          </cell>
          <cell r="AL2814">
            <v>0</v>
          </cell>
        </row>
        <row r="2815">
          <cell r="E2815" t="str">
            <v>副増幅器 30W</v>
          </cell>
          <cell r="F2815" t="str">
            <v>台</v>
          </cell>
          <cell r="G2815">
            <v>0</v>
          </cell>
          <cell r="H2815">
            <v>250000</v>
          </cell>
          <cell r="I2815">
            <v>0</v>
          </cell>
          <cell r="J2815">
            <v>250000</v>
          </cell>
          <cell r="K2815">
            <v>0</v>
          </cell>
          <cell r="L2815">
            <v>250000</v>
          </cell>
          <cell r="M2815">
            <v>0</v>
          </cell>
          <cell r="N2815">
            <v>250000</v>
          </cell>
          <cell r="O2815">
            <v>0</v>
          </cell>
          <cell r="P2815">
            <v>250000</v>
          </cell>
          <cell r="Q2815">
            <v>0</v>
          </cell>
          <cell r="R2815">
            <v>250000</v>
          </cell>
          <cell r="S2815">
            <v>0</v>
          </cell>
          <cell r="T2815">
            <v>250000</v>
          </cell>
          <cell r="U2815">
            <v>0</v>
          </cell>
          <cell r="V2815">
            <v>250000</v>
          </cell>
          <cell r="W2815">
            <v>0</v>
          </cell>
          <cell r="X2815">
            <v>250000</v>
          </cell>
          <cell r="Y2815">
            <v>0</v>
          </cell>
          <cell r="Z2815">
            <v>250000</v>
          </cell>
          <cell r="AA2815">
            <v>0</v>
          </cell>
          <cell r="AB2815">
            <v>0</v>
          </cell>
          <cell r="AC2815">
            <v>0</v>
          </cell>
          <cell r="AD2815">
            <v>1.51</v>
          </cell>
          <cell r="AE2815">
            <v>0</v>
          </cell>
          <cell r="AF2815">
            <v>0</v>
          </cell>
          <cell r="AG2815">
            <v>0</v>
          </cell>
          <cell r="AH2815">
            <v>0</v>
          </cell>
          <cell r="AI2815">
            <v>0</v>
          </cell>
          <cell r="AJ2815">
            <v>0</v>
          </cell>
          <cell r="AK2815">
            <v>0</v>
          </cell>
          <cell r="AL2815">
            <v>0</v>
          </cell>
        </row>
        <row r="2816">
          <cell r="E2816" t="str">
            <v>主増幅器</v>
          </cell>
          <cell r="F2816" t="str">
            <v>台</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row>
        <row r="2817">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row>
        <row r="2818">
          <cell r="E2818">
            <v>0</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row>
        <row r="2819">
          <cell r="E2819">
            <v>0</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row>
        <row r="2820">
          <cell r="E2820">
            <v>0</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row>
        <row r="2821">
          <cell r="E2821">
            <v>0</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row>
        <row r="2822">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row>
        <row r="2823">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row>
        <row r="2824">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row>
        <row r="2825">
          <cell r="E2825">
            <v>0</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row>
        <row r="2826">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row>
        <row r="2827">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row>
        <row r="2828">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row>
        <row r="2829">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row>
        <row r="2830">
          <cell r="E2830">
            <v>0</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row>
        <row r="2831">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row>
        <row r="2832">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row>
        <row r="2833">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row>
        <row r="2834">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row>
        <row r="2835">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row>
        <row r="2836">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row>
        <row r="2837">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row>
        <row r="2838">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row>
        <row r="2839">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row>
        <row r="2840">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row>
        <row r="2841">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row>
        <row r="2842">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row>
        <row r="2843">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row>
        <row r="2844">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row>
        <row r="2845">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row>
        <row r="2846">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row>
        <row r="2847">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row>
        <row r="2848">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row>
        <row r="2849">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row>
        <row r="2850">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row>
        <row r="2851">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row>
        <row r="2852">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row>
        <row r="2853">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row>
        <row r="2854">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row>
        <row r="2855">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row>
        <row r="2856">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row>
        <row r="2857">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row>
        <row r="2858">
          <cell r="E2858">
            <v>0</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row>
        <row r="2859">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row>
        <row r="2860">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row>
        <row r="2861">
          <cell r="E2861">
            <v>0</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row>
        <row r="2862">
          <cell r="E2862">
            <v>0</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row>
        <row r="2863">
          <cell r="E2863">
            <v>0</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row>
        <row r="2864">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row>
        <row r="2865">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row>
        <row r="2866">
          <cell r="E2866">
            <v>0</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row>
        <row r="2867">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row>
        <row r="2868">
          <cell r="E2868">
            <v>0</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row>
        <row r="2869">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row>
        <row r="2870">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row>
        <row r="2871">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row>
        <row r="2872">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row>
        <row r="2873">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row>
        <row r="2874">
          <cell r="E2874">
            <v>0</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row>
        <row r="2875">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row>
        <row r="2876">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row>
        <row r="2877">
          <cell r="E2877">
            <v>0</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row>
        <row r="2878">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row>
        <row r="2879">
          <cell r="E2879">
            <v>0</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row>
        <row r="2880">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row>
        <row r="2881">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row>
        <row r="2882">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row>
        <row r="2883">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row>
        <row r="2884">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row>
        <row r="2885">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row>
        <row r="2886">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row>
        <row r="2887">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row>
        <row r="2888">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row>
        <row r="2889">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row>
        <row r="2890">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row>
        <row r="2891">
          <cell r="E2891">
            <v>0</v>
          </cell>
          <cell r="F2891">
            <v>0</v>
          </cell>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row>
        <row r="2892">
          <cell r="E2892">
            <v>0</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row>
        <row r="2893">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row>
        <row r="2894">
          <cell r="E2894">
            <v>0</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row>
        <row r="2895">
          <cell r="E2895">
            <v>0</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row>
        <row r="2896">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row>
        <row r="2897">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row>
        <row r="2898">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row>
        <row r="2899">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row>
        <row r="2900">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row>
        <row r="2901">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row>
        <row r="2902">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row>
        <row r="2903">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row>
        <row r="2904">
          <cell r="E2904">
            <v>0</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row>
        <row r="2905">
          <cell r="E2905">
            <v>0</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row>
        <row r="2906">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row>
        <row r="2907">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row>
        <row r="2908">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row>
        <row r="2909">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row>
        <row r="2910">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row>
        <row r="2911">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row>
        <row r="2912">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row>
        <row r="2913">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row>
        <row r="2914">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row>
        <row r="2915">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row>
        <row r="2916">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row>
        <row r="2917">
          <cell r="E2917" t="str">
            <v>増幅器 35/110</v>
          </cell>
          <cell r="F2917" t="str">
            <v>台</v>
          </cell>
          <cell r="G2917">
            <v>0</v>
          </cell>
          <cell r="H2917">
            <v>108000</v>
          </cell>
          <cell r="I2917">
            <v>0</v>
          </cell>
          <cell r="J2917">
            <v>108000</v>
          </cell>
          <cell r="K2917">
            <v>0</v>
          </cell>
          <cell r="L2917">
            <v>108000</v>
          </cell>
          <cell r="M2917">
            <v>0</v>
          </cell>
          <cell r="N2917">
            <v>108000</v>
          </cell>
          <cell r="O2917">
            <v>0</v>
          </cell>
          <cell r="P2917">
            <v>108000</v>
          </cell>
          <cell r="Q2917">
            <v>0</v>
          </cell>
          <cell r="R2917">
            <v>108000</v>
          </cell>
          <cell r="S2917">
            <v>0</v>
          </cell>
          <cell r="T2917">
            <v>108000</v>
          </cell>
          <cell r="U2917">
            <v>0</v>
          </cell>
          <cell r="V2917">
            <v>108000</v>
          </cell>
          <cell r="W2917">
            <v>0</v>
          </cell>
          <cell r="X2917">
            <v>108000</v>
          </cell>
          <cell r="Y2917">
            <v>0</v>
          </cell>
          <cell r="Z2917">
            <v>108000</v>
          </cell>
          <cell r="AA2917">
            <v>0</v>
          </cell>
          <cell r="AB2917">
            <v>0</v>
          </cell>
          <cell r="AC2917">
            <v>0</v>
          </cell>
          <cell r="AD2917">
            <v>1.1399999999999999</v>
          </cell>
          <cell r="AE2917">
            <v>0</v>
          </cell>
          <cell r="AF2917">
            <v>0</v>
          </cell>
          <cell r="AG2917">
            <v>0</v>
          </cell>
          <cell r="AH2917">
            <v>0</v>
          </cell>
          <cell r="AI2917">
            <v>0</v>
          </cell>
          <cell r="AJ2917">
            <v>0</v>
          </cell>
          <cell r="AK2917">
            <v>0</v>
          </cell>
          <cell r="AL2917" t="str">
            <v>CS・BS-IW型</v>
          </cell>
        </row>
        <row r="2918">
          <cell r="E2918" t="str">
            <v>増幅器 40/115</v>
          </cell>
          <cell r="F2918" t="str">
            <v>台</v>
          </cell>
          <cell r="G2918">
            <v>0</v>
          </cell>
          <cell r="H2918">
            <v>144000</v>
          </cell>
          <cell r="I2918">
            <v>0</v>
          </cell>
          <cell r="J2918">
            <v>144000</v>
          </cell>
          <cell r="K2918">
            <v>0</v>
          </cell>
          <cell r="L2918">
            <v>144000</v>
          </cell>
          <cell r="M2918">
            <v>0</v>
          </cell>
          <cell r="N2918">
            <v>144000</v>
          </cell>
          <cell r="O2918">
            <v>0</v>
          </cell>
          <cell r="P2918">
            <v>144000</v>
          </cell>
          <cell r="Q2918">
            <v>0</v>
          </cell>
          <cell r="R2918">
            <v>144000</v>
          </cell>
          <cell r="S2918">
            <v>0</v>
          </cell>
          <cell r="T2918">
            <v>144000</v>
          </cell>
          <cell r="U2918">
            <v>0</v>
          </cell>
          <cell r="V2918">
            <v>144000</v>
          </cell>
          <cell r="W2918">
            <v>0</v>
          </cell>
          <cell r="X2918">
            <v>144000</v>
          </cell>
          <cell r="Y2918">
            <v>0</v>
          </cell>
          <cell r="Z2918">
            <v>144000</v>
          </cell>
          <cell r="AA2918">
            <v>0</v>
          </cell>
          <cell r="AB2918">
            <v>0</v>
          </cell>
          <cell r="AC2918">
            <v>0</v>
          </cell>
          <cell r="AD2918">
            <v>1.1399999999999999</v>
          </cell>
          <cell r="AE2918">
            <v>0</v>
          </cell>
          <cell r="AF2918">
            <v>0</v>
          </cell>
          <cell r="AG2918">
            <v>0</v>
          </cell>
          <cell r="AH2918">
            <v>0</v>
          </cell>
          <cell r="AI2918">
            <v>0</v>
          </cell>
          <cell r="AJ2918">
            <v>0</v>
          </cell>
          <cell r="AK2918">
            <v>0</v>
          </cell>
          <cell r="AL2918" t="str">
            <v>CS・BS・UV・2W型</v>
          </cell>
        </row>
        <row r="2919">
          <cell r="E2919" t="str">
            <v>共聴アンテナ UHF</v>
          </cell>
          <cell r="F2919" t="str">
            <v>個</v>
          </cell>
          <cell r="G2919">
            <v>0</v>
          </cell>
          <cell r="H2919">
            <v>48100</v>
          </cell>
          <cell r="I2919">
            <v>0</v>
          </cell>
          <cell r="J2919">
            <v>48100</v>
          </cell>
          <cell r="K2919">
            <v>0</v>
          </cell>
          <cell r="L2919">
            <v>48100</v>
          </cell>
          <cell r="M2919">
            <v>0</v>
          </cell>
          <cell r="N2919">
            <v>48100</v>
          </cell>
          <cell r="O2919">
            <v>0</v>
          </cell>
          <cell r="P2919">
            <v>48100</v>
          </cell>
          <cell r="Q2919">
            <v>0</v>
          </cell>
          <cell r="R2919">
            <v>48100</v>
          </cell>
          <cell r="S2919">
            <v>0</v>
          </cell>
          <cell r="T2919">
            <v>48100</v>
          </cell>
          <cell r="U2919">
            <v>0</v>
          </cell>
          <cell r="V2919">
            <v>48100</v>
          </cell>
          <cell r="W2919">
            <v>0</v>
          </cell>
          <cell r="X2919">
            <v>48100</v>
          </cell>
          <cell r="Y2919">
            <v>0</v>
          </cell>
          <cell r="Z2919">
            <v>48100</v>
          </cell>
          <cell r="AA2919">
            <v>0</v>
          </cell>
          <cell r="AB2919">
            <v>0</v>
          </cell>
          <cell r="AC2919">
            <v>0</v>
          </cell>
          <cell r="AD2919">
            <v>1.56</v>
          </cell>
          <cell r="AE2919">
            <v>0</v>
          </cell>
          <cell r="AF2919">
            <v>0</v>
          </cell>
          <cell r="AG2919">
            <v>0</v>
          </cell>
          <cell r="AH2919">
            <v>0</v>
          </cell>
          <cell r="AI2919">
            <v>0</v>
          </cell>
          <cell r="AJ2919">
            <v>0</v>
          </cell>
          <cell r="AK2919">
            <v>0</v>
          </cell>
          <cell r="AL2919" t="str">
            <v>UL-20S</v>
          </cell>
        </row>
        <row r="2920">
          <cell r="E2920" t="str">
            <v>混合器 U-U</v>
          </cell>
          <cell r="F2920" t="str">
            <v>個</v>
          </cell>
          <cell r="G2920">
            <v>0</v>
          </cell>
          <cell r="H2920">
            <v>4680</v>
          </cell>
          <cell r="I2920">
            <v>0</v>
          </cell>
          <cell r="J2920">
            <v>4680</v>
          </cell>
          <cell r="K2920">
            <v>0</v>
          </cell>
          <cell r="L2920">
            <v>4680</v>
          </cell>
          <cell r="M2920">
            <v>0</v>
          </cell>
          <cell r="N2920">
            <v>4680</v>
          </cell>
          <cell r="O2920">
            <v>0</v>
          </cell>
          <cell r="P2920">
            <v>4680</v>
          </cell>
          <cell r="Q2920">
            <v>0</v>
          </cell>
          <cell r="R2920">
            <v>4680</v>
          </cell>
          <cell r="S2920">
            <v>0</v>
          </cell>
          <cell r="T2920">
            <v>4680</v>
          </cell>
          <cell r="U2920">
            <v>0</v>
          </cell>
          <cell r="V2920">
            <v>4680</v>
          </cell>
          <cell r="W2920">
            <v>0</v>
          </cell>
          <cell r="X2920">
            <v>4680</v>
          </cell>
          <cell r="Y2920">
            <v>0</v>
          </cell>
          <cell r="Z2920">
            <v>4680</v>
          </cell>
          <cell r="AA2920">
            <v>0</v>
          </cell>
          <cell r="AB2920">
            <v>0</v>
          </cell>
          <cell r="AC2920">
            <v>0</v>
          </cell>
          <cell r="AD2920">
            <v>0.23</v>
          </cell>
          <cell r="AE2920">
            <v>0</v>
          </cell>
          <cell r="AF2920">
            <v>0</v>
          </cell>
          <cell r="AG2920">
            <v>0</v>
          </cell>
          <cell r="AH2920">
            <v>0</v>
          </cell>
          <cell r="AI2920">
            <v>0</v>
          </cell>
          <cell r="AJ2920">
            <v>0</v>
          </cell>
          <cell r="AK2920">
            <v>0</v>
          </cell>
          <cell r="AL2920" t="str">
            <v>CS-UV-7</v>
          </cell>
        </row>
        <row r="2921">
          <cell r="E2921" t="str">
            <v>混合器 BS-CS</v>
          </cell>
          <cell r="F2921" t="str">
            <v>個</v>
          </cell>
          <cell r="G2921">
            <v>0</v>
          </cell>
          <cell r="H2921">
            <v>8580</v>
          </cell>
          <cell r="I2921">
            <v>0</v>
          </cell>
          <cell r="J2921">
            <v>8580</v>
          </cell>
          <cell r="K2921">
            <v>0</v>
          </cell>
          <cell r="L2921">
            <v>8580</v>
          </cell>
          <cell r="M2921">
            <v>0</v>
          </cell>
          <cell r="N2921">
            <v>8580</v>
          </cell>
          <cell r="O2921">
            <v>0</v>
          </cell>
          <cell r="P2921">
            <v>8580</v>
          </cell>
          <cell r="Q2921">
            <v>0</v>
          </cell>
          <cell r="R2921">
            <v>8580</v>
          </cell>
          <cell r="S2921">
            <v>0</v>
          </cell>
          <cell r="T2921">
            <v>8580</v>
          </cell>
          <cell r="U2921">
            <v>0</v>
          </cell>
          <cell r="V2921">
            <v>8580</v>
          </cell>
          <cell r="W2921">
            <v>0</v>
          </cell>
          <cell r="X2921">
            <v>8580</v>
          </cell>
          <cell r="Y2921">
            <v>0</v>
          </cell>
          <cell r="Z2921">
            <v>8580</v>
          </cell>
          <cell r="AA2921">
            <v>0</v>
          </cell>
          <cell r="AB2921">
            <v>0</v>
          </cell>
          <cell r="AC2921">
            <v>0</v>
          </cell>
          <cell r="AD2921">
            <v>0.23</v>
          </cell>
          <cell r="AE2921">
            <v>0</v>
          </cell>
          <cell r="AF2921">
            <v>0</v>
          </cell>
          <cell r="AG2921">
            <v>0</v>
          </cell>
          <cell r="AH2921">
            <v>0</v>
          </cell>
          <cell r="AI2921">
            <v>0</v>
          </cell>
          <cell r="AJ2921">
            <v>0</v>
          </cell>
          <cell r="AK2921">
            <v>0</v>
          </cell>
          <cell r="AL2921" t="str">
            <v>CS-MCW</v>
          </cell>
        </row>
        <row r="2922">
          <cell r="E2922" t="str">
            <v>混合器 UV-BC</v>
          </cell>
          <cell r="F2922" t="str">
            <v>個</v>
          </cell>
          <cell r="G2922">
            <v>0</v>
          </cell>
          <cell r="H2922">
            <v>12600</v>
          </cell>
          <cell r="I2922">
            <v>0</v>
          </cell>
          <cell r="J2922">
            <v>12600</v>
          </cell>
          <cell r="K2922">
            <v>0</v>
          </cell>
          <cell r="L2922">
            <v>12600</v>
          </cell>
          <cell r="M2922">
            <v>0</v>
          </cell>
          <cell r="N2922">
            <v>12600</v>
          </cell>
          <cell r="O2922">
            <v>0</v>
          </cell>
          <cell r="P2922">
            <v>12600</v>
          </cell>
          <cell r="Q2922">
            <v>0</v>
          </cell>
          <cell r="R2922">
            <v>12600</v>
          </cell>
          <cell r="S2922">
            <v>0</v>
          </cell>
          <cell r="T2922">
            <v>12600</v>
          </cell>
          <cell r="U2922">
            <v>0</v>
          </cell>
          <cell r="V2922">
            <v>12600</v>
          </cell>
          <cell r="W2922">
            <v>0</v>
          </cell>
          <cell r="X2922">
            <v>12600</v>
          </cell>
          <cell r="Y2922">
            <v>0</v>
          </cell>
          <cell r="Z2922">
            <v>12600</v>
          </cell>
          <cell r="AA2922">
            <v>0</v>
          </cell>
          <cell r="AB2922">
            <v>0</v>
          </cell>
          <cell r="AC2922">
            <v>0</v>
          </cell>
          <cell r="AD2922">
            <v>0.23</v>
          </cell>
          <cell r="AE2922">
            <v>0</v>
          </cell>
          <cell r="AF2922">
            <v>0</v>
          </cell>
          <cell r="AG2922">
            <v>0</v>
          </cell>
          <cell r="AH2922">
            <v>0</v>
          </cell>
          <cell r="AI2922">
            <v>0</v>
          </cell>
          <cell r="AJ2922">
            <v>0</v>
          </cell>
          <cell r="AK2922">
            <v>0</v>
          </cell>
          <cell r="AL2922" t="str">
            <v>CS-MCW</v>
          </cell>
        </row>
        <row r="2923">
          <cell r="E2923" t="str">
            <v>分配器 2D</v>
          </cell>
          <cell r="F2923" t="str">
            <v>個</v>
          </cell>
          <cell r="G2923">
            <v>0</v>
          </cell>
          <cell r="H2923">
            <v>2760</v>
          </cell>
          <cell r="I2923">
            <v>0</v>
          </cell>
          <cell r="J2923">
            <v>2760</v>
          </cell>
          <cell r="K2923">
            <v>0</v>
          </cell>
          <cell r="L2923">
            <v>2760</v>
          </cell>
          <cell r="M2923">
            <v>0</v>
          </cell>
          <cell r="N2923">
            <v>2760</v>
          </cell>
          <cell r="O2923">
            <v>0</v>
          </cell>
          <cell r="P2923">
            <v>2760</v>
          </cell>
          <cell r="Q2923">
            <v>0</v>
          </cell>
          <cell r="R2923">
            <v>2760</v>
          </cell>
          <cell r="S2923">
            <v>0</v>
          </cell>
          <cell r="T2923">
            <v>2760</v>
          </cell>
          <cell r="U2923">
            <v>0</v>
          </cell>
          <cell r="V2923">
            <v>2760</v>
          </cell>
          <cell r="W2923">
            <v>0</v>
          </cell>
          <cell r="X2923">
            <v>2760</v>
          </cell>
          <cell r="Y2923">
            <v>0</v>
          </cell>
          <cell r="Z2923">
            <v>2760</v>
          </cell>
          <cell r="AA2923">
            <v>0</v>
          </cell>
          <cell r="AB2923">
            <v>0</v>
          </cell>
          <cell r="AC2923">
            <v>0</v>
          </cell>
          <cell r="AD2923">
            <v>0.186</v>
          </cell>
          <cell r="AE2923">
            <v>0</v>
          </cell>
          <cell r="AF2923">
            <v>0</v>
          </cell>
          <cell r="AG2923">
            <v>0</v>
          </cell>
          <cell r="AH2923">
            <v>0</v>
          </cell>
          <cell r="AI2923">
            <v>0</v>
          </cell>
          <cell r="AJ2923">
            <v>0</v>
          </cell>
          <cell r="AK2923">
            <v>0</v>
          </cell>
          <cell r="AL2923" t="str">
            <v>CS-D2W</v>
          </cell>
        </row>
        <row r="2924">
          <cell r="E2924" t="str">
            <v>分配器 4D</v>
          </cell>
          <cell r="F2924" t="str">
            <v>個</v>
          </cell>
          <cell r="G2924">
            <v>0</v>
          </cell>
          <cell r="H2924">
            <v>3780</v>
          </cell>
          <cell r="I2924">
            <v>0</v>
          </cell>
          <cell r="J2924">
            <v>3780</v>
          </cell>
          <cell r="K2924">
            <v>0</v>
          </cell>
          <cell r="L2924">
            <v>3780</v>
          </cell>
          <cell r="M2924">
            <v>0</v>
          </cell>
          <cell r="N2924">
            <v>3780</v>
          </cell>
          <cell r="O2924">
            <v>0</v>
          </cell>
          <cell r="P2924">
            <v>3780</v>
          </cell>
          <cell r="Q2924">
            <v>0</v>
          </cell>
          <cell r="R2924">
            <v>3780</v>
          </cell>
          <cell r="S2924">
            <v>0</v>
          </cell>
          <cell r="T2924">
            <v>3780</v>
          </cell>
          <cell r="U2924">
            <v>0</v>
          </cell>
          <cell r="V2924">
            <v>3780</v>
          </cell>
          <cell r="W2924">
            <v>0</v>
          </cell>
          <cell r="X2924">
            <v>3780</v>
          </cell>
          <cell r="Y2924">
            <v>0</v>
          </cell>
          <cell r="Z2924">
            <v>3780</v>
          </cell>
          <cell r="AA2924">
            <v>0</v>
          </cell>
          <cell r="AB2924">
            <v>0</v>
          </cell>
          <cell r="AC2924">
            <v>0</v>
          </cell>
          <cell r="AD2924">
            <v>0.23899999999999999</v>
          </cell>
          <cell r="AE2924">
            <v>0</v>
          </cell>
          <cell r="AF2924">
            <v>0</v>
          </cell>
          <cell r="AG2924">
            <v>0</v>
          </cell>
          <cell r="AH2924">
            <v>0</v>
          </cell>
          <cell r="AI2924">
            <v>0</v>
          </cell>
          <cell r="AJ2924">
            <v>0</v>
          </cell>
          <cell r="AK2924">
            <v>0</v>
          </cell>
          <cell r="AL2924" t="str">
            <v>CS-D4W</v>
          </cell>
        </row>
        <row r="2925">
          <cell r="E2925" t="str">
            <v>分配器 6D</v>
          </cell>
          <cell r="F2925" t="str">
            <v>個</v>
          </cell>
          <cell r="G2925">
            <v>0</v>
          </cell>
          <cell r="H2925">
            <v>5700</v>
          </cell>
          <cell r="I2925">
            <v>0</v>
          </cell>
          <cell r="J2925">
            <v>5700</v>
          </cell>
          <cell r="K2925">
            <v>0</v>
          </cell>
          <cell r="L2925">
            <v>5700</v>
          </cell>
          <cell r="M2925">
            <v>0</v>
          </cell>
          <cell r="N2925">
            <v>5700</v>
          </cell>
          <cell r="O2925">
            <v>0</v>
          </cell>
          <cell r="P2925">
            <v>5700</v>
          </cell>
          <cell r="Q2925">
            <v>0</v>
          </cell>
          <cell r="R2925">
            <v>5700</v>
          </cell>
          <cell r="S2925">
            <v>0</v>
          </cell>
          <cell r="T2925">
            <v>5700</v>
          </cell>
          <cell r="U2925">
            <v>0</v>
          </cell>
          <cell r="V2925">
            <v>5700</v>
          </cell>
          <cell r="W2925">
            <v>0</v>
          </cell>
          <cell r="X2925">
            <v>5700</v>
          </cell>
          <cell r="Y2925">
            <v>0</v>
          </cell>
          <cell r="Z2925">
            <v>5700</v>
          </cell>
          <cell r="AA2925">
            <v>0</v>
          </cell>
          <cell r="AB2925">
            <v>0</v>
          </cell>
          <cell r="AC2925">
            <v>0</v>
          </cell>
          <cell r="AD2925">
            <v>0.29199999999999998</v>
          </cell>
          <cell r="AE2925">
            <v>0</v>
          </cell>
          <cell r="AF2925">
            <v>0</v>
          </cell>
          <cell r="AG2925">
            <v>0</v>
          </cell>
          <cell r="AH2925">
            <v>0</v>
          </cell>
          <cell r="AI2925">
            <v>0</v>
          </cell>
          <cell r="AJ2925">
            <v>0</v>
          </cell>
          <cell r="AK2925">
            <v>0</v>
          </cell>
          <cell r="AL2925" t="str">
            <v>CS-D6W</v>
          </cell>
        </row>
        <row r="2926">
          <cell r="E2926" t="str">
            <v>分岐器 1C</v>
          </cell>
          <cell r="F2926" t="str">
            <v>個</v>
          </cell>
          <cell r="G2926">
            <v>0</v>
          </cell>
          <cell r="H2926">
            <v>3240</v>
          </cell>
          <cell r="I2926">
            <v>0</v>
          </cell>
          <cell r="J2926">
            <v>3240</v>
          </cell>
          <cell r="K2926">
            <v>0</v>
          </cell>
          <cell r="L2926">
            <v>3240</v>
          </cell>
          <cell r="M2926">
            <v>0</v>
          </cell>
          <cell r="N2926">
            <v>3240</v>
          </cell>
          <cell r="O2926">
            <v>0</v>
          </cell>
          <cell r="P2926">
            <v>3240</v>
          </cell>
          <cell r="Q2926">
            <v>0</v>
          </cell>
          <cell r="R2926">
            <v>3240</v>
          </cell>
          <cell r="S2926">
            <v>0</v>
          </cell>
          <cell r="T2926">
            <v>3240</v>
          </cell>
          <cell r="U2926">
            <v>0</v>
          </cell>
          <cell r="V2926">
            <v>3240</v>
          </cell>
          <cell r="W2926">
            <v>0</v>
          </cell>
          <cell r="X2926">
            <v>3240</v>
          </cell>
          <cell r="Y2926">
            <v>0</v>
          </cell>
          <cell r="Z2926">
            <v>3240</v>
          </cell>
          <cell r="AA2926">
            <v>0</v>
          </cell>
          <cell r="AB2926">
            <v>0</v>
          </cell>
          <cell r="AC2926">
            <v>0</v>
          </cell>
          <cell r="AD2926">
            <v>0.21199999999999999</v>
          </cell>
          <cell r="AE2926">
            <v>0</v>
          </cell>
          <cell r="AF2926">
            <v>0</v>
          </cell>
          <cell r="AG2926">
            <v>0</v>
          </cell>
          <cell r="AH2926">
            <v>0</v>
          </cell>
          <cell r="AI2926">
            <v>0</v>
          </cell>
          <cell r="AJ2926">
            <v>0</v>
          </cell>
          <cell r="AK2926">
            <v>0</v>
          </cell>
          <cell r="AL2926" t="str">
            <v>CS-C1W</v>
          </cell>
        </row>
        <row r="2927">
          <cell r="E2927" t="str">
            <v>分岐器 2C</v>
          </cell>
          <cell r="F2927" t="str">
            <v>個</v>
          </cell>
          <cell r="G2927">
            <v>0</v>
          </cell>
          <cell r="H2927">
            <v>3600</v>
          </cell>
          <cell r="I2927">
            <v>0</v>
          </cell>
          <cell r="J2927">
            <v>3600</v>
          </cell>
          <cell r="K2927">
            <v>0</v>
          </cell>
          <cell r="L2927">
            <v>3600</v>
          </cell>
          <cell r="M2927">
            <v>0</v>
          </cell>
          <cell r="N2927">
            <v>3600</v>
          </cell>
          <cell r="O2927">
            <v>0</v>
          </cell>
          <cell r="P2927">
            <v>3600</v>
          </cell>
          <cell r="Q2927">
            <v>0</v>
          </cell>
          <cell r="R2927">
            <v>3600</v>
          </cell>
          <cell r="S2927">
            <v>0</v>
          </cell>
          <cell r="T2927">
            <v>3600</v>
          </cell>
          <cell r="U2927">
            <v>0</v>
          </cell>
          <cell r="V2927">
            <v>3600</v>
          </cell>
          <cell r="W2927">
            <v>0</v>
          </cell>
          <cell r="X2927">
            <v>3600</v>
          </cell>
          <cell r="Y2927">
            <v>0</v>
          </cell>
          <cell r="Z2927">
            <v>3600</v>
          </cell>
          <cell r="AA2927">
            <v>0</v>
          </cell>
          <cell r="AB2927">
            <v>0</v>
          </cell>
          <cell r="AC2927">
            <v>0</v>
          </cell>
          <cell r="AD2927">
            <v>0.26500000000000001</v>
          </cell>
          <cell r="AE2927">
            <v>0</v>
          </cell>
          <cell r="AF2927">
            <v>0</v>
          </cell>
          <cell r="AG2927">
            <v>0</v>
          </cell>
          <cell r="AH2927">
            <v>0</v>
          </cell>
          <cell r="AI2927">
            <v>0</v>
          </cell>
          <cell r="AJ2927">
            <v>0</v>
          </cell>
          <cell r="AK2927">
            <v>0</v>
          </cell>
          <cell r="AL2927" t="str">
            <v>CS-C2W</v>
          </cell>
        </row>
        <row r="2928">
          <cell r="E2928" t="str">
            <v>分岐器 4C</v>
          </cell>
          <cell r="F2928" t="str">
            <v>個</v>
          </cell>
          <cell r="G2928">
            <v>0</v>
          </cell>
          <cell r="H2928">
            <v>4980</v>
          </cell>
          <cell r="I2928">
            <v>0</v>
          </cell>
          <cell r="J2928">
            <v>4980</v>
          </cell>
          <cell r="K2928">
            <v>0</v>
          </cell>
          <cell r="L2928">
            <v>4980</v>
          </cell>
          <cell r="M2928">
            <v>0</v>
          </cell>
          <cell r="N2928">
            <v>4980</v>
          </cell>
          <cell r="O2928">
            <v>0</v>
          </cell>
          <cell r="P2928">
            <v>4980</v>
          </cell>
          <cell r="Q2928">
            <v>0</v>
          </cell>
          <cell r="R2928">
            <v>4980</v>
          </cell>
          <cell r="S2928">
            <v>0</v>
          </cell>
          <cell r="T2928">
            <v>4980</v>
          </cell>
          <cell r="U2928">
            <v>0</v>
          </cell>
          <cell r="V2928">
            <v>4980</v>
          </cell>
          <cell r="W2928">
            <v>0</v>
          </cell>
          <cell r="X2928">
            <v>4980</v>
          </cell>
          <cell r="Y2928">
            <v>0</v>
          </cell>
          <cell r="Z2928">
            <v>4980</v>
          </cell>
          <cell r="AA2928">
            <v>0</v>
          </cell>
          <cell r="AB2928">
            <v>0</v>
          </cell>
          <cell r="AC2928">
            <v>0</v>
          </cell>
          <cell r="AD2928">
            <v>0.318</v>
          </cell>
          <cell r="AE2928">
            <v>0</v>
          </cell>
          <cell r="AF2928">
            <v>0</v>
          </cell>
          <cell r="AG2928">
            <v>0</v>
          </cell>
          <cell r="AH2928">
            <v>0</v>
          </cell>
          <cell r="AI2928">
            <v>0</v>
          </cell>
          <cell r="AJ2928">
            <v>0</v>
          </cell>
          <cell r="AK2928">
            <v>0</v>
          </cell>
          <cell r="AL2928" t="str">
            <v>CS-C4W</v>
          </cell>
        </row>
        <row r="2929">
          <cell r="E2929" t="str">
            <v>直列Unit-中間1端子</v>
          </cell>
          <cell r="F2929" t="str">
            <v>個</v>
          </cell>
          <cell r="G2929">
            <v>0</v>
          </cell>
          <cell r="H2929">
            <v>4140</v>
          </cell>
          <cell r="I2929">
            <v>0</v>
          </cell>
          <cell r="J2929">
            <v>4140</v>
          </cell>
          <cell r="K2929">
            <v>0</v>
          </cell>
          <cell r="L2929">
            <v>4140</v>
          </cell>
          <cell r="M2929">
            <v>0</v>
          </cell>
          <cell r="N2929">
            <v>4140</v>
          </cell>
          <cell r="O2929">
            <v>0</v>
          </cell>
          <cell r="P2929">
            <v>4140</v>
          </cell>
          <cell r="Q2929">
            <v>0</v>
          </cell>
          <cell r="R2929">
            <v>4140</v>
          </cell>
          <cell r="S2929">
            <v>0</v>
          </cell>
          <cell r="T2929">
            <v>4140</v>
          </cell>
          <cell r="U2929">
            <v>0</v>
          </cell>
          <cell r="V2929">
            <v>4140</v>
          </cell>
          <cell r="W2929">
            <v>0</v>
          </cell>
          <cell r="X2929">
            <v>4140</v>
          </cell>
          <cell r="Y2929">
            <v>0</v>
          </cell>
          <cell r="Z2929">
            <v>4140</v>
          </cell>
          <cell r="AA2929">
            <v>0</v>
          </cell>
          <cell r="AB2929">
            <v>0</v>
          </cell>
          <cell r="AC2929">
            <v>0</v>
          </cell>
          <cell r="AD2929">
            <v>0.15</v>
          </cell>
          <cell r="AE2929">
            <v>0</v>
          </cell>
          <cell r="AF2929">
            <v>0</v>
          </cell>
          <cell r="AG2929">
            <v>0</v>
          </cell>
          <cell r="AH2929">
            <v>0</v>
          </cell>
          <cell r="AI2929">
            <v>0</v>
          </cell>
          <cell r="AJ2929">
            <v>0</v>
          </cell>
          <cell r="AK2929">
            <v>0</v>
          </cell>
          <cell r="AL2929" t="str">
            <v>CS-7F-7SW</v>
          </cell>
        </row>
        <row r="2930">
          <cell r="E2930" t="str">
            <v>直列Unit-終端1端子</v>
          </cell>
          <cell r="F2930" t="str">
            <v>個</v>
          </cell>
          <cell r="G2930">
            <v>0</v>
          </cell>
          <cell r="H2930">
            <v>3720</v>
          </cell>
          <cell r="I2930">
            <v>0</v>
          </cell>
          <cell r="J2930">
            <v>3720</v>
          </cell>
          <cell r="K2930">
            <v>0</v>
          </cell>
          <cell r="L2930">
            <v>3720</v>
          </cell>
          <cell r="M2930">
            <v>0</v>
          </cell>
          <cell r="N2930">
            <v>3720</v>
          </cell>
          <cell r="O2930">
            <v>0</v>
          </cell>
          <cell r="P2930">
            <v>3720</v>
          </cell>
          <cell r="Q2930">
            <v>0</v>
          </cell>
          <cell r="R2930">
            <v>3720</v>
          </cell>
          <cell r="S2930">
            <v>0</v>
          </cell>
          <cell r="T2930">
            <v>3720</v>
          </cell>
          <cell r="U2930">
            <v>0</v>
          </cell>
          <cell r="V2930">
            <v>3720</v>
          </cell>
          <cell r="W2930">
            <v>0</v>
          </cell>
          <cell r="X2930">
            <v>3720</v>
          </cell>
          <cell r="Y2930">
            <v>0</v>
          </cell>
          <cell r="Z2930">
            <v>3720</v>
          </cell>
          <cell r="AA2930">
            <v>0</v>
          </cell>
          <cell r="AB2930">
            <v>0</v>
          </cell>
          <cell r="AC2930">
            <v>0</v>
          </cell>
          <cell r="AD2930">
            <v>0.13300000000000001</v>
          </cell>
          <cell r="AE2930">
            <v>0</v>
          </cell>
          <cell r="AF2930">
            <v>0</v>
          </cell>
          <cell r="AG2930">
            <v>0</v>
          </cell>
          <cell r="AH2930">
            <v>0</v>
          </cell>
          <cell r="AI2930">
            <v>0</v>
          </cell>
          <cell r="AJ2930">
            <v>0</v>
          </cell>
          <cell r="AK2930">
            <v>0</v>
          </cell>
          <cell r="AL2930" t="str">
            <v>CS-7F-RSW</v>
          </cell>
        </row>
        <row r="2931">
          <cell r="E2931" t="str">
            <v>直列Unit-中間2端子</v>
          </cell>
          <cell r="F2931" t="str">
            <v>個</v>
          </cell>
          <cell r="G2931">
            <v>0</v>
          </cell>
          <cell r="H2931">
            <v>4980</v>
          </cell>
          <cell r="I2931">
            <v>0</v>
          </cell>
          <cell r="J2931">
            <v>4980</v>
          </cell>
          <cell r="K2931">
            <v>0</v>
          </cell>
          <cell r="L2931">
            <v>4980</v>
          </cell>
          <cell r="M2931">
            <v>0</v>
          </cell>
          <cell r="N2931">
            <v>4980</v>
          </cell>
          <cell r="O2931">
            <v>0</v>
          </cell>
          <cell r="P2931">
            <v>4980</v>
          </cell>
          <cell r="Q2931">
            <v>0</v>
          </cell>
          <cell r="R2931">
            <v>4980</v>
          </cell>
          <cell r="S2931">
            <v>0</v>
          </cell>
          <cell r="T2931">
            <v>4980</v>
          </cell>
          <cell r="U2931">
            <v>0</v>
          </cell>
          <cell r="V2931">
            <v>4980</v>
          </cell>
          <cell r="W2931">
            <v>0</v>
          </cell>
          <cell r="X2931">
            <v>4980</v>
          </cell>
          <cell r="Y2931">
            <v>0</v>
          </cell>
          <cell r="Z2931">
            <v>4980</v>
          </cell>
          <cell r="AA2931">
            <v>0</v>
          </cell>
          <cell r="AB2931">
            <v>0</v>
          </cell>
          <cell r="AC2931">
            <v>0</v>
          </cell>
          <cell r="AD2931">
            <v>0.15</v>
          </cell>
          <cell r="AE2931">
            <v>0</v>
          </cell>
          <cell r="AF2931">
            <v>0</v>
          </cell>
          <cell r="AG2931">
            <v>0</v>
          </cell>
          <cell r="AH2931">
            <v>0</v>
          </cell>
          <cell r="AI2931">
            <v>0</v>
          </cell>
          <cell r="AJ2931">
            <v>0</v>
          </cell>
          <cell r="AK2931">
            <v>0</v>
          </cell>
          <cell r="AL2931" t="str">
            <v>CS-77F-7W</v>
          </cell>
        </row>
        <row r="2932">
          <cell r="E2932" t="str">
            <v>直列Unit-終端2端子</v>
          </cell>
          <cell r="F2932" t="str">
            <v>個</v>
          </cell>
          <cell r="G2932">
            <v>0</v>
          </cell>
          <cell r="H2932">
            <v>4440</v>
          </cell>
          <cell r="I2932">
            <v>0</v>
          </cell>
          <cell r="J2932">
            <v>4440</v>
          </cell>
          <cell r="K2932">
            <v>0</v>
          </cell>
          <cell r="L2932">
            <v>4440</v>
          </cell>
          <cell r="M2932">
            <v>0</v>
          </cell>
          <cell r="N2932">
            <v>4440</v>
          </cell>
          <cell r="O2932">
            <v>0</v>
          </cell>
          <cell r="P2932">
            <v>4440</v>
          </cell>
          <cell r="Q2932">
            <v>0</v>
          </cell>
          <cell r="R2932">
            <v>4440</v>
          </cell>
          <cell r="S2932">
            <v>0</v>
          </cell>
          <cell r="T2932">
            <v>4440</v>
          </cell>
          <cell r="U2932">
            <v>0</v>
          </cell>
          <cell r="V2932">
            <v>4440</v>
          </cell>
          <cell r="W2932">
            <v>0</v>
          </cell>
          <cell r="X2932">
            <v>4440</v>
          </cell>
          <cell r="Y2932">
            <v>0</v>
          </cell>
          <cell r="Z2932">
            <v>4440</v>
          </cell>
          <cell r="AA2932">
            <v>0</v>
          </cell>
          <cell r="AB2932">
            <v>0</v>
          </cell>
          <cell r="AC2932">
            <v>0</v>
          </cell>
          <cell r="AD2932">
            <v>0.13300000000000001</v>
          </cell>
          <cell r="AE2932">
            <v>0</v>
          </cell>
          <cell r="AF2932">
            <v>0</v>
          </cell>
          <cell r="AG2932">
            <v>0</v>
          </cell>
          <cell r="AH2932">
            <v>0</v>
          </cell>
          <cell r="AI2932">
            <v>0</v>
          </cell>
          <cell r="AJ2932">
            <v>0</v>
          </cell>
          <cell r="AK2932">
            <v>0</v>
          </cell>
          <cell r="AL2932" t="str">
            <v>CS-77F-RW</v>
          </cell>
        </row>
        <row r="2933">
          <cell r="E2933">
            <v>0</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row>
        <row r="2934">
          <cell r="E2934">
            <v>0</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row>
        <row r="2935">
          <cell r="E2935" t="str">
            <v>アンテナポール SGP50A-3.5m</v>
          </cell>
          <cell r="F2935" t="str">
            <v>本</v>
          </cell>
          <cell r="G2935">
            <v>0</v>
          </cell>
          <cell r="H2935">
            <v>15000</v>
          </cell>
          <cell r="I2935">
            <v>0</v>
          </cell>
          <cell r="J2935">
            <v>15000</v>
          </cell>
          <cell r="K2935">
            <v>0</v>
          </cell>
          <cell r="L2935">
            <v>15000</v>
          </cell>
          <cell r="M2935">
            <v>0</v>
          </cell>
          <cell r="N2935">
            <v>15000</v>
          </cell>
          <cell r="O2935">
            <v>0</v>
          </cell>
          <cell r="P2935">
            <v>15000</v>
          </cell>
          <cell r="Q2935">
            <v>0</v>
          </cell>
          <cell r="R2935">
            <v>15000</v>
          </cell>
          <cell r="S2935">
            <v>0</v>
          </cell>
          <cell r="T2935">
            <v>15000</v>
          </cell>
          <cell r="U2935">
            <v>0</v>
          </cell>
          <cell r="V2935">
            <v>15000</v>
          </cell>
          <cell r="W2935">
            <v>0</v>
          </cell>
          <cell r="X2935">
            <v>15000</v>
          </cell>
          <cell r="Y2935">
            <v>0</v>
          </cell>
          <cell r="Z2935">
            <v>15000</v>
          </cell>
          <cell r="AA2935">
            <v>0</v>
          </cell>
          <cell r="AB2935">
            <v>0</v>
          </cell>
          <cell r="AC2935">
            <v>0</v>
          </cell>
          <cell r="AD2935">
            <v>1.94</v>
          </cell>
          <cell r="AE2935">
            <v>0</v>
          </cell>
          <cell r="AF2935">
            <v>0</v>
          </cell>
          <cell r="AG2935">
            <v>0</v>
          </cell>
          <cell r="AH2935">
            <v>0</v>
          </cell>
          <cell r="AI2935">
            <v>0</v>
          </cell>
          <cell r="AJ2935">
            <v>0</v>
          </cell>
          <cell r="AK2935">
            <v>0</v>
          </cell>
          <cell r="AL2935">
            <v>0</v>
          </cell>
        </row>
        <row r="2936">
          <cell r="E2936" t="str">
            <v>アンテナポール SGP50A-4.5m</v>
          </cell>
          <cell r="F2936" t="str">
            <v>本</v>
          </cell>
          <cell r="G2936">
            <v>0</v>
          </cell>
          <cell r="H2936">
            <v>17000</v>
          </cell>
          <cell r="I2936">
            <v>0</v>
          </cell>
          <cell r="J2936">
            <v>17000</v>
          </cell>
          <cell r="K2936">
            <v>0</v>
          </cell>
          <cell r="L2936">
            <v>17000</v>
          </cell>
          <cell r="M2936">
            <v>0</v>
          </cell>
          <cell r="N2936">
            <v>17000</v>
          </cell>
          <cell r="O2936">
            <v>0</v>
          </cell>
          <cell r="P2936">
            <v>17000</v>
          </cell>
          <cell r="Q2936">
            <v>0</v>
          </cell>
          <cell r="R2936">
            <v>17000</v>
          </cell>
          <cell r="S2936">
            <v>0</v>
          </cell>
          <cell r="T2936">
            <v>17000</v>
          </cell>
          <cell r="U2936">
            <v>0</v>
          </cell>
          <cell r="V2936">
            <v>17000</v>
          </cell>
          <cell r="W2936">
            <v>0</v>
          </cell>
          <cell r="X2936">
            <v>17000</v>
          </cell>
          <cell r="Y2936">
            <v>0</v>
          </cell>
          <cell r="Z2936">
            <v>17000</v>
          </cell>
          <cell r="AA2936">
            <v>0</v>
          </cell>
          <cell r="AB2936">
            <v>0</v>
          </cell>
          <cell r="AC2936">
            <v>0</v>
          </cell>
          <cell r="AD2936">
            <v>1.94</v>
          </cell>
          <cell r="AE2936">
            <v>0</v>
          </cell>
          <cell r="AF2936">
            <v>0</v>
          </cell>
          <cell r="AG2936">
            <v>0</v>
          </cell>
          <cell r="AH2936">
            <v>0</v>
          </cell>
          <cell r="AI2936">
            <v>0</v>
          </cell>
          <cell r="AJ2936">
            <v>0</v>
          </cell>
          <cell r="AK2936">
            <v>0</v>
          </cell>
          <cell r="AL2936">
            <v>0</v>
          </cell>
        </row>
        <row r="2937">
          <cell r="E2937" t="str">
            <v>アンテナポール SGP50A-5m</v>
          </cell>
          <cell r="F2937" t="str">
            <v>本</v>
          </cell>
          <cell r="G2937">
            <v>0</v>
          </cell>
          <cell r="H2937">
            <v>17500</v>
          </cell>
          <cell r="I2937">
            <v>0</v>
          </cell>
          <cell r="J2937">
            <v>17500</v>
          </cell>
          <cell r="K2937">
            <v>0</v>
          </cell>
          <cell r="L2937">
            <v>17500</v>
          </cell>
          <cell r="M2937">
            <v>0</v>
          </cell>
          <cell r="N2937">
            <v>17500</v>
          </cell>
          <cell r="O2937">
            <v>0</v>
          </cell>
          <cell r="P2937">
            <v>17500</v>
          </cell>
          <cell r="Q2937">
            <v>0</v>
          </cell>
          <cell r="R2937">
            <v>17500</v>
          </cell>
          <cell r="S2937">
            <v>0</v>
          </cell>
          <cell r="T2937">
            <v>17500</v>
          </cell>
          <cell r="U2937">
            <v>0</v>
          </cell>
          <cell r="V2937">
            <v>17500</v>
          </cell>
          <cell r="W2937">
            <v>0</v>
          </cell>
          <cell r="X2937">
            <v>17500</v>
          </cell>
          <cell r="Y2937">
            <v>0</v>
          </cell>
          <cell r="Z2937">
            <v>17500</v>
          </cell>
          <cell r="AA2937">
            <v>0</v>
          </cell>
          <cell r="AB2937">
            <v>0</v>
          </cell>
          <cell r="AC2937">
            <v>0</v>
          </cell>
          <cell r="AD2937">
            <v>1.94</v>
          </cell>
          <cell r="AE2937">
            <v>0</v>
          </cell>
          <cell r="AF2937">
            <v>0</v>
          </cell>
          <cell r="AG2937">
            <v>0</v>
          </cell>
          <cell r="AH2937">
            <v>0</v>
          </cell>
          <cell r="AI2937">
            <v>0</v>
          </cell>
          <cell r="AJ2937">
            <v>0</v>
          </cell>
          <cell r="AK2937">
            <v>0</v>
          </cell>
          <cell r="AL2937">
            <v>0</v>
          </cell>
        </row>
        <row r="2938">
          <cell r="E2938" t="str">
            <v>アンテナポール SGP50A-5.5m</v>
          </cell>
          <cell r="F2938" t="str">
            <v>本</v>
          </cell>
          <cell r="G2938">
            <v>0</v>
          </cell>
          <cell r="H2938">
            <v>18000</v>
          </cell>
          <cell r="I2938">
            <v>0</v>
          </cell>
          <cell r="J2938">
            <v>18000</v>
          </cell>
          <cell r="K2938">
            <v>0</v>
          </cell>
          <cell r="L2938">
            <v>18000</v>
          </cell>
          <cell r="M2938">
            <v>0</v>
          </cell>
          <cell r="N2938">
            <v>18000</v>
          </cell>
          <cell r="O2938">
            <v>0</v>
          </cell>
          <cell r="P2938">
            <v>18000</v>
          </cell>
          <cell r="Q2938">
            <v>0</v>
          </cell>
          <cell r="R2938">
            <v>18000</v>
          </cell>
          <cell r="S2938">
            <v>0</v>
          </cell>
          <cell r="T2938">
            <v>18000</v>
          </cell>
          <cell r="U2938">
            <v>0</v>
          </cell>
          <cell r="V2938">
            <v>18000</v>
          </cell>
          <cell r="W2938">
            <v>0</v>
          </cell>
          <cell r="X2938">
            <v>18000</v>
          </cell>
          <cell r="Y2938">
            <v>0</v>
          </cell>
          <cell r="Z2938">
            <v>18000</v>
          </cell>
          <cell r="AA2938">
            <v>0</v>
          </cell>
          <cell r="AB2938">
            <v>0</v>
          </cell>
          <cell r="AC2938">
            <v>0</v>
          </cell>
          <cell r="AD2938">
            <v>1.94</v>
          </cell>
          <cell r="AE2938">
            <v>0</v>
          </cell>
          <cell r="AF2938">
            <v>0</v>
          </cell>
          <cell r="AG2938">
            <v>0</v>
          </cell>
          <cell r="AH2938">
            <v>0</v>
          </cell>
          <cell r="AI2938">
            <v>0</v>
          </cell>
          <cell r="AJ2938">
            <v>0</v>
          </cell>
          <cell r="AK2938">
            <v>0</v>
          </cell>
          <cell r="AL2938">
            <v>0</v>
          </cell>
        </row>
        <row r="2939">
          <cell r="E2939" t="str">
            <v>アンテナポールBP付 SGP50A-3.5m</v>
          </cell>
          <cell r="F2939" t="str">
            <v>基</v>
          </cell>
          <cell r="G2939">
            <v>0</v>
          </cell>
          <cell r="H2939">
            <v>31000</v>
          </cell>
          <cell r="I2939">
            <v>0</v>
          </cell>
          <cell r="J2939">
            <v>31000</v>
          </cell>
          <cell r="K2939">
            <v>0</v>
          </cell>
          <cell r="L2939">
            <v>31000</v>
          </cell>
          <cell r="M2939">
            <v>0</v>
          </cell>
          <cell r="N2939">
            <v>31000</v>
          </cell>
          <cell r="O2939">
            <v>0</v>
          </cell>
          <cell r="P2939">
            <v>31000</v>
          </cell>
          <cell r="Q2939">
            <v>0</v>
          </cell>
          <cell r="R2939">
            <v>31000</v>
          </cell>
          <cell r="S2939">
            <v>0</v>
          </cell>
          <cell r="T2939">
            <v>31000</v>
          </cell>
          <cell r="U2939">
            <v>0</v>
          </cell>
          <cell r="V2939">
            <v>31000</v>
          </cell>
          <cell r="W2939">
            <v>0</v>
          </cell>
          <cell r="X2939">
            <v>31000</v>
          </cell>
          <cell r="Y2939">
            <v>0</v>
          </cell>
          <cell r="Z2939">
            <v>31000</v>
          </cell>
          <cell r="AA2939">
            <v>0</v>
          </cell>
          <cell r="AB2939">
            <v>0</v>
          </cell>
          <cell r="AC2939">
            <v>0</v>
          </cell>
          <cell r="AD2939">
            <v>1.41</v>
          </cell>
          <cell r="AE2939">
            <v>0</v>
          </cell>
          <cell r="AF2939">
            <v>0</v>
          </cell>
          <cell r="AG2939">
            <v>0</v>
          </cell>
          <cell r="AH2939">
            <v>0</v>
          </cell>
          <cell r="AI2939">
            <v>0</v>
          </cell>
          <cell r="AJ2939">
            <v>0</v>
          </cell>
          <cell r="AK2939">
            <v>0</v>
          </cell>
          <cell r="AL2939">
            <v>0</v>
          </cell>
        </row>
        <row r="2940">
          <cell r="E2940" t="str">
            <v>アンテナポールBP付 SGP50A-4.5m</v>
          </cell>
          <cell r="F2940" t="str">
            <v>基</v>
          </cell>
          <cell r="G2940">
            <v>0</v>
          </cell>
          <cell r="H2940">
            <v>33000</v>
          </cell>
          <cell r="I2940">
            <v>0</v>
          </cell>
          <cell r="J2940">
            <v>33000</v>
          </cell>
          <cell r="K2940">
            <v>0</v>
          </cell>
          <cell r="L2940">
            <v>33000</v>
          </cell>
          <cell r="M2940">
            <v>0</v>
          </cell>
          <cell r="N2940">
            <v>33000</v>
          </cell>
          <cell r="O2940">
            <v>0</v>
          </cell>
          <cell r="P2940">
            <v>33000</v>
          </cell>
          <cell r="Q2940">
            <v>0</v>
          </cell>
          <cell r="R2940">
            <v>33000</v>
          </cell>
          <cell r="S2940">
            <v>0</v>
          </cell>
          <cell r="T2940">
            <v>33000</v>
          </cell>
          <cell r="U2940">
            <v>0</v>
          </cell>
          <cell r="V2940">
            <v>33000</v>
          </cell>
          <cell r="W2940">
            <v>0</v>
          </cell>
          <cell r="X2940">
            <v>33000</v>
          </cell>
          <cell r="Y2940">
            <v>0</v>
          </cell>
          <cell r="Z2940">
            <v>33000</v>
          </cell>
          <cell r="AA2940">
            <v>0</v>
          </cell>
          <cell r="AB2940">
            <v>0</v>
          </cell>
          <cell r="AC2940">
            <v>0</v>
          </cell>
          <cell r="AD2940">
            <v>1.41</v>
          </cell>
          <cell r="AE2940">
            <v>0</v>
          </cell>
          <cell r="AF2940">
            <v>0</v>
          </cell>
          <cell r="AG2940">
            <v>0</v>
          </cell>
          <cell r="AH2940">
            <v>0</v>
          </cell>
          <cell r="AI2940">
            <v>0</v>
          </cell>
          <cell r="AJ2940">
            <v>0</v>
          </cell>
          <cell r="AK2940">
            <v>0</v>
          </cell>
          <cell r="AL2940">
            <v>0</v>
          </cell>
        </row>
        <row r="2941">
          <cell r="E2941" t="str">
            <v>アンテナポールBP付 SGP50A-5m</v>
          </cell>
          <cell r="F2941" t="str">
            <v>基</v>
          </cell>
          <cell r="G2941">
            <v>0</v>
          </cell>
          <cell r="H2941">
            <v>33500</v>
          </cell>
          <cell r="I2941">
            <v>0</v>
          </cell>
          <cell r="J2941">
            <v>33500</v>
          </cell>
          <cell r="K2941">
            <v>0</v>
          </cell>
          <cell r="L2941">
            <v>33500</v>
          </cell>
          <cell r="M2941">
            <v>0</v>
          </cell>
          <cell r="N2941">
            <v>33500</v>
          </cell>
          <cell r="O2941">
            <v>0</v>
          </cell>
          <cell r="P2941">
            <v>33500</v>
          </cell>
          <cell r="Q2941">
            <v>0</v>
          </cell>
          <cell r="R2941">
            <v>33500</v>
          </cell>
          <cell r="S2941">
            <v>0</v>
          </cell>
          <cell r="T2941">
            <v>33500</v>
          </cell>
          <cell r="U2941">
            <v>0</v>
          </cell>
          <cell r="V2941">
            <v>33500</v>
          </cell>
          <cell r="W2941">
            <v>0</v>
          </cell>
          <cell r="X2941">
            <v>33500</v>
          </cell>
          <cell r="Y2941">
            <v>0</v>
          </cell>
          <cell r="Z2941">
            <v>33500</v>
          </cell>
          <cell r="AA2941">
            <v>0</v>
          </cell>
          <cell r="AB2941">
            <v>0</v>
          </cell>
          <cell r="AC2941">
            <v>0</v>
          </cell>
          <cell r="AD2941">
            <v>1.41</v>
          </cell>
          <cell r="AE2941">
            <v>0</v>
          </cell>
          <cell r="AF2941">
            <v>0</v>
          </cell>
          <cell r="AG2941">
            <v>0</v>
          </cell>
          <cell r="AH2941">
            <v>0</v>
          </cell>
          <cell r="AI2941">
            <v>0</v>
          </cell>
          <cell r="AJ2941">
            <v>0</v>
          </cell>
          <cell r="AK2941">
            <v>0</v>
          </cell>
          <cell r="AL2941">
            <v>0</v>
          </cell>
        </row>
        <row r="2942">
          <cell r="E2942" t="str">
            <v>アンテナポールBP付 SGP50A-5.5m</v>
          </cell>
          <cell r="F2942" t="str">
            <v>基</v>
          </cell>
          <cell r="G2942">
            <v>0</v>
          </cell>
          <cell r="H2942">
            <v>34000</v>
          </cell>
          <cell r="I2942">
            <v>0</v>
          </cell>
          <cell r="J2942">
            <v>34000</v>
          </cell>
          <cell r="K2942">
            <v>0</v>
          </cell>
          <cell r="L2942">
            <v>34000</v>
          </cell>
          <cell r="M2942">
            <v>0</v>
          </cell>
          <cell r="N2942">
            <v>34000</v>
          </cell>
          <cell r="O2942">
            <v>0</v>
          </cell>
          <cell r="P2942">
            <v>34000</v>
          </cell>
          <cell r="Q2942">
            <v>0</v>
          </cell>
          <cell r="R2942">
            <v>34000</v>
          </cell>
          <cell r="S2942">
            <v>0</v>
          </cell>
          <cell r="T2942">
            <v>34000</v>
          </cell>
          <cell r="U2942">
            <v>0</v>
          </cell>
          <cell r="V2942">
            <v>34000</v>
          </cell>
          <cell r="W2942">
            <v>0</v>
          </cell>
          <cell r="X2942">
            <v>34000</v>
          </cell>
          <cell r="Y2942">
            <v>0</v>
          </cell>
          <cell r="Z2942">
            <v>34000</v>
          </cell>
          <cell r="AA2942">
            <v>0</v>
          </cell>
          <cell r="AB2942">
            <v>0</v>
          </cell>
          <cell r="AC2942">
            <v>0</v>
          </cell>
          <cell r="AD2942">
            <v>1.41</v>
          </cell>
          <cell r="AE2942">
            <v>0</v>
          </cell>
          <cell r="AF2942">
            <v>0</v>
          </cell>
          <cell r="AG2942">
            <v>0</v>
          </cell>
          <cell r="AH2942">
            <v>0</v>
          </cell>
          <cell r="AI2942">
            <v>0</v>
          </cell>
          <cell r="AJ2942">
            <v>0</v>
          </cell>
          <cell r="AK2942">
            <v>0</v>
          </cell>
          <cell r="AL2942">
            <v>0</v>
          </cell>
        </row>
        <row r="2943">
          <cell r="E2943" t="str">
            <v>CSアンテナポールBP付 SGP80A-1.5m</v>
          </cell>
          <cell r="F2943" t="str">
            <v>基</v>
          </cell>
          <cell r="G2943">
            <v>0</v>
          </cell>
          <cell r="H2943">
            <v>33000</v>
          </cell>
          <cell r="I2943">
            <v>0</v>
          </cell>
          <cell r="J2943">
            <v>33000</v>
          </cell>
          <cell r="K2943">
            <v>0</v>
          </cell>
          <cell r="L2943">
            <v>33000</v>
          </cell>
          <cell r="M2943">
            <v>0</v>
          </cell>
          <cell r="N2943">
            <v>33000</v>
          </cell>
          <cell r="O2943">
            <v>0</v>
          </cell>
          <cell r="P2943">
            <v>33000</v>
          </cell>
          <cell r="Q2943">
            <v>0</v>
          </cell>
          <cell r="R2943">
            <v>33000</v>
          </cell>
          <cell r="S2943">
            <v>0</v>
          </cell>
          <cell r="T2943">
            <v>33000</v>
          </cell>
          <cell r="U2943">
            <v>0</v>
          </cell>
          <cell r="V2943">
            <v>33000</v>
          </cell>
          <cell r="W2943">
            <v>0</v>
          </cell>
          <cell r="X2943">
            <v>33000</v>
          </cell>
          <cell r="Y2943">
            <v>0</v>
          </cell>
          <cell r="Z2943">
            <v>33000</v>
          </cell>
          <cell r="AA2943">
            <v>0</v>
          </cell>
          <cell r="AB2943">
            <v>0</v>
          </cell>
          <cell r="AC2943">
            <v>0</v>
          </cell>
          <cell r="AD2943">
            <v>2.11</v>
          </cell>
          <cell r="AE2943">
            <v>0</v>
          </cell>
          <cell r="AF2943">
            <v>0</v>
          </cell>
          <cell r="AG2943">
            <v>0</v>
          </cell>
          <cell r="AH2943">
            <v>0</v>
          </cell>
          <cell r="AI2943">
            <v>0</v>
          </cell>
          <cell r="AJ2943">
            <v>0</v>
          </cell>
          <cell r="AK2943">
            <v>0</v>
          </cell>
          <cell r="AL2943">
            <v>0</v>
          </cell>
        </row>
        <row r="2944">
          <cell r="E2944" t="str">
            <v>共聴アンテナ BS</v>
          </cell>
          <cell r="F2944" t="str">
            <v>個</v>
          </cell>
          <cell r="G2944">
            <v>0</v>
          </cell>
          <cell r="H2944">
            <v>58900</v>
          </cell>
          <cell r="I2944">
            <v>0</v>
          </cell>
          <cell r="J2944">
            <v>58900</v>
          </cell>
          <cell r="K2944">
            <v>0</v>
          </cell>
          <cell r="L2944">
            <v>58900</v>
          </cell>
          <cell r="M2944">
            <v>0</v>
          </cell>
          <cell r="N2944">
            <v>58900</v>
          </cell>
          <cell r="O2944">
            <v>0</v>
          </cell>
          <cell r="P2944">
            <v>58900</v>
          </cell>
          <cell r="Q2944">
            <v>0</v>
          </cell>
          <cell r="R2944">
            <v>58900</v>
          </cell>
          <cell r="S2944">
            <v>0</v>
          </cell>
          <cell r="T2944">
            <v>58900</v>
          </cell>
          <cell r="U2944">
            <v>0</v>
          </cell>
          <cell r="V2944">
            <v>58900</v>
          </cell>
          <cell r="W2944">
            <v>0</v>
          </cell>
          <cell r="X2944">
            <v>58900</v>
          </cell>
          <cell r="Y2944">
            <v>0</v>
          </cell>
          <cell r="Z2944">
            <v>58900</v>
          </cell>
          <cell r="AA2944">
            <v>0</v>
          </cell>
          <cell r="AB2944">
            <v>0</v>
          </cell>
          <cell r="AC2944">
            <v>0</v>
          </cell>
          <cell r="AD2944">
            <v>1.56</v>
          </cell>
          <cell r="AE2944">
            <v>0</v>
          </cell>
          <cell r="AF2944">
            <v>0</v>
          </cell>
          <cell r="AG2944">
            <v>0</v>
          </cell>
          <cell r="AH2944">
            <v>0</v>
          </cell>
          <cell r="AI2944">
            <v>0</v>
          </cell>
          <cell r="AJ2944">
            <v>0</v>
          </cell>
          <cell r="AK2944">
            <v>0</v>
          </cell>
          <cell r="AL2944" t="str">
            <v>BC751</v>
          </cell>
        </row>
        <row r="2945">
          <cell r="E2945" t="str">
            <v>共聴アンテナ CS</v>
          </cell>
          <cell r="F2945" t="str">
            <v>個</v>
          </cell>
          <cell r="G2945">
            <v>0</v>
          </cell>
          <cell r="H2945">
            <v>58900</v>
          </cell>
          <cell r="I2945">
            <v>0</v>
          </cell>
          <cell r="J2945">
            <v>58900</v>
          </cell>
          <cell r="K2945">
            <v>0</v>
          </cell>
          <cell r="L2945">
            <v>58900</v>
          </cell>
          <cell r="M2945">
            <v>0</v>
          </cell>
          <cell r="N2945">
            <v>58900</v>
          </cell>
          <cell r="O2945">
            <v>0</v>
          </cell>
          <cell r="P2945">
            <v>58900</v>
          </cell>
          <cell r="Q2945">
            <v>0</v>
          </cell>
          <cell r="R2945">
            <v>58900</v>
          </cell>
          <cell r="S2945">
            <v>0</v>
          </cell>
          <cell r="T2945">
            <v>58900</v>
          </cell>
          <cell r="U2945">
            <v>0</v>
          </cell>
          <cell r="V2945">
            <v>58900</v>
          </cell>
          <cell r="W2945">
            <v>0</v>
          </cell>
          <cell r="X2945">
            <v>58900</v>
          </cell>
          <cell r="Y2945">
            <v>0</v>
          </cell>
          <cell r="Z2945">
            <v>58900</v>
          </cell>
          <cell r="AA2945">
            <v>0</v>
          </cell>
          <cell r="AB2945">
            <v>0</v>
          </cell>
          <cell r="AC2945">
            <v>0</v>
          </cell>
          <cell r="AD2945">
            <v>1.56</v>
          </cell>
          <cell r="AE2945">
            <v>0</v>
          </cell>
          <cell r="AF2945">
            <v>0</v>
          </cell>
          <cell r="AG2945">
            <v>0</v>
          </cell>
          <cell r="AH2945">
            <v>0</v>
          </cell>
          <cell r="AI2945">
            <v>0</v>
          </cell>
          <cell r="AJ2945">
            <v>0</v>
          </cell>
          <cell r="AK2945">
            <v>0</v>
          </cell>
          <cell r="AL2945" t="str">
            <v>DBCA-601</v>
          </cell>
        </row>
        <row r="2946">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row>
        <row r="2947">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row>
        <row r="2948">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row>
        <row r="2949">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row>
        <row r="2950">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row>
        <row r="2951">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row>
        <row r="2952">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row>
        <row r="2953">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row>
        <row r="2954">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row>
        <row r="2955">
          <cell r="E2955">
            <v>0</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row>
        <row r="2956">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row>
        <row r="2957">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row>
        <row r="2958">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row>
        <row r="2959">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row>
        <row r="2960">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row>
        <row r="2961">
          <cell r="E2961">
            <v>0</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row>
        <row r="2962">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row>
        <row r="2963">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row>
        <row r="2964">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row>
        <row r="2965">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row>
        <row r="2966">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row>
        <row r="2967">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row>
        <row r="2968">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row>
        <row r="2969">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row>
        <row r="2970">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row>
        <row r="2971">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row>
        <row r="2972">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row>
        <row r="2973">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row>
        <row r="2974">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row>
        <row r="2975">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row>
        <row r="2976">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row>
        <row r="2977">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row>
        <row r="2978">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row>
        <row r="2979">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row>
        <row r="2980">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row>
        <row r="2981">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row>
        <row r="2982">
          <cell r="E2982">
            <v>0</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row>
        <row r="2983">
          <cell r="E2983">
            <v>0</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row>
        <row r="2984">
          <cell r="E2984">
            <v>0</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row>
        <row r="2985">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row>
        <row r="2986">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row>
        <row r="2987">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row>
        <row r="2988">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row>
        <row r="2989">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row>
        <row r="2990">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row>
        <row r="2991">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row>
        <row r="2992">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row>
        <row r="2993">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row>
        <row r="2994">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row>
        <row r="2995">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row>
        <row r="2996">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row>
        <row r="2997">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row>
        <row r="2998">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row>
        <row r="2999">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row>
        <row r="3000">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row>
        <row r="3001">
          <cell r="E3001">
            <v>0</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row>
        <row r="3002">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row>
        <row r="3003">
          <cell r="E3003">
            <v>0</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row>
        <row r="3004">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row>
        <row r="3005">
          <cell r="E3005">
            <v>0</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row>
        <row r="3006">
          <cell r="E3006">
            <v>0</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row>
        <row r="3007">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row>
        <row r="3008">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row>
        <row r="3009">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row>
        <row r="3010">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row>
        <row r="3011">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row>
        <row r="3012">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row>
        <row r="3013">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row>
        <row r="3014">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row>
        <row r="3015">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row>
        <row r="3016">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row>
        <row r="3017">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row>
        <row r="3018">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row>
        <row r="3019">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row>
        <row r="3020">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row>
        <row r="3021">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row>
        <row r="3022">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row>
        <row r="3023">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row>
        <row r="3024">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row>
        <row r="3025">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row>
        <row r="3026">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row>
        <row r="3027">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row>
        <row r="3028">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row>
        <row r="3029">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row>
        <row r="3030">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row>
        <row r="3031">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row>
        <row r="3032">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row>
        <row r="3033">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row>
        <row r="3034">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row>
        <row r="3035">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row>
        <row r="3036">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row>
        <row r="3037">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row>
        <row r="3038">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row>
        <row r="3039">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row>
        <row r="3040">
          <cell r="E3040" t="str">
            <v>差動SP2種露</v>
          </cell>
          <cell r="F3040" t="str">
            <v>個</v>
          </cell>
          <cell r="G3040">
            <v>0</v>
          </cell>
          <cell r="H3040">
            <v>1290</v>
          </cell>
          <cell r="I3040">
            <v>0</v>
          </cell>
          <cell r="J3040">
            <v>1290</v>
          </cell>
          <cell r="K3040">
            <v>0</v>
          </cell>
          <cell r="L3040">
            <v>1290</v>
          </cell>
          <cell r="M3040">
            <v>0</v>
          </cell>
          <cell r="N3040">
            <v>1290</v>
          </cell>
          <cell r="O3040">
            <v>0</v>
          </cell>
          <cell r="P3040">
            <v>1290</v>
          </cell>
          <cell r="Q3040">
            <v>0</v>
          </cell>
          <cell r="R3040">
            <v>1290</v>
          </cell>
          <cell r="S3040">
            <v>0</v>
          </cell>
          <cell r="T3040">
            <v>1290</v>
          </cell>
          <cell r="U3040">
            <v>0</v>
          </cell>
          <cell r="V3040">
            <v>1290</v>
          </cell>
          <cell r="W3040">
            <v>0</v>
          </cell>
          <cell r="X3040">
            <v>1290</v>
          </cell>
          <cell r="Y3040">
            <v>0</v>
          </cell>
          <cell r="Z3040">
            <v>1290</v>
          </cell>
          <cell r="AA3040">
            <v>0</v>
          </cell>
          <cell r="AB3040">
            <v>0</v>
          </cell>
          <cell r="AC3040">
            <v>0</v>
          </cell>
          <cell r="AD3040">
            <v>0.13300000000000001</v>
          </cell>
          <cell r="AE3040">
            <v>0</v>
          </cell>
          <cell r="AF3040">
            <v>0</v>
          </cell>
          <cell r="AG3040">
            <v>0</v>
          </cell>
          <cell r="AH3040">
            <v>0</v>
          </cell>
          <cell r="AI3040">
            <v>0</v>
          </cell>
          <cell r="AJ3040">
            <v>0</v>
          </cell>
          <cell r="AK3040">
            <v>0</v>
          </cell>
          <cell r="AL3040">
            <v>0</v>
          </cell>
        </row>
        <row r="3041">
          <cell r="E3041" t="str">
            <v>差動SP2種埋</v>
          </cell>
          <cell r="F3041" t="str">
            <v>個</v>
          </cell>
          <cell r="G3041">
            <v>0</v>
          </cell>
          <cell r="H3041">
            <v>1990</v>
          </cell>
          <cell r="I3041">
            <v>0</v>
          </cell>
          <cell r="J3041">
            <v>1990</v>
          </cell>
          <cell r="K3041">
            <v>0</v>
          </cell>
          <cell r="L3041">
            <v>1990</v>
          </cell>
          <cell r="M3041">
            <v>0</v>
          </cell>
          <cell r="N3041">
            <v>1990</v>
          </cell>
          <cell r="O3041">
            <v>0</v>
          </cell>
          <cell r="P3041">
            <v>1990</v>
          </cell>
          <cell r="Q3041">
            <v>0</v>
          </cell>
          <cell r="R3041">
            <v>1990</v>
          </cell>
          <cell r="S3041">
            <v>0</v>
          </cell>
          <cell r="T3041">
            <v>1990</v>
          </cell>
          <cell r="U3041">
            <v>0</v>
          </cell>
          <cell r="V3041">
            <v>1990</v>
          </cell>
          <cell r="W3041">
            <v>0</v>
          </cell>
          <cell r="X3041">
            <v>1990</v>
          </cell>
          <cell r="Y3041">
            <v>0</v>
          </cell>
          <cell r="Z3041">
            <v>1990</v>
          </cell>
          <cell r="AA3041">
            <v>0</v>
          </cell>
          <cell r="AB3041">
            <v>0</v>
          </cell>
          <cell r="AC3041">
            <v>0</v>
          </cell>
          <cell r="AD3041">
            <v>0.13300000000000001</v>
          </cell>
          <cell r="AE3041">
            <v>0</v>
          </cell>
          <cell r="AF3041">
            <v>0</v>
          </cell>
          <cell r="AG3041">
            <v>0</v>
          </cell>
          <cell r="AH3041">
            <v>0</v>
          </cell>
          <cell r="AI3041">
            <v>0</v>
          </cell>
          <cell r="AJ3041">
            <v>0</v>
          </cell>
          <cell r="AK3041">
            <v>0</v>
          </cell>
          <cell r="AL3041">
            <v>0</v>
          </cell>
        </row>
        <row r="3042">
          <cell r="E3042" t="str">
            <v>定温SP1種WP</v>
          </cell>
          <cell r="F3042" t="str">
            <v>個</v>
          </cell>
          <cell r="G3042">
            <v>0</v>
          </cell>
          <cell r="H3042">
            <v>1190</v>
          </cell>
          <cell r="I3042">
            <v>0</v>
          </cell>
          <cell r="J3042">
            <v>1190</v>
          </cell>
          <cell r="K3042">
            <v>0</v>
          </cell>
          <cell r="L3042">
            <v>1190</v>
          </cell>
          <cell r="M3042">
            <v>0</v>
          </cell>
          <cell r="N3042">
            <v>1190</v>
          </cell>
          <cell r="O3042">
            <v>0</v>
          </cell>
          <cell r="P3042">
            <v>1190</v>
          </cell>
          <cell r="Q3042">
            <v>0</v>
          </cell>
          <cell r="R3042">
            <v>1190</v>
          </cell>
          <cell r="S3042">
            <v>0</v>
          </cell>
          <cell r="T3042">
            <v>1190</v>
          </cell>
          <cell r="U3042">
            <v>0</v>
          </cell>
          <cell r="V3042">
            <v>1190</v>
          </cell>
          <cell r="W3042">
            <v>0</v>
          </cell>
          <cell r="X3042">
            <v>1190</v>
          </cell>
          <cell r="Y3042">
            <v>0</v>
          </cell>
          <cell r="Z3042">
            <v>1190</v>
          </cell>
          <cell r="AA3042">
            <v>0</v>
          </cell>
          <cell r="AB3042">
            <v>0</v>
          </cell>
          <cell r="AC3042">
            <v>0</v>
          </cell>
          <cell r="AD3042">
            <v>0.13300000000000001</v>
          </cell>
          <cell r="AE3042">
            <v>0</v>
          </cell>
          <cell r="AF3042">
            <v>0</v>
          </cell>
          <cell r="AG3042">
            <v>0</v>
          </cell>
          <cell r="AH3042">
            <v>0</v>
          </cell>
          <cell r="AI3042">
            <v>0</v>
          </cell>
          <cell r="AJ3042">
            <v>0</v>
          </cell>
          <cell r="AK3042">
            <v>0</v>
          </cell>
          <cell r="AL3042">
            <v>0</v>
          </cell>
        </row>
        <row r="3043">
          <cell r="E3043" t="str">
            <v>定温SP1種Exp</v>
          </cell>
          <cell r="F3043" t="str">
            <v>個</v>
          </cell>
          <cell r="G3043">
            <v>0</v>
          </cell>
          <cell r="H3043">
            <v>7700</v>
          </cell>
          <cell r="I3043">
            <v>0</v>
          </cell>
          <cell r="J3043">
            <v>7700</v>
          </cell>
          <cell r="K3043">
            <v>0</v>
          </cell>
          <cell r="L3043">
            <v>7700</v>
          </cell>
          <cell r="M3043">
            <v>0</v>
          </cell>
          <cell r="N3043">
            <v>7700</v>
          </cell>
          <cell r="O3043">
            <v>0</v>
          </cell>
          <cell r="P3043">
            <v>7700</v>
          </cell>
          <cell r="Q3043">
            <v>0</v>
          </cell>
          <cell r="R3043">
            <v>7700</v>
          </cell>
          <cell r="S3043">
            <v>0</v>
          </cell>
          <cell r="T3043">
            <v>7700</v>
          </cell>
          <cell r="U3043">
            <v>0</v>
          </cell>
          <cell r="V3043">
            <v>7700</v>
          </cell>
          <cell r="W3043">
            <v>0</v>
          </cell>
          <cell r="X3043">
            <v>7700</v>
          </cell>
          <cell r="Y3043">
            <v>0</v>
          </cell>
          <cell r="Z3043">
            <v>7700</v>
          </cell>
          <cell r="AA3043">
            <v>0</v>
          </cell>
          <cell r="AB3043">
            <v>0</v>
          </cell>
          <cell r="AC3043">
            <v>0</v>
          </cell>
          <cell r="AD3043">
            <v>0.13300000000000001</v>
          </cell>
          <cell r="AE3043">
            <v>0</v>
          </cell>
          <cell r="AF3043">
            <v>0</v>
          </cell>
          <cell r="AG3043">
            <v>0</v>
          </cell>
          <cell r="AH3043">
            <v>0</v>
          </cell>
          <cell r="AI3043">
            <v>0</v>
          </cell>
          <cell r="AJ3043">
            <v>0</v>
          </cell>
          <cell r="AK3043">
            <v>0</v>
          </cell>
          <cell r="AL3043">
            <v>0</v>
          </cell>
        </row>
        <row r="3044">
          <cell r="E3044" t="str">
            <v>補償SP2種</v>
          </cell>
          <cell r="F3044" t="str">
            <v>個</v>
          </cell>
          <cell r="G3044">
            <v>0</v>
          </cell>
          <cell r="H3044">
            <v>2500</v>
          </cell>
          <cell r="I3044">
            <v>0</v>
          </cell>
          <cell r="J3044">
            <v>2500</v>
          </cell>
          <cell r="K3044">
            <v>0</v>
          </cell>
          <cell r="L3044">
            <v>2500</v>
          </cell>
          <cell r="M3044">
            <v>0</v>
          </cell>
          <cell r="N3044">
            <v>2500</v>
          </cell>
          <cell r="O3044">
            <v>0</v>
          </cell>
          <cell r="P3044">
            <v>2500</v>
          </cell>
          <cell r="Q3044">
            <v>0</v>
          </cell>
          <cell r="R3044">
            <v>2500</v>
          </cell>
          <cell r="S3044">
            <v>0</v>
          </cell>
          <cell r="T3044">
            <v>2500</v>
          </cell>
          <cell r="U3044">
            <v>0</v>
          </cell>
          <cell r="V3044">
            <v>2500</v>
          </cell>
          <cell r="W3044">
            <v>0</v>
          </cell>
          <cell r="X3044">
            <v>2500</v>
          </cell>
          <cell r="Y3044">
            <v>0</v>
          </cell>
          <cell r="Z3044">
            <v>2500</v>
          </cell>
          <cell r="AA3044">
            <v>0</v>
          </cell>
          <cell r="AB3044">
            <v>0</v>
          </cell>
          <cell r="AC3044">
            <v>0</v>
          </cell>
          <cell r="AD3044">
            <v>0.13300000000000001</v>
          </cell>
          <cell r="AE3044">
            <v>0</v>
          </cell>
          <cell r="AF3044">
            <v>0</v>
          </cell>
          <cell r="AG3044">
            <v>0</v>
          </cell>
          <cell r="AH3044">
            <v>0</v>
          </cell>
          <cell r="AI3044">
            <v>0</v>
          </cell>
          <cell r="AJ3044">
            <v>0</v>
          </cell>
          <cell r="AK3044">
            <v>0</v>
          </cell>
          <cell r="AL3044">
            <v>0</v>
          </cell>
        </row>
        <row r="3045">
          <cell r="E3045" t="str">
            <v>光電式煙2種露</v>
          </cell>
          <cell r="F3045" t="str">
            <v>個</v>
          </cell>
          <cell r="G3045">
            <v>0</v>
          </cell>
          <cell r="H3045">
            <v>7700</v>
          </cell>
          <cell r="I3045">
            <v>0</v>
          </cell>
          <cell r="J3045">
            <v>7700</v>
          </cell>
          <cell r="K3045">
            <v>0</v>
          </cell>
          <cell r="L3045">
            <v>7700</v>
          </cell>
          <cell r="M3045">
            <v>0</v>
          </cell>
          <cell r="N3045">
            <v>7700</v>
          </cell>
          <cell r="O3045">
            <v>0</v>
          </cell>
          <cell r="P3045">
            <v>7700</v>
          </cell>
          <cell r="Q3045">
            <v>0</v>
          </cell>
          <cell r="R3045">
            <v>7700</v>
          </cell>
          <cell r="S3045">
            <v>0</v>
          </cell>
          <cell r="T3045">
            <v>7700</v>
          </cell>
          <cell r="U3045">
            <v>0</v>
          </cell>
          <cell r="V3045">
            <v>7700</v>
          </cell>
          <cell r="W3045">
            <v>0</v>
          </cell>
          <cell r="X3045">
            <v>7700</v>
          </cell>
          <cell r="Y3045">
            <v>0</v>
          </cell>
          <cell r="Z3045">
            <v>7700</v>
          </cell>
          <cell r="AA3045">
            <v>0</v>
          </cell>
          <cell r="AB3045">
            <v>0</v>
          </cell>
          <cell r="AC3045">
            <v>0</v>
          </cell>
          <cell r="AD3045">
            <v>0.159</v>
          </cell>
          <cell r="AE3045">
            <v>0</v>
          </cell>
          <cell r="AF3045">
            <v>0</v>
          </cell>
          <cell r="AG3045">
            <v>0</v>
          </cell>
          <cell r="AH3045">
            <v>0</v>
          </cell>
          <cell r="AI3045">
            <v>0</v>
          </cell>
          <cell r="AJ3045">
            <v>0</v>
          </cell>
          <cell r="AK3045">
            <v>0</v>
          </cell>
          <cell r="AL3045">
            <v>0</v>
          </cell>
        </row>
        <row r="3046">
          <cell r="E3046" t="str">
            <v>光電式煙2種埋</v>
          </cell>
          <cell r="F3046" t="str">
            <v>個</v>
          </cell>
          <cell r="G3046">
            <v>0</v>
          </cell>
          <cell r="H3046">
            <v>8400</v>
          </cell>
          <cell r="I3046">
            <v>0</v>
          </cell>
          <cell r="J3046">
            <v>8400</v>
          </cell>
          <cell r="K3046">
            <v>0</v>
          </cell>
          <cell r="L3046">
            <v>8400</v>
          </cell>
          <cell r="M3046">
            <v>0</v>
          </cell>
          <cell r="N3046">
            <v>8400</v>
          </cell>
          <cell r="O3046">
            <v>0</v>
          </cell>
          <cell r="P3046">
            <v>8400</v>
          </cell>
          <cell r="Q3046">
            <v>0</v>
          </cell>
          <cell r="R3046">
            <v>8400</v>
          </cell>
          <cell r="S3046">
            <v>0</v>
          </cell>
          <cell r="T3046">
            <v>8400</v>
          </cell>
          <cell r="U3046">
            <v>0</v>
          </cell>
          <cell r="V3046">
            <v>8400</v>
          </cell>
          <cell r="W3046">
            <v>0</v>
          </cell>
          <cell r="X3046">
            <v>8400</v>
          </cell>
          <cell r="Y3046">
            <v>0</v>
          </cell>
          <cell r="Z3046">
            <v>8400</v>
          </cell>
          <cell r="AA3046">
            <v>0</v>
          </cell>
          <cell r="AB3046">
            <v>0</v>
          </cell>
          <cell r="AC3046">
            <v>0</v>
          </cell>
          <cell r="AD3046">
            <v>0.159</v>
          </cell>
          <cell r="AE3046">
            <v>0</v>
          </cell>
          <cell r="AF3046">
            <v>0</v>
          </cell>
          <cell r="AG3046">
            <v>0</v>
          </cell>
          <cell r="AH3046">
            <v>0</v>
          </cell>
          <cell r="AI3046">
            <v>0</v>
          </cell>
          <cell r="AJ3046">
            <v>0</v>
          </cell>
          <cell r="AK3046">
            <v>0</v>
          </cell>
          <cell r="AL3046">
            <v>0</v>
          </cell>
        </row>
        <row r="3047">
          <cell r="E3047" t="str">
            <v>光電式煙3種露</v>
          </cell>
          <cell r="F3047" t="str">
            <v>個</v>
          </cell>
          <cell r="G3047">
            <v>0</v>
          </cell>
          <cell r="H3047">
            <v>7000</v>
          </cell>
          <cell r="I3047">
            <v>0</v>
          </cell>
          <cell r="J3047">
            <v>7000</v>
          </cell>
          <cell r="K3047">
            <v>0</v>
          </cell>
          <cell r="L3047">
            <v>7000</v>
          </cell>
          <cell r="M3047">
            <v>0</v>
          </cell>
          <cell r="N3047">
            <v>7000</v>
          </cell>
          <cell r="O3047">
            <v>0</v>
          </cell>
          <cell r="P3047">
            <v>7000</v>
          </cell>
          <cell r="Q3047">
            <v>0</v>
          </cell>
          <cell r="R3047">
            <v>7000</v>
          </cell>
          <cell r="S3047">
            <v>0</v>
          </cell>
          <cell r="T3047">
            <v>7000</v>
          </cell>
          <cell r="U3047">
            <v>0</v>
          </cell>
          <cell r="V3047">
            <v>7000</v>
          </cell>
          <cell r="W3047">
            <v>0</v>
          </cell>
          <cell r="X3047">
            <v>7000</v>
          </cell>
          <cell r="Y3047">
            <v>0</v>
          </cell>
          <cell r="Z3047">
            <v>7000</v>
          </cell>
          <cell r="AA3047">
            <v>0</v>
          </cell>
          <cell r="AB3047">
            <v>0</v>
          </cell>
          <cell r="AC3047">
            <v>0</v>
          </cell>
          <cell r="AD3047">
            <v>0.159</v>
          </cell>
          <cell r="AE3047">
            <v>0</v>
          </cell>
          <cell r="AF3047">
            <v>0</v>
          </cell>
          <cell r="AG3047">
            <v>0</v>
          </cell>
          <cell r="AH3047">
            <v>0</v>
          </cell>
          <cell r="AI3047">
            <v>0</v>
          </cell>
          <cell r="AJ3047">
            <v>0</v>
          </cell>
          <cell r="AK3047">
            <v>0</v>
          </cell>
          <cell r="AL3047">
            <v>0</v>
          </cell>
        </row>
        <row r="3048">
          <cell r="E3048" t="str">
            <v>光電式煙3種埋</v>
          </cell>
          <cell r="F3048" t="str">
            <v>個</v>
          </cell>
          <cell r="G3048">
            <v>0</v>
          </cell>
          <cell r="H3048">
            <v>7700</v>
          </cell>
          <cell r="I3048">
            <v>0</v>
          </cell>
          <cell r="J3048">
            <v>7700</v>
          </cell>
          <cell r="K3048">
            <v>0</v>
          </cell>
          <cell r="L3048">
            <v>7700</v>
          </cell>
          <cell r="M3048">
            <v>0</v>
          </cell>
          <cell r="N3048">
            <v>7700</v>
          </cell>
          <cell r="O3048">
            <v>0</v>
          </cell>
          <cell r="P3048">
            <v>7700</v>
          </cell>
          <cell r="Q3048">
            <v>0</v>
          </cell>
          <cell r="R3048">
            <v>7700</v>
          </cell>
          <cell r="S3048">
            <v>0</v>
          </cell>
          <cell r="T3048">
            <v>7700</v>
          </cell>
          <cell r="U3048">
            <v>0</v>
          </cell>
          <cell r="V3048">
            <v>7700</v>
          </cell>
          <cell r="W3048">
            <v>0</v>
          </cell>
          <cell r="X3048">
            <v>7700</v>
          </cell>
          <cell r="Y3048">
            <v>0</v>
          </cell>
          <cell r="Z3048">
            <v>7700</v>
          </cell>
          <cell r="AA3048">
            <v>0</v>
          </cell>
          <cell r="AB3048">
            <v>0</v>
          </cell>
          <cell r="AC3048">
            <v>0</v>
          </cell>
          <cell r="AD3048">
            <v>0.159</v>
          </cell>
          <cell r="AE3048">
            <v>0</v>
          </cell>
          <cell r="AF3048">
            <v>0</v>
          </cell>
          <cell r="AG3048">
            <v>0</v>
          </cell>
          <cell r="AH3048">
            <v>0</v>
          </cell>
          <cell r="AI3048">
            <v>0</v>
          </cell>
          <cell r="AJ3048">
            <v>0</v>
          </cell>
          <cell r="AK3048">
            <v>0</v>
          </cell>
          <cell r="AL3048">
            <v>0</v>
          </cell>
        </row>
        <row r="3049">
          <cell r="E3049" t="str">
            <v>HP起動押ボタン</v>
          </cell>
          <cell r="F3049" t="str">
            <v>個</v>
          </cell>
          <cell r="G3049">
            <v>0</v>
          </cell>
          <cell r="H3049">
            <v>1500</v>
          </cell>
          <cell r="I3049">
            <v>0</v>
          </cell>
          <cell r="J3049">
            <v>1500</v>
          </cell>
          <cell r="K3049">
            <v>0</v>
          </cell>
          <cell r="L3049">
            <v>1500</v>
          </cell>
          <cell r="M3049">
            <v>0</v>
          </cell>
          <cell r="N3049">
            <v>1500</v>
          </cell>
          <cell r="O3049">
            <v>0</v>
          </cell>
          <cell r="P3049">
            <v>1500</v>
          </cell>
          <cell r="Q3049">
            <v>0</v>
          </cell>
          <cell r="R3049">
            <v>1500</v>
          </cell>
          <cell r="S3049">
            <v>0</v>
          </cell>
          <cell r="T3049">
            <v>1500</v>
          </cell>
          <cell r="U3049">
            <v>0</v>
          </cell>
          <cell r="V3049">
            <v>1500</v>
          </cell>
          <cell r="W3049">
            <v>0</v>
          </cell>
          <cell r="X3049">
            <v>1500</v>
          </cell>
          <cell r="Y3049">
            <v>0</v>
          </cell>
          <cell r="Z3049">
            <v>1500</v>
          </cell>
          <cell r="AA3049">
            <v>0</v>
          </cell>
          <cell r="AB3049">
            <v>0</v>
          </cell>
          <cell r="AC3049">
            <v>0</v>
          </cell>
          <cell r="AD3049">
            <v>5.3999999999999999E-2</v>
          </cell>
          <cell r="AE3049">
            <v>0</v>
          </cell>
          <cell r="AF3049">
            <v>0</v>
          </cell>
          <cell r="AG3049">
            <v>0</v>
          </cell>
          <cell r="AH3049">
            <v>0</v>
          </cell>
          <cell r="AI3049">
            <v>0</v>
          </cell>
          <cell r="AJ3049">
            <v>0</v>
          </cell>
          <cell r="AK3049">
            <v>0</v>
          </cell>
          <cell r="AL3049">
            <v>0</v>
          </cell>
        </row>
        <row r="3050">
          <cell r="E3050" t="str">
            <v>P1総合盤露出</v>
          </cell>
          <cell r="F3050" t="str">
            <v>個</v>
          </cell>
          <cell r="G3050">
            <v>0</v>
          </cell>
          <cell r="H3050">
            <v>10200</v>
          </cell>
          <cell r="I3050">
            <v>0</v>
          </cell>
          <cell r="J3050">
            <v>10200</v>
          </cell>
          <cell r="K3050">
            <v>0</v>
          </cell>
          <cell r="L3050">
            <v>10200</v>
          </cell>
          <cell r="M3050">
            <v>0</v>
          </cell>
          <cell r="N3050">
            <v>10200</v>
          </cell>
          <cell r="O3050">
            <v>0</v>
          </cell>
          <cell r="P3050">
            <v>10200</v>
          </cell>
          <cell r="Q3050">
            <v>0</v>
          </cell>
          <cell r="R3050">
            <v>10200</v>
          </cell>
          <cell r="S3050">
            <v>0</v>
          </cell>
          <cell r="T3050">
            <v>10200</v>
          </cell>
          <cell r="U3050">
            <v>0</v>
          </cell>
          <cell r="V3050">
            <v>10200</v>
          </cell>
          <cell r="W3050">
            <v>0</v>
          </cell>
          <cell r="X3050">
            <v>10200</v>
          </cell>
          <cell r="Y3050">
            <v>0</v>
          </cell>
          <cell r="Z3050">
            <v>10200</v>
          </cell>
          <cell r="AA3050">
            <v>0</v>
          </cell>
          <cell r="AB3050">
            <v>0</v>
          </cell>
          <cell r="AC3050">
            <v>0</v>
          </cell>
          <cell r="AD3050">
            <v>0.61899999999999999</v>
          </cell>
          <cell r="AE3050">
            <v>0</v>
          </cell>
          <cell r="AF3050">
            <v>0</v>
          </cell>
          <cell r="AG3050">
            <v>0</v>
          </cell>
          <cell r="AH3050">
            <v>0</v>
          </cell>
          <cell r="AI3050">
            <v>0</v>
          </cell>
          <cell r="AJ3050">
            <v>0</v>
          </cell>
          <cell r="AK3050">
            <v>0</v>
          </cell>
          <cell r="AL3050">
            <v>0</v>
          </cell>
        </row>
        <row r="3051">
          <cell r="E3051" t="str">
            <v>P1総合盤埋込</v>
          </cell>
          <cell r="F3051" t="str">
            <v>個</v>
          </cell>
          <cell r="G3051">
            <v>0</v>
          </cell>
          <cell r="H3051">
            <v>8890</v>
          </cell>
          <cell r="I3051">
            <v>0</v>
          </cell>
          <cell r="J3051">
            <v>8890</v>
          </cell>
          <cell r="K3051">
            <v>0</v>
          </cell>
          <cell r="L3051">
            <v>8890</v>
          </cell>
          <cell r="M3051">
            <v>0</v>
          </cell>
          <cell r="N3051">
            <v>8890</v>
          </cell>
          <cell r="O3051">
            <v>0</v>
          </cell>
          <cell r="P3051">
            <v>8890</v>
          </cell>
          <cell r="Q3051">
            <v>0</v>
          </cell>
          <cell r="R3051">
            <v>8890</v>
          </cell>
          <cell r="S3051">
            <v>0</v>
          </cell>
          <cell r="T3051">
            <v>8890</v>
          </cell>
          <cell r="U3051">
            <v>0</v>
          </cell>
          <cell r="V3051">
            <v>8890</v>
          </cell>
          <cell r="W3051">
            <v>0</v>
          </cell>
          <cell r="X3051">
            <v>8890</v>
          </cell>
          <cell r="Y3051">
            <v>0</v>
          </cell>
          <cell r="Z3051">
            <v>8890</v>
          </cell>
          <cell r="AA3051">
            <v>0</v>
          </cell>
          <cell r="AB3051">
            <v>0</v>
          </cell>
          <cell r="AC3051">
            <v>0</v>
          </cell>
          <cell r="AD3051">
            <v>0.496</v>
          </cell>
          <cell r="AE3051">
            <v>0</v>
          </cell>
          <cell r="AF3051">
            <v>0</v>
          </cell>
          <cell r="AG3051">
            <v>0</v>
          </cell>
          <cell r="AH3051">
            <v>0</v>
          </cell>
          <cell r="AI3051">
            <v>0</v>
          </cell>
          <cell r="AJ3051">
            <v>0</v>
          </cell>
          <cell r="AK3051">
            <v>0</v>
          </cell>
          <cell r="AL3051">
            <v>0</v>
          </cell>
        </row>
        <row r="3052">
          <cell r="E3052" t="str">
            <v>ﾗｯﾁ電磁レリーズ</v>
          </cell>
          <cell r="F3052" t="str">
            <v>個</v>
          </cell>
          <cell r="G3052">
            <v>0</v>
          </cell>
          <cell r="H3052">
            <v>7870</v>
          </cell>
          <cell r="I3052">
            <v>0</v>
          </cell>
          <cell r="J3052">
            <v>7870</v>
          </cell>
          <cell r="K3052">
            <v>0</v>
          </cell>
          <cell r="L3052">
            <v>7870</v>
          </cell>
          <cell r="M3052">
            <v>0</v>
          </cell>
          <cell r="N3052">
            <v>7870</v>
          </cell>
          <cell r="O3052">
            <v>0</v>
          </cell>
          <cell r="P3052">
            <v>7870</v>
          </cell>
          <cell r="Q3052">
            <v>0</v>
          </cell>
          <cell r="R3052">
            <v>7870</v>
          </cell>
          <cell r="S3052">
            <v>0</v>
          </cell>
          <cell r="T3052">
            <v>7870</v>
          </cell>
          <cell r="U3052">
            <v>0</v>
          </cell>
          <cell r="V3052">
            <v>7870</v>
          </cell>
          <cell r="W3052">
            <v>0</v>
          </cell>
          <cell r="X3052">
            <v>7870</v>
          </cell>
          <cell r="Y3052">
            <v>0</v>
          </cell>
          <cell r="Z3052">
            <v>7870</v>
          </cell>
          <cell r="AA3052">
            <v>0</v>
          </cell>
          <cell r="AB3052">
            <v>0</v>
          </cell>
          <cell r="AC3052">
            <v>0</v>
          </cell>
          <cell r="AD3052">
            <v>0.33600000000000002</v>
          </cell>
          <cell r="AE3052">
            <v>0</v>
          </cell>
          <cell r="AF3052">
            <v>0</v>
          </cell>
          <cell r="AG3052">
            <v>0</v>
          </cell>
          <cell r="AH3052">
            <v>0</v>
          </cell>
          <cell r="AI3052">
            <v>0</v>
          </cell>
          <cell r="AJ3052">
            <v>0</v>
          </cell>
          <cell r="AK3052">
            <v>0</v>
          </cell>
          <cell r="AL3052">
            <v>0</v>
          </cell>
        </row>
        <row r="3053">
          <cell r="E3053" t="str">
            <v>ｱｰﾑ電磁レリーズ</v>
          </cell>
          <cell r="F3053" t="str">
            <v>個</v>
          </cell>
          <cell r="G3053">
            <v>0</v>
          </cell>
          <cell r="H3053">
            <v>17500</v>
          </cell>
          <cell r="I3053">
            <v>0</v>
          </cell>
          <cell r="J3053">
            <v>17500</v>
          </cell>
          <cell r="K3053">
            <v>0</v>
          </cell>
          <cell r="L3053">
            <v>17500</v>
          </cell>
          <cell r="M3053">
            <v>0</v>
          </cell>
          <cell r="N3053">
            <v>17500</v>
          </cell>
          <cell r="O3053">
            <v>0</v>
          </cell>
          <cell r="P3053">
            <v>17500</v>
          </cell>
          <cell r="Q3053">
            <v>0</v>
          </cell>
          <cell r="R3053">
            <v>17500</v>
          </cell>
          <cell r="S3053">
            <v>0</v>
          </cell>
          <cell r="T3053">
            <v>17500</v>
          </cell>
          <cell r="U3053">
            <v>0</v>
          </cell>
          <cell r="V3053">
            <v>17500</v>
          </cell>
          <cell r="W3053">
            <v>0</v>
          </cell>
          <cell r="X3053">
            <v>17500</v>
          </cell>
          <cell r="Y3053">
            <v>0</v>
          </cell>
          <cell r="Z3053">
            <v>17500</v>
          </cell>
          <cell r="AA3053">
            <v>0</v>
          </cell>
          <cell r="AB3053">
            <v>0</v>
          </cell>
          <cell r="AC3053">
            <v>0</v>
          </cell>
          <cell r="AD3053">
            <v>0.33600000000000002</v>
          </cell>
          <cell r="AE3053">
            <v>0</v>
          </cell>
          <cell r="AF3053">
            <v>0</v>
          </cell>
          <cell r="AG3053">
            <v>0</v>
          </cell>
          <cell r="AH3053">
            <v>0</v>
          </cell>
          <cell r="AI3053">
            <v>0</v>
          </cell>
          <cell r="AJ3053">
            <v>0</v>
          </cell>
          <cell r="AK3053">
            <v>0</v>
          </cell>
          <cell r="AL3053">
            <v>0</v>
          </cell>
        </row>
        <row r="3054">
          <cell r="E3054" t="str">
            <v>P1受信機 5L壁</v>
          </cell>
          <cell r="F3054" t="str">
            <v>面</v>
          </cell>
          <cell r="G3054">
            <v>0</v>
          </cell>
          <cell r="H3054">
            <v>138000</v>
          </cell>
          <cell r="I3054">
            <v>0</v>
          </cell>
          <cell r="J3054">
            <v>138000</v>
          </cell>
          <cell r="K3054">
            <v>0</v>
          </cell>
          <cell r="L3054">
            <v>138000</v>
          </cell>
          <cell r="M3054">
            <v>0</v>
          </cell>
          <cell r="N3054">
            <v>138000</v>
          </cell>
          <cell r="O3054">
            <v>0</v>
          </cell>
          <cell r="P3054">
            <v>138000</v>
          </cell>
          <cell r="Q3054">
            <v>0</v>
          </cell>
          <cell r="R3054">
            <v>138000</v>
          </cell>
          <cell r="S3054">
            <v>0</v>
          </cell>
          <cell r="T3054">
            <v>138000</v>
          </cell>
          <cell r="U3054">
            <v>0</v>
          </cell>
          <cell r="V3054">
            <v>138000</v>
          </cell>
          <cell r="W3054">
            <v>0</v>
          </cell>
          <cell r="X3054">
            <v>138000</v>
          </cell>
          <cell r="Y3054">
            <v>0</v>
          </cell>
          <cell r="Z3054">
            <v>138000</v>
          </cell>
          <cell r="AA3054">
            <v>0</v>
          </cell>
          <cell r="AB3054">
            <v>0</v>
          </cell>
          <cell r="AC3054">
            <v>0</v>
          </cell>
          <cell r="AD3054">
            <v>5.31</v>
          </cell>
          <cell r="AE3054">
            <v>0</v>
          </cell>
          <cell r="AF3054">
            <v>0</v>
          </cell>
          <cell r="AG3054">
            <v>0</v>
          </cell>
          <cell r="AH3054">
            <v>0</v>
          </cell>
          <cell r="AI3054">
            <v>0</v>
          </cell>
          <cell r="AJ3054">
            <v>0</v>
          </cell>
          <cell r="AK3054">
            <v>0</v>
          </cell>
          <cell r="AL3054">
            <v>0</v>
          </cell>
        </row>
        <row r="3055">
          <cell r="E3055" t="str">
            <v>P1受信機 10L壁</v>
          </cell>
          <cell r="F3055" t="str">
            <v>面</v>
          </cell>
          <cell r="G3055">
            <v>0</v>
          </cell>
          <cell r="H3055">
            <v>161000</v>
          </cell>
          <cell r="I3055">
            <v>0</v>
          </cell>
          <cell r="J3055">
            <v>161000</v>
          </cell>
          <cell r="K3055">
            <v>0</v>
          </cell>
          <cell r="L3055">
            <v>161000</v>
          </cell>
          <cell r="M3055">
            <v>0</v>
          </cell>
          <cell r="N3055">
            <v>161000</v>
          </cell>
          <cell r="O3055">
            <v>0</v>
          </cell>
          <cell r="P3055">
            <v>161000</v>
          </cell>
          <cell r="Q3055">
            <v>0</v>
          </cell>
          <cell r="R3055">
            <v>161000</v>
          </cell>
          <cell r="S3055">
            <v>0</v>
          </cell>
          <cell r="T3055">
            <v>161000</v>
          </cell>
          <cell r="U3055">
            <v>0</v>
          </cell>
          <cell r="V3055">
            <v>161000</v>
          </cell>
          <cell r="W3055">
            <v>0</v>
          </cell>
          <cell r="X3055">
            <v>161000</v>
          </cell>
          <cell r="Y3055">
            <v>0</v>
          </cell>
          <cell r="Z3055">
            <v>161000</v>
          </cell>
          <cell r="AA3055">
            <v>0</v>
          </cell>
          <cell r="AB3055">
            <v>0</v>
          </cell>
          <cell r="AC3055">
            <v>0</v>
          </cell>
          <cell r="AD3055">
            <v>6.64</v>
          </cell>
          <cell r="AE3055">
            <v>0</v>
          </cell>
          <cell r="AF3055">
            <v>0</v>
          </cell>
          <cell r="AG3055">
            <v>0</v>
          </cell>
          <cell r="AH3055">
            <v>0</v>
          </cell>
          <cell r="AI3055">
            <v>0</v>
          </cell>
          <cell r="AJ3055">
            <v>0</v>
          </cell>
          <cell r="AK3055">
            <v>0</v>
          </cell>
          <cell r="AL3055">
            <v>0</v>
          </cell>
        </row>
        <row r="3056">
          <cell r="E3056" t="str">
            <v>P1受信機 15L壁</v>
          </cell>
          <cell r="F3056" t="str">
            <v>面</v>
          </cell>
          <cell r="G3056">
            <v>0</v>
          </cell>
          <cell r="H3056">
            <v>183000</v>
          </cell>
          <cell r="I3056">
            <v>0</v>
          </cell>
          <cell r="J3056">
            <v>183000</v>
          </cell>
          <cell r="K3056">
            <v>0</v>
          </cell>
          <cell r="L3056">
            <v>183000</v>
          </cell>
          <cell r="M3056">
            <v>0</v>
          </cell>
          <cell r="N3056">
            <v>183000</v>
          </cell>
          <cell r="O3056">
            <v>0</v>
          </cell>
          <cell r="P3056">
            <v>183000</v>
          </cell>
          <cell r="Q3056">
            <v>0</v>
          </cell>
          <cell r="R3056">
            <v>183000</v>
          </cell>
          <cell r="S3056">
            <v>0</v>
          </cell>
          <cell r="T3056">
            <v>183000</v>
          </cell>
          <cell r="U3056">
            <v>0</v>
          </cell>
          <cell r="V3056">
            <v>183000</v>
          </cell>
          <cell r="W3056">
            <v>0</v>
          </cell>
          <cell r="X3056">
            <v>183000</v>
          </cell>
          <cell r="Y3056">
            <v>0</v>
          </cell>
          <cell r="Z3056">
            <v>183000</v>
          </cell>
          <cell r="AA3056">
            <v>0</v>
          </cell>
          <cell r="AB3056">
            <v>0</v>
          </cell>
          <cell r="AC3056">
            <v>0</v>
          </cell>
          <cell r="AD3056">
            <v>7.96</v>
          </cell>
          <cell r="AE3056">
            <v>0</v>
          </cell>
          <cell r="AF3056">
            <v>0</v>
          </cell>
          <cell r="AG3056">
            <v>0</v>
          </cell>
          <cell r="AH3056">
            <v>0</v>
          </cell>
          <cell r="AI3056">
            <v>0</v>
          </cell>
          <cell r="AJ3056">
            <v>0</v>
          </cell>
          <cell r="AK3056">
            <v>0</v>
          </cell>
          <cell r="AL3056">
            <v>0</v>
          </cell>
        </row>
        <row r="3057">
          <cell r="E3057" t="str">
            <v>P1受信機 20L壁</v>
          </cell>
          <cell r="F3057" t="str">
            <v>面</v>
          </cell>
          <cell r="G3057">
            <v>0</v>
          </cell>
          <cell r="H3057">
            <v>205000</v>
          </cell>
          <cell r="I3057">
            <v>0</v>
          </cell>
          <cell r="J3057">
            <v>205000</v>
          </cell>
          <cell r="K3057">
            <v>0</v>
          </cell>
          <cell r="L3057">
            <v>205000</v>
          </cell>
          <cell r="M3057">
            <v>0</v>
          </cell>
          <cell r="N3057">
            <v>205000</v>
          </cell>
          <cell r="O3057">
            <v>0</v>
          </cell>
          <cell r="P3057">
            <v>205000</v>
          </cell>
          <cell r="Q3057">
            <v>0</v>
          </cell>
          <cell r="R3057">
            <v>205000</v>
          </cell>
          <cell r="S3057">
            <v>0</v>
          </cell>
          <cell r="T3057">
            <v>205000</v>
          </cell>
          <cell r="U3057">
            <v>0</v>
          </cell>
          <cell r="V3057">
            <v>205000</v>
          </cell>
          <cell r="W3057">
            <v>0</v>
          </cell>
          <cell r="X3057">
            <v>205000</v>
          </cell>
          <cell r="Y3057">
            <v>0</v>
          </cell>
          <cell r="Z3057">
            <v>205000</v>
          </cell>
          <cell r="AA3057">
            <v>0</v>
          </cell>
          <cell r="AB3057">
            <v>0</v>
          </cell>
          <cell r="AC3057">
            <v>0</v>
          </cell>
          <cell r="AD3057">
            <v>9.2899999999999991</v>
          </cell>
          <cell r="AE3057">
            <v>0</v>
          </cell>
          <cell r="AF3057">
            <v>0</v>
          </cell>
          <cell r="AG3057">
            <v>0</v>
          </cell>
          <cell r="AH3057">
            <v>0</v>
          </cell>
          <cell r="AI3057">
            <v>0</v>
          </cell>
          <cell r="AJ3057">
            <v>0</v>
          </cell>
          <cell r="AK3057">
            <v>0</v>
          </cell>
          <cell r="AL3057">
            <v>0</v>
          </cell>
        </row>
        <row r="3058">
          <cell r="E3058" t="str">
            <v>P1受信機 25L壁</v>
          </cell>
          <cell r="F3058" t="str">
            <v>面</v>
          </cell>
          <cell r="G3058">
            <v>0</v>
          </cell>
          <cell r="H3058">
            <v>227000</v>
          </cell>
          <cell r="I3058">
            <v>0</v>
          </cell>
          <cell r="J3058">
            <v>227000</v>
          </cell>
          <cell r="K3058">
            <v>0</v>
          </cell>
          <cell r="L3058">
            <v>227000</v>
          </cell>
          <cell r="M3058">
            <v>0</v>
          </cell>
          <cell r="N3058">
            <v>227000</v>
          </cell>
          <cell r="O3058">
            <v>0</v>
          </cell>
          <cell r="P3058">
            <v>227000</v>
          </cell>
          <cell r="Q3058">
            <v>0</v>
          </cell>
          <cell r="R3058">
            <v>227000</v>
          </cell>
          <cell r="S3058">
            <v>0</v>
          </cell>
          <cell r="T3058">
            <v>227000</v>
          </cell>
          <cell r="U3058">
            <v>0</v>
          </cell>
          <cell r="V3058">
            <v>227000</v>
          </cell>
          <cell r="W3058">
            <v>0</v>
          </cell>
          <cell r="X3058">
            <v>227000</v>
          </cell>
          <cell r="Y3058">
            <v>0</v>
          </cell>
          <cell r="Z3058">
            <v>227000</v>
          </cell>
          <cell r="AA3058">
            <v>0</v>
          </cell>
          <cell r="AB3058">
            <v>0</v>
          </cell>
          <cell r="AC3058">
            <v>0</v>
          </cell>
          <cell r="AD3058">
            <v>10.6</v>
          </cell>
          <cell r="AE3058">
            <v>0</v>
          </cell>
          <cell r="AF3058">
            <v>0</v>
          </cell>
          <cell r="AG3058">
            <v>0</v>
          </cell>
          <cell r="AH3058">
            <v>0</v>
          </cell>
          <cell r="AI3058">
            <v>0</v>
          </cell>
          <cell r="AJ3058">
            <v>0</v>
          </cell>
          <cell r="AK3058">
            <v>0</v>
          </cell>
          <cell r="AL3058">
            <v>0</v>
          </cell>
        </row>
        <row r="3059">
          <cell r="E3059" t="str">
            <v>P1受信機 30L壁</v>
          </cell>
          <cell r="F3059" t="str">
            <v>面</v>
          </cell>
          <cell r="G3059">
            <v>0</v>
          </cell>
          <cell r="H3059">
            <v>249000</v>
          </cell>
          <cell r="I3059">
            <v>0</v>
          </cell>
          <cell r="J3059">
            <v>249000</v>
          </cell>
          <cell r="K3059">
            <v>0</v>
          </cell>
          <cell r="L3059">
            <v>249000</v>
          </cell>
          <cell r="M3059">
            <v>0</v>
          </cell>
          <cell r="N3059">
            <v>249000</v>
          </cell>
          <cell r="O3059">
            <v>0</v>
          </cell>
          <cell r="P3059">
            <v>249000</v>
          </cell>
          <cell r="Q3059">
            <v>0</v>
          </cell>
          <cell r="R3059">
            <v>249000</v>
          </cell>
          <cell r="S3059">
            <v>0</v>
          </cell>
          <cell r="T3059">
            <v>249000</v>
          </cell>
          <cell r="U3059">
            <v>0</v>
          </cell>
          <cell r="V3059">
            <v>249000</v>
          </cell>
          <cell r="W3059">
            <v>0</v>
          </cell>
          <cell r="X3059">
            <v>249000</v>
          </cell>
          <cell r="Y3059">
            <v>0</v>
          </cell>
          <cell r="Z3059">
            <v>249000</v>
          </cell>
          <cell r="AA3059">
            <v>0</v>
          </cell>
          <cell r="AB3059">
            <v>0</v>
          </cell>
          <cell r="AC3059">
            <v>0</v>
          </cell>
          <cell r="AD3059">
            <v>11.9</v>
          </cell>
          <cell r="AE3059">
            <v>0</v>
          </cell>
          <cell r="AF3059">
            <v>0</v>
          </cell>
          <cell r="AG3059">
            <v>0</v>
          </cell>
          <cell r="AH3059">
            <v>0</v>
          </cell>
          <cell r="AI3059">
            <v>0</v>
          </cell>
          <cell r="AJ3059">
            <v>0</v>
          </cell>
          <cell r="AK3059">
            <v>0</v>
          </cell>
          <cell r="AL3059">
            <v>0</v>
          </cell>
        </row>
        <row r="3060">
          <cell r="E3060" t="str">
            <v>P1受信機 40L壁</v>
          </cell>
          <cell r="F3060" t="str">
            <v>面</v>
          </cell>
          <cell r="G3060">
            <v>0</v>
          </cell>
          <cell r="H3060">
            <v>294000</v>
          </cell>
          <cell r="I3060">
            <v>0</v>
          </cell>
          <cell r="J3060">
            <v>294000</v>
          </cell>
          <cell r="K3060">
            <v>0</v>
          </cell>
          <cell r="L3060">
            <v>294000</v>
          </cell>
          <cell r="M3060">
            <v>0</v>
          </cell>
          <cell r="N3060">
            <v>294000</v>
          </cell>
          <cell r="O3060">
            <v>0</v>
          </cell>
          <cell r="P3060">
            <v>294000</v>
          </cell>
          <cell r="Q3060">
            <v>0</v>
          </cell>
          <cell r="R3060">
            <v>294000</v>
          </cell>
          <cell r="S3060">
            <v>0</v>
          </cell>
          <cell r="T3060">
            <v>294000</v>
          </cell>
          <cell r="U3060">
            <v>0</v>
          </cell>
          <cell r="V3060">
            <v>294000</v>
          </cell>
          <cell r="W3060">
            <v>0</v>
          </cell>
          <cell r="X3060">
            <v>294000</v>
          </cell>
          <cell r="Y3060">
            <v>0</v>
          </cell>
          <cell r="Z3060">
            <v>294000</v>
          </cell>
          <cell r="AA3060">
            <v>0</v>
          </cell>
          <cell r="AB3060">
            <v>0</v>
          </cell>
          <cell r="AC3060">
            <v>0</v>
          </cell>
          <cell r="AD3060">
            <v>14.6</v>
          </cell>
          <cell r="AE3060">
            <v>0</v>
          </cell>
          <cell r="AF3060">
            <v>0</v>
          </cell>
          <cell r="AG3060">
            <v>0</v>
          </cell>
          <cell r="AH3060">
            <v>0</v>
          </cell>
          <cell r="AI3060">
            <v>0</v>
          </cell>
          <cell r="AJ3060">
            <v>0</v>
          </cell>
          <cell r="AK3060">
            <v>0</v>
          </cell>
          <cell r="AL3060">
            <v>0</v>
          </cell>
        </row>
        <row r="3061">
          <cell r="E3061" t="str">
            <v>P1受信機 40L自</v>
          </cell>
          <cell r="F3061" t="str">
            <v>面</v>
          </cell>
          <cell r="G3061">
            <v>0</v>
          </cell>
          <cell r="H3061">
            <v>508000</v>
          </cell>
          <cell r="I3061">
            <v>0</v>
          </cell>
          <cell r="J3061">
            <v>508000</v>
          </cell>
          <cell r="K3061">
            <v>0</v>
          </cell>
          <cell r="L3061">
            <v>508000</v>
          </cell>
          <cell r="M3061">
            <v>0</v>
          </cell>
          <cell r="N3061">
            <v>508000</v>
          </cell>
          <cell r="O3061">
            <v>0</v>
          </cell>
          <cell r="P3061">
            <v>508000</v>
          </cell>
          <cell r="Q3061">
            <v>0</v>
          </cell>
          <cell r="R3061">
            <v>508000</v>
          </cell>
          <cell r="S3061">
            <v>0</v>
          </cell>
          <cell r="T3061">
            <v>508000</v>
          </cell>
          <cell r="U3061">
            <v>0</v>
          </cell>
          <cell r="V3061">
            <v>508000</v>
          </cell>
          <cell r="W3061">
            <v>0</v>
          </cell>
          <cell r="X3061">
            <v>508000</v>
          </cell>
          <cell r="Y3061">
            <v>0</v>
          </cell>
          <cell r="Z3061">
            <v>508000</v>
          </cell>
          <cell r="AA3061">
            <v>0</v>
          </cell>
          <cell r="AB3061">
            <v>0</v>
          </cell>
          <cell r="AC3061">
            <v>0</v>
          </cell>
          <cell r="AD3061">
            <v>14.6</v>
          </cell>
          <cell r="AE3061">
            <v>0</v>
          </cell>
          <cell r="AF3061">
            <v>0</v>
          </cell>
          <cell r="AG3061">
            <v>0</v>
          </cell>
          <cell r="AH3061">
            <v>0</v>
          </cell>
          <cell r="AI3061">
            <v>0</v>
          </cell>
          <cell r="AJ3061">
            <v>0</v>
          </cell>
          <cell r="AK3061">
            <v>0</v>
          </cell>
          <cell r="AL3061">
            <v>0</v>
          </cell>
        </row>
        <row r="3062">
          <cell r="E3062" t="str">
            <v>P1受信機 50L自</v>
          </cell>
          <cell r="F3062" t="str">
            <v>面</v>
          </cell>
          <cell r="G3062">
            <v>0</v>
          </cell>
          <cell r="H3062">
            <v>562000</v>
          </cell>
          <cell r="I3062">
            <v>0</v>
          </cell>
          <cell r="J3062">
            <v>562000</v>
          </cell>
          <cell r="K3062">
            <v>0</v>
          </cell>
          <cell r="L3062">
            <v>562000</v>
          </cell>
          <cell r="M3062">
            <v>0</v>
          </cell>
          <cell r="N3062">
            <v>562000</v>
          </cell>
          <cell r="O3062">
            <v>0</v>
          </cell>
          <cell r="P3062">
            <v>562000</v>
          </cell>
          <cell r="Q3062">
            <v>0</v>
          </cell>
          <cell r="R3062">
            <v>562000</v>
          </cell>
          <cell r="S3062">
            <v>0</v>
          </cell>
          <cell r="T3062">
            <v>562000</v>
          </cell>
          <cell r="U3062">
            <v>0</v>
          </cell>
          <cell r="V3062">
            <v>562000</v>
          </cell>
          <cell r="W3062">
            <v>0</v>
          </cell>
          <cell r="X3062">
            <v>562000</v>
          </cell>
          <cell r="Y3062">
            <v>0</v>
          </cell>
          <cell r="Z3062">
            <v>562000</v>
          </cell>
          <cell r="AA3062">
            <v>0</v>
          </cell>
          <cell r="AB3062">
            <v>0</v>
          </cell>
          <cell r="AC3062">
            <v>0</v>
          </cell>
          <cell r="AD3062">
            <v>17.3</v>
          </cell>
          <cell r="AE3062">
            <v>0</v>
          </cell>
          <cell r="AF3062">
            <v>0</v>
          </cell>
          <cell r="AG3062">
            <v>0</v>
          </cell>
          <cell r="AH3062">
            <v>0</v>
          </cell>
          <cell r="AI3062">
            <v>0</v>
          </cell>
          <cell r="AJ3062">
            <v>0</v>
          </cell>
          <cell r="AK3062">
            <v>0</v>
          </cell>
          <cell r="AL3062">
            <v>0</v>
          </cell>
        </row>
        <row r="3063">
          <cell r="E3063" t="str">
            <v>P1受信機 60L自</v>
          </cell>
          <cell r="F3063" t="str">
            <v>面</v>
          </cell>
          <cell r="G3063">
            <v>0</v>
          </cell>
          <cell r="H3063">
            <v>616000</v>
          </cell>
          <cell r="I3063">
            <v>0</v>
          </cell>
          <cell r="J3063">
            <v>616000</v>
          </cell>
          <cell r="K3063">
            <v>0</v>
          </cell>
          <cell r="L3063">
            <v>616000</v>
          </cell>
          <cell r="M3063">
            <v>0</v>
          </cell>
          <cell r="N3063">
            <v>616000</v>
          </cell>
          <cell r="O3063">
            <v>0</v>
          </cell>
          <cell r="P3063">
            <v>616000</v>
          </cell>
          <cell r="Q3063">
            <v>0</v>
          </cell>
          <cell r="R3063">
            <v>616000</v>
          </cell>
          <cell r="S3063">
            <v>0</v>
          </cell>
          <cell r="T3063">
            <v>616000</v>
          </cell>
          <cell r="U3063">
            <v>0</v>
          </cell>
          <cell r="V3063">
            <v>616000</v>
          </cell>
          <cell r="W3063">
            <v>0</v>
          </cell>
          <cell r="X3063">
            <v>616000</v>
          </cell>
          <cell r="Y3063">
            <v>0</v>
          </cell>
          <cell r="Z3063">
            <v>616000</v>
          </cell>
          <cell r="AA3063">
            <v>0</v>
          </cell>
          <cell r="AB3063">
            <v>0</v>
          </cell>
          <cell r="AC3063">
            <v>0</v>
          </cell>
          <cell r="AD3063">
            <v>20.000000000000004</v>
          </cell>
          <cell r="AE3063">
            <v>0</v>
          </cell>
          <cell r="AF3063">
            <v>0</v>
          </cell>
          <cell r="AG3063">
            <v>0</v>
          </cell>
          <cell r="AH3063">
            <v>0</v>
          </cell>
          <cell r="AI3063">
            <v>0</v>
          </cell>
          <cell r="AJ3063">
            <v>0</v>
          </cell>
          <cell r="AK3063">
            <v>0</v>
          </cell>
          <cell r="AL3063">
            <v>0</v>
          </cell>
        </row>
        <row r="3064">
          <cell r="E3064" t="str">
            <v>P1受信機 70L自</v>
          </cell>
          <cell r="F3064" t="str">
            <v>面</v>
          </cell>
          <cell r="G3064">
            <v>0</v>
          </cell>
          <cell r="H3064">
            <v>669000</v>
          </cell>
          <cell r="I3064">
            <v>0</v>
          </cell>
          <cell r="J3064">
            <v>669000</v>
          </cell>
          <cell r="K3064">
            <v>0</v>
          </cell>
          <cell r="L3064">
            <v>669000</v>
          </cell>
          <cell r="M3064">
            <v>0</v>
          </cell>
          <cell r="N3064">
            <v>669000</v>
          </cell>
          <cell r="O3064">
            <v>0</v>
          </cell>
          <cell r="P3064">
            <v>669000</v>
          </cell>
          <cell r="Q3064">
            <v>0</v>
          </cell>
          <cell r="R3064">
            <v>669000</v>
          </cell>
          <cell r="S3064">
            <v>0</v>
          </cell>
          <cell r="T3064">
            <v>669000</v>
          </cell>
          <cell r="U3064">
            <v>0</v>
          </cell>
          <cell r="V3064">
            <v>669000</v>
          </cell>
          <cell r="W3064">
            <v>0</v>
          </cell>
          <cell r="X3064">
            <v>669000</v>
          </cell>
          <cell r="Y3064">
            <v>0</v>
          </cell>
          <cell r="Z3064">
            <v>669000</v>
          </cell>
          <cell r="AA3064">
            <v>0</v>
          </cell>
          <cell r="AB3064">
            <v>0</v>
          </cell>
          <cell r="AC3064">
            <v>0</v>
          </cell>
          <cell r="AD3064">
            <v>22.700000000000003</v>
          </cell>
          <cell r="AE3064">
            <v>0</v>
          </cell>
          <cell r="AF3064">
            <v>0</v>
          </cell>
          <cell r="AG3064">
            <v>0</v>
          </cell>
          <cell r="AH3064">
            <v>0</v>
          </cell>
          <cell r="AI3064">
            <v>0</v>
          </cell>
          <cell r="AJ3064">
            <v>0</v>
          </cell>
          <cell r="AK3064">
            <v>0</v>
          </cell>
          <cell r="AL3064">
            <v>0</v>
          </cell>
        </row>
        <row r="3065">
          <cell r="E3065" t="str">
            <v>P1受信機 80L自</v>
          </cell>
          <cell r="F3065" t="str">
            <v>面</v>
          </cell>
          <cell r="G3065">
            <v>0</v>
          </cell>
          <cell r="H3065">
            <v>723000</v>
          </cell>
          <cell r="I3065">
            <v>0</v>
          </cell>
          <cell r="J3065">
            <v>723000</v>
          </cell>
          <cell r="K3065">
            <v>0</v>
          </cell>
          <cell r="L3065">
            <v>723000</v>
          </cell>
          <cell r="M3065">
            <v>0</v>
          </cell>
          <cell r="N3065">
            <v>723000</v>
          </cell>
          <cell r="O3065">
            <v>0</v>
          </cell>
          <cell r="P3065">
            <v>723000</v>
          </cell>
          <cell r="Q3065">
            <v>0</v>
          </cell>
          <cell r="R3065">
            <v>723000</v>
          </cell>
          <cell r="S3065">
            <v>0</v>
          </cell>
          <cell r="T3065">
            <v>723000</v>
          </cell>
          <cell r="U3065">
            <v>0</v>
          </cell>
          <cell r="V3065">
            <v>723000</v>
          </cell>
          <cell r="W3065">
            <v>0</v>
          </cell>
          <cell r="X3065">
            <v>723000</v>
          </cell>
          <cell r="Y3065">
            <v>0</v>
          </cell>
          <cell r="Z3065">
            <v>723000</v>
          </cell>
          <cell r="AA3065">
            <v>0</v>
          </cell>
          <cell r="AB3065">
            <v>0</v>
          </cell>
          <cell r="AC3065">
            <v>0</v>
          </cell>
          <cell r="AD3065">
            <v>25.400000000000002</v>
          </cell>
          <cell r="AE3065">
            <v>0</v>
          </cell>
          <cell r="AF3065">
            <v>0</v>
          </cell>
          <cell r="AG3065">
            <v>0</v>
          </cell>
          <cell r="AH3065">
            <v>0</v>
          </cell>
          <cell r="AI3065">
            <v>0</v>
          </cell>
          <cell r="AJ3065">
            <v>0</v>
          </cell>
          <cell r="AK3065">
            <v>0</v>
          </cell>
          <cell r="AL3065">
            <v>0</v>
          </cell>
        </row>
        <row r="3066">
          <cell r="E3066" t="str">
            <v>P1受信機 90L自</v>
          </cell>
          <cell r="F3066" t="str">
            <v>面</v>
          </cell>
          <cell r="G3066">
            <v>0</v>
          </cell>
          <cell r="H3066">
            <v>777000</v>
          </cell>
          <cell r="I3066">
            <v>0</v>
          </cell>
          <cell r="J3066">
            <v>777000</v>
          </cell>
          <cell r="K3066">
            <v>0</v>
          </cell>
          <cell r="L3066">
            <v>777000</v>
          </cell>
          <cell r="M3066">
            <v>0</v>
          </cell>
          <cell r="N3066">
            <v>777000</v>
          </cell>
          <cell r="O3066">
            <v>0</v>
          </cell>
          <cell r="P3066">
            <v>777000</v>
          </cell>
          <cell r="Q3066">
            <v>0</v>
          </cell>
          <cell r="R3066">
            <v>777000</v>
          </cell>
          <cell r="S3066">
            <v>0</v>
          </cell>
          <cell r="T3066">
            <v>777000</v>
          </cell>
          <cell r="U3066">
            <v>0</v>
          </cell>
          <cell r="V3066">
            <v>777000</v>
          </cell>
          <cell r="W3066">
            <v>0</v>
          </cell>
          <cell r="X3066">
            <v>777000</v>
          </cell>
          <cell r="Y3066">
            <v>0</v>
          </cell>
          <cell r="Z3066">
            <v>777000</v>
          </cell>
          <cell r="AA3066">
            <v>0</v>
          </cell>
          <cell r="AB3066">
            <v>0</v>
          </cell>
          <cell r="AC3066">
            <v>0</v>
          </cell>
          <cell r="AD3066">
            <v>28.1</v>
          </cell>
          <cell r="AE3066">
            <v>0</v>
          </cell>
          <cell r="AF3066">
            <v>0</v>
          </cell>
          <cell r="AG3066">
            <v>0</v>
          </cell>
          <cell r="AH3066">
            <v>0</v>
          </cell>
          <cell r="AI3066">
            <v>0</v>
          </cell>
          <cell r="AJ3066">
            <v>0</v>
          </cell>
          <cell r="AK3066">
            <v>0</v>
          </cell>
          <cell r="AL3066">
            <v>0</v>
          </cell>
        </row>
        <row r="3067">
          <cell r="E3067" t="str">
            <v>P1受信機 100L自</v>
          </cell>
          <cell r="F3067" t="str">
            <v>面</v>
          </cell>
          <cell r="G3067">
            <v>0</v>
          </cell>
          <cell r="H3067">
            <v>831000</v>
          </cell>
          <cell r="I3067">
            <v>0</v>
          </cell>
          <cell r="J3067">
            <v>831000</v>
          </cell>
          <cell r="K3067">
            <v>0</v>
          </cell>
          <cell r="L3067">
            <v>831000</v>
          </cell>
          <cell r="M3067">
            <v>0</v>
          </cell>
          <cell r="N3067">
            <v>831000</v>
          </cell>
          <cell r="O3067">
            <v>0</v>
          </cell>
          <cell r="P3067">
            <v>831000</v>
          </cell>
          <cell r="Q3067">
            <v>0</v>
          </cell>
          <cell r="R3067">
            <v>831000</v>
          </cell>
          <cell r="S3067">
            <v>0</v>
          </cell>
          <cell r="T3067">
            <v>831000</v>
          </cell>
          <cell r="U3067">
            <v>0</v>
          </cell>
          <cell r="V3067">
            <v>831000</v>
          </cell>
          <cell r="W3067">
            <v>0</v>
          </cell>
          <cell r="X3067">
            <v>831000</v>
          </cell>
          <cell r="Y3067">
            <v>0</v>
          </cell>
          <cell r="Z3067">
            <v>831000</v>
          </cell>
          <cell r="AA3067">
            <v>0</v>
          </cell>
          <cell r="AB3067">
            <v>0</v>
          </cell>
          <cell r="AC3067">
            <v>0</v>
          </cell>
          <cell r="AD3067">
            <v>30.8</v>
          </cell>
          <cell r="AE3067">
            <v>0</v>
          </cell>
          <cell r="AF3067">
            <v>0</v>
          </cell>
          <cell r="AG3067">
            <v>0</v>
          </cell>
          <cell r="AH3067">
            <v>0</v>
          </cell>
          <cell r="AI3067">
            <v>0</v>
          </cell>
          <cell r="AJ3067">
            <v>0</v>
          </cell>
          <cell r="AK3067">
            <v>0</v>
          </cell>
          <cell r="AL3067">
            <v>0</v>
          </cell>
        </row>
        <row r="3068">
          <cell r="E3068" t="str">
            <v>P1受信機 110L自</v>
          </cell>
          <cell r="F3068" t="str">
            <v>面</v>
          </cell>
          <cell r="G3068">
            <v>0</v>
          </cell>
          <cell r="H3068">
            <v>966000</v>
          </cell>
          <cell r="I3068">
            <v>0</v>
          </cell>
          <cell r="J3068">
            <v>966000</v>
          </cell>
          <cell r="K3068">
            <v>0</v>
          </cell>
          <cell r="L3068">
            <v>966000</v>
          </cell>
          <cell r="M3068">
            <v>0</v>
          </cell>
          <cell r="N3068">
            <v>966000</v>
          </cell>
          <cell r="O3068">
            <v>0</v>
          </cell>
          <cell r="P3068">
            <v>966000</v>
          </cell>
          <cell r="Q3068">
            <v>0</v>
          </cell>
          <cell r="R3068">
            <v>966000</v>
          </cell>
          <cell r="S3068">
            <v>0</v>
          </cell>
          <cell r="T3068">
            <v>966000</v>
          </cell>
          <cell r="U3068">
            <v>0</v>
          </cell>
          <cell r="V3068">
            <v>966000</v>
          </cell>
          <cell r="W3068">
            <v>0</v>
          </cell>
          <cell r="X3068">
            <v>966000</v>
          </cell>
          <cell r="Y3068">
            <v>0</v>
          </cell>
          <cell r="Z3068">
            <v>966000</v>
          </cell>
          <cell r="AA3068">
            <v>0</v>
          </cell>
          <cell r="AB3068">
            <v>0</v>
          </cell>
          <cell r="AC3068">
            <v>0</v>
          </cell>
          <cell r="AD3068">
            <v>33.5</v>
          </cell>
          <cell r="AE3068">
            <v>0</v>
          </cell>
          <cell r="AF3068">
            <v>0</v>
          </cell>
          <cell r="AG3068">
            <v>0</v>
          </cell>
          <cell r="AH3068">
            <v>0</v>
          </cell>
          <cell r="AI3068">
            <v>0</v>
          </cell>
          <cell r="AJ3068">
            <v>0</v>
          </cell>
          <cell r="AK3068">
            <v>0</v>
          </cell>
          <cell r="AL3068">
            <v>0</v>
          </cell>
        </row>
        <row r="3069">
          <cell r="E3069" t="str">
            <v>P1受信機 120L自</v>
          </cell>
          <cell r="F3069" t="str">
            <v>面</v>
          </cell>
          <cell r="G3069">
            <v>0</v>
          </cell>
          <cell r="H3069">
            <v>1020000</v>
          </cell>
          <cell r="I3069">
            <v>0</v>
          </cell>
          <cell r="J3069">
            <v>1020000</v>
          </cell>
          <cell r="K3069">
            <v>0</v>
          </cell>
          <cell r="L3069">
            <v>1020000</v>
          </cell>
          <cell r="M3069">
            <v>0</v>
          </cell>
          <cell r="N3069">
            <v>1020000</v>
          </cell>
          <cell r="O3069">
            <v>0</v>
          </cell>
          <cell r="P3069">
            <v>1020000</v>
          </cell>
          <cell r="Q3069">
            <v>0</v>
          </cell>
          <cell r="R3069">
            <v>1020000</v>
          </cell>
          <cell r="S3069">
            <v>0</v>
          </cell>
          <cell r="T3069">
            <v>1020000</v>
          </cell>
          <cell r="U3069">
            <v>0</v>
          </cell>
          <cell r="V3069">
            <v>1020000</v>
          </cell>
          <cell r="W3069">
            <v>0</v>
          </cell>
          <cell r="X3069">
            <v>1020000</v>
          </cell>
          <cell r="Y3069">
            <v>0</v>
          </cell>
          <cell r="Z3069">
            <v>1020000</v>
          </cell>
          <cell r="AA3069">
            <v>0</v>
          </cell>
          <cell r="AB3069">
            <v>0</v>
          </cell>
          <cell r="AC3069">
            <v>0</v>
          </cell>
          <cell r="AD3069">
            <v>36.200000000000003</v>
          </cell>
          <cell r="AE3069">
            <v>0</v>
          </cell>
          <cell r="AF3069">
            <v>0</v>
          </cell>
          <cell r="AG3069">
            <v>0</v>
          </cell>
          <cell r="AH3069">
            <v>0</v>
          </cell>
          <cell r="AI3069">
            <v>0</v>
          </cell>
          <cell r="AJ3069">
            <v>0</v>
          </cell>
          <cell r="AK3069">
            <v>0</v>
          </cell>
          <cell r="AL3069">
            <v>0</v>
          </cell>
        </row>
        <row r="3070">
          <cell r="E3070" t="str">
            <v>P1受信機 150L自</v>
          </cell>
          <cell r="F3070" t="str">
            <v>面</v>
          </cell>
          <cell r="G3070">
            <v>0</v>
          </cell>
          <cell r="H3070">
            <v>1500000</v>
          </cell>
          <cell r="I3070">
            <v>0</v>
          </cell>
          <cell r="J3070">
            <v>1500000</v>
          </cell>
          <cell r="K3070">
            <v>0</v>
          </cell>
          <cell r="L3070">
            <v>1500000</v>
          </cell>
          <cell r="M3070">
            <v>0</v>
          </cell>
          <cell r="N3070">
            <v>1500000</v>
          </cell>
          <cell r="O3070">
            <v>0</v>
          </cell>
          <cell r="P3070">
            <v>1500000</v>
          </cell>
          <cell r="Q3070">
            <v>0</v>
          </cell>
          <cell r="R3070">
            <v>1500000</v>
          </cell>
          <cell r="S3070">
            <v>0</v>
          </cell>
          <cell r="T3070">
            <v>1500000</v>
          </cell>
          <cell r="U3070">
            <v>0</v>
          </cell>
          <cell r="V3070">
            <v>1500000</v>
          </cell>
          <cell r="W3070">
            <v>0</v>
          </cell>
          <cell r="X3070">
            <v>1500000</v>
          </cell>
          <cell r="Y3070">
            <v>0</v>
          </cell>
          <cell r="Z3070">
            <v>1500000</v>
          </cell>
          <cell r="AA3070">
            <v>0</v>
          </cell>
          <cell r="AB3070">
            <v>0</v>
          </cell>
          <cell r="AC3070">
            <v>0</v>
          </cell>
          <cell r="AD3070">
            <v>46</v>
          </cell>
          <cell r="AE3070">
            <v>0</v>
          </cell>
          <cell r="AF3070">
            <v>0</v>
          </cell>
          <cell r="AG3070">
            <v>0</v>
          </cell>
          <cell r="AH3070">
            <v>0</v>
          </cell>
          <cell r="AI3070">
            <v>0</v>
          </cell>
          <cell r="AJ3070">
            <v>0</v>
          </cell>
          <cell r="AK3070">
            <v>0</v>
          </cell>
          <cell r="AL3070">
            <v>0</v>
          </cell>
        </row>
        <row r="3071">
          <cell r="E3071" t="str">
            <v>P1受信機 200L自</v>
          </cell>
          <cell r="F3071" t="str">
            <v>面</v>
          </cell>
          <cell r="G3071">
            <v>0</v>
          </cell>
          <cell r="H3071">
            <v>2100000</v>
          </cell>
          <cell r="I3071">
            <v>0</v>
          </cell>
          <cell r="J3071">
            <v>2100000</v>
          </cell>
          <cell r="K3071">
            <v>0</v>
          </cell>
          <cell r="L3071">
            <v>2100000</v>
          </cell>
          <cell r="M3071">
            <v>0</v>
          </cell>
          <cell r="N3071">
            <v>2100000</v>
          </cell>
          <cell r="O3071">
            <v>0</v>
          </cell>
          <cell r="P3071">
            <v>2100000</v>
          </cell>
          <cell r="Q3071">
            <v>0</v>
          </cell>
          <cell r="R3071">
            <v>2100000</v>
          </cell>
          <cell r="S3071">
            <v>0</v>
          </cell>
          <cell r="T3071">
            <v>2100000</v>
          </cell>
          <cell r="U3071">
            <v>0</v>
          </cell>
          <cell r="V3071">
            <v>2100000</v>
          </cell>
          <cell r="W3071">
            <v>0</v>
          </cell>
          <cell r="X3071">
            <v>2100000</v>
          </cell>
          <cell r="Y3071">
            <v>0</v>
          </cell>
          <cell r="Z3071">
            <v>2100000</v>
          </cell>
          <cell r="AA3071">
            <v>0</v>
          </cell>
          <cell r="AB3071">
            <v>0</v>
          </cell>
          <cell r="AC3071">
            <v>0</v>
          </cell>
          <cell r="AD3071">
            <v>61</v>
          </cell>
          <cell r="AE3071">
            <v>0</v>
          </cell>
          <cell r="AF3071">
            <v>0</v>
          </cell>
          <cell r="AG3071">
            <v>0</v>
          </cell>
          <cell r="AH3071">
            <v>0</v>
          </cell>
          <cell r="AI3071">
            <v>0</v>
          </cell>
          <cell r="AJ3071">
            <v>0</v>
          </cell>
          <cell r="AK3071">
            <v>0</v>
          </cell>
          <cell r="AL3071">
            <v>0</v>
          </cell>
        </row>
        <row r="3072">
          <cell r="E3072" t="str">
            <v>連動操作盤 3L壁</v>
          </cell>
          <cell r="F3072" t="str">
            <v>面</v>
          </cell>
          <cell r="G3072">
            <v>0</v>
          </cell>
          <cell r="H3072">
            <v>103000</v>
          </cell>
          <cell r="I3072">
            <v>0</v>
          </cell>
          <cell r="J3072">
            <v>103000</v>
          </cell>
          <cell r="K3072">
            <v>0</v>
          </cell>
          <cell r="L3072">
            <v>103000</v>
          </cell>
          <cell r="M3072">
            <v>0</v>
          </cell>
          <cell r="N3072">
            <v>103000</v>
          </cell>
          <cell r="O3072">
            <v>0</v>
          </cell>
          <cell r="P3072">
            <v>103000</v>
          </cell>
          <cell r="Q3072">
            <v>0</v>
          </cell>
          <cell r="R3072">
            <v>103000</v>
          </cell>
          <cell r="S3072">
            <v>0</v>
          </cell>
          <cell r="T3072">
            <v>103000</v>
          </cell>
          <cell r="U3072">
            <v>0</v>
          </cell>
          <cell r="V3072">
            <v>103000</v>
          </cell>
          <cell r="W3072">
            <v>0</v>
          </cell>
          <cell r="X3072">
            <v>103000</v>
          </cell>
          <cell r="Y3072">
            <v>0</v>
          </cell>
          <cell r="Z3072">
            <v>103000</v>
          </cell>
          <cell r="AA3072">
            <v>0</v>
          </cell>
          <cell r="AB3072">
            <v>0</v>
          </cell>
          <cell r="AC3072">
            <v>0</v>
          </cell>
          <cell r="AD3072">
            <v>5.04</v>
          </cell>
          <cell r="AE3072">
            <v>0</v>
          </cell>
          <cell r="AF3072">
            <v>0</v>
          </cell>
          <cell r="AG3072">
            <v>0</v>
          </cell>
          <cell r="AH3072">
            <v>0</v>
          </cell>
          <cell r="AI3072">
            <v>0</v>
          </cell>
          <cell r="AJ3072">
            <v>0</v>
          </cell>
          <cell r="AK3072">
            <v>0</v>
          </cell>
          <cell r="AL3072">
            <v>0</v>
          </cell>
        </row>
        <row r="3073">
          <cell r="E3073" t="str">
            <v>連動操作盤 5L壁</v>
          </cell>
          <cell r="F3073" t="str">
            <v>面</v>
          </cell>
          <cell r="G3073">
            <v>0</v>
          </cell>
          <cell r="H3073">
            <v>113000</v>
          </cell>
          <cell r="I3073">
            <v>0</v>
          </cell>
          <cell r="J3073">
            <v>113000</v>
          </cell>
          <cell r="K3073">
            <v>0</v>
          </cell>
          <cell r="L3073">
            <v>113000</v>
          </cell>
          <cell r="M3073">
            <v>0</v>
          </cell>
          <cell r="N3073">
            <v>113000</v>
          </cell>
          <cell r="O3073">
            <v>0</v>
          </cell>
          <cell r="P3073">
            <v>113000</v>
          </cell>
          <cell r="Q3073">
            <v>0</v>
          </cell>
          <cell r="R3073">
            <v>113000</v>
          </cell>
          <cell r="S3073">
            <v>0</v>
          </cell>
          <cell r="T3073">
            <v>113000</v>
          </cell>
          <cell r="U3073">
            <v>0</v>
          </cell>
          <cell r="V3073">
            <v>113000</v>
          </cell>
          <cell r="W3073">
            <v>0</v>
          </cell>
          <cell r="X3073">
            <v>113000</v>
          </cell>
          <cell r="Y3073">
            <v>0</v>
          </cell>
          <cell r="Z3073">
            <v>113000</v>
          </cell>
          <cell r="AA3073">
            <v>0</v>
          </cell>
          <cell r="AB3073">
            <v>0</v>
          </cell>
          <cell r="AC3073">
            <v>0</v>
          </cell>
          <cell r="AD3073">
            <v>5.31</v>
          </cell>
          <cell r="AE3073">
            <v>0</v>
          </cell>
          <cell r="AF3073">
            <v>0</v>
          </cell>
          <cell r="AG3073">
            <v>0</v>
          </cell>
          <cell r="AH3073">
            <v>0</v>
          </cell>
          <cell r="AI3073">
            <v>0</v>
          </cell>
          <cell r="AJ3073">
            <v>0</v>
          </cell>
          <cell r="AK3073">
            <v>0</v>
          </cell>
          <cell r="AL3073">
            <v>0</v>
          </cell>
        </row>
        <row r="3074">
          <cell r="E3074" t="str">
            <v>連動操作盤 10L壁</v>
          </cell>
          <cell r="F3074" t="str">
            <v>面</v>
          </cell>
          <cell r="G3074">
            <v>0</v>
          </cell>
          <cell r="H3074">
            <v>173000</v>
          </cell>
          <cell r="I3074">
            <v>0</v>
          </cell>
          <cell r="J3074">
            <v>173000</v>
          </cell>
          <cell r="K3074">
            <v>0</v>
          </cell>
          <cell r="L3074">
            <v>173000</v>
          </cell>
          <cell r="M3074">
            <v>0</v>
          </cell>
          <cell r="N3074">
            <v>173000</v>
          </cell>
          <cell r="O3074">
            <v>0</v>
          </cell>
          <cell r="P3074">
            <v>173000</v>
          </cell>
          <cell r="Q3074">
            <v>0</v>
          </cell>
          <cell r="R3074">
            <v>173000</v>
          </cell>
          <cell r="S3074">
            <v>0</v>
          </cell>
          <cell r="T3074">
            <v>173000</v>
          </cell>
          <cell r="U3074">
            <v>0</v>
          </cell>
          <cell r="V3074">
            <v>173000</v>
          </cell>
          <cell r="W3074">
            <v>0</v>
          </cell>
          <cell r="X3074">
            <v>173000</v>
          </cell>
          <cell r="Y3074">
            <v>0</v>
          </cell>
          <cell r="Z3074">
            <v>173000</v>
          </cell>
          <cell r="AA3074">
            <v>0</v>
          </cell>
          <cell r="AB3074">
            <v>0</v>
          </cell>
          <cell r="AC3074">
            <v>0</v>
          </cell>
          <cell r="AD3074">
            <v>6.64</v>
          </cell>
          <cell r="AE3074">
            <v>0</v>
          </cell>
          <cell r="AF3074">
            <v>0</v>
          </cell>
          <cell r="AG3074">
            <v>0</v>
          </cell>
          <cell r="AH3074">
            <v>0</v>
          </cell>
          <cell r="AI3074">
            <v>0</v>
          </cell>
          <cell r="AJ3074">
            <v>0</v>
          </cell>
          <cell r="AK3074">
            <v>0</v>
          </cell>
          <cell r="AL3074">
            <v>0</v>
          </cell>
        </row>
        <row r="3075">
          <cell r="E3075" t="str">
            <v>連動操作盤 15L壁</v>
          </cell>
          <cell r="F3075" t="str">
            <v>面</v>
          </cell>
          <cell r="G3075">
            <v>0</v>
          </cell>
          <cell r="H3075">
            <v>202000</v>
          </cell>
          <cell r="I3075">
            <v>0</v>
          </cell>
          <cell r="J3075">
            <v>202000</v>
          </cell>
          <cell r="K3075">
            <v>0</v>
          </cell>
          <cell r="L3075">
            <v>202000</v>
          </cell>
          <cell r="M3075">
            <v>0</v>
          </cell>
          <cell r="N3075">
            <v>202000</v>
          </cell>
          <cell r="O3075">
            <v>0</v>
          </cell>
          <cell r="P3075">
            <v>202000</v>
          </cell>
          <cell r="Q3075">
            <v>0</v>
          </cell>
          <cell r="R3075">
            <v>202000</v>
          </cell>
          <cell r="S3075">
            <v>0</v>
          </cell>
          <cell r="T3075">
            <v>202000</v>
          </cell>
          <cell r="U3075">
            <v>0</v>
          </cell>
          <cell r="V3075">
            <v>202000</v>
          </cell>
          <cell r="W3075">
            <v>0</v>
          </cell>
          <cell r="X3075">
            <v>202000</v>
          </cell>
          <cell r="Y3075">
            <v>0</v>
          </cell>
          <cell r="Z3075">
            <v>202000</v>
          </cell>
          <cell r="AA3075">
            <v>0</v>
          </cell>
          <cell r="AB3075">
            <v>0</v>
          </cell>
          <cell r="AC3075">
            <v>0</v>
          </cell>
          <cell r="AD3075">
            <v>7.96</v>
          </cell>
          <cell r="AE3075">
            <v>0</v>
          </cell>
          <cell r="AF3075">
            <v>0</v>
          </cell>
          <cell r="AG3075">
            <v>0</v>
          </cell>
          <cell r="AH3075">
            <v>0</v>
          </cell>
          <cell r="AI3075">
            <v>0</v>
          </cell>
          <cell r="AJ3075">
            <v>0</v>
          </cell>
          <cell r="AK3075">
            <v>0</v>
          </cell>
          <cell r="AL3075">
            <v>0</v>
          </cell>
        </row>
        <row r="3076">
          <cell r="E3076" t="str">
            <v>連動操作盤 20L壁</v>
          </cell>
          <cell r="F3076" t="str">
            <v>面</v>
          </cell>
          <cell r="G3076">
            <v>0</v>
          </cell>
          <cell r="H3076">
            <v>230000</v>
          </cell>
          <cell r="I3076">
            <v>0</v>
          </cell>
          <cell r="J3076">
            <v>230000</v>
          </cell>
          <cell r="K3076">
            <v>0</v>
          </cell>
          <cell r="L3076">
            <v>230000</v>
          </cell>
          <cell r="M3076">
            <v>0</v>
          </cell>
          <cell r="N3076">
            <v>230000</v>
          </cell>
          <cell r="O3076">
            <v>0</v>
          </cell>
          <cell r="P3076">
            <v>230000</v>
          </cell>
          <cell r="Q3076">
            <v>0</v>
          </cell>
          <cell r="R3076">
            <v>230000</v>
          </cell>
          <cell r="S3076">
            <v>0</v>
          </cell>
          <cell r="T3076">
            <v>230000</v>
          </cell>
          <cell r="U3076">
            <v>0</v>
          </cell>
          <cell r="V3076">
            <v>230000</v>
          </cell>
          <cell r="W3076">
            <v>0</v>
          </cell>
          <cell r="X3076">
            <v>230000</v>
          </cell>
          <cell r="Y3076">
            <v>0</v>
          </cell>
          <cell r="Z3076">
            <v>230000</v>
          </cell>
          <cell r="AA3076">
            <v>0</v>
          </cell>
          <cell r="AB3076">
            <v>0</v>
          </cell>
          <cell r="AC3076">
            <v>0</v>
          </cell>
          <cell r="AD3076">
            <v>9.2899999999999991</v>
          </cell>
          <cell r="AE3076">
            <v>0</v>
          </cell>
          <cell r="AF3076">
            <v>0</v>
          </cell>
          <cell r="AG3076">
            <v>0</v>
          </cell>
          <cell r="AH3076">
            <v>0</v>
          </cell>
          <cell r="AI3076">
            <v>0</v>
          </cell>
          <cell r="AJ3076">
            <v>0</v>
          </cell>
          <cell r="AK3076">
            <v>0</v>
          </cell>
          <cell r="AL3076">
            <v>0</v>
          </cell>
        </row>
        <row r="3077">
          <cell r="E3077" t="str">
            <v>連動操作盤 25L壁</v>
          </cell>
          <cell r="F3077" t="str">
            <v>面</v>
          </cell>
          <cell r="G3077">
            <v>0</v>
          </cell>
          <cell r="H3077">
            <v>259000</v>
          </cell>
          <cell r="I3077">
            <v>0</v>
          </cell>
          <cell r="J3077">
            <v>259000</v>
          </cell>
          <cell r="K3077">
            <v>0</v>
          </cell>
          <cell r="L3077">
            <v>259000</v>
          </cell>
          <cell r="M3077">
            <v>0</v>
          </cell>
          <cell r="N3077">
            <v>259000</v>
          </cell>
          <cell r="O3077">
            <v>0</v>
          </cell>
          <cell r="P3077">
            <v>259000</v>
          </cell>
          <cell r="Q3077">
            <v>0</v>
          </cell>
          <cell r="R3077">
            <v>259000</v>
          </cell>
          <cell r="S3077">
            <v>0</v>
          </cell>
          <cell r="T3077">
            <v>259000</v>
          </cell>
          <cell r="U3077">
            <v>0</v>
          </cell>
          <cell r="V3077">
            <v>259000</v>
          </cell>
          <cell r="W3077">
            <v>0</v>
          </cell>
          <cell r="X3077">
            <v>259000</v>
          </cell>
          <cell r="Y3077">
            <v>0</v>
          </cell>
          <cell r="Z3077">
            <v>259000</v>
          </cell>
          <cell r="AA3077">
            <v>0</v>
          </cell>
          <cell r="AB3077">
            <v>0</v>
          </cell>
          <cell r="AC3077">
            <v>0</v>
          </cell>
          <cell r="AD3077">
            <v>10.6</v>
          </cell>
          <cell r="AE3077">
            <v>0</v>
          </cell>
          <cell r="AF3077">
            <v>0</v>
          </cell>
          <cell r="AG3077">
            <v>0</v>
          </cell>
          <cell r="AH3077">
            <v>0</v>
          </cell>
          <cell r="AI3077">
            <v>0</v>
          </cell>
          <cell r="AJ3077">
            <v>0</v>
          </cell>
          <cell r="AK3077">
            <v>0</v>
          </cell>
          <cell r="AL3077">
            <v>0</v>
          </cell>
        </row>
        <row r="3078">
          <cell r="E3078" t="str">
            <v>連動操作盤 30L壁</v>
          </cell>
          <cell r="F3078" t="str">
            <v>面</v>
          </cell>
          <cell r="G3078">
            <v>0</v>
          </cell>
          <cell r="H3078">
            <v>287000</v>
          </cell>
          <cell r="I3078">
            <v>0</v>
          </cell>
          <cell r="J3078">
            <v>287000</v>
          </cell>
          <cell r="K3078">
            <v>0</v>
          </cell>
          <cell r="L3078">
            <v>287000</v>
          </cell>
          <cell r="M3078">
            <v>0</v>
          </cell>
          <cell r="N3078">
            <v>287000</v>
          </cell>
          <cell r="O3078">
            <v>0</v>
          </cell>
          <cell r="P3078">
            <v>287000</v>
          </cell>
          <cell r="Q3078">
            <v>0</v>
          </cell>
          <cell r="R3078">
            <v>287000</v>
          </cell>
          <cell r="S3078">
            <v>0</v>
          </cell>
          <cell r="T3078">
            <v>287000</v>
          </cell>
          <cell r="U3078">
            <v>0</v>
          </cell>
          <cell r="V3078">
            <v>287000</v>
          </cell>
          <cell r="W3078">
            <v>0</v>
          </cell>
          <cell r="X3078">
            <v>287000</v>
          </cell>
          <cell r="Y3078">
            <v>0</v>
          </cell>
          <cell r="Z3078">
            <v>287000</v>
          </cell>
          <cell r="AA3078">
            <v>0</v>
          </cell>
          <cell r="AB3078">
            <v>0</v>
          </cell>
          <cell r="AC3078">
            <v>0</v>
          </cell>
          <cell r="AD3078">
            <v>11.9</v>
          </cell>
          <cell r="AE3078">
            <v>0</v>
          </cell>
          <cell r="AF3078">
            <v>0</v>
          </cell>
          <cell r="AG3078">
            <v>0</v>
          </cell>
          <cell r="AH3078">
            <v>0</v>
          </cell>
          <cell r="AI3078">
            <v>0</v>
          </cell>
          <cell r="AJ3078">
            <v>0</v>
          </cell>
          <cell r="AK3078">
            <v>0</v>
          </cell>
          <cell r="AL3078">
            <v>0</v>
          </cell>
        </row>
        <row r="3079">
          <cell r="E3079" t="str">
            <v>連動操作盤 35L壁</v>
          </cell>
          <cell r="F3079" t="str">
            <v>面</v>
          </cell>
          <cell r="G3079">
            <v>0</v>
          </cell>
          <cell r="H3079">
            <v>315000</v>
          </cell>
          <cell r="I3079">
            <v>0</v>
          </cell>
          <cell r="J3079">
            <v>315000</v>
          </cell>
          <cell r="K3079">
            <v>0</v>
          </cell>
          <cell r="L3079">
            <v>315000</v>
          </cell>
          <cell r="M3079">
            <v>0</v>
          </cell>
          <cell r="N3079">
            <v>315000</v>
          </cell>
          <cell r="O3079">
            <v>0</v>
          </cell>
          <cell r="P3079">
            <v>315000</v>
          </cell>
          <cell r="Q3079">
            <v>0</v>
          </cell>
          <cell r="R3079">
            <v>315000</v>
          </cell>
          <cell r="S3079">
            <v>0</v>
          </cell>
          <cell r="T3079">
            <v>315000</v>
          </cell>
          <cell r="U3079">
            <v>0</v>
          </cell>
          <cell r="V3079">
            <v>315000</v>
          </cell>
          <cell r="W3079">
            <v>0</v>
          </cell>
          <cell r="X3079">
            <v>315000</v>
          </cell>
          <cell r="Y3079">
            <v>0</v>
          </cell>
          <cell r="Z3079">
            <v>315000</v>
          </cell>
          <cell r="AA3079">
            <v>0</v>
          </cell>
          <cell r="AB3079">
            <v>0</v>
          </cell>
          <cell r="AC3079">
            <v>0</v>
          </cell>
          <cell r="AD3079">
            <v>13.3</v>
          </cell>
          <cell r="AE3079">
            <v>0</v>
          </cell>
          <cell r="AF3079">
            <v>0</v>
          </cell>
          <cell r="AG3079">
            <v>0</v>
          </cell>
          <cell r="AH3079">
            <v>0</v>
          </cell>
          <cell r="AI3079">
            <v>0</v>
          </cell>
          <cell r="AJ3079">
            <v>0</v>
          </cell>
          <cell r="AK3079">
            <v>0</v>
          </cell>
          <cell r="AL3079">
            <v>0</v>
          </cell>
        </row>
        <row r="3080">
          <cell r="E3080" t="str">
            <v>連動操作盤 40L壁</v>
          </cell>
          <cell r="F3080" t="str">
            <v>面</v>
          </cell>
          <cell r="G3080">
            <v>0</v>
          </cell>
          <cell r="H3080">
            <v>344000</v>
          </cell>
          <cell r="I3080">
            <v>0</v>
          </cell>
          <cell r="J3080">
            <v>344000</v>
          </cell>
          <cell r="K3080">
            <v>0</v>
          </cell>
          <cell r="L3080">
            <v>344000</v>
          </cell>
          <cell r="M3080">
            <v>0</v>
          </cell>
          <cell r="N3080">
            <v>344000</v>
          </cell>
          <cell r="O3080">
            <v>0</v>
          </cell>
          <cell r="P3080">
            <v>344000</v>
          </cell>
          <cell r="Q3080">
            <v>0</v>
          </cell>
          <cell r="R3080">
            <v>344000</v>
          </cell>
          <cell r="S3080">
            <v>0</v>
          </cell>
          <cell r="T3080">
            <v>344000</v>
          </cell>
          <cell r="U3080">
            <v>0</v>
          </cell>
          <cell r="V3080">
            <v>344000</v>
          </cell>
          <cell r="W3080">
            <v>0</v>
          </cell>
          <cell r="X3080">
            <v>344000</v>
          </cell>
          <cell r="Y3080">
            <v>0</v>
          </cell>
          <cell r="Z3080">
            <v>344000</v>
          </cell>
          <cell r="AA3080">
            <v>0</v>
          </cell>
          <cell r="AB3080">
            <v>0</v>
          </cell>
          <cell r="AC3080">
            <v>0</v>
          </cell>
          <cell r="AD3080">
            <v>14.6</v>
          </cell>
          <cell r="AE3080">
            <v>0</v>
          </cell>
          <cell r="AF3080">
            <v>0</v>
          </cell>
          <cell r="AG3080">
            <v>0</v>
          </cell>
          <cell r="AH3080">
            <v>0</v>
          </cell>
          <cell r="AI3080">
            <v>0</v>
          </cell>
          <cell r="AJ3080">
            <v>0</v>
          </cell>
          <cell r="AK3080">
            <v>0</v>
          </cell>
          <cell r="AL3080">
            <v>0</v>
          </cell>
        </row>
        <row r="3081">
          <cell r="E3081" t="str">
            <v>連動操作盤 40L自</v>
          </cell>
          <cell r="F3081" t="str">
            <v>面</v>
          </cell>
          <cell r="G3081">
            <v>0</v>
          </cell>
          <cell r="H3081">
            <v>612000</v>
          </cell>
          <cell r="I3081">
            <v>0</v>
          </cell>
          <cell r="J3081">
            <v>612000</v>
          </cell>
          <cell r="K3081">
            <v>0</v>
          </cell>
          <cell r="L3081">
            <v>612000</v>
          </cell>
          <cell r="M3081">
            <v>0</v>
          </cell>
          <cell r="N3081">
            <v>612000</v>
          </cell>
          <cell r="O3081">
            <v>0</v>
          </cell>
          <cell r="P3081">
            <v>612000</v>
          </cell>
          <cell r="Q3081">
            <v>0</v>
          </cell>
          <cell r="R3081">
            <v>612000</v>
          </cell>
          <cell r="S3081">
            <v>0</v>
          </cell>
          <cell r="T3081">
            <v>612000</v>
          </cell>
          <cell r="U3081">
            <v>0</v>
          </cell>
          <cell r="V3081">
            <v>612000</v>
          </cell>
          <cell r="W3081">
            <v>0</v>
          </cell>
          <cell r="X3081">
            <v>612000</v>
          </cell>
          <cell r="Y3081">
            <v>0</v>
          </cell>
          <cell r="Z3081">
            <v>612000</v>
          </cell>
          <cell r="AA3081">
            <v>0</v>
          </cell>
          <cell r="AB3081">
            <v>0</v>
          </cell>
          <cell r="AC3081">
            <v>0</v>
          </cell>
          <cell r="AD3081">
            <v>14.6</v>
          </cell>
          <cell r="AE3081">
            <v>0</v>
          </cell>
          <cell r="AF3081">
            <v>0</v>
          </cell>
          <cell r="AG3081">
            <v>0</v>
          </cell>
          <cell r="AH3081">
            <v>0</v>
          </cell>
          <cell r="AI3081">
            <v>0</v>
          </cell>
          <cell r="AJ3081">
            <v>0</v>
          </cell>
          <cell r="AK3081">
            <v>0</v>
          </cell>
          <cell r="AL3081">
            <v>0</v>
          </cell>
        </row>
        <row r="3082">
          <cell r="E3082" t="str">
            <v>連動操作盤 50L自</v>
          </cell>
          <cell r="F3082" t="str">
            <v>面</v>
          </cell>
          <cell r="G3082">
            <v>0</v>
          </cell>
          <cell r="H3082">
            <v>680000</v>
          </cell>
          <cell r="I3082">
            <v>0</v>
          </cell>
          <cell r="J3082">
            <v>680000</v>
          </cell>
          <cell r="K3082">
            <v>0</v>
          </cell>
          <cell r="L3082">
            <v>680000</v>
          </cell>
          <cell r="M3082">
            <v>0</v>
          </cell>
          <cell r="N3082">
            <v>680000</v>
          </cell>
          <cell r="O3082">
            <v>0</v>
          </cell>
          <cell r="P3082">
            <v>680000</v>
          </cell>
          <cell r="Q3082">
            <v>0</v>
          </cell>
          <cell r="R3082">
            <v>680000</v>
          </cell>
          <cell r="S3082">
            <v>0</v>
          </cell>
          <cell r="T3082">
            <v>680000</v>
          </cell>
          <cell r="U3082">
            <v>0</v>
          </cell>
          <cell r="V3082">
            <v>680000</v>
          </cell>
          <cell r="W3082">
            <v>0</v>
          </cell>
          <cell r="X3082">
            <v>680000</v>
          </cell>
          <cell r="Y3082">
            <v>0</v>
          </cell>
          <cell r="Z3082">
            <v>680000</v>
          </cell>
          <cell r="AA3082">
            <v>0</v>
          </cell>
          <cell r="AB3082">
            <v>0</v>
          </cell>
          <cell r="AC3082">
            <v>0</v>
          </cell>
          <cell r="AD3082">
            <v>17.3</v>
          </cell>
          <cell r="AE3082">
            <v>0</v>
          </cell>
          <cell r="AF3082">
            <v>0</v>
          </cell>
          <cell r="AG3082">
            <v>0</v>
          </cell>
          <cell r="AH3082">
            <v>0</v>
          </cell>
          <cell r="AI3082">
            <v>0</v>
          </cell>
          <cell r="AJ3082">
            <v>0</v>
          </cell>
          <cell r="AK3082">
            <v>0</v>
          </cell>
          <cell r="AL3082">
            <v>0</v>
          </cell>
        </row>
        <row r="3083">
          <cell r="E3083" t="str">
            <v>連動操作盤 60L自</v>
          </cell>
          <cell r="F3083" t="str">
            <v>面</v>
          </cell>
          <cell r="G3083">
            <v>0</v>
          </cell>
          <cell r="H3083">
            <v>748000</v>
          </cell>
          <cell r="I3083">
            <v>0</v>
          </cell>
          <cell r="J3083">
            <v>748000</v>
          </cell>
          <cell r="K3083">
            <v>0</v>
          </cell>
          <cell r="L3083">
            <v>748000</v>
          </cell>
          <cell r="M3083">
            <v>0</v>
          </cell>
          <cell r="N3083">
            <v>748000</v>
          </cell>
          <cell r="O3083">
            <v>0</v>
          </cell>
          <cell r="P3083">
            <v>748000</v>
          </cell>
          <cell r="Q3083">
            <v>0</v>
          </cell>
          <cell r="R3083">
            <v>748000</v>
          </cell>
          <cell r="S3083">
            <v>0</v>
          </cell>
          <cell r="T3083">
            <v>748000</v>
          </cell>
          <cell r="U3083">
            <v>0</v>
          </cell>
          <cell r="V3083">
            <v>748000</v>
          </cell>
          <cell r="W3083">
            <v>0</v>
          </cell>
          <cell r="X3083">
            <v>748000</v>
          </cell>
          <cell r="Y3083">
            <v>0</v>
          </cell>
          <cell r="Z3083">
            <v>748000</v>
          </cell>
          <cell r="AA3083">
            <v>0</v>
          </cell>
          <cell r="AB3083">
            <v>0</v>
          </cell>
          <cell r="AC3083">
            <v>0</v>
          </cell>
          <cell r="AD3083">
            <v>20.000000000000004</v>
          </cell>
          <cell r="AE3083">
            <v>0</v>
          </cell>
          <cell r="AF3083">
            <v>0</v>
          </cell>
          <cell r="AG3083">
            <v>0</v>
          </cell>
          <cell r="AH3083">
            <v>0</v>
          </cell>
          <cell r="AI3083">
            <v>0</v>
          </cell>
          <cell r="AJ3083">
            <v>0</v>
          </cell>
          <cell r="AK3083">
            <v>0</v>
          </cell>
          <cell r="AL3083">
            <v>0</v>
          </cell>
        </row>
        <row r="3084">
          <cell r="E3084" t="str">
            <v>連動操作盤 70L自</v>
          </cell>
          <cell r="F3084" t="str">
            <v>面</v>
          </cell>
          <cell r="G3084">
            <v>0</v>
          </cell>
          <cell r="H3084">
            <v>816000</v>
          </cell>
          <cell r="I3084">
            <v>0</v>
          </cell>
          <cell r="J3084">
            <v>816000</v>
          </cell>
          <cell r="K3084">
            <v>0</v>
          </cell>
          <cell r="L3084">
            <v>816000</v>
          </cell>
          <cell r="M3084">
            <v>0</v>
          </cell>
          <cell r="N3084">
            <v>816000</v>
          </cell>
          <cell r="O3084">
            <v>0</v>
          </cell>
          <cell r="P3084">
            <v>816000</v>
          </cell>
          <cell r="Q3084">
            <v>0</v>
          </cell>
          <cell r="R3084">
            <v>816000</v>
          </cell>
          <cell r="S3084">
            <v>0</v>
          </cell>
          <cell r="T3084">
            <v>816000</v>
          </cell>
          <cell r="U3084">
            <v>0</v>
          </cell>
          <cell r="V3084">
            <v>816000</v>
          </cell>
          <cell r="W3084">
            <v>0</v>
          </cell>
          <cell r="X3084">
            <v>816000</v>
          </cell>
          <cell r="Y3084">
            <v>0</v>
          </cell>
          <cell r="Z3084">
            <v>816000</v>
          </cell>
          <cell r="AA3084">
            <v>0</v>
          </cell>
          <cell r="AB3084">
            <v>0</v>
          </cell>
          <cell r="AC3084">
            <v>0</v>
          </cell>
          <cell r="AD3084">
            <v>22.700000000000003</v>
          </cell>
          <cell r="AE3084">
            <v>0</v>
          </cell>
          <cell r="AF3084">
            <v>0</v>
          </cell>
          <cell r="AG3084">
            <v>0</v>
          </cell>
          <cell r="AH3084">
            <v>0</v>
          </cell>
          <cell r="AI3084">
            <v>0</v>
          </cell>
          <cell r="AJ3084">
            <v>0</v>
          </cell>
          <cell r="AK3084">
            <v>0</v>
          </cell>
          <cell r="AL3084">
            <v>0</v>
          </cell>
        </row>
        <row r="3085">
          <cell r="E3085" t="str">
            <v>連動操作盤 80L自</v>
          </cell>
          <cell r="F3085" t="str">
            <v>面</v>
          </cell>
          <cell r="G3085">
            <v>0</v>
          </cell>
          <cell r="H3085">
            <v>884000</v>
          </cell>
          <cell r="I3085">
            <v>0</v>
          </cell>
          <cell r="J3085">
            <v>884000</v>
          </cell>
          <cell r="K3085">
            <v>0</v>
          </cell>
          <cell r="L3085">
            <v>884000</v>
          </cell>
          <cell r="M3085">
            <v>0</v>
          </cell>
          <cell r="N3085">
            <v>884000</v>
          </cell>
          <cell r="O3085">
            <v>0</v>
          </cell>
          <cell r="P3085">
            <v>884000</v>
          </cell>
          <cell r="Q3085">
            <v>0</v>
          </cell>
          <cell r="R3085">
            <v>884000</v>
          </cell>
          <cell r="S3085">
            <v>0</v>
          </cell>
          <cell r="T3085">
            <v>884000</v>
          </cell>
          <cell r="U3085">
            <v>0</v>
          </cell>
          <cell r="V3085">
            <v>884000</v>
          </cell>
          <cell r="W3085">
            <v>0</v>
          </cell>
          <cell r="X3085">
            <v>884000</v>
          </cell>
          <cell r="Y3085">
            <v>0</v>
          </cell>
          <cell r="Z3085">
            <v>884000</v>
          </cell>
          <cell r="AA3085">
            <v>0</v>
          </cell>
          <cell r="AB3085">
            <v>0</v>
          </cell>
          <cell r="AC3085">
            <v>0</v>
          </cell>
          <cell r="AD3085">
            <v>25.400000000000002</v>
          </cell>
          <cell r="AE3085">
            <v>0</v>
          </cell>
          <cell r="AF3085">
            <v>0</v>
          </cell>
          <cell r="AG3085">
            <v>0</v>
          </cell>
          <cell r="AH3085">
            <v>0</v>
          </cell>
          <cell r="AI3085">
            <v>0</v>
          </cell>
          <cell r="AJ3085">
            <v>0</v>
          </cell>
          <cell r="AK3085">
            <v>0</v>
          </cell>
          <cell r="AL3085">
            <v>0</v>
          </cell>
        </row>
        <row r="3086">
          <cell r="E3086" t="str">
            <v>連動操作盤 90L自</v>
          </cell>
          <cell r="F3086" t="str">
            <v>面</v>
          </cell>
          <cell r="G3086">
            <v>0</v>
          </cell>
          <cell r="H3086">
            <v>952000</v>
          </cell>
          <cell r="I3086">
            <v>0</v>
          </cell>
          <cell r="J3086">
            <v>952000</v>
          </cell>
          <cell r="K3086">
            <v>0</v>
          </cell>
          <cell r="L3086">
            <v>952000</v>
          </cell>
          <cell r="M3086">
            <v>0</v>
          </cell>
          <cell r="N3086">
            <v>952000</v>
          </cell>
          <cell r="O3086">
            <v>0</v>
          </cell>
          <cell r="P3086">
            <v>952000</v>
          </cell>
          <cell r="Q3086">
            <v>0</v>
          </cell>
          <cell r="R3086">
            <v>952000</v>
          </cell>
          <cell r="S3086">
            <v>0</v>
          </cell>
          <cell r="T3086">
            <v>952000</v>
          </cell>
          <cell r="U3086">
            <v>0</v>
          </cell>
          <cell r="V3086">
            <v>952000</v>
          </cell>
          <cell r="W3086">
            <v>0</v>
          </cell>
          <cell r="X3086">
            <v>952000</v>
          </cell>
          <cell r="Y3086">
            <v>0</v>
          </cell>
          <cell r="Z3086">
            <v>952000</v>
          </cell>
          <cell r="AA3086">
            <v>0</v>
          </cell>
          <cell r="AB3086">
            <v>0</v>
          </cell>
          <cell r="AC3086">
            <v>0</v>
          </cell>
          <cell r="AD3086">
            <v>28.1</v>
          </cell>
          <cell r="AE3086">
            <v>0</v>
          </cell>
          <cell r="AF3086">
            <v>0</v>
          </cell>
          <cell r="AG3086">
            <v>0</v>
          </cell>
          <cell r="AH3086">
            <v>0</v>
          </cell>
          <cell r="AI3086">
            <v>0</v>
          </cell>
          <cell r="AJ3086">
            <v>0</v>
          </cell>
          <cell r="AK3086">
            <v>0</v>
          </cell>
          <cell r="AL3086">
            <v>0</v>
          </cell>
        </row>
        <row r="3087">
          <cell r="E3087" t="str">
            <v>連動操作盤 100L自</v>
          </cell>
          <cell r="F3087" t="str">
            <v>面</v>
          </cell>
          <cell r="G3087">
            <v>0</v>
          </cell>
          <cell r="H3087">
            <v>1020000</v>
          </cell>
          <cell r="I3087">
            <v>0</v>
          </cell>
          <cell r="J3087">
            <v>1020000</v>
          </cell>
          <cell r="K3087">
            <v>0</v>
          </cell>
          <cell r="L3087">
            <v>1020000</v>
          </cell>
          <cell r="M3087">
            <v>0</v>
          </cell>
          <cell r="N3087">
            <v>1020000</v>
          </cell>
          <cell r="O3087">
            <v>0</v>
          </cell>
          <cell r="P3087">
            <v>1020000</v>
          </cell>
          <cell r="Q3087">
            <v>0</v>
          </cell>
          <cell r="R3087">
            <v>1020000</v>
          </cell>
          <cell r="S3087">
            <v>0</v>
          </cell>
          <cell r="T3087">
            <v>1020000</v>
          </cell>
          <cell r="U3087">
            <v>0</v>
          </cell>
          <cell r="V3087">
            <v>1020000</v>
          </cell>
          <cell r="W3087">
            <v>0</v>
          </cell>
          <cell r="X3087">
            <v>1020000</v>
          </cell>
          <cell r="Y3087">
            <v>0</v>
          </cell>
          <cell r="Z3087">
            <v>1020000</v>
          </cell>
          <cell r="AA3087">
            <v>0</v>
          </cell>
          <cell r="AB3087">
            <v>0</v>
          </cell>
          <cell r="AC3087">
            <v>0</v>
          </cell>
          <cell r="AD3087">
            <v>30.8</v>
          </cell>
          <cell r="AE3087">
            <v>0</v>
          </cell>
          <cell r="AF3087">
            <v>0</v>
          </cell>
          <cell r="AG3087">
            <v>0</v>
          </cell>
          <cell r="AH3087">
            <v>0</v>
          </cell>
          <cell r="AI3087">
            <v>0</v>
          </cell>
          <cell r="AJ3087">
            <v>0</v>
          </cell>
          <cell r="AK3087">
            <v>0</v>
          </cell>
          <cell r="AL3087">
            <v>0</v>
          </cell>
        </row>
        <row r="3088">
          <cell r="E3088" t="str">
            <v>連動操作盤 120L自</v>
          </cell>
          <cell r="F3088" t="str">
            <v>面</v>
          </cell>
          <cell r="G3088">
            <v>0</v>
          </cell>
          <cell r="H3088">
            <v>1156000</v>
          </cell>
          <cell r="I3088">
            <v>0</v>
          </cell>
          <cell r="J3088">
            <v>1156000</v>
          </cell>
          <cell r="K3088">
            <v>0</v>
          </cell>
          <cell r="L3088">
            <v>1156000</v>
          </cell>
          <cell r="M3088">
            <v>0</v>
          </cell>
          <cell r="N3088">
            <v>1156000</v>
          </cell>
          <cell r="O3088">
            <v>0</v>
          </cell>
          <cell r="P3088">
            <v>1156000</v>
          </cell>
          <cell r="Q3088">
            <v>0</v>
          </cell>
          <cell r="R3088">
            <v>1156000</v>
          </cell>
          <cell r="S3088">
            <v>0</v>
          </cell>
          <cell r="T3088">
            <v>1156000</v>
          </cell>
          <cell r="U3088">
            <v>0</v>
          </cell>
          <cell r="V3088">
            <v>1156000</v>
          </cell>
          <cell r="W3088">
            <v>0</v>
          </cell>
          <cell r="X3088">
            <v>1156000</v>
          </cell>
          <cell r="Y3088">
            <v>0</v>
          </cell>
          <cell r="Z3088">
            <v>1156000</v>
          </cell>
          <cell r="AA3088">
            <v>0</v>
          </cell>
          <cell r="AB3088">
            <v>0</v>
          </cell>
          <cell r="AC3088">
            <v>0</v>
          </cell>
          <cell r="AD3088">
            <v>36.200000000000003</v>
          </cell>
          <cell r="AE3088">
            <v>0</v>
          </cell>
          <cell r="AF3088">
            <v>0</v>
          </cell>
          <cell r="AG3088">
            <v>0</v>
          </cell>
          <cell r="AH3088">
            <v>0</v>
          </cell>
          <cell r="AI3088">
            <v>0</v>
          </cell>
          <cell r="AJ3088">
            <v>0</v>
          </cell>
          <cell r="AK3088">
            <v>0</v>
          </cell>
          <cell r="AL3088">
            <v>0</v>
          </cell>
        </row>
        <row r="3089">
          <cell r="E3089" t="str">
            <v>連動操作盤 140L自</v>
          </cell>
          <cell r="F3089" t="str">
            <v>面</v>
          </cell>
          <cell r="G3089">
            <v>0</v>
          </cell>
          <cell r="H3089">
            <v>1292000</v>
          </cell>
          <cell r="I3089">
            <v>0</v>
          </cell>
          <cell r="J3089">
            <v>1292000</v>
          </cell>
          <cell r="K3089">
            <v>0</v>
          </cell>
          <cell r="L3089">
            <v>1292000</v>
          </cell>
          <cell r="M3089">
            <v>0</v>
          </cell>
          <cell r="N3089">
            <v>1292000</v>
          </cell>
          <cell r="O3089">
            <v>0</v>
          </cell>
          <cell r="P3089">
            <v>1292000</v>
          </cell>
          <cell r="Q3089">
            <v>0</v>
          </cell>
          <cell r="R3089">
            <v>1292000</v>
          </cell>
          <cell r="S3089">
            <v>0</v>
          </cell>
          <cell r="T3089">
            <v>1292000</v>
          </cell>
          <cell r="U3089">
            <v>0</v>
          </cell>
          <cell r="V3089">
            <v>1292000</v>
          </cell>
          <cell r="W3089">
            <v>0</v>
          </cell>
          <cell r="X3089">
            <v>1292000</v>
          </cell>
          <cell r="Y3089">
            <v>0</v>
          </cell>
          <cell r="Z3089">
            <v>1292000</v>
          </cell>
          <cell r="AA3089">
            <v>0</v>
          </cell>
          <cell r="AB3089">
            <v>0</v>
          </cell>
          <cell r="AC3089">
            <v>0</v>
          </cell>
          <cell r="AD3089">
            <v>41.6</v>
          </cell>
          <cell r="AE3089">
            <v>0</v>
          </cell>
          <cell r="AF3089">
            <v>0</v>
          </cell>
          <cell r="AG3089">
            <v>0</v>
          </cell>
          <cell r="AH3089">
            <v>0</v>
          </cell>
          <cell r="AI3089">
            <v>0</v>
          </cell>
          <cell r="AJ3089">
            <v>0</v>
          </cell>
          <cell r="AK3089">
            <v>0</v>
          </cell>
          <cell r="AL3089">
            <v>0</v>
          </cell>
        </row>
        <row r="3090">
          <cell r="E3090" t="str">
            <v>連動操作盤 160L自</v>
          </cell>
          <cell r="F3090" t="str">
            <v>面</v>
          </cell>
          <cell r="G3090">
            <v>0</v>
          </cell>
          <cell r="H3090">
            <v>1428000</v>
          </cell>
          <cell r="I3090">
            <v>0</v>
          </cell>
          <cell r="J3090">
            <v>1428000</v>
          </cell>
          <cell r="K3090">
            <v>0</v>
          </cell>
          <cell r="L3090">
            <v>1428000</v>
          </cell>
          <cell r="M3090">
            <v>0</v>
          </cell>
          <cell r="N3090">
            <v>1428000</v>
          </cell>
          <cell r="O3090">
            <v>0</v>
          </cell>
          <cell r="P3090">
            <v>1428000</v>
          </cell>
          <cell r="Q3090">
            <v>0</v>
          </cell>
          <cell r="R3090">
            <v>1428000</v>
          </cell>
          <cell r="S3090">
            <v>0</v>
          </cell>
          <cell r="T3090">
            <v>1428000</v>
          </cell>
          <cell r="U3090">
            <v>0</v>
          </cell>
          <cell r="V3090">
            <v>1428000</v>
          </cell>
          <cell r="W3090">
            <v>0</v>
          </cell>
          <cell r="X3090">
            <v>1428000</v>
          </cell>
          <cell r="Y3090">
            <v>0</v>
          </cell>
          <cell r="Z3090">
            <v>1428000</v>
          </cell>
          <cell r="AA3090">
            <v>0</v>
          </cell>
          <cell r="AB3090">
            <v>0</v>
          </cell>
          <cell r="AC3090">
            <v>0</v>
          </cell>
          <cell r="AD3090">
            <v>47</v>
          </cell>
          <cell r="AE3090">
            <v>0</v>
          </cell>
          <cell r="AF3090">
            <v>0</v>
          </cell>
          <cell r="AG3090">
            <v>0</v>
          </cell>
          <cell r="AH3090">
            <v>0</v>
          </cell>
          <cell r="AI3090">
            <v>0</v>
          </cell>
          <cell r="AJ3090">
            <v>0</v>
          </cell>
          <cell r="AK3090">
            <v>0</v>
          </cell>
          <cell r="AL3090">
            <v>0</v>
          </cell>
        </row>
        <row r="3091">
          <cell r="E3091" t="str">
            <v>連動操作盤 180L自</v>
          </cell>
          <cell r="F3091" t="str">
            <v>面</v>
          </cell>
          <cell r="G3091">
            <v>0</v>
          </cell>
          <cell r="H3091">
            <v>1564000</v>
          </cell>
          <cell r="I3091">
            <v>0</v>
          </cell>
          <cell r="J3091">
            <v>1564000</v>
          </cell>
          <cell r="K3091">
            <v>0</v>
          </cell>
          <cell r="L3091">
            <v>1564000</v>
          </cell>
          <cell r="M3091">
            <v>0</v>
          </cell>
          <cell r="N3091">
            <v>1564000</v>
          </cell>
          <cell r="O3091">
            <v>0</v>
          </cell>
          <cell r="P3091">
            <v>1564000</v>
          </cell>
          <cell r="Q3091">
            <v>0</v>
          </cell>
          <cell r="R3091">
            <v>1564000</v>
          </cell>
          <cell r="S3091">
            <v>0</v>
          </cell>
          <cell r="T3091">
            <v>1564000</v>
          </cell>
          <cell r="U3091">
            <v>0</v>
          </cell>
          <cell r="V3091">
            <v>1564000</v>
          </cell>
          <cell r="W3091">
            <v>0</v>
          </cell>
          <cell r="X3091">
            <v>1564000</v>
          </cell>
          <cell r="Y3091">
            <v>0</v>
          </cell>
          <cell r="Z3091">
            <v>1564000</v>
          </cell>
          <cell r="AA3091">
            <v>0</v>
          </cell>
          <cell r="AB3091">
            <v>0</v>
          </cell>
          <cell r="AC3091">
            <v>0</v>
          </cell>
          <cell r="AD3091">
            <v>52.4</v>
          </cell>
          <cell r="AE3091">
            <v>0</v>
          </cell>
          <cell r="AF3091">
            <v>0</v>
          </cell>
          <cell r="AG3091">
            <v>0</v>
          </cell>
          <cell r="AH3091">
            <v>0</v>
          </cell>
          <cell r="AI3091">
            <v>0</v>
          </cell>
          <cell r="AJ3091">
            <v>0</v>
          </cell>
          <cell r="AK3091">
            <v>0</v>
          </cell>
          <cell r="AL3091">
            <v>0</v>
          </cell>
        </row>
        <row r="3092">
          <cell r="E3092" t="str">
            <v>P1複合型受信機 5L+5L壁</v>
          </cell>
          <cell r="F3092" t="str">
            <v>面</v>
          </cell>
          <cell r="G3092">
            <v>0</v>
          </cell>
          <cell r="H3092">
            <v>234000</v>
          </cell>
          <cell r="I3092">
            <v>0</v>
          </cell>
          <cell r="J3092">
            <v>234000</v>
          </cell>
          <cell r="K3092">
            <v>0</v>
          </cell>
          <cell r="L3092">
            <v>234000</v>
          </cell>
          <cell r="M3092">
            <v>0</v>
          </cell>
          <cell r="N3092">
            <v>234000</v>
          </cell>
          <cell r="O3092">
            <v>0</v>
          </cell>
          <cell r="P3092">
            <v>234000</v>
          </cell>
          <cell r="Q3092">
            <v>0</v>
          </cell>
          <cell r="R3092">
            <v>234000</v>
          </cell>
          <cell r="S3092">
            <v>0</v>
          </cell>
          <cell r="T3092">
            <v>234000</v>
          </cell>
          <cell r="U3092">
            <v>0</v>
          </cell>
          <cell r="V3092">
            <v>234000</v>
          </cell>
          <cell r="W3092">
            <v>0</v>
          </cell>
          <cell r="X3092">
            <v>234000</v>
          </cell>
          <cell r="Y3092">
            <v>0</v>
          </cell>
          <cell r="Z3092">
            <v>234000</v>
          </cell>
          <cell r="AA3092">
            <v>0</v>
          </cell>
          <cell r="AB3092">
            <v>0</v>
          </cell>
          <cell r="AC3092">
            <v>0</v>
          </cell>
          <cell r="AD3092">
            <v>6.64</v>
          </cell>
          <cell r="AE3092">
            <v>0</v>
          </cell>
          <cell r="AF3092">
            <v>0</v>
          </cell>
          <cell r="AG3092">
            <v>0</v>
          </cell>
          <cell r="AH3092">
            <v>0</v>
          </cell>
          <cell r="AI3092">
            <v>0</v>
          </cell>
          <cell r="AJ3092">
            <v>0</v>
          </cell>
          <cell r="AK3092">
            <v>0</v>
          </cell>
          <cell r="AL3092">
            <v>0</v>
          </cell>
        </row>
        <row r="3093">
          <cell r="E3093" t="str">
            <v>P1複合型受信機 10L+5L壁</v>
          </cell>
          <cell r="F3093" t="str">
            <v>面</v>
          </cell>
          <cell r="G3093">
            <v>0</v>
          </cell>
          <cell r="H3093">
            <v>255000</v>
          </cell>
          <cell r="I3093">
            <v>0</v>
          </cell>
          <cell r="J3093">
            <v>255000</v>
          </cell>
          <cell r="K3093">
            <v>0</v>
          </cell>
          <cell r="L3093">
            <v>255000</v>
          </cell>
          <cell r="M3093">
            <v>0</v>
          </cell>
          <cell r="N3093">
            <v>255000</v>
          </cell>
          <cell r="O3093">
            <v>0</v>
          </cell>
          <cell r="P3093">
            <v>255000</v>
          </cell>
          <cell r="Q3093">
            <v>0</v>
          </cell>
          <cell r="R3093">
            <v>255000</v>
          </cell>
          <cell r="S3093">
            <v>0</v>
          </cell>
          <cell r="T3093">
            <v>255000</v>
          </cell>
          <cell r="U3093">
            <v>0</v>
          </cell>
          <cell r="V3093">
            <v>255000</v>
          </cell>
          <cell r="W3093">
            <v>0</v>
          </cell>
          <cell r="X3093">
            <v>255000</v>
          </cell>
          <cell r="Y3093">
            <v>0</v>
          </cell>
          <cell r="Z3093">
            <v>255000</v>
          </cell>
          <cell r="AA3093">
            <v>0</v>
          </cell>
          <cell r="AB3093">
            <v>0</v>
          </cell>
          <cell r="AC3093">
            <v>0</v>
          </cell>
          <cell r="AD3093">
            <v>7.96</v>
          </cell>
          <cell r="AE3093">
            <v>0</v>
          </cell>
          <cell r="AF3093">
            <v>0</v>
          </cell>
          <cell r="AG3093">
            <v>0</v>
          </cell>
          <cell r="AH3093">
            <v>0</v>
          </cell>
          <cell r="AI3093">
            <v>0</v>
          </cell>
          <cell r="AJ3093">
            <v>0</v>
          </cell>
          <cell r="AK3093">
            <v>0</v>
          </cell>
          <cell r="AL3093">
            <v>0</v>
          </cell>
        </row>
        <row r="3094">
          <cell r="E3094" t="str">
            <v>P1複合型受信機 10L+10L壁</v>
          </cell>
          <cell r="F3094" t="str">
            <v>面</v>
          </cell>
          <cell r="G3094">
            <v>0</v>
          </cell>
          <cell r="H3094">
            <v>276000</v>
          </cell>
          <cell r="I3094">
            <v>0</v>
          </cell>
          <cell r="J3094">
            <v>276000</v>
          </cell>
          <cell r="K3094">
            <v>0</v>
          </cell>
          <cell r="L3094">
            <v>276000</v>
          </cell>
          <cell r="M3094">
            <v>0</v>
          </cell>
          <cell r="N3094">
            <v>276000</v>
          </cell>
          <cell r="O3094">
            <v>0</v>
          </cell>
          <cell r="P3094">
            <v>276000</v>
          </cell>
          <cell r="Q3094">
            <v>0</v>
          </cell>
          <cell r="R3094">
            <v>276000</v>
          </cell>
          <cell r="S3094">
            <v>0</v>
          </cell>
          <cell r="T3094">
            <v>276000</v>
          </cell>
          <cell r="U3094">
            <v>0</v>
          </cell>
          <cell r="V3094">
            <v>276000</v>
          </cell>
          <cell r="W3094">
            <v>0</v>
          </cell>
          <cell r="X3094">
            <v>276000</v>
          </cell>
          <cell r="Y3094">
            <v>0</v>
          </cell>
          <cell r="Z3094">
            <v>276000</v>
          </cell>
          <cell r="AA3094">
            <v>0</v>
          </cell>
          <cell r="AB3094">
            <v>0</v>
          </cell>
          <cell r="AC3094">
            <v>0</v>
          </cell>
          <cell r="AD3094">
            <v>9.2899999999999991</v>
          </cell>
          <cell r="AE3094">
            <v>0</v>
          </cell>
          <cell r="AF3094">
            <v>0</v>
          </cell>
          <cell r="AG3094">
            <v>0</v>
          </cell>
          <cell r="AH3094">
            <v>0</v>
          </cell>
          <cell r="AI3094">
            <v>0</v>
          </cell>
          <cell r="AJ3094">
            <v>0</v>
          </cell>
          <cell r="AK3094">
            <v>0</v>
          </cell>
          <cell r="AL3094">
            <v>0</v>
          </cell>
        </row>
        <row r="3095">
          <cell r="E3095" t="str">
            <v>P1複合型受信機 15L+10L壁</v>
          </cell>
          <cell r="F3095" t="str">
            <v>面</v>
          </cell>
          <cell r="G3095">
            <v>0</v>
          </cell>
          <cell r="H3095">
            <v>294000</v>
          </cell>
          <cell r="I3095">
            <v>0</v>
          </cell>
          <cell r="J3095">
            <v>294000</v>
          </cell>
          <cell r="K3095">
            <v>0</v>
          </cell>
          <cell r="L3095">
            <v>294000</v>
          </cell>
          <cell r="M3095">
            <v>0</v>
          </cell>
          <cell r="N3095">
            <v>294000</v>
          </cell>
          <cell r="O3095">
            <v>0</v>
          </cell>
          <cell r="P3095">
            <v>294000</v>
          </cell>
          <cell r="Q3095">
            <v>0</v>
          </cell>
          <cell r="R3095">
            <v>294000</v>
          </cell>
          <cell r="S3095">
            <v>0</v>
          </cell>
          <cell r="T3095">
            <v>294000</v>
          </cell>
          <cell r="U3095">
            <v>0</v>
          </cell>
          <cell r="V3095">
            <v>294000</v>
          </cell>
          <cell r="W3095">
            <v>0</v>
          </cell>
          <cell r="X3095">
            <v>294000</v>
          </cell>
          <cell r="Y3095">
            <v>0</v>
          </cell>
          <cell r="Z3095">
            <v>294000</v>
          </cell>
          <cell r="AA3095">
            <v>0</v>
          </cell>
          <cell r="AB3095">
            <v>0</v>
          </cell>
          <cell r="AC3095">
            <v>0</v>
          </cell>
          <cell r="AD3095">
            <v>10.6</v>
          </cell>
          <cell r="AE3095">
            <v>0</v>
          </cell>
          <cell r="AF3095">
            <v>0</v>
          </cell>
          <cell r="AG3095">
            <v>0</v>
          </cell>
          <cell r="AH3095">
            <v>0</v>
          </cell>
          <cell r="AI3095">
            <v>0</v>
          </cell>
          <cell r="AJ3095">
            <v>0</v>
          </cell>
          <cell r="AK3095">
            <v>0</v>
          </cell>
          <cell r="AL3095">
            <v>0</v>
          </cell>
        </row>
        <row r="3096">
          <cell r="E3096" t="str">
            <v>P1複合型受信機 15L+15L壁</v>
          </cell>
          <cell r="F3096" t="str">
            <v>面</v>
          </cell>
          <cell r="G3096">
            <v>0</v>
          </cell>
          <cell r="H3096">
            <v>322000</v>
          </cell>
          <cell r="I3096">
            <v>0</v>
          </cell>
          <cell r="J3096">
            <v>322000</v>
          </cell>
          <cell r="K3096">
            <v>0</v>
          </cell>
          <cell r="L3096">
            <v>322000</v>
          </cell>
          <cell r="M3096">
            <v>0</v>
          </cell>
          <cell r="N3096">
            <v>322000</v>
          </cell>
          <cell r="O3096">
            <v>0</v>
          </cell>
          <cell r="P3096">
            <v>322000</v>
          </cell>
          <cell r="Q3096">
            <v>0</v>
          </cell>
          <cell r="R3096">
            <v>322000</v>
          </cell>
          <cell r="S3096">
            <v>0</v>
          </cell>
          <cell r="T3096">
            <v>322000</v>
          </cell>
          <cell r="U3096">
            <v>0</v>
          </cell>
          <cell r="V3096">
            <v>322000</v>
          </cell>
          <cell r="W3096">
            <v>0</v>
          </cell>
          <cell r="X3096">
            <v>322000</v>
          </cell>
          <cell r="Y3096">
            <v>0</v>
          </cell>
          <cell r="Z3096">
            <v>322000</v>
          </cell>
          <cell r="AA3096">
            <v>0</v>
          </cell>
          <cell r="AB3096">
            <v>0</v>
          </cell>
          <cell r="AC3096">
            <v>0</v>
          </cell>
          <cell r="AD3096">
            <v>11.9</v>
          </cell>
          <cell r="AE3096">
            <v>0</v>
          </cell>
          <cell r="AF3096">
            <v>0</v>
          </cell>
          <cell r="AG3096">
            <v>0</v>
          </cell>
          <cell r="AH3096">
            <v>0</v>
          </cell>
          <cell r="AI3096">
            <v>0</v>
          </cell>
          <cell r="AJ3096">
            <v>0</v>
          </cell>
          <cell r="AK3096">
            <v>0</v>
          </cell>
          <cell r="AL3096">
            <v>0</v>
          </cell>
        </row>
        <row r="3097">
          <cell r="E3097" t="str">
            <v>P1複合型受信機 20L+15L壁</v>
          </cell>
          <cell r="F3097" t="str">
            <v>面</v>
          </cell>
          <cell r="G3097">
            <v>0</v>
          </cell>
          <cell r="H3097">
            <v>341000</v>
          </cell>
          <cell r="I3097">
            <v>0</v>
          </cell>
          <cell r="J3097">
            <v>341000</v>
          </cell>
          <cell r="K3097">
            <v>0</v>
          </cell>
          <cell r="L3097">
            <v>341000</v>
          </cell>
          <cell r="M3097">
            <v>0</v>
          </cell>
          <cell r="N3097">
            <v>341000</v>
          </cell>
          <cell r="O3097">
            <v>0</v>
          </cell>
          <cell r="P3097">
            <v>341000</v>
          </cell>
          <cell r="Q3097">
            <v>0</v>
          </cell>
          <cell r="R3097">
            <v>341000</v>
          </cell>
          <cell r="S3097">
            <v>0</v>
          </cell>
          <cell r="T3097">
            <v>341000</v>
          </cell>
          <cell r="U3097">
            <v>0</v>
          </cell>
          <cell r="V3097">
            <v>341000</v>
          </cell>
          <cell r="W3097">
            <v>0</v>
          </cell>
          <cell r="X3097">
            <v>341000</v>
          </cell>
          <cell r="Y3097">
            <v>0</v>
          </cell>
          <cell r="Z3097">
            <v>341000</v>
          </cell>
          <cell r="AA3097">
            <v>0</v>
          </cell>
          <cell r="AB3097">
            <v>0</v>
          </cell>
          <cell r="AC3097">
            <v>0</v>
          </cell>
          <cell r="AD3097">
            <v>13.3</v>
          </cell>
          <cell r="AE3097">
            <v>0</v>
          </cell>
          <cell r="AF3097">
            <v>0</v>
          </cell>
          <cell r="AG3097">
            <v>0</v>
          </cell>
          <cell r="AH3097">
            <v>0</v>
          </cell>
          <cell r="AI3097">
            <v>0</v>
          </cell>
          <cell r="AJ3097">
            <v>0</v>
          </cell>
          <cell r="AK3097">
            <v>0</v>
          </cell>
          <cell r="AL3097">
            <v>0</v>
          </cell>
        </row>
        <row r="3098">
          <cell r="E3098" t="str">
            <v>P1複合型受信機 20L+20L壁</v>
          </cell>
          <cell r="F3098" t="str">
            <v>面</v>
          </cell>
          <cell r="G3098">
            <v>0</v>
          </cell>
          <cell r="H3098">
            <v>372000</v>
          </cell>
          <cell r="I3098">
            <v>0</v>
          </cell>
          <cell r="J3098">
            <v>372000</v>
          </cell>
          <cell r="K3098">
            <v>0</v>
          </cell>
          <cell r="L3098">
            <v>372000</v>
          </cell>
          <cell r="M3098">
            <v>0</v>
          </cell>
          <cell r="N3098">
            <v>372000</v>
          </cell>
          <cell r="O3098">
            <v>0</v>
          </cell>
          <cell r="P3098">
            <v>372000</v>
          </cell>
          <cell r="Q3098">
            <v>0</v>
          </cell>
          <cell r="R3098">
            <v>372000</v>
          </cell>
          <cell r="S3098">
            <v>0</v>
          </cell>
          <cell r="T3098">
            <v>372000</v>
          </cell>
          <cell r="U3098">
            <v>0</v>
          </cell>
          <cell r="V3098">
            <v>372000</v>
          </cell>
          <cell r="W3098">
            <v>0</v>
          </cell>
          <cell r="X3098">
            <v>372000</v>
          </cell>
          <cell r="Y3098">
            <v>0</v>
          </cell>
          <cell r="Z3098">
            <v>372000</v>
          </cell>
          <cell r="AA3098">
            <v>0</v>
          </cell>
          <cell r="AB3098">
            <v>0</v>
          </cell>
          <cell r="AC3098">
            <v>0</v>
          </cell>
          <cell r="AD3098">
            <v>14.6</v>
          </cell>
          <cell r="AE3098">
            <v>0</v>
          </cell>
          <cell r="AF3098">
            <v>0</v>
          </cell>
          <cell r="AG3098">
            <v>0</v>
          </cell>
          <cell r="AH3098">
            <v>0</v>
          </cell>
          <cell r="AI3098">
            <v>0</v>
          </cell>
          <cell r="AJ3098">
            <v>0</v>
          </cell>
          <cell r="AK3098">
            <v>0</v>
          </cell>
          <cell r="AL3098">
            <v>0</v>
          </cell>
        </row>
        <row r="3099">
          <cell r="E3099" t="str">
            <v>P1複合型受信機 20L+20L自</v>
          </cell>
          <cell r="F3099" t="str">
            <v>面</v>
          </cell>
          <cell r="G3099">
            <v>0</v>
          </cell>
          <cell r="H3099">
            <v>609000</v>
          </cell>
          <cell r="I3099">
            <v>0</v>
          </cell>
          <cell r="J3099">
            <v>609000</v>
          </cell>
          <cell r="K3099">
            <v>0</v>
          </cell>
          <cell r="L3099">
            <v>609000</v>
          </cell>
          <cell r="M3099">
            <v>0</v>
          </cell>
          <cell r="N3099">
            <v>609000</v>
          </cell>
          <cell r="O3099">
            <v>0</v>
          </cell>
          <cell r="P3099">
            <v>609000</v>
          </cell>
          <cell r="Q3099">
            <v>0</v>
          </cell>
          <cell r="R3099">
            <v>609000</v>
          </cell>
          <cell r="S3099">
            <v>0</v>
          </cell>
          <cell r="T3099">
            <v>609000</v>
          </cell>
          <cell r="U3099">
            <v>0</v>
          </cell>
          <cell r="V3099">
            <v>609000</v>
          </cell>
          <cell r="W3099">
            <v>0</v>
          </cell>
          <cell r="X3099">
            <v>609000</v>
          </cell>
          <cell r="Y3099">
            <v>0</v>
          </cell>
          <cell r="Z3099">
            <v>609000</v>
          </cell>
          <cell r="AA3099">
            <v>0</v>
          </cell>
          <cell r="AB3099">
            <v>0</v>
          </cell>
          <cell r="AC3099">
            <v>0</v>
          </cell>
          <cell r="AD3099">
            <v>14.6</v>
          </cell>
          <cell r="AE3099">
            <v>0</v>
          </cell>
          <cell r="AF3099">
            <v>0</v>
          </cell>
          <cell r="AG3099">
            <v>0</v>
          </cell>
          <cell r="AH3099">
            <v>0</v>
          </cell>
          <cell r="AI3099">
            <v>0</v>
          </cell>
          <cell r="AJ3099">
            <v>0</v>
          </cell>
          <cell r="AK3099">
            <v>0</v>
          </cell>
          <cell r="AL3099">
            <v>0</v>
          </cell>
        </row>
        <row r="3100">
          <cell r="E3100" t="str">
            <v>P1複合型受信機 30L+20L自</v>
          </cell>
          <cell r="F3100" t="str">
            <v>面</v>
          </cell>
          <cell r="G3100">
            <v>0</v>
          </cell>
          <cell r="H3100">
            <v>665000</v>
          </cell>
          <cell r="I3100">
            <v>0</v>
          </cell>
          <cell r="J3100">
            <v>665000</v>
          </cell>
          <cell r="K3100">
            <v>0</v>
          </cell>
          <cell r="L3100">
            <v>665000</v>
          </cell>
          <cell r="M3100">
            <v>0</v>
          </cell>
          <cell r="N3100">
            <v>665000</v>
          </cell>
          <cell r="O3100">
            <v>0</v>
          </cell>
          <cell r="P3100">
            <v>665000</v>
          </cell>
          <cell r="Q3100">
            <v>0</v>
          </cell>
          <cell r="R3100">
            <v>665000</v>
          </cell>
          <cell r="S3100">
            <v>0</v>
          </cell>
          <cell r="T3100">
            <v>665000</v>
          </cell>
          <cell r="U3100">
            <v>0</v>
          </cell>
          <cell r="V3100">
            <v>665000</v>
          </cell>
          <cell r="W3100">
            <v>0</v>
          </cell>
          <cell r="X3100">
            <v>665000</v>
          </cell>
          <cell r="Y3100">
            <v>0</v>
          </cell>
          <cell r="Z3100">
            <v>665000</v>
          </cell>
          <cell r="AA3100">
            <v>0</v>
          </cell>
          <cell r="AB3100">
            <v>0</v>
          </cell>
          <cell r="AC3100">
            <v>0</v>
          </cell>
          <cell r="AD3100">
            <v>17.3</v>
          </cell>
          <cell r="AE3100">
            <v>0</v>
          </cell>
          <cell r="AF3100">
            <v>0</v>
          </cell>
          <cell r="AG3100">
            <v>0</v>
          </cell>
          <cell r="AH3100">
            <v>0</v>
          </cell>
          <cell r="AI3100">
            <v>0</v>
          </cell>
          <cell r="AJ3100">
            <v>0</v>
          </cell>
          <cell r="AK3100">
            <v>0</v>
          </cell>
          <cell r="AL3100">
            <v>0</v>
          </cell>
        </row>
        <row r="3101">
          <cell r="E3101" t="str">
            <v>P1複合型受信機 30L+30L自</v>
          </cell>
          <cell r="F3101" t="str">
            <v>面</v>
          </cell>
          <cell r="G3101">
            <v>0</v>
          </cell>
          <cell r="H3101">
            <v>721000</v>
          </cell>
          <cell r="I3101">
            <v>0</v>
          </cell>
          <cell r="J3101">
            <v>721000</v>
          </cell>
          <cell r="K3101">
            <v>0</v>
          </cell>
          <cell r="L3101">
            <v>721000</v>
          </cell>
          <cell r="M3101">
            <v>0</v>
          </cell>
          <cell r="N3101">
            <v>721000</v>
          </cell>
          <cell r="O3101">
            <v>0</v>
          </cell>
          <cell r="P3101">
            <v>721000</v>
          </cell>
          <cell r="Q3101">
            <v>0</v>
          </cell>
          <cell r="R3101">
            <v>721000</v>
          </cell>
          <cell r="S3101">
            <v>0</v>
          </cell>
          <cell r="T3101">
            <v>721000</v>
          </cell>
          <cell r="U3101">
            <v>0</v>
          </cell>
          <cell r="V3101">
            <v>721000</v>
          </cell>
          <cell r="W3101">
            <v>0</v>
          </cell>
          <cell r="X3101">
            <v>721000</v>
          </cell>
          <cell r="Y3101">
            <v>0</v>
          </cell>
          <cell r="Z3101">
            <v>721000</v>
          </cell>
          <cell r="AA3101">
            <v>0</v>
          </cell>
          <cell r="AB3101">
            <v>0</v>
          </cell>
          <cell r="AC3101">
            <v>0</v>
          </cell>
          <cell r="AD3101">
            <v>20.000000000000004</v>
          </cell>
          <cell r="AE3101">
            <v>0</v>
          </cell>
          <cell r="AF3101">
            <v>0</v>
          </cell>
          <cell r="AG3101">
            <v>0</v>
          </cell>
          <cell r="AH3101">
            <v>0</v>
          </cell>
          <cell r="AI3101">
            <v>0</v>
          </cell>
          <cell r="AJ3101">
            <v>0</v>
          </cell>
          <cell r="AK3101">
            <v>0</v>
          </cell>
          <cell r="AL3101">
            <v>0</v>
          </cell>
        </row>
        <row r="3102">
          <cell r="E3102" t="str">
            <v>P1複合型受信機 40L+30L自</v>
          </cell>
          <cell r="F3102" t="str">
            <v>面</v>
          </cell>
          <cell r="G3102">
            <v>0</v>
          </cell>
          <cell r="H3102">
            <v>777000</v>
          </cell>
          <cell r="I3102">
            <v>0</v>
          </cell>
          <cell r="J3102">
            <v>777000</v>
          </cell>
          <cell r="K3102">
            <v>0</v>
          </cell>
          <cell r="L3102">
            <v>777000</v>
          </cell>
          <cell r="M3102">
            <v>0</v>
          </cell>
          <cell r="N3102">
            <v>777000</v>
          </cell>
          <cell r="O3102">
            <v>0</v>
          </cell>
          <cell r="P3102">
            <v>777000</v>
          </cell>
          <cell r="Q3102">
            <v>0</v>
          </cell>
          <cell r="R3102">
            <v>777000</v>
          </cell>
          <cell r="S3102">
            <v>0</v>
          </cell>
          <cell r="T3102">
            <v>777000</v>
          </cell>
          <cell r="U3102">
            <v>0</v>
          </cell>
          <cell r="V3102">
            <v>777000</v>
          </cell>
          <cell r="W3102">
            <v>0</v>
          </cell>
          <cell r="X3102">
            <v>777000</v>
          </cell>
          <cell r="Y3102">
            <v>0</v>
          </cell>
          <cell r="Z3102">
            <v>777000</v>
          </cell>
          <cell r="AA3102">
            <v>0</v>
          </cell>
          <cell r="AB3102">
            <v>0</v>
          </cell>
          <cell r="AC3102">
            <v>0</v>
          </cell>
          <cell r="AD3102">
            <v>22.700000000000003</v>
          </cell>
          <cell r="AE3102">
            <v>0</v>
          </cell>
          <cell r="AF3102">
            <v>0</v>
          </cell>
          <cell r="AG3102">
            <v>0</v>
          </cell>
          <cell r="AH3102">
            <v>0</v>
          </cell>
          <cell r="AI3102">
            <v>0</v>
          </cell>
          <cell r="AJ3102">
            <v>0</v>
          </cell>
          <cell r="AK3102">
            <v>0</v>
          </cell>
          <cell r="AL3102">
            <v>0</v>
          </cell>
        </row>
        <row r="3103">
          <cell r="E3103" t="str">
            <v>P1複合型受信機 40L+40L自</v>
          </cell>
          <cell r="F3103" t="str">
            <v>面</v>
          </cell>
          <cell r="G3103">
            <v>0</v>
          </cell>
          <cell r="H3103">
            <v>831000</v>
          </cell>
          <cell r="I3103">
            <v>0</v>
          </cell>
          <cell r="J3103">
            <v>831000</v>
          </cell>
          <cell r="K3103">
            <v>0</v>
          </cell>
          <cell r="L3103">
            <v>831000</v>
          </cell>
          <cell r="M3103">
            <v>0</v>
          </cell>
          <cell r="N3103">
            <v>831000</v>
          </cell>
          <cell r="O3103">
            <v>0</v>
          </cell>
          <cell r="P3103">
            <v>831000</v>
          </cell>
          <cell r="Q3103">
            <v>0</v>
          </cell>
          <cell r="R3103">
            <v>831000</v>
          </cell>
          <cell r="S3103">
            <v>0</v>
          </cell>
          <cell r="T3103">
            <v>831000</v>
          </cell>
          <cell r="U3103">
            <v>0</v>
          </cell>
          <cell r="V3103">
            <v>831000</v>
          </cell>
          <cell r="W3103">
            <v>0</v>
          </cell>
          <cell r="X3103">
            <v>831000</v>
          </cell>
          <cell r="Y3103">
            <v>0</v>
          </cell>
          <cell r="Z3103">
            <v>831000</v>
          </cell>
          <cell r="AA3103">
            <v>0</v>
          </cell>
          <cell r="AB3103">
            <v>0</v>
          </cell>
          <cell r="AC3103">
            <v>0</v>
          </cell>
          <cell r="AD3103">
            <v>25.400000000000002</v>
          </cell>
          <cell r="AE3103">
            <v>0</v>
          </cell>
          <cell r="AF3103">
            <v>0</v>
          </cell>
          <cell r="AG3103">
            <v>0</v>
          </cell>
          <cell r="AH3103">
            <v>0</v>
          </cell>
          <cell r="AI3103">
            <v>0</v>
          </cell>
          <cell r="AJ3103">
            <v>0</v>
          </cell>
          <cell r="AK3103">
            <v>0</v>
          </cell>
          <cell r="AL3103">
            <v>0</v>
          </cell>
        </row>
        <row r="3104">
          <cell r="E3104" t="str">
            <v>P1複合型受信機 50L+40L自</v>
          </cell>
          <cell r="F3104" t="str">
            <v>面</v>
          </cell>
          <cell r="G3104">
            <v>0</v>
          </cell>
          <cell r="H3104">
            <v>899000</v>
          </cell>
          <cell r="I3104">
            <v>0</v>
          </cell>
          <cell r="J3104">
            <v>899000</v>
          </cell>
          <cell r="K3104">
            <v>0</v>
          </cell>
          <cell r="L3104">
            <v>899000</v>
          </cell>
          <cell r="M3104">
            <v>0</v>
          </cell>
          <cell r="N3104">
            <v>899000</v>
          </cell>
          <cell r="O3104">
            <v>0</v>
          </cell>
          <cell r="P3104">
            <v>899000</v>
          </cell>
          <cell r="Q3104">
            <v>0</v>
          </cell>
          <cell r="R3104">
            <v>899000</v>
          </cell>
          <cell r="S3104">
            <v>0</v>
          </cell>
          <cell r="T3104">
            <v>899000</v>
          </cell>
          <cell r="U3104">
            <v>0</v>
          </cell>
          <cell r="V3104">
            <v>899000</v>
          </cell>
          <cell r="W3104">
            <v>0</v>
          </cell>
          <cell r="X3104">
            <v>899000</v>
          </cell>
          <cell r="Y3104">
            <v>0</v>
          </cell>
          <cell r="Z3104">
            <v>899000</v>
          </cell>
          <cell r="AA3104">
            <v>0</v>
          </cell>
          <cell r="AB3104">
            <v>0</v>
          </cell>
          <cell r="AC3104">
            <v>0</v>
          </cell>
          <cell r="AD3104">
            <v>28.1</v>
          </cell>
          <cell r="AE3104">
            <v>0</v>
          </cell>
          <cell r="AF3104">
            <v>0</v>
          </cell>
          <cell r="AG3104">
            <v>0</v>
          </cell>
          <cell r="AH3104">
            <v>0</v>
          </cell>
          <cell r="AI3104">
            <v>0</v>
          </cell>
          <cell r="AJ3104">
            <v>0</v>
          </cell>
          <cell r="AK3104">
            <v>0</v>
          </cell>
          <cell r="AL3104">
            <v>0</v>
          </cell>
        </row>
        <row r="3105">
          <cell r="E3105" t="str">
            <v>P1複合型受信機 50L+50L自</v>
          </cell>
          <cell r="F3105" t="str">
            <v>面</v>
          </cell>
          <cell r="G3105">
            <v>0</v>
          </cell>
          <cell r="H3105">
            <v>955000</v>
          </cell>
          <cell r="I3105">
            <v>0</v>
          </cell>
          <cell r="J3105">
            <v>955000</v>
          </cell>
          <cell r="K3105">
            <v>0</v>
          </cell>
          <cell r="L3105">
            <v>955000</v>
          </cell>
          <cell r="M3105">
            <v>0</v>
          </cell>
          <cell r="N3105">
            <v>955000</v>
          </cell>
          <cell r="O3105">
            <v>0</v>
          </cell>
          <cell r="P3105">
            <v>955000</v>
          </cell>
          <cell r="Q3105">
            <v>0</v>
          </cell>
          <cell r="R3105">
            <v>955000</v>
          </cell>
          <cell r="S3105">
            <v>0</v>
          </cell>
          <cell r="T3105">
            <v>955000</v>
          </cell>
          <cell r="U3105">
            <v>0</v>
          </cell>
          <cell r="V3105">
            <v>955000</v>
          </cell>
          <cell r="W3105">
            <v>0</v>
          </cell>
          <cell r="X3105">
            <v>955000</v>
          </cell>
          <cell r="Y3105">
            <v>0</v>
          </cell>
          <cell r="Z3105">
            <v>955000</v>
          </cell>
          <cell r="AA3105">
            <v>0</v>
          </cell>
          <cell r="AB3105">
            <v>0</v>
          </cell>
          <cell r="AC3105">
            <v>0</v>
          </cell>
          <cell r="AD3105">
            <v>30.8</v>
          </cell>
          <cell r="AE3105">
            <v>0</v>
          </cell>
          <cell r="AF3105">
            <v>0</v>
          </cell>
          <cell r="AG3105">
            <v>0</v>
          </cell>
          <cell r="AH3105">
            <v>0</v>
          </cell>
          <cell r="AI3105">
            <v>0</v>
          </cell>
          <cell r="AJ3105">
            <v>0</v>
          </cell>
          <cell r="AK3105">
            <v>0</v>
          </cell>
          <cell r="AL3105">
            <v>0</v>
          </cell>
        </row>
        <row r="3106">
          <cell r="E3106" t="str">
            <v>P1副受信機 5L</v>
          </cell>
          <cell r="F3106" t="str">
            <v>面</v>
          </cell>
          <cell r="G3106">
            <v>0</v>
          </cell>
          <cell r="H3106">
            <v>19200</v>
          </cell>
          <cell r="I3106">
            <v>0</v>
          </cell>
          <cell r="J3106">
            <v>19200</v>
          </cell>
          <cell r="K3106">
            <v>0</v>
          </cell>
          <cell r="L3106">
            <v>19200</v>
          </cell>
          <cell r="M3106">
            <v>0</v>
          </cell>
          <cell r="N3106">
            <v>19200</v>
          </cell>
          <cell r="O3106">
            <v>0</v>
          </cell>
          <cell r="P3106">
            <v>19200</v>
          </cell>
          <cell r="Q3106">
            <v>0</v>
          </cell>
          <cell r="R3106">
            <v>19200</v>
          </cell>
          <cell r="S3106">
            <v>0</v>
          </cell>
          <cell r="T3106">
            <v>19200</v>
          </cell>
          <cell r="U3106">
            <v>0</v>
          </cell>
          <cell r="V3106">
            <v>19200</v>
          </cell>
          <cell r="W3106">
            <v>0</v>
          </cell>
          <cell r="X3106">
            <v>19200</v>
          </cell>
          <cell r="Y3106">
            <v>0</v>
          </cell>
          <cell r="Z3106">
            <v>19200</v>
          </cell>
          <cell r="AA3106">
            <v>0</v>
          </cell>
          <cell r="AB3106">
            <v>0</v>
          </cell>
          <cell r="AC3106">
            <v>0</v>
          </cell>
          <cell r="AD3106">
            <v>0.42</v>
          </cell>
          <cell r="AE3106">
            <v>0</v>
          </cell>
          <cell r="AF3106">
            <v>0</v>
          </cell>
          <cell r="AG3106">
            <v>0</v>
          </cell>
          <cell r="AH3106">
            <v>0</v>
          </cell>
          <cell r="AI3106">
            <v>0</v>
          </cell>
          <cell r="AJ3106">
            <v>0</v>
          </cell>
          <cell r="AK3106">
            <v>0</v>
          </cell>
          <cell r="AL3106">
            <v>0</v>
          </cell>
        </row>
        <row r="3107">
          <cell r="E3107" t="str">
            <v>P1副受信機 10L</v>
          </cell>
          <cell r="F3107" t="str">
            <v>面</v>
          </cell>
          <cell r="G3107">
            <v>0</v>
          </cell>
          <cell r="H3107">
            <v>22400</v>
          </cell>
          <cell r="I3107">
            <v>0</v>
          </cell>
          <cell r="J3107">
            <v>22400</v>
          </cell>
          <cell r="K3107">
            <v>0</v>
          </cell>
          <cell r="L3107">
            <v>22400</v>
          </cell>
          <cell r="M3107">
            <v>0</v>
          </cell>
          <cell r="N3107">
            <v>22400</v>
          </cell>
          <cell r="O3107">
            <v>0</v>
          </cell>
          <cell r="P3107">
            <v>22400</v>
          </cell>
          <cell r="Q3107">
            <v>0</v>
          </cell>
          <cell r="R3107">
            <v>22400</v>
          </cell>
          <cell r="S3107">
            <v>0</v>
          </cell>
          <cell r="T3107">
            <v>22400</v>
          </cell>
          <cell r="U3107">
            <v>0</v>
          </cell>
          <cell r="V3107">
            <v>22400</v>
          </cell>
          <cell r="W3107">
            <v>0</v>
          </cell>
          <cell r="X3107">
            <v>22400</v>
          </cell>
          <cell r="Y3107">
            <v>0</v>
          </cell>
          <cell r="Z3107">
            <v>22400</v>
          </cell>
          <cell r="AA3107">
            <v>0</v>
          </cell>
          <cell r="AB3107">
            <v>0</v>
          </cell>
          <cell r="AC3107">
            <v>0</v>
          </cell>
          <cell r="AD3107">
            <v>0.86</v>
          </cell>
          <cell r="AE3107">
            <v>0</v>
          </cell>
          <cell r="AF3107">
            <v>0</v>
          </cell>
          <cell r="AG3107">
            <v>0</v>
          </cell>
          <cell r="AH3107">
            <v>0</v>
          </cell>
          <cell r="AI3107">
            <v>0</v>
          </cell>
          <cell r="AJ3107">
            <v>0</v>
          </cell>
          <cell r="AK3107">
            <v>0</v>
          </cell>
          <cell r="AL3107">
            <v>0</v>
          </cell>
        </row>
        <row r="3108">
          <cell r="E3108" t="str">
            <v>P1副受信機 15L</v>
          </cell>
          <cell r="F3108" t="str">
            <v>面</v>
          </cell>
          <cell r="G3108">
            <v>0</v>
          </cell>
          <cell r="H3108">
            <v>25500</v>
          </cell>
          <cell r="I3108">
            <v>0</v>
          </cell>
          <cell r="J3108">
            <v>25500</v>
          </cell>
          <cell r="K3108">
            <v>0</v>
          </cell>
          <cell r="L3108">
            <v>25500</v>
          </cell>
          <cell r="M3108">
            <v>0</v>
          </cell>
          <cell r="N3108">
            <v>25500</v>
          </cell>
          <cell r="O3108">
            <v>0</v>
          </cell>
          <cell r="P3108">
            <v>25500</v>
          </cell>
          <cell r="Q3108">
            <v>0</v>
          </cell>
          <cell r="R3108">
            <v>25500</v>
          </cell>
          <cell r="S3108">
            <v>0</v>
          </cell>
          <cell r="T3108">
            <v>25500</v>
          </cell>
          <cell r="U3108">
            <v>0</v>
          </cell>
          <cell r="V3108">
            <v>25500</v>
          </cell>
          <cell r="W3108">
            <v>0</v>
          </cell>
          <cell r="X3108">
            <v>25500</v>
          </cell>
          <cell r="Y3108">
            <v>0</v>
          </cell>
          <cell r="Z3108">
            <v>25500</v>
          </cell>
          <cell r="AA3108">
            <v>0</v>
          </cell>
          <cell r="AB3108">
            <v>0</v>
          </cell>
          <cell r="AC3108">
            <v>0</v>
          </cell>
          <cell r="AD3108">
            <v>1.3</v>
          </cell>
          <cell r="AE3108">
            <v>0</v>
          </cell>
          <cell r="AF3108">
            <v>0</v>
          </cell>
          <cell r="AG3108">
            <v>0</v>
          </cell>
          <cell r="AH3108">
            <v>0</v>
          </cell>
          <cell r="AI3108">
            <v>0</v>
          </cell>
          <cell r="AJ3108">
            <v>0</v>
          </cell>
          <cell r="AK3108">
            <v>0</v>
          </cell>
          <cell r="AL3108">
            <v>0</v>
          </cell>
        </row>
        <row r="3109">
          <cell r="E3109" t="str">
            <v>P1副受信機 20L</v>
          </cell>
          <cell r="F3109" t="str">
            <v>面</v>
          </cell>
          <cell r="G3109">
            <v>0</v>
          </cell>
          <cell r="H3109">
            <v>28700</v>
          </cell>
          <cell r="I3109">
            <v>0</v>
          </cell>
          <cell r="J3109">
            <v>28700</v>
          </cell>
          <cell r="K3109">
            <v>0</v>
          </cell>
          <cell r="L3109">
            <v>28700</v>
          </cell>
          <cell r="M3109">
            <v>0</v>
          </cell>
          <cell r="N3109">
            <v>28700</v>
          </cell>
          <cell r="O3109">
            <v>0</v>
          </cell>
          <cell r="P3109">
            <v>28700</v>
          </cell>
          <cell r="Q3109">
            <v>0</v>
          </cell>
          <cell r="R3109">
            <v>28700</v>
          </cell>
          <cell r="S3109">
            <v>0</v>
          </cell>
          <cell r="T3109">
            <v>28700</v>
          </cell>
          <cell r="U3109">
            <v>0</v>
          </cell>
          <cell r="V3109">
            <v>28700</v>
          </cell>
          <cell r="W3109">
            <v>0</v>
          </cell>
          <cell r="X3109">
            <v>28700</v>
          </cell>
          <cell r="Y3109">
            <v>0</v>
          </cell>
          <cell r="Z3109">
            <v>28700</v>
          </cell>
          <cell r="AA3109">
            <v>0</v>
          </cell>
          <cell r="AB3109">
            <v>0</v>
          </cell>
          <cell r="AC3109">
            <v>0</v>
          </cell>
          <cell r="AD3109">
            <v>1.75</v>
          </cell>
          <cell r="AE3109">
            <v>0</v>
          </cell>
          <cell r="AF3109">
            <v>0</v>
          </cell>
          <cell r="AG3109">
            <v>0</v>
          </cell>
          <cell r="AH3109">
            <v>0</v>
          </cell>
          <cell r="AI3109">
            <v>0</v>
          </cell>
          <cell r="AJ3109">
            <v>0</v>
          </cell>
          <cell r="AK3109">
            <v>0</v>
          </cell>
          <cell r="AL3109">
            <v>0</v>
          </cell>
        </row>
        <row r="3110">
          <cell r="E3110" t="str">
            <v>P1副受信機 25L</v>
          </cell>
          <cell r="F3110" t="str">
            <v>面</v>
          </cell>
          <cell r="G3110">
            <v>0</v>
          </cell>
          <cell r="H3110">
            <v>31800</v>
          </cell>
          <cell r="I3110">
            <v>0</v>
          </cell>
          <cell r="J3110">
            <v>31800</v>
          </cell>
          <cell r="K3110">
            <v>0</v>
          </cell>
          <cell r="L3110">
            <v>31800</v>
          </cell>
          <cell r="M3110">
            <v>0</v>
          </cell>
          <cell r="N3110">
            <v>31800</v>
          </cell>
          <cell r="O3110">
            <v>0</v>
          </cell>
          <cell r="P3110">
            <v>31800</v>
          </cell>
          <cell r="Q3110">
            <v>0</v>
          </cell>
          <cell r="R3110">
            <v>31800</v>
          </cell>
          <cell r="S3110">
            <v>0</v>
          </cell>
          <cell r="T3110">
            <v>31800</v>
          </cell>
          <cell r="U3110">
            <v>0</v>
          </cell>
          <cell r="V3110">
            <v>31800</v>
          </cell>
          <cell r="W3110">
            <v>0</v>
          </cell>
          <cell r="X3110">
            <v>31800</v>
          </cell>
          <cell r="Y3110">
            <v>0</v>
          </cell>
          <cell r="Z3110">
            <v>31800</v>
          </cell>
          <cell r="AA3110">
            <v>0</v>
          </cell>
          <cell r="AB3110">
            <v>0</v>
          </cell>
          <cell r="AC3110">
            <v>0</v>
          </cell>
          <cell r="AD3110">
            <v>2.15</v>
          </cell>
          <cell r="AE3110">
            <v>0</v>
          </cell>
          <cell r="AF3110">
            <v>0</v>
          </cell>
          <cell r="AG3110">
            <v>0</v>
          </cell>
          <cell r="AH3110">
            <v>0</v>
          </cell>
          <cell r="AI3110">
            <v>0</v>
          </cell>
          <cell r="AJ3110">
            <v>0</v>
          </cell>
          <cell r="AK3110">
            <v>0</v>
          </cell>
          <cell r="AL3110">
            <v>0</v>
          </cell>
        </row>
        <row r="3111">
          <cell r="E3111" t="str">
            <v>P1副受信機 30L</v>
          </cell>
          <cell r="F3111" t="str">
            <v>面</v>
          </cell>
          <cell r="G3111">
            <v>0</v>
          </cell>
          <cell r="H3111">
            <v>35000</v>
          </cell>
          <cell r="I3111">
            <v>0</v>
          </cell>
          <cell r="J3111">
            <v>35000</v>
          </cell>
          <cell r="K3111">
            <v>0</v>
          </cell>
          <cell r="L3111">
            <v>35000</v>
          </cell>
          <cell r="M3111">
            <v>0</v>
          </cell>
          <cell r="N3111">
            <v>35000</v>
          </cell>
          <cell r="O3111">
            <v>0</v>
          </cell>
          <cell r="P3111">
            <v>35000</v>
          </cell>
          <cell r="Q3111">
            <v>0</v>
          </cell>
          <cell r="R3111">
            <v>35000</v>
          </cell>
          <cell r="S3111">
            <v>0</v>
          </cell>
          <cell r="T3111">
            <v>35000</v>
          </cell>
          <cell r="U3111">
            <v>0</v>
          </cell>
          <cell r="V3111">
            <v>35000</v>
          </cell>
          <cell r="W3111">
            <v>0</v>
          </cell>
          <cell r="X3111">
            <v>35000</v>
          </cell>
          <cell r="Y3111">
            <v>0</v>
          </cell>
          <cell r="Z3111">
            <v>35000</v>
          </cell>
          <cell r="AA3111">
            <v>0</v>
          </cell>
          <cell r="AB3111">
            <v>0</v>
          </cell>
          <cell r="AC3111">
            <v>0</v>
          </cell>
          <cell r="AD3111">
            <v>2.5499999999999998</v>
          </cell>
          <cell r="AE3111">
            <v>0</v>
          </cell>
          <cell r="AF3111">
            <v>0</v>
          </cell>
          <cell r="AG3111">
            <v>0</v>
          </cell>
          <cell r="AH3111">
            <v>0</v>
          </cell>
          <cell r="AI3111">
            <v>0</v>
          </cell>
          <cell r="AJ3111">
            <v>0</v>
          </cell>
          <cell r="AK3111">
            <v>0</v>
          </cell>
          <cell r="AL3111">
            <v>0</v>
          </cell>
        </row>
        <row r="3112">
          <cell r="E3112" t="str">
            <v>P1副受信機 40L</v>
          </cell>
          <cell r="F3112" t="str">
            <v>面</v>
          </cell>
          <cell r="G3112">
            <v>0</v>
          </cell>
          <cell r="H3112">
            <v>41300</v>
          </cell>
          <cell r="I3112">
            <v>0</v>
          </cell>
          <cell r="J3112">
            <v>41300</v>
          </cell>
          <cell r="K3112">
            <v>0</v>
          </cell>
          <cell r="L3112">
            <v>41300</v>
          </cell>
          <cell r="M3112">
            <v>0</v>
          </cell>
          <cell r="N3112">
            <v>41300</v>
          </cell>
          <cell r="O3112">
            <v>0</v>
          </cell>
          <cell r="P3112">
            <v>41300</v>
          </cell>
          <cell r="Q3112">
            <v>0</v>
          </cell>
          <cell r="R3112">
            <v>41300</v>
          </cell>
          <cell r="S3112">
            <v>0</v>
          </cell>
          <cell r="T3112">
            <v>41300</v>
          </cell>
          <cell r="U3112">
            <v>0</v>
          </cell>
          <cell r="V3112">
            <v>41300</v>
          </cell>
          <cell r="W3112">
            <v>0</v>
          </cell>
          <cell r="X3112">
            <v>41300</v>
          </cell>
          <cell r="Y3112">
            <v>0</v>
          </cell>
          <cell r="Z3112">
            <v>41300</v>
          </cell>
          <cell r="AA3112">
            <v>0</v>
          </cell>
          <cell r="AB3112">
            <v>0</v>
          </cell>
          <cell r="AC3112">
            <v>0</v>
          </cell>
          <cell r="AD3112">
            <v>3.4</v>
          </cell>
          <cell r="AE3112">
            <v>0</v>
          </cell>
          <cell r="AF3112">
            <v>0</v>
          </cell>
          <cell r="AG3112">
            <v>0</v>
          </cell>
          <cell r="AH3112">
            <v>0</v>
          </cell>
          <cell r="AI3112">
            <v>0</v>
          </cell>
          <cell r="AJ3112">
            <v>0</v>
          </cell>
          <cell r="AK3112">
            <v>0</v>
          </cell>
          <cell r="AL3112">
            <v>0</v>
          </cell>
        </row>
        <row r="3113">
          <cell r="E3113" t="str">
            <v>P1副受信機 50L</v>
          </cell>
          <cell r="F3113" t="str">
            <v>面</v>
          </cell>
          <cell r="G3113">
            <v>0</v>
          </cell>
          <cell r="H3113">
            <v>47600</v>
          </cell>
          <cell r="I3113">
            <v>0</v>
          </cell>
          <cell r="J3113">
            <v>47600</v>
          </cell>
          <cell r="K3113">
            <v>0</v>
          </cell>
          <cell r="L3113">
            <v>47600</v>
          </cell>
          <cell r="M3113">
            <v>0</v>
          </cell>
          <cell r="N3113">
            <v>47600</v>
          </cell>
          <cell r="O3113">
            <v>0</v>
          </cell>
          <cell r="P3113">
            <v>47600</v>
          </cell>
          <cell r="Q3113">
            <v>0</v>
          </cell>
          <cell r="R3113">
            <v>47600</v>
          </cell>
          <cell r="S3113">
            <v>0</v>
          </cell>
          <cell r="T3113">
            <v>47600</v>
          </cell>
          <cell r="U3113">
            <v>0</v>
          </cell>
          <cell r="V3113">
            <v>47600</v>
          </cell>
          <cell r="W3113">
            <v>0</v>
          </cell>
          <cell r="X3113">
            <v>47600</v>
          </cell>
          <cell r="Y3113">
            <v>0</v>
          </cell>
          <cell r="Z3113">
            <v>47600</v>
          </cell>
          <cell r="AA3113">
            <v>0</v>
          </cell>
          <cell r="AB3113">
            <v>0</v>
          </cell>
          <cell r="AC3113">
            <v>0</v>
          </cell>
          <cell r="AD3113">
            <v>4.25</v>
          </cell>
          <cell r="AE3113">
            <v>0</v>
          </cell>
          <cell r="AF3113">
            <v>0</v>
          </cell>
          <cell r="AG3113">
            <v>0</v>
          </cell>
          <cell r="AH3113">
            <v>0</v>
          </cell>
          <cell r="AI3113">
            <v>0</v>
          </cell>
          <cell r="AJ3113">
            <v>0</v>
          </cell>
          <cell r="AK3113">
            <v>0</v>
          </cell>
          <cell r="AL3113">
            <v>0</v>
          </cell>
        </row>
        <row r="3114">
          <cell r="E3114" t="str">
            <v>P1副受信機 60L</v>
          </cell>
          <cell r="F3114" t="str">
            <v>面</v>
          </cell>
          <cell r="G3114">
            <v>0</v>
          </cell>
          <cell r="H3114">
            <v>53900</v>
          </cell>
          <cell r="I3114">
            <v>0</v>
          </cell>
          <cell r="J3114">
            <v>53900</v>
          </cell>
          <cell r="K3114">
            <v>0</v>
          </cell>
          <cell r="L3114">
            <v>53900</v>
          </cell>
          <cell r="M3114">
            <v>0</v>
          </cell>
          <cell r="N3114">
            <v>53900</v>
          </cell>
          <cell r="O3114">
            <v>0</v>
          </cell>
          <cell r="P3114">
            <v>53900</v>
          </cell>
          <cell r="Q3114">
            <v>0</v>
          </cell>
          <cell r="R3114">
            <v>53900</v>
          </cell>
          <cell r="S3114">
            <v>0</v>
          </cell>
          <cell r="T3114">
            <v>53900</v>
          </cell>
          <cell r="U3114">
            <v>0</v>
          </cell>
          <cell r="V3114">
            <v>53900</v>
          </cell>
          <cell r="W3114">
            <v>0</v>
          </cell>
          <cell r="X3114">
            <v>53900</v>
          </cell>
          <cell r="Y3114">
            <v>0</v>
          </cell>
          <cell r="Z3114">
            <v>53900</v>
          </cell>
          <cell r="AA3114">
            <v>0</v>
          </cell>
          <cell r="AB3114">
            <v>0</v>
          </cell>
          <cell r="AC3114">
            <v>0</v>
          </cell>
          <cell r="AD3114">
            <v>4.75</v>
          </cell>
          <cell r="AE3114">
            <v>0</v>
          </cell>
          <cell r="AF3114">
            <v>0</v>
          </cell>
          <cell r="AG3114">
            <v>0</v>
          </cell>
          <cell r="AH3114">
            <v>0</v>
          </cell>
          <cell r="AI3114">
            <v>0</v>
          </cell>
          <cell r="AJ3114">
            <v>0</v>
          </cell>
          <cell r="AK3114">
            <v>0</v>
          </cell>
          <cell r="AL3114">
            <v>0</v>
          </cell>
        </row>
        <row r="3115">
          <cell r="E3115" t="str">
            <v>P1副受信機 70L</v>
          </cell>
          <cell r="F3115" t="str">
            <v>面</v>
          </cell>
          <cell r="G3115">
            <v>0</v>
          </cell>
          <cell r="H3115">
            <v>60200</v>
          </cell>
          <cell r="I3115">
            <v>0</v>
          </cell>
          <cell r="J3115">
            <v>60200</v>
          </cell>
          <cell r="K3115">
            <v>0</v>
          </cell>
          <cell r="L3115">
            <v>60200</v>
          </cell>
          <cell r="M3115">
            <v>0</v>
          </cell>
          <cell r="N3115">
            <v>60200</v>
          </cell>
          <cell r="O3115">
            <v>0</v>
          </cell>
          <cell r="P3115">
            <v>60200</v>
          </cell>
          <cell r="Q3115">
            <v>0</v>
          </cell>
          <cell r="R3115">
            <v>60200</v>
          </cell>
          <cell r="S3115">
            <v>0</v>
          </cell>
          <cell r="T3115">
            <v>60200</v>
          </cell>
          <cell r="U3115">
            <v>0</v>
          </cell>
          <cell r="V3115">
            <v>60200</v>
          </cell>
          <cell r="W3115">
            <v>0</v>
          </cell>
          <cell r="X3115">
            <v>60200</v>
          </cell>
          <cell r="Y3115">
            <v>0</v>
          </cell>
          <cell r="Z3115">
            <v>60200</v>
          </cell>
          <cell r="AA3115">
            <v>0</v>
          </cell>
          <cell r="AB3115">
            <v>0</v>
          </cell>
          <cell r="AC3115">
            <v>0</v>
          </cell>
          <cell r="AD3115">
            <v>5.25</v>
          </cell>
          <cell r="AE3115">
            <v>0</v>
          </cell>
          <cell r="AF3115">
            <v>0</v>
          </cell>
          <cell r="AG3115">
            <v>0</v>
          </cell>
          <cell r="AH3115">
            <v>0</v>
          </cell>
          <cell r="AI3115">
            <v>0</v>
          </cell>
          <cell r="AJ3115">
            <v>0</v>
          </cell>
          <cell r="AK3115">
            <v>0</v>
          </cell>
          <cell r="AL3115">
            <v>0</v>
          </cell>
        </row>
        <row r="3116">
          <cell r="E3116" t="str">
            <v>P1副受信機 80L</v>
          </cell>
          <cell r="F3116" t="str">
            <v>面</v>
          </cell>
          <cell r="G3116">
            <v>0</v>
          </cell>
          <cell r="H3116">
            <v>66500</v>
          </cell>
          <cell r="I3116">
            <v>0</v>
          </cell>
          <cell r="J3116">
            <v>66500</v>
          </cell>
          <cell r="K3116">
            <v>0</v>
          </cell>
          <cell r="L3116">
            <v>66500</v>
          </cell>
          <cell r="M3116">
            <v>0</v>
          </cell>
          <cell r="N3116">
            <v>66500</v>
          </cell>
          <cell r="O3116">
            <v>0</v>
          </cell>
          <cell r="P3116">
            <v>66500</v>
          </cell>
          <cell r="Q3116">
            <v>0</v>
          </cell>
          <cell r="R3116">
            <v>66500</v>
          </cell>
          <cell r="S3116">
            <v>0</v>
          </cell>
          <cell r="T3116">
            <v>66500</v>
          </cell>
          <cell r="U3116">
            <v>0</v>
          </cell>
          <cell r="V3116">
            <v>66500</v>
          </cell>
          <cell r="W3116">
            <v>0</v>
          </cell>
          <cell r="X3116">
            <v>66500</v>
          </cell>
          <cell r="Y3116">
            <v>0</v>
          </cell>
          <cell r="Z3116">
            <v>66500</v>
          </cell>
          <cell r="AA3116">
            <v>0</v>
          </cell>
          <cell r="AB3116">
            <v>0</v>
          </cell>
          <cell r="AC3116">
            <v>0</v>
          </cell>
          <cell r="AD3116">
            <v>5.75</v>
          </cell>
          <cell r="AE3116">
            <v>0</v>
          </cell>
          <cell r="AF3116">
            <v>0</v>
          </cell>
          <cell r="AG3116">
            <v>0</v>
          </cell>
          <cell r="AH3116">
            <v>0</v>
          </cell>
          <cell r="AI3116">
            <v>0</v>
          </cell>
          <cell r="AJ3116">
            <v>0</v>
          </cell>
          <cell r="AK3116">
            <v>0</v>
          </cell>
          <cell r="AL3116">
            <v>0</v>
          </cell>
        </row>
        <row r="3117">
          <cell r="E3117" t="str">
            <v>P1副受信機 90L</v>
          </cell>
          <cell r="F3117" t="str">
            <v>面</v>
          </cell>
          <cell r="G3117">
            <v>0</v>
          </cell>
          <cell r="H3117">
            <v>72800</v>
          </cell>
          <cell r="I3117">
            <v>0</v>
          </cell>
          <cell r="J3117">
            <v>72800</v>
          </cell>
          <cell r="K3117">
            <v>0</v>
          </cell>
          <cell r="L3117">
            <v>72800</v>
          </cell>
          <cell r="M3117">
            <v>0</v>
          </cell>
          <cell r="N3117">
            <v>72800</v>
          </cell>
          <cell r="O3117">
            <v>0</v>
          </cell>
          <cell r="P3117">
            <v>72800</v>
          </cell>
          <cell r="Q3117">
            <v>0</v>
          </cell>
          <cell r="R3117">
            <v>72800</v>
          </cell>
          <cell r="S3117">
            <v>0</v>
          </cell>
          <cell r="T3117">
            <v>72800</v>
          </cell>
          <cell r="U3117">
            <v>0</v>
          </cell>
          <cell r="V3117">
            <v>72800</v>
          </cell>
          <cell r="W3117">
            <v>0</v>
          </cell>
          <cell r="X3117">
            <v>72800</v>
          </cell>
          <cell r="Y3117">
            <v>0</v>
          </cell>
          <cell r="Z3117">
            <v>72800</v>
          </cell>
          <cell r="AA3117">
            <v>0</v>
          </cell>
          <cell r="AB3117">
            <v>0</v>
          </cell>
          <cell r="AC3117">
            <v>0</v>
          </cell>
          <cell r="AD3117">
            <v>6.25</v>
          </cell>
          <cell r="AE3117">
            <v>0</v>
          </cell>
          <cell r="AF3117">
            <v>0</v>
          </cell>
          <cell r="AG3117">
            <v>0</v>
          </cell>
          <cell r="AH3117">
            <v>0</v>
          </cell>
          <cell r="AI3117">
            <v>0</v>
          </cell>
          <cell r="AJ3117">
            <v>0</v>
          </cell>
          <cell r="AK3117">
            <v>0</v>
          </cell>
          <cell r="AL3117">
            <v>0</v>
          </cell>
        </row>
        <row r="3118">
          <cell r="E3118" t="str">
            <v>P1副受信機 100L</v>
          </cell>
          <cell r="F3118" t="str">
            <v>面</v>
          </cell>
          <cell r="G3118">
            <v>0</v>
          </cell>
          <cell r="H3118">
            <v>79100</v>
          </cell>
          <cell r="I3118">
            <v>0</v>
          </cell>
          <cell r="J3118">
            <v>79100</v>
          </cell>
          <cell r="K3118">
            <v>0</v>
          </cell>
          <cell r="L3118">
            <v>79100</v>
          </cell>
          <cell r="M3118">
            <v>0</v>
          </cell>
          <cell r="N3118">
            <v>79100</v>
          </cell>
          <cell r="O3118">
            <v>0</v>
          </cell>
          <cell r="P3118">
            <v>79100</v>
          </cell>
          <cell r="Q3118">
            <v>0</v>
          </cell>
          <cell r="R3118">
            <v>79100</v>
          </cell>
          <cell r="S3118">
            <v>0</v>
          </cell>
          <cell r="T3118">
            <v>79100</v>
          </cell>
          <cell r="U3118">
            <v>0</v>
          </cell>
          <cell r="V3118">
            <v>79100</v>
          </cell>
          <cell r="W3118">
            <v>0</v>
          </cell>
          <cell r="X3118">
            <v>79100</v>
          </cell>
          <cell r="Y3118">
            <v>0</v>
          </cell>
          <cell r="Z3118">
            <v>79100</v>
          </cell>
          <cell r="AA3118">
            <v>0</v>
          </cell>
          <cell r="AB3118">
            <v>0</v>
          </cell>
          <cell r="AC3118">
            <v>0</v>
          </cell>
          <cell r="AD3118">
            <v>6.75</v>
          </cell>
          <cell r="AE3118">
            <v>0</v>
          </cell>
          <cell r="AF3118">
            <v>0</v>
          </cell>
          <cell r="AG3118">
            <v>0</v>
          </cell>
          <cell r="AH3118">
            <v>0</v>
          </cell>
          <cell r="AI3118">
            <v>0</v>
          </cell>
          <cell r="AJ3118">
            <v>0</v>
          </cell>
          <cell r="AK3118">
            <v>0</v>
          </cell>
          <cell r="AL3118">
            <v>0</v>
          </cell>
        </row>
        <row r="3119">
          <cell r="E3119" t="str">
            <v>P1副受信機 110L</v>
          </cell>
          <cell r="F3119" t="str">
            <v>面</v>
          </cell>
          <cell r="G3119">
            <v>0</v>
          </cell>
          <cell r="H3119">
            <v>85400</v>
          </cell>
          <cell r="I3119">
            <v>0</v>
          </cell>
          <cell r="J3119">
            <v>85400</v>
          </cell>
          <cell r="K3119">
            <v>0</v>
          </cell>
          <cell r="L3119">
            <v>85400</v>
          </cell>
          <cell r="M3119">
            <v>0</v>
          </cell>
          <cell r="N3119">
            <v>85400</v>
          </cell>
          <cell r="O3119">
            <v>0</v>
          </cell>
          <cell r="P3119">
            <v>85400</v>
          </cell>
          <cell r="Q3119">
            <v>0</v>
          </cell>
          <cell r="R3119">
            <v>85400</v>
          </cell>
          <cell r="S3119">
            <v>0</v>
          </cell>
          <cell r="T3119">
            <v>85400</v>
          </cell>
          <cell r="U3119">
            <v>0</v>
          </cell>
          <cell r="V3119">
            <v>85400</v>
          </cell>
          <cell r="W3119">
            <v>0</v>
          </cell>
          <cell r="X3119">
            <v>85400</v>
          </cell>
          <cell r="Y3119">
            <v>0</v>
          </cell>
          <cell r="Z3119">
            <v>85400</v>
          </cell>
          <cell r="AA3119">
            <v>0</v>
          </cell>
          <cell r="AB3119">
            <v>0</v>
          </cell>
          <cell r="AC3119">
            <v>0</v>
          </cell>
          <cell r="AD3119">
            <v>7.25</v>
          </cell>
          <cell r="AE3119">
            <v>0</v>
          </cell>
          <cell r="AF3119">
            <v>0</v>
          </cell>
          <cell r="AG3119">
            <v>0</v>
          </cell>
          <cell r="AH3119">
            <v>0</v>
          </cell>
          <cell r="AI3119">
            <v>0</v>
          </cell>
          <cell r="AJ3119">
            <v>0</v>
          </cell>
          <cell r="AK3119">
            <v>0</v>
          </cell>
          <cell r="AL3119">
            <v>0</v>
          </cell>
        </row>
        <row r="3120">
          <cell r="E3120" t="str">
            <v>P1副受信機 120L</v>
          </cell>
          <cell r="F3120" t="str">
            <v>面</v>
          </cell>
          <cell r="G3120">
            <v>0</v>
          </cell>
          <cell r="H3120">
            <v>91700</v>
          </cell>
          <cell r="I3120">
            <v>0</v>
          </cell>
          <cell r="J3120">
            <v>91700</v>
          </cell>
          <cell r="K3120">
            <v>0</v>
          </cell>
          <cell r="L3120">
            <v>91700</v>
          </cell>
          <cell r="M3120">
            <v>0</v>
          </cell>
          <cell r="N3120">
            <v>91700</v>
          </cell>
          <cell r="O3120">
            <v>0</v>
          </cell>
          <cell r="P3120">
            <v>91700</v>
          </cell>
          <cell r="Q3120">
            <v>0</v>
          </cell>
          <cell r="R3120">
            <v>91700</v>
          </cell>
          <cell r="S3120">
            <v>0</v>
          </cell>
          <cell r="T3120">
            <v>91700</v>
          </cell>
          <cell r="U3120">
            <v>0</v>
          </cell>
          <cell r="V3120">
            <v>91700</v>
          </cell>
          <cell r="W3120">
            <v>0</v>
          </cell>
          <cell r="X3120">
            <v>91700</v>
          </cell>
          <cell r="Y3120">
            <v>0</v>
          </cell>
          <cell r="Z3120">
            <v>91700</v>
          </cell>
          <cell r="AA3120">
            <v>0</v>
          </cell>
          <cell r="AB3120">
            <v>0</v>
          </cell>
          <cell r="AC3120">
            <v>0</v>
          </cell>
          <cell r="AD3120">
            <v>7.75</v>
          </cell>
          <cell r="AE3120">
            <v>0</v>
          </cell>
          <cell r="AF3120">
            <v>0</v>
          </cell>
          <cell r="AG3120">
            <v>0</v>
          </cell>
          <cell r="AH3120">
            <v>0</v>
          </cell>
          <cell r="AI3120">
            <v>0</v>
          </cell>
          <cell r="AJ3120">
            <v>0</v>
          </cell>
          <cell r="AK3120">
            <v>0</v>
          </cell>
          <cell r="AL3120">
            <v>0</v>
          </cell>
        </row>
        <row r="3121">
          <cell r="E3121" t="str">
            <v>P1副受信機 150L</v>
          </cell>
          <cell r="F3121" t="str">
            <v>面</v>
          </cell>
          <cell r="G3121">
            <v>0</v>
          </cell>
          <cell r="H3121">
            <v>110600</v>
          </cell>
          <cell r="I3121">
            <v>0</v>
          </cell>
          <cell r="J3121">
            <v>110600</v>
          </cell>
          <cell r="K3121">
            <v>0</v>
          </cell>
          <cell r="L3121">
            <v>110600</v>
          </cell>
          <cell r="M3121">
            <v>0</v>
          </cell>
          <cell r="N3121">
            <v>110600</v>
          </cell>
          <cell r="O3121">
            <v>0</v>
          </cell>
          <cell r="P3121">
            <v>110600</v>
          </cell>
          <cell r="Q3121">
            <v>0</v>
          </cell>
          <cell r="R3121">
            <v>110600</v>
          </cell>
          <cell r="S3121">
            <v>0</v>
          </cell>
          <cell r="T3121">
            <v>110600</v>
          </cell>
          <cell r="U3121">
            <v>0</v>
          </cell>
          <cell r="V3121">
            <v>110600</v>
          </cell>
          <cell r="W3121">
            <v>0</v>
          </cell>
          <cell r="X3121">
            <v>110600</v>
          </cell>
          <cell r="Y3121">
            <v>0</v>
          </cell>
          <cell r="Z3121">
            <v>110600</v>
          </cell>
          <cell r="AA3121">
            <v>0</v>
          </cell>
          <cell r="AB3121">
            <v>0</v>
          </cell>
          <cell r="AC3121">
            <v>0</v>
          </cell>
          <cell r="AD3121">
            <v>9.25</v>
          </cell>
          <cell r="AE3121">
            <v>0</v>
          </cell>
          <cell r="AF3121">
            <v>0</v>
          </cell>
          <cell r="AG3121">
            <v>0</v>
          </cell>
          <cell r="AH3121">
            <v>0</v>
          </cell>
          <cell r="AI3121">
            <v>0</v>
          </cell>
          <cell r="AJ3121">
            <v>0</v>
          </cell>
          <cell r="AK3121">
            <v>0</v>
          </cell>
          <cell r="AL3121">
            <v>0</v>
          </cell>
        </row>
        <row r="3122">
          <cell r="E3122" t="str">
            <v>P1副受信機 200L</v>
          </cell>
          <cell r="F3122" t="str">
            <v>面</v>
          </cell>
          <cell r="G3122">
            <v>0</v>
          </cell>
          <cell r="H3122">
            <v>142100</v>
          </cell>
          <cell r="I3122">
            <v>0</v>
          </cell>
          <cell r="J3122">
            <v>142100</v>
          </cell>
          <cell r="K3122">
            <v>0</v>
          </cell>
          <cell r="L3122">
            <v>142100</v>
          </cell>
          <cell r="M3122">
            <v>0</v>
          </cell>
          <cell r="N3122">
            <v>142100</v>
          </cell>
          <cell r="O3122">
            <v>0</v>
          </cell>
          <cell r="P3122">
            <v>142100</v>
          </cell>
          <cell r="Q3122">
            <v>0</v>
          </cell>
          <cell r="R3122">
            <v>142100</v>
          </cell>
          <cell r="S3122">
            <v>0</v>
          </cell>
          <cell r="T3122">
            <v>142100</v>
          </cell>
          <cell r="U3122">
            <v>0</v>
          </cell>
          <cell r="V3122">
            <v>142100</v>
          </cell>
          <cell r="W3122">
            <v>0</v>
          </cell>
          <cell r="X3122">
            <v>142100</v>
          </cell>
          <cell r="Y3122">
            <v>0</v>
          </cell>
          <cell r="Z3122">
            <v>142100</v>
          </cell>
          <cell r="AA3122">
            <v>0</v>
          </cell>
          <cell r="AB3122">
            <v>0</v>
          </cell>
          <cell r="AC3122">
            <v>0</v>
          </cell>
          <cell r="AD3122">
            <v>11.75</v>
          </cell>
          <cell r="AE3122">
            <v>0</v>
          </cell>
          <cell r="AF3122">
            <v>0</v>
          </cell>
          <cell r="AG3122">
            <v>0</v>
          </cell>
          <cell r="AH3122">
            <v>0</v>
          </cell>
          <cell r="AI3122">
            <v>0</v>
          </cell>
          <cell r="AJ3122">
            <v>0</v>
          </cell>
          <cell r="AK3122">
            <v>0</v>
          </cell>
          <cell r="AL3122">
            <v>0</v>
          </cell>
        </row>
        <row r="3123">
          <cell r="E3123" t="str">
            <v>P1副受信機 300L</v>
          </cell>
          <cell r="F3123" t="str">
            <v>面</v>
          </cell>
          <cell r="G3123">
            <v>0</v>
          </cell>
          <cell r="H3123">
            <v>205100</v>
          </cell>
          <cell r="I3123">
            <v>0</v>
          </cell>
          <cell r="J3123">
            <v>205100</v>
          </cell>
          <cell r="K3123">
            <v>0</v>
          </cell>
          <cell r="L3123">
            <v>205100</v>
          </cell>
          <cell r="M3123">
            <v>0</v>
          </cell>
          <cell r="N3123">
            <v>205100</v>
          </cell>
          <cell r="O3123">
            <v>0</v>
          </cell>
          <cell r="P3123">
            <v>205100</v>
          </cell>
          <cell r="Q3123">
            <v>0</v>
          </cell>
          <cell r="R3123">
            <v>205100</v>
          </cell>
          <cell r="S3123">
            <v>0</v>
          </cell>
          <cell r="T3123">
            <v>205100</v>
          </cell>
          <cell r="U3123">
            <v>0</v>
          </cell>
          <cell r="V3123">
            <v>205100</v>
          </cell>
          <cell r="W3123">
            <v>0</v>
          </cell>
          <cell r="X3123">
            <v>205100</v>
          </cell>
          <cell r="Y3123">
            <v>0</v>
          </cell>
          <cell r="Z3123">
            <v>205100</v>
          </cell>
          <cell r="AA3123">
            <v>0</v>
          </cell>
          <cell r="AB3123">
            <v>0</v>
          </cell>
          <cell r="AC3123">
            <v>0</v>
          </cell>
          <cell r="AD3123">
            <v>17.600000000000001</v>
          </cell>
          <cell r="AE3123">
            <v>0</v>
          </cell>
          <cell r="AF3123">
            <v>0</v>
          </cell>
          <cell r="AG3123">
            <v>0</v>
          </cell>
          <cell r="AH3123">
            <v>0</v>
          </cell>
          <cell r="AI3123">
            <v>0</v>
          </cell>
          <cell r="AJ3123">
            <v>0</v>
          </cell>
          <cell r="AK3123">
            <v>0</v>
          </cell>
          <cell r="AL3123">
            <v>0</v>
          </cell>
        </row>
        <row r="3124">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row>
        <row r="3125">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row>
        <row r="3126">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row>
        <row r="3127">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row>
        <row r="3128">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row>
        <row r="3129">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row>
        <row r="3130">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row>
        <row r="3131">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row>
        <row r="3132">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row>
        <row r="3133">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row>
        <row r="3134">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row>
        <row r="3135">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row>
        <row r="3136">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row>
        <row r="3137">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row>
        <row r="3138">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row>
        <row r="3139">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row>
        <row r="3140">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row>
        <row r="3141">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row>
        <row r="3142">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row>
        <row r="3143">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row>
        <row r="3144">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row>
        <row r="3145">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row>
        <row r="3146">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row>
        <row r="3147">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row>
        <row r="3148">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row>
        <row r="3149">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row>
        <row r="3150">
          <cell r="E3150" t="str">
            <v>避雷導線 13/2.0</v>
          </cell>
          <cell r="F3150" t="str">
            <v>ｍ</v>
          </cell>
          <cell r="G3150">
            <v>0</v>
          </cell>
          <cell r="H3150">
            <v>430</v>
          </cell>
          <cell r="I3150">
            <v>0</v>
          </cell>
          <cell r="J3150">
            <v>430</v>
          </cell>
          <cell r="K3150">
            <v>0</v>
          </cell>
          <cell r="L3150">
            <v>430</v>
          </cell>
          <cell r="M3150">
            <v>0</v>
          </cell>
          <cell r="N3150">
            <v>430</v>
          </cell>
          <cell r="O3150">
            <v>0</v>
          </cell>
          <cell r="P3150">
            <v>430</v>
          </cell>
          <cell r="Q3150">
            <v>0</v>
          </cell>
          <cell r="R3150">
            <v>430</v>
          </cell>
          <cell r="S3150">
            <v>0</v>
          </cell>
          <cell r="T3150">
            <v>430</v>
          </cell>
          <cell r="U3150">
            <v>0</v>
          </cell>
          <cell r="V3150">
            <v>430</v>
          </cell>
          <cell r="W3150">
            <v>0</v>
          </cell>
          <cell r="X3150">
            <v>430</v>
          </cell>
          <cell r="Y3150">
            <v>0</v>
          </cell>
          <cell r="Z3150">
            <v>430</v>
          </cell>
          <cell r="AA3150">
            <v>0</v>
          </cell>
          <cell r="AB3150">
            <v>0</v>
          </cell>
          <cell r="AC3150">
            <v>0</v>
          </cell>
          <cell r="AD3150">
            <v>0.122</v>
          </cell>
          <cell r="AE3150">
            <v>0</v>
          </cell>
          <cell r="AF3150">
            <v>0</v>
          </cell>
          <cell r="AG3150">
            <v>0</v>
          </cell>
          <cell r="AH3150">
            <v>0</v>
          </cell>
          <cell r="AI3150">
            <v>0</v>
          </cell>
          <cell r="AJ3150">
            <v>0</v>
          </cell>
          <cell r="AK3150">
            <v>0</v>
          </cell>
          <cell r="AL3150">
            <v>0</v>
          </cell>
        </row>
        <row r="3151">
          <cell r="E3151" t="str">
            <v>避雷導線 19/2.0</v>
          </cell>
          <cell r="F3151" t="str">
            <v>ｍ</v>
          </cell>
          <cell r="G3151">
            <v>0</v>
          </cell>
          <cell r="H3151">
            <v>630</v>
          </cell>
          <cell r="I3151">
            <v>0</v>
          </cell>
          <cell r="J3151">
            <v>630</v>
          </cell>
          <cell r="K3151">
            <v>0</v>
          </cell>
          <cell r="L3151">
            <v>630</v>
          </cell>
          <cell r="M3151">
            <v>0</v>
          </cell>
          <cell r="N3151">
            <v>630</v>
          </cell>
          <cell r="O3151">
            <v>0</v>
          </cell>
          <cell r="P3151">
            <v>630</v>
          </cell>
          <cell r="Q3151">
            <v>0</v>
          </cell>
          <cell r="R3151">
            <v>630</v>
          </cell>
          <cell r="S3151">
            <v>0</v>
          </cell>
          <cell r="T3151">
            <v>630</v>
          </cell>
          <cell r="U3151">
            <v>0</v>
          </cell>
          <cell r="V3151">
            <v>630</v>
          </cell>
          <cell r="W3151">
            <v>0</v>
          </cell>
          <cell r="X3151">
            <v>630</v>
          </cell>
          <cell r="Y3151">
            <v>0</v>
          </cell>
          <cell r="Z3151">
            <v>630</v>
          </cell>
          <cell r="AA3151">
            <v>0</v>
          </cell>
          <cell r="AB3151">
            <v>0</v>
          </cell>
          <cell r="AC3151">
            <v>0</v>
          </cell>
          <cell r="AD3151">
            <v>0.16</v>
          </cell>
          <cell r="AE3151">
            <v>0</v>
          </cell>
          <cell r="AF3151">
            <v>0</v>
          </cell>
          <cell r="AG3151">
            <v>0</v>
          </cell>
          <cell r="AH3151">
            <v>0</v>
          </cell>
          <cell r="AI3151">
            <v>0</v>
          </cell>
          <cell r="AJ3151">
            <v>0</v>
          </cell>
          <cell r="AK3151">
            <v>0</v>
          </cell>
          <cell r="AL3151">
            <v>0</v>
          </cell>
        </row>
        <row r="3152">
          <cell r="E3152" t="str">
            <v>導体取付金物 露出 40mmsq</v>
          </cell>
          <cell r="F3152" t="str">
            <v>個</v>
          </cell>
          <cell r="G3152">
            <v>0</v>
          </cell>
          <cell r="H3152">
            <v>600</v>
          </cell>
          <cell r="I3152">
            <v>0</v>
          </cell>
          <cell r="J3152">
            <v>600</v>
          </cell>
          <cell r="K3152">
            <v>0</v>
          </cell>
          <cell r="L3152">
            <v>600</v>
          </cell>
          <cell r="M3152">
            <v>0</v>
          </cell>
          <cell r="N3152">
            <v>600</v>
          </cell>
          <cell r="O3152">
            <v>0</v>
          </cell>
          <cell r="P3152">
            <v>600</v>
          </cell>
          <cell r="Q3152">
            <v>0</v>
          </cell>
          <cell r="R3152">
            <v>600</v>
          </cell>
          <cell r="S3152">
            <v>0</v>
          </cell>
          <cell r="T3152">
            <v>600</v>
          </cell>
          <cell r="U3152">
            <v>0</v>
          </cell>
          <cell r="V3152">
            <v>600</v>
          </cell>
          <cell r="W3152">
            <v>0</v>
          </cell>
          <cell r="X3152">
            <v>600</v>
          </cell>
          <cell r="Y3152">
            <v>0</v>
          </cell>
          <cell r="Z3152">
            <v>600</v>
          </cell>
          <cell r="AA3152">
            <v>0</v>
          </cell>
          <cell r="AB3152">
            <v>0</v>
          </cell>
          <cell r="AC3152">
            <v>0</v>
          </cell>
          <cell r="AD3152">
            <v>0.01</v>
          </cell>
          <cell r="AE3152">
            <v>0</v>
          </cell>
          <cell r="AF3152">
            <v>0</v>
          </cell>
          <cell r="AG3152">
            <v>0</v>
          </cell>
          <cell r="AH3152">
            <v>0</v>
          </cell>
          <cell r="AI3152">
            <v>0</v>
          </cell>
          <cell r="AJ3152">
            <v>0</v>
          </cell>
          <cell r="AK3152">
            <v>0</v>
          </cell>
          <cell r="AL3152">
            <v>0</v>
          </cell>
        </row>
        <row r="3153">
          <cell r="E3153" t="str">
            <v>導体取付金物 露出 60mmsq</v>
          </cell>
          <cell r="F3153" t="str">
            <v>個</v>
          </cell>
          <cell r="G3153">
            <v>0</v>
          </cell>
          <cell r="H3153">
            <v>600</v>
          </cell>
          <cell r="I3153">
            <v>0</v>
          </cell>
          <cell r="J3153">
            <v>600</v>
          </cell>
          <cell r="K3153">
            <v>0</v>
          </cell>
          <cell r="L3153">
            <v>600</v>
          </cell>
          <cell r="M3153">
            <v>0</v>
          </cell>
          <cell r="N3153">
            <v>600</v>
          </cell>
          <cell r="O3153">
            <v>0</v>
          </cell>
          <cell r="P3153">
            <v>600</v>
          </cell>
          <cell r="Q3153">
            <v>0</v>
          </cell>
          <cell r="R3153">
            <v>600</v>
          </cell>
          <cell r="S3153">
            <v>0</v>
          </cell>
          <cell r="T3153">
            <v>600</v>
          </cell>
          <cell r="U3153">
            <v>0</v>
          </cell>
          <cell r="V3153">
            <v>600</v>
          </cell>
          <cell r="W3153">
            <v>0</v>
          </cell>
          <cell r="X3153">
            <v>600</v>
          </cell>
          <cell r="Y3153">
            <v>0</v>
          </cell>
          <cell r="Z3153">
            <v>600</v>
          </cell>
          <cell r="AA3153">
            <v>0</v>
          </cell>
          <cell r="AB3153">
            <v>0</v>
          </cell>
          <cell r="AC3153">
            <v>0</v>
          </cell>
          <cell r="AD3153">
            <v>0.01</v>
          </cell>
          <cell r="AE3153">
            <v>0</v>
          </cell>
          <cell r="AF3153">
            <v>0</v>
          </cell>
          <cell r="AG3153">
            <v>0</v>
          </cell>
          <cell r="AH3153">
            <v>0</v>
          </cell>
          <cell r="AI3153">
            <v>0</v>
          </cell>
          <cell r="AJ3153">
            <v>0</v>
          </cell>
          <cell r="AK3153">
            <v>0</v>
          </cell>
          <cell r="AL3153">
            <v>0</v>
          </cell>
        </row>
        <row r="3154">
          <cell r="E3154" t="str">
            <v>突針 JIS 中型</v>
          </cell>
          <cell r="F3154" t="str">
            <v>基</v>
          </cell>
          <cell r="G3154">
            <v>0</v>
          </cell>
          <cell r="H3154">
            <v>10400</v>
          </cell>
          <cell r="I3154">
            <v>0</v>
          </cell>
          <cell r="J3154">
            <v>10400</v>
          </cell>
          <cell r="K3154">
            <v>0</v>
          </cell>
          <cell r="L3154">
            <v>10400</v>
          </cell>
          <cell r="M3154">
            <v>0</v>
          </cell>
          <cell r="N3154">
            <v>10400</v>
          </cell>
          <cell r="O3154">
            <v>0</v>
          </cell>
          <cell r="P3154">
            <v>10400</v>
          </cell>
          <cell r="Q3154">
            <v>0</v>
          </cell>
          <cell r="R3154">
            <v>10400</v>
          </cell>
          <cell r="S3154">
            <v>0</v>
          </cell>
          <cell r="T3154">
            <v>10400</v>
          </cell>
          <cell r="U3154">
            <v>0</v>
          </cell>
          <cell r="V3154">
            <v>10400</v>
          </cell>
          <cell r="W3154">
            <v>0</v>
          </cell>
          <cell r="X3154">
            <v>10400</v>
          </cell>
          <cell r="Y3154">
            <v>0</v>
          </cell>
          <cell r="Z3154">
            <v>10400</v>
          </cell>
          <cell r="AA3154">
            <v>0</v>
          </cell>
          <cell r="AB3154">
            <v>0</v>
          </cell>
          <cell r="AC3154">
            <v>0</v>
          </cell>
          <cell r="AD3154">
            <v>2.7</v>
          </cell>
          <cell r="AE3154">
            <v>0</v>
          </cell>
          <cell r="AF3154">
            <v>0</v>
          </cell>
          <cell r="AG3154">
            <v>0</v>
          </cell>
          <cell r="AH3154">
            <v>0</v>
          </cell>
          <cell r="AI3154">
            <v>0</v>
          </cell>
          <cell r="AJ3154">
            <v>0</v>
          </cell>
          <cell r="AK3154">
            <v>0</v>
          </cell>
          <cell r="AL3154">
            <v>0</v>
          </cell>
        </row>
        <row r="3155">
          <cell r="E3155" t="str">
            <v>突針 JIS 大型</v>
          </cell>
          <cell r="F3155" t="str">
            <v>基</v>
          </cell>
          <cell r="G3155">
            <v>0</v>
          </cell>
          <cell r="H3155">
            <v>12400</v>
          </cell>
          <cell r="I3155">
            <v>0</v>
          </cell>
          <cell r="J3155">
            <v>12400</v>
          </cell>
          <cell r="K3155">
            <v>0</v>
          </cell>
          <cell r="L3155">
            <v>12400</v>
          </cell>
          <cell r="M3155">
            <v>0</v>
          </cell>
          <cell r="N3155">
            <v>12400</v>
          </cell>
          <cell r="O3155">
            <v>0</v>
          </cell>
          <cell r="P3155">
            <v>12400</v>
          </cell>
          <cell r="Q3155">
            <v>0</v>
          </cell>
          <cell r="R3155">
            <v>12400</v>
          </cell>
          <cell r="S3155">
            <v>0</v>
          </cell>
          <cell r="T3155">
            <v>12400</v>
          </cell>
          <cell r="U3155">
            <v>0</v>
          </cell>
          <cell r="V3155">
            <v>12400</v>
          </cell>
          <cell r="W3155">
            <v>0</v>
          </cell>
          <cell r="X3155">
            <v>12400</v>
          </cell>
          <cell r="Y3155">
            <v>0</v>
          </cell>
          <cell r="Z3155">
            <v>12400</v>
          </cell>
          <cell r="AA3155">
            <v>0</v>
          </cell>
          <cell r="AB3155">
            <v>0</v>
          </cell>
          <cell r="AC3155">
            <v>0</v>
          </cell>
          <cell r="AD3155">
            <v>2.7</v>
          </cell>
          <cell r="AE3155">
            <v>0</v>
          </cell>
          <cell r="AF3155">
            <v>0</v>
          </cell>
          <cell r="AG3155">
            <v>0</v>
          </cell>
          <cell r="AH3155">
            <v>0</v>
          </cell>
          <cell r="AI3155">
            <v>0</v>
          </cell>
          <cell r="AJ3155">
            <v>0</v>
          </cell>
          <cell r="AK3155">
            <v>0</v>
          </cell>
          <cell r="AL3155">
            <v>0</v>
          </cell>
        </row>
        <row r="3156">
          <cell r="E3156" t="str">
            <v>突針 国土交通省型</v>
          </cell>
          <cell r="F3156" t="str">
            <v>基</v>
          </cell>
          <cell r="G3156">
            <v>0</v>
          </cell>
          <cell r="H3156">
            <v>11600</v>
          </cell>
          <cell r="I3156">
            <v>0</v>
          </cell>
          <cell r="J3156">
            <v>11600</v>
          </cell>
          <cell r="K3156">
            <v>0</v>
          </cell>
          <cell r="L3156">
            <v>11600</v>
          </cell>
          <cell r="M3156">
            <v>0</v>
          </cell>
          <cell r="N3156">
            <v>11600</v>
          </cell>
          <cell r="O3156">
            <v>0</v>
          </cell>
          <cell r="P3156">
            <v>11600</v>
          </cell>
          <cell r="Q3156">
            <v>0</v>
          </cell>
          <cell r="R3156">
            <v>11600</v>
          </cell>
          <cell r="S3156">
            <v>0</v>
          </cell>
          <cell r="T3156">
            <v>11600</v>
          </cell>
          <cell r="U3156">
            <v>0</v>
          </cell>
          <cell r="V3156">
            <v>11600</v>
          </cell>
          <cell r="W3156">
            <v>0</v>
          </cell>
          <cell r="X3156">
            <v>11600</v>
          </cell>
          <cell r="Y3156">
            <v>0</v>
          </cell>
          <cell r="Z3156">
            <v>11600</v>
          </cell>
          <cell r="AA3156">
            <v>0</v>
          </cell>
          <cell r="AB3156">
            <v>0</v>
          </cell>
          <cell r="AC3156">
            <v>0</v>
          </cell>
          <cell r="AD3156">
            <v>2.7</v>
          </cell>
          <cell r="AE3156">
            <v>0</v>
          </cell>
          <cell r="AF3156">
            <v>0</v>
          </cell>
          <cell r="AG3156">
            <v>0</v>
          </cell>
          <cell r="AH3156">
            <v>0</v>
          </cell>
          <cell r="AI3156">
            <v>0</v>
          </cell>
          <cell r="AJ3156">
            <v>0</v>
          </cell>
          <cell r="AK3156">
            <v>0</v>
          </cell>
          <cell r="AL3156">
            <v>0</v>
          </cell>
        </row>
        <row r="3157">
          <cell r="E3157" t="str">
            <v>突針 都市再生機構型</v>
          </cell>
          <cell r="F3157" t="str">
            <v>基</v>
          </cell>
          <cell r="G3157">
            <v>0</v>
          </cell>
          <cell r="H3157">
            <v>11200</v>
          </cell>
          <cell r="I3157">
            <v>0</v>
          </cell>
          <cell r="J3157">
            <v>11200</v>
          </cell>
          <cell r="K3157">
            <v>0</v>
          </cell>
          <cell r="L3157">
            <v>11200</v>
          </cell>
          <cell r="M3157">
            <v>0</v>
          </cell>
          <cell r="N3157">
            <v>11200</v>
          </cell>
          <cell r="O3157">
            <v>0</v>
          </cell>
          <cell r="P3157">
            <v>11200</v>
          </cell>
          <cell r="Q3157">
            <v>0</v>
          </cell>
          <cell r="R3157">
            <v>11200</v>
          </cell>
          <cell r="S3157">
            <v>0</v>
          </cell>
          <cell r="T3157">
            <v>11200</v>
          </cell>
          <cell r="U3157">
            <v>0</v>
          </cell>
          <cell r="V3157">
            <v>11200</v>
          </cell>
          <cell r="W3157">
            <v>0</v>
          </cell>
          <cell r="X3157">
            <v>11200</v>
          </cell>
          <cell r="Y3157">
            <v>0</v>
          </cell>
          <cell r="Z3157">
            <v>11200</v>
          </cell>
          <cell r="AA3157">
            <v>0</v>
          </cell>
          <cell r="AB3157">
            <v>0</v>
          </cell>
          <cell r="AC3157">
            <v>0</v>
          </cell>
          <cell r="AD3157">
            <v>2.7</v>
          </cell>
          <cell r="AE3157">
            <v>0</v>
          </cell>
          <cell r="AF3157">
            <v>0</v>
          </cell>
          <cell r="AG3157">
            <v>0</v>
          </cell>
          <cell r="AH3157">
            <v>0</v>
          </cell>
          <cell r="AI3157">
            <v>0</v>
          </cell>
          <cell r="AJ3157">
            <v>0</v>
          </cell>
          <cell r="AK3157">
            <v>0</v>
          </cell>
          <cell r="AL3157">
            <v>0</v>
          </cell>
        </row>
        <row r="3158">
          <cell r="E3158" t="str">
            <v>突針 NTT型</v>
          </cell>
          <cell r="F3158" t="str">
            <v>基</v>
          </cell>
          <cell r="G3158">
            <v>0</v>
          </cell>
          <cell r="H3158">
            <v>11200</v>
          </cell>
          <cell r="I3158">
            <v>0</v>
          </cell>
          <cell r="J3158">
            <v>11200</v>
          </cell>
          <cell r="K3158">
            <v>0</v>
          </cell>
          <cell r="L3158">
            <v>11200</v>
          </cell>
          <cell r="M3158">
            <v>0</v>
          </cell>
          <cell r="N3158">
            <v>11200</v>
          </cell>
          <cell r="O3158">
            <v>0</v>
          </cell>
          <cell r="P3158">
            <v>11200</v>
          </cell>
          <cell r="Q3158">
            <v>0</v>
          </cell>
          <cell r="R3158">
            <v>11200</v>
          </cell>
          <cell r="S3158">
            <v>0</v>
          </cell>
          <cell r="T3158">
            <v>11200</v>
          </cell>
          <cell r="U3158">
            <v>0</v>
          </cell>
          <cell r="V3158">
            <v>11200</v>
          </cell>
          <cell r="W3158">
            <v>0</v>
          </cell>
          <cell r="X3158">
            <v>11200</v>
          </cell>
          <cell r="Y3158">
            <v>0</v>
          </cell>
          <cell r="Z3158">
            <v>11200</v>
          </cell>
          <cell r="AA3158">
            <v>0</v>
          </cell>
          <cell r="AB3158">
            <v>0</v>
          </cell>
          <cell r="AC3158">
            <v>0</v>
          </cell>
          <cell r="AD3158">
            <v>2.7</v>
          </cell>
          <cell r="AE3158">
            <v>0</v>
          </cell>
          <cell r="AF3158">
            <v>0</v>
          </cell>
          <cell r="AG3158">
            <v>0</v>
          </cell>
          <cell r="AH3158">
            <v>0</v>
          </cell>
          <cell r="AI3158">
            <v>0</v>
          </cell>
          <cell r="AJ3158">
            <v>0</v>
          </cell>
          <cell r="AK3158">
            <v>0</v>
          </cell>
          <cell r="AL3158">
            <v>0</v>
          </cell>
        </row>
        <row r="3159">
          <cell r="E3159" t="str">
            <v>側壁型 φ48.6 4m STK</v>
          </cell>
          <cell r="F3159" t="str">
            <v>本</v>
          </cell>
          <cell r="G3159">
            <v>0</v>
          </cell>
          <cell r="H3159">
            <v>17700</v>
          </cell>
          <cell r="I3159">
            <v>0</v>
          </cell>
          <cell r="J3159">
            <v>17700</v>
          </cell>
          <cell r="K3159">
            <v>0</v>
          </cell>
          <cell r="L3159">
            <v>17700</v>
          </cell>
          <cell r="M3159">
            <v>0</v>
          </cell>
          <cell r="N3159">
            <v>17700</v>
          </cell>
          <cell r="O3159">
            <v>0</v>
          </cell>
          <cell r="P3159">
            <v>17700</v>
          </cell>
          <cell r="Q3159">
            <v>0</v>
          </cell>
          <cell r="R3159">
            <v>17700</v>
          </cell>
          <cell r="S3159">
            <v>0</v>
          </cell>
          <cell r="T3159">
            <v>17700</v>
          </cell>
          <cell r="U3159">
            <v>0</v>
          </cell>
          <cell r="V3159">
            <v>17700</v>
          </cell>
          <cell r="W3159">
            <v>0</v>
          </cell>
          <cell r="X3159">
            <v>17700</v>
          </cell>
          <cell r="Y3159">
            <v>0</v>
          </cell>
          <cell r="Z3159">
            <v>17700</v>
          </cell>
          <cell r="AA3159">
            <v>0</v>
          </cell>
          <cell r="AB3159">
            <v>0</v>
          </cell>
          <cell r="AC3159">
            <v>0</v>
          </cell>
          <cell r="AD3159">
            <v>0.7</v>
          </cell>
          <cell r="AE3159">
            <v>0</v>
          </cell>
          <cell r="AF3159">
            <v>0</v>
          </cell>
          <cell r="AG3159">
            <v>0</v>
          </cell>
          <cell r="AH3159">
            <v>0</v>
          </cell>
          <cell r="AI3159">
            <v>0</v>
          </cell>
          <cell r="AJ3159">
            <v>0</v>
          </cell>
          <cell r="AK3159">
            <v>0</v>
          </cell>
          <cell r="AL3159">
            <v>0</v>
          </cell>
        </row>
        <row r="3160">
          <cell r="E3160" t="str">
            <v>側壁型 φ48.6 5m STK</v>
          </cell>
          <cell r="F3160" t="str">
            <v>本</v>
          </cell>
          <cell r="G3160">
            <v>0</v>
          </cell>
          <cell r="H3160">
            <v>19800</v>
          </cell>
          <cell r="I3160">
            <v>0</v>
          </cell>
          <cell r="J3160">
            <v>19800</v>
          </cell>
          <cell r="K3160">
            <v>0</v>
          </cell>
          <cell r="L3160">
            <v>19800</v>
          </cell>
          <cell r="M3160">
            <v>0</v>
          </cell>
          <cell r="N3160">
            <v>19800</v>
          </cell>
          <cell r="O3160">
            <v>0</v>
          </cell>
          <cell r="P3160">
            <v>19800</v>
          </cell>
          <cell r="Q3160">
            <v>0</v>
          </cell>
          <cell r="R3160">
            <v>19800</v>
          </cell>
          <cell r="S3160">
            <v>0</v>
          </cell>
          <cell r="T3160">
            <v>19800</v>
          </cell>
          <cell r="U3160">
            <v>0</v>
          </cell>
          <cell r="V3160">
            <v>19800</v>
          </cell>
          <cell r="W3160">
            <v>0</v>
          </cell>
          <cell r="X3160">
            <v>19800</v>
          </cell>
          <cell r="Y3160">
            <v>0</v>
          </cell>
          <cell r="Z3160">
            <v>19800</v>
          </cell>
          <cell r="AA3160">
            <v>0</v>
          </cell>
          <cell r="AB3160">
            <v>0</v>
          </cell>
          <cell r="AC3160">
            <v>0</v>
          </cell>
          <cell r="AD3160">
            <v>0.8</v>
          </cell>
          <cell r="AE3160">
            <v>0</v>
          </cell>
          <cell r="AF3160">
            <v>0</v>
          </cell>
          <cell r="AG3160">
            <v>0</v>
          </cell>
          <cell r="AH3160">
            <v>0</v>
          </cell>
          <cell r="AI3160">
            <v>0</v>
          </cell>
          <cell r="AJ3160">
            <v>0</v>
          </cell>
          <cell r="AK3160">
            <v>0</v>
          </cell>
          <cell r="AL3160">
            <v>0</v>
          </cell>
        </row>
        <row r="3161">
          <cell r="E3161" t="str">
            <v>側壁型 φ48.6～60.3 6m STK</v>
          </cell>
          <cell r="F3161" t="str">
            <v>本</v>
          </cell>
          <cell r="G3161">
            <v>0</v>
          </cell>
          <cell r="H3161">
            <v>28400</v>
          </cell>
          <cell r="I3161">
            <v>0</v>
          </cell>
          <cell r="J3161">
            <v>28400</v>
          </cell>
          <cell r="K3161">
            <v>0</v>
          </cell>
          <cell r="L3161">
            <v>28400</v>
          </cell>
          <cell r="M3161">
            <v>0</v>
          </cell>
          <cell r="N3161">
            <v>28400</v>
          </cell>
          <cell r="O3161">
            <v>0</v>
          </cell>
          <cell r="P3161">
            <v>28400</v>
          </cell>
          <cell r="Q3161">
            <v>0</v>
          </cell>
          <cell r="R3161">
            <v>28400</v>
          </cell>
          <cell r="S3161">
            <v>0</v>
          </cell>
          <cell r="T3161">
            <v>28400</v>
          </cell>
          <cell r="U3161">
            <v>0</v>
          </cell>
          <cell r="V3161">
            <v>28400</v>
          </cell>
          <cell r="W3161">
            <v>0</v>
          </cell>
          <cell r="X3161">
            <v>28400</v>
          </cell>
          <cell r="Y3161">
            <v>0</v>
          </cell>
          <cell r="Z3161">
            <v>28400</v>
          </cell>
          <cell r="AA3161">
            <v>0</v>
          </cell>
          <cell r="AB3161">
            <v>0</v>
          </cell>
          <cell r="AC3161">
            <v>0</v>
          </cell>
          <cell r="AD3161">
            <v>0.9</v>
          </cell>
          <cell r="AE3161">
            <v>0</v>
          </cell>
          <cell r="AF3161">
            <v>0</v>
          </cell>
          <cell r="AG3161">
            <v>0</v>
          </cell>
          <cell r="AH3161">
            <v>0</v>
          </cell>
          <cell r="AI3161">
            <v>0</v>
          </cell>
          <cell r="AJ3161">
            <v>0</v>
          </cell>
          <cell r="AK3161">
            <v>0</v>
          </cell>
          <cell r="AL3161">
            <v>0</v>
          </cell>
        </row>
        <row r="3162">
          <cell r="E3162" t="str">
            <v>側壁型 φ48.6～76.3 6m STK</v>
          </cell>
          <cell r="F3162" t="str">
            <v>本</v>
          </cell>
          <cell r="G3162">
            <v>0</v>
          </cell>
          <cell r="H3162">
            <v>41800</v>
          </cell>
          <cell r="I3162">
            <v>0</v>
          </cell>
          <cell r="J3162">
            <v>41800</v>
          </cell>
          <cell r="K3162">
            <v>0</v>
          </cell>
          <cell r="L3162">
            <v>41800</v>
          </cell>
          <cell r="M3162">
            <v>0</v>
          </cell>
          <cell r="N3162">
            <v>41800</v>
          </cell>
          <cell r="O3162">
            <v>0</v>
          </cell>
          <cell r="P3162">
            <v>41800</v>
          </cell>
          <cell r="Q3162">
            <v>0</v>
          </cell>
          <cell r="R3162">
            <v>41800</v>
          </cell>
          <cell r="S3162">
            <v>0</v>
          </cell>
          <cell r="T3162">
            <v>41800</v>
          </cell>
          <cell r="U3162">
            <v>0</v>
          </cell>
          <cell r="V3162">
            <v>41800</v>
          </cell>
          <cell r="W3162">
            <v>0</v>
          </cell>
          <cell r="X3162">
            <v>41800</v>
          </cell>
          <cell r="Y3162">
            <v>0</v>
          </cell>
          <cell r="Z3162">
            <v>41800</v>
          </cell>
          <cell r="AA3162">
            <v>0</v>
          </cell>
          <cell r="AB3162">
            <v>0</v>
          </cell>
          <cell r="AC3162">
            <v>0</v>
          </cell>
          <cell r="AD3162">
            <v>0.9</v>
          </cell>
          <cell r="AE3162">
            <v>0</v>
          </cell>
          <cell r="AF3162">
            <v>0</v>
          </cell>
          <cell r="AG3162">
            <v>0</v>
          </cell>
          <cell r="AH3162">
            <v>0</v>
          </cell>
          <cell r="AI3162">
            <v>0</v>
          </cell>
          <cell r="AJ3162">
            <v>0</v>
          </cell>
          <cell r="AK3162">
            <v>0</v>
          </cell>
          <cell r="AL3162">
            <v>0</v>
          </cell>
        </row>
        <row r="3163">
          <cell r="E3163" t="str">
            <v>側壁型 φ48.6～76.3 7m STK</v>
          </cell>
          <cell r="F3163" t="str">
            <v>本</v>
          </cell>
          <cell r="G3163">
            <v>0</v>
          </cell>
          <cell r="H3163">
            <v>44700</v>
          </cell>
          <cell r="I3163">
            <v>0</v>
          </cell>
          <cell r="J3163">
            <v>44700</v>
          </cell>
          <cell r="K3163">
            <v>0</v>
          </cell>
          <cell r="L3163">
            <v>44700</v>
          </cell>
          <cell r="M3163">
            <v>0</v>
          </cell>
          <cell r="N3163">
            <v>44700</v>
          </cell>
          <cell r="O3163">
            <v>0</v>
          </cell>
          <cell r="P3163">
            <v>44700</v>
          </cell>
          <cell r="Q3163">
            <v>0</v>
          </cell>
          <cell r="R3163">
            <v>44700</v>
          </cell>
          <cell r="S3163">
            <v>0</v>
          </cell>
          <cell r="T3163">
            <v>44700</v>
          </cell>
          <cell r="U3163">
            <v>0</v>
          </cell>
          <cell r="V3163">
            <v>44700</v>
          </cell>
          <cell r="W3163">
            <v>0</v>
          </cell>
          <cell r="X3163">
            <v>44700</v>
          </cell>
          <cell r="Y3163">
            <v>0</v>
          </cell>
          <cell r="Z3163">
            <v>44700</v>
          </cell>
          <cell r="AA3163">
            <v>0</v>
          </cell>
          <cell r="AB3163">
            <v>0</v>
          </cell>
          <cell r="AC3163">
            <v>0</v>
          </cell>
          <cell r="AD3163">
            <v>1</v>
          </cell>
          <cell r="AE3163">
            <v>0</v>
          </cell>
          <cell r="AF3163">
            <v>0</v>
          </cell>
          <cell r="AG3163">
            <v>0</v>
          </cell>
          <cell r="AH3163">
            <v>0</v>
          </cell>
          <cell r="AI3163">
            <v>0</v>
          </cell>
          <cell r="AJ3163">
            <v>0</v>
          </cell>
          <cell r="AK3163">
            <v>0</v>
          </cell>
          <cell r="AL3163">
            <v>0</v>
          </cell>
        </row>
        <row r="3164">
          <cell r="E3164" t="str">
            <v>側壁型 φ48.6～76.3 8m STK</v>
          </cell>
          <cell r="F3164" t="str">
            <v>本</v>
          </cell>
          <cell r="G3164">
            <v>0</v>
          </cell>
          <cell r="H3164">
            <v>48200</v>
          </cell>
          <cell r="I3164">
            <v>0</v>
          </cell>
          <cell r="J3164">
            <v>48200</v>
          </cell>
          <cell r="K3164">
            <v>0</v>
          </cell>
          <cell r="L3164">
            <v>48200</v>
          </cell>
          <cell r="M3164">
            <v>0</v>
          </cell>
          <cell r="N3164">
            <v>48200</v>
          </cell>
          <cell r="O3164">
            <v>0</v>
          </cell>
          <cell r="P3164">
            <v>48200</v>
          </cell>
          <cell r="Q3164">
            <v>0</v>
          </cell>
          <cell r="R3164">
            <v>48200</v>
          </cell>
          <cell r="S3164">
            <v>0</v>
          </cell>
          <cell r="T3164">
            <v>48200</v>
          </cell>
          <cell r="U3164">
            <v>0</v>
          </cell>
          <cell r="V3164">
            <v>48200</v>
          </cell>
          <cell r="W3164">
            <v>0</v>
          </cell>
          <cell r="X3164">
            <v>48200</v>
          </cell>
          <cell r="Y3164">
            <v>0</v>
          </cell>
          <cell r="Z3164">
            <v>48200</v>
          </cell>
          <cell r="AA3164">
            <v>0</v>
          </cell>
          <cell r="AB3164">
            <v>0</v>
          </cell>
          <cell r="AC3164">
            <v>0</v>
          </cell>
          <cell r="AD3164">
            <v>1.1000000000000001</v>
          </cell>
          <cell r="AE3164">
            <v>0</v>
          </cell>
          <cell r="AF3164">
            <v>0</v>
          </cell>
          <cell r="AG3164">
            <v>0</v>
          </cell>
          <cell r="AH3164">
            <v>0</v>
          </cell>
          <cell r="AI3164">
            <v>0</v>
          </cell>
          <cell r="AJ3164">
            <v>0</v>
          </cell>
          <cell r="AK3164">
            <v>0</v>
          </cell>
          <cell r="AL3164">
            <v>0</v>
          </cell>
        </row>
        <row r="3165">
          <cell r="E3165" t="str">
            <v>側壁型 φ60.5～89.1 7m STK</v>
          </cell>
          <cell r="F3165" t="str">
            <v>本</v>
          </cell>
          <cell r="G3165">
            <v>0</v>
          </cell>
          <cell r="H3165">
            <v>52500</v>
          </cell>
          <cell r="I3165">
            <v>0</v>
          </cell>
          <cell r="J3165">
            <v>52500</v>
          </cell>
          <cell r="K3165">
            <v>0</v>
          </cell>
          <cell r="L3165">
            <v>52500</v>
          </cell>
          <cell r="M3165">
            <v>0</v>
          </cell>
          <cell r="N3165">
            <v>52500</v>
          </cell>
          <cell r="O3165">
            <v>0</v>
          </cell>
          <cell r="P3165">
            <v>52500</v>
          </cell>
          <cell r="Q3165">
            <v>0</v>
          </cell>
          <cell r="R3165">
            <v>52500</v>
          </cell>
          <cell r="S3165">
            <v>0</v>
          </cell>
          <cell r="T3165">
            <v>52500</v>
          </cell>
          <cell r="U3165">
            <v>0</v>
          </cell>
          <cell r="V3165">
            <v>52500</v>
          </cell>
          <cell r="W3165">
            <v>0</v>
          </cell>
          <cell r="X3165">
            <v>52500</v>
          </cell>
          <cell r="Y3165">
            <v>0</v>
          </cell>
          <cell r="Z3165">
            <v>52500</v>
          </cell>
          <cell r="AA3165">
            <v>0</v>
          </cell>
          <cell r="AB3165">
            <v>0</v>
          </cell>
          <cell r="AC3165">
            <v>0</v>
          </cell>
          <cell r="AD3165">
            <v>1</v>
          </cell>
          <cell r="AE3165">
            <v>0</v>
          </cell>
          <cell r="AF3165">
            <v>0</v>
          </cell>
          <cell r="AG3165">
            <v>0</v>
          </cell>
          <cell r="AH3165">
            <v>0</v>
          </cell>
          <cell r="AI3165">
            <v>0</v>
          </cell>
          <cell r="AJ3165">
            <v>0</v>
          </cell>
          <cell r="AK3165">
            <v>0</v>
          </cell>
          <cell r="AL3165">
            <v>0</v>
          </cell>
        </row>
        <row r="3166">
          <cell r="E3166" t="str">
            <v>側壁型 φ60.5～89.1 8m STK</v>
          </cell>
          <cell r="F3166" t="str">
            <v>本</v>
          </cell>
          <cell r="G3166">
            <v>0</v>
          </cell>
          <cell r="H3166">
            <v>56000</v>
          </cell>
          <cell r="I3166">
            <v>0</v>
          </cell>
          <cell r="J3166">
            <v>56000</v>
          </cell>
          <cell r="K3166">
            <v>0</v>
          </cell>
          <cell r="L3166">
            <v>56000</v>
          </cell>
          <cell r="M3166">
            <v>0</v>
          </cell>
          <cell r="N3166">
            <v>56000</v>
          </cell>
          <cell r="O3166">
            <v>0</v>
          </cell>
          <cell r="P3166">
            <v>56000</v>
          </cell>
          <cell r="Q3166">
            <v>0</v>
          </cell>
          <cell r="R3166">
            <v>56000</v>
          </cell>
          <cell r="S3166">
            <v>0</v>
          </cell>
          <cell r="T3166">
            <v>56000</v>
          </cell>
          <cell r="U3166">
            <v>0</v>
          </cell>
          <cell r="V3166">
            <v>56000</v>
          </cell>
          <cell r="W3166">
            <v>0</v>
          </cell>
          <cell r="X3166">
            <v>56000</v>
          </cell>
          <cell r="Y3166">
            <v>0</v>
          </cell>
          <cell r="Z3166">
            <v>56000</v>
          </cell>
          <cell r="AA3166">
            <v>0</v>
          </cell>
          <cell r="AB3166">
            <v>0</v>
          </cell>
          <cell r="AC3166">
            <v>0</v>
          </cell>
          <cell r="AD3166">
            <v>1.1000000000000001</v>
          </cell>
          <cell r="AE3166">
            <v>0</v>
          </cell>
          <cell r="AF3166">
            <v>0</v>
          </cell>
          <cell r="AG3166">
            <v>0</v>
          </cell>
          <cell r="AH3166">
            <v>0</v>
          </cell>
          <cell r="AI3166">
            <v>0</v>
          </cell>
          <cell r="AJ3166">
            <v>0</v>
          </cell>
          <cell r="AK3166">
            <v>0</v>
          </cell>
          <cell r="AL3166">
            <v>0</v>
          </cell>
        </row>
        <row r="3167">
          <cell r="E3167" t="str">
            <v>側壁型 φ48.6 5m SUS</v>
          </cell>
          <cell r="F3167" t="str">
            <v>本</v>
          </cell>
          <cell r="G3167">
            <v>0</v>
          </cell>
          <cell r="H3167">
            <v>21600</v>
          </cell>
          <cell r="I3167">
            <v>0</v>
          </cell>
          <cell r="J3167">
            <v>21600</v>
          </cell>
          <cell r="K3167">
            <v>0</v>
          </cell>
          <cell r="L3167">
            <v>21600</v>
          </cell>
          <cell r="M3167">
            <v>0</v>
          </cell>
          <cell r="N3167">
            <v>21600</v>
          </cell>
          <cell r="O3167">
            <v>0</v>
          </cell>
          <cell r="P3167">
            <v>21600</v>
          </cell>
          <cell r="Q3167">
            <v>0</v>
          </cell>
          <cell r="R3167">
            <v>21600</v>
          </cell>
          <cell r="S3167">
            <v>0</v>
          </cell>
          <cell r="T3167">
            <v>21600</v>
          </cell>
          <cell r="U3167">
            <v>0</v>
          </cell>
          <cell r="V3167">
            <v>21600</v>
          </cell>
          <cell r="W3167">
            <v>0</v>
          </cell>
          <cell r="X3167">
            <v>21600</v>
          </cell>
          <cell r="Y3167">
            <v>0</v>
          </cell>
          <cell r="Z3167">
            <v>21600</v>
          </cell>
          <cell r="AA3167">
            <v>0</v>
          </cell>
          <cell r="AB3167">
            <v>0</v>
          </cell>
          <cell r="AC3167">
            <v>0</v>
          </cell>
          <cell r="AD3167">
            <v>0.8</v>
          </cell>
          <cell r="AE3167">
            <v>0</v>
          </cell>
          <cell r="AF3167">
            <v>0</v>
          </cell>
          <cell r="AG3167">
            <v>0</v>
          </cell>
          <cell r="AH3167">
            <v>0</v>
          </cell>
          <cell r="AI3167">
            <v>0</v>
          </cell>
          <cell r="AJ3167">
            <v>0</v>
          </cell>
          <cell r="AK3167">
            <v>0</v>
          </cell>
          <cell r="AL3167">
            <v>0</v>
          </cell>
        </row>
        <row r="3168">
          <cell r="E3168" t="str">
            <v>側壁型 φ48.6～60.5 5m STK</v>
          </cell>
          <cell r="F3168" t="str">
            <v>本</v>
          </cell>
          <cell r="G3168">
            <v>0</v>
          </cell>
          <cell r="H3168">
            <v>34400</v>
          </cell>
          <cell r="I3168">
            <v>0</v>
          </cell>
          <cell r="J3168">
            <v>34400</v>
          </cell>
          <cell r="K3168">
            <v>0</v>
          </cell>
          <cell r="L3168">
            <v>34400</v>
          </cell>
          <cell r="M3168">
            <v>0</v>
          </cell>
          <cell r="N3168">
            <v>34400</v>
          </cell>
          <cell r="O3168">
            <v>0</v>
          </cell>
          <cell r="P3168">
            <v>34400</v>
          </cell>
          <cell r="Q3168">
            <v>0</v>
          </cell>
          <cell r="R3168">
            <v>34400</v>
          </cell>
          <cell r="S3168">
            <v>0</v>
          </cell>
          <cell r="T3168">
            <v>34400</v>
          </cell>
          <cell r="U3168">
            <v>0</v>
          </cell>
          <cell r="V3168">
            <v>34400</v>
          </cell>
          <cell r="W3168">
            <v>0</v>
          </cell>
          <cell r="X3168">
            <v>34400</v>
          </cell>
          <cell r="Y3168">
            <v>0</v>
          </cell>
          <cell r="Z3168">
            <v>34400</v>
          </cell>
          <cell r="AA3168">
            <v>0</v>
          </cell>
          <cell r="AB3168">
            <v>0</v>
          </cell>
          <cell r="AC3168">
            <v>0</v>
          </cell>
          <cell r="AD3168">
            <v>0.9</v>
          </cell>
          <cell r="AE3168">
            <v>0</v>
          </cell>
          <cell r="AF3168">
            <v>0</v>
          </cell>
          <cell r="AG3168">
            <v>0</v>
          </cell>
          <cell r="AH3168">
            <v>0</v>
          </cell>
          <cell r="AI3168">
            <v>0</v>
          </cell>
          <cell r="AJ3168">
            <v>0</v>
          </cell>
          <cell r="AK3168">
            <v>0</v>
          </cell>
          <cell r="AL3168">
            <v>0</v>
          </cell>
        </row>
        <row r="3169">
          <cell r="E3169" t="str">
            <v>側壁型 φ48.6～60.5 6m STK</v>
          </cell>
          <cell r="F3169" t="str">
            <v>本</v>
          </cell>
          <cell r="G3169">
            <v>0</v>
          </cell>
          <cell r="H3169">
            <v>39200</v>
          </cell>
          <cell r="I3169">
            <v>0</v>
          </cell>
          <cell r="J3169">
            <v>39200</v>
          </cell>
          <cell r="K3169">
            <v>0</v>
          </cell>
          <cell r="L3169">
            <v>39200</v>
          </cell>
          <cell r="M3169">
            <v>0</v>
          </cell>
          <cell r="N3169">
            <v>39200</v>
          </cell>
          <cell r="O3169">
            <v>0</v>
          </cell>
          <cell r="P3169">
            <v>39200</v>
          </cell>
          <cell r="Q3169">
            <v>0</v>
          </cell>
          <cell r="R3169">
            <v>39200</v>
          </cell>
          <cell r="S3169">
            <v>0</v>
          </cell>
          <cell r="T3169">
            <v>39200</v>
          </cell>
          <cell r="U3169">
            <v>0</v>
          </cell>
          <cell r="V3169">
            <v>39200</v>
          </cell>
          <cell r="W3169">
            <v>0</v>
          </cell>
          <cell r="X3169">
            <v>39200</v>
          </cell>
          <cell r="Y3169">
            <v>0</v>
          </cell>
          <cell r="Z3169">
            <v>39200</v>
          </cell>
          <cell r="AA3169">
            <v>0</v>
          </cell>
          <cell r="AB3169">
            <v>0</v>
          </cell>
          <cell r="AC3169">
            <v>0</v>
          </cell>
          <cell r="AD3169">
            <v>0.9</v>
          </cell>
          <cell r="AE3169">
            <v>0</v>
          </cell>
          <cell r="AF3169">
            <v>0</v>
          </cell>
          <cell r="AG3169">
            <v>0</v>
          </cell>
          <cell r="AH3169">
            <v>0</v>
          </cell>
          <cell r="AI3169">
            <v>0</v>
          </cell>
          <cell r="AJ3169">
            <v>0</v>
          </cell>
          <cell r="AK3169">
            <v>0</v>
          </cell>
          <cell r="AL3169">
            <v>0</v>
          </cell>
        </row>
        <row r="3170">
          <cell r="E3170" t="str">
            <v>側壁型 φ48.6～76.3 6m STK</v>
          </cell>
          <cell r="F3170" t="str">
            <v>本</v>
          </cell>
          <cell r="G3170">
            <v>0</v>
          </cell>
          <cell r="H3170">
            <v>44000</v>
          </cell>
          <cell r="I3170">
            <v>0</v>
          </cell>
          <cell r="J3170">
            <v>44000</v>
          </cell>
          <cell r="K3170">
            <v>0</v>
          </cell>
          <cell r="L3170">
            <v>44000</v>
          </cell>
          <cell r="M3170">
            <v>0</v>
          </cell>
          <cell r="N3170">
            <v>44000</v>
          </cell>
          <cell r="O3170">
            <v>0</v>
          </cell>
          <cell r="P3170">
            <v>44000</v>
          </cell>
          <cell r="Q3170">
            <v>0</v>
          </cell>
          <cell r="R3170">
            <v>44000</v>
          </cell>
          <cell r="S3170">
            <v>0</v>
          </cell>
          <cell r="T3170">
            <v>44000</v>
          </cell>
          <cell r="U3170">
            <v>0</v>
          </cell>
          <cell r="V3170">
            <v>44000</v>
          </cell>
          <cell r="W3170">
            <v>0</v>
          </cell>
          <cell r="X3170">
            <v>44000</v>
          </cell>
          <cell r="Y3170">
            <v>0</v>
          </cell>
          <cell r="Z3170">
            <v>44000</v>
          </cell>
          <cell r="AA3170">
            <v>0</v>
          </cell>
          <cell r="AB3170">
            <v>0</v>
          </cell>
          <cell r="AC3170">
            <v>0</v>
          </cell>
          <cell r="AD3170">
            <v>0.9</v>
          </cell>
          <cell r="AE3170">
            <v>0</v>
          </cell>
          <cell r="AF3170">
            <v>0</v>
          </cell>
          <cell r="AG3170">
            <v>0</v>
          </cell>
          <cell r="AH3170">
            <v>0</v>
          </cell>
          <cell r="AI3170">
            <v>0</v>
          </cell>
          <cell r="AJ3170">
            <v>0</v>
          </cell>
          <cell r="AK3170">
            <v>0</v>
          </cell>
          <cell r="AL3170">
            <v>0</v>
          </cell>
        </row>
        <row r="3171">
          <cell r="E3171" t="str">
            <v>側壁型 φ48.6～76.3 7m STK</v>
          </cell>
          <cell r="F3171" t="str">
            <v>本</v>
          </cell>
          <cell r="G3171">
            <v>0</v>
          </cell>
          <cell r="H3171">
            <v>48800</v>
          </cell>
          <cell r="I3171">
            <v>0</v>
          </cell>
          <cell r="J3171">
            <v>48800</v>
          </cell>
          <cell r="K3171">
            <v>0</v>
          </cell>
          <cell r="L3171">
            <v>48800</v>
          </cell>
          <cell r="M3171">
            <v>0</v>
          </cell>
          <cell r="N3171">
            <v>48800</v>
          </cell>
          <cell r="O3171">
            <v>0</v>
          </cell>
          <cell r="P3171">
            <v>48800</v>
          </cell>
          <cell r="Q3171">
            <v>0</v>
          </cell>
          <cell r="R3171">
            <v>48800</v>
          </cell>
          <cell r="S3171">
            <v>0</v>
          </cell>
          <cell r="T3171">
            <v>48800</v>
          </cell>
          <cell r="U3171">
            <v>0</v>
          </cell>
          <cell r="V3171">
            <v>48800</v>
          </cell>
          <cell r="W3171">
            <v>0</v>
          </cell>
          <cell r="X3171">
            <v>48800</v>
          </cell>
          <cell r="Y3171">
            <v>0</v>
          </cell>
          <cell r="Z3171">
            <v>48800</v>
          </cell>
          <cell r="AA3171">
            <v>0</v>
          </cell>
          <cell r="AB3171">
            <v>0</v>
          </cell>
          <cell r="AC3171">
            <v>0</v>
          </cell>
          <cell r="AD3171">
            <v>1</v>
          </cell>
          <cell r="AE3171">
            <v>0</v>
          </cell>
          <cell r="AF3171">
            <v>0</v>
          </cell>
          <cell r="AG3171">
            <v>0</v>
          </cell>
          <cell r="AH3171">
            <v>0</v>
          </cell>
          <cell r="AI3171">
            <v>0</v>
          </cell>
          <cell r="AJ3171">
            <v>0</v>
          </cell>
          <cell r="AK3171">
            <v>0</v>
          </cell>
          <cell r="AL3171">
            <v>0</v>
          </cell>
        </row>
        <row r="3172">
          <cell r="E3172" t="str">
            <v>側壁型 φ48.6～89.1 7m STK</v>
          </cell>
          <cell r="F3172" t="str">
            <v>本</v>
          </cell>
          <cell r="G3172">
            <v>0</v>
          </cell>
          <cell r="H3172">
            <v>52800</v>
          </cell>
          <cell r="I3172">
            <v>0</v>
          </cell>
          <cell r="J3172">
            <v>52800</v>
          </cell>
          <cell r="K3172">
            <v>0</v>
          </cell>
          <cell r="L3172">
            <v>52800</v>
          </cell>
          <cell r="M3172">
            <v>0</v>
          </cell>
          <cell r="N3172">
            <v>52800</v>
          </cell>
          <cell r="O3172">
            <v>0</v>
          </cell>
          <cell r="P3172">
            <v>52800</v>
          </cell>
          <cell r="Q3172">
            <v>0</v>
          </cell>
          <cell r="R3172">
            <v>52800</v>
          </cell>
          <cell r="S3172">
            <v>0</v>
          </cell>
          <cell r="T3172">
            <v>52800</v>
          </cell>
          <cell r="U3172">
            <v>0</v>
          </cell>
          <cell r="V3172">
            <v>52800</v>
          </cell>
          <cell r="W3172">
            <v>0</v>
          </cell>
          <cell r="X3172">
            <v>52800</v>
          </cell>
          <cell r="Y3172">
            <v>0</v>
          </cell>
          <cell r="Z3172">
            <v>52800</v>
          </cell>
          <cell r="AA3172">
            <v>0</v>
          </cell>
          <cell r="AB3172">
            <v>0</v>
          </cell>
          <cell r="AC3172">
            <v>0</v>
          </cell>
          <cell r="AD3172">
            <v>1</v>
          </cell>
          <cell r="AE3172">
            <v>0</v>
          </cell>
          <cell r="AF3172">
            <v>0</v>
          </cell>
          <cell r="AG3172">
            <v>0</v>
          </cell>
          <cell r="AH3172">
            <v>0</v>
          </cell>
          <cell r="AI3172">
            <v>0</v>
          </cell>
          <cell r="AJ3172">
            <v>0</v>
          </cell>
          <cell r="AK3172">
            <v>0</v>
          </cell>
          <cell r="AL3172">
            <v>0</v>
          </cell>
        </row>
        <row r="3173">
          <cell r="E3173" t="str">
            <v>支持管 自立型 φ60.5 4m STK</v>
          </cell>
          <cell r="F3173" t="str">
            <v>本</v>
          </cell>
          <cell r="G3173">
            <v>0</v>
          </cell>
          <cell r="H3173">
            <v>21300</v>
          </cell>
          <cell r="I3173">
            <v>0</v>
          </cell>
          <cell r="J3173">
            <v>21300</v>
          </cell>
          <cell r="K3173">
            <v>0</v>
          </cell>
          <cell r="L3173">
            <v>21300</v>
          </cell>
          <cell r="M3173">
            <v>0</v>
          </cell>
          <cell r="N3173">
            <v>21300</v>
          </cell>
          <cell r="O3173">
            <v>0</v>
          </cell>
          <cell r="P3173">
            <v>21300</v>
          </cell>
          <cell r="Q3173">
            <v>0</v>
          </cell>
          <cell r="R3173">
            <v>21300</v>
          </cell>
          <cell r="S3173">
            <v>0</v>
          </cell>
          <cell r="T3173">
            <v>21300</v>
          </cell>
          <cell r="U3173">
            <v>0</v>
          </cell>
          <cell r="V3173">
            <v>21300</v>
          </cell>
          <cell r="W3173">
            <v>0</v>
          </cell>
          <cell r="X3173">
            <v>21300</v>
          </cell>
          <cell r="Y3173">
            <v>0</v>
          </cell>
          <cell r="Z3173">
            <v>21300</v>
          </cell>
          <cell r="AA3173">
            <v>0</v>
          </cell>
          <cell r="AB3173">
            <v>0</v>
          </cell>
          <cell r="AC3173">
            <v>0</v>
          </cell>
          <cell r="AD3173">
            <v>0.7</v>
          </cell>
          <cell r="AE3173">
            <v>0</v>
          </cell>
          <cell r="AF3173">
            <v>0</v>
          </cell>
          <cell r="AG3173">
            <v>0</v>
          </cell>
          <cell r="AH3173">
            <v>0</v>
          </cell>
          <cell r="AI3173">
            <v>0</v>
          </cell>
          <cell r="AJ3173">
            <v>0</v>
          </cell>
          <cell r="AK3173">
            <v>0</v>
          </cell>
          <cell r="AL3173">
            <v>0</v>
          </cell>
        </row>
        <row r="3174">
          <cell r="E3174" t="str">
            <v>支持管 自立型 φ60.5 5m STK</v>
          </cell>
          <cell r="F3174" t="str">
            <v>本</v>
          </cell>
          <cell r="G3174">
            <v>0</v>
          </cell>
          <cell r="H3174">
            <v>23400</v>
          </cell>
          <cell r="I3174">
            <v>0</v>
          </cell>
          <cell r="J3174">
            <v>23400</v>
          </cell>
          <cell r="K3174">
            <v>0</v>
          </cell>
          <cell r="L3174">
            <v>23400</v>
          </cell>
          <cell r="M3174">
            <v>0</v>
          </cell>
          <cell r="N3174">
            <v>23400</v>
          </cell>
          <cell r="O3174">
            <v>0</v>
          </cell>
          <cell r="P3174">
            <v>23400</v>
          </cell>
          <cell r="Q3174">
            <v>0</v>
          </cell>
          <cell r="R3174">
            <v>23400</v>
          </cell>
          <cell r="S3174">
            <v>0</v>
          </cell>
          <cell r="T3174">
            <v>23400</v>
          </cell>
          <cell r="U3174">
            <v>0</v>
          </cell>
          <cell r="V3174">
            <v>23400</v>
          </cell>
          <cell r="W3174">
            <v>0</v>
          </cell>
          <cell r="X3174">
            <v>23400</v>
          </cell>
          <cell r="Y3174">
            <v>0</v>
          </cell>
          <cell r="Z3174">
            <v>23400</v>
          </cell>
          <cell r="AA3174">
            <v>0</v>
          </cell>
          <cell r="AB3174">
            <v>0</v>
          </cell>
          <cell r="AC3174">
            <v>0</v>
          </cell>
          <cell r="AD3174">
            <v>0.8</v>
          </cell>
          <cell r="AE3174">
            <v>0</v>
          </cell>
          <cell r="AF3174">
            <v>0</v>
          </cell>
          <cell r="AG3174">
            <v>0</v>
          </cell>
          <cell r="AH3174">
            <v>0</v>
          </cell>
          <cell r="AI3174">
            <v>0</v>
          </cell>
          <cell r="AJ3174">
            <v>0</v>
          </cell>
          <cell r="AK3174">
            <v>0</v>
          </cell>
          <cell r="AL3174">
            <v>0</v>
          </cell>
        </row>
        <row r="3175">
          <cell r="E3175" t="str">
            <v>支持管 自立型 φ76.3 5m STK</v>
          </cell>
          <cell r="F3175" t="str">
            <v>本</v>
          </cell>
          <cell r="G3175">
            <v>0</v>
          </cell>
          <cell r="H3175">
            <v>36900</v>
          </cell>
          <cell r="I3175">
            <v>0</v>
          </cell>
          <cell r="J3175">
            <v>36900</v>
          </cell>
          <cell r="K3175">
            <v>0</v>
          </cell>
          <cell r="L3175">
            <v>36900</v>
          </cell>
          <cell r="M3175">
            <v>0</v>
          </cell>
          <cell r="N3175">
            <v>36900</v>
          </cell>
          <cell r="O3175">
            <v>0</v>
          </cell>
          <cell r="P3175">
            <v>36900</v>
          </cell>
          <cell r="Q3175">
            <v>0</v>
          </cell>
          <cell r="R3175">
            <v>36900</v>
          </cell>
          <cell r="S3175">
            <v>0</v>
          </cell>
          <cell r="T3175">
            <v>36900</v>
          </cell>
          <cell r="U3175">
            <v>0</v>
          </cell>
          <cell r="V3175">
            <v>36900</v>
          </cell>
          <cell r="W3175">
            <v>0</v>
          </cell>
          <cell r="X3175">
            <v>36900</v>
          </cell>
          <cell r="Y3175">
            <v>0</v>
          </cell>
          <cell r="Z3175">
            <v>36900</v>
          </cell>
          <cell r="AA3175">
            <v>0</v>
          </cell>
          <cell r="AB3175">
            <v>0</v>
          </cell>
          <cell r="AC3175">
            <v>0</v>
          </cell>
          <cell r="AD3175">
            <v>0.8</v>
          </cell>
          <cell r="AE3175">
            <v>0</v>
          </cell>
          <cell r="AF3175">
            <v>0</v>
          </cell>
          <cell r="AG3175">
            <v>0</v>
          </cell>
          <cell r="AH3175">
            <v>0</v>
          </cell>
          <cell r="AI3175">
            <v>0</v>
          </cell>
          <cell r="AJ3175">
            <v>0</v>
          </cell>
          <cell r="AK3175">
            <v>0</v>
          </cell>
          <cell r="AL3175">
            <v>0</v>
          </cell>
        </row>
        <row r="3176">
          <cell r="E3176" t="str">
            <v>支持管 自立型 φ48.6～76.3 6m STK</v>
          </cell>
          <cell r="F3176" t="str">
            <v>本</v>
          </cell>
          <cell r="G3176">
            <v>0</v>
          </cell>
          <cell r="H3176">
            <v>41800</v>
          </cell>
          <cell r="I3176">
            <v>0</v>
          </cell>
          <cell r="J3176">
            <v>41800</v>
          </cell>
          <cell r="K3176">
            <v>0</v>
          </cell>
          <cell r="L3176">
            <v>41800</v>
          </cell>
          <cell r="M3176">
            <v>0</v>
          </cell>
          <cell r="N3176">
            <v>41800</v>
          </cell>
          <cell r="O3176">
            <v>0</v>
          </cell>
          <cell r="P3176">
            <v>41800</v>
          </cell>
          <cell r="Q3176">
            <v>0</v>
          </cell>
          <cell r="R3176">
            <v>41800</v>
          </cell>
          <cell r="S3176">
            <v>0</v>
          </cell>
          <cell r="T3176">
            <v>41800</v>
          </cell>
          <cell r="U3176">
            <v>0</v>
          </cell>
          <cell r="V3176">
            <v>41800</v>
          </cell>
          <cell r="W3176">
            <v>0</v>
          </cell>
          <cell r="X3176">
            <v>41800</v>
          </cell>
          <cell r="Y3176">
            <v>0</v>
          </cell>
          <cell r="Z3176">
            <v>41800</v>
          </cell>
          <cell r="AA3176">
            <v>0</v>
          </cell>
          <cell r="AB3176">
            <v>0</v>
          </cell>
          <cell r="AC3176">
            <v>0</v>
          </cell>
          <cell r="AD3176">
            <v>0.9</v>
          </cell>
          <cell r="AE3176">
            <v>0</v>
          </cell>
          <cell r="AF3176">
            <v>0</v>
          </cell>
          <cell r="AG3176">
            <v>0</v>
          </cell>
          <cell r="AH3176">
            <v>0</v>
          </cell>
          <cell r="AI3176">
            <v>0</v>
          </cell>
          <cell r="AJ3176">
            <v>0</v>
          </cell>
          <cell r="AK3176">
            <v>0</v>
          </cell>
          <cell r="AL3176">
            <v>0</v>
          </cell>
        </row>
        <row r="3177">
          <cell r="E3177" t="str">
            <v>支持管 自立型 φ60.5～89.1 6m STK</v>
          </cell>
          <cell r="F3177" t="str">
            <v>本</v>
          </cell>
          <cell r="G3177">
            <v>0</v>
          </cell>
          <cell r="H3177">
            <v>48200</v>
          </cell>
          <cell r="I3177">
            <v>0</v>
          </cell>
          <cell r="J3177">
            <v>48200</v>
          </cell>
          <cell r="K3177">
            <v>0</v>
          </cell>
          <cell r="L3177">
            <v>48200</v>
          </cell>
          <cell r="M3177">
            <v>0</v>
          </cell>
          <cell r="N3177">
            <v>48200</v>
          </cell>
          <cell r="O3177">
            <v>0</v>
          </cell>
          <cell r="P3177">
            <v>48200</v>
          </cell>
          <cell r="Q3177">
            <v>0</v>
          </cell>
          <cell r="R3177">
            <v>48200</v>
          </cell>
          <cell r="S3177">
            <v>0</v>
          </cell>
          <cell r="T3177">
            <v>48200</v>
          </cell>
          <cell r="U3177">
            <v>0</v>
          </cell>
          <cell r="V3177">
            <v>48200</v>
          </cell>
          <cell r="W3177">
            <v>0</v>
          </cell>
          <cell r="X3177">
            <v>48200</v>
          </cell>
          <cell r="Y3177">
            <v>0</v>
          </cell>
          <cell r="Z3177">
            <v>48200</v>
          </cell>
          <cell r="AA3177">
            <v>0</v>
          </cell>
          <cell r="AB3177">
            <v>0</v>
          </cell>
          <cell r="AC3177">
            <v>0</v>
          </cell>
          <cell r="AD3177">
            <v>0.9</v>
          </cell>
          <cell r="AE3177">
            <v>0</v>
          </cell>
          <cell r="AF3177">
            <v>0</v>
          </cell>
          <cell r="AG3177">
            <v>0</v>
          </cell>
          <cell r="AH3177">
            <v>0</v>
          </cell>
          <cell r="AI3177">
            <v>0</v>
          </cell>
          <cell r="AJ3177">
            <v>0</v>
          </cell>
          <cell r="AK3177">
            <v>0</v>
          </cell>
          <cell r="AL3177">
            <v>0</v>
          </cell>
        </row>
        <row r="3178">
          <cell r="E3178" t="str">
            <v>支持管 自立型 φ60.5～89.1 7m STK</v>
          </cell>
          <cell r="F3178" t="str">
            <v>本</v>
          </cell>
          <cell r="G3178">
            <v>0</v>
          </cell>
          <cell r="H3178">
            <v>52500</v>
          </cell>
          <cell r="I3178">
            <v>0</v>
          </cell>
          <cell r="J3178">
            <v>52500</v>
          </cell>
          <cell r="K3178">
            <v>0</v>
          </cell>
          <cell r="L3178">
            <v>52500</v>
          </cell>
          <cell r="M3178">
            <v>0</v>
          </cell>
          <cell r="N3178">
            <v>52500</v>
          </cell>
          <cell r="O3178">
            <v>0</v>
          </cell>
          <cell r="P3178">
            <v>52500</v>
          </cell>
          <cell r="Q3178">
            <v>0</v>
          </cell>
          <cell r="R3178">
            <v>52500</v>
          </cell>
          <cell r="S3178">
            <v>0</v>
          </cell>
          <cell r="T3178">
            <v>52500</v>
          </cell>
          <cell r="U3178">
            <v>0</v>
          </cell>
          <cell r="V3178">
            <v>52500</v>
          </cell>
          <cell r="W3178">
            <v>0</v>
          </cell>
          <cell r="X3178">
            <v>52500</v>
          </cell>
          <cell r="Y3178">
            <v>0</v>
          </cell>
          <cell r="Z3178">
            <v>52500</v>
          </cell>
          <cell r="AA3178">
            <v>0</v>
          </cell>
          <cell r="AB3178">
            <v>0</v>
          </cell>
          <cell r="AC3178">
            <v>0</v>
          </cell>
          <cell r="AD3178">
            <v>1</v>
          </cell>
          <cell r="AE3178">
            <v>0</v>
          </cell>
          <cell r="AF3178">
            <v>0</v>
          </cell>
          <cell r="AG3178">
            <v>0</v>
          </cell>
          <cell r="AH3178">
            <v>0</v>
          </cell>
          <cell r="AI3178">
            <v>0</v>
          </cell>
          <cell r="AJ3178">
            <v>0</v>
          </cell>
          <cell r="AK3178">
            <v>0</v>
          </cell>
          <cell r="AL3178">
            <v>0</v>
          </cell>
        </row>
        <row r="3179">
          <cell r="E3179" t="str">
            <v>支持管 自立型 φ76.3～101.6 7m STK</v>
          </cell>
          <cell r="F3179" t="str">
            <v>本</v>
          </cell>
          <cell r="G3179">
            <v>0</v>
          </cell>
          <cell r="H3179">
            <v>64600</v>
          </cell>
          <cell r="I3179">
            <v>0</v>
          </cell>
          <cell r="J3179">
            <v>64600</v>
          </cell>
          <cell r="K3179">
            <v>0</v>
          </cell>
          <cell r="L3179">
            <v>64600</v>
          </cell>
          <cell r="M3179">
            <v>0</v>
          </cell>
          <cell r="N3179">
            <v>64600</v>
          </cell>
          <cell r="O3179">
            <v>0</v>
          </cell>
          <cell r="P3179">
            <v>64600</v>
          </cell>
          <cell r="Q3179">
            <v>0</v>
          </cell>
          <cell r="R3179">
            <v>64600</v>
          </cell>
          <cell r="S3179">
            <v>0</v>
          </cell>
          <cell r="T3179">
            <v>64600</v>
          </cell>
          <cell r="U3179">
            <v>0</v>
          </cell>
          <cell r="V3179">
            <v>64600</v>
          </cell>
          <cell r="W3179">
            <v>0</v>
          </cell>
          <cell r="X3179">
            <v>64600</v>
          </cell>
          <cell r="Y3179">
            <v>0</v>
          </cell>
          <cell r="Z3179">
            <v>64600</v>
          </cell>
          <cell r="AA3179">
            <v>0</v>
          </cell>
          <cell r="AB3179">
            <v>0</v>
          </cell>
          <cell r="AC3179">
            <v>0</v>
          </cell>
          <cell r="AD3179">
            <v>1.1000000000000001</v>
          </cell>
          <cell r="AE3179">
            <v>0</v>
          </cell>
          <cell r="AF3179">
            <v>0</v>
          </cell>
          <cell r="AG3179">
            <v>0</v>
          </cell>
          <cell r="AH3179">
            <v>0</v>
          </cell>
          <cell r="AI3179">
            <v>0</v>
          </cell>
          <cell r="AJ3179">
            <v>0</v>
          </cell>
          <cell r="AK3179">
            <v>0</v>
          </cell>
          <cell r="AL3179">
            <v>0</v>
          </cell>
        </row>
        <row r="3180">
          <cell r="E3180" t="str">
            <v>支持管 自立型 φ76.3～101.6 8m STK</v>
          </cell>
          <cell r="F3180" t="str">
            <v>本</v>
          </cell>
          <cell r="G3180">
            <v>0</v>
          </cell>
          <cell r="H3180">
            <v>71000</v>
          </cell>
          <cell r="I3180">
            <v>0</v>
          </cell>
          <cell r="J3180">
            <v>71000</v>
          </cell>
          <cell r="K3180">
            <v>0</v>
          </cell>
          <cell r="L3180">
            <v>71000</v>
          </cell>
          <cell r="M3180">
            <v>0</v>
          </cell>
          <cell r="N3180">
            <v>71000</v>
          </cell>
          <cell r="O3180">
            <v>0</v>
          </cell>
          <cell r="P3180">
            <v>71000</v>
          </cell>
          <cell r="Q3180">
            <v>0</v>
          </cell>
          <cell r="R3180">
            <v>71000</v>
          </cell>
          <cell r="S3180">
            <v>0</v>
          </cell>
          <cell r="T3180">
            <v>71000</v>
          </cell>
          <cell r="U3180">
            <v>0</v>
          </cell>
          <cell r="V3180">
            <v>71000</v>
          </cell>
          <cell r="W3180">
            <v>0</v>
          </cell>
          <cell r="X3180">
            <v>71000</v>
          </cell>
          <cell r="Y3180">
            <v>0</v>
          </cell>
          <cell r="Z3180">
            <v>71000</v>
          </cell>
          <cell r="AA3180">
            <v>0</v>
          </cell>
          <cell r="AB3180">
            <v>0</v>
          </cell>
          <cell r="AC3180">
            <v>0</v>
          </cell>
          <cell r="AD3180">
            <v>1.1000000000000001</v>
          </cell>
          <cell r="AE3180">
            <v>0</v>
          </cell>
          <cell r="AF3180">
            <v>0</v>
          </cell>
          <cell r="AG3180">
            <v>0</v>
          </cell>
          <cell r="AH3180">
            <v>0</v>
          </cell>
          <cell r="AI3180">
            <v>0</v>
          </cell>
          <cell r="AJ3180">
            <v>0</v>
          </cell>
          <cell r="AK3180">
            <v>0</v>
          </cell>
          <cell r="AL3180">
            <v>0</v>
          </cell>
        </row>
        <row r="3181">
          <cell r="E3181" t="str">
            <v>支持管 自立型 φ76.3～114.3 8m STK</v>
          </cell>
          <cell r="F3181" t="str">
            <v>本</v>
          </cell>
          <cell r="G3181">
            <v>0</v>
          </cell>
          <cell r="H3181">
            <v>78100</v>
          </cell>
          <cell r="I3181">
            <v>0</v>
          </cell>
          <cell r="J3181">
            <v>78100</v>
          </cell>
          <cell r="K3181">
            <v>0</v>
          </cell>
          <cell r="L3181">
            <v>78100</v>
          </cell>
          <cell r="M3181">
            <v>0</v>
          </cell>
          <cell r="N3181">
            <v>78100</v>
          </cell>
          <cell r="O3181">
            <v>0</v>
          </cell>
          <cell r="P3181">
            <v>78100</v>
          </cell>
          <cell r="Q3181">
            <v>0</v>
          </cell>
          <cell r="R3181">
            <v>78100</v>
          </cell>
          <cell r="S3181">
            <v>0</v>
          </cell>
          <cell r="T3181">
            <v>78100</v>
          </cell>
          <cell r="U3181">
            <v>0</v>
          </cell>
          <cell r="V3181">
            <v>78100</v>
          </cell>
          <cell r="W3181">
            <v>0</v>
          </cell>
          <cell r="X3181">
            <v>78100</v>
          </cell>
          <cell r="Y3181">
            <v>0</v>
          </cell>
          <cell r="Z3181">
            <v>78100</v>
          </cell>
          <cell r="AA3181">
            <v>0</v>
          </cell>
          <cell r="AB3181">
            <v>0</v>
          </cell>
          <cell r="AC3181">
            <v>0</v>
          </cell>
          <cell r="AD3181">
            <v>1.1000000000000001</v>
          </cell>
          <cell r="AE3181">
            <v>0</v>
          </cell>
          <cell r="AF3181">
            <v>0</v>
          </cell>
          <cell r="AG3181">
            <v>0</v>
          </cell>
          <cell r="AH3181">
            <v>0</v>
          </cell>
          <cell r="AI3181">
            <v>0</v>
          </cell>
          <cell r="AJ3181">
            <v>0</v>
          </cell>
          <cell r="AK3181">
            <v>0</v>
          </cell>
          <cell r="AL3181">
            <v>0</v>
          </cell>
        </row>
        <row r="3182">
          <cell r="E3182" t="str">
            <v>支持管 自立型 アルミテーパーポール 10m</v>
          </cell>
          <cell r="F3182" t="str">
            <v>本</v>
          </cell>
          <cell r="G3182">
            <v>0</v>
          </cell>
          <cell r="H3182">
            <v>316000</v>
          </cell>
          <cell r="I3182">
            <v>0</v>
          </cell>
          <cell r="J3182">
            <v>316000</v>
          </cell>
          <cell r="K3182">
            <v>0</v>
          </cell>
          <cell r="L3182">
            <v>316000</v>
          </cell>
          <cell r="M3182">
            <v>0</v>
          </cell>
          <cell r="N3182">
            <v>316000</v>
          </cell>
          <cell r="O3182">
            <v>0</v>
          </cell>
          <cell r="P3182">
            <v>316000</v>
          </cell>
          <cell r="Q3182">
            <v>0</v>
          </cell>
          <cell r="R3182">
            <v>316000</v>
          </cell>
          <cell r="S3182">
            <v>0</v>
          </cell>
          <cell r="T3182">
            <v>316000</v>
          </cell>
          <cell r="U3182">
            <v>0</v>
          </cell>
          <cell r="V3182">
            <v>316000</v>
          </cell>
          <cell r="W3182">
            <v>0</v>
          </cell>
          <cell r="X3182">
            <v>316000</v>
          </cell>
          <cell r="Y3182">
            <v>0</v>
          </cell>
          <cell r="Z3182">
            <v>316000</v>
          </cell>
          <cell r="AA3182">
            <v>0</v>
          </cell>
          <cell r="AB3182">
            <v>0</v>
          </cell>
          <cell r="AC3182">
            <v>0</v>
          </cell>
          <cell r="AD3182">
            <v>1.3</v>
          </cell>
          <cell r="AE3182">
            <v>0</v>
          </cell>
          <cell r="AF3182">
            <v>0</v>
          </cell>
          <cell r="AG3182">
            <v>0</v>
          </cell>
          <cell r="AH3182">
            <v>0</v>
          </cell>
          <cell r="AI3182">
            <v>0</v>
          </cell>
          <cell r="AJ3182">
            <v>0</v>
          </cell>
          <cell r="AK3182">
            <v>0</v>
          </cell>
          <cell r="AL3182" t="str">
            <v>昭和アルミポール</v>
          </cell>
        </row>
        <row r="3183">
          <cell r="E3183" t="str">
            <v>支持管 自立型 アルミテーパーポール 12m</v>
          </cell>
          <cell r="F3183" t="str">
            <v>本</v>
          </cell>
          <cell r="G3183">
            <v>0</v>
          </cell>
          <cell r="H3183">
            <v>361000</v>
          </cell>
          <cell r="I3183">
            <v>0</v>
          </cell>
          <cell r="J3183">
            <v>361000</v>
          </cell>
          <cell r="K3183">
            <v>0</v>
          </cell>
          <cell r="L3183">
            <v>361000</v>
          </cell>
          <cell r="M3183">
            <v>0</v>
          </cell>
          <cell r="N3183">
            <v>361000</v>
          </cell>
          <cell r="O3183">
            <v>0</v>
          </cell>
          <cell r="P3183">
            <v>361000</v>
          </cell>
          <cell r="Q3183">
            <v>0</v>
          </cell>
          <cell r="R3183">
            <v>361000</v>
          </cell>
          <cell r="S3183">
            <v>0</v>
          </cell>
          <cell r="T3183">
            <v>361000</v>
          </cell>
          <cell r="U3183">
            <v>0</v>
          </cell>
          <cell r="V3183">
            <v>361000</v>
          </cell>
          <cell r="W3183">
            <v>0</v>
          </cell>
          <cell r="X3183">
            <v>361000</v>
          </cell>
          <cell r="Y3183">
            <v>0</v>
          </cell>
          <cell r="Z3183">
            <v>361000</v>
          </cell>
          <cell r="AA3183">
            <v>0</v>
          </cell>
          <cell r="AB3183">
            <v>0</v>
          </cell>
          <cell r="AC3183">
            <v>0</v>
          </cell>
          <cell r="AD3183">
            <v>1.5</v>
          </cell>
          <cell r="AE3183">
            <v>0</v>
          </cell>
          <cell r="AF3183">
            <v>0</v>
          </cell>
          <cell r="AG3183">
            <v>0</v>
          </cell>
          <cell r="AH3183">
            <v>0</v>
          </cell>
          <cell r="AI3183">
            <v>0</v>
          </cell>
          <cell r="AJ3183">
            <v>0</v>
          </cell>
          <cell r="AK3183">
            <v>0</v>
          </cell>
          <cell r="AL3183" t="str">
            <v>昭和アルミポール</v>
          </cell>
        </row>
        <row r="3184">
          <cell r="E3184" t="str">
            <v>支持管取付台 φ48.6用</v>
          </cell>
          <cell r="F3184" t="str">
            <v>台</v>
          </cell>
          <cell r="G3184">
            <v>0</v>
          </cell>
          <cell r="H3184">
            <v>22000</v>
          </cell>
          <cell r="I3184">
            <v>0</v>
          </cell>
          <cell r="J3184">
            <v>22000</v>
          </cell>
          <cell r="K3184">
            <v>0</v>
          </cell>
          <cell r="L3184">
            <v>22000</v>
          </cell>
          <cell r="M3184">
            <v>0</v>
          </cell>
          <cell r="N3184">
            <v>22000</v>
          </cell>
          <cell r="O3184">
            <v>0</v>
          </cell>
          <cell r="P3184">
            <v>22000</v>
          </cell>
          <cell r="Q3184">
            <v>0</v>
          </cell>
          <cell r="R3184">
            <v>22000</v>
          </cell>
          <cell r="S3184">
            <v>0</v>
          </cell>
          <cell r="T3184">
            <v>22000</v>
          </cell>
          <cell r="U3184">
            <v>0</v>
          </cell>
          <cell r="V3184">
            <v>22000</v>
          </cell>
          <cell r="W3184">
            <v>0</v>
          </cell>
          <cell r="X3184">
            <v>22000</v>
          </cell>
          <cell r="Y3184">
            <v>0</v>
          </cell>
          <cell r="Z3184">
            <v>22000</v>
          </cell>
          <cell r="AA3184">
            <v>0</v>
          </cell>
          <cell r="AB3184">
            <v>0</v>
          </cell>
          <cell r="AC3184">
            <v>0</v>
          </cell>
          <cell r="AD3184">
            <v>0.05</v>
          </cell>
          <cell r="AE3184">
            <v>0</v>
          </cell>
          <cell r="AF3184">
            <v>0</v>
          </cell>
          <cell r="AG3184">
            <v>0</v>
          </cell>
          <cell r="AH3184">
            <v>0</v>
          </cell>
          <cell r="AI3184">
            <v>0</v>
          </cell>
          <cell r="AJ3184">
            <v>0</v>
          </cell>
          <cell r="AK3184">
            <v>0</v>
          </cell>
          <cell r="AL3184">
            <v>0</v>
          </cell>
        </row>
        <row r="3185">
          <cell r="E3185" t="str">
            <v>支持管取付台 φ60.5用</v>
          </cell>
          <cell r="F3185" t="str">
            <v>台</v>
          </cell>
          <cell r="G3185">
            <v>0</v>
          </cell>
          <cell r="H3185">
            <v>24400</v>
          </cell>
          <cell r="I3185">
            <v>0</v>
          </cell>
          <cell r="J3185">
            <v>24400</v>
          </cell>
          <cell r="K3185">
            <v>0</v>
          </cell>
          <cell r="L3185">
            <v>24400</v>
          </cell>
          <cell r="M3185">
            <v>0</v>
          </cell>
          <cell r="N3185">
            <v>24400</v>
          </cell>
          <cell r="O3185">
            <v>0</v>
          </cell>
          <cell r="P3185">
            <v>24400</v>
          </cell>
          <cell r="Q3185">
            <v>0</v>
          </cell>
          <cell r="R3185">
            <v>24400</v>
          </cell>
          <cell r="S3185">
            <v>0</v>
          </cell>
          <cell r="T3185">
            <v>24400</v>
          </cell>
          <cell r="U3185">
            <v>0</v>
          </cell>
          <cell r="V3185">
            <v>24400</v>
          </cell>
          <cell r="W3185">
            <v>0</v>
          </cell>
          <cell r="X3185">
            <v>24400</v>
          </cell>
          <cell r="Y3185">
            <v>0</v>
          </cell>
          <cell r="Z3185">
            <v>24400</v>
          </cell>
          <cell r="AA3185">
            <v>0</v>
          </cell>
          <cell r="AB3185">
            <v>0</v>
          </cell>
          <cell r="AC3185">
            <v>0</v>
          </cell>
          <cell r="AD3185">
            <v>0.05</v>
          </cell>
          <cell r="AE3185">
            <v>0</v>
          </cell>
          <cell r="AF3185">
            <v>0</v>
          </cell>
          <cell r="AG3185">
            <v>0</v>
          </cell>
          <cell r="AH3185">
            <v>0</v>
          </cell>
          <cell r="AI3185">
            <v>0</v>
          </cell>
          <cell r="AJ3185">
            <v>0</v>
          </cell>
          <cell r="AK3185">
            <v>0</v>
          </cell>
          <cell r="AL3185">
            <v>0</v>
          </cell>
        </row>
        <row r="3186">
          <cell r="E3186" t="str">
            <v>支持管取付台 φ76.3用</v>
          </cell>
          <cell r="F3186" t="str">
            <v>台</v>
          </cell>
          <cell r="G3186">
            <v>0</v>
          </cell>
          <cell r="H3186">
            <v>30300</v>
          </cell>
          <cell r="I3186">
            <v>0</v>
          </cell>
          <cell r="J3186">
            <v>30300</v>
          </cell>
          <cell r="K3186">
            <v>0</v>
          </cell>
          <cell r="L3186">
            <v>30300</v>
          </cell>
          <cell r="M3186">
            <v>0</v>
          </cell>
          <cell r="N3186">
            <v>30300</v>
          </cell>
          <cell r="O3186">
            <v>0</v>
          </cell>
          <cell r="P3186">
            <v>30300</v>
          </cell>
          <cell r="Q3186">
            <v>0</v>
          </cell>
          <cell r="R3186">
            <v>30300</v>
          </cell>
          <cell r="S3186">
            <v>0</v>
          </cell>
          <cell r="T3186">
            <v>30300</v>
          </cell>
          <cell r="U3186">
            <v>0</v>
          </cell>
          <cell r="V3186">
            <v>30300</v>
          </cell>
          <cell r="W3186">
            <v>0</v>
          </cell>
          <cell r="X3186">
            <v>30300</v>
          </cell>
          <cell r="Y3186">
            <v>0</v>
          </cell>
          <cell r="Z3186">
            <v>30300</v>
          </cell>
          <cell r="AA3186">
            <v>0</v>
          </cell>
          <cell r="AB3186">
            <v>0</v>
          </cell>
          <cell r="AC3186">
            <v>0</v>
          </cell>
          <cell r="AD3186">
            <v>0.05</v>
          </cell>
          <cell r="AE3186">
            <v>0</v>
          </cell>
          <cell r="AF3186">
            <v>0</v>
          </cell>
          <cell r="AG3186">
            <v>0</v>
          </cell>
          <cell r="AH3186">
            <v>0</v>
          </cell>
          <cell r="AI3186">
            <v>0</v>
          </cell>
          <cell r="AJ3186">
            <v>0</v>
          </cell>
          <cell r="AK3186">
            <v>0</v>
          </cell>
          <cell r="AL3186">
            <v>0</v>
          </cell>
        </row>
        <row r="3187">
          <cell r="E3187" t="str">
            <v>支持管取付台 φ89.1用</v>
          </cell>
          <cell r="F3187" t="str">
            <v>台</v>
          </cell>
          <cell r="G3187">
            <v>0</v>
          </cell>
          <cell r="H3187">
            <v>35400</v>
          </cell>
          <cell r="I3187">
            <v>0</v>
          </cell>
          <cell r="J3187">
            <v>35400</v>
          </cell>
          <cell r="K3187">
            <v>0</v>
          </cell>
          <cell r="L3187">
            <v>35400</v>
          </cell>
          <cell r="M3187">
            <v>0</v>
          </cell>
          <cell r="N3187">
            <v>35400</v>
          </cell>
          <cell r="O3187">
            <v>0</v>
          </cell>
          <cell r="P3187">
            <v>35400</v>
          </cell>
          <cell r="Q3187">
            <v>0</v>
          </cell>
          <cell r="R3187">
            <v>35400</v>
          </cell>
          <cell r="S3187">
            <v>0</v>
          </cell>
          <cell r="T3187">
            <v>35400</v>
          </cell>
          <cell r="U3187">
            <v>0</v>
          </cell>
          <cell r="V3187">
            <v>35400</v>
          </cell>
          <cell r="W3187">
            <v>0</v>
          </cell>
          <cell r="X3187">
            <v>35400</v>
          </cell>
          <cell r="Y3187">
            <v>0</v>
          </cell>
          <cell r="Z3187">
            <v>35400</v>
          </cell>
          <cell r="AA3187">
            <v>0</v>
          </cell>
          <cell r="AB3187">
            <v>0</v>
          </cell>
          <cell r="AC3187">
            <v>0</v>
          </cell>
          <cell r="AD3187">
            <v>0.05</v>
          </cell>
          <cell r="AE3187">
            <v>0</v>
          </cell>
          <cell r="AF3187">
            <v>0</v>
          </cell>
          <cell r="AG3187">
            <v>0</v>
          </cell>
          <cell r="AH3187">
            <v>0</v>
          </cell>
          <cell r="AI3187">
            <v>0</v>
          </cell>
          <cell r="AJ3187">
            <v>0</v>
          </cell>
          <cell r="AK3187">
            <v>0</v>
          </cell>
          <cell r="AL3187">
            <v>0</v>
          </cell>
        </row>
        <row r="3188">
          <cell r="E3188" t="str">
            <v>支持管取付台 φ101.6用</v>
          </cell>
          <cell r="F3188" t="str">
            <v>台</v>
          </cell>
          <cell r="G3188">
            <v>0</v>
          </cell>
          <cell r="H3188">
            <v>39600</v>
          </cell>
          <cell r="I3188">
            <v>0</v>
          </cell>
          <cell r="J3188">
            <v>39600</v>
          </cell>
          <cell r="K3188">
            <v>0</v>
          </cell>
          <cell r="L3188">
            <v>39600</v>
          </cell>
          <cell r="M3188">
            <v>0</v>
          </cell>
          <cell r="N3188">
            <v>39600</v>
          </cell>
          <cell r="O3188">
            <v>0</v>
          </cell>
          <cell r="P3188">
            <v>39600</v>
          </cell>
          <cell r="Q3188">
            <v>0</v>
          </cell>
          <cell r="R3188">
            <v>39600</v>
          </cell>
          <cell r="S3188">
            <v>0</v>
          </cell>
          <cell r="T3188">
            <v>39600</v>
          </cell>
          <cell r="U3188">
            <v>0</v>
          </cell>
          <cell r="V3188">
            <v>39600</v>
          </cell>
          <cell r="W3188">
            <v>0</v>
          </cell>
          <cell r="X3188">
            <v>39600</v>
          </cell>
          <cell r="Y3188">
            <v>0</v>
          </cell>
          <cell r="Z3188">
            <v>39600</v>
          </cell>
          <cell r="AA3188">
            <v>0</v>
          </cell>
          <cell r="AB3188">
            <v>0</v>
          </cell>
          <cell r="AC3188">
            <v>0</v>
          </cell>
          <cell r="AD3188">
            <v>0.05</v>
          </cell>
          <cell r="AE3188">
            <v>0</v>
          </cell>
          <cell r="AF3188">
            <v>0</v>
          </cell>
          <cell r="AG3188">
            <v>0</v>
          </cell>
          <cell r="AH3188">
            <v>0</v>
          </cell>
          <cell r="AI3188">
            <v>0</v>
          </cell>
          <cell r="AJ3188">
            <v>0</v>
          </cell>
          <cell r="AK3188">
            <v>0</v>
          </cell>
          <cell r="AL3188">
            <v>0</v>
          </cell>
        </row>
        <row r="3189">
          <cell r="E3189" t="str">
            <v>導線引出金物 鉄骨用 黄銅製端子</v>
          </cell>
          <cell r="F3189" t="str">
            <v>個</v>
          </cell>
          <cell r="G3189">
            <v>0</v>
          </cell>
          <cell r="H3189">
            <v>2880</v>
          </cell>
          <cell r="I3189">
            <v>0</v>
          </cell>
          <cell r="J3189">
            <v>2880</v>
          </cell>
          <cell r="K3189">
            <v>0</v>
          </cell>
          <cell r="L3189">
            <v>2880</v>
          </cell>
          <cell r="M3189">
            <v>0</v>
          </cell>
          <cell r="N3189">
            <v>2880</v>
          </cell>
          <cell r="O3189">
            <v>0</v>
          </cell>
          <cell r="P3189">
            <v>2880</v>
          </cell>
          <cell r="Q3189">
            <v>0</v>
          </cell>
          <cell r="R3189">
            <v>2880</v>
          </cell>
          <cell r="S3189">
            <v>0</v>
          </cell>
          <cell r="T3189">
            <v>2880</v>
          </cell>
          <cell r="U3189">
            <v>0</v>
          </cell>
          <cell r="V3189">
            <v>2880</v>
          </cell>
          <cell r="W3189">
            <v>0</v>
          </cell>
          <cell r="X3189">
            <v>2880</v>
          </cell>
          <cell r="Y3189">
            <v>0</v>
          </cell>
          <cell r="Z3189">
            <v>2880</v>
          </cell>
          <cell r="AA3189">
            <v>0</v>
          </cell>
          <cell r="AB3189">
            <v>0</v>
          </cell>
          <cell r="AC3189">
            <v>0</v>
          </cell>
          <cell r="AD3189">
            <v>0.05</v>
          </cell>
          <cell r="AE3189">
            <v>0</v>
          </cell>
          <cell r="AF3189">
            <v>0</v>
          </cell>
          <cell r="AG3189">
            <v>0</v>
          </cell>
          <cell r="AH3189">
            <v>0</v>
          </cell>
          <cell r="AI3189">
            <v>0</v>
          </cell>
          <cell r="AJ3189">
            <v>0</v>
          </cell>
          <cell r="AK3189">
            <v>0</v>
          </cell>
          <cell r="AL3189">
            <v>0</v>
          </cell>
        </row>
        <row r="3190">
          <cell r="E3190" t="str">
            <v>接続端子 直線型</v>
          </cell>
          <cell r="F3190" t="str">
            <v>個</v>
          </cell>
          <cell r="G3190">
            <v>0</v>
          </cell>
          <cell r="H3190">
            <v>2270</v>
          </cell>
          <cell r="I3190">
            <v>0</v>
          </cell>
          <cell r="J3190">
            <v>2270</v>
          </cell>
          <cell r="K3190">
            <v>0</v>
          </cell>
          <cell r="L3190">
            <v>2270</v>
          </cell>
          <cell r="M3190">
            <v>0</v>
          </cell>
          <cell r="N3190">
            <v>2270</v>
          </cell>
          <cell r="O3190">
            <v>0</v>
          </cell>
          <cell r="P3190">
            <v>2270</v>
          </cell>
          <cell r="Q3190">
            <v>0</v>
          </cell>
          <cell r="R3190">
            <v>2270</v>
          </cell>
          <cell r="S3190">
            <v>0</v>
          </cell>
          <cell r="T3190">
            <v>2270</v>
          </cell>
          <cell r="U3190">
            <v>0</v>
          </cell>
          <cell r="V3190">
            <v>2270</v>
          </cell>
          <cell r="W3190">
            <v>0</v>
          </cell>
          <cell r="X3190">
            <v>2270</v>
          </cell>
          <cell r="Y3190">
            <v>0</v>
          </cell>
          <cell r="Z3190">
            <v>2270</v>
          </cell>
          <cell r="AA3190">
            <v>0</v>
          </cell>
          <cell r="AB3190">
            <v>0</v>
          </cell>
          <cell r="AC3190">
            <v>0</v>
          </cell>
          <cell r="AD3190">
            <v>0.05</v>
          </cell>
          <cell r="AE3190">
            <v>0</v>
          </cell>
          <cell r="AF3190">
            <v>0</v>
          </cell>
          <cell r="AG3190">
            <v>0</v>
          </cell>
          <cell r="AH3190">
            <v>0</v>
          </cell>
          <cell r="AI3190">
            <v>0</v>
          </cell>
          <cell r="AJ3190">
            <v>0</v>
          </cell>
          <cell r="AK3190">
            <v>0</v>
          </cell>
          <cell r="AL3190">
            <v>0</v>
          </cell>
        </row>
        <row r="3191">
          <cell r="E3191" t="str">
            <v>接続端子 Ｔ型</v>
          </cell>
          <cell r="F3191" t="str">
            <v>個</v>
          </cell>
          <cell r="G3191">
            <v>0</v>
          </cell>
          <cell r="H3191">
            <v>5390</v>
          </cell>
          <cell r="I3191">
            <v>0</v>
          </cell>
          <cell r="J3191">
            <v>5390</v>
          </cell>
          <cell r="K3191">
            <v>0</v>
          </cell>
          <cell r="L3191">
            <v>5390</v>
          </cell>
          <cell r="M3191">
            <v>0</v>
          </cell>
          <cell r="N3191">
            <v>5390</v>
          </cell>
          <cell r="O3191">
            <v>0</v>
          </cell>
          <cell r="P3191">
            <v>5390</v>
          </cell>
          <cell r="Q3191">
            <v>0</v>
          </cell>
          <cell r="R3191">
            <v>5390</v>
          </cell>
          <cell r="S3191">
            <v>0</v>
          </cell>
          <cell r="T3191">
            <v>5390</v>
          </cell>
          <cell r="U3191">
            <v>0</v>
          </cell>
          <cell r="V3191">
            <v>5390</v>
          </cell>
          <cell r="W3191">
            <v>0</v>
          </cell>
          <cell r="X3191">
            <v>5390</v>
          </cell>
          <cell r="Y3191">
            <v>0</v>
          </cell>
          <cell r="Z3191">
            <v>5390</v>
          </cell>
          <cell r="AA3191">
            <v>0</v>
          </cell>
          <cell r="AB3191">
            <v>0</v>
          </cell>
          <cell r="AC3191">
            <v>0</v>
          </cell>
          <cell r="AD3191">
            <v>0.05</v>
          </cell>
          <cell r="AE3191">
            <v>0</v>
          </cell>
          <cell r="AF3191">
            <v>0</v>
          </cell>
          <cell r="AG3191">
            <v>0</v>
          </cell>
          <cell r="AH3191">
            <v>0</v>
          </cell>
          <cell r="AI3191">
            <v>0</v>
          </cell>
          <cell r="AJ3191">
            <v>0</v>
          </cell>
          <cell r="AK3191">
            <v>0</v>
          </cell>
          <cell r="AL3191">
            <v>0</v>
          </cell>
        </row>
        <row r="3192">
          <cell r="E3192" t="str">
            <v>接続端子 十字型</v>
          </cell>
          <cell r="F3192" t="str">
            <v>個</v>
          </cell>
          <cell r="G3192">
            <v>0</v>
          </cell>
          <cell r="H3192">
            <v>7620</v>
          </cell>
          <cell r="I3192">
            <v>0</v>
          </cell>
          <cell r="J3192">
            <v>7620</v>
          </cell>
          <cell r="K3192">
            <v>0</v>
          </cell>
          <cell r="L3192">
            <v>7620</v>
          </cell>
          <cell r="M3192">
            <v>0</v>
          </cell>
          <cell r="N3192">
            <v>7620</v>
          </cell>
          <cell r="O3192">
            <v>0</v>
          </cell>
          <cell r="P3192">
            <v>7620</v>
          </cell>
          <cell r="Q3192">
            <v>0</v>
          </cell>
          <cell r="R3192">
            <v>7620</v>
          </cell>
          <cell r="S3192">
            <v>0</v>
          </cell>
          <cell r="T3192">
            <v>7620</v>
          </cell>
          <cell r="U3192">
            <v>0</v>
          </cell>
          <cell r="V3192">
            <v>7620</v>
          </cell>
          <cell r="W3192">
            <v>0</v>
          </cell>
          <cell r="X3192">
            <v>7620</v>
          </cell>
          <cell r="Y3192">
            <v>0</v>
          </cell>
          <cell r="Z3192">
            <v>7620</v>
          </cell>
          <cell r="AA3192">
            <v>0</v>
          </cell>
          <cell r="AB3192">
            <v>0</v>
          </cell>
          <cell r="AC3192">
            <v>0</v>
          </cell>
          <cell r="AD3192">
            <v>0.05</v>
          </cell>
          <cell r="AE3192">
            <v>0</v>
          </cell>
          <cell r="AF3192">
            <v>0</v>
          </cell>
          <cell r="AG3192">
            <v>0</v>
          </cell>
          <cell r="AH3192">
            <v>0</v>
          </cell>
          <cell r="AI3192">
            <v>0</v>
          </cell>
          <cell r="AJ3192">
            <v>0</v>
          </cell>
          <cell r="AK3192">
            <v>0</v>
          </cell>
          <cell r="AL3192">
            <v>0</v>
          </cell>
        </row>
        <row r="3193">
          <cell r="E3193" t="str">
            <v>接続端子 伸縮型</v>
          </cell>
          <cell r="F3193" t="str">
            <v>個</v>
          </cell>
          <cell r="G3193">
            <v>0</v>
          </cell>
          <cell r="H3193">
            <v>4130</v>
          </cell>
          <cell r="I3193">
            <v>0</v>
          </cell>
          <cell r="J3193">
            <v>4130</v>
          </cell>
          <cell r="K3193">
            <v>0</v>
          </cell>
          <cell r="L3193">
            <v>4130</v>
          </cell>
          <cell r="M3193">
            <v>0</v>
          </cell>
          <cell r="N3193">
            <v>4130</v>
          </cell>
          <cell r="O3193">
            <v>0</v>
          </cell>
          <cell r="P3193">
            <v>4130</v>
          </cell>
          <cell r="Q3193">
            <v>0</v>
          </cell>
          <cell r="R3193">
            <v>4130</v>
          </cell>
          <cell r="S3193">
            <v>0</v>
          </cell>
          <cell r="T3193">
            <v>4130</v>
          </cell>
          <cell r="U3193">
            <v>0</v>
          </cell>
          <cell r="V3193">
            <v>4130</v>
          </cell>
          <cell r="W3193">
            <v>0</v>
          </cell>
          <cell r="X3193">
            <v>4130</v>
          </cell>
          <cell r="Y3193">
            <v>0</v>
          </cell>
          <cell r="Z3193">
            <v>4130</v>
          </cell>
          <cell r="AA3193">
            <v>0</v>
          </cell>
          <cell r="AB3193">
            <v>0</v>
          </cell>
          <cell r="AC3193">
            <v>0</v>
          </cell>
          <cell r="AD3193">
            <v>0.05</v>
          </cell>
          <cell r="AE3193">
            <v>0</v>
          </cell>
          <cell r="AF3193">
            <v>0</v>
          </cell>
          <cell r="AG3193">
            <v>0</v>
          </cell>
          <cell r="AH3193">
            <v>0</v>
          </cell>
          <cell r="AI3193">
            <v>0</v>
          </cell>
          <cell r="AJ3193">
            <v>0</v>
          </cell>
          <cell r="AK3193">
            <v>0</v>
          </cell>
          <cell r="AL3193">
            <v>0</v>
          </cell>
        </row>
        <row r="3194">
          <cell r="E3194" t="str">
            <v>接続端子 水切型 パラペット</v>
          </cell>
          <cell r="F3194" t="str">
            <v>個</v>
          </cell>
          <cell r="G3194">
            <v>0</v>
          </cell>
          <cell r="H3194">
            <v>4000</v>
          </cell>
          <cell r="I3194">
            <v>0</v>
          </cell>
          <cell r="J3194">
            <v>4000</v>
          </cell>
          <cell r="K3194">
            <v>0</v>
          </cell>
          <cell r="L3194">
            <v>4000</v>
          </cell>
          <cell r="M3194">
            <v>0</v>
          </cell>
          <cell r="N3194">
            <v>4000</v>
          </cell>
          <cell r="O3194">
            <v>0</v>
          </cell>
          <cell r="P3194">
            <v>4000</v>
          </cell>
          <cell r="Q3194">
            <v>0</v>
          </cell>
          <cell r="R3194">
            <v>4000</v>
          </cell>
          <cell r="S3194">
            <v>0</v>
          </cell>
          <cell r="T3194">
            <v>4000</v>
          </cell>
          <cell r="U3194">
            <v>0</v>
          </cell>
          <cell r="V3194">
            <v>4000</v>
          </cell>
          <cell r="W3194">
            <v>0</v>
          </cell>
          <cell r="X3194">
            <v>4000</v>
          </cell>
          <cell r="Y3194">
            <v>0</v>
          </cell>
          <cell r="Z3194">
            <v>4000</v>
          </cell>
          <cell r="AA3194">
            <v>0</v>
          </cell>
          <cell r="AB3194">
            <v>0</v>
          </cell>
          <cell r="AC3194">
            <v>0</v>
          </cell>
          <cell r="AD3194">
            <v>0.05</v>
          </cell>
          <cell r="AE3194">
            <v>0</v>
          </cell>
          <cell r="AF3194">
            <v>0</v>
          </cell>
          <cell r="AG3194">
            <v>0</v>
          </cell>
          <cell r="AH3194">
            <v>0</v>
          </cell>
          <cell r="AI3194">
            <v>0</v>
          </cell>
          <cell r="AJ3194">
            <v>0</v>
          </cell>
          <cell r="AK3194">
            <v>0</v>
          </cell>
          <cell r="AL3194">
            <v>0</v>
          </cell>
        </row>
        <row r="3195">
          <cell r="E3195" t="str">
            <v>接続端子 水切型 ツバ付</v>
          </cell>
          <cell r="F3195" t="str">
            <v>個</v>
          </cell>
          <cell r="G3195">
            <v>0</v>
          </cell>
          <cell r="H3195">
            <v>1570</v>
          </cell>
          <cell r="I3195">
            <v>0</v>
          </cell>
          <cell r="J3195">
            <v>1570</v>
          </cell>
          <cell r="K3195">
            <v>0</v>
          </cell>
          <cell r="L3195">
            <v>1570</v>
          </cell>
          <cell r="M3195">
            <v>0</v>
          </cell>
          <cell r="N3195">
            <v>1570</v>
          </cell>
          <cell r="O3195">
            <v>0</v>
          </cell>
          <cell r="P3195">
            <v>1570</v>
          </cell>
          <cell r="Q3195">
            <v>0</v>
          </cell>
          <cell r="R3195">
            <v>1570</v>
          </cell>
          <cell r="S3195">
            <v>0</v>
          </cell>
          <cell r="T3195">
            <v>1570</v>
          </cell>
          <cell r="U3195">
            <v>0</v>
          </cell>
          <cell r="V3195">
            <v>1570</v>
          </cell>
          <cell r="W3195">
            <v>0</v>
          </cell>
          <cell r="X3195">
            <v>1570</v>
          </cell>
          <cell r="Y3195">
            <v>0</v>
          </cell>
          <cell r="Z3195">
            <v>1570</v>
          </cell>
          <cell r="AA3195">
            <v>0</v>
          </cell>
          <cell r="AB3195">
            <v>0</v>
          </cell>
          <cell r="AC3195">
            <v>0</v>
          </cell>
          <cell r="AD3195">
            <v>0.05</v>
          </cell>
          <cell r="AE3195">
            <v>0</v>
          </cell>
          <cell r="AF3195">
            <v>0</v>
          </cell>
          <cell r="AG3195">
            <v>0</v>
          </cell>
          <cell r="AH3195">
            <v>0</v>
          </cell>
          <cell r="AI3195">
            <v>0</v>
          </cell>
          <cell r="AJ3195">
            <v>0</v>
          </cell>
          <cell r="AK3195">
            <v>0</v>
          </cell>
          <cell r="AL3195">
            <v>0</v>
          </cell>
        </row>
        <row r="3196">
          <cell r="E3196" t="str">
            <v>避雷接地用端子箱 TB-AF1 埋込形</v>
          </cell>
          <cell r="F3196" t="str">
            <v>面</v>
          </cell>
          <cell r="G3196">
            <v>0</v>
          </cell>
          <cell r="H3196">
            <v>30300</v>
          </cell>
          <cell r="I3196">
            <v>0</v>
          </cell>
          <cell r="J3196">
            <v>30300</v>
          </cell>
          <cell r="K3196">
            <v>0</v>
          </cell>
          <cell r="L3196">
            <v>30300</v>
          </cell>
          <cell r="M3196">
            <v>0</v>
          </cell>
          <cell r="N3196">
            <v>30300</v>
          </cell>
          <cell r="O3196">
            <v>0</v>
          </cell>
          <cell r="P3196">
            <v>30300</v>
          </cell>
          <cell r="Q3196">
            <v>0</v>
          </cell>
          <cell r="R3196">
            <v>30300</v>
          </cell>
          <cell r="S3196">
            <v>0</v>
          </cell>
          <cell r="T3196">
            <v>30300</v>
          </cell>
          <cell r="U3196">
            <v>0</v>
          </cell>
          <cell r="V3196">
            <v>30300</v>
          </cell>
          <cell r="W3196">
            <v>0</v>
          </cell>
          <cell r="X3196">
            <v>30300</v>
          </cell>
          <cell r="Y3196">
            <v>0</v>
          </cell>
          <cell r="Z3196">
            <v>30300</v>
          </cell>
          <cell r="AA3196">
            <v>0</v>
          </cell>
          <cell r="AB3196">
            <v>0</v>
          </cell>
          <cell r="AC3196">
            <v>0</v>
          </cell>
          <cell r="AD3196">
            <v>0.25</v>
          </cell>
          <cell r="AE3196">
            <v>0</v>
          </cell>
          <cell r="AF3196">
            <v>0</v>
          </cell>
          <cell r="AG3196">
            <v>0</v>
          </cell>
          <cell r="AH3196">
            <v>0</v>
          </cell>
          <cell r="AI3196">
            <v>0</v>
          </cell>
          <cell r="AJ3196">
            <v>0</v>
          </cell>
          <cell r="AK3196">
            <v>0</v>
          </cell>
          <cell r="AL3196">
            <v>0</v>
          </cell>
        </row>
        <row r="3197">
          <cell r="E3197" t="str">
            <v>避雷接地用端子箱 TB-AF1A 埋込形</v>
          </cell>
          <cell r="F3197" t="str">
            <v>面</v>
          </cell>
          <cell r="G3197">
            <v>0</v>
          </cell>
          <cell r="H3197">
            <v>40000</v>
          </cell>
          <cell r="I3197">
            <v>0</v>
          </cell>
          <cell r="J3197">
            <v>40000</v>
          </cell>
          <cell r="K3197">
            <v>0</v>
          </cell>
          <cell r="L3197">
            <v>40000</v>
          </cell>
          <cell r="M3197">
            <v>0</v>
          </cell>
          <cell r="N3197">
            <v>40000</v>
          </cell>
          <cell r="O3197">
            <v>0</v>
          </cell>
          <cell r="P3197">
            <v>40000</v>
          </cell>
          <cell r="Q3197">
            <v>0</v>
          </cell>
          <cell r="R3197">
            <v>40000</v>
          </cell>
          <cell r="S3197">
            <v>0</v>
          </cell>
          <cell r="T3197">
            <v>40000</v>
          </cell>
          <cell r="U3197">
            <v>0</v>
          </cell>
          <cell r="V3197">
            <v>40000</v>
          </cell>
          <cell r="W3197">
            <v>0</v>
          </cell>
          <cell r="X3197">
            <v>40000</v>
          </cell>
          <cell r="Y3197">
            <v>0</v>
          </cell>
          <cell r="Z3197">
            <v>40000</v>
          </cell>
          <cell r="AA3197">
            <v>0</v>
          </cell>
          <cell r="AB3197">
            <v>0</v>
          </cell>
          <cell r="AC3197">
            <v>0</v>
          </cell>
          <cell r="AD3197">
            <v>0.44</v>
          </cell>
          <cell r="AE3197">
            <v>0</v>
          </cell>
          <cell r="AF3197">
            <v>0</v>
          </cell>
          <cell r="AG3197">
            <v>0</v>
          </cell>
          <cell r="AH3197">
            <v>0</v>
          </cell>
          <cell r="AI3197">
            <v>0</v>
          </cell>
          <cell r="AJ3197">
            <v>0</v>
          </cell>
          <cell r="AK3197">
            <v>0</v>
          </cell>
          <cell r="AL3197">
            <v>0</v>
          </cell>
        </row>
        <row r="3198">
          <cell r="E3198" t="str">
            <v>避雷接地用端子箱 TB-AFY 埋込形</v>
          </cell>
          <cell r="F3198" t="str">
            <v>面</v>
          </cell>
          <cell r="G3198">
            <v>0</v>
          </cell>
          <cell r="H3198">
            <v>40800</v>
          </cell>
          <cell r="I3198">
            <v>0</v>
          </cell>
          <cell r="J3198">
            <v>40800</v>
          </cell>
          <cell r="K3198">
            <v>0</v>
          </cell>
          <cell r="L3198">
            <v>40800</v>
          </cell>
          <cell r="M3198">
            <v>0</v>
          </cell>
          <cell r="N3198">
            <v>40800</v>
          </cell>
          <cell r="O3198">
            <v>0</v>
          </cell>
          <cell r="P3198">
            <v>40800</v>
          </cell>
          <cell r="Q3198">
            <v>0</v>
          </cell>
          <cell r="R3198">
            <v>40800</v>
          </cell>
          <cell r="S3198">
            <v>0</v>
          </cell>
          <cell r="T3198">
            <v>40800</v>
          </cell>
          <cell r="U3198">
            <v>0</v>
          </cell>
          <cell r="V3198">
            <v>40800</v>
          </cell>
          <cell r="W3198">
            <v>0</v>
          </cell>
          <cell r="X3198">
            <v>40800</v>
          </cell>
          <cell r="Y3198">
            <v>0</v>
          </cell>
          <cell r="Z3198">
            <v>40800</v>
          </cell>
          <cell r="AA3198">
            <v>0</v>
          </cell>
          <cell r="AB3198">
            <v>0</v>
          </cell>
          <cell r="AC3198">
            <v>0</v>
          </cell>
          <cell r="AD3198">
            <v>0.44</v>
          </cell>
          <cell r="AE3198">
            <v>0</v>
          </cell>
          <cell r="AF3198">
            <v>0</v>
          </cell>
          <cell r="AG3198">
            <v>0</v>
          </cell>
          <cell r="AH3198">
            <v>0</v>
          </cell>
          <cell r="AI3198">
            <v>0</v>
          </cell>
          <cell r="AJ3198">
            <v>0</v>
          </cell>
          <cell r="AK3198">
            <v>0</v>
          </cell>
          <cell r="AL3198">
            <v>0</v>
          </cell>
        </row>
        <row r="3199">
          <cell r="E3199" t="str">
            <v>避雷接地用端子箱 TB-AF2 埋込形</v>
          </cell>
          <cell r="F3199" t="str">
            <v>面</v>
          </cell>
          <cell r="G3199">
            <v>0</v>
          </cell>
          <cell r="H3199">
            <v>42300</v>
          </cell>
          <cell r="I3199">
            <v>0</v>
          </cell>
          <cell r="J3199">
            <v>42300</v>
          </cell>
          <cell r="K3199">
            <v>0</v>
          </cell>
          <cell r="L3199">
            <v>42300</v>
          </cell>
          <cell r="M3199">
            <v>0</v>
          </cell>
          <cell r="N3199">
            <v>42300</v>
          </cell>
          <cell r="O3199">
            <v>0</v>
          </cell>
          <cell r="P3199">
            <v>42300</v>
          </cell>
          <cell r="Q3199">
            <v>0</v>
          </cell>
          <cell r="R3199">
            <v>42300</v>
          </cell>
          <cell r="S3199">
            <v>0</v>
          </cell>
          <cell r="T3199">
            <v>42300</v>
          </cell>
          <cell r="U3199">
            <v>0</v>
          </cell>
          <cell r="V3199">
            <v>42300</v>
          </cell>
          <cell r="W3199">
            <v>0</v>
          </cell>
          <cell r="X3199">
            <v>42300</v>
          </cell>
          <cell r="Y3199">
            <v>0</v>
          </cell>
          <cell r="Z3199">
            <v>42300</v>
          </cell>
          <cell r="AA3199">
            <v>0</v>
          </cell>
          <cell r="AB3199">
            <v>0</v>
          </cell>
          <cell r="AC3199">
            <v>0</v>
          </cell>
          <cell r="AD3199">
            <v>0.6</v>
          </cell>
          <cell r="AE3199">
            <v>0</v>
          </cell>
          <cell r="AF3199">
            <v>0</v>
          </cell>
          <cell r="AG3199">
            <v>0</v>
          </cell>
          <cell r="AH3199">
            <v>0</v>
          </cell>
          <cell r="AI3199">
            <v>0</v>
          </cell>
          <cell r="AJ3199">
            <v>0</v>
          </cell>
          <cell r="AK3199">
            <v>0</v>
          </cell>
          <cell r="AL3199">
            <v>0</v>
          </cell>
        </row>
        <row r="3200">
          <cell r="E3200" t="str">
            <v>避雷接地用端子箱 TB-AF2A 埋込形</v>
          </cell>
          <cell r="F3200" t="str">
            <v>面</v>
          </cell>
          <cell r="G3200">
            <v>0</v>
          </cell>
          <cell r="H3200">
            <v>50000</v>
          </cell>
          <cell r="I3200">
            <v>0</v>
          </cell>
          <cell r="J3200">
            <v>50000</v>
          </cell>
          <cell r="K3200">
            <v>0</v>
          </cell>
          <cell r="L3200">
            <v>50000</v>
          </cell>
          <cell r="M3200">
            <v>0</v>
          </cell>
          <cell r="N3200">
            <v>50000</v>
          </cell>
          <cell r="O3200">
            <v>0</v>
          </cell>
          <cell r="P3200">
            <v>50000</v>
          </cell>
          <cell r="Q3200">
            <v>0</v>
          </cell>
          <cell r="R3200">
            <v>50000</v>
          </cell>
          <cell r="S3200">
            <v>0</v>
          </cell>
          <cell r="T3200">
            <v>50000</v>
          </cell>
          <cell r="U3200">
            <v>0</v>
          </cell>
          <cell r="V3200">
            <v>50000</v>
          </cell>
          <cell r="W3200">
            <v>0</v>
          </cell>
          <cell r="X3200">
            <v>50000</v>
          </cell>
          <cell r="Y3200">
            <v>0</v>
          </cell>
          <cell r="Z3200">
            <v>50000</v>
          </cell>
          <cell r="AA3200">
            <v>0</v>
          </cell>
          <cell r="AB3200">
            <v>0</v>
          </cell>
          <cell r="AC3200">
            <v>0</v>
          </cell>
          <cell r="AD3200">
            <v>0.6</v>
          </cell>
          <cell r="AE3200">
            <v>0</v>
          </cell>
          <cell r="AF3200">
            <v>0</v>
          </cell>
          <cell r="AG3200">
            <v>0</v>
          </cell>
          <cell r="AH3200">
            <v>0</v>
          </cell>
          <cell r="AI3200">
            <v>0</v>
          </cell>
          <cell r="AJ3200">
            <v>0</v>
          </cell>
          <cell r="AK3200">
            <v>0</v>
          </cell>
          <cell r="AL3200">
            <v>0</v>
          </cell>
        </row>
        <row r="3201">
          <cell r="E3201" t="str">
            <v>避雷接地用端子箱 TB-AS1 露出形</v>
          </cell>
          <cell r="F3201" t="str">
            <v>面</v>
          </cell>
          <cell r="G3201">
            <v>0</v>
          </cell>
          <cell r="H3201">
            <v>30300</v>
          </cell>
          <cell r="I3201">
            <v>0</v>
          </cell>
          <cell r="J3201">
            <v>30300</v>
          </cell>
          <cell r="K3201">
            <v>0</v>
          </cell>
          <cell r="L3201">
            <v>30300</v>
          </cell>
          <cell r="M3201">
            <v>0</v>
          </cell>
          <cell r="N3201">
            <v>30300</v>
          </cell>
          <cell r="O3201">
            <v>0</v>
          </cell>
          <cell r="P3201">
            <v>30300</v>
          </cell>
          <cell r="Q3201">
            <v>0</v>
          </cell>
          <cell r="R3201">
            <v>30300</v>
          </cell>
          <cell r="S3201">
            <v>0</v>
          </cell>
          <cell r="T3201">
            <v>30300</v>
          </cell>
          <cell r="U3201">
            <v>0</v>
          </cell>
          <cell r="V3201">
            <v>30300</v>
          </cell>
          <cell r="W3201">
            <v>0</v>
          </cell>
          <cell r="X3201">
            <v>30300</v>
          </cell>
          <cell r="Y3201">
            <v>0</v>
          </cell>
          <cell r="Z3201">
            <v>30300</v>
          </cell>
          <cell r="AA3201">
            <v>0</v>
          </cell>
          <cell r="AB3201">
            <v>0</v>
          </cell>
          <cell r="AC3201">
            <v>0</v>
          </cell>
          <cell r="AD3201">
            <v>0.25</v>
          </cell>
          <cell r="AE3201">
            <v>0</v>
          </cell>
          <cell r="AF3201">
            <v>0</v>
          </cell>
          <cell r="AG3201">
            <v>0</v>
          </cell>
          <cell r="AH3201">
            <v>0</v>
          </cell>
          <cell r="AI3201">
            <v>0</v>
          </cell>
          <cell r="AJ3201">
            <v>0</v>
          </cell>
          <cell r="AK3201">
            <v>0</v>
          </cell>
          <cell r="AL3201">
            <v>0</v>
          </cell>
        </row>
        <row r="3202">
          <cell r="E3202" t="str">
            <v>避雷接地用端子箱 TB-AS1A 露出形</v>
          </cell>
          <cell r="F3202" t="str">
            <v>面</v>
          </cell>
          <cell r="G3202">
            <v>0</v>
          </cell>
          <cell r="H3202">
            <v>40000</v>
          </cell>
          <cell r="I3202">
            <v>0</v>
          </cell>
          <cell r="J3202">
            <v>40000</v>
          </cell>
          <cell r="K3202">
            <v>0</v>
          </cell>
          <cell r="L3202">
            <v>40000</v>
          </cell>
          <cell r="M3202">
            <v>0</v>
          </cell>
          <cell r="N3202">
            <v>40000</v>
          </cell>
          <cell r="O3202">
            <v>0</v>
          </cell>
          <cell r="P3202">
            <v>40000</v>
          </cell>
          <cell r="Q3202">
            <v>0</v>
          </cell>
          <cell r="R3202">
            <v>40000</v>
          </cell>
          <cell r="S3202">
            <v>0</v>
          </cell>
          <cell r="T3202">
            <v>40000</v>
          </cell>
          <cell r="U3202">
            <v>0</v>
          </cell>
          <cell r="V3202">
            <v>40000</v>
          </cell>
          <cell r="W3202">
            <v>0</v>
          </cell>
          <cell r="X3202">
            <v>40000</v>
          </cell>
          <cell r="Y3202">
            <v>0</v>
          </cell>
          <cell r="Z3202">
            <v>40000</v>
          </cell>
          <cell r="AA3202">
            <v>0</v>
          </cell>
          <cell r="AB3202">
            <v>0</v>
          </cell>
          <cell r="AC3202">
            <v>0</v>
          </cell>
          <cell r="AD3202">
            <v>0.44</v>
          </cell>
          <cell r="AE3202">
            <v>0</v>
          </cell>
          <cell r="AF3202">
            <v>0</v>
          </cell>
          <cell r="AG3202">
            <v>0</v>
          </cell>
          <cell r="AH3202">
            <v>0</v>
          </cell>
          <cell r="AI3202">
            <v>0</v>
          </cell>
          <cell r="AJ3202">
            <v>0</v>
          </cell>
          <cell r="AK3202">
            <v>0</v>
          </cell>
          <cell r="AL3202">
            <v>0</v>
          </cell>
        </row>
        <row r="3203">
          <cell r="E3203" t="str">
            <v>避雷接地用端子箱 TB-ASY 露出形</v>
          </cell>
          <cell r="F3203" t="str">
            <v>面</v>
          </cell>
          <cell r="G3203">
            <v>0</v>
          </cell>
          <cell r="H3203">
            <v>40800</v>
          </cell>
          <cell r="I3203">
            <v>0</v>
          </cell>
          <cell r="J3203">
            <v>40800</v>
          </cell>
          <cell r="K3203">
            <v>0</v>
          </cell>
          <cell r="L3203">
            <v>40800</v>
          </cell>
          <cell r="M3203">
            <v>0</v>
          </cell>
          <cell r="N3203">
            <v>40800</v>
          </cell>
          <cell r="O3203">
            <v>0</v>
          </cell>
          <cell r="P3203">
            <v>40800</v>
          </cell>
          <cell r="Q3203">
            <v>0</v>
          </cell>
          <cell r="R3203">
            <v>40800</v>
          </cell>
          <cell r="S3203">
            <v>0</v>
          </cell>
          <cell r="T3203">
            <v>40800</v>
          </cell>
          <cell r="U3203">
            <v>0</v>
          </cell>
          <cell r="V3203">
            <v>40800</v>
          </cell>
          <cell r="W3203">
            <v>0</v>
          </cell>
          <cell r="X3203">
            <v>40800</v>
          </cell>
          <cell r="Y3203">
            <v>0</v>
          </cell>
          <cell r="Z3203">
            <v>40800</v>
          </cell>
          <cell r="AA3203">
            <v>0</v>
          </cell>
          <cell r="AB3203">
            <v>0</v>
          </cell>
          <cell r="AC3203">
            <v>0</v>
          </cell>
          <cell r="AD3203">
            <v>0.44</v>
          </cell>
          <cell r="AE3203">
            <v>0</v>
          </cell>
          <cell r="AF3203">
            <v>0</v>
          </cell>
          <cell r="AG3203">
            <v>0</v>
          </cell>
          <cell r="AH3203">
            <v>0</v>
          </cell>
          <cell r="AI3203">
            <v>0</v>
          </cell>
          <cell r="AJ3203">
            <v>0</v>
          </cell>
          <cell r="AK3203">
            <v>0</v>
          </cell>
          <cell r="AL3203">
            <v>0</v>
          </cell>
        </row>
        <row r="3204">
          <cell r="E3204" t="str">
            <v>避雷接地用端子箱 TB-AS2 露出形</v>
          </cell>
          <cell r="F3204" t="str">
            <v>面</v>
          </cell>
          <cell r="G3204">
            <v>0</v>
          </cell>
          <cell r="H3204">
            <v>42300</v>
          </cell>
          <cell r="I3204">
            <v>0</v>
          </cell>
          <cell r="J3204">
            <v>42300</v>
          </cell>
          <cell r="K3204">
            <v>0</v>
          </cell>
          <cell r="L3204">
            <v>42300</v>
          </cell>
          <cell r="M3204">
            <v>0</v>
          </cell>
          <cell r="N3204">
            <v>42300</v>
          </cell>
          <cell r="O3204">
            <v>0</v>
          </cell>
          <cell r="P3204">
            <v>42300</v>
          </cell>
          <cell r="Q3204">
            <v>0</v>
          </cell>
          <cell r="R3204">
            <v>42300</v>
          </cell>
          <cell r="S3204">
            <v>0</v>
          </cell>
          <cell r="T3204">
            <v>42300</v>
          </cell>
          <cell r="U3204">
            <v>0</v>
          </cell>
          <cell r="V3204">
            <v>42300</v>
          </cell>
          <cell r="W3204">
            <v>0</v>
          </cell>
          <cell r="X3204">
            <v>42300</v>
          </cell>
          <cell r="Y3204">
            <v>0</v>
          </cell>
          <cell r="Z3204">
            <v>42300</v>
          </cell>
          <cell r="AA3204">
            <v>0</v>
          </cell>
          <cell r="AB3204">
            <v>0</v>
          </cell>
          <cell r="AC3204">
            <v>0</v>
          </cell>
          <cell r="AD3204">
            <v>0.6</v>
          </cell>
          <cell r="AE3204">
            <v>0</v>
          </cell>
          <cell r="AF3204">
            <v>0</v>
          </cell>
          <cell r="AG3204">
            <v>0</v>
          </cell>
          <cell r="AH3204">
            <v>0</v>
          </cell>
          <cell r="AI3204">
            <v>0</v>
          </cell>
          <cell r="AJ3204">
            <v>0</v>
          </cell>
          <cell r="AK3204">
            <v>0</v>
          </cell>
          <cell r="AL3204">
            <v>0</v>
          </cell>
        </row>
        <row r="3205">
          <cell r="E3205" t="str">
            <v>避雷接地用端子箱 TB-AS2A 露出形</v>
          </cell>
          <cell r="F3205" t="str">
            <v>面</v>
          </cell>
          <cell r="G3205">
            <v>0</v>
          </cell>
          <cell r="H3205">
            <v>50000</v>
          </cell>
          <cell r="I3205">
            <v>0</v>
          </cell>
          <cell r="J3205">
            <v>50000</v>
          </cell>
          <cell r="K3205">
            <v>0</v>
          </cell>
          <cell r="L3205">
            <v>50000</v>
          </cell>
          <cell r="M3205">
            <v>0</v>
          </cell>
          <cell r="N3205">
            <v>50000</v>
          </cell>
          <cell r="O3205">
            <v>0</v>
          </cell>
          <cell r="P3205">
            <v>50000</v>
          </cell>
          <cell r="Q3205">
            <v>0</v>
          </cell>
          <cell r="R3205">
            <v>50000</v>
          </cell>
          <cell r="S3205">
            <v>0</v>
          </cell>
          <cell r="T3205">
            <v>50000</v>
          </cell>
          <cell r="U3205">
            <v>0</v>
          </cell>
          <cell r="V3205">
            <v>50000</v>
          </cell>
          <cell r="W3205">
            <v>0</v>
          </cell>
          <cell r="X3205">
            <v>50000</v>
          </cell>
          <cell r="Y3205">
            <v>0</v>
          </cell>
          <cell r="Z3205">
            <v>50000</v>
          </cell>
          <cell r="AA3205">
            <v>0</v>
          </cell>
          <cell r="AB3205">
            <v>0</v>
          </cell>
          <cell r="AC3205">
            <v>0</v>
          </cell>
          <cell r="AD3205">
            <v>0.6</v>
          </cell>
          <cell r="AE3205">
            <v>0</v>
          </cell>
          <cell r="AF3205">
            <v>0</v>
          </cell>
          <cell r="AG3205">
            <v>0</v>
          </cell>
          <cell r="AH3205">
            <v>0</v>
          </cell>
          <cell r="AI3205">
            <v>0</v>
          </cell>
          <cell r="AJ3205">
            <v>0</v>
          </cell>
          <cell r="AK3205">
            <v>0</v>
          </cell>
          <cell r="AL3205">
            <v>0</v>
          </cell>
        </row>
        <row r="3206">
          <cell r="E3206" t="str">
            <v>避雷接地用端子箱 TB-SG1 埋込形</v>
          </cell>
          <cell r="F3206" t="str">
            <v>面</v>
          </cell>
          <cell r="G3206">
            <v>0</v>
          </cell>
          <cell r="H3206">
            <v>33100</v>
          </cell>
          <cell r="I3206">
            <v>0</v>
          </cell>
          <cell r="J3206">
            <v>33100</v>
          </cell>
          <cell r="K3206">
            <v>0</v>
          </cell>
          <cell r="L3206">
            <v>33100</v>
          </cell>
          <cell r="M3206">
            <v>0</v>
          </cell>
          <cell r="N3206">
            <v>33100</v>
          </cell>
          <cell r="O3206">
            <v>0</v>
          </cell>
          <cell r="P3206">
            <v>33100</v>
          </cell>
          <cell r="Q3206">
            <v>0</v>
          </cell>
          <cell r="R3206">
            <v>33100</v>
          </cell>
          <cell r="S3206">
            <v>0</v>
          </cell>
          <cell r="T3206">
            <v>33100</v>
          </cell>
          <cell r="U3206">
            <v>0</v>
          </cell>
          <cell r="V3206">
            <v>33100</v>
          </cell>
          <cell r="W3206">
            <v>0</v>
          </cell>
          <cell r="X3206">
            <v>33100</v>
          </cell>
          <cell r="Y3206">
            <v>0</v>
          </cell>
          <cell r="Z3206">
            <v>33100</v>
          </cell>
          <cell r="AA3206">
            <v>0</v>
          </cell>
          <cell r="AB3206">
            <v>0</v>
          </cell>
          <cell r="AC3206">
            <v>0</v>
          </cell>
          <cell r="AD3206">
            <v>0.25</v>
          </cell>
          <cell r="AE3206">
            <v>0</v>
          </cell>
          <cell r="AF3206">
            <v>0</v>
          </cell>
          <cell r="AG3206">
            <v>0</v>
          </cell>
          <cell r="AH3206">
            <v>0</v>
          </cell>
          <cell r="AI3206">
            <v>0</v>
          </cell>
          <cell r="AJ3206">
            <v>0</v>
          </cell>
          <cell r="AK3206">
            <v>0</v>
          </cell>
          <cell r="AL3206">
            <v>0</v>
          </cell>
        </row>
        <row r="3207">
          <cell r="E3207" t="str">
            <v>避雷接地用端子箱 TB-SG1A 埋込形</v>
          </cell>
          <cell r="F3207" t="str">
            <v>面</v>
          </cell>
          <cell r="G3207">
            <v>0</v>
          </cell>
          <cell r="H3207">
            <v>41500</v>
          </cell>
          <cell r="I3207">
            <v>0</v>
          </cell>
          <cell r="J3207">
            <v>41500</v>
          </cell>
          <cell r="K3207">
            <v>0</v>
          </cell>
          <cell r="L3207">
            <v>41500</v>
          </cell>
          <cell r="M3207">
            <v>0</v>
          </cell>
          <cell r="N3207">
            <v>41500</v>
          </cell>
          <cell r="O3207">
            <v>0</v>
          </cell>
          <cell r="P3207">
            <v>41500</v>
          </cell>
          <cell r="Q3207">
            <v>0</v>
          </cell>
          <cell r="R3207">
            <v>41500</v>
          </cell>
          <cell r="S3207">
            <v>0</v>
          </cell>
          <cell r="T3207">
            <v>41500</v>
          </cell>
          <cell r="U3207">
            <v>0</v>
          </cell>
          <cell r="V3207">
            <v>41500</v>
          </cell>
          <cell r="W3207">
            <v>0</v>
          </cell>
          <cell r="X3207">
            <v>41500</v>
          </cell>
          <cell r="Y3207">
            <v>0</v>
          </cell>
          <cell r="Z3207">
            <v>41500</v>
          </cell>
          <cell r="AA3207">
            <v>0</v>
          </cell>
          <cell r="AB3207">
            <v>0</v>
          </cell>
          <cell r="AC3207">
            <v>0</v>
          </cell>
          <cell r="AD3207">
            <v>0.44</v>
          </cell>
          <cell r="AE3207">
            <v>0</v>
          </cell>
          <cell r="AF3207">
            <v>0</v>
          </cell>
          <cell r="AG3207">
            <v>0</v>
          </cell>
          <cell r="AH3207">
            <v>0</v>
          </cell>
          <cell r="AI3207">
            <v>0</v>
          </cell>
          <cell r="AJ3207">
            <v>0</v>
          </cell>
          <cell r="AK3207">
            <v>0</v>
          </cell>
          <cell r="AL3207">
            <v>0</v>
          </cell>
        </row>
        <row r="3208">
          <cell r="E3208" t="str">
            <v>避雷接地用端子箱 TB-SGY 埋込形</v>
          </cell>
          <cell r="F3208" t="str">
            <v>面</v>
          </cell>
          <cell r="G3208">
            <v>0</v>
          </cell>
          <cell r="H3208">
            <v>42900</v>
          </cell>
          <cell r="I3208">
            <v>0</v>
          </cell>
          <cell r="J3208">
            <v>42900</v>
          </cell>
          <cell r="K3208">
            <v>0</v>
          </cell>
          <cell r="L3208">
            <v>42900</v>
          </cell>
          <cell r="M3208">
            <v>0</v>
          </cell>
          <cell r="N3208">
            <v>42900</v>
          </cell>
          <cell r="O3208">
            <v>0</v>
          </cell>
          <cell r="P3208">
            <v>42900</v>
          </cell>
          <cell r="Q3208">
            <v>0</v>
          </cell>
          <cell r="R3208">
            <v>42900</v>
          </cell>
          <cell r="S3208">
            <v>0</v>
          </cell>
          <cell r="T3208">
            <v>42900</v>
          </cell>
          <cell r="U3208">
            <v>0</v>
          </cell>
          <cell r="V3208">
            <v>42900</v>
          </cell>
          <cell r="W3208">
            <v>0</v>
          </cell>
          <cell r="X3208">
            <v>42900</v>
          </cell>
          <cell r="Y3208">
            <v>0</v>
          </cell>
          <cell r="Z3208">
            <v>42900</v>
          </cell>
          <cell r="AA3208">
            <v>0</v>
          </cell>
          <cell r="AB3208">
            <v>0</v>
          </cell>
          <cell r="AC3208">
            <v>0</v>
          </cell>
          <cell r="AD3208">
            <v>0.44</v>
          </cell>
          <cell r="AE3208">
            <v>0</v>
          </cell>
          <cell r="AF3208">
            <v>0</v>
          </cell>
          <cell r="AG3208">
            <v>0</v>
          </cell>
          <cell r="AH3208">
            <v>0</v>
          </cell>
          <cell r="AI3208">
            <v>0</v>
          </cell>
          <cell r="AJ3208">
            <v>0</v>
          </cell>
          <cell r="AK3208">
            <v>0</v>
          </cell>
          <cell r="AL3208">
            <v>0</v>
          </cell>
        </row>
        <row r="3209">
          <cell r="E3209" t="str">
            <v>避雷接地用端子箱 TB-SG2 埋込形</v>
          </cell>
          <cell r="F3209" t="str">
            <v>面</v>
          </cell>
          <cell r="G3209">
            <v>0</v>
          </cell>
          <cell r="H3209">
            <v>46200</v>
          </cell>
          <cell r="I3209">
            <v>0</v>
          </cell>
          <cell r="J3209">
            <v>46200</v>
          </cell>
          <cell r="K3209">
            <v>0</v>
          </cell>
          <cell r="L3209">
            <v>46200</v>
          </cell>
          <cell r="M3209">
            <v>0</v>
          </cell>
          <cell r="N3209">
            <v>46200</v>
          </cell>
          <cell r="O3209">
            <v>0</v>
          </cell>
          <cell r="P3209">
            <v>46200</v>
          </cell>
          <cell r="Q3209">
            <v>0</v>
          </cell>
          <cell r="R3209">
            <v>46200</v>
          </cell>
          <cell r="S3209">
            <v>0</v>
          </cell>
          <cell r="T3209">
            <v>46200</v>
          </cell>
          <cell r="U3209">
            <v>0</v>
          </cell>
          <cell r="V3209">
            <v>46200</v>
          </cell>
          <cell r="W3209">
            <v>0</v>
          </cell>
          <cell r="X3209">
            <v>46200</v>
          </cell>
          <cell r="Y3209">
            <v>0</v>
          </cell>
          <cell r="Z3209">
            <v>46200</v>
          </cell>
          <cell r="AA3209">
            <v>0</v>
          </cell>
          <cell r="AB3209">
            <v>0</v>
          </cell>
          <cell r="AC3209">
            <v>0</v>
          </cell>
          <cell r="AD3209">
            <v>0.6</v>
          </cell>
          <cell r="AE3209">
            <v>0</v>
          </cell>
          <cell r="AF3209">
            <v>0</v>
          </cell>
          <cell r="AG3209">
            <v>0</v>
          </cell>
          <cell r="AH3209">
            <v>0</v>
          </cell>
          <cell r="AI3209">
            <v>0</v>
          </cell>
          <cell r="AJ3209">
            <v>0</v>
          </cell>
          <cell r="AK3209">
            <v>0</v>
          </cell>
          <cell r="AL3209">
            <v>0</v>
          </cell>
        </row>
        <row r="3210">
          <cell r="E3210" t="str">
            <v>避雷接地用端子箱 TB-SG2A 埋込形</v>
          </cell>
          <cell r="F3210" t="str">
            <v>面</v>
          </cell>
          <cell r="G3210">
            <v>0</v>
          </cell>
          <cell r="H3210">
            <v>53200</v>
          </cell>
          <cell r="I3210">
            <v>0</v>
          </cell>
          <cell r="J3210">
            <v>53200</v>
          </cell>
          <cell r="K3210">
            <v>0</v>
          </cell>
          <cell r="L3210">
            <v>53200</v>
          </cell>
          <cell r="M3210">
            <v>0</v>
          </cell>
          <cell r="N3210">
            <v>53200</v>
          </cell>
          <cell r="O3210">
            <v>0</v>
          </cell>
          <cell r="P3210">
            <v>53200</v>
          </cell>
          <cell r="Q3210">
            <v>0</v>
          </cell>
          <cell r="R3210">
            <v>53200</v>
          </cell>
          <cell r="S3210">
            <v>0</v>
          </cell>
          <cell r="T3210">
            <v>53200</v>
          </cell>
          <cell r="U3210">
            <v>0</v>
          </cell>
          <cell r="V3210">
            <v>53200</v>
          </cell>
          <cell r="W3210">
            <v>0</v>
          </cell>
          <cell r="X3210">
            <v>53200</v>
          </cell>
          <cell r="Y3210">
            <v>0</v>
          </cell>
          <cell r="Z3210">
            <v>53200</v>
          </cell>
          <cell r="AA3210">
            <v>0</v>
          </cell>
          <cell r="AB3210">
            <v>0</v>
          </cell>
          <cell r="AC3210">
            <v>0</v>
          </cell>
          <cell r="AD3210">
            <v>0.6</v>
          </cell>
          <cell r="AE3210">
            <v>0</v>
          </cell>
          <cell r="AF3210">
            <v>0</v>
          </cell>
          <cell r="AG3210">
            <v>0</v>
          </cell>
          <cell r="AH3210">
            <v>0</v>
          </cell>
          <cell r="AI3210">
            <v>0</v>
          </cell>
          <cell r="AJ3210">
            <v>0</v>
          </cell>
          <cell r="AK3210">
            <v>0</v>
          </cell>
          <cell r="AL3210">
            <v>0</v>
          </cell>
        </row>
        <row r="3211">
          <cell r="E3211" t="str">
            <v>避雷接地用端子箱 TB-ST1 露出形</v>
          </cell>
          <cell r="F3211" t="str">
            <v>面</v>
          </cell>
          <cell r="G3211">
            <v>0</v>
          </cell>
          <cell r="H3211">
            <v>33100</v>
          </cell>
          <cell r="I3211">
            <v>0</v>
          </cell>
          <cell r="J3211">
            <v>33100</v>
          </cell>
          <cell r="K3211">
            <v>0</v>
          </cell>
          <cell r="L3211">
            <v>33100</v>
          </cell>
          <cell r="M3211">
            <v>0</v>
          </cell>
          <cell r="N3211">
            <v>33100</v>
          </cell>
          <cell r="O3211">
            <v>0</v>
          </cell>
          <cell r="P3211">
            <v>33100</v>
          </cell>
          <cell r="Q3211">
            <v>0</v>
          </cell>
          <cell r="R3211">
            <v>33100</v>
          </cell>
          <cell r="S3211">
            <v>0</v>
          </cell>
          <cell r="T3211">
            <v>33100</v>
          </cell>
          <cell r="U3211">
            <v>0</v>
          </cell>
          <cell r="V3211">
            <v>33100</v>
          </cell>
          <cell r="W3211">
            <v>0</v>
          </cell>
          <cell r="X3211">
            <v>33100</v>
          </cell>
          <cell r="Y3211">
            <v>0</v>
          </cell>
          <cell r="Z3211">
            <v>33100</v>
          </cell>
          <cell r="AA3211">
            <v>0</v>
          </cell>
          <cell r="AB3211">
            <v>0</v>
          </cell>
          <cell r="AC3211">
            <v>0</v>
          </cell>
          <cell r="AD3211">
            <v>0.25</v>
          </cell>
          <cell r="AE3211">
            <v>0</v>
          </cell>
          <cell r="AF3211">
            <v>0</v>
          </cell>
          <cell r="AG3211">
            <v>0</v>
          </cell>
          <cell r="AH3211">
            <v>0</v>
          </cell>
          <cell r="AI3211">
            <v>0</v>
          </cell>
          <cell r="AJ3211">
            <v>0</v>
          </cell>
          <cell r="AK3211">
            <v>0</v>
          </cell>
          <cell r="AL3211">
            <v>0</v>
          </cell>
        </row>
        <row r="3212">
          <cell r="E3212" t="str">
            <v>避雷接地用端子箱 TB-ST1A 露出形</v>
          </cell>
          <cell r="F3212" t="str">
            <v>面</v>
          </cell>
          <cell r="G3212">
            <v>0</v>
          </cell>
          <cell r="H3212">
            <v>41500</v>
          </cell>
          <cell r="I3212">
            <v>0</v>
          </cell>
          <cell r="J3212">
            <v>41500</v>
          </cell>
          <cell r="K3212">
            <v>0</v>
          </cell>
          <cell r="L3212">
            <v>41500</v>
          </cell>
          <cell r="M3212">
            <v>0</v>
          </cell>
          <cell r="N3212">
            <v>41500</v>
          </cell>
          <cell r="O3212">
            <v>0</v>
          </cell>
          <cell r="P3212">
            <v>41500</v>
          </cell>
          <cell r="Q3212">
            <v>0</v>
          </cell>
          <cell r="R3212">
            <v>41500</v>
          </cell>
          <cell r="S3212">
            <v>0</v>
          </cell>
          <cell r="T3212">
            <v>41500</v>
          </cell>
          <cell r="U3212">
            <v>0</v>
          </cell>
          <cell r="V3212">
            <v>41500</v>
          </cell>
          <cell r="W3212">
            <v>0</v>
          </cell>
          <cell r="X3212">
            <v>41500</v>
          </cell>
          <cell r="Y3212">
            <v>0</v>
          </cell>
          <cell r="Z3212">
            <v>41500</v>
          </cell>
          <cell r="AA3212">
            <v>0</v>
          </cell>
          <cell r="AB3212">
            <v>0</v>
          </cell>
          <cell r="AC3212">
            <v>0</v>
          </cell>
          <cell r="AD3212">
            <v>0.44</v>
          </cell>
          <cell r="AE3212">
            <v>0</v>
          </cell>
          <cell r="AF3212">
            <v>0</v>
          </cell>
          <cell r="AG3212">
            <v>0</v>
          </cell>
          <cell r="AH3212">
            <v>0</v>
          </cell>
          <cell r="AI3212">
            <v>0</v>
          </cell>
          <cell r="AJ3212">
            <v>0</v>
          </cell>
          <cell r="AK3212">
            <v>0</v>
          </cell>
          <cell r="AL3212">
            <v>0</v>
          </cell>
        </row>
        <row r="3213">
          <cell r="E3213" t="str">
            <v>避雷接地用端子箱 TB-STY 露出形</v>
          </cell>
          <cell r="F3213" t="str">
            <v>面</v>
          </cell>
          <cell r="G3213">
            <v>0</v>
          </cell>
          <cell r="H3213">
            <v>42900</v>
          </cell>
          <cell r="I3213">
            <v>0</v>
          </cell>
          <cell r="J3213">
            <v>42900</v>
          </cell>
          <cell r="K3213">
            <v>0</v>
          </cell>
          <cell r="L3213">
            <v>42900</v>
          </cell>
          <cell r="M3213">
            <v>0</v>
          </cell>
          <cell r="N3213">
            <v>42900</v>
          </cell>
          <cell r="O3213">
            <v>0</v>
          </cell>
          <cell r="P3213">
            <v>42900</v>
          </cell>
          <cell r="Q3213">
            <v>0</v>
          </cell>
          <cell r="R3213">
            <v>42900</v>
          </cell>
          <cell r="S3213">
            <v>0</v>
          </cell>
          <cell r="T3213">
            <v>42900</v>
          </cell>
          <cell r="U3213">
            <v>0</v>
          </cell>
          <cell r="V3213">
            <v>42900</v>
          </cell>
          <cell r="W3213">
            <v>0</v>
          </cell>
          <cell r="X3213">
            <v>42900</v>
          </cell>
          <cell r="Y3213">
            <v>0</v>
          </cell>
          <cell r="Z3213">
            <v>42900</v>
          </cell>
          <cell r="AA3213">
            <v>0</v>
          </cell>
          <cell r="AB3213">
            <v>0</v>
          </cell>
          <cell r="AC3213">
            <v>0</v>
          </cell>
          <cell r="AD3213">
            <v>0.44</v>
          </cell>
          <cell r="AE3213">
            <v>0</v>
          </cell>
          <cell r="AF3213">
            <v>0</v>
          </cell>
          <cell r="AG3213">
            <v>0</v>
          </cell>
          <cell r="AH3213">
            <v>0</v>
          </cell>
          <cell r="AI3213">
            <v>0</v>
          </cell>
          <cell r="AJ3213">
            <v>0</v>
          </cell>
          <cell r="AK3213">
            <v>0</v>
          </cell>
          <cell r="AL3213">
            <v>0</v>
          </cell>
        </row>
        <row r="3214">
          <cell r="E3214" t="str">
            <v>避雷接地用端子箱 TB-ST2 露出形</v>
          </cell>
          <cell r="F3214" t="str">
            <v>面</v>
          </cell>
          <cell r="G3214">
            <v>0</v>
          </cell>
          <cell r="H3214">
            <v>46200</v>
          </cell>
          <cell r="I3214">
            <v>0</v>
          </cell>
          <cell r="J3214">
            <v>46200</v>
          </cell>
          <cell r="K3214">
            <v>0</v>
          </cell>
          <cell r="L3214">
            <v>46200</v>
          </cell>
          <cell r="M3214">
            <v>0</v>
          </cell>
          <cell r="N3214">
            <v>46200</v>
          </cell>
          <cell r="O3214">
            <v>0</v>
          </cell>
          <cell r="P3214">
            <v>46200</v>
          </cell>
          <cell r="Q3214">
            <v>0</v>
          </cell>
          <cell r="R3214">
            <v>46200</v>
          </cell>
          <cell r="S3214">
            <v>0</v>
          </cell>
          <cell r="T3214">
            <v>46200</v>
          </cell>
          <cell r="U3214">
            <v>0</v>
          </cell>
          <cell r="V3214">
            <v>46200</v>
          </cell>
          <cell r="W3214">
            <v>0</v>
          </cell>
          <cell r="X3214">
            <v>46200</v>
          </cell>
          <cell r="Y3214">
            <v>0</v>
          </cell>
          <cell r="Z3214">
            <v>46200</v>
          </cell>
          <cell r="AA3214">
            <v>0</v>
          </cell>
          <cell r="AB3214">
            <v>0</v>
          </cell>
          <cell r="AC3214">
            <v>0</v>
          </cell>
          <cell r="AD3214">
            <v>0.6</v>
          </cell>
          <cell r="AE3214">
            <v>0</v>
          </cell>
          <cell r="AF3214">
            <v>0</v>
          </cell>
          <cell r="AG3214">
            <v>0</v>
          </cell>
          <cell r="AH3214">
            <v>0</v>
          </cell>
          <cell r="AI3214">
            <v>0</v>
          </cell>
          <cell r="AJ3214">
            <v>0</v>
          </cell>
          <cell r="AK3214">
            <v>0</v>
          </cell>
          <cell r="AL3214">
            <v>0</v>
          </cell>
        </row>
        <row r="3215">
          <cell r="E3215" t="str">
            <v>避雷接地用端子箱 TB-ST2A 露出形</v>
          </cell>
          <cell r="F3215" t="str">
            <v>面</v>
          </cell>
          <cell r="G3215">
            <v>0</v>
          </cell>
          <cell r="H3215">
            <v>53200</v>
          </cell>
          <cell r="I3215">
            <v>0</v>
          </cell>
          <cell r="J3215">
            <v>53200</v>
          </cell>
          <cell r="K3215">
            <v>0</v>
          </cell>
          <cell r="L3215">
            <v>53200</v>
          </cell>
          <cell r="M3215">
            <v>0</v>
          </cell>
          <cell r="N3215">
            <v>53200</v>
          </cell>
          <cell r="O3215">
            <v>0</v>
          </cell>
          <cell r="P3215">
            <v>53200</v>
          </cell>
          <cell r="Q3215">
            <v>0</v>
          </cell>
          <cell r="R3215">
            <v>53200</v>
          </cell>
          <cell r="S3215">
            <v>0</v>
          </cell>
          <cell r="T3215">
            <v>53200</v>
          </cell>
          <cell r="U3215">
            <v>0</v>
          </cell>
          <cell r="V3215">
            <v>53200</v>
          </cell>
          <cell r="W3215">
            <v>0</v>
          </cell>
          <cell r="X3215">
            <v>53200</v>
          </cell>
          <cell r="Y3215">
            <v>0</v>
          </cell>
          <cell r="Z3215">
            <v>53200</v>
          </cell>
          <cell r="AA3215">
            <v>0</v>
          </cell>
          <cell r="AB3215">
            <v>0</v>
          </cell>
          <cell r="AC3215">
            <v>0</v>
          </cell>
          <cell r="AD3215">
            <v>0.6</v>
          </cell>
          <cell r="AE3215">
            <v>0</v>
          </cell>
          <cell r="AF3215">
            <v>0</v>
          </cell>
          <cell r="AG3215">
            <v>0</v>
          </cell>
          <cell r="AH3215">
            <v>0</v>
          </cell>
          <cell r="AI3215">
            <v>0</v>
          </cell>
          <cell r="AJ3215">
            <v>0</v>
          </cell>
          <cell r="AK3215">
            <v>0</v>
          </cell>
          <cell r="AL3215">
            <v>0</v>
          </cell>
        </row>
        <row r="3216">
          <cell r="E3216" t="str">
            <v>接地極埋設標示板 国交省型 黄銅製</v>
          </cell>
          <cell r="F3216" t="str">
            <v>枚</v>
          </cell>
          <cell r="G3216">
            <v>0</v>
          </cell>
          <cell r="H3216">
            <v>900</v>
          </cell>
          <cell r="I3216">
            <v>0</v>
          </cell>
          <cell r="J3216">
            <v>900</v>
          </cell>
          <cell r="K3216">
            <v>0</v>
          </cell>
          <cell r="L3216">
            <v>900</v>
          </cell>
          <cell r="M3216">
            <v>0</v>
          </cell>
          <cell r="N3216">
            <v>900</v>
          </cell>
          <cell r="O3216">
            <v>0</v>
          </cell>
          <cell r="P3216">
            <v>900</v>
          </cell>
          <cell r="Q3216">
            <v>0</v>
          </cell>
          <cell r="R3216">
            <v>900</v>
          </cell>
          <cell r="S3216">
            <v>0</v>
          </cell>
          <cell r="T3216">
            <v>900</v>
          </cell>
          <cell r="U3216">
            <v>0</v>
          </cell>
          <cell r="V3216">
            <v>900</v>
          </cell>
          <cell r="W3216">
            <v>0</v>
          </cell>
          <cell r="X3216">
            <v>900</v>
          </cell>
          <cell r="Y3216">
            <v>0</v>
          </cell>
          <cell r="Z3216">
            <v>900</v>
          </cell>
          <cell r="AA3216">
            <v>0</v>
          </cell>
          <cell r="AB3216">
            <v>0</v>
          </cell>
          <cell r="AC3216">
            <v>0</v>
          </cell>
          <cell r="AD3216">
            <v>0.4</v>
          </cell>
          <cell r="AE3216">
            <v>0</v>
          </cell>
          <cell r="AF3216">
            <v>0</v>
          </cell>
          <cell r="AG3216">
            <v>0</v>
          </cell>
          <cell r="AH3216">
            <v>0</v>
          </cell>
          <cell r="AI3216">
            <v>0</v>
          </cell>
          <cell r="AJ3216">
            <v>0</v>
          </cell>
          <cell r="AK3216">
            <v>0</v>
          </cell>
          <cell r="AL3216">
            <v>0</v>
          </cell>
        </row>
        <row r="3217">
          <cell r="E3217" t="str">
            <v>接地極埋設標示板 国交省型 SUS製</v>
          </cell>
          <cell r="F3217" t="str">
            <v>枚</v>
          </cell>
          <cell r="G3217">
            <v>0</v>
          </cell>
          <cell r="H3217">
            <v>1100</v>
          </cell>
          <cell r="I3217">
            <v>0</v>
          </cell>
          <cell r="J3217">
            <v>1100</v>
          </cell>
          <cell r="K3217">
            <v>0</v>
          </cell>
          <cell r="L3217">
            <v>1100</v>
          </cell>
          <cell r="M3217">
            <v>0</v>
          </cell>
          <cell r="N3217">
            <v>1100</v>
          </cell>
          <cell r="O3217">
            <v>0</v>
          </cell>
          <cell r="P3217">
            <v>1100</v>
          </cell>
          <cell r="Q3217">
            <v>0</v>
          </cell>
          <cell r="R3217">
            <v>1100</v>
          </cell>
          <cell r="S3217">
            <v>0</v>
          </cell>
          <cell r="T3217">
            <v>1100</v>
          </cell>
          <cell r="U3217">
            <v>0</v>
          </cell>
          <cell r="V3217">
            <v>1100</v>
          </cell>
          <cell r="W3217">
            <v>0</v>
          </cell>
          <cell r="X3217">
            <v>1100</v>
          </cell>
          <cell r="Y3217">
            <v>0</v>
          </cell>
          <cell r="Z3217">
            <v>1100</v>
          </cell>
          <cell r="AA3217">
            <v>0</v>
          </cell>
          <cell r="AB3217">
            <v>0</v>
          </cell>
          <cell r="AC3217">
            <v>0</v>
          </cell>
          <cell r="AD3217">
            <v>0.4</v>
          </cell>
          <cell r="AE3217">
            <v>0</v>
          </cell>
          <cell r="AF3217">
            <v>0</v>
          </cell>
          <cell r="AG3217">
            <v>0</v>
          </cell>
          <cell r="AH3217">
            <v>0</v>
          </cell>
          <cell r="AI3217">
            <v>0</v>
          </cell>
          <cell r="AJ3217">
            <v>0</v>
          </cell>
          <cell r="AK3217">
            <v>0</v>
          </cell>
          <cell r="AL3217">
            <v>0</v>
          </cell>
        </row>
        <row r="3218">
          <cell r="E3218" t="str">
            <v>接地極埋設標示板 都再機構型 黄銅製</v>
          </cell>
          <cell r="F3218" t="str">
            <v>枚</v>
          </cell>
          <cell r="G3218">
            <v>0</v>
          </cell>
          <cell r="H3218">
            <v>910</v>
          </cell>
          <cell r="I3218">
            <v>0</v>
          </cell>
          <cell r="J3218">
            <v>910</v>
          </cell>
          <cell r="K3218">
            <v>0</v>
          </cell>
          <cell r="L3218">
            <v>910</v>
          </cell>
          <cell r="M3218">
            <v>0</v>
          </cell>
          <cell r="N3218">
            <v>910</v>
          </cell>
          <cell r="O3218">
            <v>0</v>
          </cell>
          <cell r="P3218">
            <v>910</v>
          </cell>
          <cell r="Q3218">
            <v>0</v>
          </cell>
          <cell r="R3218">
            <v>910</v>
          </cell>
          <cell r="S3218">
            <v>0</v>
          </cell>
          <cell r="T3218">
            <v>910</v>
          </cell>
          <cell r="U3218">
            <v>0</v>
          </cell>
          <cell r="V3218">
            <v>910</v>
          </cell>
          <cell r="W3218">
            <v>0</v>
          </cell>
          <cell r="X3218">
            <v>910</v>
          </cell>
          <cell r="Y3218">
            <v>0</v>
          </cell>
          <cell r="Z3218">
            <v>910</v>
          </cell>
          <cell r="AA3218">
            <v>0</v>
          </cell>
          <cell r="AB3218">
            <v>0</v>
          </cell>
          <cell r="AC3218">
            <v>0</v>
          </cell>
          <cell r="AD3218">
            <v>0.4</v>
          </cell>
          <cell r="AE3218">
            <v>0</v>
          </cell>
          <cell r="AF3218">
            <v>0</v>
          </cell>
          <cell r="AG3218">
            <v>0</v>
          </cell>
          <cell r="AH3218">
            <v>0</v>
          </cell>
          <cell r="AI3218">
            <v>0</v>
          </cell>
          <cell r="AJ3218">
            <v>0</v>
          </cell>
          <cell r="AK3218">
            <v>0</v>
          </cell>
          <cell r="AL3218">
            <v>0</v>
          </cell>
        </row>
        <row r="3219">
          <cell r="E3219" t="str">
            <v>接地極埋設標示板 NTT型 黄銅製</v>
          </cell>
          <cell r="F3219" t="str">
            <v>枚</v>
          </cell>
          <cell r="G3219">
            <v>0</v>
          </cell>
          <cell r="H3219">
            <v>1700</v>
          </cell>
          <cell r="I3219">
            <v>0</v>
          </cell>
          <cell r="J3219">
            <v>1700</v>
          </cell>
          <cell r="K3219">
            <v>0</v>
          </cell>
          <cell r="L3219">
            <v>1700</v>
          </cell>
          <cell r="M3219">
            <v>0</v>
          </cell>
          <cell r="N3219">
            <v>1700</v>
          </cell>
          <cell r="O3219">
            <v>0</v>
          </cell>
          <cell r="P3219">
            <v>1700</v>
          </cell>
          <cell r="Q3219">
            <v>0</v>
          </cell>
          <cell r="R3219">
            <v>1700</v>
          </cell>
          <cell r="S3219">
            <v>0</v>
          </cell>
          <cell r="T3219">
            <v>1700</v>
          </cell>
          <cell r="U3219">
            <v>0</v>
          </cell>
          <cell r="V3219">
            <v>1700</v>
          </cell>
          <cell r="W3219">
            <v>0</v>
          </cell>
          <cell r="X3219">
            <v>1700</v>
          </cell>
          <cell r="Y3219">
            <v>0</v>
          </cell>
          <cell r="Z3219">
            <v>1700</v>
          </cell>
          <cell r="AA3219">
            <v>0</v>
          </cell>
          <cell r="AB3219">
            <v>0</v>
          </cell>
          <cell r="AC3219">
            <v>0</v>
          </cell>
          <cell r="AD3219">
            <v>0.4</v>
          </cell>
          <cell r="AE3219">
            <v>0</v>
          </cell>
          <cell r="AF3219">
            <v>0</v>
          </cell>
          <cell r="AG3219">
            <v>0</v>
          </cell>
          <cell r="AH3219">
            <v>0</v>
          </cell>
          <cell r="AI3219">
            <v>0</v>
          </cell>
          <cell r="AJ3219">
            <v>0</v>
          </cell>
          <cell r="AK3219">
            <v>0</v>
          </cell>
          <cell r="AL3219">
            <v>0</v>
          </cell>
        </row>
        <row r="3220">
          <cell r="E3220" t="str">
            <v>接地極銅板 600角 黄銅ロウ付</v>
          </cell>
          <cell r="F3220" t="str">
            <v>枚</v>
          </cell>
          <cell r="G3220">
            <v>0</v>
          </cell>
          <cell r="H3220">
            <v>15400</v>
          </cell>
          <cell r="I3220">
            <v>0</v>
          </cell>
          <cell r="J3220">
            <v>15400</v>
          </cell>
          <cell r="K3220">
            <v>0</v>
          </cell>
          <cell r="L3220">
            <v>15400</v>
          </cell>
          <cell r="M3220">
            <v>0</v>
          </cell>
          <cell r="N3220">
            <v>15400</v>
          </cell>
          <cell r="O3220">
            <v>0</v>
          </cell>
          <cell r="P3220">
            <v>15400</v>
          </cell>
          <cell r="Q3220">
            <v>0</v>
          </cell>
          <cell r="R3220">
            <v>15400</v>
          </cell>
          <cell r="S3220">
            <v>0</v>
          </cell>
          <cell r="T3220">
            <v>15400</v>
          </cell>
          <cell r="U3220">
            <v>0</v>
          </cell>
          <cell r="V3220">
            <v>15400</v>
          </cell>
          <cell r="W3220">
            <v>0</v>
          </cell>
          <cell r="X3220">
            <v>15400</v>
          </cell>
          <cell r="Y3220">
            <v>0</v>
          </cell>
          <cell r="Z3220">
            <v>15400</v>
          </cell>
          <cell r="AA3220">
            <v>0</v>
          </cell>
          <cell r="AB3220">
            <v>0</v>
          </cell>
          <cell r="AC3220">
            <v>0</v>
          </cell>
          <cell r="AD3220">
            <v>2.0259999999999998</v>
          </cell>
          <cell r="AE3220">
            <v>0</v>
          </cell>
          <cell r="AF3220">
            <v>0</v>
          </cell>
          <cell r="AG3220">
            <v>0</v>
          </cell>
          <cell r="AH3220">
            <v>0</v>
          </cell>
          <cell r="AI3220">
            <v>0</v>
          </cell>
          <cell r="AJ3220">
            <v>0</v>
          </cell>
          <cell r="AK3220">
            <v>0</v>
          </cell>
          <cell r="AL3220">
            <v>0</v>
          </cell>
        </row>
        <row r="3221">
          <cell r="E3221" t="str">
            <v>接地極銅板 900角 黄銅ロウ付</v>
          </cell>
          <cell r="F3221" t="str">
            <v>枚</v>
          </cell>
          <cell r="G3221">
            <v>0</v>
          </cell>
          <cell r="H3221">
            <v>21000</v>
          </cell>
          <cell r="I3221">
            <v>0</v>
          </cell>
          <cell r="J3221">
            <v>21000</v>
          </cell>
          <cell r="K3221">
            <v>0</v>
          </cell>
          <cell r="L3221">
            <v>21000</v>
          </cell>
          <cell r="M3221">
            <v>0</v>
          </cell>
          <cell r="N3221">
            <v>21000</v>
          </cell>
          <cell r="O3221">
            <v>0</v>
          </cell>
          <cell r="P3221">
            <v>21000</v>
          </cell>
          <cell r="Q3221">
            <v>0</v>
          </cell>
          <cell r="R3221">
            <v>21000</v>
          </cell>
          <cell r="S3221">
            <v>0</v>
          </cell>
          <cell r="T3221">
            <v>21000</v>
          </cell>
          <cell r="U3221">
            <v>0</v>
          </cell>
          <cell r="V3221">
            <v>21000</v>
          </cell>
          <cell r="W3221">
            <v>0</v>
          </cell>
          <cell r="X3221">
            <v>21000</v>
          </cell>
          <cell r="Y3221">
            <v>0</v>
          </cell>
          <cell r="Z3221">
            <v>21000</v>
          </cell>
          <cell r="AA3221">
            <v>0</v>
          </cell>
          <cell r="AB3221">
            <v>0</v>
          </cell>
          <cell r="AC3221">
            <v>0</v>
          </cell>
          <cell r="AD3221">
            <v>3.7330000000000001</v>
          </cell>
          <cell r="AE3221">
            <v>0</v>
          </cell>
          <cell r="AF3221">
            <v>0</v>
          </cell>
          <cell r="AG3221">
            <v>0</v>
          </cell>
          <cell r="AH3221">
            <v>0</v>
          </cell>
          <cell r="AI3221">
            <v>0</v>
          </cell>
          <cell r="AJ3221">
            <v>0</v>
          </cell>
          <cell r="AK3221">
            <v>0</v>
          </cell>
          <cell r="AL3221">
            <v>0</v>
          </cell>
        </row>
        <row r="3222">
          <cell r="E3222" t="str">
            <v>接地極銅板 900角 テルミット２点溶接</v>
          </cell>
          <cell r="F3222" t="str">
            <v>枚</v>
          </cell>
          <cell r="G3222">
            <v>0</v>
          </cell>
          <cell r="H3222">
            <v>19000</v>
          </cell>
          <cell r="I3222">
            <v>0</v>
          </cell>
          <cell r="J3222">
            <v>19000</v>
          </cell>
          <cell r="K3222">
            <v>0</v>
          </cell>
          <cell r="L3222">
            <v>19000</v>
          </cell>
          <cell r="M3222">
            <v>0</v>
          </cell>
          <cell r="N3222">
            <v>19000</v>
          </cell>
          <cell r="O3222">
            <v>0</v>
          </cell>
          <cell r="P3222">
            <v>19000</v>
          </cell>
          <cell r="Q3222">
            <v>0</v>
          </cell>
          <cell r="R3222">
            <v>19000</v>
          </cell>
          <cell r="S3222">
            <v>0</v>
          </cell>
          <cell r="T3222">
            <v>19000</v>
          </cell>
          <cell r="U3222">
            <v>0</v>
          </cell>
          <cell r="V3222">
            <v>19000</v>
          </cell>
          <cell r="W3222">
            <v>0</v>
          </cell>
          <cell r="X3222">
            <v>19000</v>
          </cell>
          <cell r="Y3222">
            <v>0</v>
          </cell>
          <cell r="Z3222">
            <v>19000</v>
          </cell>
          <cell r="AA3222">
            <v>0</v>
          </cell>
          <cell r="AB3222">
            <v>0</v>
          </cell>
          <cell r="AC3222">
            <v>0</v>
          </cell>
          <cell r="AD3222">
            <v>3.7330000000000001</v>
          </cell>
          <cell r="AE3222">
            <v>0</v>
          </cell>
          <cell r="AF3222">
            <v>0</v>
          </cell>
          <cell r="AG3222">
            <v>0</v>
          </cell>
          <cell r="AH3222">
            <v>0</v>
          </cell>
          <cell r="AI3222">
            <v>0</v>
          </cell>
          <cell r="AJ3222">
            <v>0</v>
          </cell>
          <cell r="AK3222">
            <v>0</v>
          </cell>
          <cell r="AL3222">
            <v>0</v>
          </cell>
        </row>
        <row r="3223">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row>
        <row r="3224">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row>
        <row r="3225">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row>
        <row r="3226">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row>
        <row r="3227">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row>
        <row r="3228">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row>
        <row r="3229">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row>
        <row r="3230">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row>
        <row r="3231">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row>
        <row r="3232">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row>
        <row r="3233">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row>
        <row r="3234">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row>
        <row r="3235">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row>
        <row r="3236">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row>
        <row r="3237">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row>
        <row r="3238">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row>
        <row r="3239">
          <cell r="E3239">
            <v>0</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row>
        <row r="3240">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row>
        <row r="3241">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row>
        <row r="3242">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row>
        <row r="3243">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row>
        <row r="3244">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row>
        <row r="3245">
          <cell r="E3245">
            <v>0</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row>
        <row r="3246">
          <cell r="E3246">
            <v>0</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row>
        <row r="3247">
          <cell r="E3247">
            <v>0</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row>
        <row r="3248">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row>
        <row r="3249">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row>
        <row r="3250">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row>
        <row r="3251">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row>
        <row r="3252">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row>
        <row r="3253">
          <cell r="E3253">
            <v>0</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row>
        <row r="3254">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row>
        <row r="3255">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row>
        <row r="3256">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row>
        <row r="3257">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row>
        <row r="3258">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row>
        <row r="3259">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row>
        <row r="3260">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row>
        <row r="3261">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row>
        <row r="3262">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row>
        <row r="3263">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row>
        <row r="3264">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row>
        <row r="3265">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row>
        <row r="3266">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row>
        <row r="3267">
          <cell r="E3267">
            <v>0</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row>
        <row r="3268">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row>
        <row r="3269">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row>
        <row r="3270">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row>
        <row r="3271">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row>
        <row r="3272">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row>
        <row r="3273">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row>
        <row r="3274">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row>
        <row r="3275">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低幹"/>
      <sheetName val="動配"/>
      <sheetName val="照差"/>
    </sheetNames>
    <sheetDataSet>
      <sheetData sheetId="0">
        <row r="422">
          <cell r="BW422">
            <v>26</v>
          </cell>
          <cell r="BZ422">
            <v>9</v>
          </cell>
          <cell r="CF422">
            <v>37</v>
          </cell>
          <cell r="CL422">
            <v>1</v>
          </cell>
        </row>
      </sheetData>
      <sheetData sheetId="1">
        <row r="551">
          <cell r="CC551">
            <v>0</v>
          </cell>
          <cell r="CD551">
            <v>0</v>
          </cell>
          <cell r="CE551">
            <v>0</v>
          </cell>
          <cell r="CF551">
            <v>0</v>
          </cell>
          <cell r="CJ551">
            <v>0</v>
          </cell>
          <cell r="CK551">
            <v>0</v>
          </cell>
          <cell r="CL551">
            <v>0</v>
          </cell>
          <cell r="CM551">
            <v>0</v>
          </cell>
        </row>
        <row r="553">
          <cell r="CC553">
            <v>114.8073888</v>
          </cell>
          <cell r="CD553">
            <v>130.68309348190354</v>
          </cell>
          <cell r="CE553">
            <v>1693.1071126185664</v>
          </cell>
          <cell r="CF553">
            <v>1362.7276410236168</v>
          </cell>
          <cell r="CG553">
            <v>69.366972500000045</v>
          </cell>
          <cell r="CH553">
            <v>53.744006908288974</v>
          </cell>
          <cell r="CJ553">
            <v>94.395911040000016</v>
          </cell>
          <cell r="CK553">
            <v>107.44909187194898</v>
          </cell>
          <cell r="CL553">
            <v>1182.3260560346455</v>
          </cell>
          <cell r="CM553">
            <v>1181.3881968806672</v>
          </cell>
          <cell r="CN553">
            <v>20.810091750000016</v>
          </cell>
          <cell r="CO553">
            <v>16.123202072486691</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別表"/>
      <sheetName val="提出"/>
      <sheetName val="原価"/>
      <sheetName val="引込"/>
      <sheetName val="受変"/>
      <sheetName val="発電"/>
      <sheetName val="S3"/>
      <sheetName val="S5"/>
      <sheetName val="Help"/>
    </sheetNames>
    <sheetDataSet>
      <sheetData sheetId="0"/>
      <sheetData sheetId="1"/>
      <sheetData sheetId="2"/>
      <sheetData sheetId="3"/>
      <sheetData sheetId="4">
        <row r="8">
          <cell r="Y8">
            <v>152.80000000000001</v>
          </cell>
        </row>
      </sheetData>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低幹"/>
      <sheetName val="動配"/>
      <sheetName val="照差"/>
      <sheetName val="RECS-3"/>
    </sheetNames>
    <sheetDataSet>
      <sheetData sheetId="0"/>
      <sheetData sheetId="1"/>
      <sheetData sheetId="2">
        <row r="234">
          <cell r="CR234" t="str">
            <v xml:space="preserve"> B2F</v>
          </cell>
          <cell r="CS234">
            <v>5</v>
          </cell>
          <cell r="CT234">
            <v>0</v>
          </cell>
          <cell r="CU234">
            <v>0</v>
          </cell>
          <cell r="CV234">
            <v>10</v>
          </cell>
          <cell r="CW234">
            <v>10</v>
          </cell>
          <cell r="CX234">
            <v>10</v>
          </cell>
          <cell r="CY234">
            <v>0</v>
          </cell>
          <cell r="CZ234">
            <v>0</v>
          </cell>
          <cell r="DA234">
            <v>24</v>
          </cell>
          <cell r="DB234">
            <v>33</v>
          </cell>
          <cell r="DC234" t="str">
            <v>⑦</v>
          </cell>
        </row>
        <row r="235">
          <cell r="CR235" t="str">
            <v xml:space="preserve"> B1F</v>
          </cell>
          <cell r="CS235">
            <v>5</v>
          </cell>
          <cell r="CT235">
            <v>10</v>
          </cell>
          <cell r="CU235">
            <v>0</v>
          </cell>
          <cell r="CV235">
            <v>5</v>
          </cell>
          <cell r="CW235">
            <v>15</v>
          </cell>
          <cell r="CX235">
            <v>5</v>
          </cell>
          <cell r="CY235">
            <v>0</v>
          </cell>
          <cell r="CZ235">
            <v>0</v>
          </cell>
          <cell r="DA235">
            <v>24</v>
          </cell>
          <cell r="DB235">
            <v>33</v>
          </cell>
          <cell r="DC235" t="str">
            <v>⑦</v>
          </cell>
        </row>
        <row r="236">
          <cell r="CR236" t="str">
            <v xml:space="preserve">  1F</v>
          </cell>
          <cell r="CS236">
            <v>5</v>
          </cell>
          <cell r="CT236">
            <v>15</v>
          </cell>
          <cell r="CU236">
            <v>0</v>
          </cell>
          <cell r="CV236">
            <v>0</v>
          </cell>
          <cell r="CW236">
            <v>0</v>
          </cell>
          <cell r="CX236">
            <v>0</v>
          </cell>
          <cell r="CY236">
            <v>1</v>
          </cell>
          <cell r="CZ236">
            <v>1</v>
          </cell>
          <cell r="DA236">
            <v>30</v>
          </cell>
          <cell r="DB236">
            <v>31.8</v>
          </cell>
          <cell r="DC236" t="str">
            <v>⑦</v>
          </cell>
        </row>
        <row r="237">
          <cell r="CR237" t="str">
            <v xml:space="preserve">  2F</v>
          </cell>
          <cell r="CS237">
            <v>4</v>
          </cell>
          <cell r="CT237">
            <v>19</v>
          </cell>
          <cell r="CU237">
            <v>4</v>
          </cell>
          <cell r="CV237">
            <v>0</v>
          </cell>
          <cell r="CW237">
            <v>0</v>
          </cell>
          <cell r="CX237">
            <v>4</v>
          </cell>
          <cell r="CY237">
            <v>1</v>
          </cell>
          <cell r="CZ237">
            <v>2</v>
          </cell>
          <cell r="DA237">
            <v>30</v>
          </cell>
          <cell r="DB237">
            <v>31.8</v>
          </cell>
          <cell r="DC237" t="str">
            <v>⑦</v>
          </cell>
        </row>
        <row r="238">
          <cell r="CR238" t="str">
            <v xml:space="preserve">  3F</v>
          </cell>
          <cell r="CS238">
            <v>4</v>
          </cell>
          <cell r="CT238">
            <v>23</v>
          </cell>
          <cell r="CU238">
            <v>4</v>
          </cell>
          <cell r="CV238">
            <v>0</v>
          </cell>
          <cell r="CW238">
            <v>0</v>
          </cell>
          <cell r="CX238">
            <v>8</v>
          </cell>
          <cell r="CY238">
            <v>1</v>
          </cell>
          <cell r="CZ238">
            <v>3</v>
          </cell>
          <cell r="DA238">
            <v>30</v>
          </cell>
          <cell r="DB238">
            <v>31.8</v>
          </cell>
          <cell r="DC238" t="str">
            <v>⑦</v>
          </cell>
        </row>
        <row r="239">
          <cell r="CR239" t="str">
            <v xml:space="preserve">  4F</v>
          </cell>
          <cell r="CS239">
            <v>4</v>
          </cell>
          <cell r="CT239">
            <v>27</v>
          </cell>
          <cell r="CU239">
            <v>4</v>
          </cell>
          <cell r="CV239">
            <v>0</v>
          </cell>
          <cell r="CW239">
            <v>0</v>
          </cell>
          <cell r="CX239">
            <v>12</v>
          </cell>
          <cell r="CY239">
            <v>1</v>
          </cell>
          <cell r="CZ239">
            <v>4</v>
          </cell>
          <cell r="DA239">
            <v>12</v>
          </cell>
          <cell r="DB239">
            <v>24</v>
          </cell>
          <cell r="DC239" t="str">
            <v>⑦</v>
          </cell>
        </row>
        <row r="240">
          <cell r="CR240" t="str">
            <v xml:space="preserve">  5F</v>
          </cell>
          <cell r="CS240">
            <v>4</v>
          </cell>
          <cell r="CT240">
            <v>31</v>
          </cell>
          <cell r="CU240">
            <v>4</v>
          </cell>
          <cell r="CV240">
            <v>0</v>
          </cell>
          <cell r="CW240">
            <v>0</v>
          </cell>
          <cell r="CX240">
            <v>16</v>
          </cell>
          <cell r="CY240">
            <v>1</v>
          </cell>
          <cell r="CZ240">
            <v>5</v>
          </cell>
          <cell r="DA240">
            <v>12</v>
          </cell>
          <cell r="DB240">
            <v>24</v>
          </cell>
          <cell r="DC240" t="str">
            <v>⑦</v>
          </cell>
        </row>
        <row r="241">
          <cell r="CR241" t="str">
            <v xml:space="preserve">  6F</v>
          </cell>
          <cell r="CS241">
            <v>4</v>
          </cell>
          <cell r="CT241">
            <v>35</v>
          </cell>
          <cell r="CU241">
            <v>4</v>
          </cell>
          <cell r="CV241">
            <v>0</v>
          </cell>
          <cell r="CW241">
            <v>0</v>
          </cell>
          <cell r="CX241">
            <v>20</v>
          </cell>
          <cell r="CY241">
            <v>1</v>
          </cell>
          <cell r="CZ241">
            <v>6</v>
          </cell>
          <cell r="DA241">
            <v>12</v>
          </cell>
          <cell r="DB241">
            <v>24</v>
          </cell>
          <cell r="DC241" t="str">
            <v>⑦</v>
          </cell>
        </row>
        <row r="242">
          <cell r="CR242" t="str">
            <v xml:space="preserve">  7F</v>
          </cell>
          <cell r="CS242">
            <v>4</v>
          </cell>
          <cell r="CT242">
            <v>39</v>
          </cell>
          <cell r="CU242">
            <v>4</v>
          </cell>
          <cell r="CV242">
            <v>0</v>
          </cell>
          <cell r="CW242">
            <v>0</v>
          </cell>
          <cell r="CX242">
            <v>24</v>
          </cell>
          <cell r="CY242">
            <v>1</v>
          </cell>
          <cell r="CZ242">
            <v>7</v>
          </cell>
          <cell r="DA242">
            <v>12</v>
          </cell>
          <cell r="DB242">
            <v>24</v>
          </cell>
          <cell r="DC242" t="str">
            <v>⑦</v>
          </cell>
        </row>
        <row r="243">
          <cell r="CR243" t="str">
            <v xml:space="preserve">  8F</v>
          </cell>
          <cell r="CS243">
            <v>4</v>
          </cell>
          <cell r="CT243">
            <v>43</v>
          </cell>
          <cell r="CU243">
            <v>4</v>
          </cell>
          <cell r="CV243">
            <v>0</v>
          </cell>
          <cell r="CW243">
            <v>0</v>
          </cell>
          <cell r="CX243">
            <v>28</v>
          </cell>
          <cell r="CY243">
            <v>1</v>
          </cell>
          <cell r="CZ243">
            <v>8</v>
          </cell>
          <cell r="DA243">
            <v>12</v>
          </cell>
          <cell r="DB243">
            <v>24</v>
          </cell>
          <cell r="DC243" t="str">
            <v>⑦</v>
          </cell>
        </row>
        <row r="244">
          <cell r="CR244" t="str">
            <v xml:space="preserve">  9F</v>
          </cell>
          <cell r="CS244">
            <v>4</v>
          </cell>
          <cell r="CT244">
            <v>47</v>
          </cell>
          <cell r="CU244">
            <v>4</v>
          </cell>
          <cell r="CV244">
            <v>0</v>
          </cell>
          <cell r="CW244">
            <v>0</v>
          </cell>
          <cell r="CX244">
            <v>32</v>
          </cell>
          <cell r="CY244">
            <v>1</v>
          </cell>
          <cell r="CZ244">
            <v>9</v>
          </cell>
          <cell r="DA244">
            <v>12</v>
          </cell>
          <cell r="DB244">
            <v>24</v>
          </cell>
          <cell r="DC244" t="str">
            <v>⑦</v>
          </cell>
        </row>
        <row r="245">
          <cell r="CR245" t="str">
            <v xml:space="preserve"> 10F</v>
          </cell>
          <cell r="CS245">
            <v>4</v>
          </cell>
          <cell r="CT245">
            <v>51</v>
          </cell>
          <cell r="CU245">
            <v>4</v>
          </cell>
          <cell r="CV245">
            <v>0</v>
          </cell>
          <cell r="CW245">
            <v>0</v>
          </cell>
          <cell r="CX245">
            <v>36</v>
          </cell>
          <cell r="CY245">
            <v>1</v>
          </cell>
          <cell r="CZ245">
            <v>10</v>
          </cell>
          <cell r="DA245">
            <v>12</v>
          </cell>
          <cell r="DB245">
            <v>24</v>
          </cell>
          <cell r="DC245" t="str">
            <v>⑦</v>
          </cell>
        </row>
        <row r="246">
          <cell r="CR246" t="str">
            <v xml:space="preserve"> 11F</v>
          </cell>
          <cell r="CS246">
            <v>4</v>
          </cell>
          <cell r="CT246">
            <v>55</v>
          </cell>
          <cell r="CU246">
            <v>4</v>
          </cell>
          <cell r="CV246">
            <v>0</v>
          </cell>
          <cell r="CW246">
            <v>0</v>
          </cell>
          <cell r="CX246">
            <v>40</v>
          </cell>
          <cell r="CY246">
            <v>1</v>
          </cell>
          <cell r="CZ246">
            <v>11</v>
          </cell>
          <cell r="DA246">
            <v>12</v>
          </cell>
          <cell r="DB246">
            <v>24</v>
          </cell>
          <cell r="DC246" t="str">
            <v>⑦</v>
          </cell>
        </row>
        <row r="247">
          <cell r="CR247" t="str">
            <v xml:space="preserve"> 12F</v>
          </cell>
          <cell r="CS247">
            <v>4</v>
          </cell>
          <cell r="CT247">
            <v>59</v>
          </cell>
          <cell r="CU247">
            <v>4</v>
          </cell>
          <cell r="CV247">
            <v>0</v>
          </cell>
          <cell r="CW247">
            <v>0</v>
          </cell>
          <cell r="CX247">
            <v>44</v>
          </cell>
          <cell r="CY247">
            <v>1</v>
          </cell>
          <cell r="CZ247">
            <v>12</v>
          </cell>
          <cell r="DA247">
            <v>12</v>
          </cell>
          <cell r="DB247">
            <v>24</v>
          </cell>
          <cell r="DC247" t="str">
            <v>⑦</v>
          </cell>
        </row>
        <row r="248">
          <cell r="CR248" t="str">
            <v>PH1F</v>
          </cell>
          <cell r="CS248">
            <v>4</v>
          </cell>
          <cell r="CT248">
            <v>63</v>
          </cell>
          <cell r="CU248">
            <v>0</v>
          </cell>
          <cell r="CV248">
            <v>0</v>
          </cell>
          <cell r="CW248">
            <v>0</v>
          </cell>
          <cell r="CX248">
            <v>44</v>
          </cell>
          <cell r="CY248">
            <v>0</v>
          </cell>
          <cell r="CZ248">
            <v>12</v>
          </cell>
          <cell r="DA248">
            <v>5</v>
          </cell>
          <cell r="DB248">
            <v>7</v>
          </cell>
          <cell r="DC248" t="str">
            <v>⑦</v>
          </cell>
        </row>
        <row r="249">
          <cell r="CR249" t="str">
            <v>PH2F</v>
          </cell>
          <cell r="CS249">
            <v>4</v>
          </cell>
          <cell r="CT249">
            <v>67</v>
          </cell>
          <cell r="CU249">
            <v>0</v>
          </cell>
          <cell r="CV249">
            <v>0</v>
          </cell>
          <cell r="CW249">
            <v>0</v>
          </cell>
          <cell r="CX249">
            <v>44</v>
          </cell>
          <cell r="CY249">
            <v>0</v>
          </cell>
          <cell r="CZ249">
            <v>12</v>
          </cell>
          <cell r="DA249">
            <v>5</v>
          </cell>
          <cell r="DB249">
            <v>7</v>
          </cell>
          <cell r="DC249" t="str">
            <v>⑦</v>
          </cell>
        </row>
        <row r="250">
          <cell r="CR250" t="str">
            <v/>
          </cell>
          <cell r="CS250">
            <v>0</v>
          </cell>
          <cell r="CT250">
            <v>67</v>
          </cell>
          <cell r="CU250">
            <v>0</v>
          </cell>
          <cell r="CV250">
            <v>0</v>
          </cell>
          <cell r="CW250">
            <v>0</v>
          </cell>
          <cell r="CX250">
            <v>0</v>
          </cell>
          <cell r="CY250">
            <v>1</v>
          </cell>
          <cell r="CZ250">
            <v>13</v>
          </cell>
          <cell r="DA250">
            <v>0</v>
          </cell>
          <cell r="DB250">
            <v>0</v>
          </cell>
          <cell r="DC250" t="str">
            <v/>
          </cell>
        </row>
        <row r="251">
          <cell r="CR251" t="str">
            <v/>
          </cell>
          <cell r="CS251">
            <v>0</v>
          </cell>
          <cell r="CT251">
            <v>67</v>
          </cell>
          <cell r="CU251">
            <v>0</v>
          </cell>
          <cell r="CV251">
            <v>0</v>
          </cell>
          <cell r="CW251">
            <v>0</v>
          </cell>
          <cell r="CX251">
            <v>0</v>
          </cell>
          <cell r="CY251">
            <v>1</v>
          </cell>
          <cell r="CZ251">
            <v>14</v>
          </cell>
          <cell r="DA251">
            <v>0</v>
          </cell>
          <cell r="DB251">
            <v>0</v>
          </cell>
          <cell r="DC251" t="str">
            <v/>
          </cell>
        </row>
        <row r="252">
          <cell r="CR252" t="str">
            <v/>
          </cell>
          <cell r="CS252">
            <v>0</v>
          </cell>
          <cell r="CT252">
            <v>67</v>
          </cell>
          <cell r="CU252">
            <v>0</v>
          </cell>
          <cell r="CV252">
            <v>0</v>
          </cell>
          <cell r="CW252">
            <v>0</v>
          </cell>
          <cell r="CX252">
            <v>0</v>
          </cell>
          <cell r="CY252">
            <v>1</v>
          </cell>
          <cell r="CZ252">
            <v>15</v>
          </cell>
          <cell r="DA252">
            <v>0</v>
          </cell>
          <cell r="DB252">
            <v>0</v>
          </cell>
          <cell r="DC252" t="str">
            <v/>
          </cell>
        </row>
        <row r="253">
          <cell r="CR253" t="str">
            <v/>
          </cell>
          <cell r="CS253">
            <v>0</v>
          </cell>
          <cell r="CT253">
            <v>67</v>
          </cell>
          <cell r="CU253">
            <v>0</v>
          </cell>
          <cell r="CV253">
            <v>0</v>
          </cell>
          <cell r="CW253">
            <v>0</v>
          </cell>
          <cell r="CX253">
            <v>0</v>
          </cell>
          <cell r="CY253">
            <v>1</v>
          </cell>
          <cell r="CZ253">
            <v>16</v>
          </cell>
          <cell r="DA253">
            <v>0</v>
          </cell>
          <cell r="DB253">
            <v>0</v>
          </cell>
          <cell r="DC253" t="str">
            <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別表"/>
      <sheetName val="提出"/>
      <sheetName val="原価"/>
      <sheetName val="引込"/>
      <sheetName val="受変"/>
      <sheetName val="発電"/>
      <sheetName val="S3"/>
      <sheetName val="S5"/>
      <sheetName val="Help"/>
    </sheetNames>
    <sheetDataSet>
      <sheetData sheetId="0">
        <row r="11">
          <cell r="DC11" t="str">
            <v>(1) イ</v>
          </cell>
        </row>
        <row r="76">
          <cell r="BJ76" t="str">
            <v>－</v>
          </cell>
        </row>
        <row r="77">
          <cell r="BJ77" t="str">
            <v>要</v>
          </cell>
        </row>
        <row r="78">
          <cell r="BJ78" t="str">
            <v>－</v>
          </cell>
        </row>
        <row r="79">
          <cell r="BJ79" t="str">
            <v>要</v>
          </cell>
        </row>
        <row r="80">
          <cell r="BJ80" t="str">
            <v>－</v>
          </cell>
        </row>
        <row r="81">
          <cell r="BJ81" t="str">
            <v>－</v>
          </cell>
        </row>
      </sheetData>
      <sheetData sheetId="1">
        <row r="1">
          <cell r="B1">
            <v>1</v>
          </cell>
        </row>
      </sheetData>
      <sheetData sheetId="2">
        <row r="6">
          <cell r="BG6">
            <v>1</v>
          </cell>
        </row>
      </sheetData>
      <sheetData sheetId="3">
        <row r="42">
          <cell r="AD42" t="str">
            <v>単価-1</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file:///C:\Users\ESE%20Service\Downloads\RECS-3.xlsx" TargetMode="External"/><Relationship Id="rId13" Type="http://schemas.openxmlformats.org/officeDocument/2006/relationships/hyperlink" Target="file:///C:\Users\ESE%20Service\Downloads\RECS-4.xlsx" TargetMode="External"/><Relationship Id="rId18" Type="http://schemas.openxmlformats.org/officeDocument/2006/relationships/hyperlink" Target="file:///C:\Users\ESE%20Service\Downloads\RECS-2.xlsx" TargetMode="External"/><Relationship Id="rId3" Type="http://schemas.openxmlformats.org/officeDocument/2006/relationships/hyperlink" Target="file:///C:\Users\ESE%20Service\Downloads\RECS-4.xlsx" TargetMode="External"/><Relationship Id="rId21" Type="http://schemas.openxmlformats.org/officeDocument/2006/relationships/printerSettings" Target="../printerSettings/printerSettings1.bin"/><Relationship Id="rId7" Type="http://schemas.openxmlformats.org/officeDocument/2006/relationships/hyperlink" Target="file:///C:\Users\ESE%20Service\Downloads\RECS-3.xlsx" TargetMode="External"/><Relationship Id="rId12" Type="http://schemas.openxmlformats.org/officeDocument/2006/relationships/hyperlink" Target="file:///C:\Users\ESE%20Service\Downloads\RECS-4.xlsx" TargetMode="External"/><Relationship Id="rId17" Type="http://schemas.openxmlformats.org/officeDocument/2006/relationships/hyperlink" Target="file:///C:\Users\ESE%20Service\Downloads\RECS-5.xlsx" TargetMode="External"/><Relationship Id="rId2" Type="http://schemas.openxmlformats.org/officeDocument/2006/relationships/hyperlink" Target="file:///C:\Users\ESE%20Service\Downloads\RECS-2.xlsx" TargetMode="External"/><Relationship Id="rId16" Type="http://schemas.openxmlformats.org/officeDocument/2006/relationships/hyperlink" Target="file:///C:\Users\ESE%20Service\Downloads\RECS-D.xlsx" TargetMode="External"/><Relationship Id="rId20" Type="http://schemas.openxmlformats.org/officeDocument/2006/relationships/hyperlink" Target="file:///C:\Users\ESE%20Service\Downloads\RECS-5.xlsx" TargetMode="External"/><Relationship Id="rId1" Type="http://schemas.openxmlformats.org/officeDocument/2006/relationships/hyperlink" Target="file:///C:\Users\FMV\AppData\Roaming\Microsoft\Excel\RECS-2.xlsx" TargetMode="External"/><Relationship Id="rId6" Type="http://schemas.openxmlformats.org/officeDocument/2006/relationships/hyperlink" Target="file:///C:\Users\ESE%20Service\Downloads\RECS-3.xlsx" TargetMode="External"/><Relationship Id="rId11" Type="http://schemas.openxmlformats.org/officeDocument/2006/relationships/hyperlink" Target="file:///C:\Users\ESE%20Service\Downloads\RECS-4.xlsx" TargetMode="External"/><Relationship Id="rId5" Type="http://schemas.openxmlformats.org/officeDocument/2006/relationships/hyperlink" Target="file:///C:\Users\ESE%20Service\Downloads\RECS-2.xlsx" TargetMode="External"/><Relationship Id="rId15" Type="http://schemas.openxmlformats.org/officeDocument/2006/relationships/hyperlink" Target="file:///C:\Users\ESE%20Service\Downloads\RECS-5.xlsx" TargetMode="External"/><Relationship Id="rId23" Type="http://schemas.openxmlformats.org/officeDocument/2006/relationships/comments" Target="../comments1.xml"/><Relationship Id="rId10" Type="http://schemas.openxmlformats.org/officeDocument/2006/relationships/hyperlink" Target="file:///C:\Users\ESE%20Service\Downloads\RECS-4.xlsx" TargetMode="External"/><Relationship Id="rId19" Type="http://schemas.openxmlformats.org/officeDocument/2006/relationships/hyperlink" Target="file:///C:\Users\ESE%20Service\Downloads\RECS-5.xlsx" TargetMode="External"/><Relationship Id="rId4" Type="http://schemas.openxmlformats.org/officeDocument/2006/relationships/hyperlink" Target="file:///C:\Users\ESE%20Service\Downloads\RECS-2.xlsx" TargetMode="External"/><Relationship Id="rId9" Type="http://schemas.openxmlformats.org/officeDocument/2006/relationships/hyperlink" Target="file:///C:\Users\ESE%20Service\Downloads\RECS-3.xlsx" TargetMode="External"/><Relationship Id="rId14" Type="http://schemas.openxmlformats.org/officeDocument/2006/relationships/hyperlink" Target="file:///C:\Users\ESE%20Service\Downloads\RECS-4.xlsx" TargetMode="External"/><Relationship Id="rId22"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hyperlink" Target="file:///C:\Users\ESE%20Service\Downloads\RECS-2.xlsx" TargetMode="External"/><Relationship Id="rId13" Type="http://schemas.openxmlformats.org/officeDocument/2006/relationships/hyperlink" Target="file:///C:\Users\ESE%20Service\Downloads\RECS-3.xlsx" TargetMode="External"/><Relationship Id="rId18" Type="http://schemas.openxmlformats.org/officeDocument/2006/relationships/hyperlink" Target="file:///C:\Users\ESE%20Service\Downloads\RECS-4.xlsx" TargetMode="External"/><Relationship Id="rId26" Type="http://schemas.openxmlformats.org/officeDocument/2006/relationships/hyperlink" Target="RECS-3(UL).xlsx" TargetMode="External"/><Relationship Id="rId3" Type="http://schemas.openxmlformats.org/officeDocument/2006/relationships/hyperlink" Target="RECS_4&#65381;5(UL).xlsx" TargetMode="External"/><Relationship Id="rId21" Type="http://schemas.openxmlformats.org/officeDocument/2006/relationships/hyperlink" Target="RECS_4&#65381;5(UL).xlsx" TargetMode="External"/><Relationship Id="rId7" Type="http://schemas.openxmlformats.org/officeDocument/2006/relationships/hyperlink" Target="RECS_4&#65381;5(UL).xlsx" TargetMode="External"/><Relationship Id="rId12" Type="http://schemas.openxmlformats.org/officeDocument/2006/relationships/hyperlink" Target="file:///C:\Users\ESE%20Service\Downloads\RECS-3.xlsx" TargetMode="External"/><Relationship Id="rId17" Type="http://schemas.openxmlformats.org/officeDocument/2006/relationships/hyperlink" Target="file:///C:\Users\ESE%20Service\Downloads\RECS-4.xlsx" TargetMode="External"/><Relationship Id="rId25" Type="http://schemas.openxmlformats.org/officeDocument/2006/relationships/hyperlink" Target="RECS-3(UL).xlsx" TargetMode="External"/><Relationship Id="rId2" Type="http://schemas.openxmlformats.org/officeDocument/2006/relationships/hyperlink" Target="RECS_4&#65381;5(UL).xlsx" TargetMode="External"/><Relationship Id="rId16" Type="http://schemas.openxmlformats.org/officeDocument/2006/relationships/hyperlink" Target="file:///C:\Users\ESE%20Service\Downloads\RECS-4.xlsx" TargetMode="External"/><Relationship Id="rId20" Type="http://schemas.openxmlformats.org/officeDocument/2006/relationships/hyperlink" Target="file:///C:\Users\ESE%20Service\Downloads\RECS-1.xlsx" TargetMode="External"/><Relationship Id="rId1" Type="http://schemas.openxmlformats.org/officeDocument/2006/relationships/hyperlink" Target="RECS_4&#65381;5(UL).xlsx" TargetMode="External"/><Relationship Id="rId6" Type="http://schemas.openxmlformats.org/officeDocument/2006/relationships/hyperlink" Target="RECS_1&#65381;2(UL).xlsx" TargetMode="External"/><Relationship Id="rId11" Type="http://schemas.openxmlformats.org/officeDocument/2006/relationships/hyperlink" Target="file:///C:\Users\ESE%20Service\Downloads\RECS-3.xlsx" TargetMode="External"/><Relationship Id="rId24" Type="http://schemas.openxmlformats.org/officeDocument/2006/relationships/hyperlink" Target="RECS-3(UL).xlsx" TargetMode="External"/><Relationship Id="rId5" Type="http://schemas.openxmlformats.org/officeDocument/2006/relationships/hyperlink" Target="RECS_1&#65381;2(UL).xlsx" TargetMode="External"/><Relationship Id="rId15" Type="http://schemas.openxmlformats.org/officeDocument/2006/relationships/hyperlink" Target="file:///C:\Users\ESE%20Service\Downloads\RECS-4.xlsx" TargetMode="External"/><Relationship Id="rId23" Type="http://schemas.openxmlformats.org/officeDocument/2006/relationships/hyperlink" Target="RECS_4&#65381;5(UL).xlsx" TargetMode="External"/><Relationship Id="rId28" Type="http://schemas.openxmlformats.org/officeDocument/2006/relationships/drawing" Target="../drawings/drawing2.xml"/><Relationship Id="rId10" Type="http://schemas.openxmlformats.org/officeDocument/2006/relationships/hyperlink" Target="file:///C:\Users\ESE%20Service\Downloads\RECS-2.xlsx" TargetMode="External"/><Relationship Id="rId19" Type="http://schemas.openxmlformats.org/officeDocument/2006/relationships/hyperlink" Target="file:///C:\Users\ESE%20Service\Downloads\RECS-4.xlsx" TargetMode="External"/><Relationship Id="rId4" Type="http://schemas.openxmlformats.org/officeDocument/2006/relationships/hyperlink" Target="RECS_1&#65381;2(UL).xlsx" TargetMode="External"/><Relationship Id="rId9" Type="http://schemas.openxmlformats.org/officeDocument/2006/relationships/hyperlink" Target="file:///C:\Users\ESE%20Service\Downloads\RECS-2.xlsx" TargetMode="External"/><Relationship Id="rId14" Type="http://schemas.openxmlformats.org/officeDocument/2006/relationships/hyperlink" Target="file:///C:\Users\ESE%20Service\Downloads\RECS-4.xlsx" TargetMode="External"/><Relationship Id="rId22" Type="http://schemas.openxmlformats.org/officeDocument/2006/relationships/hyperlink" Target="RECS_4&#65381;5(UL).xlsx" TargetMode="External"/><Relationship Id="rId27"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C:\Users\ESE%20Service\Downloads\RECS-1.xlsx"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RECS_4&#65381;5(UL).xlsx" TargetMode="External"/><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RECS_4&#65381;5(UL).xlsx" TargetMode="External"/><Relationship Id="rId7" Type="http://schemas.openxmlformats.org/officeDocument/2006/relationships/comments" Target="../comments5.xml"/><Relationship Id="rId2" Type="http://schemas.openxmlformats.org/officeDocument/2006/relationships/hyperlink" Target="RECS_1&#65381;2(UL).xlsx" TargetMode="External"/><Relationship Id="rId1" Type="http://schemas.openxmlformats.org/officeDocument/2006/relationships/hyperlink" Target="RECS_1&#65381;2(UL).xlsx" TargetMode="External"/><Relationship Id="rId6" Type="http://schemas.openxmlformats.org/officeDocument/2006/relationships/vmlDrawing" Target="../drawings/vmlDrawing5.vml"/><Relationship Id="rId5" Type="http://schemas.openxmlformats.org/officeDocument/2006/relationships/printerSettings" Target="../printerSettings/printerSettings6.bin"/><Relationship Id="rId4" Type="http://schemas.openxmlformats.org/officeDocument/2006/relationships/hyperlink" Target="RECS_1&#65381;2(UL).xlsx"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RECS_1&#65381;2(UL).xlsx" TargetMode="External"/><Relationship Id="rId2" Type="http://schemas.openxmlformats.org/officeDocument/2006/relationships/hyperlink" Target="RECS_4&#65381;5(UL).xlsx" TargetMode="External"/><Relationship Id="rId1" Type="http://schemas.openxmlformats.org/officeDocument/2006/relationships/hyperlink" Target="RECS_1&#65381;2(UL).xlsx"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RECS_1&#65381;2(UL).xls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B557"/>
  <sheetViews>
    <sheetView tabSelected="1" view="pageBreakPreview" zoomScale="120" zoomScaleNormal="130" zoomScaleSheetLayoutView="120" workbookViewId="0"/>
  </sheetViews>
  <sheetFormatPr defaultRowHeight="14.25"/>
  <cols>
    <col min="1" max="46" width="1.42578125" style="3" customWidth="1"/>
    <col min="47" max="47" width="1.5703125" style="3" customWidth="1"/>
    <col min="48" max="79" width="1.42578125" style="3" customWidth="1"/>
    <col min="80" max="80" width="5.7109375" style="3" customWidth="1"/>
    <col min="81" max="103" width="3.7109375" style="3" hidden="1" customWidth="1"/>
    <col min="104" max="104" width="5.7109375" style="3" hidden="1" customWidth="1"/>
    <col min="105" max="105" width="3.7109375" style="3" hidden="1" customWidth="1"/>
    <col min="106" max="106" width="3.7109375" style="3" customWidth="1"/>
    <col min="107" max="107" width="5.7109375" style="160" customWidth="1"/>
    <col min="108" max="108" width="18.5703125" style="160" customWidth="1"/>
    <col min="109" max="109" width="2.5703125" style="160" customWidth="1"/>
    <col min="110" max="116" width="2.85546875" style="160" customWidth="1"/>
    <col min="117" max="117" width="7.140625" style="160" customWidth="1"/>
    <col min="118" max="120" width="2.85546875" style="160" customWidth="1"/>
    <col min="121" max="121" width="5.7109375" style="160" customWidth="1"/>
    <col min="122" max="122" width="7.140625" style="2" customWidth="1"/>
    <col min="123" max="125" width="2.85546875" style="2" customWidth="1"/>
    <col min="126" max="126" width="5.7109375" style="2" customWidth="1"/>
    <col min="127" max="127" width="7.140625" style="2" customWidth="1"/>
    <col min="128" max="130" width="2.85546875" style="2" customWidth="1"/>
    <col min="131" max="131" width="5.7109375" style="2" customWidth="1"/>
    <col min="132" max="132" width="7.140625" style="2" customWidth="1"/>
    <col min="133" max="135" width="2.85546875" style="2" customWidth="1"/>
    <col min="136" max="136" width="5.7109375" style="2" customWidth="1"/>
    <col min="137" max="137" width="9.28515625" style="160" customWidth="1"/>
    <col min="138" max="140" width="2.85546875" style="160" customWidth="1"/>
    <col min="141" max="141" width="5.7109375" style="160" customWidth="1"/>
    <col min="142" max="142" width="9.28515625" style="2" customWidth="1"/>
    <col min="143" max="145" width="2.85546875" style="2" customWidth="1"/>
    <col min="146" max="146" width="5.7109375" style="2" customWidth="1"/>
    <col min="147" max="147" width="9.28515625" style="2" customWidth="1"/>
    <col min="148" max="150" width="2.85546875" style="2" customWidth="1"/>
    <col min="151" max="151" width="5.7109375" style="2" customWidth="1"/>
    <col min="152" max="152" width="9.28515625" style="2" customWidth="1"/>
    <col min="153" max="155" width="2.85546875" style="2" customWidth="1"/>
    <col min="156" max="156" width="5.7109375" style="2" customWidth="1"/>
    <col min="157" max="162" width="4.28515625" style="2" customWidth="1"/>
    <col min="163" max="163" width="7.5703125" style="2" customWidth="1"/>
    <col min="164" max="164" width="2.85546875" style="1" customWidth="1"/>
    <col min="165" max="165" width="4.28515625" style="1" hidden="1" customWidth="1"/>
    <col min="166" max="166" width="0" style="1" hidden="1" customWidth="1"/>
    <col min="167" max="167" width="5.7109375" style="1" hidden="1" customWidth="1"/>
    <col min="168" max="168" width="5.7109375" style="1" customWidth="1"/>
    <col min="169" max="169" width="2.85546875" style="1" customWidth="1"/>
    <col min="170" max="170" width="5.7109375" style="1" customWidth="1"/>
    <col min="171" max="171" width="5.28515625" style="1" customWidth="1"/>
    <col min="172" max="756" width="9.140625" style="1"/>
    <col min="757" max="16384" width="9.140625" style="3"/>
  </cols>
  <sheetData>
    <row r="1" spans="1:756" ht="7.5" customHeight="1">
      <c r="A1" s="1"/>
      <c r="B1" s="1">
        <v>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380"/>
      <c r="DD1" s="380"/>
      <c r="DE1" s="380"/>
      <c r="DF1" s="380"/>
      <c r="DG1" s="380"/>
      <c r="DH1" s="380"/>
      <c r="DI1" s="380"/>
      <c r="DJ1" s="380"/>
      <c r="DK1" s="380"/>
      <c r="DL1" s="380"/>
      <c r="DM1" s="380"/>
      <c r="DN1" s="380"/>
      <c r="DO1" s="380"/>
      <c r="DP1" s="380"/>
      <c r="DQ1" s="380"/>
      <c r="DR1" s="380"/>
      <c r="DS1" s="380"/>
      <c r="DT1" s="380"/>
      <c r="DU1" s="380"/>
      <c r="DV1" s="380"/>
      <c r="DW1" s="380"/>
      <c r="DX1" s="380"/>
      <c r="DY1" s="380"/>
      <c r="DZ1" s="380"/>
      <c r="EA1" s="380"/>
      <c r="EB1" s="380"/>
      <c r="EC1" s="380"/>
      <c r="ED1" s="380"/>
      <c r="EE1" s="380"/>
      <c r="EF1" s="380"/>
      <c r="EG1" s="380"/>
      <c r="EH1" s="380"/>
      <c r="EI1" s="380"/>
      <c r="EJ1" s="380"/>
      <c r="EK1" s="380"/>
      <c r="EL1" s="380"/>
      <c r="EM1" s="380"/>
      <c r="EN1" s="380"/>
      <c r="EO1" s="380"/>
      <c r="EP1" s="380"/>
      <c r="EQ1" s="380"/>
      <c r="ER1" s="380"/>
      <c r="ES1" s="380"/>
      <c r="ET1" s="380"/>
      <c r="EU1" s="380"/>
      <c r="EV1" s="380"/>
      <c r="EW1" s="380"/>
      <c r="EX1" s="380"/>
      <c r="EY1" s="380"/>
      <c r="EZ1" s="380"/>
      <c r="FA1" s="380"/>
      <c r="FB1" s="380"/>
      <c r="FC1" s="380"/>
      <c r="FD1" s="380"/>
      <c r="FE1" s="380"/>
      <c r="FF1" s="380"/>
      <c r="FG1" s="380"/>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row>
    <row r="2" spans="1:756" ht="18.75" customHeight="1">
      <c r="A2" s="1"/>
      <c r="B2" s="2414">
        <f ca="1">別表!B1</f>
        <v>1</v>
      </c>
      <c r="C2" s="2415"/>
      <c r="D2" s="399"/>
      <c r="E2" s="2418"/>
      <c r="F2" s="2418"/>
      <c r="G2" s="2418"/>
      <c r="H2" s="2418"/>
      <c r="I2" s="2429" t="s">
        <v>1036</v>
      </c>
      <c r="J2" s="2429"/>
      <c r="K2" s="2429"/>
      <c r="L2" s="2429"/>
      <c r="M2" s="2429"/>
      <c r="N2" s="2429"/>
      <c r="O2" s="2429"/>
      <c r="P2" s="2429"/>
      <c r="Q2" s="2429"/>
      <c r="R2" s="2429"/>
      <c r="S2" s="2429"/>
      <c r="T2" s="2429"/>
      <c r="U2" s="2429"/>
      <c r="V2" s="2429"/>
      <c r="W2" s="2429"/>
      <c r="X2" s="2429"/>
      <c r="Y2" s="2429"/>
      <c r="Z2" s="2427" t="s">
        <v>1037</v>
      </c>
      <c r="AA2" s="2427"/>
      <c r="AB2" s="2427"/>
      <c r="AC2" s="2427"/>
      <c r="AD2" s="2427"/>
      <c r="AE2" s="2427"/>
      <c r="AF2" s="2427"/>
      <c r="AG2" s="2427"/>
      <c r="AH2" s="2427"/>
      <c r="AI2" s="2427"/>
      <c r="AJ2" s="2427"/>
      <c r="AK2" s="2427"/>
      <c r="AL2" s="2427"/>
      <c r="AM2" s="2427"/>
      <c r="AN2" s="2427"/>
      <c r="AO2" s="2427"/>
      <c r="AP2" s="2427"/>
      <c r="AQ2" s="2427"/>
      <c r="AR2" s="2427"/>
      <c r="AS2" s="2427"/>
      <c r="AT2" s="2427"/>
      <c r="AU2" s="2427"/>
      <c r="AV2" s="2427"/>
      <c r="AW2" s="2427"/>
      <c r="AX2" s="2427"/>
      <c r="AY2" s="2427"/>
      <c r="AZ2" s="2427"/>
      <c r="BA2" s="2427"/>
      <c r="BB2" s="2427"/>
      <c r="BC2" s="2427"/>
      <c r="BD2" s="2427"/>
      <c r="BE2" s="2427"/>
      <c r="BF2" s="2427"/>
      <c r="BG2" s="2427"/>
      <c r="BH2" s="2427"/>
      <c r="BI2" s="2427"/>
      <c r="BJ2" s="2420" t="s">
        <v>0</v>
      </c>
      <c r="BK2" s="2420"/>
      <c r="BL2" s="2420"/>
      <c r="BM2" s="2420"/>
      <c r="BN2" s="2420"/>
      <c r="BO2" s="2420"/>
      <c r="BP2" s="2420"/>
      <c r="BQ2" s="2420"/>
      <c r="BR2" s="2420"/>
      <c r="BS2" s="2420"/>
      <c r="BT2" s="2420"/>
      <c r="BU2" s="2420"/>
      <c r="BV2" s="2420"/>
      <c r="BW2" s="2420"/>
      <c r="BX2" s="2420"/>
      <c r="BY2" s="2420"/>
      <c r="BZ2" s="2433"/>
      <c r="CA2" s="2433"/>
      <c r="CB2" s="243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380"/>
      <c r="DV2" s="380"/>
      <c r="DW2" s="380"/>
      <c r="DX2" s="380"/>
      <c r="DY2" s="380"/>
      <c r="DZ2" s="380"/>
      <c r="EA2" s="380"/>
      <c r="EB2" s="380"/>
      <c r="EC2" s="380"/>
      <c r="ED2" s="380"/>
      <c r="EE2" s="380"/>
      <c r="EF2" s="380"/>
      <c r="EG2" s="4"/>
      <c r="EH2" s="4"/>
      <c r="EI2" s="4"/>
      <c r="EJ2" s="4"/>
      <c r="EK2" s="4"/>
      <c r="EL2" s="4"/>
      <c r="EM2" s="4"/>
      <c r="EN2" s="4"/>
      <c r="EO2" s="380"/>
      <c r="EP2" s="380"/>
      <c r="EQ2" s="380"/>
      <c r="ER2" s="380"/>
      <c r="ES2" s="380"/>
      <c r="ET2" s="380"/>
      <c r="EU2" s="380"/>
      <c r="EV2" s="380"/>
      <c r="EW2" s="380"/>
      <c r="EX2" s="380"/>
      <c r="EY2" s="380"/>
      <c r="EZ2" s="380"/>
      <c r="FA2" s="380"/>
      <c r="FB2" s="380"/>
      <c r="FC2" s="380"/>
      <c r="FD2" s="380"/>
      <c r="FE2" s="380"/>
      <c r="FF2" s="380"/>
      <c r="FG2" s="380"/>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row>
    <row r="3" spans="1:756" ht="11.25" customHeight="1">
      <c r="A3" s="1"/>
      <c r="B3" s="2416"/>
      <c r="C3" s="2417"/>
      <c r="D3" s="5"/>
      <c r="E3" s="2419"/>
      <c r="F3" s="2419"/>
      <c r="G3" s="2419"/>
      <c r="H3" s="2419"/>
      <c r="I3" s="2430"/>
      <c r="J3" s="2430"/>
      <c r="K3" s="2430"/>
      <c r="L3" s="2430"/>
      <c r="M3" s="2430"/>
      <c r="N3" s="2430"/>
      <c r="O3" s="2430"/>
      <c r="P3" s="2430"/>
      <c r="Q3" s="2430"/>
      <c r="R3" s="2430"/>
      <c r="S3" s="2430"/>
      <c r="T3" s="2430"/>
      <c r="U3" s="2430"/>
      <c r="V3" s="2430"/>
      <c r="W3" s="2430"/>
      <c r="X3" s="2430"/>
      <c r="Y3" s="2430"/>
      <c r="Z3" s="2428"/>
      <c r="AA3" s="2428"/>
      <c r="AB3" s="2428"/>
      <c r="AC3" s="2428"/>
      <c r="AD3" s="2428"/>
      <c r="AE3" s="2428"/>
      <c r="AF3" s="2428"/>
      <c r="AG3" s="2428"/>
      <c r="AH3" s="2428"/>
      <c r="AI3" s="2428"/>
      <c r="AJ3" s="2428"/>
      <c r="AK3" s="2428"/>
      <c r="AL3" s="2428"/>
      <c r="AM3" s="2428"/>
      <c r="AN3" s="2428"/>
      <c r="AO3" s="2428"/>
      <c r="AP3" s="2428"/>
      <c r="AQ3" s="2428"/>
      <c r="AR3" s="2428"/>
      <c r="AS3" s="2428"/>
      <c r="AT3" s="2428"/>
      <c r="AU3" s="2428"/>
      <c r="AV3" s="2428"/>
      <c r="AW3" s="2428"/>
      <c r="AX3" s="2428"/>
      <c r="AY3" s="2428"/>
      <c r="AZ3" s="2428"/>
      <c r="BA3" s="2428"/>
      <c r="BB3" s="2428"/>
      <c r="BC3" s="2428"/>
      <c r="BD3" s="2428"/>
      <c r="BE3" s="2428"/>
      <c r="BF3" s="2428"/>
      <c r="BG3" s="2428"/>
      <c r="BH3" s="2428"/>
      <c r="BI3" s="2428"/>
      <c r="BJ3" s="2421" t="s">
        <v>1</v>
      </c>
      <c r="BK3" s="2421"/>
      <c r="BL3" s="2421"/>
      <c r="BM3" s="2421"/>
      <c r="BN3" s="2421"/>
      <c r="BO3" s="2421"/>
      <c r="BP3" s="2421"/>
      <c r="BQ3" s="2421"/>
      <c r="BR3" s="2421"/>
      <c r="BS3" s="2421"/>
      <c r="BT3" s="2421"/>
      <c r="BU3" s="2421"/>
      <c r="BV3" s="2421"/>
      <c r="BW3" s="2421"/>
      <c r="BX3" s="2421"/>
      <c r="BY3" s="2421"/>
      <c r="BZ3" s="2435"/>
      <c r="CA3" s="2435"/>
      <c r="CB3" s="2436"/>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380"/>
      <c r="DV3" s="380"/>
      <c r="DW3" s="380"/>
      <c r="DX3" s="380"/>
      <c r="DY3" s="380"/>
      <c r="DZ3" s="380"/>
      <c r="EA3" s="380"/>
      <c r="EB3" s="380"/>
      <c r="EC3" s="380"/>
      <c r="ED3" s="380"/>
      <c r="EE3" s="380"/>
      <c r="EF3" s="380"/>
      <c r="EG3" s="4"/>
      <c r="EH3" s="4"/>
      <c r="EI3" s="4"/>
      <c r="EJ3" s="4"/>
      <c r="EK3" s="4"/>
      <c r="EL3" s="4"/>
      <c r="EM3" s="4"/>
      <c r="EN3" s="4"/>
      <c r="EO3" s="380"/>
      <c r="EP3" s="380"/>
      <c r="EQ3" s="380"/>
      <c r="ER3" s="380"/>
      <c r="ES3" s="380"/>
      <c r="ET3" s="380"/>
      <c r="EU3" s="380"/>
      <c r="EV3" s="380"/>
      <c r="EW3" s="380"/>
      <c r="EX3" s="380"/>
      <c r="EY3" s="380"/>
      <c r="EZ3" s="380"/>
      <c r="FA3" s="380"/>
      <c r="FB3" s="380"/>
      <c r="FC3" s="380"/>
      <c r="FD3" s="380"/>
      <c r="FE3" s="380"/>
      <c r="FF3" s="380"/>
      <c r="FG3" s="380"/>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row>
    <row r="4" spans="1:756" ht="4.5" customHeight="1" thickBot="1">
      <c r="A4" s="1"/>
      <c r="B4" s="6"/>
      <c r="C4" s="4"/>
      <c r="D4" s="4"/>
      <c r="E4" s="4"/>
      <c r="F4" s="4"/>
      <c r="G4" s="4"/>
      <c r="H4" s="4"/>
      <c r="I4" s="4"/>
      <c r="J4" s="4"/>
      <c r="K4" s="4"/>
      <c r="L4" s="4"/>
      <c r="M4" s="4"/>
      <c r="N4" s="4"/>
      <c r="O4" s="4"/>
      <c r="P4" s="4"/>
      <c r="Q4" s="4"/>
      <c r="R4" s="4"/>
      <c r="S4" s="4"/>
      <c r="T4" s="4"/>
      <c r="U4" s="381"/>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7"/>
      <c r="CC4" s="704"/>
      <c r="CD4" s="704"/>
      <c r="CE4" s="704"/>
      <c r="CF4" s="704"/>
      <c r="CG4" s="704"/>
      <c r="CH4" s="704"/>
      <c r="CI4" s="704"/>
      <c r="CJ4" s="704"/>
      <c r="CK4" s="704"/>
      <c r="CL4" s="704"/>
      <c r="CM4" s="704"/>
      <c r="CN4" s="704"/>
      <c r="CO4" s="704"/>
      <c r="CP4" s="704"/>
      <c r="CQ4" s="704"/>
      <c r="CR4" s="704"/>
      <c r="CS4" s="704"/>
      <c r="CT4" s="704"/>
      <c r="CU4" s="704"/>
      <c r="CV4" s="704"/>
      <c r="CW4" s="704"/>
      <c r="CX4" s="704"/>
      <c r="CY4" s="704"/>
      <c r="CZ4" s="704"/>
      <c r="DA4" s="704"/>
      <c r="DB4" s="704"/>
      <c r="DC4" s="382"/>
      <c r="DD4" s="382"/>
      <c r="DE4" s="382"/>
      <c r="DF4" s="382"/>
      <c r="DG4" s="382"/>
      <c r="DH4" s="382"/>
      <c r="DI4" s="382"/>
      <c r="DJ4" s="382"/>
      <c r="DK4" s="382"/>
      <c r="DL4" s="382"/>
      <c r="DM4" s="382"/>
      <c r="DN4" s="382"/>
      <c r="DO4" s="382"/>
      <c r="DP4" s="382"/>
      <c r="DQ4" s="382"/>
      <c r="DR4" s="382"/>
      <c r="DS4" s="382"/>
      <c r="DT4" s="382"/>
      <c r="DU4" s="382"/>
      <c r="DV4" s="382"/>
      <c r="DW4" s="382"/>
      <c r="DX4" s="382"/>
      <c r="DY4" s="382"/>
      <c r="DZ4" s="382"/>
      <c r="EA4" s="382"/>
      <c r="EB4" s="382" t="s">
        <v>2</v>
      </c>
      <c r="EC4" s="382"/>
      <c r="ED4" s="382"/>
      <c r="EE4" s="382"/>
      <c r="EF4" s="382"/>
      <c r="EG4" s="382"/>
      <c r="EH4" s="382"/>
      <c r="EI4" s="382"/>
      <c r="EJ4" s="382"/>
      <c r="EK4" s="382"/>
      <c r="EL4" s="382"/>
      <c r="EM4" s="382"/>
      <c r="EN4" s="382"/>
      <c r="EO4" s="382"/>
      <c r="EP4" s="382"/>
      <c r="EQ4" s="382"/>
      <c r="ER4" s="382"/>
      <c r="ES4" s="382"/>
      <c r="ET4" s="382"/>
      <c r="EU4" s="382"/>
      <c r="EV4" s="382" t="s">
        <v>2</v>
      </c>
      <c r="EW4" s="382"/>
      <c r="EX4" s="382"/>
      <c r="EY4" s="382"/>
      <c r="EZ4" s="382"/>
      <c r="FA4" s="382"/>
      <c r="FB4" s="382"/>
      <c r="FC4" s="382"/>
      <c r="FD4" s="382"/>
      <c r="FE4" s="382"/>
      <c r="FF4" s="382"/>
      <c r="FG4" s="382"/>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row>
    <row r="5" spans="1:756" ht="15" customHeight="1" thickBot="1">
      <c r="A5" s="1"/>
      <c r="B5" s="6"/>
      <c r="C5" s="2422" t="s">
        <v>3</v>
      </c>
      <c r="D5" s="2423"/>
      <c r="E5" s="2423"/>
      <c r="F5" s="2423"/>
      <c r="G5" s="2423"/>
      <c r="H5" s="2423"/>
      <c r="I5" s="2423"/>
      <c r="J5" s="2423"/>
      <c r="K5" s="2424" t="s">
        <v>2229</v>
      </c>
      <c r="L5" s="2425"/>
      <c r="M5" s="2425"/>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c r="AL5" s="2425"/>
      <c r="AM5" s="2425"/>
      <c r="AN5" s="2425"/>
      <c r="AO5" s="2425"/>
      <c r="AP5" s="2426"/>
      <c r="AQ5" s="2409" t="s">
        <v>2162</v>
      </c>
      <c r="AR5" s="2381"/>
      <c r="AS5" s="2381"/>
      <c r="AT5" s="2410"/>
      <c r="AU5" s="2411" t="s">
        <v>2230</v>
      </c>
      <c r="AV5" s="2412"/>
      <c r="AW5" s="2412"/>
      <c r="AX5" s="2412"/>
      <c r="AY5" s="2412"/>
      <c r="AZ5" s="2412"/>
      <c r="BA5" s="2412"/>
      <c r="BB5" s="2412"/>
      <c r="BC5" s="2412"/>
      <c r="BD5" s="2412"/>
      <c r="BE5" s="2412"/>
      <c r="BF5" s="2412"/>
      <c r="BG5" s="2412"/>
      <c r="BH5" s="2413"/>
      <c r="BI5" s="2409" t="s">
        <v>4</v>
      </c>
      <c r="BJ5" s="2381"/>
      <c r="BK5" s="2381"/>
      <c r="BL5" s="2410"/>
      <c r="BM5" s="2394" t="s">
        <v>2252</v>
      </c>
      <c r="BN5" s="2395"/>
      <c r="BO5" s="2395"/>
      <c r="BP5" s="2395"/>
      <c r="BQ5" s="2395"/>
      <c r="BR5" s="2395"/>
      <c r="BS5" s="2395"/>
      <c r="BT5" s="2395"/>
      <c r="BU5" s="2395"/>
      <c r="BV5" s="2395"/>
      <c r="BW5" s="2395"/>
      <c r="BX5" s="2395"/>
      <c r="BY5" s="2395"/>
      <c r="BZ5" s="2395"/>
      <c r="CA5" s="2396"/>
      <c r="CB5" s="7"/>
      <c r="CC5" s="704"/>
      <c r="CD5" s="704"/>
      <c r="CE5" s="704"/>
      <c r="CF5" s="704"/>
      <c r="CG5" s="8"/>
      <c r="CH5" s="8"/>
      <c r="CI5" s="8"/>
      <c r="CJ5" s="8"/>
      <c r="CK5" s="8"/>
      <c r="CL5" s="8"/>
      <c r="CM5" s="8"/>
      <c r="CN5" s="8"/>
      <c r="CO5" s="704"/>
      <c r="CP5" s="704"/>
      <c r="CQ5" s="704"/>
      <c r="CR5" s="704"/>
      <c r="CS5" s="704"/>
      <c r="CT5" s="704"/>
      <c r="CU5" s="704"/>
      <c r="CV5" s="704"/>
      <c r="CW5" s="704"/>
      <c r="CX5" s="704"/>
      <c r="CY5" s="704"/>
      <c r="CZ5" s="704"/>
      <c r="DA5" s="704"/>
      <c r="DB5" s="704"/>
      <c r="DC5" s="382"/>
      <c r="DD5" s="382"/>
      <c r="DE5" s="382"/>
      <c r="DF5" s="382"/>
      <c r="DG5" s="382"/>
      <c r="DH5" s="382"/>
      <c r="DI5" s="382"/>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2"/>
      <c r="EN5" s="382"/>
      <c r="EO5" s="382"/>
      <c r="EP5" s="382"/>
      <c r="EQ5" s="382"/>
      <c r="ER5" s="382"/>
      <c r="ES5" s="382"/>
      <c r="ET5" s="382"/>
      <c r="EU5" s="382"/>
      <c r="EV5" s="382"/>
      <c r="EW5" s="382"/>
      <c r="EX5" s="382"/>
      <c r="EY5" s="382"/>
      <c r="EZ5" s="382"/>
      <c r="FA5" s="382"/>
      <c r="FB5" s="382"/>
      <c r="FC5" s="382"/>
      <c r="FD5" s="382"/>
      <c r="FE5" s="382"/>
      <c r="FF5" s="382"/>
      <c r="FG5" s="382"/>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row>
    <row r="6" spans="1:756" ht="4.5" customHeight="1" thickBot="1">
      <c r="A6" s="1"/>
      <c r="B6" s="6"/>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7"/>
      <c r="CC6" s="704"/>
      <c r="CD6" s="704"/>
      <c r="CE6" s="704"/>
      <c r="CF6" s="704"/>
      <c r="CG6" s="704"/>
      <c r="CH6" s="704"/>
      <c r="CI6" s="704"/>
      <c r="CJ6" s="704"/>
      <c r="CK6" s="704"/>
      <c r="CL6" s="704"/>
      <c r="CM6" s="704"/>
      <c r="CN6" s="704"/>
      <c r="CO6" s="704"/>
      <c r="CP6" s="704"/>
      <c r="CQ6" s="704"/>
      <c r="CR6" s="704"/>
      <c r="CS6" s="704"/>
      <c r="CT6" s="704"/>
      <c r="CU6" s="704"/>
      <c r="CV6" s="704"/>
      <c r="CW6" s="704"/>
      <c r="CX6" s="704"/>
      <c r="CY6" s="704"/>
      <c r="CZ6" s="704"/>
      <c r="DA6" s="704"/>
      <c r="DB6" s="704"/>
      <c r="DC6" s="383"/>
      <c r="DD6" s="383"/>
      <c r="DE6" s="384"/>
      <c r="DF6" s="385"/>
      <c r="DG6" s="385"/>
      <c r="DH6" s="386"/>
      <c r="DI6" s="386"/>
      <c r="DJ6" s="386"/>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386"/>
      <c r="EJ6" s="386"/>
      <c r="EK6" s="386"/>
      <c r="EL6" s="386"/>
      <c r="EM6" s="386"/>
      <c r="EN6" s="386"/>
      <c r="EO6" s="386"/>
      <c r="EP6" s="386"/>
      <c r="EQ6" s="386"/>
      <c r="ER6" s="386"/>
      <c r="ES6" s="386"/>
      <c r="ET6" s="386"/>
      <c r="EU6" s="386"/>
      <c r="EV6" s="386"/>
      <c r="EW6" s="386"/>
      <c r="EX6" s="386"/>
      <c r="EY6" s="386"/>
      <c r="EZ6" s="386"/>
      <c r="FA6" s="386"/>
      <c r="FB6" s="386"/>
      <c r="FC6" s="386"/>
      <c r="FD6" s="386"/>
      <c r="FE6" s="386"/>
      <c r="FF6" s="386"/>
      <c r="FG6" s="386"/>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row>
    <row r="7" spans="1:756" ht="15" customHeight="1" thickBot="1">
      <c r="A7" s="1"/>
      <c r="B7" s="6"/>
      <c r="C7" s="2372" t="s">
        <v>5</v>
      </c>
      <c r="D7" s="2373"/>
      <c r="E7" s="2373"/>
      <c r="F7" s="2373"/>
      <c r="G7" s="2373"/>
      <c r="H7" s="2373"/>
      <c r="I7" s="2373"/>
      <c r="J7" s="2373"/>
      <c r="K7" s="2397" t="s">
        <v>2231</v>
      </c>
      <c r="L7" s="2398"/>
      <c r="M7" s="2398"/>
      <c r="N7" s="2398"/>
      <c r="O7" s="2398"/>
      <c r="P7" s="2398"/>
      <c r="Q7" s="2398"/>
      <c r="R7" s="2398"/>
      <c r="S7" s="2398"/>
      <c r="T7" s="2398"/>
      <c r="U7" s="2398"/>
      <c r="V7" s="2398"/>
      <c r="W7" s="2398"/>
      <c r="X7" s="2398"/>
      <c r="Y7" s="2398"/>
      <c r="Z7" s="2398"/>
      <c r="AA7" s="2398"/>
      <c r="AB7" s="2398"/>
      <c r="AC7" s="2398"/>
      <c r="AD7" s="2398"/>
      <c r="AE7" s="2398"/>
      <c r="AF7" s="2398"/>
      <c r="AG7" s="2399"/>
      <c r="AH7" s="2390" t="s">
        <v>6</v>
      </c>
      <c r="AI7" s="2390"/>
      <c r="AJ7" s="2390"/>
      <c r="AK7" s="2390"/>
      <c r="AL7" s="2390"/>
      <c r="AM7" s="2390"/>
      <c r="AN7" s="2391" t="s">
        <v>2231</v>
      </c>
      <c r="AO7" s="2392"/>
      <c r="AP7" s="2392"/>
      <c r="AQ7" s="2392"/>
      <c r="AR7" s="2392"/>
      <c r="AS7" s="2392"/>
      <c r="AT7" s="2392"/>
      <c r="AU7" s="2392"/>
      <c r="AV7" s="2392"/>
      <c r="AW7" s="2392"/>
      <c r="AX7" s="2392"/>
      <c r="AY7" s="2392"/>
      <c r="AZ7" s="2392"/>
      <c r="BA7" s="2392"/>
      <c r="BB7" s="2393"/>
      <c r="BC7" s="2390" t="s">
        <v>7</v>
      </c>
      <c r="BD7" s="2390"/>
      <c r="BE7" s="2390"/>
      <c r="BF7" s="2390"/>
      <c r="BG7" s="2390"/>
      <c r="BH7" s="2390"/>
      <c r="BI7" s="2394" t="s">
        <v>2231</v>
      </c>
      <c r="BJ7" s="2395"/>
      <c r="BK7" s="2395"/>
      <c r="BL7" s="2395"/>
      <c r="BM7" s="2395"/>
      <c r="BN7" s="2395"/>
      <c r="BO7" s="2395"/>
      <c r="BP7" s="2395"/>
      <c r="BQ7" s="2395"/>
      <c r="BR7" s="2395"/>
      <c r="BS7" s="2395"/>
      <c r="BT7" s="2395"/>
      <c r="BU7" s="2395"/>
      <c r="BV7" s="2395"/>
      <c r="BW7" s="2395"/>
      <c r="BX7" s="2395"/>
      <c r="BY7" s="2395"/>
      <c r="BZ7" s="2395"/>
      <c r="CA7" s="2396"/>
      <c r="CB7" s="7"/>
      <c r="CC7" s="9"/>
      <c r="CD7" s="9"/>
      <c r="CE7" s="9"/>
      <c r="CF7" s="9"/>
      <c r="CG7" s="9"/>
      <c r="CH7" s="9"/>
      <c r="CI7" s="9"/>
      <c r="CJ7" s="9"/>
      <c r="CK7" s="9"/>
      <c r="CL7" s="9"/>
      <c r="CM7" s="9"/>
      <c r="CN7" s="9"/>
      <c r="CO7" s="9"/>
      <c r="CP7" s="9"/>
      <c r="CQ7" s="9"/>
      <c r="CR7" s="9"/>
      <c r="CS7" s="9"/>
      <c r="CT7" s="9"/>
      <c r="CU7" s="9"/>
      <c r="CV7" s="9"/>
      <c r="CW7" s="9"/>
      <c r="CX7" s="9"/>
      <c r="CY7" s="9"/>
      <c r="CZ7" s="9"/>
      <c r="DA7" s="9"/>
      <c r="DB7" s="9"/>
      <c r="DC7" s="2379" t="s">
        <v>2306</v>
      </c>
      <c r="DD7" s="2379"/>
      <c r="DE7" s="384"/>
      <c r="DF7" s="387"/>
      <c r="DG7" s="388">
        <v>5</v>
      </c>
      <c r="DH7" s="389"/>
      <c r="DI7" s="389"/>
      <c r="DJ7" s="389"/>
      <c r="DK7" s="389"/>
      <c r="DL7" s="389">
        <v>10</v>
      </c>
      <c r="DM7" s="389"/>
      <c r="DN7" s="389"/>
      <c r="DO7" s="389"/>
      <c r="DP7" s="389"/>
      <c r="DQ7" s="389">
        <v>15</v>
      </c>
      <c r="DR7" s="389"/>
      <c r="DS7" s="389"/>
      <c r="DT7" s="389"/>
      <c r="DU7" s="389"/>
      <c r="DV7" s="389">
        <v>20</v>
      </c>
      <c r="DW7" s="389"/>
      <c r="DX7" s="389"/>
      <c r="DY7" s="389"/>
      <c r="DZ7" s="389"/>
      <c r="EA7" s="389">
        <v>25</v>
      </c>
      <c r="EB7" s="389"/>
      <c r="EC7" s="389"/>
      <c r="ED7" s="389"/>
      <c r="EE7" s="389"/>
      <c r="EF7" s="389">
        <v>30</v>
      </c>
      <c r="EG7" s="389"/>
      <c r="EH7" s="389"/>
      <c r="EI7" s="389"/>
      <c r="EJ7" s="389"/>
      <c r="EK7" s="389">
        <v>35</v>
      </c>
      <c r="EL7" s="389"/>
      <c r="EM7" s="389"/>
      <c r="EN7" s="389"/>
      <c r="EO7" s="389"/>
      <c r="EP7" s="389">
        <v>40</v>
      </c>
      <c r="EQ7" s="389"/>
      <c r="ER7" s="389"/>
      <c r="ES7" s="389"/>
      <c r="ET7" s="389"/>
      <c r="EU7" s="389">
        <v>45</v>
      </c>
      <c r="EV7" s="389"/>
      <c r="EW7" s="389"/>
      <c r="EX7" s="389"/>
      <c r="EY7" s="389"/>
      <c r="EZ7" s="389">
        <v>50</v>
      </c>
      <c r="FA7" s="390"/>
      <c r="FB7" s="390"/>
      <c r="FC7" s="390"/>
      <c r="FD7" s="390"/>
      <c r="FE7" s="390"/>
      <c r="FF7" s="390"/>
      <c r="FG7" s="390"/>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row>
    <row r="8" spans="1:756" ht="4.5" customHeight="1">
      <c r="A8" s="1"/>
      <c r="B8" s="6"/>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7"/>
      <c r="CC8" s="9"/>
      <c r="CD8" s="9"/>
      <c r="CE8" s="9"/>
      <c r="CF8" s="9"/>
      <c r="CG8" s="9"/>
      <c r="CH8" s="9"/>
      <c r="CI8" s="9"/>
      <c r="CJ8" s="9"/>
      <c r="CK8" s="9"/>
      <c r="CL8" s="9"/>
      <c r="CM8" s="9"/>
      <c r="CN8" s="9"/>
      <c r="CO8" s="9"/>
      <c r="CP8" s="9"/>
      <c r="CQ8" s="9"/>
      <c r="CR8" s="9"/>
      <c r="CS8" s="9"/>
      <c r="CT8" s="9"/>
      <c r="CU8" s="9"/>
      <c r="CV8" s="9"/>
      <c r="CW8" s="9"/>
      <c r="CX8" s="9"/>
      <c r="CY8" s="9"/>
      <c r="CZ8" s="9"/>
      <c r="DA8" s="9"/>
      <c r="DB8" s="9"/>
      <c r="DC8" s="2380"/>
      <c r="DD8" s="2380"/>
      <c r="DE8" s="391"/>
      <c r="DF8" s="392"/>
      <c r="DG8" s="392"/>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row>
    <row r="9" spans="1:756" ht="15" customHeight="1" thickBot="1">
      <c r="A9" s="1"/>
      <c r="B9" s="6"/>
      <c r="C9" s="2372" t="s">
        <v>8</v>
      </c>
      <c r="D9" s="2373"/>
      <c r="E9" s="2373"/>
      <c r="F9" s="2373"/>
      <c r="G9" s="2373"/>
      <c r="H9" s="2373"/>
      <c r="I9" s="2373"/>
      <c r="J9" s="2374"/>
      <c r="K9" s="2375"/>
      <c r="L9" s="2376"/>
      <c r="M9" s="2376"/>
      <c r="N9" s="2376"/>
      <c r="O9" s="2376"/>
      <c r="P9" s="2376"/>
      <c r="Q9" s="2376"/>
      <c r="R9" s="2376"/>
      <c r="S9" s="2377"/>
      <c r="T9" s="2381" t="s">
        <v>9</v>
      </c>
      <c r="U9" s="2381"/>
      <c r="V9" s="2381"/>
      <c r="W9" s="2381"/>
      <c r="X9" s="2381"/>
      <c r="Y9" s="2381"/>
      <c r="Z9" s="2382" t="s">
        <v>2049</v>
      </c>
      <c r="AA9" s="2382"/>
      <c r="AB9" s="2382"/>
      <c r="AC9" s="2382"/>
      <c r="AD9" s="2382"/>
      <c r="AE9" s="2382"/>
      <c r="AF9" s="2382"/>
      <c r="AG9" s="2382"/>
      <c r="AH9" s="2382"/>
      <c r="AI9" s="2382"/>
      <c r="AJ9" s="2382"/>
      <c r="AK9" s="2382"/>
      <c r="AL9" s="2382"/>
      <c r="AM9" s="2382"/>
      <c r="AN9" s="2382"/>
      <c r="AO9" s="2382"/>
      <c r="AP9" s="2382"/>
      <c r="AQ9" s="2382"/>
      <c r="AR9" s="2382"/>
      <c r="AS9" s="2382"/>
      <c r="AT9" s="2382"/>
      <c r="AU9" s="2382"/>
      <c r="AV9" s="2382"/>
      <c r="AW9" s="2382"/>
      <c r="AX9" s="2382"/>
      <c r="AY9" s="2382"/>
      <c r="AZ9" s="2382"/>
      <c r="BA9" s="2382"/>
      <c r="BB9" s="2382"/>
      <c r="BC9" s="2382"/>
      <c r="BD9" s="2382"/>
      <c r="BE9" s="2382"/>
      <c r="BF9" s="2382"/>
      <c r="BG9" s="2382"/>
      <c r="BH9" s="2382"/>
      <c r="BI9" s="2382"/>
      <c r="BJ9" s="2382"/>
      <c r="BK9" s="2382"/>
      <c r="BL9" s="2382"/>
      <c r="BM9" s="2382"/>
      <c r="BN9" s="2382"/>
      <c r="BO9" s="2382"/>
      <c r="BP9" s="2382"/>
      <c r="BQ9" s="2382"/>
      <c r="BR9" s="2382"/>
      <c r="BS9" s="2382"/>
      <c r="BT9" s="2382"/>
      <c r="BU9" s="2382"/>
      <c r="BV9" s="2382"/>
      <c r="BW9" s="2382"/>
      <c r="BX9" s="2382"/>
      <c r="BY9" s="2382"/>
      <c r="BZ9" s="2382"/>
      <c r="CA9" s="2383"/>
      <c r="CB9" s="7"/>
      <c r="CC9" s="9"/>
      <c r="CD9" s="9"/>
      <c r="CE9" s="9"/>
      <c r="CF9" s="9"/>
      <c r="CG9" s="9"/>
      <c r="CH9" s="35"/>
      <c r="CI9" s="35"/>
      <c r="CJ9" s="35"/>
      <c r="CK9" s="35"/>
      <c r="CL9" s="35"/>
      <c r="CM9" s="35"/>
      <c r="CN9" s="35"/>
      <c r="CO9" s="35"/>
      <c r="CP9" s="9"/>
      <c r="CQ9" s="9"/>
      <c r="CR9" s="9"/>
      <c r="CS9" s="9"/>
      <c r="CT9" s="9"/>
      <c r="CU9" s="9"/>
      <c r="CV9" s="9"/>
      <c r="CW9" s="9"/>
      <c r="CX9" s="9"/>
      <c r="CY9" s="9"/>
      <c r="CZ9" s="9"/>
      <c r="DA9" s="9"/>
      <c r="DB9" s="9"/>
      <c r="DC9" s="2384" t="s">
        <v>10</v>
      </c>
      <c r="DD9" s="2385"/>
      <c r="DE9" s="2386"/>
      <c r="DF9" s="2362" t="s">
        <v>11</v>
      </c>
      <c r="DG9" s="2362"/>
      <c r="DH9" s="2362" t="s">
        <v>12</v>
      </c>
      <c r="DI9" s="2362"/>
      <c r="DJ9" s="2363" t="s">
        <v>13</v>
      </c>
      <c r="DK9" s="2364"/>
      <c r="DL9" s="10" t="s">
        <v>14</v>
      </c>
      <c r="DM9" s="2365" t="s">
        <v>2307</v>
      </c>
      <c r="DN9" s="2366"/>
      <c r="DO9" s="2366"/>
      <c r="DP9" s="2366"/>
      <c r="DQ9" s="2366"/>
      <c r="DR9" s="2366"/>
      <c r="DS9" s="2366"/>
      <c r="DT9" s="2366"/>
      <c r="DU9" s="2366"/>
      <c r="DV9" s="2367"/>
      <c r="DW9" s="2368" t="s">
        <v>2308</v>
      </c>
      <c r="DX9" s="2368"/>
      <c r="DY9" s="2368"/>
      <c r="DZ9" s="2368"/>
      <c r="EA9" s="2368"/>
      <c r="EB9" s="2368"/>
      <c r="EC9" s="2368"/>
      <c r="ED9" s="2368"/>
      <c r="EE9" s="2368"/>
      <c r="EF9" s="2368"/>
      <c r="EG9" s="2369" t="s">
        <v>1003</v>
      </c>
      <c r="EH9" s="2370"/>
      <c r="EI9" s="2370"/>
      <c r="EJ9" s="2370"/>
      <c r="EK9" s="2370"/>
      <c r="EL9" s="2370"/>
      <c r="EM9" s="2370"/>
      <c r="EN9" s="2370"/>
      <c r="EO9" s="2370"/>
      <c r="EP9" s="2371"/>
      <c r="EQ9" s="2351" t="s">
        <v>1004</v>
      </c>
      <c r="ER9" s="2351"/>
      <c r="ES9" s="2351"/>
      <c r="ET9" s="2351"/>
      <c r="EU9" s="2351"/>
      <c r="EV9" s="2351"/>
      <c r="EW9" s="2351"/>
      <c r="EX9" s="2351"/>
      <c r="EY9" s="2351"/>
      <c r="EZ9" s="2351"/>
      <c r="FA9" s="2352" t="s">
        <v>1005</v>
      </c>
      <c r="FB9" s="2353"/>
      <c r="FC9" s="11"/>
      <c r="FD9" s="682"/>
      <c r="FE9" s="682"/>
      <c r="FF9" s="11"/>
      <c r="FG9" s="12"/>
      <c r="FH9" s="13"/>
      <c r="FI9" s="14">
        <v>1</v>
      </c>
      <c r="FJ9" s="13"/>
      <c r="FK9" s="1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row>
    <row r="10" spans="1:756" ht="12" customHeight="1">
      <c r="A10" s="1"/>
      <c r="B10" s="6"/>
      <c r="C10" s="15" t="str">
        <f>IF(F5="","",IF(OR(AC5="",AR5="",F7="",X7="",AO7="",),"入力未完","入力完了"))</f>
        <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2431" t="str">
        <f ca="1">IF(別表!L8=0,"　 このコンピュータの ''日付'' を正しくセットして下さい　　　　　　　　　　　　　　　　　　　　日付修正後、[RECS-1] を再起動して下さい",IF(別表!J3=0,"ご使用期間 が終了しました。",IF(OR(K5="",AU5="",BM5=""),"ご使用期限まで後 "&amp;別表!J3&amp;" 日です",IF(BZ16="未","　本ソフトウェアは、2017.03.31付けの試用版です。　　業務には、最新版を使用して頂きますようお願いいたします。　　 　　URL：recs@kcn.jp 　へ連絡して下さい。",""))))</f>
        <v/>
      </c>
      <c r="AG10" s="2431"/>
      <c r="AH10" s="2431"/>
      <c r="AI10" s="2431"/>
      <c r="AJ10" s="2431"/>
      <c r="AK10" s="2431"/>
      <c r="AL10" s="2431"/>
      <c r="AM10" s="2431"/>
      <c r="AN10" s="2431"/>
      <c r="AO10" s="2431"/>
      <c r="AP10" s="2431"/>
      <c r="AQ10" s="2431"/>
      <c r="AR10" s="2431"/>
      <c r="AS10" s="2431"/>
      <c r="AT10" s="2431"/>
      <c r="AU10" s="2431"/>
      <c r="AV10" s="2431"/>
      <c r="AW10" s="2431"/>
      <c r="AX10" s="2431"/>
      <c r="AY10" s="2431"/>
      <c r="AZ10" s="2431"/>
      <c r="BA10" s="2431"/>
      <c r="BB10" s="2431"/>
      <c r="BC10" s="2431"/>
      <c r="BD10" s="2431"/>
      <c r="BE10" s="2431"/>
      <c r="BF10" s="2431"/>
      <c r="BG10" s="2431"/>
      <c r="BH10" s="2431"/>
      <c r="BI10" s="2431"/>
      <c r="BJ10" s="2431"/>
      <c r="BK10" s="2431"/>
      <c r="BL10" s="2431"/>
      <c r="BM10" s="2431"/>
      <c r="BN10" s="2431"/>
      <c r="BO10" s="2431"/>
      <c r="BP10" s="2431"/>
      <c r="BQ10" s="2431"/>
      <c r="BR10" s="2431"/>
      <c r="BS10" s="2431"/>
      <c r="BT10" s="2431"/>
      <c r="BU10" s="2431"/>
      <c r="BV10" s="2431"/>
      <c r="BW10" s="2431"/>
      <c r="BX10" s="2431"/>
      <c r="BY10" s="4"/>
      <c r="BZ10" s="2316" t="str">
        <f>IF(AND(K5&lt;&gt;"",AU5&lt;&gt;"",BM5&lt;&gt;"",K7&lt;&gt;"",AN7&lt;&gt;"",BI7&lt;&gt;""),"済","未")</f>
        <v>済</v>
      </c>
      <c r="CA10" s="2316"/>
      <c r="CB10" s="7"/>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2387"/>
      <c r="DD10" s="2388"/>
      <c r="DE10" s="2389"/>
      <c r="DF10" s="891" t="s">
        <v>15</v>
      </c>
      <c r="DG10" s="891" t="s">
        <v>16</v>
      </c>
      <c r="DH10" s="891" t="s">
        <v>15</v>
      </c>
      <c r="DI10" s="891" t="s">
        <v>16</v>
      </c>
      <c r="DJ10" s="891" t="s">
        <v>17</v>
      </c>
      <c r="DK10" s="891" t="s">
        <v>18</v>
      </c>
      <c r="DL10" s="16" t="s">
        <v>19</v>
      </c>
      <c r="DM10" s="17" t="s">
        <v>20</v>
      </c>
      <c r="DN10" s="18" t="s">
        <v>21</v>
      </c>
      <c r="DO10" s="18" t="s">
        <v>22</v>
      </c>
      <c r="DP10" s="18" t="s">
        <v>23</v>
      </c>
      <c r="DQ10" s="18" t="s">
        <v>24</v>
      </c>
      <c r="DR10" s="17" t="s">
        <v>25</v>
      </c>
      <c r="DS10" s="18" t="s">
        <v>21</v>
      </c>
      <c r="DT10" s="18" t="s">
        <v>22</v>
      </c>
      <c r="DU10" s="18" t="s">
        <v>23</v>
      </c>
      <c r="DV10" s="18" t="s">
        <v>24</v>
      </c>
      <c r="DW10" s="17" t="s">
        <v>20</v>
      </c>
      <c r="DX10" s="18" t="s">
        <v>21</v>
      </c>
      <c r="DY10" s="18" t="s">
        <v>22</v>
      </c>
      <c r="DZ10" s="18" t="s">
        <v>23</v>
      </c>
      <c r="EA10" s="18" t="s">
        <v>24</v>
      </c>
      <c r="EB10" s="17" t="s">
        <v>25</v>
      </c>
      <c r="EC10" s="18" t="s">
        <v>21</v>
      </c>
      <c r="ED10" s="18" t="s">
        <v>22</v>
      </c>
      <c r="EE10" s="18" t="s">
        <v>23</v>
      </c>
      <c r="EF10" s="18" t="s">
        <v>24</v>
      </c>
      <c r="EG10" s="19" t="s">
        <v>20</v>
      </c>
      <c r="EH10" s="20" t="s">
        <v>21</v>
      </c>
      <c r="EI10" s="20" t="s">
        <v>22</v>
      </c>
      <c r="EJ10" s="20" t="s">
        <v>23</v>
      </c>
      <c r="EK10" s="20" t="s">
        <v>24</v>
      </c>
      <c r="EL10" s="19" t="s">
        <v>25</v>
      </c>
      <c r="EM10" s="20" t="s">
        <v>21</v>
      </c>
      <c r="EN10" s="20" t="s">
        <v>22</v>
      </c>
      <c r="EO10" s="20" t="s">
        <v>23</v>
      </c>
      <c r="EP10" s="20" t="s">
        <v>24</v>
      </c>
      <c r="EQ10" s="19" t="s">
        <v>20</v>
      </c>
      <c r="ER10" s="20" t="s">
        <v>21</v>
      </c>
      <c r="ES10" s="20" t="s">
        <v>22</v>
      </c>
      <c r="ET10" s="20" t="s">
        <v>23</v>
      </c>
      <c r="EU10" s="20" t="s">
        <v>24</v>
      </c>
      <c r="EV10" s="19" t="s">
        <v>25</v>
      </c>
      <c r="EW10" s="20" t="s">
        <v>21</v>
      </c>
      <c r="EX10" s="20" t="s">
        <v>22</v>
      </c>
      <c r="EY10" s="20" t="s">
        <v>23</v>
      </c>
      <c r="EZ10" s="20" t="s">
        <v>24</v>
      </c>
      <c r="FA10" s="18" t="s">
        <v>26</v>
      </c>
      <c r="FB10" s="18" t="s">
        <v>27</v>
      </c>
      <c r="FC10" s="21"/>
      <c r="FD10" s="21"/>
      <c r="FE10" s="21"/>
      <c r="FF10" s="21"/>
      <c r="FG10" s="22"/>
      <c r="FH10" s="13"/>
      <c r="FI10" s="14">
        <v>0.8</v>
      </c>
      <c r="FJ10" s="13"/>
      <c r="FK10" s="55" t="s">
        <v>91</v>
      </c>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row>
    <row r="11" spans="1:756" ht="12" customHeight="1" thickBot="1">
      <c r="A11" s="1"/>
      <c r="B11" s="6"/>
      <c r="C11" s="4"/>
      <c r="D11" s="4"/>
      <c r="E11" s="2354" t="s">
        <v>28</v>
      </c>
      <c r="F11" s="2354"/>
      <c r="G11" s="2354"/>
      <c r="H11" s="2354"/>
      <c r="I11" s="2354"/>
      <c r="J11" s="2354"/>
      <c r="K11" s="2354"/>
      <c r="L11" s="2354"/>
      <c r="M11" s="2354"/>
      <c r="N11" s="2354"/>
      <c r="O11" s="2354"/>
      <c r="P11" s="2354"/>
      <c r="Q11" s="2354"/>
      <c r="R11" s="2354"/>
      <c r="S11" s="2355">
        <f ca="1">IF(BZ10="済",NOW(),"")</f>
        <v>44092.92644722222</v>
      </c>
      <c r="T11" s="2356"/>
      <c r="U11" s="2356"/>
      <c r="V11" s="2356"/>
      <c r="W11" s="2356"/>
      <c r="X11" s="2356"/>
      <c r="Y11" s="2356"/>
      <c r="Z11" s="2356"/>
      <c r="AA11" s="2356"/>
      <c r="AB11" s="2356"/>
      <c r="AC11" s="2356"/>
      <c r="AD11" s="2357"/>
      <c r="AE11" s="393"/>
      <c r="AF11" s="2432"/>
      <c r="AG11" s="2432"/>
      <c r="AH11" s="2432"/>
      <c r="AI11" s="2432"/>
      <c r="AJ11" s="2432"/>
      <c r="AK11" s="2432"/>
      <c r="AL11" s="2432"/>
      <c r="AM11" s="2432"/>
      <c r="AN11" s="2432"/>
      <c r="AO11" s="2432"/>
      <c r="AP11" s="2432"/>
      <c r="AQ11" s="2432"/>
      <c r="AR11" s="2432"/>
      <c r="AS11" s="2432"/>
      <c r="AT11" s="2432"/>
      <c r="AU11" s="2432"/>
      <c r="AV11" s="2432"/>
      <c r="AW11" s="2432"/>
      <c r="AX11" s="2432"/>
      <c r="AY11" s="2432"/>
      <c r="AZ11" s="2432"/>
      <c r="BA11" s="2432"/>
      <c r="BB11" s="2432"/>
      <c r="BC11" s="2432"/>
      <c r="BD11" s="2432"/>
      <c r="BE11" s="2432"/>
      <c r="BF11" s="2432"/>
      <c r="BG11" s="2432"/>
      <c r="BH11" s="2432"/>
      <c r="BI11" s="2432"/>
      <c r="BJ11" s="2432"/>
      <c r="BK11" s="2432"/>
      <c r="BL11" s="2432"/>
      <c r="BM11" s="2432"/>
      <c r="BN11" s="2432"/>
      <c r="BO11" s="2432"/>
      <c r="BP11" s="2432"/>
      <c r="BQ11" s="2432"/>
      <c r="BR11" s="2432"/>
      <c r="BS11" s="2432"/>
      <c r="BT11" s="2432"/>
      <c r="BU11" s="2432"/>
      <c r="BV11" s="2432"/>
      <c r="BW11" s="2432"/>
      <c r="BX11" s="2432"/>
      <c r="BY11" s="23"/>
      <c r="BZ11" s="23"/>
      <c r="CA11" s="23"/>
      <c r="CB11" s="7"/>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24" t="s">
        <v>2054</v>
      </c>
      <c r="DD11" s="397" t="s">
        <v>29</v>
      </c>
      <c r="DE11" s="25" t="s">
        <v>30</v>
      </c>
      <c r="DF11" s="26">
        <v>70</v>
      </c>
      <c r="DG11" s="26">
        <v>200</v>
      </c>
      <c r="DH11" s="27">
        <f>100-DF11</f>
        <v>30</v>
      </c>
      <c r="DI11" s="28">
        <v>20</v>
      </c>
      <c r="DJ11" s="28" t="s">
        <v>31</v>
      </c>
      <c r="DK11" s="28" t="s">
        <v>31</v>
      </c>
      <c r="DL11" s="29">
        <v>2</v>
      </c>
      <c r="DM11" s="30" t="s">
        <v>32</v>
      </c>
      <c r="DN11" s="30">
        <v>45</v>
      </c>
      <c r="DO11" s="30">
        <v>66</v>
      </c>
      <c r="DP11" s="30">
        <v>95</v>
      </c>
      <c r="DQ11" s="30">
        <v>150</v>
      </c>
      <c r="DR11" s="30" t="s">
        <v>33</v>
      </c>
      <c r="DS11" s="30">
        <v>66</v>
      </c>
      <c r="DT11" s="30">
        <v>79</v>
      </c>
      <c r="DU11" s="30">
        <v>95</v>
      </c>
      <c r="DV11" s="30">
        <v>150</v>
      </c>
      <c r="DW11" s="30" t="s">
        <v>34</v>
      </c>
      <c r="DX11" s="30">
        <v>59</v>
      </c>
      <c r="DY11" s="30">
        <v>70</v>
      </c>
      <c r="DZ11" s="30">
        <v>85</v>
      </c>
      <c r="EA11" s="30">
        <v>150</v>
      </c>
      <c r="EB11" s="30" t="s">
        <v>35</v>
      </c>
      <c r="EC11" s="30">
        <v>65</v>
      </c>
      <c r="ED11" s="30">
        <v>79</v>
      </c>
      <c r="EE11" s="30">
        <v>85</v>
      </c>
      <c r="EF11" s="30">
        <v>50</v>
      </c>
      <c r="EG11" s="31" t="s">
        <v>36</v>
      </c>
      <c r="EH11" s="31">
        <v>58</v>
      </c>
      <c r="EI11" s="31">
        <v>70</v>
      </c>
      <c r="EJ11" s="31">
        <v>95</v>
      </c>
      <c r="EK11" s="31">
        <v>150</v>
      </c>
      <c r="EL11" s="31" t="s">
        <v>37</v>
      </c>
      <c r="EM11" s="31">
        <v>66</v>
      </c>
      <c r="EN11" s="31">
        <v>79</v>
      </c>
      <c r="EO11" s="31">
        <v>95</v>
      </c>
      <c r="EP11" s="31">
        <v>150</v>
      </c>
      <c r="EQ11" s="31" t="s">
        <v>36</v>
      </c>
      <c r="ER11" s="31">
        <v>58</v>
      </c>
      <c r="ES11" s="31">
        <v>70</v>
      </c>
      <c r="ET11" s="31">
        <v>85</v>
      </c>
      <c r="EU11" s="31">
        <v>150</v>
      </c>
      <c r="EV11" s="31" t="s">
        <v>37</v>
      </c>
      <c r="EW11" s="31">
        <v>66</v>
      </c>
      <c r="EX11" s="31">
        <v>79</v>
      </c>
      <c r="EY11" s="31">
        <v>85</v>
      </c>
      <c r="EZ11" s="31">
        <v>50</v>
      </c>
      <c r="FA11" s="30">
        <v>20</v>
      </c>
      <c r="FB11" s="30">
        <v>100</v>
      </c>
      <c r="FC11" s="32" t="s">
        <v>38</v>
      </c>
      <c r="FD11" s="402"/>
      <c r="FE11" s="402"/>
      <c r="FF11" s="30"/>
      <c r="FG11" s="30"/>
      <c r="FH11" s="13"/>
      <c r="FI11" s="14">
        <v>0.6</v>
      </c>
      <c r="FJ11" s="13"/>
      <c r="FK11" s="55" t="s">
        <v>116</v>
      </c>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row>
    <row r="12" spans="1:756" ht="13.5" customHeight="1" thickBot="1">
      <c r="A12" s="1"/>
      <c r="B12" s="6"/>
      <c r="C12" s="4"/>
      <c r="D12" s="4"/>
      <c r="E12" s="2298" t="s">
        <v>2299</v>
      </c>
      <c r="F12" s="2298"/>
      <c r="G12" s="2298"/>
      <c r="H12" s="2298"/>
      <c r="I12" s="2298"/>
      <c r="J12" s="2298"/>
      <c r="K12" s="2298"/>
      <c r="L12" s="2298"/>
      <c r="M12" s="2298"/>
      <c r="N12" s="2298"/>
      <c r="O12" s="2298"/>
      <c r="P12" s="2298"/>
      <c r="Q12" s="2298"/>
      <c r="R12" s="2358"/>
      <c r="S12" s="2359" t="s">
        <v>2231</v>
      </c>
      <c r="T12" s="2360"/>
      <c r="U12" s="2360"/>
      <c r="V12" s="2360"/>
      <c r="W12" s="2360"/>
      <c r="X12" s="2360"/>
      <c r="Y12" s="2360"/>
      <c r="Z12" s="2360"/>
      <c r="AA12" s="2360"/>
      <c r="AB12" s="2360"/>
      <c r="AC12" s="2360"/>
      <c r="AD12" s="2360"/>
      <c r="AE12" s="2360"/>
      <c r="AF12" s="2360"/>
      <c r="AG12" s="2360"/>
      <c r="AH12" s="2360"/>
      <c r="AI12" s="2360"/>
      <c r="AJ12" s="2360"/>
      <c r="AK12" s="2360"/>
      <c r="AL12" s="2360"/>
      <c r="AM12" s="2360"/>
      <c r="AN12" s="2360"/>
      <c r="AO12" s="2360"/>
      <c r="AP12" s="2360"/>
      <c r="AQ12" s="2360"/>
      <c r="AR12" s="2360"/>
      <c r="AS12" s="2360"/>
      <c r="AT12" s="2360"/>
      <c r="AU12" s="2360"/>
      <c r="AV12" s="2360"/>
      <c r="AW12" s="2360"/>
      <c r="AX12" s="2360"/>
      <c r="AY12" s="2360"/>
      <c r="AZ12" s="2360"/>
      <c r="BA12" s="2360"/>
      <c r="BB12" s="2360"/>
      <c r="BC12" s="2360"/>
      <c r="BD12" s="2360"/>
      <c r="BE12" s="2360"/>
      <c r="BF12" s="2360"/>
      <c r="BG12" s="2360"/>
      <c r="BH12" s="2360"/>
      <c r="BI12" s="2360"/>
      <c r="BJ12" s="2360"/>
      <c r="BK12" s="2360"/>
      <c r="BL12" s="2360"/>
      <c r="BM12" s="2360"/>
      <c r="BN12" s="2360"/>
      <c r="BO12" s="2360"/>
      <c r="BP12" s="2360"/>
      <c r="BQ12" s="2360"/>
      <c r="BR12" s="2360"/>
      <c r="BS12" s="2360"/>
      <c r="BT12" s="2360"/>
      <c r="BU12" s="2360"/>
      <c r="BV12" s="2360"/>
      <c r="BW12" s="2360"/>
      <c r="BX12" s="2361"/>
      <c r="BY12" s="4"/>
      <c r="BZ12" s="4"/>
      <c r="CA12" s="4"/>
      <c r="CB12" s="7"/>
      <c r="CC12" s="9"/>
      <c r="CD12" s="9"/>
      <c r="CE12" s="9"/>
      <c r="CF12" s="9"/>
      <c r="CG12" s="9"/>
      <c r="CH12" s="9"/>
      <c r="CI12" s="9"/>
      <c r="CJ12" s="9"/>
      <c r="CK12" s="9"/>
      <c r="CL12" s="9"/>
      <c r="CM12" s="9"/>
      <c r="CN12" s="9"/>
      <c r="CO12" s="9"/>
      <c r="CP12" s="9"/>
      <c r="CQ12" s="9"/>
      <c r="CR12" s="9"/>
      <c r="CS12" s="9"/>
      <c r="CT12" s="9"/>
      <c r="CU12" s="9"/>
      <c r="CV12" s="9"/>
      <c r="CW12" s="9"/>
      <c r="CX12" s="9"/>
      <c r="CY12" s="9"/>
      <c r="CZ12" s="9"/>
      <c r="DA12" s="33"/>
      <c r="DB12" s="33"/>
      <c r="DC12" s="24" t="s">
        <v>2055</v>
      </c>
      <c r="DD12" s="397" t="s">
        <v>39</v>
      </c>
      <c r="DE12" s="25" t="s">
        <v>30</v>
      </c>
      <c r="DF12" s="26">
        <v>70</v>
      </c>
      <c r="DG12" s="26">
        <v>100</v>
      </c>
      <c r="DH12" s="27">
        <f>100-DF12</f>
        <v>30</v>
      </c>
      <c r="DI12" s="28">
        <v>15</v>
      </c>
      <c r="DJ12" s="28" t="s">
        <v>31</v>
      </c>
      <c r="DK12" s="28" t="s">
        <v>31</v>
      </c>
      <c r="DL12" s="29">
        <v>2</v>
      </c>
      <c r="DM12" s="30" t="s">
        <v>40</v>
      </c>
      <c r="DN12" s="30">
        <v>45</v>
      </c>
      <c r="DO12" s="30">
        <v>66</v>
      </c>
      <c r="DP12" s="30">
        <v>95</v>
      </c>
      <c r="DQ12" s="30">
        <v>500</v>
      </c>
      <c r="DR12" s="30" t="s">
        <v>33</v>
      </c>
      <c r="DS12" s="30">
        <v>66</v>
      </c>
      <c r="DT12" s="30">
        <v>79</v>
      </c>
      <c r="DU12" s="30">
        <v>95</v>
      </c>
      <c r="DV12" s="30">
        <v>200</v>
      </c>
      <c r="DW12" s="30" t="s">
        <v>34</v>
      </c>
      <c r="DX12" s="30">
        <v>59</v>
      </c>
      <c r="DY12" s="30">
        <v>70</v>
      </c>
      <c r="DZ12" s="30">
        <v>85</v>
      </c>
      <c r="EA12" s="30">
        <v>500</v>
      </c>
      <c r="EB12" s="30" t="s">
        <v>35</v>
      </c>
      <c r="EC12" s="30">
        <v>66</v>
      </c>
      <c r="ED12" s="30">
        <v>79</v>
      </c>
      <c r="EE12" s="30">
        <v>85</v>
      </c>
      <c r="EF12" s="30">
        <v>100</v>
      </c>
      <c r="EG12" s="31" t="s">
        <v>41</v>
      </c>
      <c r="EH12" s="31">
        <v>54</v>
      </c>
      <c r="EI12" s="31">
        <v>70</v>
      </c>
      <c r="EJ12" s="31">
        <v>95</v>
      </c>
      <c r="EK12" s="31">
        <v>300</v>
      </c>
      <c r="EL12" s="31" t="s">
        <v>42</v>
      </c>
      <c r="EM12" s="31">
        <v>66</v>
      </c>
      <c r="EN12" s="31">
        <v>79</v>
      </c>
      <c r="EO12" s="31">
        <v>95</v>
      </c>
      <c r="EP12" s="31">
        <v>200</v>
      </c>
      <c r="EQ12" s="31" t="s">
        <v>36</v>
      </c>
      <c r="ER12" s="31">
        <v>59</v>
      </c>
      <c r="ES12" s="31">
        <v>70</v>
      </c>
      <c r="ET12" s="31">
        <v>85</v>
      </c>
      <c r="EU12" s="31">
        <v>200</v>
      </c>
      <c r="EV12" s="31" t="s">
        <v>37</v>
      </c>
      <c r="EW12" s="31">
        <v>66</v>
      </c>
      <c r="EX12" s="31">
        <v>79</v>
      </c>
      <c r="EY12" s="31">
        <v>85</v>
      </c>
      <c r="EZ12" s="31">
        <v>100</v>
      </c>
      <c r="FA12" s="30">
        <v>20</v>
      </c>
      <c r="FB12" s="30">
        <v>100</v>
      </c>
      <c r="FC12" s="32" t="s">
        <v>43</v>
      </c>
      <c r="FD12" s="402"/>
      <c r="FE12" s="402"/>
      <c r="FF12" s="30"/>
      <c r="FG12" s="30"/>
      <c r="FH12" s="13"/>
      <c r="FI12" s="14">
        <v>0.5</v>
      </c>
      <c r="FJ12" s="13"/>
      <c r="FK12" s="55" t="s">
        <v>133</v>
      </c>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row>
    <row r="13" spans="1:756" ht="13.5" customHeight="1" thickBot="1">
      <c r="A13" s="1"/>
      <c r="B13" s="6"/>
      <c r="C13" s="4"/>
      <c r="D13" s="4"/>
      <c r="E13" s="2298" t="s">
        <v>2163</v>
      </c>
      <c r="F13" s="2298"/>
      <c r="G13" s="2298"/>
      <c r="H13" s="2298"/>
      <c r="I13" s="2298"/>
      <c r="J13" s="2298"/>
      <c r="K13" s="2298"/>
      <c r="L13" s="2298"/>
      <c r="M13" s="2298"/>
      <c r="N13" s="2298"/>
      <c r="O13" s="2298"/>
      <c r="P13" s="2298"/>
      <c r="Q13" s="2298"/>
      <c r="R13" s="2358"/>
      <c r="S13" s="2400" t="s">
        <v>2231</v>
      </c>
      <c r="T13" s="2401"/>
      <c r="U13" s="2401"/>
      <c r="V13" s="2401"/>
      <c r="W13" s="2401"/>
      <c r="X13" s="2401"/>
      <c r="Y13" s="2401"/>
      <c r="Z13" s="2401"/>
      <c r="AA13" s="2401"/>
      <c r="AB13" s="2401"/>
      <c r="AC13" s="2401"/>
      <c r="AD13" s="2401"/>
      <c r="AE13" s="2401"/>
      <c r="AF13" s="2401"/>
      <c r="AG13" s="2401"/>
      <c r="AH13" s="2401"/>
      <c r="AI13" s="2401"/>
      <c r="AJ13" s="2401"/>
      <c r="AK13" s="2401"/>
      <c r="AL13" s="2401"/>
      <c r="AM13" s="2401"/>
      <c r="AN13" s="2401"/>
      <c r="AO13" s="2401"/>
      <c r="AP13" s="2401"/>
      <c r="AQ13" s="2401"/>
      <c r="AR13" s="2401"/>
      <c r="AS13" s="2401"/>
      <c r="AT13" s="2401"/>
      <c r="AU13" s="2401"/>
      <c r="AV13" s="2401"/>
      <c r="AW13" s="2401"/>
      <c r="AX13" s="2401"/>
      <c r="AY13" s="2401"/>
      <c r="AZ13" s="2401"/>
      <c r="BA13" s="2401"/>
      <c r="BB13" s="2401"/>
      <c r="BC13" s="2401"/>
      <c r="BD13" s="2401"/>
      <c r="BE13" s="2401"/>
      <c r="BF13" s="2401"/>
      <c r="BG13" s="2401"/>
      <c r="BH13" s="2401"/>
      <c r="BI13" s="2401"/>
      <c r="BJ13" s="2401"/>
      <c r="BK13" s="2401"/>
      <c r="BL13" s="2401"/>
      <c r="BM13" s="2401"/>
      <c r="BN13" s="2401"/>
      <c r="BO13" s="2401"/>
      <c r="BP13" s="2401"/>
      <c r="BQ13" s="2401"/>
      <c r="BR13" s="2401"/>
      <c r="BS13" s="2401"/>
      <c r="BT13" s="2401"/>
      <c r="BU13" s="2401"/>
      <c r="BV13" s="2401"/>
      <c r="BW13" s="2401"/>
      <c r="BX13" s="2402"/>
      <c r="BY13" s="4"/>
      <c r="BZ13" s="4"/>
      <c r="CA13" s="4"/>
      <c r="CB13" s="7"/>
      <c r="CC13" s="9"/>
      <c r="CD13" s="34" t="s">
        <v>44</v>
      </c>
      <c r="CE13" s="9"/>
      <c r="CF13" s="9"/>
      <c r="CG13" s="9"/>
      <c r="CH13" s="9"/>
      <c r="CI13" s="33"/>
      <c r="CJ13" s="9"/>
      <c r="CK13" s="9"/>
      <c r="CL13" s="9"/>
      <c r="CM13" s="9"/>
      <c r="CN13" s="9"/>
      <c r="CO13" s="9"/>
      <c r="CP13" s="9"/>
      <c r="CQ13" s="9"/>
      <c r="CR13" s="9"/>
      <c r="CS13" s="9"/>
      <c r="CT13" s="9"/>
      <c r="CU13" s="9"/>
      <c r="CV13" s="9"/>
      <c r="CW13" s="9"/>
      <c r="CX13" s="9"/>
      <c r="CY13" s="9"/>
      <c r="CZ13" s="9"/>
      <c r="DA13" s="33"/>
      <c r="DB13" s="33"/>
      <c r="DC13" s="24" t="s">
        <v>2056</v>
      </c>
      <c r="DD13" s="397" t="s">
        <v>46</v>
      </c>
      <c r="DE13" s="25" t="s">
        <v>30</v>
      </c>
      <c r="DF13" s="26">
        <v>70</v>
      </c>
      <c r="DG13" s="26">
        <v>150</v>
      </c>
      <c r="DH13" s="27">
        <f>100-DF13</f>
        <v>30</v>
      </c>
      <c r="DI13" s="28">
        <v>15</v>
      </c>
      <c r="DJ13" s="28" t="s">
        <v>31</v>
      </c>
      <c r="DK13" s="28" t="s">
        <v>31</v>
      </c>
      <c r="DL13" s="29">
        <v>5</v>
      </c>
      <c r="DM13" s="30" t="s">
        <v>47</v>
      </c>
      <c r="DN13" s="30">
        <v>37</v>
      </c>
      <c r="DO13" s="30">
        <v>66</v>
      </c>
      <c r="DP13" s="30">
        <v>95</v>
      </c>
      <c r="DQ13" s="30">
        <v>100</v>
      </c>
      <c r="DR13" s="30" t="s">
        <v>48</v>
      </c>
      <c r="DS13" s="30">
        <v>66</v>
      </c>
      <c r="DT13" s="30">
        <v>79</v>
      </c>
      <c r="DU13" s="30">
        <v>95</v>
      </c>
      <c r="DV13" s="30">
        <v>100</v>
      </c>
      <c r="DW13" s="30" t="s">
        <v>34</v>
      </c>
      <c r="DX13" s="30">
        <v>59</v>
      </c>
      <c r="DY13" s="30">
        <v>70</v>
      </c>
      <c r="DZ13" s="30">
        <v>85</v>
      </c>
      <c r="EA13" s="30">
        <v>250</v>
      </c>
      <c r="EB13" s="30" t="s">
        <v>35</v>
      </c>
      <c r="EC13" s="30">
        <v>66</v>
      </c>
      <c r="ED13" s="30">
        <v>79</v>
      </c>
      <c r="EE13" s="30">
        <v>85</v>
      </c>
      <c r="EF13" s="30">
        <v>50</v>
      </c>
      <c r="EG13" s="31" t="s">
        <v>49</v>
      </c>
      <c r="EH13" s="31">
        <v>66</v>
      </c>
      <c r="EI13" s="31">
        <v>79</v>
      </c>
      <c r="EJ13" s="31">
        <v>95</v>
      </c>
      <c r="EK13" s="31">
        <v>100</v>
      </c>
      <c r="EL13" s="31" t="s">
        <v>49</v>
      </c>
      <c r="EM13" s="31">
        <v>66</v>
      </c>
      <c r="EN13" s="31">
        <v>79</v>
      </c>
      <c r="EO13" s="31">
        <v>95</v>
      </c>
      <c r="EP13" s="31">
        <v>100</v>
      </c>
      <c r="EQ13" s="31" t="s">
        <v>36</v>
      </c>
      <c r="ER13" s="31">
        <v>59</v>
      </c>
      <c r="ES13" s="31">
        <v>70</v>
      </c>
      <c r="ET13" s="31">
        <v>85</v>
      </c>
      <c r="EU13" s="31">
        <v>250</v>
      </c>
      <c r="EV13" s="31" t="s">
        <v>37</v>
      </c>
      <c r="EW13" s="31">
        <v>66</v>
      </c>
      <c r="EX13" s="31">
        <v>79</v>
      </c>
      <c r="EY13" s="31">
        <v>85</v>
      </c>
      <c r="EZ13" s="31">
        <v>50</v>
      </c>
      <c r="FA13" s="30">
        <v>20</v>
      </c>
      <c r="FB13" s="30">
        <v>100</v>
      </c>
      <c r="FC13" s="32" t="s">
        <v>45</v>
      </c>
      <c r="FD13" s="402"/>
      <c r="FE13" s="402"/>
      <c r="FF13" s="30"/>
      <c r="FG13" s="30"/>
      <c r="FH13" s="13"/>
      <c r="FI13" s="14">
        <v>0.3</v>
      </c>
      <c r="FJ13" s="13"/>
      <c r="FK13" s="55" t="s">
        <v>138</v>
      </c>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row>
    <row r="14" spans="1:756" ht="13.5" customHeight="1" thickBot="1">
      <c r="A14" s="1"/>
      <c r="B14" s="6"/>
      <c r="C14" s="4"/>
      <c r="D14" s="4"/>
      <c r="E14" s="2298" t="s">
        <v>2300</v>
      </c>
      <c r="F14" s="2298"/>
      <c r="G14" s="2298"/>
      <c r="H14" s="2298"/>
      <c r="I14" s="2298"/>
      <c r="J14" s="2298"/>
      <c r="K14" s="2298"/>
      <c r="L14" s="2298"/>
      <c r="M14" s="2298"/>
      <c r="N14" s="2298"/>
      <c r="O14" s="2298"/>
      <c r="P14" s="2298"/>
      <c r="Q14" s="2298"/>
      <c r="R14" s="2358"/>
      <c r="S14" s="2400" t="s">
        <v>2231</v>
      </c>
      <c r="T14" s="2401"/>
      <c r="U14" s="2401"/>
      <c r="V14" s="2401"/>
      <c r="W14" s="2401"/>
      <c r="X14" s="2401"/>
      <c r="Y14" s="2401"/>
      <c r="Z14" s="2401"/>
      <c r="AA14" s="2401"/>
      <c r="AB14" s="2401"/>
      <c r="AC14" s="2401"/>
      <c r="AD14" s="2401"/>
      <c r="AE14" s="2401"/>
      <c r="AF14" s="2401"/>
      <c r="AG14" s="2401"/>
      <c r="AH14" s="2401"/>
      <c r="AI14" s="2401"/>
      <c r="AJ14" s="2401"/>
      <c r="AK14" s="2401"/>
      <c r="AL14" s="2401"/>
      <c r="AM14" s="2401"/>
      <c r="AN14" s="2401"/>
      <c r="AO14" s="2401"/>
      <c r="AP14" s="2401"/>
      <c r="AQ14" s="2401"/>
      <c r="AR14" s="2401"/>
      <c r="AS14" s="2401"/>
      <c r="AT14" s="2401"/>
      <c r="AU14" s="2401"/>
      <c r="AV14" s="2401"/>
      <c r="AW14" s="2401"/>
      <c r="AX14" s="2401"/>
      <c r="AY14" s="2401"/>
      <c r="AZ14" s="2401"/>
      <c r="BA14" s="2401"/>
      <c r="BB14" s="2402"/>
      <c r="BC14" s="2403" t="s">
        <v>50</v>
      </c>
      <c r="BD14" s="2404"/>
      <c r="BE14" s="2405"/>
      <c r="BF14" s="2406" t="s">
        <v>361</v>
      </c>
      <c r="BG14" s="2407"/>
      <c r="BH14" s="2407"/>
      <c r="BI14" s="2408"/>
      <c r="BJ14" s="2331" t="str">
        <f>IF(OR(BF14="大　島",BF14="八丈島",BF14="名　瀬",BF14="那　覇"),"海抜[m]","標高[m]")</f>
        <v>標高[m]</v>
      </c>
      <c r="BK14" s="2332"/>
      <c r="BL14" s="2332"/>
      <c r="BM14" s="2332"/>
      <c r="BN14" s="2332"/>
      <c r="BO14" s="2333" t="str">
        <f>IF(BF14="","",IF(BT14&lt;&gt;"",BT14&amp;"m",VLOOKUP(BF14,気象,4,FALSE)&amp;"m"))</f>
        <v>45m</v>
      </c>
      <c r="BP14" s="2333"/>
      <c r="BQ14" s="2333"/>
      <c r="BR14" s="2333"/>
      <c r="BS14" s="669" t="s">
        <v>53</v>
      </c>
      <c r="BT14" s="2334"/>
      <c r="BU14" s="2334"/>
      <c r="BV14" s="2334"/>
      <c r="BW14" s="2334"/>
      <c r="BX14" s="2334"/>
      <c r="BY14" s="4"/>
      <c r="BZ14" s="4"/>
      <c r="CA14" s="4"/>
      <c r="CB14" s="7"/>
      <c r="CC14" s="9"/>
      <c r="CD14" s="2329">
        <f>VLOOKUP(BF14,地域,2,FALSE)</f>
        <v>6</v>
      </c>
      <c r="CE14" s="2330"/>
      <c r="CF14" s="9"/>
      <c r="CG14" s="35"/>
      <c r="CH14" s="35"/>
      <c r="CI14" s="35"/>
      <c r="CJ14" s="35"/>
      <c r="CK14" s="9"/>
      <c r="CL14" s="9"/>
      <c r="CM14" s="9"/>
      <c r="CN14" s="9"/>
      <c r="CO14" s="9"/>
      <c r="CP14" s="9"/>
      <c r="CQ14" s="9"/>
      <c r="CR14" s="9"/>
      <c r="CS14" s="9"/>
      <c r="CT14" s="9"/>
      <c r="CU14" s="9"/>
      <c r="CV14" s="9"/>
      <c r="CW14" s="9"/>
      <c r="CX14" s="9"/>
      <c r="CY14" s="9"/>
      <c r="CZ14" s="9"/>
      <c r="DA14" s="33"/>
      <c r="DB14" s="33"/>
      <c r="DC14" s="24" t="s">
        <v>54</v>
      </c>
      <c r="DD14" s="397" t="s">
        <v>55</v>
      </c>
      <c r="DE14" s="25" t="s">
        <v>30</v>
      </c>
      <c r="DF14" s="26">
        <v>70</v>
      </c>
      <c r="DG14" s="26">
        <v>200</v>
      </c>
      <c r="DH14" s="27">
        <f t="shared" ref="DH14:DH63" si="0">100-DF14</f>
        <v>30</v>
      </c>
      <c r="DI14" s="28">
        <v>20</v>
      </c>
      <c r="DJ14" s="28" t="s">
        <v>31</v>
      </c>
      <c r="DK14" s="28" t="s">
        <v>31</v>
      </c>
      <c r="DL14" s="29">
        <v>3</v>
      </c>
      <c r="DM14" s="30" t="s">
        <v>56</v>
      </c>
      <c r="DN14" s="30">
        <v>44</v>
      </c>
      <c r="DO14" s="30">
        <v>66</v>
      </c>
      <c r="DP14" s="30">
        <v>100</v>
      </c>
      <c r="DQ14" s="30">
        <v>750</v>
      </c>
      <c r="DR14" s="30" t="s">
        <v>57</v>
      </c>
      <c r="DS14" s="30">
        <v>66</v>
      </c>
      <c r="DT14" s="30">
        <v>79</v>
      </c>
      <c r="DU14" s="30">
        <v>100</v>
      </c>
      <c r="DV14" s="30">
        <v>200</v>
      </c>
      <c r="DW14" s="30" t="s">
        <v>34</v>
      </c>
      <c r="DX14" s="30">
        <v>59</v>
      </c>
      <c r="DY14" s="30">
        <v>70</v>
      </c>
      <c r="DZ14" s="30">
        <v>85</v>
      </c>
      <c r="EA14" s="30">
        <v>750</v>
      </c>
      <c r="EB14" s="30" t="s">
        <v>35</v>
      </c>
      <c r="EC14" s="30">
        <v>66</v>
      </c>
      <c r="ED14" s="30">
        <v>79</v>
      </c>
      <c r="EE14" s="30">
        <v>85</v>
      </c>
      <c r="EF14" s="30">
        <v>50</v>
      </c>
      <c r="EG14" s="31" t="s">
        <v>58</v>
      </c>
      <c r="EH14" s="31">
        <v>54</v>
      </c>
      <c r="EI14" s="31">
        <v>70</v>
      </c>
      <c r="EJ14" s="31">
        <v>100</v>
      </c>
      <c r="EK14" s="31">
        <v>300</v>
      </c>
      <c r="EL14" s="31" t="s">
        <v>37</v>
      </c>
      <c r="EM14" s="31">
        <v>66</v>
      </c>
      <c r="EN14" s="31">
        <v>79</v>
      </c>
      <c r="EO14" s="31">
        <v>100</v>
      </c>
      <c r="EP14" s="31">
        <v>200</v>
      </c>
      <c r="EQ14" s="31" t="s">
        <v>36</v>
      </c>
      <c r="ER14" s="31">
        <v>59</v>
      </c>
      <c r="ES14" s="31">
        <v>70</v>
      </c>
      <c r="ET14" s="31">
        <v>85</v>
      </c>
      <c r="EU14" s="31">
        <v>150</v>
      </c>
      <c r="EV14" s="31" t="s">
        <v>37</v>
      </c>
      <c r="EW14" s="31">
        <v>66</v>
      </c>
      <c r="EX14" s="31">
        <v>79</v>
      </c>
      <c r="EY14" s="31">
        <v>85</v>
      </c>
      <c r="EZ14" s="31">
        <v>50</v>
      </c>
      <c r="FA14" s="30">
        <v>15</v>
      </c>
      <c r="FB14" s="30">
        <v>75</v>
      </c>
      <c r="FC14" s="32" t="s">
        <v>59</v>
      </c>
      <c r="FD14" s="402"/>
      <c r="FE14" s="402"/>
      <c r="FF14" s="30"/>
      <c r="FG14" s="30"/>
      <c r="FH14" s="13"/>
      <c r="FI14" s="14">
        <v>0</v>
      </c>
      <c r="FJ14" s="13"/>
      <c r="FK14" s="55" t="s">
        <v>143</v>
      </c>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row>
    <row r="15" spans="1:756" ht="13.5" customHeight="1" thickBot="1">
      <c r="A15" s="1"/>
      <c r="B15" s="6"/>
      <c r="C15" s="4"/>
      <c r="D15" s="4"/>
      <c r="E15" s="2298" t="s">
        <v>2164</v>
      </c>
      <c r="F15" s="2298"/>
      <c r="G15" s="2298"/>
      <c r="H15" s="2298"/>
      <c r="I15" s="2298"/>
      <c r="J15" s="2298"/>
      <c r="K15" s="2298"/>
      <c r="L15" s="2298"/>
      <c r="M15" s="2298"/>
      <c r="N15" s="2298"/>
      <c r="O15" s="2298"/>
      <c r="P15" s="2298"/>
      <c r="Q15" s="2298"/>
      <c r="R15" s="2298"/>
      <c r="S15" s="2335" t="s">
        <v>2305</v>
      </c>
      <c r="T15" s="2336"/>
      <c r="U15" s="2336"/>
      <c r="V15" s="2336"/>
      <c r="W15" s="2336"/>
      <c r="X15" s="2336"/>
      <c r="Y15" s="2336"/>
      <c r="Z15" s="2336"/>
      <c r="AA15" s="2336"/>
      <c r="AB15" s="2336"/>
      <c r="AC15" s="2336"/>
      <c r="AD15" s="2336"/>
      <c r="AE15" s="2336"/>
      <c r="AF15" s="2336"/>
      <c r="AG15" s="2336"/>
      <c r="AH15" s="2336"/>
      <c r="AI15" s="2336"/>
      <c r="AJ15" s="2336"/>
      <c r="AK15" s="2336"/>
      <c r="AL15" s="2336"/>
      <c r="AM15" s="2336"/>
      <c r="AN15" s="2337" t="s">
        <v>2165</v>
      </c>
      <c r="AO15" s="2338"/>
      <c r="AP15" s="2338"/>
      <c r="AQ15" s="2338"/>
      <c r="AR15" s="2338"/>
      <c r="AS15" s="2338"/>
      <c r="AT15" s="2338"/>
      <c r="AU15" s="2338"/>
      <c r="AV15" s="2338"/>
      <c r="AW15" s="2339"/>
      <c r="AX15" s="2340">
        <f ca="1">IF(B1=0,"",NOW())</f>
        <v>44092.92644722222</v>
      </c>
      <c r="AY15" s="2341"/>
      <c r="AZ15" s="2341"/>
      <c r="BA15" s="2341"/>
      <c r="BB15" s="2341"/>
      <c r="BC15" s="2342"/>
      <c r="BD15" s="2342"/>
      <c r="BE15" s="2342"/>
      <c r="BF15" s="2343" t="str">
        <f ca="1">IF(AX15="","","号")</f>
        <v>号</v>
      </c>
      <c r="BG15" s="2343"/>
      <c r="BH15" s="2344" t="str">
        <f>IF(BF14="","",IF(BQ15="",VLOOKUP(BF14,地域,3,FALSE),BQ15))</f>
        <v>近畿</v>
      </c>
      <c r="BI15" s="2344"/>
      <c r="BJ15" s="2344"/>
      <c r="BK15" s="2344"/>
      <c r="BL15" s="2345"/>
      <c r="BM15" s="36" t="s">
        <v>53</v>
      </c>
      <c r="BN15" s="2346" t="s">
        <v>60</v>
      </c>
      <c r="BO15" s="2346"/>
      <c r="BP15" s="2347"/>
      <c r="BQ15" s="2348"/>
      <c r="BR15" s="2349"/>
      <c r="BS15" s="2349"/>
      <c r="BT15" s="2349"/>
      <c r="BU15" s="2349"/>
      <c r="BV15" s="2349"/>
      <c r="BW15" s="2349"/>
      <c r="BX15" s="2350"/>
      <c r="BY15" s="4"/>
      <c r="BZ15" s="4"/>
      <c r="CA15" s="4"/>
      <c r="CB15" s="7"/>
      <c r="CC15" s="9"/>
      <c r="CD15" s="894"/>
      <c r="CE15" s="894"/>
      <c r="CF15" s="9"/>
      <c r="CG15" s="35"/>
      <c r="CH15" s="35"/>
      <c r="CI15" s="35"/>
      <c r="CJ15" s="35"/>
      <c r="CK15" s="9"/>
      <c r="CL15" s="9"/>
      <c r="CM15" s="9"/>
      <c r="CN15" s="9"/>
      <c r="CO15" s="9"/>
      <c r="CP15" s="9"/>
      <c r="CQ15" s="9"/>
      <c r="CR15" s="9"/>
      <c r="CS15" s="9"/>
      <c r="CT15" s="9"/>
      <c r="CU15" s="9"/>
      <c r="CV15" s="9"/>
      <c r="CW15" s="9"/>
      <c r="CX15" s="9"/>
      <c r="CY15" s="9"/>
      <c r="CZ15" s="9"/>
      <c r="DA15" s="33"/>
      <c r="DB15" s="33"/>
      <c r="DC15" s="24" t="s">
        <v>61</v>
      </c>
      <c r="DD15" s="397" t="s">
        <v>62</v>
      </c>
      <c r="DE15" s="25" t="s">
        <v>30</v>
      </c>
      <c r="DF15" s="26">
        <v>70</v>
      </c>
      <c r="DG15" s="26">
        <v>30</v>
      </c>
      <c r="DH15" s="27">
        <f>100-DF15</f>
        <v>30</v>
      </c>
      <c r="DI15" s="28">
        <v>15</v>
      </c>
      <c r="DJ15" s="28" t="s">
        <v>31</v>
      </c>
      <c r="DK15" s="28" t="s">
        <v>31</v>
      </c>
      <c r="DL15" s="29">
        <v>3</v>
      </c>
      <c r="DM15" s="30" t="s">
        <v>63</v>
      </c>
      <c r="DN15" s="30">
        <v>36</v>
      </c>
      <c r="DO15" s="30">
        <v>66</v>
      </c>
      <c r="DP15" s="30">
        <v>80</v>
      </c>
      <c r="DQ15" s="30">
        <v>100</v>
      </c>
      <c r="DR15" s="30" t="s">
        <v>64</v>
      </c>
      <c r="DS15" s="30">
        <v>42</v>
      </c>
      <c r="DT15" s="30">
        <v>66</v>
      </c>
      <c r="DU15" s="30">
        <v>80</v>
      </c>
      <c r="DV15" s="30">
        <v>100</v>
      </c>
      <c r="DW15" s="30" t="s">
        <v>34</v>
      </c>
      <c r="DX15" s="30">
        <v>59</v>
      </c>
      <c r="DY15" s="30">
        <v>70</v>
      </c>
      <c r="DZ15" s="30">
        <v>85</v>
      </c>
      <c r="EA15" s="30">
        <v>200</v>
      </c>
      <c r="EB15" s="30" t="s">
        <v>35</v>
      </c>
      <c r="EC15" s="30">
        <v>66</v>
      </c>
      <c r="ED15" s="30">
        <v>79</v>
      </c>
      <c r="EE15" s="30">
        <v>85</v>
      </c>
      <c r="EF15" s="30">
        <v>100</v>
      </c>
      <c r="EG15" s="31" t="s">
        <v>49</v>
      </c>
      <c r="EH15" s="31">
        <v>66</v>
      </c>
      <c r="EI15" s="31">
        <v>79</v>
      </c>
      <c r="EJ15" s="31">
        <v>80</v>
      </c>
      <c r="EK15" s="31">
        <v>100</v>
      </c>
      <c r="EL15" s="31" t="s">
        <v>37</v>
      </c>
      <c r="EM15" s="31">
        <v>66</v>
      </c>
      <c r="EN15" s="31">
        <v>79</v>
      </c>
      <c r="EO15" s="31">
        <v>80</v>
      </c>
      <c r="EP15" s="31">
        <v>100</v>
      </c>
      <c r="EQ15" s="31" t="s">
        <v>36</v>
      </c>
      <c r="ER15" s="31">
        <v>59</v>
      </c>
      <c r="ES15" s="31">
        <v>70</v>
      </c>
      <c r="ET15" s="31">
        <v>85</v>
      </c>
      <c r="EU15" s="31">
        <v>200</v>
      </c>
      <c r="EV15" s="31" t="s">
        <v>37</v>
      </c>
      <c r="EW15" s="31">
        <v>66</v>
      </c>
      <c r="EX15" s="31">
        <v>79</v>
      </c>
      <c r="EY15" s="31">
        <v>85</v>
      </c>
      <c r="EZ15" s="31">
        <v>100</v>
      </c>
      <c r="FA15" s="30">
        <v>20</v>
      </c>
      <c r="FB15" s="30">
        <v>100</v>
      </c>
      <c r="FC15" s="32" t="s">
        <v>65</v>
      </c>
      <c r="FD15" s="402"/>
      <c r="FE15" s="402"/>
      <c r="FF15" s="30"/>
      <c r="FG15" s="30"/>
      <c r="FH15" s="13"/>
      <c r="FI15" s="895"/>
      <c r="FJ15" s="13"/>
      <c r="FK15" s="55" t="s">
        <v>146</v>
      </c>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row>
    <row r="16" spans="1:756" ht="13.5" customHeight="1" thickBot="1">
      <c r="A16" s="1"/>
      <c r="B16" s="37" t="str">
        <f>IF(R16="","",A16)</f>
        <v/>
      </c>
      <c r="C16" s="4"/>
      <c r="D16" s="4"/>
      <c r="E16" s="2298" t="s">
        <v>2166</v>
      </c>
      <c r="F16" s="2298"/>
      <c r="G16" s="2298"/>
      <c r="H16" s="2298"/>
      <c r="I16" s="2298"/>
      <c r="J16" s="2298"/>
      <c r="K16" s="2298"/>
      <c r="L16" s="2298"/>
      <c r="M16" s="2298"/>
      <c r="N16" s="2298"/>
      <c r="O16" s="2298"/>
      <c r="P16" s="2298"/>
      <c r="Q16" s="2298"/>
      <c r="R16" s="2298"/>
      <c r="S16" s="2299" t="s">
        <v>84</v>
      </c>
      <c r="T16" s="2299"/>
      <c r="U16" s="2299"/>
      <c r="V16" s="2299"/>
      <c r="W16" s="2299"/>
      <c r="X16" s="2299"/>
      <c r="Y16" s="2299"/>
      <c r="Z16" s="2299"/>
      <c r="AA16" s="2299"/>
      <c r="AB16" s="2299"/>
      <c r="AC16" s="2299"/>
      <c r="AD16" s="2299"/>
      <c r="AE16" s="2299"/>
      <c r="AF16" s="2300"/>
      <c r="AG16" s="2301" t="s">
        <v>2167</v>
      </c>
      <c r="AH16" s="2302"/>
      <c r="AI16" s="2302"/>
      <c r="AJ16" s="2302"/>
      <c r="AK16" s="2302"/>
      <c r="AL16" s="2302"/>
      <c r="AM16" s="2302"/>
      <c r="AN16" s="2302"/>
      <c r="AO16" s="2302"/>
      <c r="AP16" s="2302"/>
      <c r="AQ16" s="2302"/>
      <c r="AR16" s="2303"/>
      <c r="AS16" s="2304" t="s">
        <v>1995</v>
      </c>
      <c r="AT16" s="2305"/>
      <c r="AU16" s="2305"/>
      <c r="AV16" s="2305"/>
      <c r="AW16" s="2306"/>
      <c r="AX16" s="2307" t="str">
        <f>IF(ISNA(VLOOKUP(AS16,令別表,2,FALSE)),"",VLOOKUP(AS16,令別表,2,FALSE))</f>
        <v>特定用途の存する複合</v>
      </c>
      <c r="AY16" s="2308"/>
      <c r="AZ16" s="2308"/>
      <c r="BA16" s="2308"/>
      <c r="BB16" s="2308"/>
      <c r="BC16" s="2308"/>
      <c r="BD16" s="2308"/>
      <c r="BE16" s="2308"/>
      <c r="BF16" s="2308"/>
      <c r="BG16" s="2308"/>
      <c r="BH16" s="2308"/>
      <c r="BI16" s="2308"/>
      <c r="BJ16" s="2309"/>
      <c r="BK16" s="2309"/>
      <c r="BL16" s="2309"/>
      <c r="BM16" s="2310" t="str">
        <f>IF(BY16="特","特定防火対象物","")</f>
        <v>特定防火対象物</v>
      </c>
      <c r="BN16" s="2310"/>
      <c r="BO16" s="2310"/>
      <c r="BP16" s="2310"/>
      <c r="BQ16" s="2310"/>
      <c r="BR16" s="2310"/>
      <c r="BS16" s="2310"/>
      <c r="BT16" s="2310"/>
      <c r="BU16" s="2310"/>
      <c r="BV16" s="2310"/>
      <c r="BW16" s="2310"/>
      <c r="BX16" s="2310"/>
      <c r="BY16" s="38" t="str">
        <f>IF(ISNA(VLOOKUP(AS16,令別表,3,FALSE)),"",VLOOKUP(AS16,令別表,3,FALSE))</f>
        <v>特</v>
      </c>
      <c r="BZ16" s="2316" t="str">
        <f>IF(AND(S12&lt;&gt;"",S13&lt;&gt;"",S14&lt;&gt;"",BF14&lt;&gt;"",AS16&lt;&gt;"",BZ17&lt;&gt;"No"),"済","未")</f>
        <v>済</v>
      </c>
      <c r="CA16" s="2316"/>
      <c r="CB16" s="7"/>
      <c r="CC16" s="9"/>
      <c r="CD16" s="34" t="s">
        <v>67</v>
      </c>
      <c r="CE16" s="35"/>
      <c r="CF16" s="35"/>
      <c r="CG16" s="35"/>
      <c r="CH16" s="35"/>
      <c r="CI16" s="35"/>
      <c r="CJ16" s="35"/>
      <c r="CK16" s="9"/>
      <c r="CL16" s="9"/>
      <c r="CM16" s="9"/>
      <c r="CN16" s="9"/>
      <c r="CO16" s="9"/>
      <c r="CP16" s="9"/>
      <c r="CQ16" s="9"/>
      <c r="CR16" s="9"/>
      <c r="CS16" s="9"/>
      <c r="CT16" s="9"/>
      <c r="CU16" s="9"/>
      <c r="CV16" s="9"/>
      <c r="CW16" s="9"/>
      <c r="CX16" s="9"/>
      <c r="CY16" s="9"/>
      <c r="CZ16" s="9"/>
      <c r="DA16" s="33"/>
      <c r="DB16" s="33"/>
      <c r="DC16" s="24" t="s">
        <v>68</v>
      </c>
      <c r="DD16" s="397" t="s">
        <v>69</v>
      </c>
      <c r="DE16" s="25" t="s">
        <v>30</v>
      </c>
      <c r="DF16" s="26">
        <v>70</v>
      </c>
      <c r="DG16" s="26">
        <v>20</v>
      </c>
      <c r="DH16" s="27">
        <f t="shared" si="0"/>
        <v>30</v>
      </c>
      <c r="DI16" s="28">
        <v>20</v>
      </c>
      <c r="DJ16" s="28" t="s">
        <v>31</v>
      </c>
      <c r="DK16" s="28" t="s">
        <v>31</v>
      </c>
      <c r="DL16" s="29">
        <v>3</v>
      </c>
      <c r="DM16" s="30" t="s">
        <v>70</v>
      </c>
      <c r="DN16" s="30">
        <v>33</v>
      </c>
      <c r="DO16" s="30">
        <v>66</v>
      </c>
      <c r="DP16" s="30">
        <v>90</v>
      </c>
      <c r="DQ16" s="30">
        <v>200</v>
      </c>
      <c r="DR16" s="30" t="s">
        <v>71</v>
      </c>
      <c r="DS16" s="30">
        <v>42</v>
      </c>
      <c r="DT16" s="30">
        <v>66</v>
      </c>
      <c r="DU16" s="30">
        <v>90</v>
      </c>
      <c r="DV16" s="30">
        <v>100</v>
      </c>
      <c r="DW16" s="30" t="s">
        <v>34</v>
      </c>
      <c r="DX16" s="30">
        <v>59</v>
      </c>
      <c r="DY16" s="30">
        <v>70</v>
      </c>
      <c r="DZ16" s="30">
        <v>85</v>
      </c>
      <c r="EA16" s="30">
        <v>200</v>
      </c>
      <c r="EB16" s="30" t="s">
        <v>35</v>
      </c>
      <c r="EC16" s="30">
        <v>66</v>
      </c>
      <c r="ED16" s="30">
        <v>79</v>
      </c>
      <c r="EE16" s="30">
        <v>85</v>
      </c>
      <c r="EF16" s="30">
        <v>100</v>
      </c>
      <c r="EG16" s="31" t="s">
        <v>36</v>
      </c>
      <c r="EH16" s="31">
        <v>58</v>
      </c>
      <c r="EI16" s="31">
        <v>70</v>
      </c>
      <c r="EJ16" s="31">
        <v>90</v>
      </c>
      <c r="EK16" s="31">
        <v>200</v>
      </c>
      <c r="EL16" s="31" t="s">
        <v>49</v>
      </c>
      <c r="EM16" s="31">
        <v>66</v>
      </c>
      <c r="EN16" s="31">
        <v>79</v>
      </c>
      <c r="EO16" s="31">
        <v>90</v>
      </c>
      <c r="EP16" s="31">
        <v>100</v>
      </c>
      <c r="EQ16" s="31" t="s">
        <v>37</v>
      </c>
      <c r="ER16" s="31">
        <v>66</v>
      </c>
      <c r="ES16" s="31">
        <v>79</v>
      </c>
      <c r="ET16" s="31">
        <v>85</v>
      </c>
      <c r="EU16" s="31">
        <v>200</v>
      </c>
      <c r="EV16" s="31" t="s">
        <v>37</v>
      </c>
      <c r="EW16" s="31">
        <v>66</v>
      </c>
      <c r="EX16" s="31">
        <v>79</v>
      </c>
      <c r="EY16" s="31">
        <v>85</v>
      </c>
      <c r="EZ16" s="31">
        <v>100</v>
      </c>
      <c r="FA16" s="30">
        <v>15</v>
      </c>
      <c r="FB16" s="30">
        <v>100</v>
      </c>
      <c r="FC16" s="32" t="s">
        <v>72</v>
      </c>
      <c r="FD16" s="402"/>
      <c r="FE16" s="402"/>
      <c r="FF16" s="30"/>
      <c r="FG16" s="30"/>
      <c r="FH16" s="13"/>
      <c r="FI16" s="39" t="s">
        <v>66</v>
      </c>
      <c r="FJ16" s="13"/>
      <c r="FK16" s="55" t="s">
        <v>151</v>
      </c>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row>
    <row r="17" spans="1:756" ht="12" customHeight="1" thickBot="1">
      <c r="A17" s="1"/>
      <c r="B17" s="6"/>
      <c r="C17" s="4"/>
      <c r="D17" s="4"/>
      <c r="E17" s="409"/>
      <c r="F17" s="4"/>
      <c r="G17" s="4"/>
      <c r="H17" s="4"/>
      <c r="I17" s="4"/>
      <c r="J17" s="4"/>
      <c r="K17" s="4"/>
      <c r="L17" s="4"/>
      <c r="M17" s="4"/>
      <c r="N17" s="4"/>
      <c r="O17" s="4"/>
      <c r="P17" s="4"/>
      <c r="Q17" s="2317" t="str">
        <f>IF(BZ63="未","",IF(Q18&lt;=1.3*AA63/C63,"敷地面積過小",""))</f>
        <v/>
      </c>
      <c r="R17" s="2317"/>
      <c r="S17" s="2317"/>
      <c r="T17" s="2317"/>
      <c r="U17" s="2317"/>
      <c r="V17" s="2317"/>
      <c r="W17" s="2317"/>
      <c r="X17" s="4"/>
      <c r="Y17" s="4"/>
      <c r="Z17" s="4"/>
      <c r="AA17" s="4"/>
      <c r="AB17" s="4"/>
      <c r="AC17" s="4"/>
      <c r="AD17" s="4"/>
      <c r="AE17" s="4"/>
      <c r="AF17" s="4"/>
      <c r="AG17" s="4"/>
      <c r="AH17" s="4"/>
      <c r="AI17" s="4"/>
      <c r="AJ17" s="4"/>
      <c r="AK17" s="4"/>
      <c r="AL17" s="4"/>
      <c r="AM17" s="4"/>
      <c r="AN17" s="4"/>
      <c r="AO17" s="4"/>
      <c r="AP17" s="4"/>
      <c r="AQ17" s="4"/>
      <c r="AR17" s="4"/>
      <c r="AS17" s="4"/>
      <c r="AT17" s="40" t="str">
        <f>IF(BZ17="No","┗","")</f>
        <v/>
      </c>
      <c r="AU17" s="40" t="str">
        <f>IF(BZ17="No","━","")</f>
        <v/>
      </c>
      <c r="AV17" s="2318" t="str">
        <f>IF(BZ17="No","選択した防火対象物は積算対象外です。","")</f>
        <v/>
      </c>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4"/>
      <c r="BR17" s="4"/>
      <c r="BS17" s="4"/>
      <c r="BT17" s="4"/>
      <c r="BU17" s="4"/>
      <c r="BV17" s="4"/>
      <c r="BW17" s="4"/>
      <c r="BX17" s="4"/>
      <c r="BY17" s="4"/>
      <c r="BZ17" s="41" t="str">
        <f>IF(OR(AS16="(5) ロ",AS16="(9)",AS16="( 11)",AS16="(12)ロ",AS16="( 17)",AS16="( 18)"),"No","")</f>
        <v/>
      </c>
      <c r="CA17" s="4"/>
      <c r="CB17" s="7"/>
      <c r="CC17" s="9"/>
      <c r="CD17" s="2269">
        <f>IF(BH15="北海道",0,IF(BH15="東北",2,IF(BH15="関東",4,IF(Top!BH15="中部",6,IF(BH15="近畿",8,IF(BH15="北陸",10,IF(BH15="中国",12,IF(BH15="四国",14,IF(BH15="九州",16,IF(BH15="沖縄",18))))))))))</f>
        <v>8</v>
      </c>
      <c r="CE17" s="2270"/>
      <c r="CF17" s="9"/>
      <c r="CG17" s="9"/>
      <c r="CH17" s="9"/>
      <c r="CI17" s="9"/>
      <c r="CJ17" s="9"/>
      <c r="CK17" s="9"/>
      <c r="CL17" s="9"/>
      <c r="CM17" s="9"/>
      <c r="CN17" s="9"/>
      <c r="CO17" s="9"/>
      <c r="CP17" s="9"/>
      <c r="CQ17" s="9"/>
      <c r="CR17" s="9"/>
      <c r="CS17" s="9"/>
      <c r="CT17" s="9"/>
      <c r="CU17" s="9"/>
      <c r="CV17" s="9"/>
      <c r="CW17" s="9"/>
      <c r="CX17" s="9"/>
      <c r="CY17" s="9"/>
      <c r="CZ17" s="9"/>
      <c r="DA17" s="33"/>
      <c r="DB17" s="33"/>
      <c r="DC17" s="24" t="s">
        <v>73</v>
      </c>
      <c r="DD17" s="397" t="s">
        <v>74</v>
      </c>
      <c r="DE17" s="25" t="s">
        <v>30</v>
      </c>
      <c r="DF17" s="26">
        <v>60</v>
      </c>
      <c r="DG17" s="26">
        <v>150</v>
      </c>
      <c r="DH17" s="27">
        <f t="shared" si="0"/>
        <v>40</v>
      </c>
      <c r="DI17" s="28">
        <v>40</v>
      </c>
      <c r="DJ17" s="28" t="s">
        <v>31</v>
      </c>
      <c r="DK17" s="28" t="s">
        <v>75</v>
      </c>
      <c r="DL17" s="29">
        <v>3</v>
      </c>
      <c r="DM17" s="30" t="s">
        <v>76</v>
      </c>
      <c r="DN17" s="30">
        <v>45</v>
      </c>
      <c r="DO17" s="30">
        <v>66</v>
      </c>
      <c r="DP17" s="30">
        <v>100</v>
      </c>
      <c r="DQ17" s="30">
        <v>750</v>
      </c>
      <c r="DR17" s="30" t="s">
        <v>57</v>
      </c>
      <c r="DS17" s="30">
        <v>66</v>
      </c>
      <c r="DT17" s="30">
        <v>79</v>
      </c>
      <c r="DU17" s="30">
        <v>100</v>
      </c>
      <c r="DV17" s="30">
        <v>150</v>
      </c>
      <c r="DW17" s="30" t="s">
        <v>77</v>
      </c>
      <c r="DX17" s="30">
        <v>54</v>
      </c>
      <c r="DY17" s="30">
        <v>70</v>
      </c>
      <c r="DZ17" s="30">
        <v>90</v>
      </c>
      <c r="EA17" s="30">
        <v>750</v>
      </c>
      <c r="EB17" s="30" t="s">
        <v>35</v>
      </c>
      <c r="EC17" s="30">
        <v>66</v>
      </c>
      <c r="ED17" s="30">
        <v>79</v>
      </c>
      <c r="EE17" s="30">
        <v>90</v>
      </c>
      <c r="EF17" s="30">
        <v>100</v>
      </c>
      <c r="EG17" s="31" t="s">
        <v>42</v>
      </c>
      <c r="EH17" s="31">
        <v>66</v>
      </c>
      <c r="EI17" s="31">
        <v>79</v>
      </c>
      <c r="EJ17" s="31">
        <v>100</v>
      </c>
      <c r="EK17" s="31">
        <v>200</v>
      </c>
      <c r="EL17" s="31" t="s">
        <v>37</v>
      </c>
      <c r="EM17" s="31">
        <v>66</v>
      </c>
      <c r="EN17" s="31">
        <v>79</v>
      </c>
      <c r="EO17" s="31">
        <v>100</v>
      </c>
      <c r="EP17" s="31">
        <v>150</v>
      </c>
      <c r="EQ17" s="31" t="s">
        <v>42</v>
      </c>
      <c r="ER17" s="31">
        <v>66</v>
      </c>
      <c r="ES17" s="31">
        <v>79</v>
      </c>
      <c r="ET17" s="31">
        <v>90</v>
      </c>
      <c r="EU17" s="31">
        <v>200</v>
      </c>
      <c r="EV17" s="31" t="s">
        <v>37</v>
      </c>
      <c r="EW17" s="31">
        <v>66</v>
      </c>
      <c r="EX17" s="31">
        <v>79</v>
      </c>
      <c r="EY17" s="31">
        <v>90</v>
      </c>
      <c r="EZ17" s="31">
        <v>100</v>
      </c>
      <c r="FA17" s="30">
        <v>10</v>
      </c>
      <c r="FB17" s="30">
        <v>50</v>
      </c>
      <c r="FC17" s="32" t="s">
        <v>73</v>
      </c>
      <c r="FD17" s="402"/>
      <c r="FE17" s="402"/>
      <c r="FF17" s="30"/>
      <c r="FG17" s="30"/>
      <c r="FH17" s="13"/>
      <c r="FI17" s="39" t="s">
        <v>78</v>
      </c>
      <c r="FJ17" s="13"/>
      <c r="FK17" s="55" t="s">
        <v>154</v>
      </c>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row>
    <row r="18" spans="1:756" ht="12" customHeight="1" thickBot="1">
      <c r="A18" s="1"/>
      <c r="B18" s="42"/>
      <c r="C18" s="2319" t="s">
        <v>2301</v>
      </c>
      <c r="D18" s="2320"/>
      <c r="E18" s="2320"/>
      <c r="F18" s="2320"/>
      <c r="G18" s="2320"/>
      <c r="H18" s="2320"/>
      <c r="I18" s="2320"/>
      <c r="J18" s="2320"/>
      <c r="K18" s="2320"/>
      <c r="L18" s="2320"/>
      <c r="M18" s="2320"/>
      <c r="N18" s="2320"/>
      <c r="O18" s="2320"/>
      <c r="P18" s="2320"/>
      <c r="Q18" s="2323">
        <v>7000</v>
      </c>
      <c r="R18" s="2324"/>
      <c r="S18" s="2324"/>
      <c r="T18" s="2324"/>
      <c r="U18" s="2324"/>
      <c r="V18" s="2324"/>
      <c r="W18" s="2325"/>
      <c r="X18" s="2271" t="s">
        <v>79</v>
      </c>
      <c r="Y18" s="2272"/>
      <c r="Z18" s="2272"/>
      <c r="AA18" s="2273"/>
      <c r="AB18" s="2274">
        <v>1.4</v>
      </c>
      <c r="AC18" s="2275"/>
      <c r="AD18" s="2275"/>
      <c r="AE18" s="2276"/>
      <c r="AF18" s="4"/>
      <c r="AG18" s="1847" t="s">
        <v>86</v>
      </c>
      <c r="AH18" s="1848"/>
      <c r="AI18" s="1848"/>
      <c r="AJ18" s="1849"/>
      <c r="AK18" s="4"/>
      <c r="AL18" s="4"/>
      <c r="AM18" s="4"/>
      <c r="AN18" s="1746" t="str">
        <f>IF(AR18="","準耐火",AR18)</f>
        <v>耐 火</v>
      </c>
      <c r="AO18" s="1747"/>
      <c r="AP18" s="1747"/>
      <c r="AQ18" s="1747"/>
      <c r="AR18" s="2292" t="s">
        <v>2232</v>
      </c>
      <c r="AS18" s="2293"/>
      <c r="AT18" s="2293"/>
      <c r="AU18" s="2293"/>
      <c r="AV18" s="2294"/>
      <c r="AW18" s="4"/>
      <c r="AX18" s="4"/>
      <c r="AY18" s="2311" t="s">
        <v>2302</v>
      </c>
      <c r="AZ18" s="2311"/>
      <c r="BA18" s="2311"/>
      <c r="BB18" s="2311"/>
      <c r="BC18" s="2311"/>
      <c r="BD18" s="2311"/>
      <c r="BE18" s="2311"/>
      <c r="BF18" s="2312">
        <f>IF(BZ63="未","",100*CI63/Q18)</f>
        <v>54.514285714285712</v>
      </c>
      <c r="BG18" s="2313"/>
      <c r="BH18" s="2313"/>
      <c r="BI18" s="2313"/>
      <c r="BJ18" s="2313"/>
      <c r="BK18" s="2313"/>
      <c r="BL18" s="2314"/>
      <c r="BM18" s="2311" t="s">
        <v>80</v>
      </c>
      <c r="BN18" s="2311"/>
      <c r="BO18" s="2311"/>
      <c r="BP18" s="2311"/>
      <c r="BQ18" s="2311"/>
      <c r="BR18" s="2311"/>
      <c r="BS18" s="2311"/>
      <c r="BT18" s="2315">
        <f>IF(BZ63="未","",100*AA63/Q18)</f>
        <v>406.17142857142858</v>
      </c>
      <c r="BU18" s="2315"/>
      <c r="BV18" s="2315"/>
      <c r="BW18" s="2315"/>
      <c r="BX18" s="2315"/>
      <c r="BY18" s="2315"/>
      <c r="BZ18" s="2315"/>
      <c r="CA18" s="2315"/>
      <c r="CB18" s="7"/>
      <c r="CC18" s="9"/>
      <c r="CD18" s="9"/>
      <c r="CE18" s="9"/>
      <c r="CF18" s="9"/>
      <c r="CG18" s="9"/>
      <c r="CH18" s="9"/>
      <c r="CI18" s="9"/>
      <c r="CJ18" s="9"/>
      <c r="CK18" s="9"/>
      <c r="CL18" s="9"/>
      <c r="CM18" s="9"/>
      <c r="CN18" s="9"/>
      <c r="CO18" s="9"/>
      <c r="CP18" s="9"/>
      <c r="CQ18" s="9"/>
      <c r="CR18" s="9"/>
      <c r="CS18" s="9"/>
      <c r="CT18" s="9"/>
      <c r="CU18" s="9"/>
      <c r="CV18" s="9"/>
      <c r="CW18" s="9"/>
      <c r="CX18" s="9"/>
      <c r="CY18" s="9"/>
      <c r="CZ18" s="9"/>
      <c r="DA18" s="33"/>
      <c r="DB18" s="33"/>
      <c r="DC18" s="24" t="s">
        <v>81</v>
      </c>
      <c r="DD18" s="397" t="s">
        <v>82</v>
      </c>
      <c r="DE18" s="25" t="s">
        <v>30</v>
      </c>
      <c r="DF18" s="26">
        <v>60</v>
      </c>
      <c r="DG18" s="26">
        <v>150</v>
      </c>
      <c r="DH18" s="27">
        <f t="shared" si="0"/>
        <v>40</v>
      </c>
      <c r="DI18" s="28">
        <v>20</v>
      </c>
      <c r="DJ18" s="28" t="s">
        <v>31</v>
      </c>
      <c r="DK18" s="28" t="s">
        <v>75</v>
      </c>
      <c r="DL18" s="29">
        <v>3</v>
      </c>
      <c r="DM18" s="30" t="s">
        <v>76</v>
      </c>
      <c r="DN18" s="30">
        <v>45</v>
      </c>
      <c r="DO18" s="30">
        <v>66</v>
      </c>
      <c r="DP18" s="30">
        <v>100</v>
      </c>
      <c r="DQ18" s="30">
        <v>750</v>
      </c>
      <c r="DR18" s="30" t="s">
        <v>57</v>
      </c>
      <c r="DS18" s="30">
        <v>66</v>
      </c>
      <c r="DT18" s="30">
        <v>79</v>
      </c>
      <c r="DU18" s="30">
        <v>100</v>
      </c>
      <c r="DV18" s="30">
        <v>150</v>
      </c>
      <c r="DW18" s="30" t="s">
        <v>77</v>
      </c>
      <c r="DX18" s="30">
        <v>54</v>
      </c>
      <c r="DY18" s="30">
        <v>70</v>
      </c>
      <c r="DZ18" s="30">
        <v>90</v>
      </c>
      <c r="EA18" s="30">
        <v>750</v>
      </c>
      <c r="EB18" s="30" t="s">
        <v>35</v>
      </c>
      <c r="EC18" s="30">
        <v>66</v>
      </c>
      <c r="ED18" s="30">
        <v>79</v>
      </c>
      <c r="EE18" s="30">
        <v>90</v>
      </c>
      <c r="EF18" s="30">
        <v>100</v>
      </c>
      <c r="EG18" s="31" t="s">
        <v>42</v>
      </c>
      <c r="EH18" s="31">
        <v>66</v>
      </c>
      <c r="EI18" s="31">
        <v>79</v>
      </c>
      <c r="EJ18" s="31">
        <v>100</v>
      </c>
      <c r="EK18" s="31">
        <v>200</v>
      </c>
      <c r="EL18" s="31" t="s">
        <v>37</v>
      </c>
      <c r="EM18" s="31">
        <v>66</v>
      </c>
      <c r="EN18" s="31">
        <v>79</v>
      </c>
      <c r="EO18" s="31">
        <v>100</v>
      </c>
      <c r="EP18" s="31">
        <v>150</v>
      </c>
      <c r="EQ18" s="31" t="s">
        <v>42</v>
      </c>
      <c r="ER18" s="31">
        <v>66</v>
      </c>
      <c r="ES18" s="31">
        <v>79</v>
      </c>
      <c r="ET18" s="31">
        <v>90</v>
      </c>
      <c r="EU18" s="31">
        <v>200</v>
      </c>
      <c r="EV18" s="31" t="s">
        <v>37</v>
      </c>
      <c r="EW18" s="31">
        <v>66</v>
      </c>
      <c r="EX18" s="31">
        <v>79</v>
      </c>
      <c r="EY18" s="31">
        <v>90</v>
      </c>
      <c r="EZ18" s="31">
        <v>100</v>
      </c>
      <c r="FA18" s="30">
        <v>10</v>
      </c>
      <c r="FB18" s="30">
        <v>50</v>
      </c>
      <c r="FC18" s="32" t="s">
        <v>83</v>
      </c>
      <c r="FD18" s="402"/>
      <c r="FE18" s="402"/>
      <c r="FF18" s="30"/>
      <c r="FG18" s="30"/>
      <c r="FH18" s="13"/>
      <c r="FI18" s="39" t="s">
        <v>84</v>
      </c>
      <c r="FJ18" s="13"/>
      <c r="FK18" s="55" t="s">
        <v>159</v>
      </c>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row>
    <row r="19" spans="1:756" ht="11.25" customHeight="1" thickBot="1">
      <c r="A19" s="1"/>
      <c r="B19" s="42"/>
      <c r="C19" s="2321"/>
      <c r="D19" s="2322"/>
      <c r="E19" s="2322"/>
      <c r="F19" s="2322"/>
      <c r="G19" s="2322"/>
      <c r="H19" s="2322"/>
      <c r="I19" s="2322"/>
      <c r="J19" s="2322"/>
      <c r="K19" s="2322"/>
      <c r="L19" s="2322"/>
      <c r="M19" s="2322"/>
      <c r="N19" s="2322"/>
      <c r="O19" s="2322"/>
      <c r="P19" s="2322"/>
      <c r="Q19" s="2326"/>
      <c r="R19" s="2327"/>
      <c r="S19" s="2327"/>
      <c r="T19" s="2327"/>
      <c r="U19" s="2327"/>
      <c r="V19" s="2327"/>
      <c r="W19" s="2328"/>
      <c r="X19" s="2287" t="s">
        <v>1008</v>
      </c>
      <c r="Y19" s="2287"/>
      <c r="Z19" s="2287"/>
      <c r="AA19" s="2288"/>
      <c r="AB19" s="2289" t="str">
        <f>IF(AB18="","","A")</f>
        <v>A</v>
      </c>
      <c r="AC19" s="2290"/>
      <c r="AD19" s="2290"/>
      <c r="AE19" s="2291"/>
      <c r="AF19" s="4"/>
      <c r="AG19" s="1847" t="s">
        <v>1993</v>
      </c>
      <c r="AH19" s="1848"/>
      <c r="AI19" s="1848"/>
      <c r="AJ19" s="1849"/>
      <c r="AK19" s="4"/>
      <c r="AL19" s="4"/>
      <c r="AM19" s="4"/>
      <c r="AN19" s="1748" t="s">
        <v>2070</v>
      </c>
      <c r="AO19" s="1749"/>
      <c r="AP19" s="1749"/>
      <c r="AQ19" s="1749"/>
      <c r="AR19" s="2295"/>
      <c r="AS19" s="2296"/>
      <c r="AT19" s="2296"/>
      <c r="AU19" s="2296"/>
      <c r="AV19" s="2297"/>
      <c r="AW19" s="4"/>
      <c r="AX19" s="4"/>
      <c r="AY19" s="403"/>
      <c r="AZ19" s="403"/>
      <c r="BA19" s="403"/>
      <c r="BB19" s="403"/>
      <c r="BC19" s="403"/>
      <c r="BD19" s="403"/>
      <c r="BE19" s="403"/>
      <c r="BF19" s="404"/>
      <c r="BG19" s="404"/>
      <c r="BH19" s="404"/>
      <c r="BI19" s="404"/>
      <c r="BJ19" s="404"/>
      <c r="BK19" s="404"/>
      <c r="BL19" s="404"/>
      <c r="BM19" s="403"/>
      <c r="BN19" s="403"/>
      <c r="BO19" s="403"/>
      <c r="BP19" s="403"/>
      <c r="BQ19" s="403"/>
      <c r="BR19" s="403"/>
      <c r="BS19" s="403"/>
      <c r="BT19" s="405"/>
      <c r="BU19" s="405"/>
      <c r="BV19" s="405"/>
      <c r="BW19" s="405"/>
      <c r="BX19" s="405"/>
      <c r="BY19" s="405"/>
      <c r="BZ19" s="405"/>
      <c r="CA19" s="405"/>
      <c r="CB19" s="7"/>
      <c r="CC19" s="9"/>
      <c r="CD19" s="9"/>
      <c r="CE19" s="9"/>
      <c r="CF19" s="9"/>
      <c r="CG19" s="9"/>
      <c r="CH19" s="9"/>
      <c r="CI19" s="9"/>
      <c r="CJ19" s="9"/>
      <c r="CK19" s="9"/>
      <c r="CL19" s="9"/>
      <c r="CM19" s="9"/>
      <c r="CN19" s="9"/>
      <c r="CO19" s="9"/>
      <c r="CP19" s="9"/>
      <c r="CQ19" s="9"/>
      <c r="CR19" s="9"/>
      <c r="CS19" s="9"/>
      <c r="CT19" s="9"/>
      <c r="CU19" s="9"/>
      <c r="CV19" s="9"/>
      <c r="CW19" s="9"/>
      <c r="CX19" s="9"/>
      <c r="CY19" s="9"/>
      <c r="CZ19" s="9"/>
      <c r="DA19" s="33"/>
      <c r="DB19" s="33"/>
      <c r="DC19" s="400"/>
      <c r="DD19" s="401"/>
      <c r="DE19" s="25"/>
      <c r="DF19" s="26"/>
      <c r="DG19" s="26"/>
      <c r="DH19" s="27"/>
      <c r="DI19" s="28"/>
      <c r="DJ19" s="28"/>
      <c r="DK19" s="28"/>
      <c r="DL19" s="29"/>
      <c r="DM19" s="30"/>
      <c r="DN19" s="30"/>
      <c r="DO19" s="30"/>
      <c r="DP19" s="30"/>
      <c r="DQ19" s="30"/>
      <c r="DR19" s="30"/>
      <c r="DS19" s="30"/>
      <c r="DT19" s="30"/>
      <c r="DU19" s="30"/>
      <c r="DV19" s="30"/>
      <c r="DW19" s="30"/>
      <c r="DX19" s="30"/>
      <c r="DY19" s="30"/>
      <c r="DZ19" s="30"/>
      <c r="EA19" s="30"/>
      <c r="EB19" s="30"/>
      <c r="EC19" s="30"/>
      <c r="ED19" s="30"/>
      <c r="EE19" s="30"/>
      <c r="EF19" s="30"/>
      <c r="EG19" s="31"/>
      <c r="EH19" s="31"/>
      <c r="EI19" s="31"/>
      <c r="EJ19" s="31"/>
      <c r="EK19" s="31"/>
      <c r="EL19" s="31"/>
      <c r="EM19" s="31"/>
      <c r="EN19" s="31"/>
      <c r="EO19" s="31"/>
      <c r="EP19" s="31"/>
      <c r="EQ19" s="31"/>
      <c r="ER19" s="31"/>
      <c r="ES19" s="31"/>
      <c r="ET19" s="31"/>
      <c r="EU19" s="31"/>
      <c r="EV19" s="31"/>
      <c r="EW19" s="31"/>
      <c r="EX19" s="31"/>
      <c r="EY19" s="31"/>
      <c r="EZ19" s="31"/>
      <c r="FA19" s="30"/>
      <c r="FB19" s="30"/>
      <c r="FC19" s="402"/>
      <c r="FD19" s="402"/>
      <c r="FE19" s="402"/>
      <c r="FF19" s="30"/>
      <c r="FG19" s="30"/>
      <c r="FH19" s="13"/>
      <c r="FI19" s="39"/>
      <c r="FJ19" s="13"/>
      <c r="FK19" s="55" t="s">
        <v>161</v>
      </c>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row>
    <row r="20" spans="1:756" ht="12" customHeight="1">
      <c r="A20" s="1"/>
      <c r="B20" s="43"/>
      <c r="C20" s="44"/>
      <c r="D20" s="45"/>
      <c r="E20" s="46"/>
      <c r="F20" s="47"/>
      <c r="G20" s="47"/>
      <c r="H20" s="47"/>
      <c r="I20" s="45"/>
      <c r="J20" s="45"/>
      <c r="K20" s="45"/>
      <c r="L20" s="45"/>
      <c r="M20" s="45"/>
      <c r="N20" s="45"/>
      <c r="O20" s="45"/>
      <c r="P20" s="45"/>
      <c r="Q20" s="45"/>
      <c r="R20" s="2258" t="str">
        <f>IF(S24="直天","",IF(AND(O24&lt;&gt;"",S24&gt;=O24-0.15),X20,IF(S26="直天","",IF(AND(O26&lt;&gt;"",S26&gt;=O26-0.15),X20,IF(S28="直天","",IF(AND(O28&lt;&gt;"",S28&gt;=O28-0.15),X20,IF(S30="直天","",IF(AND(O30&lt;&gt;"",S30&gt;=O30-0.15),X20,IF(S32="直天","",IF(AND(O32&lt;&gt;"",S32&gt;=O32-0.15),X20,IF(S34="直天","",IF(AND(O34&lt;&gt;"",S34&gt;=O34-0.15),X20,IF(S36="直天","",IF(AND(O36&lt;&gt;"",S36&gt;=O36-0.15),X20,IF(S38="直天","",IF(AND(O38&lt;&gt;"",S38&gt;=O38-0.15),X20,IF(S40="直天","",IF(AND(O40&lt;&gt;"",S40&gt;=O40-0.15),X20,IF(S42="直天","",IF(AND(O42&lt;&gt;"",S42&gt;=O42-0.15),X20,IF(S44="直天","",IF(AND(O44&lt;&gt;"",S44&gt;=O44-0.15),X20,IF(S46="直天","",IF(AND(O46&lt;&gt;"",S46&gt;=O46-0.15),X20,IF(S48="直天","",IF(AND(O48&lt;&gt;"",S48&gt;=O48-0.15),X20,IF(S50="直天","",IF(AND(O50&lt;&gt;"",S50&gt;=O50-0.15),X20,IF(S52="直天","",IF(AND(O52&lt;&gt;"",S52&gt;=O52-0.15),X20,IF(S54="直天","",IF(AND(O54&lt;&gt;"",S54&gt;=O54-0.15),X20,IF(S56="直天","",IF(AND(O56&lt;&gt;"",S56&gt;=O56-0.15),X20,IF(S58="直天","",IF(AND(O58&lt;&gt;"",S58&gt;=O58-0.15),X20,IF(S60="直天","",IF(AND(O60&lt;&gt;"",S60&gt;=O60-0.15),X20,IF(S62="直天","",IF(AND(O62&lt;&gt;"",S62&gt;=O62-0.15),X20,""))))))))))))))))))))))))))))))))))))))))</f>
        <v/>
      </c>
      <c r="S20" s="2258"/>
      <c r="T20" s="2258"/>
      <c r="U20" s="2258"/>
      <c r="V20" s="2258"/>
      <c r="W20" s="2258"/>
      <c r="X20" s="48" t="s">
        <v>85</v>
      </c>
      <c r="Y20" s="45"/>
      <c r="Z20" s="45"/>
      <c r="AA20" s="729"/>
      <c r="AB20" s="729"/>
      <c r="AC20" s="729"/>
      <c r="AD20" s="45"/>
      <c r="AE20" s="4"/>
      <c r="AF20" s="4"/>
      <c r="AG20" s="4"/>
      <c r="AH20" s="4"/>
      <c r="AI20" s="4"/>
      <c r="AJ20" s="730"/>
      <c r="AK20" s="730"/>
      <c r="AL20" s="730"/>
      <c r="AM20" s="642"/>
      <c r="AN20" s="642"/>
      <c r="AO20" s="45"/>
      <c r="AP20" s="45"/>
      <c r="AQ20" s="45"/>
      <c r="AR20" s="45"/>
      <c r="AS20" s="45"/>
      <c r="AT20" s="45"/>
      <c r="AU20" s="45"/>
      <c r="AV20" s="45"/>
      <c r="AW20" s="45"/>
      <c r="AX20" s="44"/>
      <c r="AY20" s="44"/>
      <c r="AZ20" s="49"/>
      <c r="BA20" s="49"/>
      <c r="BB20" s="49"/>
      <c r="BC20" s="49"/>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1"/>
      <c r="CC20" s="9"/>
      <c r="CD20" s="9"/>
      <c r="CE20" s="9"/>
      <c r="CF20" s="9"/>
      <c r="CG20" s="9"/>
      <c r="CH20" s="9"/>
      <c r="CI20" s="9"/>
      <c r="CJ20" s="9"/>
      <c r="CK20" s="9"/>
      <c r="CL20" s="9"/>
      <c r="CM20" s="9"/>
      <c r="CN20" s="9"/>
      <c r="CO20" s="9"/>
      <c r="CP20" s="9"/>
      <c r="CQ20" s="9"/>
      <c r="CR20" s="9"/>
      <c r="CS20" s="9"/>
      <c r="CT20" s="9"/>
      <c r="CU20" s="9"/>
      <c r="CV20" s="9"/>
      <c r="CW20" s="9"/>
      <c r="CX20" s="9"/>
      <c r="CY20" s="9"/>
      <c r="CZ20" s="9"/>
      <c r="DA20" s="33"/>
      <c r="DB20" s="33"/>
      <c r="DC20" s="52" t="s">
        <v>2021</v>
      </c>
      <c r="DD20" s="53" t="s">
        <v>87</v>
      </c>
      <c r="DE20" s="25" t="s">
        <v>30</v>
      </c>
      <c r="DF20" s="26">
        <v>70</v>
      </c>
      <c r="DG20" s="26">
        <v>300</v>
      </c>
      <c r="DH20" s="27">
        <f>100-DF20</f>
        <v>30</v>
      </c>
      <c r="DI20" s="28">
        <v>40</v>
      </c>
      <c r="DJ20" s="28" t="s">
        <v>31</v>
      </c>
      <c r="DK20" s="28" t="s">
        <v>31</v>
      </c>
      <c r="DL20" s="29">
        <v>5</v>
      </c>
      <c r="DM20" s="30" t="s">
        <v>76</v>
      </c>
      <c r="DN20" s="30">
        <v>45</v>
      </c>
      <c r="DO20" s="30">
        <v>66</v>
      </c>
      <c r="DP20" s="30">
        <v>100</v>
      </c>
      <c r="DQ20" s="30">
        <v>500</v>
      </c>
      <c r="DR20" s="30" t="s">
        <v>88</v>
      </c>
      <c r="DS20" s="30">
        <v>45</v>
      </c>
      <c r="DT20" s="30">
        <v>66</v>
      </c>
      <c r="DU20" s="30">
        <v>100</v>
      </c>
      <c r="DV20" s="30">
        <v>250</v>
      </c>
      <c r="DW20" s="30" t="s">
        <v>34</v>
      </c>
      <c r="DX20" s="30">
        <v>59</v>
      </c>
      <c r="DY20" s="30">
        <v>70</v>
      </c>
      <c r="DZ20" s="30">
        <v>85</v>
      </c>
      <c r="EA20" s="30">
        <v>500</v>
      </c>
      <c r="EB20" s="30" t="s">
        <v>35</v>
      </c>
      <c r="EC20" s="30">
        <v>66</v>
      </c>
      <c r="ED20" s="30">
        <v>79</v>
      </c>
      <c r="EE20" s="30">
        <v>85</v>
      </c>
      <c r="EF20" s="30">
        <v>100</v>
      </c>
      <c r="EG20" s="31" t="s">
        <v>58</v>
      </c>
      <c r="EH20" s="31">
        <v>54</v>
      </c>
      <c r="EI20" s="31">
        <v>70</v>
      </c>
      <c r="EJ20" s="31">
        <v>100</v>
      </c>
      <c r="EK20" s="31">
        <v>450</v>
      </c>
      <c r="EL20" s="31" t="s">
        <v>89</v>
      </c>
      <c r="EM20" s="31">
        <v>66</v>
      </c>
      <c r="EN20" s="31">
        <v>79</v>
      </c>
      <c r="EO20" s="31">
        <v>100</v>
      </c>
      <c r="EP20" s="31">
        <v>250</v>
      </c>
      <c r="EQ20" s="31" t="s">
        <v>42</v>
      </c>
      <c r="ER20" s="31">
        <v>66</v>
      </c>
      <c r="ES20" s="31">
        <v>79</v>
      </c>
      <c r="ET20" s="31">
        <v>85</v>
      </c>
      <c r="EU20" s="31">
        <v>200</v>
      </c>
      <c r="EV20" s="31" t="s">
        <v>37</v>
      </c>
      <c r="EW20" s="31">
        <v>66</v>
      </c>
      <c r="EX20" s="31">
        <v>79</v>
      </c>
      <c r="EY20" s="31">
        <v>85</v>
      </c>
      <c r="EZ20" s="31">
        <v>100</v>
      </c>
      <c r="FA20" s="30">
        <v>15</v>
      </c>
      <c r="FB20" s="30">
        <v>100</v>
      </c>
      <c r="FC20" s="54" t="s">
        <v>90</v>
      </c>
      <c r="FD20" s="623"/>
      <c r="FE20" s="623"/>
      <c r="FF20" s="30"/>
      <c r="FG20" s="30"/>
      <c r="FH20" s="13"/>
      <c r="FJ20" s="13"/>
      <c r="FK20" s="55" t="s">
        <v>163</v>
      </c>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row>
    <row r="21" spans="1:756" ht="12" customHeight="1">
      <c r="A21" s="1"/>
      <c r="B21" s="56" t="str">
        <f>IF(R21="","",A21)</f>
        <v/>
      </c>
      <c r="C21" s="2259" t="s">
        <v>92</v>
      </c>
      <c r="D21" s="2260"/>
      <c r="E21" s="2263" t="s">
        <v>93</v>
      </c>
      <c r="F21" s="2264"/>
      <c r="G21" s="2264"/>
      <c r="H21" s="2265"/>
      <c r="I21" s="2263" t="s">
        <v>948</v>
      </c>
      <c r="J21" s="2264"/>
      <c r="K21" s="2264"/>
      <c r="L21" s="2264"/>
      <c r="M21" s="2264"/>
      <c r="N21" s="2265"/>
      <c r="O21" s="2240" t="s">
        <v>94</v>
      </c>
      <c r="P21" s="2241"/>
      <c r="Q21" s="2241"/>
      <c r="R21" s="2242"/>
      <c r="S21" s="2240" t="s">
        <v>95</v>
      </c>
      <c r="T21" s="2241"/>
      <c r="U21" s="2241"/>
      <c r="V21" s="2242"/>
      <c r="W21" s="2240" t="s">
        <v>96</v>
      </c>
      <c r="X21" s="2241"/>
      <c r="Y21" s="2241"/>
      <c r="Z21" s="2242"/>
      <c r="AA21" s="2240" t="s">
        <v>97</v>
      </c>
      <c r="AB21" s="2241"/>
      <c r="AC21" s="2241"/>
      <c r="AD21" s="2241"/>
      <c r="AE21" s="2241"/>
      <c r="AF21" s="2242"/>
      <c r="AG21" s="2240" t="s">
        <v>98</v>
      </c>
      <c r="AH21" s="2241"/>
      <c r="AI21" s="2241"/>
      <c r="AJ21" s="2241"/>
      <c r="AK21" s="2241"/>
      <c r="AL21" s="2242"/>
      <c r="AM21" s="2237" t="s">
        <v>99</v>
      </c>
      <c r="AN21" s="2238"/>
      <c r="AO21" s="2238"/>
      <c r="AP21" s="2239"/>
      <c r="AQ21" s="2240" t="s">
        <v>100</v>
      </c>
      <c r="AR21" s="2241"/>
      <c r="AS21" s="2241"/>
      <c r="AT21" s="2241"/>
      <c r="AU21" s="2241"/>
      <c r="AV21" s="2242"/>
      <c r="AW21" s="2243" t="s">
        <v>98</v>
      </c>
      <c r="AX21" s="2244"/>
      <c r="AY21" s="2244"/>
      <c r="AZ21" s="2244"/>
      <c r="BA21" s="2244"/>
      <c r="BB21" s="2245"/>
      <c r="BC21" s="2243" t="s">
        <v>100</v>
      </c>
      <c r="BD21" s="2244"/>
      <c r="BE21" s="2244"/>
      <c r="BF21" s="2244"/>
      <c r="BG21" s="2244"/>
      <c r="BH21" s="2245"/>
      <c r="BI21" s="2246" t="s">
        <v>101</v>
      </c>
      <c r="BJ21" s="2247"/>
      <c r="BK21" s="2247"/>
      <c r="BL21" s="2247"/>
      <c r="BM21" s="2247"/>
      <c r="BN21" s="2248"/>
      <c r="BO21" s="2246" t="s">
        <v>102</v>
      </c>
      <c r="BP21" s="2247"/>
      <c r="BQ21" s="2247"/>
      <c r="BR21" s="2247"/>
      <c r="BS21" s="2247"/>
      <c r="BT21" s="2248"/>
      <c r="BU21" s="2240" t="s">
        <v>103</v>
      </c>
      <c r="BV21" s="2241"/>
      <c r="BW21" s="2241"/>
      <c r="BX21" s="2241"/>
      <c r="BY21" s="2242"/>
      <c r="BZ21" s="2285" t="s">
        <v>104</v>
      </c>
      <c r="CA21" s="2286"/>
      <c r="CB21" s="57"/>
      <c r="CC21" s="1982" t="s">
        <v>94</v>
      </c>
      <c r="CD21" s="1993"/>
      <c r="CE21" s="1993"/>
      <c r="CF21" s="1993"/>
      <c r="CG21" s="1993" t="s">
        <v>97</v>
      </c>
      <c r="CH21" s="1993"/>
      <c r="CI21" s="1993"/>
      <c r="CJ21" s="1993"/>
      <c r="CK21" s="1993"/>
      <c r="CL21" s="1993"/>
      <c r="CM21" s="1993"/>
      <c r="CN21" s="1993"/>
      <c r="CO21" s="1993"/>
      <c r="CP21" s="1993"/>
      <c r="CQ21" s="1993"/>
      <c r="CR21" s="1993"/>
      <c r="CS21" s="1993"/>
      <c r="CT21" s="1993"/>
      <c r="CU21" s="1993"/>
      <c r="CV21" s="1993"/>
      <c r="CW21" s="1993"/>
      <c r="CX21" s="1993"/>
      <c r="CY21" s="58"/>
      <c r="CZ21" s="9"/>
      <c r="DA21" s="33"/>
      <c r="DB21" s="33"/>
      <c r="DC21" s="24" t="s">
        <v>105</v>
      </c>
      <c r="DD21" s="397" t="s">
        <v>106</v>
      </c>
      <c r="DE21" s="25" t="s">
        <v>30</v>
      </c>
      <c r="DF21" s="26">
        <v>70</v>
      </c>
      <c r="DG21" s="26">
        <v>50</v>
      </c>
      <c r="DH21" s="27">
        <f t="shared" si="0"/>
        <v>30</v>
      </c>
      <c r="DI21" s="28">
        <v>20</v>
      </c>
      <c r="DJ21" s="28" t="s">
        <v>75</v>
      </c>
      <c r="DK21" s="28" t="s">
        <v>75</v>
      </c>
      <c r="DL21" s="29">
        <v>8</v>
      </c>
      <c r="DM21" s="30" t="s">
        <v>107</v>
      </c>
      <c r="DN21" s="30">
        <v>37</v>
      </c>
      <c r="DO21" s="30">
        <v>66</v>
      </c>
      <c r="DP21" s="30">
        <v>90</v>
      </c>
      <c r="DQ21" s="30">
        <v>300</v>
      </c>
      <c r="DR21" s="30" t="s">
        <v>108</v>
      </c>
      <c r="DS21" s="30">
        <v>66</v>
      </c>
      <c r="DT21" s="30">
        <v>79</v>
      </c>
      <c r="DU21" s="30">
        <v>90</v>
      </c>
      <c r="DV21" s="30">
        <v>100</v>
      </c>
      <c r="DW21" s="30" t="s">
        <v>109</v>
      </c>
      <c r="DX21" s="30">
        <v>59</v>
      </c>
      <c r="DY21" s="30">
        <v>70</v>
      </c>
      <c r="DZ21" s="30">
        <v>85</v>
      </c>
      <c r="EA21" s="30">
        <v>150</v>
      </c>
      <c r="EB21" s="30" t="s">
        <v>110</v>
      </c>
      <c r="EC21" s="30">
        <v>66</v>
      </c>
      <c r="ED21" s="30">
        <v>79</v>
      </c>
      <c r="EE21" s="30">
        <v>85</v>
      </c>
      <c r="EF21" s="30">
        <v>50</v>
      </c>
      <c r="EG21" s="31" t="s">
        <v>111</v>
      </c>
      <c r="EH21" s="31">
        <v>58</v>
      </c>
      <c r="EI21" s="31">
        <v>70</v>
      </c>
      <c r="EJ21" s="31">
        <v>90</v>
      </c>
      <c r="EK21" s="31">
        <v>200</v>
      </c>
      <c r="EL21" s="31" t="s">
        <v>112</v>
      </c>
      <c r="EM21" s="31">
        <v>66</v>
      </c>
      <c r="EN21" s="31">
        <v>79</v>
      </c>
      <c r="EO21" s="31">
        <v>90</v>
      </c>
      <c r="EP21" s="31">
        <v>100</v>
      </c>
      <c r="EQ21" s="31" t="s">
        <v>113</v>
      </c>
      <c r="ER21" s="31">
        <v>66</v>
      </c>
      <c r="ES21" s="31">
        <v>79</v>
      </c>
      <c r="ET21" s="31">
        <v>85</v>
      </c>
      <c r="EU21" s="31">
        <v>150</v>
      </c>
      <c r="EV21" s="31" t="s">
        <v>114</v>
      </c>
      <c r="EW21" s="31">
        <v>66</v>
      </c>
      <c r="EX21" s="31">
        <v>79</v>
      </c>
      <c r="EY21" s="31">
        <v>85</v>
      </c>
      <c r="EZ21" s="31">
        <v>50</v>
      </c>
      <c r="FA21" s="30">
        <v>20</v>
      </c>
      <c r="FB21" s="30">
        <v>100</v>
      </c>
      <c r="FC21" s="32" t="s">
        <v>115</v>
      </c>
      <c r="FD21" s="402"/>
      <c r="FE21" s="402"/>
      <c r="FF21" s="30"/>
      <c r="FG21" s="30"/>
      <c r="FH21" s="13"/>
      <c r="FJ21" s="13"/>
      <c r="FK21" s="55" t="s">
        <v>168</v>
      </c>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row>
    <row r="22" spans="1:756" ht="11.25" customHeight="1">
      <c r="A22" s="59">
        <f>MAX(A24:A62)</f>
        <v>14</v>
      </c>
      <c r="B22" s="56" t="str">
        <f>IF(R22="","",A22)</f>
        <v/>
      </c>
      <c r="C22" s="2261"/>
      <c r="D22" s="2262"/>
      <c r="E22" s="2266"/>
      <c r="F22" s="2267"/>
      <c r="G22" s="2267"/>
      <c r="H22" s="2268"/>
      <c r="I22" s="2266"/>
      <c r="J22" s="2267"/>
      <c r="K22" s="2267"/>
      <c r="L22" s="2267"/>
      <c r="M22" s="2267"/>
      <c r="N22" s="2268"/>
      <c r="O22" s="2234" t="s">
        <v>117</v>
      </c>
      <c r="P22" s="2235"/>
      <c r="Q22" s="2235"/>
      <c r="R22" s="2236"/>
      <c r="S22" s="2234" t="s">
        <v>117</v>
      </c>
      <c r="T22" s="2235"/>
      <c r="U22" s="2235"/>
      <c r="V22" s="2236"/>
      <c r="W22" s="2234" t="s">
        <v>118</v>
      </c>
      <c r="X22" s="2235"/>
      <c r="Y22" s="2235"/>
      <c r="Z22" s="2236"/>
      <c r="AA22" s="2234" t="s">
        <v>119</v>
      </c>
      <c r="AB22" s="2235"/>
      <c r="AC22" s="2235"/>
      <c r="AD22" s="2235"/>
      <c r="AE22" s="2235"/>
      <c r="AF22" s="2236"/>
      <c r="AG22" s="2234" t="s">
        <v>120</v>
      </c>
      <c r="AH22" s="2235"/>
      <c r="AI22" s="2235"/>
      <c r="AJ22" s="2235"/>
      <c r="AK22" s="2235"/>
      <c r="AL22" s="2236"/>
      <c r="AM22" s="2237"/>
      <c r="AN22" s="2238"/>
      <c r="AO22" s="2238"/>
      <c r="AP22" s="2239"/>
      <c r="AQ22" s="2234" t="s">
        <v>120</v>
      </c>
      <c r="AR22" s="2235"/>
      <c r="AS22" s="2235"/>
      <c r="AT22" s="2235"/>
      <c r="AU22" s="2235"/>
      <c r="AV22" s="2236"/>
      <c r="AW22" s="2249" t="s">
        <v>121</v>
      </c>
      <c r="AX22" s="2250"/>
      <c r="AY22" s="2251"/>
      <c r="AZ22" s="2252" t="s">
        <v>60</v>
      </c>
      <c r="BA22" s="2253"/>
      <c r="BB22" s="2254"/>
      <c r="BC22" s="2249" t="s">
        <v>121</v>
      </c>
      <c r="BD22" s="2250"/>
      <c r="BE22" s="2250"/>
      <c r="BF22" s="2255" t="s">
        <v>60</v>
      </c>
      <c r="BG22" s="2256"/>
      <c r="BH22" s="2257"/>
      <c r="BI22" s="2277" t="s">
        <v>122</v>
      </c>
      <c r="BJ22" s="2278"/>
      <c r="BK22" s="2278"/>
      <c r="BL22" s="2279" t="s">
        <v>60</v>
      </c>
      <c r="BM22" s="2256"/>
      <c r="BN22" s="2257"/>
      <c r="BO22" s="2277" t="s">
        <v>122</v>
      </c>
      <c r="BP22" s="2278"/>
      <c r="BQ22" s="2278"/>
      <c r="BR22" s="2279" t="s">
        <v>60</v>
      </c>
      <c r="BS22" s="2256"/>
      <c r="BT22" s="2257"/>
      <c r="BU22" s="2280" t="s">
        <v>123</v>
      </c>
      <c r="BV22" s="2281"/>
      <c r="BW22" s="2281"/>
      <c r="BX22" s="2281"/>
      <c r="BY22" s="2282"/>
      <c r="BZ22" s="2283" t="s">
        <v>124</v>
      </c>
      <c r="CA22" s="2284"/>
      <c r="CB22" s="57"/>
      <c r="CC22" s="886" t="s">
        <v>125</v>
      </c>
      <c r="CD22" s="60">
        <v>1</v>
      </c>
      <c r="CE22" s="60" t="s">
        <v>126</v>
      </c>
      <c r="CF22" s="60" t="s">
        <v>127</v>
      </c>
      <c r="CG22" s="887" t="s">
        <v>125</v>
      </c>
      <c r="CH22" s="887" t="s">
        <v>128</v>
      </c>
      <c r="CI22" s="887">
        <v>1</v>
      </c>
      <c r="CJ22" s="887" t="s">
        <v>129</v>
      </c>
      <c r="CK22" s="887" t="s">
        <v>128</v>
      </c>
      <c r="CL22" s="887">
        <v>2</v>
      </c>
      <c r="CM22" s="887" t="s">
        <v>129</v>
      </c>
      <c r="CN22" s="887" t="s">
        <v>128</v>
      </c>
      <c r="CO22" s="887">
        <v>3</v>
      </c>
      <c r="CP22" s="887" t="s">
        <v>129</v>
      </c>
      <c r="CQ22" s="887" t="s">
        <v>128</v>
      </c>
      <c r="CR22" s="887">
        <v>4</v>
      </c>
      <c r="CS22" s="887" t="s">
        <v>129</v>
      </c>
      <c r="CT22" s="887" t="s">
        <v>128</v>
      </c>
      <c r="CU22" s="887">
        <v>11</v>
      </c>
      <c r="CV22" s="887" t="s">
        <v>129</v>
      </c>
      <c r="CW22" s="887" t="s">
        <v>128</v>
      </c>
      <c r="CX22" s="887" t="s">
        <v>130</v>
      </c>
      <c r="CY22" s="887" t="s">
        <v>131</v>
      </c>
      <c r="CZ22" s="9"/>
      <c r="DA22" s="33"/>
      <c r="DB22" s="33"/>
      <c r="DC22" s="24"/>
      <c r="DD22" s="397" t="s">
        <v>132</v>
      </c>
      <c r="DE22" s="25"/>
      <c r="DF22" s="26">
        <v>80</v>
      </c>
      <c r="DG22" s="26">
        <v>50</v>
      </c>
      <c r="DH22" s="27">
        <f t="shared" si="0"/>
        <v>20</v>
      </c>
      <c r="DI22" s="28">
        <v>20</v>
      </c>
      <c r="DJ22" s="28" t="s">
        <v>75</v>
      </c>
      <c r="DK22" s="28" t="s">
        <v>75</v>
      </c>
      <c r="DL22" s="29">
        <v>25</v>
      </c>
      <c r="DM22" s="30"/>
      <c r="DN22" s="30"/>
      <c r="DO22" s="30"/>
      <c r="DP22" s="30"/>
      <c r="DQ22" s="30"/>
      <c r="DR22" s="30"/>
      <c r="DS22" s="30"/>
      <c r="DT22" s="30"/>
      <c r="DU22" s="30"/>
      <c r="DV22" s="30"/>
      <c r="DW22" s="30"/>
      <c r="DX22" s="30"/>
      <c r="DY22" s="30"/>
      <c r="DZ22" s="30"/>
      <c r="EA22" s="30"/>
      <c r="EB22" s="30"/>
      <c r="EC22" s="30"/>
      <c r="ED22" s="30"/>
      <c r="EE22" s="30"/>
      <c r="EF22" s="30"/>
      <c r="EG22" s="31"/>
      <c r="EH22" s="31"/>
      <c r="EI22" s="31"/>
      <c r="EJ22" s="31"/>
      <c r="EK22" s="31"/>
      <c r="EL22" s="31"/>
      <c r="EM22" s="31"/>
      <c r="EN22" s="31"/>
      <c r="EO22" s="31"/>
      <c r="EP22" s="31"/>
      <c r="EQ22" s="31"/>
      <c r="ER22" s="31"/>
      <c r="ES22" s="31"/>
      <c r="ET22" s="31"/>
      <c r="EU22" s="31"/>
      <c r="EV22" s="31"/>
      <c r="EW22" s="31"/>
      <c r="EX22" s="31"/>
      <c r="EY22" s="31"/>
      <c r="EZ22" s="31"/>
      <c r="FA22" s="30"/>
      <c r="FB22" s="30"/>
      <c r="FC22" s="32"/>
      <c r="FD22" s="402"/>
      <c r="FE22" s="402"/>
      <c r="FF22" s="30"/>
      <c r="FG22" s="30"/>
      <c r="FH22" s="13"/>
      <c r="FI22" s="156"/>
      <c r="FJ22" s="13"/>
      <c r="FK22" s="55" t="s">
        <v>170</v>
      </c>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row>
    <row r="23" spans="1:756" ht="0.75" customHeight="1" thickBot="1">
      <c r="A23" s="59"/>
      <c r="B23" s="56"/>
      <c r="C23" s="594"/>
      <c r="D23" s="602"/>
      <c r="E23" s="601" t="s">
        <v>2026</v>
      </c>
      <c r="F23" s="601"/>
      <c r="G23" s="601"/>
      <c r="H23" s="601"/>
      <c r="I23" s="602"/>
      <c r="J23" s="602"/>
      <c r="K23" s="602"/>
      <c r="L23" s="602"/>
      <c r="M23" s="602"/>
      <c r="N23" s="602"/>
      <c r="O23" s="602"/>
      <c r="P23" s="602"/>
      <c r="Q23" s="602"/>
      <c r="R23" s="602"/>
      <c r="S23" s="602"/>
      <c r="T23" s="602"/>
      <c r="U23" s="602"/>
      <c r="V23" s="602"/>
      <c r="W23" s="602"/>
      <c r="X23" s="602"/>
      <c r="Y23" s="602"/>
      <c r="Z23" s="595"/>
      <c r="AA23" s="2233">
        <f>IF(E24="","",O109)</f>
        <v>3168</v>
      </c>
      <c r="AB23" s="1760"/>
      <c r="AC23" s="1760"/>
      <c r="AD23" s="1760"/>
      <c r="AE23" s="1760"/>
      <c r="AF23" s="1761"/>
      <c r="AG23" s="783"/>
      <c r="AH23" s="784"/>
      <c r="AI23" s="784"/>
      <c r="AJ23" s="784"/>
      <c r="AK23" s="784"/>
      <c r="AL23" s="784"/>
      <c r="AM23" s="784"/>
      <c r="AN23" s="784"/>
      <c r="AO23" s="784"/>
      <c r="AP23" s="784"/>
      <c r="AQ23" s="784"/>
      <c r="AR23" s="784"/>
      <c r="AS23" s="784"/>
      <c r="AT23" s="784"/>
      <c r="AU23" s="784"/>
      <c r="AV23" s="784"/>
      <c r="AW23" s="784"/>
      <c r="AX23" s="784"/>
      <c r="AY23" s="784"/>
      <c r="AZ23" s="784"/>
      <c r="BA23" s="784"/>
      <c r="BB23" s="784"/>
      <c r="BC23" s="784"/>
      <c r="BD23" s="784"/>
      <c r="BE23" s="784"/>
      <c r="BF23" s="784"/>
      <c r="BG23" s="784"/>
      <c r="BH23" s="784"/>
      <c r="BI23" s="599"/>
      <c r="BJ23" s="599"/>
      <c r="BK23" s="599"/>
      <c r="BL23" s="599"/>
      <c r="BM23" s="599"/>
      <c r="BN23" s="599"/>
      <c r="BO23" s="599"/>
      <c r="BP23" s="599"/>
      <c r="BQ23" s="599"/>
      <c r="BR23" s="599"/>
      <c r="BS23" s="599"/>
      <c r="BT23" s="599"/>
      <c r="BU23" s="599"/>
      <c r="BV23" s="599"/>
      <c r="BW23" s="599"/>
      <c r="BX23" s="599"/>
      <c r="BY23" s="599"/>
      <c r="BZ23" s="599"/>
      <c r="CA23" s="600"/>
      <c r="CB23" s="596"/>
      <c r="CC23" s="582"/>
      <c r="CD23" s="582"/>
      <c r="CE23" s="9"/>
      <c r="CF23" s="583"/>
      <c r="CG23" s="584"/>
      <c r="CH23" s="585"/>
      <c r="CI23" s="584"/>
      <c r="CJ23" s="586"/>
      <c r="CK23" s="585"/>
      <c r="CL23" s="584"/>
      <c r="CM23" s="586"/>
      <c r="CN23" s="585"/>
      <c r="CO23" s="584"/>
      <c r="CP23" s="58"/>
      <c r="CQ23" s="585"/>
      <c r="CR23" s="584"/>
      <c r="CS23" s="58"/>
      <c r="CT23" s="585"/>
      <c r="CU23" s="584"/>
      <c r="CV23" s="586"/>
      <c r="CW23" s="58"/>
      <c r="CX23" s="585"/>
      <c r="CY23" s="585"/>
      <c r="CZ23" s="9"/>
      <c r="DA23" s="33"/>
      <c r="DB23" s="33"/>
      <c r="DC23" s="400"/>
      <c r="DD23" s="401"/>
      <c r="DE23" s="587"/>
      <c r="DF23" s="588"/>
      <c r="DG23" s="588"/>
      <c r="DH23" s="589"/>
      <c r="DI23" s="590"/>
      <c r="DJ23" s="590"/>
      <c r="DK23" s="590"/>
      <c r="DL23" s="591"/>
      <c r="DM23" s="592"/>
      <c r="DN23" s="592"/>
      <c r="DO23" s="592"/>
      <c r="DP23" s="592"/>
      <c r="DQ23" s="592"/>
      <c r="DR23" s="592"/>
      <c r="DS23" s="592"/>
      <c r="DT23" s="592"/>
      <c r="DU23" s="592"/>
      <c r="DV23" s="592"/>
      <c r="DW23" s="592"/>
      <c r="DX23" s="592"/>
      <c r="DY23" s="592"/>
      <c r="DZ23" s="592"/>
      <c r="EA23" s="592"/>
      <c r="EB23" s="592"/>
      <c r="EC23" s="592"/>
      <c r="ED23" s="592"/>
      <c r="EE23" s="592"/>
      <c r="EF23" s="592"/>
      <c r="EG23" s="593"/>
      <c r="EH23" s="593"/>
      <c r="EI23" s="593"/>
      <c r="EJ23" s="593"/>
      <c r="EK23" s="593"/>
      <c r="EL23" s="593"/>
      <c r="EM23" s="593"/>
      <c r="EN23" s="593"/>
      <c r="EO23" s="593"/>
      <c r="EP23" s="593"/>
      <c r="EQ23" s="593"/>
      <c r="ER23" s="593"/>
      <c r="ES23" s="593"/>
      <c r="ET23" s="593"/>
      <c r="EU23" s="593"/>
      <c r="EV23" s="593"/>
      <c r="EW23" s="593"/>
      <c r="EX23" s="593"/>
      <c r="EY23" s="593"/>
      <c r="EZ23" s="593"/>
      <c r="FA23" s="592"/>
      <c r="FB23" s="592"/>
      <c r="FC23" s="402"/>
      <c r="FD23" s="402"/>
      <c r="FE23" s="402"/>
      <c r="FF23" s="592"/>
      <c r="FG23" s="592"/>
      <c r="FH23" s="13"/>
      <c r="FI23" s="780"/>
      <c r="FJ23" s="13"/>
      <c r="FK23" s="1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row>
    <row r="24" spans="1:756" ht="12" customHeight="1">
      <c r="A24" s="61">
        <f>IF(OR(E23="",LEFT(E23,2)=" B",E23="  RF",LEFT(E23,1)="P"),0,C24)</f>
        <v>0</v>
      </c>
      <c r="B24" s="62">
        <f>IF(AND(AA23="",E23=""),0,IF(LEFT(E23,2)="PH",0,1))</f>
        <v>1</v>
      </c>
      <c r="C24" s="1773">
        <f>IF(AA23="","",1)</f>
        <v>1</v>
      </c>
      <c r="D24" s="1774"/>
      <c r="E24" s="2224" t="s">
        <v>2026</v>
      </c>
      <c r="F24" s="2225"/>
      <c r="G24" s="2225"/>
      <c r="H24" s="2226"/>
      <c r="I24" s="1778" t="str">
        <f>IF(I109=0,"",I109)</f>
        <v>A</v>
      </c>
      <c r="J24" s="1779"/>
      <c r="K24" s="1780"/>
      <c r="L24" s="1808" t="s">
        <v>2068</v>
      </c>
      <c r="M24" s="1808"/>
      <c r="N24" s="1808"/>
      <c r="O24" s="2227">
        <v>5</v>
      </c>
      <c r="P24" s="2228"/>
      <c r="Q24" s="2228"/>
      <c r="R24" s="2229"/>
      <c r="S24" s="2230" t="s">
        <v>2251</v>
      </c>
      <c r="T24" s="2231"/>
      <c r="U24" s="2231"/>
      <c r="V24" s="2232"/>
      <c r="W24" s="2227"/>
      <c r="X24" s="2228"/>
      <c r="Y24" s="2228"/>
      <c r="Z24" s="2229"/>
      <c r="AA24" s="1762"/>
      <c r="AB24" s="1762"/>
      <c r="AC24" s="1762"/>
      <c r="AD24" s="1762"/>
      <c r="AE24" s="1762"/>
      <c r="AF24" s="1763"/>
      <c r="AG24" s="1770">
        <f>IF(OR($U$11="No",C24=""),"",IF(AM24&lt;&gt;"",AM24,IF(LEFT(E24,2)="PH","",IF(BV24&lt;&gt;"",VLOOKUP(BV24,令別表,4,FALSE)*AA23/100,IF(ISNA(VLOOKUP($AS$16,令別表,4,FALSE)),"",IF(VLOOKUP($AS$16,令別表,4,FALSE)*AA23/100=0,"",VLOOKUP($AS$16,令別表,4,FALSE)*AA23/100))))))</f>
        <v>2534.4</v>
      </c>
      <c r="AH24" s="1771"/>
      <c r="AI24" s="1771"/>
      <c r="AJ24" s="1771"/>
      <c r="AK24" s="1771"/>
      <c r="AL24" s="1772"/>
      <c r="AM24" s="1787"/>
      <c r="AN24" s="1788"/>
      <c r="AO24" s="1788"/>
      <c r="AP24" s="1789"/>
      <c r="AQ24" s="1764">
        <f>IF(E24="","",IF(AG24="",AA23,IF(AA23="","",AA23-AG24)))</f>
        <v>633.59999999999991</v>
      </c>
      <c r="AR24" s="1765"/>
      <c r="AS24" s="1765"/>
      <c r="AT24" s="1765"/>
      <c r="AU24" s="1765"/>
      <c r="AV24" s="1766"/>
      <c r="AW24" s="1790">
        <f>IF(C24="","",IF(AZ24&lt;&gt;"",AZ24,IF(LEFT(E23,2)="PH","",IF(BV24&lt;&gt;"",1+INT(AG24/VLOOKUP(BV24,令別表,5,FALSE)),IF(ISNA(VLOOKUP($AS$16,令別表,5,FALSE)),"",IF(1+INT(AG24/VLOOKUP($AS$16,令別表,5,FALSE))="","",1+INT(AG24/VLOOKUP($AS$16,令別表,5,FALSE))))))))</f>
        <v>34</v>
      </c>
      <c r="AX24" s="1791"/>
      <c r="AY24" s="1792"/>
      <c r="AZ24" s="1793"/>
      <c r="BA24" s="1794"/>
      <c r="BB24" s="1795"/>
      <c r="BC24" s="1790">
        <f>IF(E24="","",IF(E24="","",IF(BF24&lt;&gt;"",BF24,IF(BV24&lt;&gt;"",1+INT(AQ24/VLOOKUP(BV24,令別表,7,FALSE)),IF(ISNA(VLOOKUP($AS$16,令別表,7,FALSE)),"",IF(1+INT(AQ24/VLOOKUP($AS$16,令別表,7,FALSE))="","",1+INT(AQ24/VLOOKUP($AS$16,令別表,7,FALSE))))))))</f>
        <v>32</v>
      </c>
      <c r="BD24" s="1791"/>
      <c r="BE24" s="1791"/>
      <c r="BF24" s="1793"/>
      <c r="BG24" s="1794"/>
      <c r="BH24" s="1795"/>
      <c r="BI24" s="2186" t="str">
        <f>IF(OR(AA23="",E23=""),"",IF(LEFT(E23,2)=" B","無窓",IF(BL24&lt;&gt;"",BL24,IF(BV24&lt;&gt;"",VLOOKUP(BV24,令別表,8,FALSE),IF(OR(LEFT(E23,2)=" B",LEFT(E23,2)="PH"),"無窓",IF(LEFT(E23,2)&lt;&gt;"",VLOOKUP($AS$16,令別表,8,FALSE)))))))</f>
        <v>無窓</v>
      </c>
      <c r="BJ24" s="2187"/>
      <c r="BK24" s="2187"/>
      <c r="BL24" s="2215"/>
      <c r="BM24" s="2216"/>
      <c r="BN24" s="2217"/>
      <c r="BO24" s="2161" t="str">
        <f>IF(OR(E23="",AA23=""),"",IF(LEFT(E23,2)=" B","無窓",IF(BR24&lt;&gt;"",BR24,IF(BV24&lt;&gt;"",VLOOKUP(BV24,令別表,8,FALSE),IF(OR(LEFT(E23,2)=" B",LEFT(E23,2)="PH"),"無窓",IF(LEFT(E23,2)&lt;&gt;"",VLOOKUP($AS$16,令別表,9,FALSE)))))))</f>
        <v>無窓</v>
      </c>
      <c r="BP24" s="2162"/>
      <c r="BQ24" s="2163"/>
      <c r="BR24" s="2215"/>
      <c r="BS24" s="2216"/>
      <c r="BT24" s="2217"/>
      <c r="BU24" s="819" t="str">
        <f>IF(AND(LEFT($AS$16,4)="(16)",E24&lt;&gt;"",BV24=""),"■","")</f>
        <v/>
      </c>
      <c r="BV24" s="2221" t="s">
        <v>1982</v>
      </c>
      <c r="BW24" s="2222"/>
      <c r="BX24" s="2222"/>
      <c r="BY24" s="2223"/>
      <c r="BZ24" s="1810" t="str">
        <f>IF(E24="","",IF(AND(BU24="",BV24="",CB24=1),"済",IF(AND(BU24="",BV24&lt;&gt;"",CB24=1),"済","未")))</f>
        <v>済</v>
      </c>
      <c r="CA24" s="1811"/>
      <c r="CB24" s="659">
        <f>IF(AND(LEFT(E24,4)="  1F",O24&lt;&gt;"",S24&lt;&gt;"",W24&lt;&gt;"",AA23&lt;&gt;""),1,IF(AND(E24&lt;&gt;"  1F",O24&lt;&gt;"",S24&lt;&gt;"",AA23&lt;&gt;""),1,0))</f>
        <v>1</v>
      </c>
      <c r="CC24" s="65">
        <f>IF(C24="","",IF(LEFT(E24,2)=" B",O24,""))</f>
        <v>5</v>
      </c>
      <c r="CD24" s="66" t="str">
        <f>IF(C24="","",IF(E24="  1F",O24,""))</f>
        <v/>
      </c>
      <c r="CE24" s="66" t="str">
        <f>IF(OR(C24="",E24="  1F"),"",IF(AND(LEFT(E24,2)&lt;&gt;" B",LEFT(E24,1)&lt;&gt;"P"),O24,""))</f>
        <v/>
      </c>
      <c r="CF24" s="64" t="str">
        <f>IF(C24="","",IF(LEFT(E24,1)="P",O24,""))</f>
        <v/>
      </c>
      <c r="CG24" s="65" t="str">
        <f>IF(LEFT(E24,2)=" B",E24,"")</f>
        <v xml:space="preserve"> B2F</v>
      </c>
      <c r="CH24" s="64" t="str">
        <f>IF(BV24="","",IF(LEFT(E24,2)=" B",BV24,""))</f>
        <v>( 15)</v>
      </c>
      <c r="CI24" s="65" t="str">
        <f>IF(E24="  1F",AA23,"")</f>
        <v/>
      </c>
      <c r="CJ24" s="630">
        <f>IF(OR(LEFT(E24,2)=" B",LEFT(E24,2)="PH"),0,IF(CI24="",0,IF(AND(BI24="無窓",BO24="無窓"),3,IF(BI24="無窓",1,IF(BO24="無窓",2,0)))))</f>
        <v>0</v>
      </c>
      <c r="CK24" s="64" t="str">
        <f>IF(BV24="","",IF(E24="  1F",BV24,""))</f>
        <v/>
      </c>
      <c r="CL24" s="65" t="str">
        <f>IF(E24="  2F",E24,"")</f>
        <v/>
      </c>
      <c r="CM24" s="630">
        <f>IF(OR(LEFT(E24,2)=" B",LEFT(E24,2)="PH"),0,IF(CL24="",0,IF(AND(BI24="無窓",BO24="無窓"),3,IF(BI24="無窓",1,IF(BO24="無窓",2,0)))))</f>
        <v>0</v>
      </c>
      <c r="CN24" s="64" t="str">
        <f>IF(BV24="","",IF(E24="  2F",BV24,""))</f>
        <v/>
      </c>
      <c r="CO24" s="65" t="str">
        <f>IF(E24="  3F",AA23,"")</f>
        <v/>
      </c>
      <c r="CP24" s="630">
        <f>IF(OR(LEFT(E24,2)=" B",LEFT(E24,2)="PH"),0,IF(CO24="",0,IF(AND(BI24="無窓",BO24="無窓"),3,IF(BI24="無窓",1,IF(BO24="無窓",2,0)))))</f>
        <v>0</v>
      </c>
      <c r="CQ24" s="64" t="str">
        <f>IF(BV24="","",IF(E24="  3F",BV24,""))</f>
        <v/>
      </c>
      <c r="CR24" s="633" t="str">
        <f>IF(OR(E24="  4F",E24="  5F",E24="  6F",E24="  7F",E24="  8F",E24="  9F",E24=" 10F"),AA23,"")</f>
        <v/>
      </c>
      <c r="CS24" s="631">
        <f>IF(E24="",0,IF(OR(LEFT(E24,2)=" B",LEFT(E24,2)="PH"),0,IF(OR(VALUE(LEFT(E24,3))&lt;4,VALUE(LEFT(E24,3))&gt;10),0,IF(AND(BI24="無窓",BO24="無窓"),3,IF(BI24="無窓",1,IF(BO24="無窓",2,0))))))</f>
        <v>0</v>
      </c>
      <c r="CT24" s="70" t="str">
        <f>IF(OR(E24="",LEFT(E24,2)=" B",LEFT(E24,1)="P"),"",IF(AND(VALUE(LEFT(E24,3))&gt;=4,VALUE(LEFT(E24,3))&lt;11),BV24,""))</f>
        <v/>
      </c>
      <c r="CU24" s="69" t="str">
        <f>IF(OR(LEFT(E24,2)=" B",LEFT(E24,2)="PH",E24=""),"",IF(VALUE(LEFT(E24,3))&gt;10,AA23,""))</f>
        <v/>
      </c>
      <c r="CV24" s="637">
        <f>IF(E24="",0,IF(OR(LEFT(E24,2)=" B",LEFT(E24,2)="PH"),0,IF(AND(BI24="無窓",BO24="無窓"),3,IF(BI24="無窓",1,IF(BO24="無窓",2,0)))))</f>
        <v>0</v>
      </c>
      <c r="CW24" s="67" t="str">
        <f>IF(OR(E24="",LEFT(E24,2)=" B",LEFT(E24,1)="P"),"",IF(VALUE(LEFT(E24,3))&gt;10,BV24,""))</f>
        <v/>
      </c>
      <c r="CX24" s="70" t="str">
        <f>IF(LEFT(E24,2)="PH",AA23,"")</f>
        <v/>
      </c>
      <c r="CY24" s="68" t="str">
        <f>IF(OR(BV24="(2) ロ",BV24="( 4 )",BV24="(5) イ"),1,"")</f>
        <v/>
      </c>
      <c r="CZ24" s="9"/>
      <c r="DA24" s="33"/>
      <c r="DB24" s="33"/>
      <c r="DC24" s="24" t="s">
        <v>134</v>
      </c>
      <c r="DD24" s="397" t="s">
        <v>135</v>
      </c>
      <c r="DE24" s="25" t="s">
        <v>30</v>
      </c>
      <c r="DF24" s="26">
        <v>70</v>
      </c>
      <c r="DG24" s="26">
        <v>40</v>
      </c>
      <c r="DH24" s="27">
        <f t="shared" si="0"/>
        <v>30</v>
      </c>
      <c r="DI24" s="28">
        <v>20</v>
      </c>
      <c r="DJ24" s="28" t="s">
        <v>31</v>
      </c>
      <c r="DK24" s="28" t="s">
        <v>75</v>
      </c>
      <c r="DL24" s="29">
        <v>15</v>
      </c>
      <c r="DM24" s="30" t="s">
        <v>136</v>
      </c>
      <c r="DN24" s="30">
        <v>54</v>
      </c>
      <c r="DO24" s="30">
        <v>70</v>
      </c>
      <c r="DP24" s="30">
        <v>90</v>
      </c>
      <c r="DQ24" s="30">
        <v>500</v>
      </c>
      <c r="DR24" s="30" t="s">
        <v>34</v>
      </c>
      <c r="DS24" s="30">
        <v>54</v>
      </c>
      <c r="DT24" s="30">
        <v>70</v>
      </c>
      <c r="DU24" s="30">
        <v>90</v>
      </c>
      <c r="DV24" s="30">
        <v>100</v>
      </c>
      <c r="DW24" s="30" t="s">
        <v>34</v>
      </c>
      <c r="DX24" s="30">
        <v>59</v>
      </c>
      <c r="DY24" s="30">
        <v>70</v>
      </c>
      <c r="DZ24" s="30">
        <v>90</v>
      </c>
      <c r="EA24" s="30">
        <v>200</v>
      </c>
      <c r="EB24" s="30" t="s">
        <v>35</v>
      </c>
      <c r="EC24" s="30">
        <v>66</v>
      </c>
      <c r="ED24" s="30">
        <v>79</v>
      </c>
      <c r="EE24" s="30">
        <v>90</v>
      </c>
      <c r="EF24" s="30">
        <v>50</v>
      </c>
      <c r="EG24" s="31" t="s">
        <v>58</v>
      </c>
      <c r="EH24" s="31">
        <v>54</v>
      </c>
      <c r="EI24" s="31">
        <v>70</v>
      </c>
      <c r="EJ24" s="31">
        <v>90</v>
      </c>
      <c r="EK24" s="31">
        <v>200</v>
      </c>
      <c r="EL24" s="31" t="s">
        <v>42</v>
      </c>
      <c r="EM24" s="31">
        <v>66</v>
      </c>
      <c r="EN24" s="31">
        <v>79</v>
      </c>
      <c r="EO24" s="31">
        <v>90</v>
      </c>
      <c r="EP24" s="31">
        <v>100</v>
      </c>
      <c r="EQ24" s="31" t="s">
        <v>42</v>
      </c>
      <c r="ER24" s="31">
        <v>66</v>
      </c>
      <c r="ES24" s="31">
        <v>79</v>
      </c>
      <c r="ET24" s="31">
        <v>90</v>
      </c>
      <c r="EU24" s="31">
        <v>150</v>
      </c>
      <c r="EV24" s="31" t="s">
        <v>37</v>
      </c>
      <c r="EW24" s="31">
        <v>66</v>
      </c>
      <c r="EX24" s="31">
        <v>79</v>
      </c>
      <c r="EY24" s="31">
        <v>90</v>
      </c>
      <c r="EZ24" s="31">
        <v>50</v>
      </c>
      <c r="FA24" s="30">
        <v>15</v>
      </c>
      <c r="FB24" s="30">
        <v>75</v>
      </c>
      <c r="FC24" s="32" t="s">
        <v>137</v>
      </c>
      <c r="FD24" s="402"/>
      <c r="FE24" s="402"/>
      <c r="FF24" s="30"/>
      <c r="FG24" s="30"/>
      <c r="FH24" s="13"/>
      <c r="FI24" s="156"/>
      <c r="FJ24" s="13"/>
      <c r="FK24" s="1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row>
    <row r="25" spans="1:756" ht="0.75" customHeight="1">
      <c r="A25" s="61"/>
      <c r="B25" s="62"/>
      <c r="C25" s="594"/>
      <c r="D25" s="602"/>
      <c r="E25" s="859"/>
      <c r="F25" s="860"/>
      <c r="G25" s="860"/>
      <c r="H25" s="861"/>
      <c r="I25" s="602"/>
      <c r="J25" s="602"/>
      <c r="K25" s="602"/>
      <c r="L25" s="1808"/>
      <c r="M25" s="1808"/>
      <c r="N25" s="1808"/>
      <c r="O25" s="862"/>
      <c r="P25" s="863"/>
      <c r="Q25" s="863"/>
      <c r="R25" s="864"/>
      <c r="S25" s="797"/>
      <c r="T25" s="798"/>
      <c r="U25" s="798"/>
      <c r="V25" s="799"/>
      <c r="W25" s="865"/>
      <c r="X25" s="866"/>
      <c r="Y25" s="866"/>
      <c r="Z25" s="867"/>
      <c r="AA25" s="1760">
        <f>IF(E24="","",O110)</f>
        <v>3168</v>
      </c>
      <c r="AB25" s="1760"/>
      <c r="AC25" s="1760"/>
      <c r="AD25" s="1760"/>
      <c r="AE25" s="1760"/>
      <c r="AF25" s="1761"/>
      <c r="AG25" s="783"/>
      <c r="AH25" s="784"/>
      <c r="AI25" s="784"/>
      <c r="AJ25" s="784"/>
      <c r="AK25" s="784"/>
      <c r="AL25" s="784"/>
      <c r="AM25" s="784"/>
      <c r="AN25" s="784"/>
      <c r="AO25" s="784"/>
      <c r="AP25" s="784"/>
      <c r="AQ25" s="784"/>
      <c r="AR25" s="784"/>
      <c r="AS25" s="784"/>
      <c r="AT25" s="784"/>
      <c r="AU25" s="784"/>
      <c r="AV25" s="784"/>
      <c r="AW25" s="784"/>
      <c r="AX25" s="784"/>
      <c r="AY25" s="784"/>
      <c r="AZ25" s="784"/>
      <c r="BA25" s="784"/>
      <c r="BB25" s="784"/>
      <c r="BC25" s="784"/>
      <c r="BD25" s="784"/>
      <c r="BE25" s="784"/>
      <c r="BF25" s="784"/>
      <c r="BG25" s="784"/>
      <c r="BH25" s="784"/>
      <c r="BI25" s="599"/>
      <c r="BJ25" s="599"/>
      <c r="BK25" s="599"/>
      <c r="BL25" s="599"/>
      <c r="BM25" s="599"/>
      <c r="BN25" s="599"/>
      <c r="BO25" s="599"/>
      <c r="BP25" s="599"/>
      <c r="BQ25" s="599"/>
      <c r="BR25" s="599"/>
      <c r="BS25" s="599"/>
      <c r="BT25" s="599"/>
      <c r="BU25" s="599"/>
      <c r="BV25" s="868"/>
      <c r="BW25" s="869"/>
      <c r="BX25" s="869"/>
      <c r="BY25" s="870"/>
      <c r="BZ25" s="599"/>
      <c r="CA25" s="600"/>
      <c r="CB25" s="63"/>
      <c r="CC25" s="69"/>
      <c r="CD25" s="67"/>
      <c r="CE25" s="67"/>
      <c r="CF25" s="70"/>
      <c r="CG25" s="69"/>
      <c r="CH25" s="70"/>
      <c r="CI25" s="69"/>
      <c r="CJ25" s="67"/>
      <c r="CK25" s="70"/>
      <c r="CL25" s="69"/>
      <c r="CM25" s="631"/>
      <c r="CN25" s="70"/>
      <c r="CO25" s="69"/>
      <c r="CP25" s="631"/>
      <c r="CQ25" s="70"/>
      <c r="CR25" s="634"/>
      <c r="CS25" s="67"/>
      <c r="CT25" s="597"/>
      <c r="CU25" s="77"/>
      <c r="CV25" s="638"/>
      <c r="CW25" s="67"/>
      <c r="CX25" s="597"/>
      <c r="CY25" s="598"/>
      <c r="CZ25" s="9"/>
      <c r="DA25" s="33"/>
      <c r="DB25" s="33"/>
      <c r="DC25" s="400"/>
      <c r="DD25" s="401"/>
      <c r="DE25" s="587"/>
      <c r="DF25" s="588"/>
      <c r="DG25" s="588"/>
      <c r="DH25" s="589"/>
      <c r="DI25" s="590"/>
      <c r="DJ25" s="590"/>
      <c r="DK25" s="590"/>
      <c r="DL25" s="591"/>
      <c r="DM25" s="592"/>
      <c r="DN25" s="592"/>
      <c r="DO25" s="592"/>
      <c r="DP25" s="592"/>
      <c r="DQ25" s="592"/>
      <c r="DR25" s="592"/>
      <c r="DS25" s="592"/>
      <c r="DT25" s="592"/>
      <c r="DU25" s="592"/>
      <c r="DV25" s="592"/>
      <c r="DW25" s="592"/>
      <c r="DX25" s="592"/>
      <c r="DY25" s="592"/>
      <c r="DZ25" s="592"/>
      <c r="EA25" s="592"/>
      <c r="EB25" s="592"/>
      <c r="EC25" s="592"/>
      <c r="ED25" s="592"/>
      <c r="EE25" s="592"/>
      <c r="EF25" s="592"/>
      <c r="EG25" s="593"/>
      <c r="EH25" s="593"/>
      <c r="EI25" s="593"/>
      <c r="EJ25" s="593"/>
      <c r="EK25" s="593"/>
      <c r="EL25" s="593"/>
      <c r="EM25" s="593"/>
      <c r="EN25" s="593"/>
      <c r="EO25" s="593"/>
      <c r="EP25" s="593"/>
      <c r="EQ25" s="593"/>
      <c r="ER25" s="593"/>
      <c r="ES25" s="593"/>
      <c r="ET25" s="593"/>
      <c r="EU25" s="593"/>
      <c r="EV25" s="593"/>
      <c r="EW25" s="593"/>
      <c r="EX25" s="593"/>
      <c r="EY25" s="593"/>
      <c r="EZ25" s="593"/>
      <c r="FA25" s="592"/>
      <c r="FB25" s="592"/>
      <c r="FC25" s="402"/>
      <c r="FD25" s="402"/>
      <c r="FE25" s="402"/>
      <c r="FF25" s="592"/>
      <c r="FG25" s="592"/>
      <c r="FH25" s="13"/>
      <c r="FI25" s="780"/>
      <c r="FJ25" s="13"/>
      <c r="FK25" s="1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row>
    <row r="26" spans="1:756" ht="12" customHeight="1">
      <c r="A26" s="61">
        <f>IF(OR(E26="",LEFT(E26,2)=" B",E26="  RF",LEFT(E26,1)="P"),0,C26)</f>
        <v>0</v>
      </c>
      <c r="B26" s="62">
        <f>IF(AND(AA25="",E26=""),0,IF(LEFT(E26,2)="PH",0,1))</f>
        <v>1</v>
      </c>
      <c r="C26" s="1773">
        <f>IF(AA25="","",C24+1)</f>
        <v>2</v>
      </c>
      <c r="D26" s="1774"/>
      <c r="E26" s="1775" t="s">
        <v>2233</v>
      </c>
      <c r="F26" s="1776"/>
      <c r="G26" s="1776"/>
      <c r="H26" s="1777"/>
      <c r="I26" s="1778" t="str">
        <f>IF(I110=0,"",I110)</f>
        <v>A</v>
      </c>
      <c r="J26" s="1779"/>
      <c r="K26" s="1780"/>
      <c r="L26" s="1808"/>
      <c r="M26" s="1808"/>
      <c r="N26" s="1808"/>
      <c r="O26" s="1781">
        <v>5</v>
      </c>
      <c r="P26" s="1782"/>
      <c r="Q26" s="1782"/>
      <c r="R26" s="1783"/>
      <c r="S26" s="1784">
        <v>3</v>
      </c>
      <c r="T26" s="1785"/>
      <c r="U26" s="1785"/>
      <c r="V26" s="1786"/>
      <c r="W26" s="1781"/>
      <c r="X26" s="1782"/>
      <c r="Y26" s="1782"/>
      <c r="Z26" s="1783"/>
      <c r="AA26" s="1762"/>
      <c r="AB26" s="1762"/>
      <c r="AC26" s="1762"/>
      <c r="AD26" s="1762"/>
      <c r="AE26" s="1762"/>
      <c r="AF26" s="1763"/>
      <c r="AG26" s="1770">
        <f>IF(OR($U$11="No",C26=""),"",IF(AM26&lt;&gt;"",AM26,IF(LEFT(E26,2)="PH","",IF(BV26&lt;&gt;"",VLOOKUP(BV26,令別表,4,FALSE)*AA25/100,IF(ISNA(VLOOKUP($AS$16,令別表,4,FALSE)),"",IF(VLOOKUP($AS$16,令別表,4,FALSE)*AA25/100=0,"",VLOOKUP($AS$16,令別表,4,FALSE)*AA25/100))))))</f>
        <v>2851.2</v>
      </c>
      <c r="AH26" s="1771"/>
      <c r="AI26" s="1771"/>
      <c r="AJ26" s="1771"/>
      <c r="AK26" s="1771"/>
      <c r="AL26" s="1772"/>
      <c r="AM26" s="1787"/>
      <c r="AN26" s="1788"/>
      <c r="AO26" s="1788"/>
      <c r="AP26" s="1789"/>
      <c r="AQ26" s="1764">
        <f>IF(E26="","",IF(AG26="",AA25,IF(AA25="","",AA25-AG26)))</f>
        <v>316.80000000000018</v>
      </c>
      <c r="AR26" s="1765"/>
      <c r="AS26" s="1765"/>
      <c r="AT26" s="1765"/>
      <c r="AU26" s="1765"/>
      <c r="AV26" s="1766"/>
      <c r="AW26" s="1790">
        <f>IF(C26="","",IF(AZ26&lt;&gt;"",AZ26,IF(LEFT(E26,2)="PH","",IF(BV26&lt;&gt;"",1+INT(AG26/VLOOKUP(BV26,令別表,5,FALSE)),IF(ISNA(VLOOKUP($AS$16,令別表,5,FALSE)),"",IF(1+INT(AG26/VLOOKUP($AS$16,令別表,5,FALSE))="","",1+INT(AG26/VLOOKUP($AS$16,令別表,5,FALSE))))))))</f>
        <v>6</v>
      </c>
      <c r="AX26" s="1791"/>
      <c r="AY26" s="1792"/>
      <c r="AZ26" s="1793"/>
      <c r="BA26" s="1794"/>
      <c r="BB26" s="1795"/>
      <c r="BC26" s="1790">
        <f>IF(E26="","",IF(BF26&lt;&gt;"",BF26,IF(BV26&lt;&gt;"",1+INT(AQ26/VLOOKUP(BV26,令別表,7,FALSE)),IF(ISNA(VLOOKUP($AS$16,令別表,7,FALSE)),"",IF(1+INT(AQ26/VLOOKUP($AS$16,令別表,7,FALSE))="","",1+INT(AQ26/VLOOKUP($AS$16,令別表,7,FALSE)))))))</f>
        <v>16</v>
      </c>
      <c r="BD26" s="1791"/>
      <c r="BE26" s="1791"/>
      <c r="BF26" s="1793"/>
      <c r="BG26" s="1794"/>
      <c r="BH26" s="1795"/>
      <c r="BI26" s="2186" t="str">
        <f>IF(OR(AA25="",E26=""),"",IF(LEFT(E26,2)=" B","無窓",IF(BL26&lt;&gt;"",BL26,IF(BV26&lt;&gt;"",VLOOKUP(BV26,令別表,8,FALSE),IF(OR(LEFT(E26,2)=" B",LEFT(E26,2)="PH"),"無窓",IF(LEFT(E26,2)&lt;&gt;"",VLOOKUP($AS$16,令別表,8,FALSE)))))))</f>
        <v>無窓</v>
      </c>
      <c r="BJ26" s="2187"/>
      <c r="BK26" s="2187"/>
      <c r="BL26" s="2215"/>
      <c r="BM26" s="2216"/>
      <c r="BN26" s="2217"/>
      <c r="BO26" s="2161" t="str">
        <f>IF(OR(E26="",AA25=""),"",IF(LEFT(E26,2)=" B","無窓",IF(BR26&lt;&gt;"",BR26,IF(BV26&lt;&gt;"",VLOOKUP(BV26,令別表,8,FALSE),IF(OR(LEFT(E26,2)=" B",LEFT(E26,2)="PH"),"無窓",IF(LEFT(E26,2)&lt;&gt;"",VLOOKUP($AS$16,令別表,9,FALSE)))))))</f>
        <v>無窓</v>
      </c>
      <c r="BP26" s="2162"/>
      <c r="BQ26" s="2163"/>
      <c r="BR26" s="2215"/>
      <c r="BS26" s="2216"/>
      <c r="BT26" s="2217"/>
      <c r="BU26" s="819" t="str">
        <f>IF(AND(LEFT($AS$16,4)="(16)",E26&lt;&gt;"",BV26=""),"■","")</f>
        <v/>
      </c>
      <c r="BV26" s="2218" t="s">
        <v>2064</v>
      </c>
      <c r="BW26" s="2219"/>
      <c r="BX26" s="2219"/>
      <c r="BY26" s="2220"/>
      <c r="BZ26" s="1810" t="str">
        <f>IF(E26="","",IF(AND(BU26="",BV26="",CB26=1),"済",IF(AND(BU26="",BV26&lt;&gt;"",CB26=1),"済","未")))</f>
        <v>済</v>
      </c>
      <c r="CA26" s="1811"/>
      <c r="CB26" s="659">
        <f>IF(AND(LEFT(E26,4)="  1F",O26&lt;&gt;"",S26&lt;&gt;"",W26&lt;&gt;"",AA25&lt;&gt;""),1,IF(AND(E26&lt;&gt;"  1F",O26&lt;&gt;"",S26&lt;&gt;"",AA25&lt;&gt;""),1,0))</f>
        <v>1</v>
      </c>
      <c r="CC26" s="69">
        <f>IF(C26="","",IF(LEFT(E26,2)=" B",O26,""))</f>
        <v>5</v>
      </c>
      <c r="CD26" s="67" t="str">
        <f>IF(C26="","",IF(E26="  1F",O26,""))</f>
        <v/>
      </c>
      <c r="CE26" s="67" t="str">
        <f>IF(OR(C26="",E26="  1F"),"",IF(AND(LEFT(E26,2)&lt;&gt;" B",LEFT(E26,1)&lt;&gt;"P"),O26,""))</f>
        <v/>
      </c>
      <c r="CF26" s="70" t="str">
        <f>IF(C26="","",IF(LEFT(E26,1)="P",O26,""))</f>
        <v/>
      </c>
      <c r="CG26" s="69" t="str">
        <f>IF(LEFT(E26,2)=" B",E26,"")</f>
        <v xml:space="preserve"> B1F</v>
      </c>
      <c r="CH26" s="70" t="str">
        <f>IF(BV26="","",IF(LEFT(E26,2)=" B",BV26,""))</f>
        <v>(13)イ</v>
      </c>
      <c r="CI26" s="69" t="str">
        <f>IF(E26="  1F",AA25,"")</f>
        <v/>
      </c>
      <c r="CJ26" s="631">
        <f>IF(OR(LEFT(E26,2)=" B",LEFT(E26,2)="PH"),0,IF(CI26="",0,IF(AND(BI26="無窓",BO26="無窓"),3,IF(BI26="無窓",1,IF(BO26="無窓",2,0)))))</f>
        <v>0</v>
      </c>
      <c r="CK26" s="70" t="str">
        <f>IF(BV26="","",IF(E26="  1F",BV26,""))</f>
        <v/>
      </c>
      <c r="CL26" s="69" t="str">
        <f>IF(E26="  2F",E26,"")</f>
        <v/>
      </c>
      <c r="CM26" s="631">
        <f>IF(OR(LEFT(E26,2)=" B",LEFT(E26,2)="PH"),0,IF(CL26="",0,IF(AND(BI26="無窓",BO26="無窓"),3,IF(BI26="無窓",1,IF(BO26="無窓",2,0)))))</f>
        <v>0</v>
      </c>
      <c r="CN26" s="70" t="str">
        <f>IF(BV26="","",IF(E26="  2F",BV26,""))</f>
        <v/>
      </c>
      <c r="CO26" s="69" t="str">
        <f>IF(E26="  3F",AA25,"")</f>
        <v/>
      </c>
      <c r="CP26" s="631">
        <f>IF(OR(LEFT(E26,2)=" B",LEFT(E26,2)="PH"),0,IF(CO26="",0,IF(AND(BI26="無窓",BO26="無窓"),3,IF(BI26="無窓",1,IF(BO26="無窓",2,0)))))</f>
        <v>0</v>
      </c>
      <c r="CQ26" s="70" t="str">
        <f>IF(BV26="","",IF(E26="  3F",BV26,""))</f>
        <v/>
      </c>
      <c r="CR26" s="634" t="str">
        <f>IF(OR(E26="  4F",E26="  5F",E26="  6F",E26="  7F",E26="  8F",E26="  9F",E26=" 10F"),AA25,"")</f>
        <v/>
      </c>
      <c r="CS26" s="631">
        <f>IF(E26="",0,IF(OR(LEFT(E26,2)=" B",LEFT(E26,2)="PH"),0,IF(OR(VALUE(LEFT(E26,3))&lt;4,VALUE(LEFT(E26,3))&gt;10),0,IF(AND(BI26="無窓",BO26="無窓"),3,IF(BI26="無窓",1,IF(BO26="無窓",2,0))))))</f>
        <v>0</v>
      </c>
      <c r="CT26" s="70" t="str">
        <f>IF(OR(E26="",LEFT(E26,2)=" B",LEFT(E26,1)="P"),"",IF(AND(VALUE(LEFT(E26,3))&gt;=4,VALUE(LEFT(E26,3))&lt;11),BV26,""))</f>
        <v/>
      </c>
      <c r="CU26" s="69" t="str">
        <f>IF(OR(LEFT(E26,2)=" B",LEFT(E26,2)="PH",E26=""),"",IF(VALUE(LEFT(E26,3))&gt;10,AA25,""))</f>
        <v/>
      </c>
      <c r="CV26" s="637">
        <f>IF(E26="",0,IF(OR(LEFT(E26,2)=" B",LEFT(E26,2)="PH"),0,IF(AND(BI26="無窓",BO26="無窓"),3,IF(BI26="無窓",1,IF(BO26="無窓",2,0)))))</f>
        <v>0</v>
      </c>
      <c r="CW26" s="67" t="str">
        <f>IF(OR(E26="",LEFT(E26,2)=" B",LEFT(E26,1)="P"),"",IF(VALUE(LEFT(E26,3))&gt;10,BV26,""))</f>
        <v/>
      </c>
      <c r="CX26" s="70" t="str">
        <f>IF(LEFT(E26,2)="PH",AA25,"")</f>
        <v/>
      </c>
      <c r="CY26" s="68" t="str">
        <f>IF(OR(BV26="(2) ロ",BV26="( 4 )",BV26="(5) イ"),1,"")</f>
        <v/>
      </c>
      <c r="CZ26" s="9"/>
      <c r="DA26" s="33"/>
      <c r="DB26" s="33"/>
      <c r="DC26" s="24" t="s">
        <v>139</v>
      </c>
      <c r="DD26" s="397" t="s">
        <v>140</v>
      </c>
      <c r="DE26" s="25" t="s">
        <v>30</v>
      </c>
      <c r="DF26" s="26">
        <v>75</v>
      </c>
      <c r="DG26" s="26">
        <v>30</v>
      </c>
      <c r="DH26" s="27">
        <f t="shared" si="0"/>
        <v>25</v>
      </c>
      <c r="DI26" s="28">
        <v>20</v>
      </c>
      <c r="DJ26" s="28" t="s">
        <v>75</v>
      </c>
      <c r="DK26" s="28" t="s">
        <v>75</v>
      </c>
      <c r="DL26" s="29">
        <v>40</v>
      </c>
      <c r="DM26" s="30" t="s">
        <v>107</v>
      </c>
      <c r="DN26" s="30">
        <v>33</v>
      </c>
      <c r="DO26" s="30">
        <v>66</v>
      </c>
      <c r="DP26" s="30">
        <v>80</v>
      </c>
      <c r="DQ26" s="30">
        <v>300</v>
      </c>
      <c r="DR26" s="30" t="s">
        <v>108</v>
      </c>
      <c r="DS26" s="30">
        <v>66</v>
      </c>
      <c r="DT26" s="30">
        <v>79</v>
      </c>
      <c r="DU26" s="30">
        <v>80</v>
      </c>
      <c r="DV26" s="30">
        <v>75</v>
      </c>
      <c r="DW26" s="30" t="s">
        <v>109</v>
      </c>
      <c r="DX26" s="30">
        <v>59</v>
      </c>
      <c r="DY26" s="30">
        <v>70</v>
      </c>
      <c r="DZ26" s="30">
        <v>80</v>
      </c>
      <c r="EA26" s="30">
        <v>300</v>
      </c>
      <c r="EB26" s="30" t="s">
        <v>110</v>
      </c>
      <c r="EC26" s="30">
        <v>66</v>
      </c>
      <c r="ED26" s="30">
        <v>79</v>
      </c>
      <c r="EE26" s="30">
        <v>80</v>
      </c>
      <c r="EF26" s="30">
        <v>50</v>
      </c>
      <c r="EG26" s="31" t="s">
        <v>141</v>
      </c>
      <c r="EH26" s="31">
        <v>54</v>
      </c>
      <c r="EI26" s="31">
        <v>70</v>
      </c>
      <c r="EJ26" s="31">
        <v>80</v>
      </c>
      <c r="EK26" s="31">
        <v>175</v>
      </c>
      <c r="EL26" s="31" t="s">
        <v>114</v>
      </c>
      <c r="EM26" s="31">
        <v>66</v>
      </c>
      <c r="EN26" s="31">
        <v>79</v>
      </c>
      <c r="EO26" s="31">
        <v>80</v>
      </c>
      <c r="EP26" s="31">
        <v>75</v>
      </c>
      <c r="EQ26" s="31" t="s">
        <v>113</v>
      </c>
      <c r="ER26" s="31">
        <v>66</v>
      </c>
      <c r="ES26" s="31">
        <v>79</v>
      </c>
      <c r="ET26" s="31">
        <v>80</v>
      </c>
      <c r="EU26" s="31">
        <v>150</v>
      </c>
      <c r="EV26" s="31" t="s">
        <v>114</v>
      </c>
      <c r="EW26" s="31">
        <v>66</v>
      </c>
      <c r="EX26" s="31">
        <v>79</v>
      </c>
      <c r="EY26" s="31">
        <v>80</v>
      </c>
      <c r="EZ26" s="31">
        <v>50</v>
      </c>
      <c r="FA26" s="30">
        <v>20</v>
      </c>
      <c r="FB26" s="30">
        <v>100</v>
      </c>
      <c r="FC26" s="32" t="s">
        <v>142</v>
      </c>
      <c r="FD26" s="402"/>
      <c r="FE26" s="402"/>
      <c r="FF26" s="30"/>
      <c r="FG26" s="30"/>
      <c r="FH26" s="13"/>
      <c r="FI26" s="156"/>
      <c r="FJ26" s="13"/>
      <c r="FK26" s="1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row>
    <row r="27" spans="1:756" ht="0.75" customHeight="1">
      <c r="A27" s="61"/>
      <c r="B27" s="62"/>
      <c r="C27" s="594"/>
      <c r="D27" s="602"/>
      <c r="E27" s="1796"/>
      <c r="F27" s="1797"/>
      <c r="G27" s="1797"/>
      <c r="H27" s="1798"/>
      <c r="I27" s="602"/>
      <c r="J27" s="602"/>
      <c r="K27" s="602"/>
      <c r="L27" s="1808"/>
      <c r="M27" s="1808"/>
      <c r="N27" s="1808"/>
      <c r="O27" s="862"/>
      <c r="P27" s="863"/>
      <c r="Q27" s="863"/>
      <c r="R27" s="864"/>
      <c r="S27" s="797"/>
      <c r="T27" s="798"/>
      <c r="U27" s="798"/>
      <c r="V27" s="799"/>
      <c r="W27" s="865"/>
      <c r="X27" s="866"/>
      <c r="Y27" s="866"/>
      <c r="Z27" s="867"/>
      <c r="AA27" s="1760">
        <f>IF(E26="","",O111)</f>
        <v>3816</v>
      </c>
      <c r="AB27" s="1760"/>
      <c r="AC27" s="1760"/>
      <c r="AD27" s="1760"/>
      <c r="AE27" s="1760"/>
      <c r="AF27" s="1761"/>
      <c r="AG27" s="783"/>
      <c r="AH27" s="784"/>
      <c r="AI27" s="784"/>
      <c r="AJ27" s="784"/>
      <c r="AK27" s="784"/>
      <c r="AL27" s="784"/>
      <c r="AM27" s="784"/>
      <c r="AN27" s="784"/>
      <c r="AO27" s="784"/>
      <c r="AP27" s="784"/>
      <c r="AQ27" s="784"/>
      <c r="AR27" s="784"/>
      <c r="AS27" s="784"/>
      <c r="AT27" s="784"/>
      <c r="AU27" s="784"/>
      <c r="AV27" s="784"/>
      <c r="AW27" s="784"/>
      <c r="AX27" s="784"/>
      <c r="AY27" s="784"/>
      <c r="AZ27" s="784"/>
      <c r="BA27" s="784"/>
      <c r="BB27" s="784"/>
      <c r="BC27" s="784"/>
      <c r="BD27" s="784"/>
      <c r="BE27" s="784"/>
      <c r="BF27" s="784"/>
      <c r="BG27" s="784"/>
      <c r="BH27" s="784"/>
      <c r="BI27" s="599"/>
      <c r="BJ27" s="599"/>
      <c r="BK27" s="599"/>
      <c r="BL27" s="599"/>
      <c r="BM27" s="599"/>
      <c r="BN27" s="599"/>
      <c r="BO27" s="599"/>
      <c r="BP27" s="599"/>
      <c r="BQ27" s="599"/>
      <c r="BR27" s="599"/>
      <c r="BS27" s="599"/>
      <c r="BT27" s="599"/>
      <c r="BU27" s="599"/>
      <c r="BV27" s="868"/>
      <c r="BW27" s="869"/>
      <c r="BX27" s="869"/>
      <c r="BY27" s="870"/>
      <c r="BZ27" s="599"/>
      <c r="CA27" s="600"/>
      <c r="CB27" s="596"/>
      <c r="CC27" s="69"/>
      <c r="CD27" s="67"/>
      <c r="CE27" s="67"/>
      <c r="CF27" s="70"/>
      <c r="CG27" s="69"/>
      <c r="CH27" s="70"/>
      <c r="CI27" s="69"/>
      <c r="CJ27" s="67"/>
      <c r="CK27" s="70"/>
      <c r="CL27" s="69"/>
      <c r="CM27" s="631"/>
      <c r="CN27" s="70"/>
      <c r="CO27" s="69"/>
      <c r="CP27" s="631"/>
      <c r="CQ27" s="70"/>
      <c r="CR27" s="634"/>
      <c r="CS27" s="67"/>
      <c r="CT27" s="70"/>
      <c r="CU27" s="69"/>
      <c r="CV27" s="637"/>
      <c r="CW27" s="67"/>
      <c r="CX27" s="70"/>
      <c r="CY27" s="71"/>
      <c r="CZ27" s="9"/>
      <c r="DA27" s="33"/>
      <c r="DB27" s="33"/>
      <c r="DC27" s="400"/>
      <c r="DD27" s="401"/>
      <c r="DE27" s="587"/>
      <c r="DF27" s="588"/>
      <c r="DG27" s="588"/>
      <c r="DH27" s="589"/>
      <c r="DI27" s="590"/>
      <c r="DJ27" s="590"/>
      <c r="DK27" s="590"/>
      <c r="DL27" s="591"/>
      <c r="DM27" s="592"/>
      <c r="DN27" s="592"/>
      <c r="DO27" s="592"/>
      <c r="DP27" s="592"/>
      <c r="DQ27" s="592"/>
      <c r="DR27" s="592"/>
      <c r="DS27" s="592"/>
      <c r="DT27" s="592"/>
      <c r="DU27" s="592"/>
      <c r="DV27" s="592"/>
      <c r="DW27" s="592"/>
      <c r="DX27" s="592"/>
      <c r="DY27" s="592"/>
      <c r="DZ27" s="592"/>
      <c r="EA27" s="592"/>
      <c r="EB27" s="592"/>
      <c r="EC27" s="592"/>
      <c r="ED27" s="592"/>
      <c r="EE27" s="592"/>
      <c r="EF27" s="592"/>
      <c r="EG27" s="593"/>
      <c r="EH27" s="593"/>
      <c r="EI27" s="593"/>
      <c r="EJ27" s="593"/>
      <c r="EK27" s="593"/>
      <c r="EL27" s="593"/>
      <c r="EM27" s="593"/>
      <c r="EN27" s="593"/>
      <c r="EO27" s="593"/>
      <c r="EP27" s="593"/>
      <c r="EQ27" s="593"/>
      <c r="ER27" s="593"/>
      <c r="ES27" s="593"/>
      <c r="ET27" s="593"/>
      <c r="EU27" s="593"/>
      <c r="EV27" s="593"/>
      <c r="EW27" s="593"/>
      <c r="EX27" s="593"/>
      <c r="EY27" s="593"/>
      <c r="EZ27" s="593"/>
      <c r="FA27" s="592"/>
      <c r="FB27" s="592"/>
      <c r="FC27" s="402"/>
      <c r="FD27" s="402"/>
      <c r="FE27" s="402"/>
      <c r="FF27" s="592"/>
      <c r="FG27" s="592"/>
      <c r="FH27" s="13"/>
      <c r="FI27" s="780"/>
      <c r="FJ27" s="13"/>
      <c r="FK27" s="1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row>
    <row r="28" spans="1:756" ht="12" customHeight="1">
      <c r="A28" s="61">
        <f>IF(OR(E28="",LEFT(E28,2)=" B",E28="  RF",LEFT(E28,1)="P"),0,C28)</f>
        <v>3</v>
      </c>
      <c r="B28" s="62">
        <f>IF(AND(AA27="",E28=""),0,IF(LEFT(E28,2)="PH",0,1))</f>
        <v>1</v>
      </c>
      <c r="C28" s="1773">
        <f>IF(AA27="","",C26+1)</f>
        <v>3</v>
      </c>
      <c r="D28" s="1774"/>
      <c r="E28" s="1775" t="s">
        <v>1981</v>
      </c>
      <c r="F28" s="1776"/>
      <c r="G28" s="1776"/>
      <c r="H28" s="1777"/>
      <c r="I28" s="1778" t="str">
        <f>IF(I111=0,"",I111)</f>
        <v>B1</v>
      </c>
      <c r="J28" s="1779"/>
      <c r="K28" s="1780"/>
      <c r="L28" s="1808"/>
      <c r="M28" s="1808"/>
      <c r="N28" s="1808"/>
      <c r="O28" s="1781">
        <v>5</v>
      </c>
      <c r="P28" s="1782"/>
      <c r="Q28" s="1782"/>
      <c r="R28" s="1783"/>
      <c r="S28" s="1784">
        <v>3</v>
      </c>
      <c r="T28" s="1785"/>
      <c r="U28" s="1785"/>
      <c r="V28" s="1786"/>
      <c r="W28" s="1781">
        <v>0.75</v>
      </c>
      <c r="X28" s="1782"/>
      <c r="Y28" s="1782"/>
      <c r="Z28" s="1783"/>
      <c r="AA28" s="1762"/>
      <c r="AB28" s="1762"/>
      <c r="AC28" s="1762"/>
      <c r="AD28" s="1762"/>
      <c r="AE28" s="1762"/>
      <c r="AF28" s="1763"/>
      <c r="AG28" s="1770">
        <f>IF(OR($U$11="No",C28=""),"",IF(AM28&lt;&gt;"",AM28,IF(LEFT(E28,2)="PH","",IF(BV28&lt;&gt;"",VLOOKUP(BV28,令別表,4,FALSE)*AA27/100,IF(ISNA(VLOOKUP($AS$16,令別表,4,FALSE)),"",IF(VLOOKUP($AS$16,令別表,4,FALSE)*AA27/100=0,"",VLOOKUP($AS$16,令別表,4,FALSE)*AA27/100))))))</f>
        <v>2671.2</v>
      </c>
      <c r="AH28" s="1771"/>
      <c r="AI28" s="1771"/>
      <c r="AJ28" s="1771"/>
      <c r="AK28" s="1771"/>
      <c r="AL28" s="1772"/>
      <c r="AM28" s="1787"/>
      <c r="AN28" s="1788"/>
      <c r="AO28" s="1788"/>
      <c r="AP28" s="1789"/>
      <c r="AQ28" s="1764">
        <f>IF(E28="","",IF(AG28="",AA27,IF(AA27="","",AA27-AG28)))</f>
        <v>1144.8000000000002</v>
      </c>
      <c r="AR28" s="1765"/>
      <c r="AS28" s="1765"/>
      <c r="AT28" s="1765"/>
      <c r="AU28" s="1765"/>
      <c r="AV28" s="1766"/>
      <c r="AW28" s="1790">
        <f>IF(C28="","",IF(AZ28&lt;&gt;"",AZ28,IF(LEFT(E28,2)="PH","",IF(BV28&lt;&gt;"",1+INT(AG28/VLOOKUP(BV28,令別表,5,FALSE)),IF(ISNA(VLOOKUP($AS$16,令別表,5,FALSE)),"",IF(1+INT(AG28/VLOOKUP($AS$16,令別表,5,FALSE))="","",1+INT(AG28/VLOOKUP($AS$16,令別表,5,FALSE))))))))</f>
        <v>9</v>
      </c>
      <c r="AX28" s="1791"/>
      <c r="AY28" s="1792"/>
      <c r="AZ28" s="1793"/>
      <c r="BA28" s="1794"/>
      <c r="BB28" s="1795"/>
      <c r="BC28" s="1790">
        <f>IF(E28="","",IF(BF28&lt;&gt;"",BF28,IF(BV28&lt;&gt;"",1+INT(AQ28/VLOOKUP(BV28,令別表,7,FALSE)),IF(ISNA(VLOOKUP($AS$16,令別表,7,FALSE)),"",IF(1+INT(AQ28/VLOOKUP($AS$16,令別表,7,FALSE))="","",1+INT(AQ28/VLOOKUP($AS$16,令別表,7,FALSE)))))))</f>
        <v>29</v>
      </c>
      <c r="BD28" s="1791"/>
      <c r="BE28" s="1791"/>
      <c r="BF28" s="1793"/>
      <c r="BG28" s="1794"/>
      <c r="BH28" s="1795"/>
      <c r="BI28" s="2186" t="str">
        <f>IF(OR(AA27="",E28=""),"",IF(LEFT(E28,2)=" B","無窓",IF(BL28&lt;&gt;"",BL28,IF(BV28&lt;&gt;"",VLOOKUP(BV28,令別表,8,FALSE),IF(OR(LEFT(E28,2)=" B",LEFT(E28,2)="PH"),"無窓",IF(LEFT(E28,2)&lt;&gt;"",VLOOKUP($AS$16,令別表,8,FALSE)))))))</f>
        <v>無窓</v>
      </c>
      <c r="BJ28" s="2187"/>
      <c r="BK28" s="2187"/>
      <c r="BL28" s="2215"/>
      <c r="BM28" s="2216"/>
      <c r="BN28" s="2217"/>
      <c r="BO28" s="2161" t="str">
        <f>IF(OR(E28="",AA27=""),"",IF(LEFT(E28,2)=" B","無窓",IF(BR28&lt;&gt;"",BR28,IF(BV28&lt;&gt;"",VLOOKUP(BV28,令別表,8,FALSE),IF(OR(LEFT(E28,2)=" B",LEFT(E28,2)="PH"),"無窓",IF(LEFT(E28,2)&lt;&gt;"",VLOOKUP($AS$16,令別表,9,FALSE)))))))</f>
        <v>無窓</v>
      </c>
      <c r="BP28" s="2162"/>
      <c r="BQ28" s="2163"/>
      <c r="BR28" s="2215"/>
      <c r="BS28" s="2216"/>
      <c r="BT28" s="2217"/>
      <c r="BU28" s="819" t="str">
        <f>IF(AND(LEFT($AS$16,4)="(16)",E28&lt;&gt;"",BV28=""),"■","")</f>
        <v/>
      </c>
      <c r="BV28" s="2218" t="s">
        <v>2249</v>
      </c>
      <c r="BW28" s="2219"/>
      <c r="BX28" s="2219"/>
      <c r="BY28" s="2220"/>
      <c r="BZ28" s="1810" t="str">
        <f>IF(E28="","",IF(AND(BU28="",BV28="",CB28=1),"済",IF(AND(BU28="",BV28&lt;&gt;"",CB28=1),"済","未")))</f>
        <v>済</v>
      </c>
      <c r="CA28" s="1811"/>
      <c r="CB28" s="659">
        <f>IF(AND(LEFT(E28,4)="  1F",O28&lt;&gt;"",S28&lt;&gt;"",W28&lt;&gt;"",AA27&lt;&gt;""),1,IF(AND(LEFT(E28,4)&lt;&gt;"  1F",O28&lt;&gt;"",S28&lt;&gt;"",AA27&lt;&gt;""),1,0))</f>
        <v>1</v>
      </c>
      <c r="CC28" s="69" t="str">
        <f>IF(C28="","",IF(LEFT(E28,2)=" B",O28,""))</f>
        <v/>
      </c>
      <c r="CD28" s="67">
        <f>IF(C28="","",IF(E28="  1F",O28,""))</f>
        <v>5</v>
      </c>
      <c r="CE28" s="67" t="str">
        <f>IF(OR(C28="",E28="  1F"),"",IF(AND(LEFT(E28,2)&lt;&gt;" B",LEFT(E28,1)&lt;&gt;"P"),O28,""))</f>
        <v/>
      </c>
      <c r="CF28" s="70" t="str">
        <f>IF(C28="","",IF(LEFT(E28,1)="P",O28,""))</f>
        <v/>
      </c>
      <c r="CG28" s="69" t="str">
        <f>IF(LEFT(E28,2)=" B",E28,"")</f>
        <v/>
      </c>
      <c r="CH28" s="70" t="str">
        <f>IF(BV28="","",IF(LEFT(E28,2)=" B",BV28,""))</f>
        <v/>
      </c>
      <c r="CI28" s="69">
        <f>IF(E28="  1F",AA27,"")</f>
        <v>3816</v>
      </c>
      <c r="CJ28" s="631">
        <f>IF(OR(LEFT(E28,2)=" B",LEFT(E28,2)="PH"),0,IF(CI28="",0,IF(AND(BI28="無窓",BO28="無窓"),3,IF(BI28="無窓",1,IF(BO28="無窓",2,0)))))</f>
        <v>3</v>
      </c>
      <c r="CK28" s="70" t="str">
        <f>IF(BV28="","",IF(E28="  1F",BV28,""))</f>
        <v>( 4 )</v>
      </c>
      <c r="CL28" s="69" t="str">
        <f>IF(E28="  2F",E28,"")</f>
        <v/>
      </c>
      <c r="CM28" s="631">
        <f>IF(OR(LEFT(E28,2)=" B",LEFT(E28,2)="PH"),0,IF(CL28="",0,IF(AND(BI28="無窓",BO28="無窓"),3,IF(BI28="無窓",1,IF(BO28="無窓",2,0)))))</f>
        <v>0</v>
      </c>
      <c r="CN28" s="70" t="str">
        <f>IF(BV28="","",IF(E28="  2F",BV28,""))</f>
        <v/>
      </c>
      <c r="CO28" s="69" t="str">
        <f>IF(E28="  3F",AA27,"")</f>
        <v/>
      </c>
      <c r="CP28" s="631">
        <f>IF(OR(LEFT(E28,2)=" B",LEFT(E28,2)="PH"),0,IF(CO28="",0,IF(AND(BI28="無窓",BO28="無窓"),3,IF(BI28="無窓",1,IF(BO28="無窓",2,0)))))</f>
        <v>0</v>
      </c>
      <c r="CQ28" s="70" t="str">
        <f>IF(BV28="","",IF(E28="  3F",BV28,""))</f>
        <v/>
      </c>
      <c r="CR28" s="634" t="str">
        <f>IF(OR(E28="  4F",E28="  5F",E28="  6F",E28="  7F",E28="  8F",E28="  9F",E28=" 10F"),AA27,"")</f>
        <v/>
      </c>
      <c r="CS28" s="631">
        <f>IF(E28="",0,IF(OR(LEFT(E28,2)=" B",LEFT(E28,2)="PH"),0,IF(OR(VALUE(LEFT(E28,3))&lt;4,VALUE(LEFT(E28,3))&gt;10),0,IF(AND(BI28="無窓",BO28="無窓"),3,IF(BI28="無窓",1,IF(BO28="無窓",2,0))))))</f>
        <v>0</v>
      </c>
      <c r="CT28" s="70" t="str">
        <f>IF(OR(E28="",LEFT(E28,2)=" B",LEFT(E28,1)="P"),"",IF(AND(VALUE(LEFT(E28,3))&gt;=4,VALUE(LEFT(E28,3))&lt;11),BV28,""))</f>
        <v/>
      </c>
      <c r="CU28" s="69" t="str">
        <f>IF(OR(LEFT(E28,2)=" B",LEFT(E28,2)="PH",E28=""),"",IF(VALUE(LEFT(E28,3))&gt;10,AA27,""))</f>
        <v/>
      </c>
      <c r="CV28" s="637">
        <f>IF(E28="",0,IF(OR(LEFT(E28,2)=" B",LEFT(E28,2)="PH"),0,IF(AND(BI28="無窓",BO28="無窓"),3,IF(BI28="無窓",1,IF(BO28="無窓",2,0)))))</f>
        <v>3</v>
      </c>
      <c r="CW28" s="67" t="str">
        <f>IF(OR(E28="",LEFT(E28,2)=" B",LEFT(E28,1)="P"),"",IF(VALUE(LEFT(E28,3))&gt;10,BV28,""))</f>
        <v/>
      </c>
      <c r="CX28" s="70" t="str">
        <f>IF(LEFT(E28,2)="PH",AA27,"")</f>
        <v/>
      </c>
      <c r="CY28" s="68">
        <f>IF(OR(BV28="(2) ロ",BV28="( 4 )",BV28="(5) イ"),1,"")</f>
        <v>1</v>
      </c>
      <c r="CZ28" s="9"/>
      <c r="DA28" s="33"/>
      <c r="DB28" s="33"/>
      <c r="DC28" s="24" t="s">
        <v>144</v>
      </c>
      <c r="DD28" s="397" t="s">
        <v>145</v>
      </c>
      <c r="DE28" s="25" t="s">
        <v>30</v>
      </c>
      <c r="DF28" s="26">
        <v>75</v>
      </c>
      <c r="DG28" s="26">
        <v>30</v>
      </c>
      <c r="DH28" s="27">
        <f t="shared" si="0"/>
        <v>25</v>
      </c>
      <c r="DI28" s="28">
        <v>20</v>
      </c>
      <c r="DJ28" s="28" t="s">
        <v>75</v>
      </c>
      <c r="DK28" s="28" t="s">
        <v>75</v>
      </c>
      <c r="DL28" s="29">
        <v>40</v>
      </c>
      <c r="DM28" s="30" t="s">
        <v>107</v>
      </c>
      <c r="DN28" s="30">
        <v>33</v>
      </c>
      <c r="DO28" s="30">
        <v>66</v>
      </c>
      <c r="DP28" s="30">
        <v>80</v>
      </c>
      <c r="DQ28" s="30">
        <v>300</v>
      </c>
      <c r="DR28" s="30" t="s">
        <v>108</v>
      </c>
      <c r="DS28" s="30">
        <v>66</v>
      </c>
      <c r="DT28" s="30">
        <v>79</v>
      </c>
      <c r="DU28" s="30">
        <v>90</v>
      </c>
      <c r="DV28" s="30">
        <v>75</v>
      </c>
      <c r="DW28" s="30" t="s">
        <v>109</v>
      </c>
      <c r="DX28" s="30">
        <v>59</v>
      </c>
      <c r="DY28" s="30">
        <v>70</v>
      </c>
      <c r="DZ28" s="30">
        <v>90</v>
      </c>
      <c r="EA28" s="30">
        <v>300</v>
      </c>
      <c r="EB28" s="30" t="s">
        <v>110</v>
      </c>
      <c r="EC28" s="30">
        <v>66</v>
      </c>
      <c r="ED28" s="30">
        <v>79</v>
      </c>
      <c r="EE28" s="30">
        <v>90</v>
      </c>
      <c r="EF28" s="30">
        <v>50</v>
      </c>
      <c r="EG28" s="31" t="s">
        <v>141</v>
      </c>
      <c r="EH28" s="31">
        <v>54</v>
      </c>
      <c r="EI28" s="31">
        <v>70</v>
      </c>
      <c r="EJ28" s="31">
        <v>80</v>
      </c>
      <c r="EK28" s="31">
        <v>175</v>
      </c>
      <c r="EL28" s="31" t="s">
        <v>114</v>
      </c>
      <c r="EM28" s="31">
        <v>66</v>
      </c>
      <c r="EN28" s="31">
        <v>79</v>
      </c>
      <c r="EO28" s="31">
        <v>90</v>
      </c>
      <c r="EP28" s="31">
        <v>75</v>
      </c>
      <c r="EQ28" s="31" t="s">
        <v>113</v>
      </c>
      <c r="ER28" s="31">
        <v>66</v>
      </c>
      <c r="ES28" s="31">
        <v>79</v>
      </c>
      <c r="ET28" s="31">
        <v>90</v>
      </c>
      <c r="EU28" s="31">
        <v>150</v>
      </c>
      <c r="EV28" s="31" t="s">
        <v>114</v>
      </c>
      <c r="EW28" s="31">
        <v>66</v>
      </c>
      <c r="EX28" s="31">
        <v>79</v>
      </c>
      <c r="EY28" s="31">
        <v>90</v>
      </c>
      <c r="EZ28" s="31">
        <v>50</v>
      </c>
      <c r="FA28" s="30">
        <v>20</v>
      </c>
      <c r="FB28" s="30">
        <v>100</v>
      </c>
      <c r="FC28" s="32" t="s">
        <v>144</v>
      </c>
      <c r="FD28" s="402"/>
      <c r="FE28" s="402"/>
      <c r="FF28" s="30"/>
      <c r="FG28" s="30"/>
      <c r="FH28" s="13"/>
      <c r="FI28" s="156"/>
      <c r="FJ28" s="13"/>
      <c r="FK28" s="1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row>
    <row r="29" spans="1:756" ht="0.75" customHeight="1">
      <c r="A29" s="61"/>
      <c r="B29" s="62"/>
      <c r="C29" s="603"/>
      <c r="D29" s="662"/>
      <c r="E29" s="1754"/>
      <c r="F29" s="1755"/>
      <c r="G29" s="1755"/>
      <c r="H29" s="1756"/>
      <c r="I29" s="817"/>
      <c r="J29" s="817"/>
      <c r="K29" s="818"/>
      <c r="L29" s="1808"/>
      <c r="M29" s="1808"/>
      <c r="N29" s="1808"/>
      <c r="O29" s="663"/>
      <c r="P29" s="604"/>
      <c r="Q29" s="604"/>
      <c r="R29" s="664"/>
      <c r="S29" s="665"/>
      <c r="T29" s="605"/>
      <c r="U29" s="605"/>
      <c r="V29" s="666"/>
      <c r="W29" s="707"/>
      <c r="X29" s="708"/>
      <c r="Y29" s="708"/>
      <c r="Z29" s="709"/>
      <c r="AA29" s="1760">
        <f>IF(E28="","",O112)</f>
        <v>3816</v>
      </c>
      <c r="AB29" s="1760"/>
      <c r="AC29" s="1760"/>
      <c r="AD29" s="1760"/>
      <c r="AE29" s="1760"/>
      <c r="AF29" s="1761"/>
      <c r="AG29" s="606"/>
      <c r="AH29" s="607"/>
      <c r="AI29" s="607"/>
      <c r="AJ29" s="607"/>
      <c r="AK29" s="607"/>
      <c r="AL29" s="608"/>
      <c r="AM29" s="804"/>
      <c r="AN29" s="805"/>
      <c r="AO29" s="805"/>
      <c r="AP29" s="806"/>
      <c r="AQ29" s="882"/>
      <c r="AR29" s="883"/>
      <c r="AS29" s="883"/>
      <c r="AT29" s="883"/>
      <c r="AU29" s="883"/>
      <c r="AV29" s="884"/>
      <c r="AW29" s="609"/>
      <c r="AX29" s="610"/>
      <c r="AY29" s="785"/>
      <c r="AZ29" s="807"/>
      <c r="BA29" s="808"/>
      <c r="BB29" s="809"/>
      <c r="BC29" s="609"/>
      <c r="BD29" s="610"/>
      <c r="BE29" s="610"/>
      <c r="BF29" s="807"/>
      <c r="BG29" s="808"/>
      <c r="BH29" s="809"/>
      <c r="BI29" s="611"/>
      <c r="BJ29" s="612"/>
      <c r="BK29" s="612"/>
      <c r="BL29" s="613"/>
      <c r="BM29" s="614"/>
      <c r="BN29" s="615"/>
      <c r="BO29" s="616"/>
      <c r="BP29" s="617"/>
      <c r="BQ29" s="618"/>
      <c r="BR29" s="613"/>
      <c r="BS29" s="614"/>
      <c r="BT29" s="615"/>
      <c r="BU29" s="820"/>
      <c r="BV29" s="888"/>
      <c r="BW29" s="889"/>
      <c r="BX29" s="889"/>
      <c r="BY29" s="890"/>
      <c r="BZ29" s="667"/>
      <c r="CA29" s="619"/>
      <c r="CB29" s="63"/>
      <c r="CC29" s="69"/>
      <c r="CD29" s="67"/>
      <c r="CE29" s="67"/>
      <c r="CF29" s="70"/>
      <c r="CG29" s="69"/>
      <c r="CH29" s="70"/>
      <c r="CI29" s="69"/>
      <c r="CJ29" s="67"/>
      <c r="CK29" s="70"/>
      <c r="CL29" s="69"/>
      <c r="CM29" s="631"/>
      <c r="CN29" s="70"/>
      <c r="CO29" s="69"/>
      <c r="CP29" s="631"/>
      <c r="CQ29" s="70"/>
      <c r="CR29" s="634"/>
      <c r="CS29" s="67"/>
      <c r="CT29" s="70"/>
      <c r="CU29" s="69"/>
      <c r="CV29" s="637"/>
      <c r="CW29" s="67"/>
      <c r="CX29" s="70"/>
      <c r="CY29" s="71"/>
      <c r="CZ29" s="9"/>
      <c r="DA29" s="33"/>
      <c r="DB29" s="33"/>
      <c r="DC29" s="400"/>
      <c r="DD29" s="401"/>
      <c r="DE29" s="587"/>
      <c r="DF29" s="588"/>
      <c r="DG29" s="588"/>
      <c r="DH29" s="589"/>
      <c r="DI29" s="590"/>
      <c r="DJ29" s="590"/>
      <c r="DK29" s="590"/>
      <c r="DL29" s="591"/>
      <c r="DM29" s="592"/>
      <c r="DN29" s="592"/>
      <c r="DO29" s="592"/>
      <c r="DP29" s="592"/>
      <c r="DQ29" s="592"/>
      <c r="DR29" s="592"/>
      <c r="DS29" s="592"/>
      <c r="DT29" s="592"/>
      <c r="DU29" s="592"/>
      <c r="DV29" s="592"/>
      <c r="DW29" s="592"/>
      <c r="DX29" s="592"/>
      <c r="DY29" s="592"/>
      <c r="DZ29" s="592"/>
      <c r="EA29" s="592"/>
      <c r="EB29" s="592"/>
      <c r="EC29" s="592"/>
      <c r="ED29" s="592"/>
      <c r="EE29" s="592"/>
      <c r="EF29" s="592"/>
      <c r="EG29" s="593"/>
      <c r="EH29" s="593"/>
      <c r="EI29" s="593"/>
      <c r="EJ29" s="593"/>
      <c r="EK29" s="593"/>
      <c r="EL29" s="593"/>
      <c r="EM29" s="593"/>
      <c r="EN29" s="593"/>
      <c r="EO29" s="593"/>
      <c r="EP29" s="593"/>
      <c r="EQ29" s="593"/>
      <c r="ER29" s="593"/>
      <c r="ES29" s="593"/>
      <c r="ET29" s="593"/>
      <c r="EU29" s="593"/>
      <c r="EV29" s="593"/>
      <c r="EW29" s="593"/>
      <c r="EX29" s="593"/>
      <c r="EY29" s="593"/>
      <c r="EZ29" s="593"/>
      <c r="FA29" s="592"/>
      <c r="FB29" s="592"/>
      <c r="FC29" s="402"/>
      <c r="FD29" s="402"/>
      <c r="FE29" s="402"/>
      <c r="FF29" s="592"/>
      <c r="FG29" s="592"/>
      <c r="FH29" s="13"/>
      <c r="FI29" s="780"/>
      <c r="FJ29" s="13"/>
      <c r="FK29" s="1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row>
    <row r="30" spans="1:756" ht="12" customHeight="1">
      <c r="A30" s="61">
        <f>IF(OR(E30="",LEFT(E30,2)=" B",E30="  RF",LEFT(E30,1)="P"),0,C30)</f>
        <v>4</v>
      </c>
      <c r="B30" s="62">
        <f>IF(AND(AA29="",E30=""),0,IF(LEFT(E30,2)="PH",0,1))</f>
        <v>1</v>
      </c>
      <c r="C30" s="1773">
        <f>IF(OR(AA29&lt;&gt;"",E30="  RF"),C28+1,"")</f>
        <v>4</v>
      </c>
      <c r="D30" s="1774"/>
      <c r="E30" s="1802" t="s">
        <v>2234</v>
      </c>
      <c r="F30" s="1803"/>
      <c r="G30" s="1803"/>
      <c r="H30" s="1804"/>
      <c r="I30" s="1778" t="str">
        <f>IF(I112=0,"",I112)</f>
        <v>B1</v>
      </c>
      <c r="J30" s="1779"/>
      <c r="K30" s="1780"/>
      <c r="L30" s="1808"/>
      <c r="M30" s="1808"/>
      <c r="N30" s="1808"/>
      <c r="O30" s="1805">
        <v>4</v>
      </c>
      <c r="P30" s="1806"/>
      <c r="Q30" s="1806"/>
      <c r="R30" s="1807"/>
      <c r="S30" s="1784">
        <v>3</v>
      </c>
      <c r="T30" s="1785"/>
      <c r="U30" s="1785"/>
      <c r="V30" s="1786"/>
      <c r="W30" s="1805"/>
      <c r="X30" s="1806"/>
      <c r="Y30" s="1806"/>
      <c r="Z30" s="1807"/>
      <c r="AA30" s="1762"/>
      <c r="AB30" s="1762"/>
      <c r="AC30" s="1762"/>
      <c r="AD30" s="1762"/>
      <c r="AE30" s="1762"/>
      <c r="AF30" s="1763"/>
      <c r="AG30" s="1770">
        <f>IF(OR($U$11="No",C30=""),"",IF(AM30&lt;&gt;"",AM30,IF(LEFT(E30,2)="PH","",IF(BV30&lt;&gt;"",VLOOKUP(BV30,令別表,4,FALSE)*AA29/100,IF(ISNA(VLOOKUP($AS$16,令別表,4,FALSE)),"",IF(VLOOKUP($AS$16,令別表,4,FALSE)*AA29/100=0,"",VLOOKUP($AS$16,令別表,4,FALSE)*AA29/100))))))</f>
        <v>2289.6</v>
      </c>
      <c r="AH30" s="1771"/>
      <c r="AI30" s="1771"/>
      <c r="AJ30" s="1771"/>
      <c r="AK30" s="1771"/>
      <c r="AL30" s="1772"/>
      <c r="AM30" s="2212"/>
      <c r="AN30" s="2213"/>
      <c r="AO30" s="2213"/>
      <c r="AP30" s="2214"/>
      <c r="AQ30" s="1764">
        <f>IF(E30="","",IF(AG30="",AA29,IF(AA29="","",AA29-AG30)))</f>
        <v>1526.4</v>
      </c>
      <c r="AR30" s="1765"/>
      <c r="AS30" s="1765"/>
      <c r="AT30" s="1765"/>
      <c r="AU30" s="1765"/>
      <c r="AV30" s="1766"/>
      <c r="AW30" s="1790">
        <f>IF(C30="","",IF(AZ30&lt;&gt;"",AZ30,IF(LEFT(E30,2)="PH","",IF(BV30&lt;&gt;"",1+INT(AG30/VLOOKUP(BV30,令別表,5,FALSE)),IF(ISNA(VLOOKUP($AS$16,令別表,5,FALSE)),"",IF(1+INT(AG30/VLOOKUP($AS$16,令別表,5,FALSE))="","",1+INT(AG30/VLOOKUP($AS$16,令別表,5,FALSE))))))))</f>
        <v>16</v>
      </c>
      <c r="AX30" s="1791"/>
      <c r="AY30" s="1792"/>
      <c r="AZ30" s="1799"/>
      <c r="BA30" s="1800"/>
      <c r="BB30" s="1801"/>
      <c r="BC30" s="1790">
        <f>IF(E30="","",IF(BF30&lt;&gt;"",BF30,IF(BV30&lt;&gt;"",1+INT(AQ30/VLOOKUP(BV30,令別表,7,FALSE)),IF(ISNA(VLOOKUP($AS$16,令別表,7,FALSE)),"",IF(1+INT(AQ30/VLOOKUP($AS$16,令別表,7,FALSE))="","",1+INT(AQ30/VLOOKUP($AS$16,令別表,7,FALSE)))))))</f>
        <v>39</v>
      </c>
      <c r="BD30" s="1791"/>
      <c r="BE30" s="1791"/>
      <c r="BF30" s="1799"/>
      <c r="BG30" s="1800"/>
      <c r="BH30" s="1801"/>
      <c r="BI30" s="2210" t="str">
        <f>IF(OR(AA29="",E30=""),"",IF(LEFT(E30,2)=" B","無窓",IF(BL30&lt;&gt;"",BL30,IF(BV30&lt;&gt;"",VLOOKUP(BV30,令別表,8,FALSE),IF(OR(LEFT(E30,2)=" B",LEFT(E30,2)="PH"),"無窓",IF(LEFT(E30,2)&lt;&gt;"",VLOOKUP($AS$16,令別表,8,FALSE)))))))</f>
        <v>無窓</v>
      </c>
      <c r="BJ30" s="2211"/>
      <c r="BK30" s="2211"/>
      <c r="BL30" s="2164"/>
      <c r="BM30" s="2165"/>
      <c r="BN30" s="2166"/>
      <c r="BO30" s="2207" t="str">
        <f>IF(OR(E30="",AA29=""),"",IF(LEFT(E30,2)=" B","無窓",IF(BR30&lt;&gt;"",BR30,IF(BV30&lt;&gt;"",VLOOKUP(BV30,令別表,8,FALSE),IF(OR(LEFT(E30,2)=" B",LEFT(E30,2)="PH"),"無窓",IF(LEFT(E30,2)&lt;&gt;"",VLOOKUP($AS$16,令別表,9,FALSE)))))))</f>
        <v>無窓</v>
      </c>
      <c r="BP30" s="2208"/>
      <c r="BQ30" s="2209"/>
      <c r="BR30" s="2164"/>
      <c r="BS30" s="2165"/>
      <c r="BT30" s="2166"/>
      <c r="BU30" s="819" t="str">
        <f>IF(AND(LEFT($AS$16,4)="(16)",E30&lt;&gt;"",BV30=""),"■","")</f>
        <v/>
      </c>
      <c r="BV30" s="2201" t="s">
        <v>2250</v>
      </c>
      <c r="BW30" s="2202"/>
      <c r="BX30" s="2202"/>
      <c r="BY30" s="2203"/>
      <c r="BZ30" s="1810" t="str">
        <f>IF(E30="","",IF(AND(BU30="",BV30="",CB30=1),"済",IF(AND(BU30="",BV30&lt;&gt;"",CB30=1),"済","未")))</f>
        <v>済</v>
      </c>
      <c r="CA30" s="1811"/>
      <c r="CB30" s="659">
        <f>IF(AND(LEFT(E30,4)="  1F",O30&lt;&gt;"",S30&lt;&gt;"",W30&lt;&gt;"",AA29&lt;&gt;""),1,IF(AND(LEFT(E30,4)&lt;&gt;"  1F",O30&lt;&gt;"",S30&lt;&gt;"",AA29&lt;&gt;""),1,0))</f>
        <v>1</v>
      </c>
      <c r="CC30" s="69" t="str">
        <f>IF(C30="","",IF(LEFT(E30,2)=" B",O30,""))</f>
        <v/>
      </c>
      <c r="CD30" s="67" t="str">
        <f>IF(C30="","",IF(E30="  1F",O30,""))</f>
        <v/>
      </c>
      <c r="CE30" s="67">
        <f>IF(OR(C30="",E30="  1F"),"",IF(AND(LEFT(E30,2)&lt;&gt;" B",LEFT(E30,1)&lt;&gt;"P"),O30,""))</f>
        <v>4</v>
      </c>
      <c r="CF30" s="70" t="str">
        <f>IF(C30="","",IF(LEFT(E30,1)="P",O30,""))</f>
        <v/>
      </c>
      <c r="CG30" s="69" t="str">
        <f>IF(LEFT(E30,2)=" B",E30,"")</f>
        <v/>
      </c>
      <c r="CH30" s="70" t="str">
        <f>IF(BV30="","",IF(LEFT(E30,2)=" B",BV30,""))</f>
        <v/>
      </c>
      <c r="CI30" s="69" t="str">
        <f>IF(E30="  1F",AA29,"")</f>
        <v/>
      </c>
      <c r="CJ30" s="631">
        <f>IF(OR(LEFT(E30,2)=" B",LEFT(E30,2)="PH"),0,IF(CI30="",0,IF(AND(BI30="無窓",BO30="無窓"),3,IF(BI30="無窓",1,IF(BO30="無窓",2,0)))))</f>
        <v>0</v>
      </c>
      <c r="CK30" s="70" t="str">
        <f>IF(BV30="","",IF(E30="  1F",BV30,""))</f>
        <v/>
      </c>
      <c r="CL30" s="69">
        <f>IF(E30="  2F",AA29,"")</f>
        <v>3816</v>
      </c>
      <c r="CM30" s="631">
        <f>IF(OR(LEFT(E30,2)=" B",LEFT(E30,2)="PH"),0,IF(CL30="",0,IF(AND(BI30="無窓",BO30="無窓"),3,IF(BI30="無窓",1,IF(BO30="無窓",2,0)))))</f>
        <v>3</v>
      </c>
      <c r="CN30" s="70" t="str">
        <f>IF(BV30="","",IF(E30="  2F",BV30,""))</f>
        <v>(3) イ</v>
      </c>
      <c r="CO30" s="69" t="str">
        <f>IF(E30="  3F",AA29,"")</f>
        <v/>
      </c>
      <c r="CP30" s="631">
        <f>IF(OR(LEFT(E30,2)=" B",LEFT(E30,2)="PH"),0,IF(CO30="",0,IF(AND(BI30="無窓",BO30="無窓"),3,IF(BI30="無窓",1,IF(BO30="無窓",2,0)))))</f>
        <v>0</v>
      </c>
      <c r="CQ30" s="70" t="str">
        <f>IF(BV30="","",IF(E30="  3F",BV30,""))</f>
        <v/>
      </c>
      <c r="CR30" s="634" t="str">
        <f>IF(OR(E30="  4F",E30="  5F",E30="  6F",E30="  7F",E30="  8F",E30="  9F",E30=" 10F"),AA29,"")</f>
        <v/>
      </c>
      <c r="CS30" s="631">
        <f>IF(E30="",0,IF(OR(LEFT(E30,2)=" B",LEFT(E30,2)="PH"),0,IF(OR(VALUE(LEFT(E30,3))&lt;4,VALUE(LEFT(E30,3))&gt;10),0,IF(AND(BI30="無窓",BO30="無窓"),3,IF(BI30="無窓",1,IF(BO30="無窓",2,0))))))</f>
        <v>0</v>
      </c>
      <c r="CT30" s="70" t="str">
        <f>IF(OR(E30="",LEFT(E30,2)=" B",LEFT(E30,1)="P"),"",IF(AND(VALUE(LEFT(E30,3))&gt;=4,VALUE(LEFT(E30,3))&lt;11),BV30,""))</f>
        <v/>
      </c>
      <c r="CU30" s="69" t="str">
        <f>IF(OR(LEFT(E30,2)=" B",LEFT(E30,2)="PH",E30=""),"",IF(VALUE(LEFT(E30,3))&gt;10,AA29,""))</f>
        <v/>
      </c>
      <c r="CV30" s="637">
        <f>IF(E30="",0,IF(OR(LEFT(E30,2)=" B",LEFT(E30,2)="PH"),0,IF(AND(BI30="無窓",BO30="無窓"),3,IF(BI30="無窓",1,IF(BO30="無窓",2,0)))))</f>
        <v>3</v>
      </c>
      <c r="CW30" s="67" t="str">
        <f>IF(OR(E30="",LEFT(E30,2)=" B",LEFT(E30,1)="P"),"",IF(VALUE(LEFT(E30,3))&gt;10,BV30,""))</f>
        <v/>
      </c>
      <c r="CX30" s="70" t="str">
        <f>IF(LEFT(E30,2)="PH",AA29,"")</f>
        <v/>
      </c>
      <c r="CY30" s="68" t="str">
        <f>IF(OR(BV30="(2) ロ",BV30="( 4 )",BV30="(5) イ"),1,"")</f>
        <v/>
      </c>
      <c r="CZ30" s="9"/>
      <c r="DA30" s="33"/>
      <c r="DB30" s="33"/>
      <c r="DC30" s="24" t="s">
        <v>147</v>
      </c>
      <c r="DD30" s="397" t="s">
        <v>148</v>
      </c>
      <c r="DE30" s="25" t="s">
        <v>30</v>
      </c>
      <c r="DF30" s="26">
        <v>70</v>
      </c>
      <c r="DG30" s="26">
        <v>60</v>
      </c>
      <c r="DH30" s="27">
        <f t="shared" si="0"/>
        <v>30</v>
      </c>
      <c r="DI30" s="28">
        <v>20</v>
      </c>
      <c r="DJ30" s="28" t="s">
        <v>75</v>
      </c>
      <c r="DK30" s="28" t="s">
        <v>75</v>
      </c>
      <c r="DL30" s="29">
        <v>10</v>
      </c>
      <c r="DM30" s="30" t="s">
        <v>149</v>
      </c>
      <c r="DN30" s="30">
        <v>58</v>
      </c>
      <c r="DO30" s="30">
        <v>70</v>
      </c>
      <c r="DP30" s="30">
        <v>80</v>
      </c>
      <c r="DQ30" s="30">
        <v>500</v>
      </c>
      <c r="DR30" s="30" t="s">
        <v>150</v>
      </c>
      <c r="DS30" s="30">
        <v>58</v>
      </c>
      <c r="DT30" s="30">
        <v>70</v>
      </c>
      <c r="DU30" s="30">
        <v>80</v>
      </c>
      <c r="DV30" s="30">
        <v>100</v>
      </c>
      <c r="DW30" s="30" t="s">
        <v>109</v>
      </c>
      <c r="DX30" s="30">
        <v>59</v>
      </c>
      <c r="DY30" s="30">
        <v>70</v>
      </c>
      <c r="DZ30" s="30">
        <v>90</v>
      </c>
      <c r="EA30" s="30">
        <v>300</v>
      </c>
      <c r="EB30" s="30" t="s">
        <v>110</v>
      </c>
      <c r="EC30" s="30">
        <v>66</v>
      </c>
      <c r="ED30" s="30">
        <v>79</v>
      </c>
      <c r="EE30" s="30">
        <v>80</v>
      </c>
      <c r="EF30" s="30">
        <v>100</v>
      </c>
      <c r="EG30" s="31" t="s">
        <v>141</v>
      </c>
      <c r="EH30" s="31">
        <v>54</v>
      </c>
      <c r="EI30" s="31">
        <v>70</v>
      </c>
      <c r="EJ30" s="31">
        <v>80</v>
      </c>
      <c r="EK30" s="31">
        <v>200</v>
      </c>
      <c r="EL30" s="31" t="s">
        <v>111</v>
      </c>
      <c r="EM30" s="31">
        <v>58</v>
      </c>
      <c r="EN30" s="31">
        <v>70</v>
      </c>
      <c r="EO30" s="31">
        <v>80</v>
      </c>
      <c r="EP30" s="31">
        <v>100</v>
      </c>
      <c r="EQ30" s="31" t="s">
        <v>113</v>
      </c>
      <c r="ER30" s="31">
        <v>66</v>
      </c>
      <c r="ES30" s="31">
        <v>79</v>
      </c>
      <c r="ET30" s="31">
        <v>90</v>
      </c>
      <c r="EU30" s="31">
        <v>200</v>
      </c>
      <c r="EV30" s="31" t="s">
        <v>114</v>
      </c>
      <c r="EW30" s="31">
        <v>66</v>
      </c>
      <c r="EX30" s="31">
        <v>79</v>
      </c>
      <c r="EY30" s="31">
        <v>80</v>
      </c>
      <c r="EZ30" s="31">
        <v>100</v>
      </c>
      <c r="FA30" s="30">
        <v>20</v>
      </c>
      <c r="FB30" s="30">
        <v>100</v>
      </c>
      <c r="FC30" s="32" t="s">
        <v>147</v>
      </c>
      <c r="FD30" s="402"/>
      <c r="FE30" s="402"/>
      <c r="FF30" s="30"/>
      <c r="FG30" s="30"/>
      <c r="FH30" s="13"/>
      <c r="FI30" s="156"/>
      <c r="FJ30" s="13"/>
      <c r="FK30" s="1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row>
    <row r="31" spans="1:756" ht="0.75" customHeight="1">
      <c r="A31" s="61"/>
      <c r="B31" s="62"/>
      <c r="C31" s="594"/>
      <c r="D31" s="602"/>
      <c r="E31" s="1754"/>
      <c r="F31" s="1755"/>
      <c r="G31" s="1755"/>
      <c r="H31" s="1756"/>
      <c r="I31" s="602"/>
      <c r="J31" s="602"/>
      <c r="K31" s="602"/>
      <c r="L31" s="1808"/>
      <c r="M31" s="1808"/>
      <c r="N31" s="1808"/>
      <c r="O31" s="794"/>
      <c r="P31" s="795"/>
      <c r="Q31" s="795"/>
      <c r="R31" s="796"/>
      <c r="S31" s="797"/>
      <c r="T31" s="798"/>
      <c r="U31" s="798"/>
      <c r="V31" s="799"/>
      <c r="W31" s="800"/>
      <c r="X31" s="801"/>
      <c r="Y31" s="801"/>
      <c r="Z31" s="802"/>
      <c r="AA31" s="1760">
        <f>IF(E30="","",O113)</f>
        <v>3816</v>
      </c>
      <c r="AB31" s="1760"/>
      <c r="AC31" s="1760"/>
      <c r="AD31" s="1760"/>
      <c r="AE31" s="1760"/>
      <c r="AF31" s="1761"/>
      <c r="AG31" s="783"/>
      <c r="AH31" s="784"/>
      <c r="AI31" s="784"/>
      <c r="AJ31" s="784"/>
      <c r="AK31" s="784"/>
      <c r="AL31" s="784"/>
      <c r="AM31" s="803"/>
      <c r="AN31" s="803"/>
      <c r="AO31" s="803"/>
      <c r="AP31" s="803"/>
      <c r="AQ31" s="784"/>
      <c r="AR31" s="784"/>
      <c r="AS31" s="784"/>
      <c r="AT31" s="784"/>
      <c r="AU31" s="784"/>
      <c r="AV31" s="784"/>
      <c r="AW31" s="784"/>
      <c r="AX31" s="784"/>
      <c r="AY31" s="784"/>
      <c r="AZ31" s="803"/>
      <c r="BA31" s="803"/>
      <c r="BB31" s="803"/>
      <c r="BC31" s="784"/>
      <c r="BD31" s="784"/>
      <c r="BE31" s="784"/>
      <c r="BF31" s="803"/>
      <c r="BG31" s="803"/>
      <c r="BH31" s="803"/>
      <c r="BI31" s="599"/>
      <c r="BJ31" s="599"/>
      <c r="BK31" s="599"/>
      <c r="BL31" s="810"/>
      <c r="BM31" s="810"/>
      <c r="BN31" s="810"/>
      <c r="BO31" s="599"/>
      <c r="BP31" s="599"/>
      <c r="BQ31" s="599"/>
      <c r="BR31" s="810"/>
      <c r="BS31" s="810"/>
      <c r="BT31" s="810"/>
      <c r="BU31" s="599"/>
      <c r="BV31" s="811"/>
      <c r="BW31" s="812"/>
      <c r="BX31" s="812"/>
      <c r="BY31" s="813"/>
      <c r="BZ31" s="599"/>
      <c r="CA31" s="600"/>
      <c r="CB31" s="63"/>
      <c r="CC31" s="69"/>
      <c r="CD31" s="67"/>
      <c r="CE31" s="67"/>
      <c r="CF31" s="70"/>
      <c r="CG31" s="69"/>
      <c r="CH31" s="70"/>
      <c r="CI31" s="69"/>
      <c r="CJ31" s="67"/>
      <c r="CK31" s="70"/>
      <c r="CL31" s="69"/>
      <c r="CM31" s="631"/>
      <c r="CN31" s="70"/>
      <c r="CO31" s="69"/>
      <c r="CP31" s="631"/>
      <c r="CQ31" s="70"/>
      <c r="CR31" s="634"/>
      <c r="CS31" s="67"/>
      <c r="CT31" s="70"/>
      <c r="CU31" s="69"/>
      <c r="CV31" s="637"/>
      <c r="CW31" s="67"/>
      <c r="CX31" s="70"/>
      <c r="CY31" s="71"/>
      <c r="CZ31" s="9"/>
      <c r="DA31" s="33"/>
      <c r="DB31" s="33"/>
      <c r="DC31" s="400"/>
      <c r="DD31" s="401"/>
      <c r="DE31" s="587"/>
      <c r="DF31" s="588"/>
      <c r="DG31" s="588"/>
      <c r="DH31" s="589"/>
      <c r="DI31" s="590"/>
      <c r="DJ31" s="590"/>
      <c r="DK31" s="590"/>
      <c r="DL31" s="591"/>
      <c r="DM31" s="592"/>
      <c r="DN31" s="592"/>
      <c r="DO31" s="592"/>
      <c r="DP31" s="592"/>
      <c r="DQ31" s="592"/>
      <c r="DR31" s="592"/>
      <c r="DS31" s="592"/>
      <c r="DT31" s="592"/>
      <c r="DU31" s="592"/>
      <c r="DV31" s="592"/>
      <c r="DW31" s="592"/>
      <c r="DX31" s="592"/>
      <c r="DY31" s="592"/>
      <c r="DZ31" s="592"/>
      <c r="EA31" s="592"/>
      <c r="EB31" s="592"/>
      <c r="EC31" s="592"/>
      <c r="ED31" s="592"/>
      <c r="EE31" s="592"/>
      <c r="EF31" s="592"/>
      <c r="EG31" s="593"/>
      <c r="EH31" s="593"/>
      <c r="EI31" s="593"/>
      <c r="EJ31" s="593"/>
      <c r="EK31" s="593"/>
      <c r="EL31" s="593"/>
      <c r="EM31" s="593"/>
      <c r="EN31" s="593"/>
      <c r="EO31" s="593"/>
      <c r="EP31" s="593"/>
      <c r="EQ31" s="593"/>
      <c r="ER31" s="593"/>
      <c r="ES31" s="593"/>
      <c r="ET31" s="593"/>
      <c r="EU31" s="593"/>
      <c r="EV31" s="593"/>
      <c r="EW31" s="593"/>
      <c r="EX31" s="593"/>
      <c r="EY31" s="593"/>
      <c r="EZ31" s="593"/>
      <c r="FA31" s="592"/>
      <c r="FB31" s="592"/>
      <c r="FC31" s="402"/>
      <c r="FD31" s="402"/>
      <c r="FE31" s="402"/>
      <c r="FF31" s="592"/>
      <c r="FG31" s="592"/>
      <c r="FH31" s="13"/>
      <c r="FI31" s="780"/>
      <c r="FJ31" s="13"/>
      <c r="FK31" s="1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row>
    <row r="32" spans="1:756" ht="12" customHeight="1">
      <c r="A32" s="61">
        <f>IF(OR(E32="",LEFT(E32,2)=" B",E32="  RF",LEFT(E32,1)="P"),0,C32)</f>
        <v>5</v>
      </c>
      <c r="B32" s="62">
        <f>IF(AND(AA31="",E32=""),0,IF(LEFT(E32,2)="PH",0,1))</f>
        <v>1</v>
      </c>
      <c r="C32" s="1773">
        <f>IF(AA31="","",C30+1)</f>
        <v>5</v>
      </c>
      <c r="D32" s="1774"/>
      <c r="E32" s="1802" t="s">
        <v>2235</v>
      </c>
      <c r="F32" s="1803"/>
      <c r="G32" s="1803"/>
      <c r="H32" s="1804"/>
      <c r="I32" s="1778" t="str">
        <f>IF(I113=0,"",I113)</f>
        <v>B1</v>
      </c>
      <c r="J32" s="1779"/>
      <c r="K32" s="1780"/>
      <c r="L32" s="1808"/>
      <c r="M32" s="1808"/>
      <c r="N32" s="1808"/>
      <c r="O32" s="1805">
        <v>4</v>
      </c>
      <c r="P32" s="1806"/>
      <c r="Q32" s="1806"/>
      <c r="R32" s="1807"/>
      <c r="S32" s="1784">
        <v>3</v>
      </c>
      <c r="T32" s="1785"/>
      <c r="U32" s="1785"/>
      <c r="V32" s="1786"/>
      <c r="W32" s="1805"/>
      <c r="X32" s="1806"/>
      <c r="Y32" s="1806"/>
      <c r="Z32" s="1807"/>
      <c r="AA32" s="1762"/>
      <c r="AB32" s="1762"/>
      <c r="AC32" s="1762"/>
      <c r="AD32" s="1762"/>
      <c r="AE32" s="1762"/>
      <c r="AF32" s="1763"/>
      <c r="AG32" s="1770">
        <f>IF(OR($U$11="No",C32=""),"",IF(AM32&lt;&gt;"",AM32,IF(LEFT(E32,2)="PH","",IF(BV32&lt;&gt;"",VLOOKUP(BV32,令別表,4,FALSE)*AA31/100,IF(ISNA(VLOOKUP($AS$16,令別表,4,FALSE)),"",IF(VLOOKUP($AS$16,令別表,4,FALSE)*AA31/100=0,"",VLOOKUP($AS$16,令別表,4,FALSE)*AA31/100))))))</f>
        <v>2671.2</v>
      </c>
      <c r="AH32" s="1771"/>
      <c r="AI32" s="1771"/>
      <c r="AJ32" s="1771"/>
      <c r="AK32" s="1771"/>
      <c r="AL32" s="1772"/>
      <c r="AM32" s="1767"/>
      <c r="AN32" s="1768"/>
      <c r="AO32" s="1768"/>
      <c r="AP32" s="1769"/>
      <c r="AQ32" s="1764">
        <f>IF(E32="","",IF(AG32="",AA31,IF(AA31="","",AA31-AG32)))</f>
        <v>1144.8000000000002</v>
      </c>
      <c r="AR32" s="1765"/>
      <c r="AS32" s="1765"/>
      <c r="AT32" s="1765"/>
      <c r="AU32" s="1765"/>
      <c r="AV32" s="1766"/>
      <c r="AW32" s="1790">
        <f>IF(C32="","",IF(AZ32&lt;&gt;"",AZ32,IF(LEFT(E32,2)="PH","",IF(BV32&lt;&gt;"",1+INT(AG32/VLOOKUP(BV32,令別表,5,FALSE)),IF(ISNA(VLOOKUP($AS$16,令別表,5,FALSE)),"",IF(1+INT(AG32/VLOOKUP($AS$16,令別表,5,FALSE))="","",1+INT(AG32/VLOOKUP($AS$16,令別表,5,FALSE))))))))</f>
        <v>9</v>
      </c>
      <c r="AX32" s="1791"/>
      <c r="AY32" s="1792"/>
      <c r="AZ32" s="2183"/>
      <c r="BA32" s="2184"/>
      <c r="BB32" s="2185"/>
      <c r="BC32" s="1790">
        <f>IF(E32="","",IF(BF32&lt;&gt;"",BF32,IF(BV32&lt;&gt;"",1+INT(AQ32/VLOOKUP(BV32,令別表,7,FALSE)),IF(ISNA(VLOOKUP($AS$16,令別表,7,FALSE)),"",IF(1+INT(AQ32/VLOOKUP($AS$16,令別表,7,FALSE))="","",1+INT(AQ32/VLOOKUP($AS$16,令別表,7,FALSE)))))))</f>
        <v>29</v>
      </c>
      <c r="BD32" s="1791"/>
      <c r="BE32" s="1791"/>
      <c r="BF32" s="2183"/>
      <c r="BG32" s="2184"/>
      <c r="BH32" s="2185"/>
      <c r="BI32" s="2186" t="str">
        <f>IF(OR(AA31="",E32=""),"",IF(LEFT(E32,2)=" B","無窓",IF(BL32&lt;&gt;"",BL32,IF(BV32&lt;&gt;"",VLOOKUP(BV32,令別表,8,FALSE),IF(OR(LEFT(E32,2)=" B",LEFT(E32,2)="PH"),"無窓",IF(LEFT(E32,2)&lt;&gt;"",VLOOKUP($AS$16,令別表,8,FALSE)))))))</f>
        <v>無窓</v>
      </c>
      <c r="BJ32" s="2187"/>
      <c r="BK32" s="2187"/>
      <c r="BL32" s="2164"/>
      <c r="BM32" s="2165"/>
      <c r="BN32" s="2166"/>
      <c r="BO32" s="2161" t="str">
        <f>IF(OR(E32="",AA31=""),"",IF(LEFT(E32,2)=" B","無窓",IF(BR32&lt;&gt;"",BR32,IF(BV32&lt;&gt;"",VLOOKUP(BV32,令別表,8,FALSE),IF(OR(LEFT(E32,2)=" B",LEFT(E32,2)="PH"),"無窓",IF(LEFT(E32,2)&lt;&gt;"",VLOOKUP($AS$16,令別表,9,FALSE)))))))</f>
        <v>無窓</v>
      </c>
      <c r="BP32" s="2162"/>
      <c r="BQ32" s="2163"/>
      <c r="BR32" s="2164"/>
      <c r="BS32" s="2165"/>
      <c r="BT32" s="2166"/>
      <c r="BU32" s="819" t="str">
        <f>IF(AND(LEFT($AS$16,4)="(16)",E32&lt;&gt;"",BV32=""),"■","")</f>
        <v/>
      </c>
      <c r="BV32" s="2201" t="s">
        <v>2249</v>
      </c>
      <c r="BW32" s="2202"/>
      <c r="BX32" s="2202"/>
      <c r="BY32" s="2203"/>
      <c r="BZ32" s="1810" t="str">
        <f>IF(E32="","",IF(AND(BU32="",BV32="",CB32=1),"済",IF(AND(BU32="",BV32&lt;&gt;"",CB32=1),"済","未")))</f>
        <v>済</v>
      </c>
      <c r="CA32" s="1811"/>
      <c r="CB32" s="659">
        <f>IF(AND(LEFT(E32,4)="  1F",O32&lt;&gt;"",S32&lt;&gt;"",W32&lt;&gt;"",AA31&lt;&gt;""),1,IF(AND(LEFT(E32,4)&lt;&gt;"  1F",O32&lt;&gt;"",S32&lt;&gt;"",AA31&lt;&gt;""),1,0))</f>
        <v>1</v>
      </c>
      <c r="CC32" s="69" t="str">
        <f>IF(C32="","",IF(LEFT(E32,2)=" B",O32,""))</f>
        <v/>
      </c>
      <c r="CD32" s="67" t="str">
        <f>IF(C32="","",IF(E32="  1F",O32,""))</f>
        <v/>
      </c>
      <c r="CE32" s="67">
        <f>IF(OR(C32="",E32="  1F"),"",IF(AND(LEFT(E32,2)&lt;&gt;" B",LEFT(E32,1)&lt;&gt;"P"),O32,""))</f>
        <v>4</v>
      </c>
      <c r="CF32" s="70" t="str">
        <f>IF(C32="","",IF(LEFT(E32,1)="P",O32,""))</f>
        <v/>
      </c>
      <c r="CG32" s="69" t="str">
        <f>IF(LEFT(E32,2)=" B",E32,"")</f>
        <v/>
      </c>
      <c r="CH32" s="70" t="str">
        <f>IF(BV32="","",IF(LEFT(E32,2)=" B",BV32,""))</f>
        <v/>
      </c>
      <c r="CI32" s="69" t="str">
        <f>IF(E32="  1F",AA31,"")</f>
        <v/>
      </c>
      <c r="CJ32" s="631">
        <f>IF(OR(LEFT(E32,2)=" B",LEFT(E32,2)="PH"),0,IF(CI32="",0,IF(AND(BI32="無窓",BO32="無窓"),3,IF(BI32="無窓",1,IF(BO32="無窓",2,0)))))</f>
        <v>0</v>
      </c>
      <c r="CK32" s="70" t="str">
        <f>IF(BV32="","",IF(E32="  1F",BV32,""))</f>
        <v/>
      </c>
      <c r="CL32" s="69" t="str">
        <f>IF(E32="  2F",E32,"")</f>
        <v/>
      </c>
      <c r="CM32" s="631">
        <f>IF(OR(LEFT(E32,2)=" B",LEFT(E32,2)="PH"),0,IF(CL32="",0,IF(AND(BI32="無窓",BO32="無窓"),3,IF(BI32="無窓",1,IF(BO32="無窓",2,0)))))</f>
        <v>0</v>
      </c>
      <c r="CN32" s="70" t="str">
        <f>IF(BV32="","",IF(E32="  2F",BV32,""))</f>
        <v/>
      </c>
      <c r="CO32" s="69">
        <f>IF(E32="  3F",AA31,"")</f>
        <v>3816</v>
      </c>
      <c r="CP32" s="631">
        <f>IF(OR(LEFT(E32,2)=" B",LEFT(E32,2)="PH"),0,IF(CO32="",0,IF(AND(BI32="無窓",BO32="無窓"),3,IF(BI32="無窓",1,IF(BO32="無窓",2,0)))))</f>
        <v>3</v>
      </c>
      <c r="CQ32" s="70" t="str">
        <f>IF(BV32="","",IF(E32="  3F",BV32,""))</f>
        <v>( 4 )</v>
      </c>
      <c r="CR32" s="634" t="str">
        <f>IF(OR(E32="  4F",E32="  5F",E32="  6F",E32="  7F",E32="  8F",E32="  9F",E32=" 10F"),AA31,"")</f>
        <v/>
      </c>
      <c r="CS32" s="631">
        <f>IF(E32="",0,IF(OR(LEFT(E32,2)=" B",LEFT(E32,2)="PH"),0,IF(OR(VALUE(LEFT(E32,3))&lt;4,VALUE(LEFT(E32,3))&gt;10),0,IF(AND(BI32="無窓",BO32="無窓"),3,IF(BI32="無窓",1,IF(BO32="無窓",2,0))))))</f>
        <v>0</v>
      </c>
      <c r="CT32" s="70" t="str">
        <f>IF(OR(E32="",LEFT(E32,2)=" B",LEFT(E32,1)="P"),"",IF(AND(VALUE(LEFT(E32,3))&gt;=4,VALUE(LEFT(E32,3))&lt;11),BV32,""))</f>
        <v/>
      </c>
      <c r="CU32" s="69" t="str">
        <f>IF(OR(LEFT(E32,2)=" B",LEFT(E32,2)="PH",E32=""),"",IF(VALUE(LEFT(E32,3))&gt;10,AA31,""))</f>
        <v/>
      </c>
      <c r="CV32" s="637">
        <f>IF(E32="",0,IF(OR(LEFT(E32,2)=" B",LEFT(E32,2)="PH"),0,IF(AND(BI32="無窓",BO32="無窓"),3,IF(BI32="無窓",1,IF(BO32="無窓",2,0)))))</f>
        <v>3</v>
      </c>
      <c r="CW32" s="67" t="str">
        <f>IF(OR(E32="",LEFT(E32,2)=" B",LEFT(E32,1)="P"),"",IF(VALUE(LEFT(E32,3))&gt;10,BV32,""))</f>
        <v/>
      </c>
      <c r="CX32" s="70" t="str">
        <f>IF(LEFT(E32,2)="PH",AA31,"")</f>
        <v/>
      </c>
      <c r="CY32" s="68">
        <f>IF(OR(BV32="(2) ロ",BV32="( 4 )",BV32="(5) イ"),1,"")</f>
        <v>1</v>
      </c>
      <c r="CZ32" s="9"/>
      <c r="DA32" s="33"/>
      <c r="DB32" s="33"/>
      <c r="DC32" s="52" t="s">
        <v>152</v>
      </c>
      <c r="DD32" s="53" t="s">
        <v>153</v>
      </c>
      <c r="DE32" s="72"/>
      <c r="DF32" s="26">
        <v>70</v>
      </c>
      <c r="DG32" s="26">
        <v>90</v>
      </c>
      <c r="DH32" s="27">
        <f t="shared" si="0"/>
        <v>30</v>
      </c>
      <c r="DI32" s="28">
        <v>30</v>
      </c>
      <c r="DJ32" s="28" t="s">
        <v>75</v>
      </c>
      <c r="DK32" s="28" t="s">
        <v>75</v>
      </c>
      <c r="DL32" s="29">
        <v>8</v>
      </c>
      <c r="DM32" s="30" t="s">
        <v>149</v>
      </c>
      <c r="DN32" s="30">
        <v>58</v>
      </c>
      <c r="DO32" s="30">
        <v>70</v>
      </c>
      <c r="DP32" s="30">
        <v>80</v>
      </c>
      <c r="DQ32" s="30">
        <v>300</v>
      </c>
      <c r="DR32" s="30" t="s">
        <v>150</v>
      </c>
      <c r="DS32" s="30">
        <v>58</v>
      </c>
      <c r="DT32" s="30">
        <v>70</v>
      </c>
      <c r="DU32" s="30">
        <v>80</v>
      </c>
      <c r="DV32" s="30">
        <v>100</v>
      </c>
      <c r="DW32" s="30" t="s">
        <v>109</v>
      </c>
      <c r="DX32" s="30">
        <v>59</v>
      </c>
      <c r="DY32" s="30">
        <v>70</v>
      </c>
      <c r="DZ32" s="30">
        <v>90</v>
      </c>
      <c r="EA32" s="30">
        <v>150</v>
      </c>
      <c r="EB32" s="30" t="s">
        <v>110</v>
      </c>
      <c r="EC32" s="30">
        <v>66</v>
      </c>
      <c r="ED32" s="30">
        <v>79</v>
      </c>
      <c r="EE32" s="30">
        <v>80</v>
      </c>
      <c r="EF32" s="30">
        <v>50</v>
      </c>
      <c r="EG32" s="31" t="s">
        <v>141</v>
      </c>
      <c r="EH32" s="31">
        <v>54</v>
      </c>
      <c r="EI32" s="31">
        <v>70</v>
      </c>
      <c r="EJ32" s="31">
        <v>80</v>
      </c>
      <c r="EK32" s="31">
        <v>300</v>
      </c>
      <c r="EL32" s="31" t="s">
        <v>111</v>
      </c>
      <c r="EM32" s="31">
        <v>58</v>
      </c>
      <c r="EN32" s="31">
        <v>70</v>
      </c>
      <c r="EO32" s="31">
        <v>80</v>
      </c>
      <c r="EP32" s="31">
        <v>100</v>
      </c>
      <c r="EQ32" s="31" t="s">
        <v>111</v>
      </c>
      <c r="ER32" s="31">
        <v>58</v>
      </c>
      <c r="ES32" s="31">
        <v>70</v>
      </c>
      <c r="ET32" s="31">
        <v>90</v>
      </c>
      <c r="EU32" s="31">
        <v>150</v>
      </c>
      <c r="EV32" s="31" t="s">
        <v>114</v>
      </c>
      <c r="EW32" s="31">
        <v>66</v>
      </c>
      <c r="EX32" s="31">
        <v>79</v>
      </c>
      <c r="EY32" s="31">
        <v>80</v>
      </c>
      <c r="EZ32" s="31">
        <v>50</v>
      </c>
      <c r="FA32" s="30">
        <v>20</v>
      </c>
      <c r="FB32" s="30">
        <v>100</v>
      </c>
      <c r="FC32" s="54" t="s">
        <v>152</v>
      </c>
      <c r="FD32" s="623"/>
      <c r="FE32" s="623"/>
      <c r="FF32" s="30"/>
      <c r="FG32" s="30"/>
      <c r="FH32" s="13"/>
      <c r="FI32" s="156"/>
      <c r="FJ32" s="13"/>
      <c r="FK32" s="1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row>
    <row r="33" spans="1:756" ht="0.75" customHeight="1">
      <c r="A33" s="61"/>
      <c r="B33" s="62"/>
      <c r="C33" s="594"/>
      <c r="D33" s="602"/>
      <c r="E33" s="1754"/>
      <c r="F33" s="1755"/>
      <c r="G33" s="1755"/>
      <c r="H33" s="1756"/>
      <c r="I33" s="602"/>
      <c r="J33" s="602"/>
      <c r="K33" s="602"/>
      <c r="L33" s="1808"/>
      <c r="M33" s="1808"/>
      <c r="N33" s="1808"/>
      <c r="O33" s="794"/>
      <c r="P33" s="795"/>
      <c r="Q33" s="795"/>
      <c r="R33" s="796"/>
      <c r="S33" s="797"/>
      <c r="T33" s="798"/>
      <c r="U33" s="798"/>
      <c r="V33" s="799"/>
      <c r="W33" s="800"/>
      <c r="X33" s="801"/>
      <c r="Y33" s="801"/>
      <c r="Z33" s="802"/>
      <c r="AA33" s="1760">
        <f>IF(E32="","",O114)</f>
        <v>1152</v>
      </c>
      <c r="AB33" s="1760"/>
      <c r="AC33" s="1760"/>
      <c r="AD33" s="1760"/>
      <c r="AE33" s="1760"/>
      <c r="AF33" s="1761"/>
      <c r="AG33" s="783"/>
      <c r="AH33" s="784"/>
      <c r="AI33" s="784"/>
      <c r="AJ33" s="784"/>
      <c r="AK33" s="784"/>
      <c r="AL33" s="784"/>
      <c r="AM33" s="803"/>
      <c r="AN33" s="803"/>
      <c r="AO33" s="803"/>
      <c r="AP33" s="803"/>
      <c r="AQ33" s="784"/>
      <c r="AR33" s="784"/>
      <c r="AS33" s="784"/>
      <c r="AT33" s="784"/>
      <c r="AU33" s="784"/>
      <c r="AV33" s="784"/>
      <c r="AW33" s="784"/>
      <c r="AX33" s="784"/>
      <c r="AY33" s="784"/>
      <c r="AZ33" s="803"/>
      <c r="BA33" s="803"/>
      <c r="BB33" s="803"/>
      <c r="BC33" s="784"/>
      <c r="BD33" s="784"/>
      <c r="BE33" s="784"/>
      <c r="BF33" s="803"/>
      <c r="BG33" s="803"/>
      <c r="BH33" s="803"/>
      <c r="BI33" s="599"/>
      <c r="BJ33" s="599"/>
      <c r="BK33" s="599"/>
      <c r="BL33" s="810"/>
      <c r="BM33" s="810"/>
      <c r="BN33" s="810"/>
      <c r="BO33" s="599"/>
      <c r="BP33" s="599"/>
      <c r="BQ33" s="599"/>
      <c r="BR33" s="810"/>
      <c r="BS33" s="810"/>
      <c r="BT33" s="810"/>
      <c r="BU33" s="599"/>
      <c r="BV33" s="2204"/>
      <c r="BW33" s="2205"/>
      <c r="BX33" s="2205"/>
      <c r="BY33" s="2206"/>
      <c r="BZ33" s="599"/>
      <c r="CA33" s="600"/>
      <c r="CB33" s="63"/>
      <c r="CC33" s="69"/>
      <c r="CD33" s="67"/>
      <c r="CE33" s="67"/>
      <c r="CF33" s="70"/>
      <c r="CG33" s="69"/>
      <c r="CH33" s="70"/>
      <c r="CI33" s="69"/>
      <c r="CJ33" s="67"/>
      <c r="CK33" s="70"/>
      <c r="CL33" s="69"/>
      <c r="CM33" s="631"/>
      <c r="CN33" s="70"/>
      <c r="CO33" s="69"/>
      <c r="CP33" s="631"/>
      <c r="CQ33" s="70"/>
      <c r="CR33" s="634"/>
      <c r="CS33" s="67"/>
      <c r="CT33" s="70"/>
      <c r="CU33" s="69"/>
      <c r="CV33" s="637"/>
      <c r="CW33" s="67"/>
      <c r="CX33" s="70"/>
      <c r="CY33" s="71"/>
      <c r="CZ33" s="9"/>
      <c r="DA33" s="33"/>
      <c r="DB33" s="33"/>
      <c r="DC33" s="620"/>
      <c r="DD33" s="621"/>
      <c r="DE33" s="622"/>
      <c r="DF33" s="588"/>
      <c r="DG33" s="588"/>
      <c r="DH33" s="589"/>
      <c r="DI33" s="590"/>
      <c r="DJ33" s="590"/>
      <c r="DK33" s="590"/>
      <c r="DL33" s="591"/>
      <c r="DM33" s="592"/>
      <c r="DN33" s="592"/>
      <c r="DO33" s="592"/>
      <c r="DP33" s="592"/>
      <c r="DQ33" s="592"/>
      <c r="DR33" s="592"/>
      <c r="DS33" s="592"/>
      <c r="DT33" s="592"/>
      <c r="DU33" s="592"/>
      <c r="DV33" s="592"/>
      <c r="DW33" s="592"/>
      <c r="DX33" s="592"/>
      <c r="DY33" s="592"/>
      <c r="DZ33" s="592"/>
      <c r="EA33" s="592"/>
      <c r="EB33" s="592"/>
      <c r="EC33" s="592"/>
      <c r="ED33" s="592"/>
      <c r="EE33" s="592"/>
      <c r="EF33" s="592"/>
      <c r="EG33" s="593"/>
      <c r="EH33" s="593"/>
      <c r="EI33" s="593"/>
      <c r="EJ33" s="593"/>
      <c r="EK33" s="593"/>
      <c r="EL33" s="593"/>
      <c r="EM33" s="593"/>
      <c r="EN33" s="593"/>
      <c r="EO33" s="593"/>
      <c r="EP33" s="593"/>
      <c r="EQ33" s="593"/>
      <c r="ER33" s="593"/>
      <c r="ES33" s="593"/>
      <c r="ET33" s="593"/>
      <c r="EU33" s="593"/>
      <c r="EV33" s="593"/>
      <c r="EW33" s="593"/>
      <c r="EX33" s="593"/>
      <c r="EY33" s="593"/>
      <c r="EZ33" s="593"/>
      <c r="FA33" s="592"/>
      <c r="FB33" s="592"/>
      <c r="FC33" s="623"/>
      <c r="FD33" s="623"/>
      <c r="FE33" s="623"/>
      <c r="FF33" s="592"/>
      <c r="FG33" s="592"/>
      <c r="FH33" s="13"/>
      <c r="FI33" s="780"/>
      <c r="FJ33" s="13"/>
      <c r="FK33" s="1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row>
    <row r="34" spans="1:756" ht="12" customHeight="1">
      <c r="A34" s="61">
        <f>IF(OR(E34="",LEFT(E34,2)=" B",E34="  RF",LEFT(E34,1)="P"),0,C34)</f>
        <v>6</v>
      </c>
      <c r="B34" s="62">
        <f>IF(AND(AA33="",E34=""),0,IF(LEFT(E34,2)="PH",0,1))</f>
        <v>1</v>
      </c>
      <c r="C34" s="1773">
        <f>IF(AA33="","",C32+1)</f>
        <v>6</v>
      </c>
      <c r="D34" s="1774"/>
      <c r="E34" s="1802" t="s">
        <v>2236</v>
      </c>
      <c r="F34" s="1803"/>
      <c r="G34" s="1803"/>
      <c r="H34" s="1804"/>
      <c r="I34" s="1778" t="str">
        <f>IF(I114=0,"",I114)</f>
        <v>A</v>
      </c>
      <c r="J34" s="1779"/>
      <c r="K34" s="1780"/>
      <c r="L34" s="1808"/>
      <c r="M34" s="1808"/>
      <c r="N34" s="1808"/>
      <c r="O34" s="1805">
        <v>4</v>
      </c>
      <c r="P34" s="1806"/>
      <c r="Q34" s="1806"/>
      <c r="R34" s="1807"/>
      <c r="S34" s="1784">
        <v>3</v>
      </c>
      <c r="T34" s="1785"/>
      <c r="U34" s="1785"/>
      <c r="V34" s="1786"/>
      <c r="W34" s="1805"/>
      <c r="X34" s="1806"/>
      <c r="Y34" s="1806"/>
      <c r="Z34" s="1807"/>
      <c r="AA34" s="1762"/>
      <c r="AB34" s="1762"/>
      <c r="AC34" s="1762"/>
      <c r="AD34" s="1762"/>
      <c r="AE34" s="1762"/>
      <c r="AF34" s="1763"/>
      <c r="AG34" s="1770">
        <f>IF(OR($U$11="No",C34=""),"",IF(AM34&lt;&gt;"",AM34,IF(LEFT(E34,2)="PH","",IF(BV34&lt;&gt;"",VLOOKUP(BV34,令別表,4,FALSE)*AA33/100,IF(ISNA(VLOOKUP($AS$16,令別表,4,FALSE)),"",IF(VLOOKUP($AS$16,令別表,4,FALSE)*AA33/100=0,"",VLOOKUP($AS$16,令別表,4,FALSE)*AA33/100))))))</f>
        <v>806.4</v>
      </c>
      <c r="AH34" s="1771"/>
      <c r="AI34" s="1771"/>
      <c r="AJ34" s="1771"/>
      <c r="AK34" s="1771"/>
      <c r="AL34" s="1772"/>
      <c r="AM34" s="1767"/>
      <c r="AN34" s="1768"/>
      <c r="AO34" s="1768"/>
      <c r="AP34" s="1769"/>
      <c r="AQ34" s="1764">
        <f>IF(E34="","",IF(AG34="",AA33,IF(AA33="","",AA33-AG34)))</f>
        <v>345.6</v>
      </c>
      <c r="AR34" s="1765"/>
      <c r="AS34" s="1765"/>
      <c r="AT34" s="1765"/>
      <c r="AU34" s="1765"/>
      <c r="AV34" s="1766"/>
      <c r="AW34" s="1790">
        <f>IF(C34="","",IF(AZ34&lt;&gt;"",AZ34,IF(LEFT(E34,2)="PH","",IF(BV34&lt;&gt;"",1+INT(AG34/VLOOKUP(BV34,令別表,5,FALSE)),IF(ISNA(VLOOKUP($AS$16,令別表,5,FALSE)),"",IF(1+INT(AG34/VLOOKUP($AS$16,令別表,5,FALSE))="","",1+INT(AG34/VLOOKUP($AS$16,令別表,5,FALSE))))))))</f>
        <v>3</v>
      </c>
      <c r="AX34" s="1791"/>
      <c r="AY34" s="1792"/>
      <c r="AZ34" s="2183"/>
      <c r="BA34" s="2184"/>
      <c r="BB34" s="2185"/>
      <c r="BC34" s="1790">
        <f>IF(E34="","",IF(BF34&lt;&gt;"",BF34,IF(BV34&lt;&gt;"",1+INT(AQ34/VLOOKUP(BV34,令別表,7,FALSE)),IF(ISNA(VLOOKUP($AS$16,令別表,7,FALSE)),"",IF(1+INT(AQ34/VLOOKUP($AS$16,令別表,7,FALSE))="","",1+INT(AQ34/VLOOKUP($AS$16,令別表,7,FALSE)))))))</f>
        <v>9</v>
      </c>
      <c r="BD34" s="1791"/>
      <c r="BE34" s="1791"/>
      <c r="BF34" s="2183"/>
      <c r="BG34" s="2184"/>
      <c r="BH34" s="2185"/>
      <c r="BI34" s="2186" t="str">
        <f>IF(OR(AA33="",E34=""),"",IF(LEFT(E34,2)=" B","無窓",IF(BL34&lt;&gt;"",BL34,IF(BV34&lt;&gt;"",VLOOKUP(BV34,令別表,8,FALSE),IF(OR(LEFT(E34,2)=" B",LEFT(E34,2)="PH"),"無窓",IF(LEFT(E34,2)&lt;&gt;"",VLOOKUP($AS$16,令別表,8,FALSE)))))))</f>
        <v>無窓</v>
      </c>
      <c r="BJ34" s="2187"/>
      <c r="BK34" s="2187"/>
      <c r="BL34" s="2164"/>
      <c r="BM34" s="2165"/>
      <c r="BN34" s="2166"/>
      <c r="BO34" s="2161" t="str">
        <f>IF(OR(E34="",AA33=""),"",IF(LEFT(E34,2)=" B","無窓",IF(BR34&lt;&gt;"",BR34,IF(BV34&lt;&gt;"",VLOOKUP(BV34,令別表,8,FALSE),IF(OR(LEFT(E34,2)=" B",LEFT(E34,2)="PH"),"無窓",IF(LEFT(E34,2)&lt;&gt;"",VLOOKUP($AS$16,令別表,9,FALSE)))))))</f>
        <v>無窓</v>
      </c>
      <c r="BP34" s="2162"/>
      <c r="BQ34" s="2163"/>
      <c r="BR34" s="2164"/>
      <c r="BS34" s="2165"/>
      <c r="BT34" s="2166"/>
      <c r="BU34" s="819" t="str">
        <f>IF(AND(LEFT($AS$16,4)="(16)",E34&lt;&gt;"",BV34=""),"■","")</f>
        <v/>
      </c>
      <c r="BV34" s="2201" t="s">
        <v>2249</v>
      </c>
      <c r="BW34" s="2202"/>
      <c r="BX34" s="2202"/>
      <c r="BY34" s="2203"/>
      <c r="BZ34" s="1810" t="str">
        <f>IF(E34="","",IF(AND(BU34="",BV34="",CB34=1),"済",IF(AND(BU34="",BV34&lt;&gt;"",CB34=1),"済","未")))</f>
        <v>済</v>
      </c>
      <c r="CA34" s="1811"/>
      <c r="CB34" s="659">
        <f>IF(AND(LEFT(E34,4)="  1F",O34&lt;&gt;"",S34&lt;&gt;"",W34&lt;&gt;"",AA33&lt;&gt;""),1,IF(AND(LEFT(E34,4)&lt;&gt;"  1F",O34&lt;&gt;"",S34&lt;&gt;"",AA33&lt;&gt;""),1,0))</f>
        <v>1</v>
      </c>
      <c r="CC34" s="69" t="str">
        <f>IF(C34="","",IF(LEFT(E34,2)=" B",O34,""))</f>
        <v/>
      </c>
      <c r="CD34" s="67" t="str">
        <f>IF(C34="","",IF(E34="  1F",O34,""))</f>
        <v/>
      </c>
      <c r="CE34" s="67">
        <f>IF(OR(C34="",E34="  1F"),"",IF(AND(LEFT(E34,2)&lt;&gt;" B",LEFT(E34,1)&lt;&gt;"P"),O34,""))</f>
        <v>4</v>
      </c>
      <c r="CF34" s="70" t="str">
        <f>IF(C34="","",IF(LEFT(E34,1)="P",O34,""))</f>
        <v/>
      </c>
      <c r="CG34" s="69" t="str">
        <f>IF(LEFT(E34,2)=" B",E34,"")</f>
        <v/>
      </c>
      <c r="CH34" s="70" t="str">
        <f>IF(BV34="","",IF(LEFT(E34,2)=" B",BV34,""))</f>
        <v/>
      </c>
      <c r="CI34" s="69" t="str">
        <f>IF(E34="  1F",AA33,"")</f>
        <v/>
      </c>
      <c r="CJ34" s="631">
        <f>IF(OR(LEFT(E34,2)=" B",LEFT(E34,2)="PH"),0,IF(CI34="",0,IF(AND(BI34="無窓",BO34="無窓"),3,IF(BI34="無窓",1,IF(BO34="無窓",2,0)))))</f>
        <v>0</v>
      </c>
      <c r="CK34" s="70" t="str">
        <f>IF(BV34="","",IF(E34="  1F",BV34,""))</f>
        <v/>
      </c>
      <c r="CL34" s="69" t="str">
        <f>IF(E34="  2F",E34,"")</f>
        <v/>
      </c>
      <c r="CM34" s="631">
        <f>IF(OR(LEFT(E34,2)=" B",LEFT(E34,2)="PH"),0,IF(CL34="",0,IF(AND(BI34="無窓",BO34="無窓"),3,IF(BI34="無窓",1,IF(BO34="無窓",2,0)))))</f>
        <v>0</v>
      </c>
      <c r="CN34" s="70" t="str">
        <f>IF(BV34="","",IF(E34="  2F",BV34,""))</f>
        <v/>
      </c>
      <c r="CO34" s="69" t="str">
        <f>IF(E34="  3F",AA33,"")</f>
        <v/>
      </c>
      <c r="CP34" s="631">
        <f>IF(OR(LEFT(E34,2)=" B",LEFT(E34,2)="PH"),0,IF(CO34="",0,IF(AND(BI34="無窓",BO34="無窓"),3,IF(BI34="無窓",1,IF(BO34="無窓",2,0)))))</f>
        <v>0</v>
      </c>
      <c r="CQ34" s="70" t="str">
        <f>IF(BV34="","",IF(E34="  3F",BV34,""))</f>
        <v/>
      </c>
      <c r="CR34" s="634">
        <f>IF(OR(E34="  4F",E34="  5F",E34="  6F",E34="  7F",E34="  8F",E34="  9F",E34=" 10F"),AA33,"")</f>
        <v>1152</v>
      </c>
      <c r="CS34" s="631">
        <f>IF(E34="",0,IF(OR(LEFT(E34,2)=" B",LEFT(E34,2)="PH"),0,IF(OR(VALUE(LEFT(E34,3))&lt;4,VALUE(LEFT(E34,3))&gt;10),0,IF(AND(BI34="無窓",BO34="無窓"),3,IF(BI34="無窓",1,IF(BO34="無窓",2,0))))))</f>
        <v>3</v>
      </c>
      <c r="CT34" s="70" t="str">
        <f>IF(OR(E34="",LEFT(E34,2)=" B",LEFT(E34,1)="P"),"",IF(AND(VALUE(LEFT(E34,3))&gt;=4,VALUE(LEFT(E34,3))&lt;11),BV34,""))</f>
        <v>( 4 )</v>
      </c>
      <c r="CU34" s="69" t="str">
        <f>IF(OR(LEFT(E34,2)=" B",LEFT(E34,2)="PH",E34=""),"",IF(VALUE(LEFT(E34,3))&gt;10,AA33,""))</f>
        <v/>
      </c>
      <c r="CV34" s="637">
        <f>IF(E34="",0,IF(OR(LEFT(E34,2)=" B",LEFT(E34,2)="PH"),0,IF(AND(BI34="無窓",BO34="無窓"),3,IF(BI34="無窓",1,IF(BO34="無窓",2,0)))))</f>
        <v>3</v>
      </c>
      <c r="CW34" s="67" t="str">
        <f>IF(OR(E34="",LEFT(E34,2)=" B",LEFT(E34,1)="P"),"",IF(VALUE(LEFT(E34,3))&gt;10,BV34,""))</f>
        <v/>
      </c>
      <c r="CX34" s="70" t="str">
        <f>IF(LEFT(E34,2)="PH",AA33,"")</f>
        <v/>
      </c>
      <c r="CY34" s="68">
        <f>IF(OR(BV34="(2) ロ",BV34="( 4 )",BV34="(5) イ"),1,"")</f>
        <v>1</v>
      </c>
      <c r="CZ34" s="9"/>
      <c r="DA34" s="33"/>
      <c r="DB34" s="33"/>
      <c r="DC34" s="52" t="s">
        <v>155</v>
      </c>
      <c r="DD34" s="73" t="s">
        <v>156</v>
      </c>
      <c r="DE34" s="74"/>
      <c r="DF34" s="26">
        <v>70</v>
      </c>
      <c r="DG34" s="26">
        <v>150</v>
      </c>
      <c r="DH34" s="27">
        <f t="shared" si="0"/>
        <v>30</v>
      </c>
      <c r="DI34" s="28">
        <v>20</v>
      </c>
      <c r="DJ34" s="28" t="s">
        <v>31</v>
      </c>
      <c r="DK34" s="28" t="s">
        <v>75</v>
      </c>
      <c r="DL34" s="29">
        <v>5</v>
      </c>
      <c r="DM34" s="30" t="s">
        <v>56</v>
      </c>
      <c r="DN34" s="30">
        <v>45</v>
      </c>
      <c r="DO34" s="30">
        <v>66</v>
      </c>
      <c r="DP34" s="30">
        <v>90</v>
      </c>
      <c r="DQ34" s="30">
        <v>500</v>
      </c>
      <c r="DR34" s="30" t="s">
        <v>157</v>
      </c>
      <c r="DS34" s="30">
        <v>66</v>
      </c>
      <c r="DT34" s="30">
        <v>79</v>
      </c>
      <c r="DU34" s="30">
        <v>90</v>
      </c>
      <c r="DV34" s="30">
        <v>200</v>
      </c>
      <c r="DW34" s="30" t="s">
        <v>34</v>
      </c>
      <c r="DX34" s="30">
        <v>59</v>
      </c>
      <c r="DY34" s="30">
        <v>70</v>
      </c>
      <c r="DZ34" s="30">
        <v>70</v>
      </c>
      <c r="EA34" s="30">
        <v>300</v>
      </c>
      <c r="EB34" s="30" t="s">
        <v>35</v>
      </c>
      <c r="EC34" s="30">
        <v>66</v>
      </c>
      <c r="ED34" s="30">
        <v>79</v>
      </c>
      <c r="EE34" s="30">
        <v>70</v>
      </c>
      <c r="EF34" s="30">
        <v>50</v>
      </c>
      <c r="EG34" s="31" t="s">
        <v>58</v>
      </c>
      <c r="EH34" s="31">
        <v>54</v>
      </c>
      <c r="EI34" s="31">
        <v>70</v>
      </c>
      <c r="EJ34" s="31">
        <v>90</v>
      </c>
      <c r="EK34" s="31">
        <v>300</v>
      </c>
      <c r="EL34" s="31" t="s">
        <v>42</v>
      </c>
      <c r="EM34" s="31">
        <v>66</v>
      </c>
      <c r="EN34" s="31">
        <v>79</v>
      </c>
      <c r="EO34" s="31">
        <v>90</v>
      </c>
      <c r="EP34" s="31">
        <v>200</v>
      </c>
      <c r="EQ34" s="31" t="s">
        <v>42</v>
      </c>
      <c r="ER34" s="31">
        <v>66</v>
      </c>
      <c r="ES34" s="31">
        <v>79</v>
      </c>
      <c r="ET34" s="31">
        <v>70</v>
      </c>
      <c r="EU34" s="31">
        <v>150</v>
      </c>
      <c r="EV34" s="31" t="s">
        <v>37</v>
      </c>
      <c r="EW34" s="31">
        <v>66</v>
      </c>
      <c r="EX34" s="31">
        <v>79</v>
      </c>
      <c r="EY34" s="31">
        <v>70</v>
      </c>
      <c r="EZ34" s="31">
        <v>50</v>
      </c>
      <c r="FA34" s="30">
        <v>20</v>
      </c>
      <c r="FB34" s="30">
        <v>100</v>
      </c>
      <c r="FC34" s="54" t="s">
        <v>158</v>
      </c>
      <c r="FD34" s="623"/>
      <c r="FE34" s="623"/>
      <c r="FF34" s="30"/>
      <c r="FG34" s="30"/>
      <c r="FH34" s="13"/>
      <c r="FI34" s="156"/>
      <c r="FJ34" s="13"/>
      <c r="FK34" s="1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row>
    <row r="35" spans="1:756" ht="0.75" customHeight="1">
      <c r="A35" s="61"/>
      <c r="B35" s="62"/>
      <c r="C35" s="594"/>
      <c r="D35" s="602"/>
      <c r="E35" s="1754"/>
      <c r="F35" s="1755"/>
      <c r="G35" s="1755"/>
      <c r="H35" s="1756"/>
      <c r="I35" s="602"/>
      <c r="J35" s="602"/>
      <c r="K35" s="602"/>
      <c r="L35" s="1808"/>
      <c r="M35" s="1808"/>
      <c r="N35" s="1808"/>
      <c r="O35" s="794"/>
      <c r="P35" s="795"/>
      <c r="Q35" s="795"/>
      <c r="R35" s="796"/>
      <c r="S35" s="797"/>
      <c r="T35" s="798"/>
      <c r="U35" s="798"/>
      <c r="V35" s="799"/>
      <c r="W35" s="800"/>
      <c r="X35" s="801"/>
      <c r="Y35" s="801"/>
      <c r="Z35" s="802"/>
      <c r="AA35" s="1760">
        <f>IF(E34="","",O115)</f>
        <v>1152</v>
      </c>
      <c r="AB35" s="1760"/>
      <c r="AC35" s="1760"/>
      <c r="AD35" s="1760"/>
      <c r="AE35" s="1760"/>
      <c r="AF35" s="1761"/>
      <c r="AG35" s="783"/>
      <c r="AH35" s="784"/>
      <c r="AI35" s="784"/>
      <c r="AJ35" s="784"/>
      <c r="AK35" s="784"/>
      <c r="AL35" s="784"/>
      <c r="AM35" s="803"/>
      <c r="AN35" s="803"/>
      <c r="AO35" s="803"/>
      <c r="AP35" s="803"/>
      <c r="AQ35" s="784"/>
      <c r="AR35" s="784"/>
      <c r="AS35" s="784"/>
      <c r="AT35" s="784"/>
      <c r="AU35" s="784"/>
      <c r="AV35" s="784"/>
      <c r="AW35" s="784"/>
      <c r="AX35" s="784"/>
      <c r="AY35" s="784"/>
      <c r="AZ35" s="803"/>
      <c r="BA35" s="803"/>
      <c r="BB35" s="803"/>
      <c r="BC35" s="784"/>
      <c r="BD35" s="784"/>
      <c r="BE35" s="784"/>
      <c r="BF35" s="803"/>
      <c r="BG35" s="803"/>
      <c r="BH35" s="803"/>
      <c r="BI35" s="599"/>
      <c r="BJ35" s="599"/>
      <c r="BK35" s="599"/>
      <c r="BL35" s="810"/>
      <c r="BM35" s="810"/>
      <c r="BN35" s="810"/>
      <c r="BO35" s="599"/>
      <c r="BP35" s="599"/>
      <c r="BQ35" s="599"/>
      <c r="BR35" s="810"/>
      <c r="BS35" s="810"/>
      <c r="BT35" s="810"/>
      <c r="BU35" s="599"/>
      <c r="BV35" s="2204"/>
      <c r="BW35" s="2205"/>
      <c r="BX35" s="2205"/>
      <c r="BY35" s="2206"/>
      <c r="BZ35" s="599"/>
      <c r="CA35" s="600"/>
      <c r="CB35" s="63"/>
      <c r="CC35" s="69"/>
      <c r="CD35" s="67"/>
      <c r="CE35" s="67"/>
      <c r="CF35" s="70"/>
      <c r="CG35" s="69"/>
      <c r="CH35" s="70"/>
      <c r="CI35" s="69"/>
      <c r="CJ35" s="67"/>
      <c r="CK35" s="70"/>
      <c r="CL35" s="69"/>
      <c r="CM35" s="631"/>
      <c r="CN35" s="70"/>
      <c r="CO35" s="69"/>
      <c r="CP35" s="631"/>
      <c r="CQ35" s="70"/>
      <c r="CR35" s="634"/>
      <c r="CS35" s="67"/>
      <c r="CT35" s="70"/>
      <c r="CU35" s="69"/>
      <c r="CV35" s="637"/>
      <c r="CW35" s="67"/>
      <c r="CX35" s="70"/>
      <c r="CY35" s="71"/>
      <c r="CZ35" s="9"/>
      <c r="DA35" s="33"/>
      <c r="DB35" s="33"/>
      <c r="DC35" s="620"/>
      <c r="DD35" s="624"/>
      <c r="DE35" s="625"/>
      <c r="DF35" s="588"/>
      <c r="DG35" s="588"/>
      <c r="DH35" s="589"/>
      <c r="DI35" s="590"/>
      <c r="DJ35" s="590"/>
      <c r="DK35" s="590"/>
      <c r="DL35" s="591"/>
      <c r="DM35" s="592"/>
      <c r="DN35" s="592"/>
      <c r="DO35" s="592"/>
      <c r="DP35" s="592"/>
      <c r="DQ35" s="592"/>
      <c r="DR35" s="592"/>
      <c r="DS35" s="592"/>
      <c r="DT35" s="592"/>
      <c r="DU35" s="592"/>
      <c r="DV35" s="592"/>
      <c r="DW35" s="592"/>
      <c r="DX35" s="592"/>
      <c r="DY35" s="592"/>
      <c r="DZ35" s="592"/>
      <c r="EA35" s="592"/>
      <c r="EB35" s="592"/>
      <c r="EC35" s="592"/>
      <c r="ED35" s="592"/>
      <c r="EE35" s="592"/>
      <c r="EF35" s="592"/>
      <c r="EG35" s="593"/>
      <c r="EH35" s="593"/>
      <c r="EI35" s="593"/>
      <c r="EJ35" s="593"/>
      <c r="EK35" s="593"/>
      <c r="EL35" s="593"/>
      <c r="EM35" s="593"/>
      <c r="EN35" s="593"/>
      <c r="EO35" s="593"/>
      <c r="EP35" s="593"/>
      <c r="EQ35" s="593"/>
      <c r="ER35" s="593"/>
      <c r="ES35" s="593"/>
      <c r="ET35" s="593"/>
      <c r="EU35" s="593"/>
      <c r="EV35" s="593"/>
      <c r="EW35" s="593"/>
      <c r="EX35" s="593"/>
      <c r="EY35" s="593"/>
      <c r="EZ35" s="593"/>
      <c r="FA35" s="592"/>
      <c r="FB35" s="592"/>
      <c r="FC35" s="623"/>
      <c r="FD35" s="623"/>
      <c r="FE35" s="623"/>
      <c r="FF35" s="592"/>
      <c r="FG35" s="592"/>
      <c r="FH35" s="13"/>
      <c r="FI35" s="780"/>
      <c r="FJ35" s="13"/>
      <c r="FK35" s="1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row>
    <row r="36" spans="1:756" ht="12" customHeight="1">
      <c r="A36" s="61">
        <f>IF(OR(E36="",LEFT(E36,2)=" B",E36="  RF",LEFT(E36,1)="P"),0,C36)</f>
        <v>7</v>
      </c>
      <c r="B36" s="62">
        <f>IF(AND(AA35="",E36=""),0,IF(LEFT(E36,2)="PH",0,1))</f>
        <v>1</v>
      </c>
      <c r="C36" s="1773">
        <f>IF(AA35="","",C34+1)</f>
        <v>7</v>
      </c>
      <c r="D36" s="1774"/>
      <c r="E36" s="1802" t="s">
        <v>2237</v>
      </c>
      <c r="F36" s="1803"/>
      <c r="G36" s="1803"/>
      <c r="H36" s="1804"/>
      <c r="I36" s="1778" t="str">
        <f>IF(I115=0,"",I115)</f>
        <v>A</v>
      </c>
      <c r="J36" s="1779"/>
      <c r="K36" s="1780"/>
      <c r="L36" s="1808"/>
      <c r="M36" s="1808"/>
      <c r="N36" s="1808"/>
      <c r="O36" s="1805">
        <v>4</v>
      </c>
      <c r="P36" s="1806"/>
      <c r="Q36" s="1806"/>
      <c r="R36" s="1807"/>
      <c r="S36" s="1784">
        <v>3</v>
      </c>
      <c r="T36" s="1785"/>
      <c r="U36" s="1785"/>
      <c r="V36" s="1786"/>
      <c r="W36" s="1805"/>
      <c r="X36" s="1806"/>
      <c r="Y36" s="1806"/>
      <c r="Z36" s="1807"/>
      <c r="AA36" s="1762"/>
      <c r="AB36" s="1762"/>
      <c r="AC36" s="1762"/>
      <c r="AD36" s="1762"/>
      <c r="AE36" s="1762"/>
      <c r="AF36" s="1763"/>
      <c r="AG36" s="1770">
        <f>IF(OR($U$11="No",C36=""),"",IF(AM36&lt;&gt;"",AM36,IF(LEFT(E36,2)="PH","",IF(BV36&lt;&gt;"",VLOOKUP(BV36,令別表,4,FALSE)*AA35/100,IF(ISNA(VLOOKUP($AS$16,令別表,4,FALSE)),"",IF(VLOOKUP($AS$16,令別表,4,FALSE)*AA35/100=0,"",VLOOKUP($AS$16,令別表,4,FALSE)*AA35/100))))))</f>
        <v>806.4</v>
      </c>
      <c r="AH36" s="1771"/>
      <c r="AI36" s="1771"/>
      <c r="AJ36" s="1771"/>
      <c r="AK36" s="1771"/>
      <c r="AL36" s="1772"/>
      <c r="AM36" s="1767"/>
      <c r="AN36" s="1768"/>
      <c r="AO36" s="1768"/>
      <c r="AP36" s="1769"/>
      <c r="AQ36" s="1764">
        <f t="shared" ref="AQ36:AQ62" si="1">IF(E36="","",IF(AG36="",AA35,IF(AA35="","",AA35-AG36)))</f>
        <v>345.6</v>
      </c>
      <c r="AR36" s="1765"/>
      <c r="AS36" s="1765"/>
      <c r="AT36" s="1765"/>
      <c r="AU36" s="1765"/>
      <c r="AV36" s="1766"/>
      <c r="AW36" s="1790">
        <f>IF(C36="","",IF(AZ36&lt;&gt;"",AZ36,IF(LEFT(E36,2)="PH","",IF(BV36&lt;&gt;"",1+INT(AG36/VLOOKUP(BV36,令別表,5,FALSE)),IF(ISNA(VLOOKUP($AS$16,令別表,5,FALSE)),"",IF(1+INT(AG36/VLOOKUP($AS$16,令別表,5,FALSE))="","",1+INT(AG36/VLOOKUP($AS$16,令別表,5,FALSE))))))))</f>
        <v>3</v>
      </c>
      <c r="AX36" s="1791"/>
      <c r="AY36" s="1792"/>
      <c r="AZ36" s="2183"/>
      <c r="BA36" s="2184"/>
      <c r="BB36" s="2185"/>
      <c r="BC36" s="1790">
        <f>IF(E36="","",IF(BF36&lt;&gt;"",BF36,IF(BV36&lt;&gt;"",1+INT(AQ36/VLOOKUP(BV36,令別表,7,FALSE)),IF(ISNA(VLOOKUP($AS$16,令別表,7,FALSE)),"",IF(1+INT(AQ36/VLOOKUP($AS$16,令別表,7,FALSE))="","",1+INT(AQ36/VLOOKUP($AS$16,令別表,7,FALSE)))))))</f>
        <v>9</v>
      </c>
      <c r="BD36" s="1791"/>
      <c r="BE36" s="1791"/>
      <c r="BF36" s="2183"/>
      <c r="BG36" s="2184"/>
      <c r="BH36" s="2185"/>
      <c r="BI36" s="2186" t="str">
        <f>IF(OR(AA35="",E36=""),"",IF(LEFT(E36,2)=" B","無窓",IF(BL36&lt;&gt;"",BL36,IF(BV36&lt;&gt;"",VLOOKUP(BV36,令別表,8,FALSE),IF(OR(LEFT(E36,2)=" B",LEFT(E36,2)="PH"),"無窓",IF(LEFT(E36,2)&lt;&gt;"",VLOOKUP($AS$16,令別表,8,FALSE)))))))</f>
        <v>無窓</v>
      </c>
      <c r="BJ36" s="2187"/>
      <c r="BK36" s="2187"/>
      <c r="BL36" s="2164"/>
      <c r="BM36" s="2165"/>
      <c r="BN36" s="2166"/>
      <c r="BO36" s="2161" t="str">
        <f>IF(OR(E36="",AA35=""),"",IF(LEFT(E36,2)=" B","無窓",IF(BR36&lt;&gt;"",BR36,IF(BV36&lt;&gt;"",VLOOKUP(BV36,令別表,8,FALSE),IF(OR(LEFT(E36,2)=" B",LEFT(E36,2)="PH"),"無窓",IF(LEFT(E36,2)&lt;&gt;"",VLOOKUP($AS$16,令別表,9,FALSE)))))))</f>
        <v>無窓</v>
      </c>
      <c r="BP36" s="2162"/>
      <c r="BQ36" s="2163"/>
      <c r="BR36" s="2164"/>
      <c r="BS36" s="2165"/>
      <c r="BT36" s="2166"/>
      <c r="BU36" s="819" t="str">
        <f>IF(AND(LEFT($AS$16,4)="(16)",E36&lt;&gt;"",BV36=""),"■","")</f>
        <v/>
      </c>
      <c r="BV36" s="2201" t="s">
        <v>2249</v>
      </c>
      <c r="BW36" s="2202"/>
      <c r="BX36" s="2202"/>
      <c r="BY36" s="2203"/>
      <c r="BZ36" s="1810" t="str">
        <f>IF(E36="","",IF(AND(BU36="",BV36="",CB36=1),"済",IF(AND(BU36="",BV36&lt;&gt;"",CB36=1),"済","未")))</f>
        <v>済</v>
      </c>
      <c r="CA36" s="1811"/>
      <c r="CB36" s="659">
        <f>IF(AND(LEFT(E36,4)="  1F",O36&lt;&gt;"",S36&lt;&gt;"",W36&lt;&gt;"",AA35&lt;&gt;""),1,IF(AND(LEFT(E36,4)&lt;&gt;"  1F",O36&lt;&gt;"",S36&lt;&gt;"",AA35&lt;&gt;""),1,0))</f>
        <v>1</v>
      </c>
      <c r="CC36" s="69" t="str">
        <f>IF(C36="","",IF(LEFT(E36,2)=" B",O36,""))</f>
        <v/>
      </c>
      <c r="CD36" s="67" t="str">
        <f>IF(C36="","",IF(E36="  1F",O36,""))</f>
        <v/>
      </c>
      <c r="CE36" s="67">
        <f>IF(OR(C36="",E36="  1F"),"",IF(AND(LEFT(E36,2)&lt;&gt;" B",LEFT(E36,1)&lt;&gt;"P"),O36,""))</f>
        <v>4</v>
      </c>
      <c r="CF36" s="70" t="str">
        <f>IF(C36="","",IF(LEFT(E36,1)="P",O36,""))</f>
        <v/>
      </c>
      <c r="CG36" s="69" t="str">
        <f>IF(LEFT(E36,2)=" B",E36,"")</f>
        <v/>
      </c>
      <c r="CH36" s="70" t="str">
        <f>IF(BV36="","",IF(LEFT(E36,2)=" B",BV36,""))</f>
        <v/>
      </c>
      <c r="CI36" s="69" t="str">
        <f>IF(E36="  1F",AA35,"")</f>
        <v/>
      </c>
      <c r="CJ36" s="631">
        <f>IF(OR(LEFT(E36,2)=" B",LEFT(E36,2)="PH"),0,IF(CI36="",0,IF(AND(BI36="無窓",BO36="無窓"),3,IF(BI36="無窓",1,IF(BO36="無窓",2,0)))))</f>
        <v>0</v>
      </c>
      <c r="CK36" s="70" t="str">
        <f>IF(BV36="","",IF(E36="  1F",BV36,""))</f>
        <v/>
      </c>
      <c r="CL36" s="69" t="str">
        <f>IF(E36="  2F",E36,"")</f>
        <v/>
      </c>
      <c r="CM36" s="631">
        <f>IF(OR(LEFT(E36,2)=" B",LEFT(E36,2)="PH"),0,IF(CL36="",0,IF(AND(BI36="無窓",BO36="無窓"),3,IF(BI36="無窓",1,IF(BO36="無窓",2,0)))))</f>
        <v>0</v>
      </c>
      <c r="CN36" s="70" t="str">
        <f>IF(BV36="","",IF(E36="  2F",BV36,""))</f>
        <v/>
      </c>
      <c r="CO36" s="69" t="str">
        <f>IF(E36="  3F",AA35,"")</f>
        <v/>
      </c>
      <c r="CP36" s="631">
        <f>IF(OR(LEFT(E36,2)=" B",LEFT(E36,2)="PH"),0,IF(CO36="",0,IF(AND(BI36="無窓",BO36="無窓"),3,IF(BI36="無窓",1,IF(BO36="無窓",2,0)))))</f>
        <v>0</v>
      </c>
      <c r="CQ36" s="70" t="str">
        <f>IF(BV36="","",IF(E36="  3F",BV36,""))</f>
        <v/>
      </c>
      <c r="CR36" s="634">
        <f>IF(OR(E36="  4F",E36="  5F",E36="  6F",E36="  7F",E36="  8F",E36="  9F",E36=" 10F"),AA35,"")</f>
        <v>1152</v>
      </c>
      <c r="CS36" s="631">
        <f>IF(E36="",0,IF(OR(LEFT(E36,2)=" B",LEFT(E36,2)="PH"),0,IF(OR(VALUE(LEFT(E36,3))&lt;4,VALUE(LEFT(E36,3))&gt;10),0,IF(AND(BI36="無窓",BO36="無窓"),3,IF(BI36="無窓",1,IF(BO36="無窓",2,0))))))</f>
        <v>3</v>
      </c>
      <c r="CT36" s="70" t="str">
        <f>IF(OR(E36="",LEFT(E36,2)=" B",LEFT(E36,1)="P"),"",IF(AND(VALUE(LEFT(E36,3))&gt;=4,VALUE(LEFT(E36,3))&lt;11),BV36,""))</f>
        <v>( 4 )</v>
      </c>
      <c r="CU36" s="69" t="str">
        <f>IF(OR(LEFT(E36,2)=" B",LEFT(E36,2)="PH",E36=""),"",IF(VALUE(LEFT(E36,3))&gt;10,AA35,""))</f>
        <v/>
      </c>
      <c r="CV36" s="637">
        <f>IF(E36="",0,IF(OR(LEFT(E36,2)=" B",LEFT(E36,2)="PH"),0,IF(AND(BI36="無窓",BO36="無窓"),3,IF(BI36="無窓",1,IF(BO36="無窓",2,0)))))</f>
        <v>3</v>
      </c>
      <c r="CW36" s="67" t="str">
        <f>IF(OR(E36="",LEFT(E36,2)=" B",LEFT(E36,1)="P"),"",IF(VALUE(LEFT(E36,3))&gt;10,BV36,""))</f>
        <v/>
      </c>
      <c r="CX36" s="70" t="str">
        <f>IF(LEFT(E36,2)="PH",AA35,"")</f>
        <v/>
      </c>
      <c r="CY36" s="68">
        <f>IF(OR(BV36="(2) ロ",BV36="( 4 )",BV36="(5) イ"),1,"")</f>
        <v>1</v>
      </c>
      <c r="CZ36" s="9"/>
      <c r="DA36" s="33"/>
      <c r="DB36" s="33"/>
      <c r="DC36" s="24"/>
      <c r="DD36" s="397" t="s">
        <v>160</v>
      </c>
      <c r="DE36" s="25" t="s">
        <v>30</v>
      </c>
      <c r="DF36" s="26">
        <v>70</v>
      </c>
      <c r="DG36" s="26">
        <v>30</v>
      </c>
      <c r="DH36" s="27">
        <f t="shared" si="0"/>
        <v>30</v>
      </c>
      <c r="DI36" s="28">
        <v>15</v>
      </c>
      <c r="DJ36" s="28" t="s">
        <v>31</v>
      </c>
      <c r="DK36" s="28" t="s">
        <v>31</v>
      </c>
      <c r="DL36" s="29">
        <v>5</v>
      </c>
      <c r="DM36" s="30"/>
      <c r="DN36" s="30"/>
      <c r="DO36" s="30"/>
      <c r="DP36" s="30"/>
      <c r="DQ36" s="30"/>
      <c r="DR36" s="30"/>
      <c r="DS36" s="30"/>
      <c r="DT36" s="30"/>
      <c r="DU36" s="30"/>
      <c r="DV36" s="30"/>
      <c r="DW36" s="30"/>
      <c r="DX36" s="30"/>
      <c r="DY36" s="30"/>
      <c r="DZ36" s="30"/>
      <c r="EA36" s="30"/>
      <c r="EB36" s="30"/>
      <c r="EC36" s="30"/>
      <c r="ED36" s="30"/>
      <c r="EE36" s="30"/>
      <c r="EF36" s="30"/>
      <c r="EG36" s="31"/>
      <c r="EH36" s="31"/>
      <c r="EI36" s="31"/>
      <c r="EJ36" s="31"/>
      <c r="EK36" s="31"/>
      <c r="EL36" s="31"/>
      <c r="EM36" s="31"/>
      <c r="EN36" s="31"/>
      <c r="EO36" s="31"/>
      <c r="EP36" s="31"/>
      <c r="EQ36" s="31"/>
      <c r="ER36" s="31"/>
      <c r="ES36" s="31"/>
      <c r="ET36" s="31"/>
      <c r="EU36" s="31"/>
      <c r="EV36" s="31"/>
      <c r="EW36" s="31"/>
      <c r="EX36" s="31"/>
      <c r="EY36" s="31"/>
      <c r="EZ36" s="31"/>
      <c r="FA36" s="30"/>
      <c r="FB36" s="30"/>
      <c r="FC36" s="32"/>
      <c r="FD36" s="402"/>
      <c r="FE36" s="402"/>
      <c r="FF36" s="30"/>
      <c r="FG36" s="30"/>
      <c r="FH36" s="13"/>
      <c r="FI36" s="156"/>
      <c r="FJ36" s="13"/>
      <c r="FK36" s="1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row>
    <row r="37" spans="1:756" ht="0.75" customHeight="1">
      <c r="A37" s="61"/>
      <c r="B37" s="62"/>
      <c r="C37" s="594"/>
      <c r="D37" s="602"/>
      <c r="E37" s="1754"/>
      <c r="F37" s="1755"/>
      <c r="G37" s="1755"/>
      <c r="H37" s="1756"/>
      <c r="I37" s="602"/>
      <c r="J37" s="602"/>
      <c r="K37" s="602"/>
      <c r="L37" s="1808"/>
      <c r="M37" s="1808"/>
      <c r="N37" s="1808"/>
      <c r="O37" s="794"/>
      <c r="P37" s="795"/>
      <c r="Q37" s="795"/>
      <c r="R37" s="796"/>
      <c r="S37" s="797"/>
      <c r="T37" s="798"/>
      <c r="U37" s="798"/>
      <c r="V37" s="799"/>
      <c r="W37" s="800"/>
      <c r="X37" s="801"/>
      <c r="Y37" s="801"/>
      <c r="Z37" s="802"/>
      <c r="AA37" s="1760">
        <f>IF(E36="","",O116)</f>
        <v>1152</v>
      </c>
      <c r="AB37" s="1760"/>
      <c r="AC37" s="1760"/>
      <c r="AD37" s="1760"/>
      <c r="AE37" s="1760"/>
      <c r="AF37" s="1761"/>
      <c r="AG37" s="783"/>
      <c r="AH37" s="784"/>
      <c r="AI37" s="784"/>
      <c r="AJ37" s="784"/>
      <c r="AK37" s="784"/>
      <c r="AL37" s="784"/>
      <c r="AM37" s="803"/>
      <c r="AN37" s="803"/>
      <c r="AO37" s="803"/>
      <c r="AP37" s="803"/>
      <c r="AQ37" s="1757"/>
      <c r="AR37" s="1758"/>
      <c r="AS37" s="1758"/>
      <c r="AT37" s="1758"/>
      <c r="AU37" s="1758"/>
      <c r="AV37" s="1759"/>
      <c r="AW37" s="784"/>
      <c r="AX37" s="784"/>
      <c r="AY37" s="784"/>
      <c r="AZ37" s="803"/>
      <c r="BA37" s="803"/>
      <c r="BB37" s="803"/>
      <c r="BC37" s="784"/>
      <c r="BD37" s="784"/>
      <c r="BE37" s="784"/>
      <c r="BF37" s="803"/>
      <c r="BG37" s="803"/>
      <c r="BH37" s="803"/>
      <c r="BI37" s="599"/>
      <c r="BJ37" s="599"/>
      <c r="BK37" s="599"/>
      <c r="BL37" s="810"/>
      <c r="BM37" s="810"/>
      <c r="BN37" s="810"/>
      <c r="BO37" s="599"/>
      <c r="BP37" s="599"/>
      <c r="BQ37" s="599"/>
      <c r="BR37" s="810"/>
      <c r="BS37" s="810"/>
      <c r="BT37" s="810"/>
      <c r="BU37" s="599"/>
      <c r="BV37" s="2204"/>
      <c r="BW37" s="2205"/>
      <c r="BX37" s="2205"/>
      <c r="BY37" s="2206"/>
      <c r="BZ37" s="599"/>
      <c r="CA37" s="600"/>
      <c r="CB37" s="63"/>
      <c r="CC37" s="69"/>
      <c r="CD37" s="67"/>
      <c r="CE37" s="67"/>
      <c r="CF37" s="70"/>
      <c r="CG37" s="69"/>
      <c r="CH37" s="70"/>
      <c r="CI37" s="69"/>
      <c r="CJ37" s="67"/>
      <c r="CK37" s="70"/>
      <c r="CL37" s="69"/>
      <c r="CM37" s="631"/>
      <c r="CN37" s="70"/>
      <c r="CO37" s="69"/>
      <c r="CP37" s="631"/>
      <c r="CQ37" s="70"/>
      <c r="CR37" s="634"/>
      <c r="CS37" s="67"/>
      <c r="CT37" s="70"/>
      <c r="CU37" s="69"/>
      <c r="CV37" s="637"/>
      <c r="CW37" s="67"/>
      <c r="CX37" s="70"/>
      <c r="CY37" s="71"/>
      <c r="CZ37" s="9"/>
      <c r="DA37" s="33"/>
      <c r="DB37" s="33"/>
      <c r="DC37" s="400"/>
      <c r="DD37" s="401"/>
      <c r="DE37" s="587"/>
      <c r="DF37" s="588"/>
      <c r="DG37" s="588"/>
      <c r="DH37" s="589"/>
      <c r="DI37" s="590"/>
      <c r="DJ37" s="590"/>
      <c r="DK37" s="590"/>
      <c r="DL37" s="591"/>
      <c r="DM37" s="592"/>
      <c r="DN37" s="592"/>
      <c r="DO37" s="592"/>
      <c r="DP37" s="592"/>
      <c r="DQ37" s="592"/>
      <c r="DR37" s="592"/>
      <c r="DS37" s="592"/>
      <c r="DT37" s="592"/>
      <c r="DU37" s="592"/>
      <c r="DV37" s="592"/>
      <c r="DW37" s="592"/>
      <c r="DX37" s="592"/>
      <c r="DY37" s="592"/>
      <c r="DZ37" s="592"/>
      <c r="EA37" s="592"/>
      <c r="EB37" s="592"/>
      <c r="EC37" s="592"/>
      <c r="ED37" s="592"/>
      <c r="EE37" s="592"/>
      <c r="EF37" s="592"/>
      <c r="EG37" s="593"/>
      <c r="EH37" s="593"/>
      <c r="EI37" s="593"/>
      <c r="EJ37" s="593"/>
      <c r="EK37" s="593"/>
      <c r="EL37" s="593"/>
      <c r="EM37" s="593"/>
      <c r="EN37" s="593"/>
      <c r="EO37" s="593"/>
      <c r="EP37" s="593"/>
      <c r="EQ37" s="593"/>
      <c r="ER37" s="593"/>
      <c r="ES37" s="593"/>
      <c r="ET37" s="593"/>
      <c r="EU37" s="593"/>
      <c r="EV37" s="593"/>
      <c r="EW37" s="593"/>
      <c r="EX37" s="593"/>
      <c r="EY37" s="593"/>
      <c r="EZ37" s="593"/>
      <c r="FA37" s="592"/>
      <c r="FB37" s="592"/>
      <c r="FC37" s="402"/>
      <c r="FD37" s="402"/>
      <c r="FE37" s="402"/>
      <c r="FF37" s="592"/>
      <c r="FG37" s="592"/>
      <c r="FH37" s="13"/>
      <c r="FI37" s="780"/>
      <c r="FJ37" s="13"/>
      <c r="FK37" s="1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row>
    <row r="38" spans="1:756" ht="12" customHeight="1">
      <c r="A38" s="61">
        <f>IF(OR(E38="",LEFT(E38,2)=" B",E38="  RF",LEFT(E38,1)="P"),0,C38)</f>
        <v>8</v>
      </c>
      <c r="B38" s="62">
        <f>IF(AND(AA37="",E38=""),0,IF(LEFT(E38,2)="PH",0,1))</f>
        <v>1</v>
      </c>
      <c r="C38" s="1773">
        <f>IF(AA37="","",C36+1)</f>
        <v>8</v>
      </c>
      <c r="D38" s="1774"/>
      <c r="E38" s="1802" t="s">
        <v>2238</v>
      </c>
      <c r="F38" s="1803"/>
      <c r="G38" s="1803"/>
      <c r="H38" s="1804"/>
      <c r="I38" s="1778" t="str">
        <f>IF(I116=0,"",I116)</f>
        <v>A</v>
      </c>
      <c r="J38" s="1779"/>
      <c r="K38" s="1780"/>
      <c r="L38" s="1808"/>
      <c r="M38" s="1808"/>
      <c r="N38" s="1808"/>
      <c r="O38" s="1805">
        <v>4</v>
      </c>
      <c r="P38" s="1806"/>
      <c r="Q38" s="1806"/>
      <c r="R38" s="1807"/>
      <c r="S38" s="1784">
        <v>3</v>
      </c>
      <c r="T38" s="1785"/>
      <c r="U38" s="1785"/>
      <c r="V38" s="1786"/>
      <c r="W38" s="1805"/>
      <c r="X38" s="1806"/>
      <c r="Y38" s="1806"/>
      <c r="Z38" s="1807"/>
      <c r="AA38" s="1762"/>
      <c r="AB38" s="1762"/>
      <c r="AC38" s="1762"/>
      <c r="AD38" s="1762"/>
      <c r="AE38" s="1762"/>
      <c r="AF38" s="1763"/>
      <c r="AG38" s="1770">
        <f>IF(OR($U$11="No",C38=""),"",IF(AM38&lt;&gt;"",AM38,IF(LEFT(E38,2)="PH","",IF(BV38&lt;&gt;"",VLOOKUP(BV38,令別表,4,FALSE)*AA37/100,IF(ISNA(VLOOKUP($AS$16,令別表,4,FALSE)),"",IF(VLOOKUP($AS$16,令別表,4,FALSE)*AA37/100=0,"",VLOOKUP($AS$16,令別表,4,FALSE)*AA37/100))))))</f>
        <v>806.4</v>
      </c>
      <c r="AH38" s="1771"/>
      <c r="AI38" s="1771"/>
      <c r="AJ38" s="1771"/>
      <c r="AK38" s="1771"/>
      <c r="AL38" s="1772"/>
      <c r="AM38" s="1767"/>
      <c r="AN38" s="1768"/>
      <c r="AO38" s="1768"/>
      <c r="AP38" s="1769"/>
      <c r="AQ38" s="1764">
        <f t="shared" si="1"/>
        <v>345.6</v>
      </c>
      <c r="AR38" s="1765"/>
      <c r="AS38" s="1765"/>
      <c r="AT38" s="1765"/>
      <c r="AU38" s="1765"/>
      <c r="AV38" s="1766"/>
      <c r="AW38" s="1790">
        <f>IF(C38="","",IF(AZ38&lt;&gt;"",AZ38,IF(LEFT(E38,2)="PH","",IF(BV38&lt;&gt;"",1+INT(AG38/VLOOKUP(BV38,令別表,5,FALSE)),IF(ISNA(VLOOKUP($AS$16,令別表,5,FALSE)),"",IF(1+INT(AG38/VLOOKUP($AS$16,令別表,5,FALSE))="","",1+INT(AG38/VLOOKUP($AS$16,令別表,5,FALSE))))))))</f>
        <v>3</v>
      </c>
      <c r="AX38" s="1791"/>
      <c r="AY38" s="1792"/>
      <c r="AZ38" s="2183"/>
      <c r="BA38" s="2184"/>
      <c r="BB38" s="2185"/>
      <c r="BC38" s="1790">
        <f>IF(E38="","",IF(BF38&lt;&gt;"",BF38,IF(BV38&lt;&gt;"",1+INT(AQ38/VLOOKUP(BV38,令別表,7,FALSE)),IF(ISNA(VLOOKUP($AS$16,令別表,7,FALSE)),"",IF(1+INT(AQ38/VLOOKUP($AS$16,令別表,7,FALSE))="","",1+INT(AQ38/VLOOKUP($AS$16,令別表,7,FALSE)))))))</f>
        <v>9</v>
      </c>
      <c r="BD38" s="1791"/>
      <c r="BE38" s="1791"/>
      <c r="BF38" s="2183"/>
      <c r="BG38" s="2184"/>
      <c r="BH38" s="2185"/>
      <c r="BI38" s="2186" t="str">
        <f>IF(OR(AA37="",E38=""),"",IF(LEFT(E38,2)=" B","無窓",IF(BL38&lt;&gt;"",BL38,IF(BV38&lt;&gt;"",VLOOKUP(BV38,令別表,8,FALSE),IF(OR(LEFT(E38,2)=" B",LEFT(E38,2)="PH"),"無窓",IF(LEFT(E38,2)&lt;&gt;"",VLOOKUP($AS$16,令別表,8,FALSE)))))))</f>
        <v>無窓</v>
      </c>
      <c r="BJ38" s="2187"/>
      <c r="BK38" s="2187"/>
      <c r="BL38" s="2164"/>
      <c r="BM38" s="2165"/>
      <c r="BN38" s="2166"/>
      <c r="BO38" s="2161" t="str">
        <f>IF(OR(E38="",AA37=""),"",IF(LEFT(E38,2)=" B","無窓",IF(BR38&lt;&gt;"",BR38,IF(BV38&lt;&gt;"",VLOOKUP(BV38,令別表,8,FALSE),IF(OR(LEFT(E38,2)=" B",LEFT(E38,2)="PH"),"無窓",IF(LEFT(E38,2)&lt;&gt;"",VLOOKUP($AS$16,令別表,9,FALSE)))))))</f>
        <v>無窓</v>
      </c>
      <c r="BP38" s="2162"/>
      <c r="BQ38" s="2163"/>
      <c r="BR38" s="2164"/>
      <c r="BS38" s="2165"/>
      <c r="BT38" s="2166"/>
      <c r="BU38" s="819" t="str">
        <f>IF(AND(LEFT($AS$16,4)="(16)",E38&lt;&gt;"",BV38=""),"■","")</f>
        <v/>
      </c>
      <c r="BV38" s="2201" t="s">
        <v>2249</v>
      </c>
      <c r="BW38" s="2202"/>
      <c r="BX38" s="2202"/>
      <c r="BY38" s="2203"/>
      <c r="BZ38" s="1810" t="str">
        <f>IF(E38="","",IF(AND(BU38="",BV38="",CB38=1),"済",IF(AND(BU38="",BV38&lt;&gt;"",CB38=1),"済","未")))</f>
        <v>済</v>
      </c>
      <c r="CA38" s="1811"/>
      <c r="CB38" s="659">
        <f>IF(AND(LEFT(E38,4)="  1F",O38&lt;&gt;"",S38&lt;&gt;"",W38&lt;&gt;"",AA37&lt;&gt;""),1,IF(AND(LEFT(E38,4)&lt;&gt;"  1F",O38&lt;&gt;"",S38&lt;&gt;"",AA37&lt;&gt;""),1,0))</f>
        <v>1</v>
      </c>
      <c r="CC38" s="69" t="str">
        <f>IF(C38="","",IF(LEFT(E38,2)=" B",O38,""))</f>
        <v/>
      </c>
      <c r="CD38" s="67" t="str">
        <f>IF(C38="","",IF(E38="  1F",O38,""))</f>
        <v/>
      </c>
      <c r="CE38" s="67">
        <f>IF(OR(C38="",E38="  1F"),"",IF(AND(LEFT(E38,2)&lt;&gt;" B",LEFT(E38,1)&lt;&gt;"P"),O38,""))</f>
        <v>4</v>
      </c>
      <c r="CF38" s="70" t="str">
        <f>IF(C38="","",IF(LEFT(E38,1)="P",O38,""))</f>
        <v/>
      </c>
      <c r="CG38" s="69" t="str">
        <f>IF(LEFT(E38,2)=" B",E38,"")</f>
        <v/>
      </c>
      <c r="CH38" s="70" t="str">
        <f>IF(BV38="","",IF(LEFT(E38,2)=" B",BV38,""))</f>
        <v/>
      </c>
      <c r="CI38" s="69" t="str">
        <f>IF(E38="  1F",AA37,"")</f>
        <v/>
      </c>
      <c r="CJ38" s="631">
        <f>IF(OR(LEFT(E38,2)=" B",LEFT(E38,2)="PH"),0,IF(CI38="",0,IF(AND(BI38="無窓",BO38="無窓"),3,IF(BI38="無窓",1,IF(BO38="無窓",2,0)))))</f>
        <v>0</v>
      </c>
      <c r="CK38" s="70" t="str">
        <f>IF(BV38="","",IF(E38="  1F",BV38,""))</f>
        <v/>
      </c>
      <c r="CL38" s="69" t="str">
        <f>IF(E38="  2F",E38,"")</f>
        <v/>
      </c>
      <c r="CM38" s="631">
        <f>IF(OR(LEFT(E38,2)=" B",LEFT(E38,2)="PH"),0,IF(CL38="",0,IF(AND(BI38="無窓",BO38="無窓"),3,IF(BI38="無窓",1,IF(BO38="無窓",2,0)))))</f>
        <v>0</v>
      </c>
      <c r="CN38" s="70" t="str">
        <f>IF(BV38="","",IF(E38="  2F",BV38,""))</f>
        <v/>
      </c>
      <c r="CO38" s="69" t="str">
        <f>IF(E38="  3F",AA37,"")</f>
        <v/>
      </c>
      <c r="CP38" s="631">
        <f>IF(OR(LEFT(E38,2)=" B",LEFT(E38,2)="PH"),0,IF(CO38="",0,IF(AND(BI38="無窓",BO38="無窓"),3,IF(BI38="無窓",1,IF(BO38="無窓",2,0)))))</f>
        <v>0</v>
      </c>
      <c r="CQ38" s="70" t="str">
        <f>IF(BV38="","",IF(E38="  3F",BV38,""))</f>
        <v/>
      </c>
      <c r="CR38" s="634">
        <f>IF(OR(E38="  4F",E38="  5F",E38="  6F",E38="  7F",E38="  8F",E38="  9F",E38=" 10F"),AA37,"")</f>
        <v>1152</v>
      </c>
      <c r="CS38" s="631">
        <f>IF(E38="",0,IF(OR(LEFT(E38,2)=" B",LEFT(E38,2)="PH"),0,IF(OR(VALUE(LEFT(E38,3))&lt;4,VALUE(LEFT(E38,3))&gt;10),0,IF(AND(BI38="無窓",BO38="無窓"),3,IF(BI38="無窓",1,IF(BO38="無窓",2,0))))))</f>
        <v>3</v>
      </c>
      <c r="CT38" s="70" t="str">
        <f>IF(OR(E38="",LEFT(E38,2)=" B",LEFT(E38,1)="P"),"",IF(AND(VALUE(LEFT(E38,3))&gt;=4,VALUE(LEFT(E38,3))&lt;11),BV38,""))</f>
        <v>( 4 )</v>
      </c>
      <c r="CU38" s="69" t="str">
        <f>IF(OR(LEFT(E38,2)=" B",LEFT(E38,2)="PH",E38=""),"",IF(VALUE(LEFT(E38,3))&gt;10,AA37,""))</f>
        <v/>
      </c>
      <c r="CV38" s="637">
        <f>IF(E38="",0,IF(OR(LEFT(E38,2)=" B",LEFT(E38,2)="PH"),0,IF(AND(BI38="無窓",BO38="無窓"),3,IF(BI38="無窓",1,IF(BO38="無窓",2,0)))))</f>
        <v>3</v>
      </c>
      <c r="CW38" s="67" t="str">
        <f>IF(OR(E38="",LEFT(E38,2)=" B",LEFT(E38,1)="P"),"",IF(VALUE(LEFT(E38,3))&gt;10,BV38,""))</f>
        <v/>
      </c>
      <c r="CX38" s="70" t="str">
        <f>IF(LEFT(E38,2)="PH",AA37,"")</f>
        <v/>
      </c>
      <c r="CY38" s="68">
        <f>IF(OR(BV38="(2) ロ",BV38="( 4 )",BV38="(5) イ"),1,"")</f>
        <v>1</v>
      </c>
      <c r="CZ38" s="9"/>
      <c r="DA38" s="33"/>
      <c r="DB38" s="33"/>
      <c r="DC38" s="24"/>
      <c r="DD38" s="397" t="s">
        <v>162</v>
      </c>
      <c r="DE38" s="25"/>
      <c r="DF38" s="26">
        <v>70</v>
      </c>
      <c r="DG38" s="26">
        <v>100</v>
      </c>
      <c r="DH38" s="27">
        <f t="shared" si="0"/>
        <v>30</v>
      </c>
      <c r="DI38" s="28">
        <v>15</v>
      </c>
      <c r="DJ38" s="28" t="s">
        <v>31</v>
      </c>
      <c r="DK38" s="28" t="s">
        <v>31</v>
      </c>
      <c r="DL38" s="29">
        <v>5</v>
      </c>
      <c r="DM38" s="30"/>
      <c r="DN38" s="30"/>
      <c r="DO38" s="30"/>
      <c r="DP38" s="30"/>
      <c r="DQ38" s="30"/>
      <c r="DR38" s="30"/>
      <c r="DS38" s="30"/>
      <c r="DT38" s="30"/>
      <c r="DU38" s="30"/>
      <c r="DV38" s="30"/>
      <c r="DW38" s="30"/>
      <c r="DX38" s="30"/>
      <c r="DY38" s="30"/>
      <c r="DZ38" s="30"/>
      <c r="EA38" s="30"/>
      <c r="EB38" s="30"/>
      <c r="EC38" s="30"/>
      <c r="ED38" s="30"/>
      <c r="EE38" s="30"/>
      <c r="EF38" s="30"/>
      <c r="EG38" s="31"/>
      <c r="EH38" s="31"/>
      <c r="EI38" s="31"/>
      <c r="EJ38" s="31"/>
      <c r="EK38" s="31"/>
      <c r="EL38" s="31"/>
      <c r="EM38" s="31"/>
      <c r="EN38" s="31"/>
      <c r="EO38" s="31"/>
      <c r="EP38" s="31"/>
      <c r="EQ38" s="31"/>
      <c r="ER38" s="31"/>
      <c r="ES38" s="31"/>
      <c r="ET38" s="31"/>
      <c r="EU38" s="31"/>
      <c r="EV38" s="31"/>
      <c r="EW38" s="31"/>
      <c r="EX38" s="31"/>
      <c r="EY38" s="31"/>
      <c r="EZ38" s="31"/>
      <c r="FA38" s="30"/>
      <c r="FB38" s="30"/>
      <c r="FC38" s="32"/>
      <c r="FD38" s="402"/>
      <c r="FE38" s="402"/>
      <c r="FF38" s="30"/>
      <c r="FG38" s="30"/>
      <c r="FH38" s="13"/>
      <c r="FI38" s="156"/>
      <c r="FJ38" s="13"/>
      <c r="FK38" s="1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row>
    <row r="39" spans="1:756" ht="0.75" customHeight="1">
      <c r="A39" s="61"/>
      <c r="B39" s="62"/>
      <c r="C39" s="594"/>
      <c r="D39" s="602"/>
      <c r="E39" s="1754"/>
      <c r="F39" s="1755"/>
      <c r="G39" s="1755"/>
      <c r="H39" s="1756"/>
      <c r="I39" s="602"/>
      <c r="J39" s="602"/>
      <c r="K39" s="602"/>
      <c r="L39" s="1808"/>
      <c r="M39" s="1808"/>
      <c r="N39" s="1808"/>
      <c r="O39" s="794"/>
      <c r="P39" s="795"/>
      <c r="Q39" s="795"/>
      <c r="R39" s="796"/>
      <c r="S39" s="797"/>
      <c r="T39" s="798"/>
      <c r="U39" s="798"/>
      <c r="V39" s="799"/>
      <c r="W39" s="800"/>
      <c r="X39" s="801"/>
      <c r="Y39" s="801"/>
      <c r="Z39" s="802"/>
      <c r="AA39" s="1760">
        <f>IF(E38="","",O117)</f>
        <v>1152</v>
      </c>
      <c r="AB39" s="1760"/>
      <c r="AC39" s="1760"/>
      <c r="AD39" s="1760"/>
      <c r="AE39" s="1760"/>
      <c r="AF39" s="1761"/>
      <c r="AG39" s="783"/>
      <c r="AH39" s="784"/>
      <c r="AI39" s="784"/>
      <c r="AJ39" s="784"/>
      <c r="AK39" s="784"/>
      <c r="AL39" s="784"/>
      <c r="AM39" s="803"/>
      <c r="AN39" s="803"/>
      <c r="AO39" s="803"/>
      <c r="AP39" s="803"/>
      <c r="AQ39" s="1757"/>
      <c r="AR39" s="1758"/>
      <c r="AS39" s="1758"/>
      <c r="AT39" s="1758"/>
      <c r="AU39" s="1758"/>
      <c r="AV39" s="1759"/>
      <c r="AW39" s="784"/>
      <c r="AX39" s="784"/>
      <c r="AY39" s="784"/>
      <c r="AZ39" s="803"/>
      <c r="BA39" s="803"/>
      <c r="BB39" s="803"/>
      <c r="BC39" s="784"/>
      <c r="BD39" s="784"/>
      <c r="BE39" s="784"/>
      <c r="BF39" s="803"/>
      <c r="BG39" s="803"/>
      <c r="BH39" s="803"/>
      <c r="BI39" s="599"/>
      <c r="BJ39" s="599"/>
      <c r="BK39" s="599"/>
      <c r="BL39" s="810"/>
      <c r="BM39" s="810"/>
      <c r="BN39" s="810"/>
      <c r="BO39" s="599"/>
      <c r="BP39" s="599"/>
      <c r="BQ39" s="599"/>
      <c r="BR39" s="810"/>
      <c r="BS39" s="810"/>
      <c r="BT39" s="810"/>
      <c r="BU39" s="599"/>
      <c r="BV39" s="2204"/>
      <c r="BW39" s="2205"/>
      <c r="BX39" s="2205"/>
      <c r="BY39" s="2206"/>
      <c r="BZ39" s="599"/>
      <c r="CA39" s="600"/>
      <c r="CB39" s="63"/>
      <c r="CC39" s="69"/>
      <c r="CD39" s="67"/>
      <c r="CE39" s="67"/>
      <c r="CF39" s="70"/>
      <c r="CG39" s="69"/>
      <c r="CH39" s="70"/>
      <c r="CI39" s="69"/>
      <c r="CJ39" s="67"/>
      <c r="CK39" s="70"/>
      <c r="CL39" s="69"/>
      <c r="CM39" s="631"/>
      <c r="CN39" s="70"/>
      <c r="CO39" s="69"/>
      <c r="CP39" s="631"/>
      <c r="CQ39" s="70"/>
      <c r="CR39" s="634"/>
      <c r="CS39" s="67"/>
      <c r="CT39" s="70"/>
      <c r="CU39" s="69"/>
      <c r="CV39" s="637"/>
      <c r="CW39" s="67"/>
      <c r="CX39" s="70"/>
      <c r="CY39" s="71"/>
      <c r="CZ39" s="9"/>
      <c r="DA39" s="33"/>
      <c r="DB39" s="33"/>
      <c r="DC39" s="400"/>
      <c r="DD39" s="401"/>
      <c r="DE39" s="587"/>
      <c r="DF39" s="588"/>
      <c r="DG39" s="588"/>
      <c r="DH39" s="589"/>
      <c r="DI39" s="590"/>
      <c r="DJ39" s="590"/>
      <c r="DK39" s="590"/>
      <c r="DL39" s="591"/>
      <c r="DM39" s="592"/>
      <c r="DN39" s="592"/>
      <c r="DO39" s="592"/>
      <c r="DP39" s="592"/>
      <c r="DQ39" s="592"/>
      <c r="DR39" s="592"/>
      <c r="DS39" s="592"/>
      <c r="DT39" s="592"/>
      <c r="DU39" s="592"/>
      <c r="DV39" s="592"/>
      <c r="DW39" s="592"/>
      <c r="DX39" s="592"/>
      <c r="DY39" s="592"/>
      <c r="DZ39" s="592"/>
      <c r="EA39" s="592"/>
      <c r="EB39" s="592"/>
      <c r="EC39" s="592"/>
      <c r="ED39" s="592"/>
      <c r="EE39" s="592"/>
      <c r="EF39" s="592"/>
      <c r="EG39" s="593"/>
      <c r="EH39" s="593"/>
      <c r="EI39" s="593"/>
      <c r="EJ39" s="593"/>
      <c r="EK39" s="593"/>
      <c r="EL39" s="593"/>
      <c r="EM39" s="593"/>
      <c r="EN39" s="593"/>
      <c r="EO39" s="593"/>
      <c r="EP39" s="593"/>
      <c r="EQ39" s="593"/>
      <c r="ER39" s="593"/>
      <c r="ES39" s="593"/>
      <c r="ET39" s="593"/>
      <c r="EU39" s="593"/>
      <c r="EV39" s="593"/>
      <c r="EW39" s="593"/>
      <c r="EX39" s="593"/>
      <c r="EY39" s="593"/>
      <c r="EZ39" s="593"/>
      <c r="FA39" s="592"/>
      <c r="FB39" s="592"/>
      <c r="FC39" s="402"/>
      <c r="FD39" s="402"/>
      <c r="FE39" s="402"/>
      <c r="FF39" s="592"/>
      <c r="FG39" s="592"/>
      <c r="FH39" s="13"/>
      <c r="FI39" s="780"/>
      <c r="FJ39" s="13"/>
      <c r="FK39" s="1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row>
    <row r="40" spans="1:756" ht="12" customHeight="1">
      <c r="A40" s="61">
        <f>IF(OR(E40="",LEFT(E40,2)=" B",E40="  RF",LEFT(E40,1)="P"),0,C40)</f>
        <v>9</v>
      </c>
      <c r="B40" s="62">
        <f>IF(AND(AA39="",E40=""),0,IF(LEFT(E40,2)="PH",0,1))</f>
        <v>1</v>
      </c>
      <c r="C40" s="1773">
        <f>IF(AA39="","",C38+1)</f>
        <v>9</v>
      </c>
      <c r="D40" s="1774"/>
      <c r="E40" s="1802" t="s">
        <v>2239</v>
      </c>
      <c r="F40" s="1803"/>
      <c r="G40" s="1803"/>
      <c r="H40" s="1804"/>
      <c r="I40" s="1778" t="str">
        <f>IF(I117=0,"",I117)</f>
        <v>A</v>
      </c>
      <c r="J40" s="1779"/>
      <c r="K40" s="1780"/>
      <c r="L40" s="1808"/>
      <c r="M40" s="1808"/>
      <c r="N40" s="1808"/>
      <c r="O40" s="1805">
        <v>4</v>
      </c>
      <c r="P40" s="1806"/>
      <c r="Q40" s="1806"/>
      <c r="R40" s="1807"/>
      <c r="S40" s="1784">
        <v>3</v>
      </c>
      <c r="T40" s="1785"/>
      <c r="U40" s="1785"/>
      <c r="V40" s="1786"/>
      <c r="W40" s="1805"/>
      <c r="X40" s="1806"/>
      <c r="Y40" s="1806"/>
      <c r="Z40" s="1807"/>
      <c r="AA40" s="1762"/>
      <c r="AB40" s="1762"/>
      <c r="AC40" s="1762"/>
      <c r="AD40" s="1762"/>
      <c r="AE40" s="1762"/>
      <c r="AF40" s="1763"/>
      <c r="AG40" s="1770">
        <f>IF(OR($U$11="No",C40=""),"",IF(AM40&lt;&gt;"",AM40,IF(LEFT(E40,2)="PH","",IF(BV40&lt;&gt;"",VLOOKUP(BV40,令別表,4,FALSE)*AA39/100,IF(ISNA(VLOOKUP($AS$16,令別表,4,FALSE)),"",IF(VLOOKUP($AS$16,令別表,4,FALSE)*AA39/100=0,"",VLOOKUP($AS$16,令別表,4,FALSE)*AA39/100))))))</f>
        <v>806.4</v>
      </c>
      <c r="AH40" s="1771"/>
      <c r="AI40" s="1771"/>
      <c r="AJ40" s="1771"/>
      <c r="AK40" s="1771"/>
      <c r="AL40" s="1772"/>
      <c r="AM40" s="1767"/>
      <c r="AN40" s="1768"/>
      <c r="AO40" s="1768"/>
      <c r="AP40" s="1769"/>
      <c r="AQ40" s="1764">
        <f t="shared" si="1"/>
        <v>345.6</v>
      </c>
      <c r="AR40" s="1765"/>
      <c r="AS40" s="1765"/>
      <c r="AT40" s="1765"/>
      <c r="AU40" s="1765"/>
      <c r="AV40" s="1766"/>
      <c r="AW40" s="1790">
        <f>IF(C40="","",IF(AZ40&lt;&gt;"",AZ40,IF(LEFT(E40,2)="PH","",IF(BV40&lt;&gt;"",1+INT(AG40/VLOOKUP(BV40,令別表,5,FALSE)),IF(ISNA(VLOOKUP($AS$16,令別表,5,FALSE)),"",IF(1+INT(AG40/VLOOKUP($AS$16,令別表,5,FALSE))="","",1+INT(AG40/VLOOKUP($AS$16,令別表,5,FALSE))))))))</f>
        <v>3</v>
      </c>
      <c r="AX40" s="1791"/>
      <c r="AY40" s="1792"/>
      <c r="AZ40" s="2183"/>
      <c r="BA40" s="2184"/>
      <c r="BB40" s="2185"/>
      <c r="BC40" s="1790">
        <f>IF(E40="","",IF(BF40&lt;&gt;"",BF40,IF(BV40&lt;&gt;"",1+INT(AQ40/VLOOKUP(BV40,令別表,7,FALSE)),IF(ISNA(VLOOKUP($AS$16,令別表,7,FALSE)),"",IF(1+INT(AQ40/VLOOKUP($AS$16,令別表,7,FALSE))="","",1+INT(AQ40/VLOOKUP($AS$16,令別表,7,FALSE)))))))</f>
        <v>9</v>
      </c>
      <c r="BD40" s="1791"/>
      <c r="BE40" s="1791"/>
      <c r="BF40" s="2183"/>
      <c r="BG40" s="2184"/>
      <c r="BH40" s="2185"/>
      <c r="BI40" s="2186" t="str">
        <f>IF(OR(AA39="",E40=""),"",IF(LEFT(E40,2)=" B","無窓",IF(BL40&lt;&gt;"",BL40,IF(BV40&lt;&gt;"",VLOOKUP(BV40,令別表,8,FALSE),IF(OR(LEFT(E40,2)=" B",LEFT(E40,2)="PH"),"無窓",IF(LEFT(E40,2)&lt;&gt;"",VLOOKUP($AS$16,令別表,8,FALSE)))))))</f>
        <v>無窓</v>
      </c>
      <c r="BJ40" s="2187"/>
      <c r="BK40" s="2187"/>
      <c r="BL40" s="2164"/>
      <c r="BM40" s="2165"/>
      <c r="BN40" s="2166"/>
      <c r="BO40" s="2161" t="str">
        <f>IF(OR(E40="",AA39=""),"",IF(LEFT(E40,2)=" B","無窓",IF(BR40&lt;&gt;"",BR40,IF(BV40&lt;&gt;"",VLOOKUP(BV40,令別表,8,FALSE),IF(OR(LEFT(E40,2)=" B",LEFT(E40,2)="PH"),"無窓",IF(LEFT(E40,2)&lt;&gt;"",VLOOKUP($AS$16,令別表,9,FALSE)))))))</f>
        <v>無窓</v>
      </c>
      <c r="BP40" s="2162"/>
      <c r="BQ40" s="2163"/>
      <c r="BR40" s="2164"/>
      <c r="BS40" s="2165"/>
      <c r="BT40" s="2166"/>
      <c r="BU40" s="819" t="str">
        <f>IF(AND(LEFT($AS$16,4)="(16)",E40&lt;&gt;"",BV40=""),"■","")</f>
        <v/>
      </c>
      <c r="BV40" s="2201" t="s">
        <v>2249</v>
      </c>
      <c r="BW40" s="2202"/>
      <c r="BX40" s="2202"/>
      <c r="BY40" s="2203"/>
      <c r="BZ40" s="1810" t="str">
        <f>IF(E40="","",IF(AND(BU40="",BV40="",CB40=1),"済",IF(AND(BU40="",BV40&lt;&gt;"",CB40=1),"済","未")))</f>
        <v>済</v>
      </c>
      <c r="CA40" s="1811"/>
      <c r="CB40" s="659">
        <f>IF(AND(LEFT(E40,4)="  1F",O40&lt;&gt;"",S40&lt;&gt;"",W40&lt;&gt;"",AA39&lt;&gt;""),1,IF(AND(LEFT(E40,4)&lt;&gt;"  1F",O40&lt;&gt;"",S40&lt;&gt;"",AA39&lt;&gt;""),1,0))</f>
        <v>1</v>
      </c>
      <c r="CC40" s="69" t="str">
        <f>IF(C40="","",IF(LEFT(E40,2)=" B",O40,""))</f>
        <v/>
      </c>
      <c r="CD40" s="67" t="str">
        <f>IF(C40="","",IF(E40="  1F",O40,""))</f>
        <v/>
      </c>
      <c r="CE40" s="67">
        <f>IF(OR(C40="",E40="  1F"),"",IF(AND(LEFT(E40,2)&lt;&gt;" B",LEFT(E40,1)&lt;&gt;"P"),O40,""))</f>
        <v>4</v>
      </c>
      <c r="CF40" s="70" t="str">
        <f>IF(C40="","",IF(LEFT(E40,1)="P",O40,""))</f>
        <v/>
      </c>
      <c r="CG40" s="69" t="str">
        <f>IF(LEFT(E40,2)=" B",E40,"")</f>
        <v/>
      </c>
      <c r="CH40" s="70" t="str">
        <f>IF(BV40="","",IF(LEFT(E40,2)=" B",BV40,""))</f>
        <v/>
      </c>
      <c r="CI40" s="69" t="str">
        <f>IF(E40="  1F",AA39,"")</f>
        <v/>
      </c>
      <c r="CJ40" s="631">
        <f>IF(OR(LEFT(E40,2)=" B",LEFT(E40,2)="PH"),0,IF(CI40="",0,IF(AND(BI40="無窓",BO40="無窓"),3,IF(BI40="無窓",1,IF(BO40="無窓",2,0)))))</f>
        <v>0</v>
      </c>
      <c r="CK40" s="70" t="str">
        <f>IF(BV40="","",IF(E40="  1F",BV40,""))</f>
        <v/>
      </c>
      <c r="CL40" s="69" t="str">
        <f>IF(E40="  2F",E40,"")</f>
        <v/>
      </c>
      <c r="CM40" s="631">
        <f>IF(OR(LEFT(E40,2)=" B",LEFT(E40,2)="PH"),0,IF(CL40="",0,IF(AND(BI40="無窓",BO40="無窓"),3,IF(BI40="無窓",1,IF(BO40="無窓",2,0)))))</f>
        <v>0</v>
      </c>
      <c r="CN40" s="70" t="str">
        <f>IF(BV40="","",IF(E40="  2F",BV40,""))</f>
        <v/>
      </c>
      <c r="CO40" s="69" t="str">
        <f>IF(E40="  3F",AA39,"")</f>
        <v/>
      </c>
      <c r="CP40" s="631">
        <f>IF(OR(LEFT(E40,2)=" B",LEFT(E40,2)="PH"),0,IF(CO40="",0,IF(AND(BI40="無窓",BO40="無窓"),3,IF(BI40="無窓",1,IF(BO40="無窓",2,0)))))</f>
        <v>0</v>
      </c>
      <c r="CQ40" s="70" t="str">
        <f>IF(BV40="","",IF(E40="  3F",BV40,""))</f>
        <v/>
      </c>
      <c r="CR40" s="634">
        <f>IF(OR(E40="  4F",E40="  5F",E40="  6F",E40="  7F",E40="  8F",E40="  9F",E40=" 10F"),AA39,"")</f>
        <v>1152</v>
      </c>
      <c r="CS40" s="631">
        <f>IF(E40="",0,IF(OR(LEFT(E40,2)=" B",LEFT(E40,2)="PH"),0,IF(OR(VALUE(LEFT(E40,3))&lt;4,VALUE(LEFT(E40,3))&gt;10),0,IF(AND(BI40="無窓",BO40="無窓"),3,IF(BI40="無窓",1,IF(BO40="無窓",2,0))))))</f>
        <v>3</v>
      </c>
      <c r="CT40" s="70" t="str">
        <f>IF(OR(E40="",LEFT(E40,2)=" B",LEFT(E40,1)="P"),"",IF(AND(VALUE(LEFT(E40,3))&gt;=4,VALUE(LEFT(E40,3))&lt;11),BV40,""))</f>
        <v>( 4 )</v>
      </c>
      <c r="CU40" s="69" t="str">
        <f>IF(OR(LEFT(E40,2)=" B",LEFT(E40,2)="PH",E40=""),"",IF(VALUE(LEFT(E40,3))&gt;10,AA39,""))</f>
        <v/>
      </c>
      <c r="CV40" s="637">
        <f>IF(E40="",0,IF(OR(LEFT(E40,2)=" B",LEFT(E40,2)="PH"),0,IF(AND(BI40="無窓",BO40="無窓"),3,IF(BI40="無窓",1,IF(BO40="無窓",2,0)))))</f>
        <v>3</v>
      </c>
      <c r="CW40" s="67" t="str">
        <f>IF(OR(E40="",LEFT(E40,2)=" B",LEFT(E40,1)="P"),"",IF(VALUE(LEFT(E40,3))&gt;10,BV40,""))</f>
        <v/>
      </c>
      <c r="CX40" s="70" t="str">
        <f>IF(LEFT(E40,2)="PH",AA39,"")</f>
        <v/>
      </c>
      <c r="CY40" s="68">
        <f>IF(OR(BV40="(2) ロ",BV40="( 4 )",BV40="(5) イ"),1,"")</f>
        <v>1</v>
      </c>
      <c r="CZ40" s="9"/>
      <c r="DA40" s="33"/>
      <c r="DB40" s="33"/>
      <c r="DC40" s="52" t="s">
        <v>164</v>
      </c>
      <c r="DD40" s="53" t="s">
        <v>165</v>
      </c>
      <c r="DE40" s="72"/>
      <c r="DF40" s="26">
        <v>70</v>
      </c>
      <c r="DG40" s="26">
        <v>500</v>
      </c>
      <c r="DH40" s="27">
        <f t="shared" si="0"/>
        <v>30</v>
      </c>
      <c r="DI40" s="28">
        <v>20</v>
      </c>
      <c r="DJ40" s="28" t="s">
        <v>75</v>
      </c>
      <c r="DK40" s="28" t="s">
        <v>75</v>
      </c>
      <c r="DL40" s="29">
        <v>400</v>
      </c>
      <c r="DM40" s="30" t="s">
        <v>166</v>
      </c>
      <c r="DN40" s="30">
        <v>58</v>
      </c>
      <c r="DO40" s="30">
        <v>70</v>
      </c>
      <c r="DP40" s="30">
        <v>90</v>
      </c>
      <c r="DQ40" s="30">
        <v>100</v>
      </c>
      <c r="DR40" s="30" t="s">
        <v>167</v>
      </c>
      <c r="DS40" s="30">
        <v>58</v>
      </c>
      <c r="DT40" s="30">
        <v>70</v>
      </c>
      <c r="DU40" s="30">
        <v>90</v>
      </c>
      <c r="DV40" s="30">
        <v>50</v>
      </c>
      <c r="DW40" s="30" t="s">
        <v>34</v>
      </c>
      <c r="DX40" s="30">
        <v>59</v>
      </c>
      <c r="DY40" s="30">
        <v>70</v>
      </c>
      <c r="DZ40" s="30">
        <v>70</v>
      </c>
      <c r="EA40" s="30">
        <v>150</v>
      </c>
      <c r="EB40" s="30" t="s">
        <v>35</v>
      </c>
      <c r="EC40" s="30">
        <v>66</v>
      </c>
      <c r="ED40" s="30">
        <v>79</v>
      </c>
      <c r="EE40" s="30">
        <v>70</v>
      </c>
      <c r="EF40" s="30">
        <v>75</v>
      </c>
      <c r="EG40" s="31" t="s">
        <v>36</v>
      </c>
      <c r="EH40" s="31">
        <v>58</v>
      </c>
      <c r="EI40" s="31">
        <v>70</v>
      </c>
      <c r="EJ40" s="31">
        <v>90</v>
      </c>
      <c r="EK40" s="31">
        <v>100</v>
      </c>
      <c r="EL40" s="31" t="s">
        <v>42</v>
      </c>
      <c r="EM40" s="31">
        <v>66</v>
      </c>
      <c r="EN40" s="31">
        <v>79</v>
      </c>
      <c r="EO40" s="31">
        <v>90</v>
      </c>
      <c r="EP40" s="31">
        <v>50</v>
      </c>
      <c r="EQ40" s="31" t="s">
        <v>36</v>
      </c>
      <c r="ER40" s="31">
        <v>58</v>
      </c>
      <c r="ES40" s="31">
        <v>70</v>
      </c>
      <c r="ET40" s="31">
        <v>70</v>
      </c>
      <c r="EU40" s="31">
        <v>150</v>
      </c>
      <c r="EV40" s="31" t="s">
        <v>37</v>
      </c>
      <c r="EW40" s="31">
        <v>66</v>
      </c>
      <c r="EX40" s="31">
        <v>79</v>
      </c>
      <c r="EY40" s="31">
        <v>70</v>
      </c>
      <c r="EZ40" s="31">
        <v>75</v>
      </c>
      <c r="FA40" s="30">
        <v>75</v>
      </c>
      <c r="FB40" s="30">
        <v>200</v>
      </c>
      <c r="FC40" s="54" t="s">
        <v>164</v>
      </c>
      <c r="FD40" s="623"/>
      <c r="FE40" s="623"/>
      <c r="FF40" s="30"/>
      <c r="FG40" s="30"/>
      <c r="FH40" s="13"/>
      <c r="FI40" s="156"/>
      <c r="FJ40" s="13"/>
      <c r="FK40" s="1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row>
    <row r="41" spans="1:756" ht="0.75" customHeight="1">
      <c r="A41" s="61"/>
      <c r="B41" s="62"/>
      <c r="C41" s="594"/>
      <c r="D41" s="602"/>
      <c r="E41" s="1754"/>
      <c r="F41" s="1755"/>
      <c r="G41" s="1755"/>
      <c r="H41" s="1756"/>
      <c r="I41" s="602"/>
      <c r="J41" s="602"/>
      <c r="K41" s="602"/>
      <c r="L41" s="1808"/>
      <c r="M41" s="1808"/>
      <c r="N41" s="1808"/>
      <c r="O41" s="794"/>
      <c r="P41" s="795"/>
      <c r="Q41" s="795"/>
      <c r="R41" s="796"/>
      <c r="S41" s="797"/>
      <c r="T41" s="798"/>
      <c r="U41" s="798"/>
      <c r="V41" s="799"/>
      <c r="W41" s="800"/>
      <c r="X41" s="801"/>
      <c r="Y41" s="801"/>
      <c r="Z41" s="802"/>
      <c r="AA41" s="1760">
        <f>IF(E40="","",O118)</f>
        <v>1152</v>
      </c>
      <c r="AB41" s="1760"/>
      <c r="AC41" s="1760"/>
      <c r="AD41" s="1760"/>
      <c r="AE41" s="1760"/>
      <c r="AF41" s="1761"/>
      <c r="AG41" s="783"/>
      <c r="AH41" s="784"/>
      <c r="AI41" s="784"/>
      <c r="AJ41" s="784"/>
      <c r="AK41" s="784"/>
      <c r="AL41" s="784"/>
      <c r="AM41" s="803"/>
      <c r="AN41" s="803"/>
      <c r="AO41" s="803"/>
      <c r="AP41" s="803"/>
      <c r="AQ41" s="1757"/>
      <c r="AR41" s="1758"/>
      <c r="AS41" s="1758"/>
      <c r="AT41" s="1758"/>
      <c r="AU41" s="1758"/>
      <c r="AV41" s="1759"/>
      <c r="AW41" s="784"/>
      <c r="AX41" s="784"/>
      <c r="AY41" s="784"/>
      <c r="AZ41" s="803"/>
      <c r="BA41" s="803"/>
      <c r="BB41" s="803"/>
      <c r="BC41" s="784"/>
      <c r="BD41" s="784"/>
      <c r="BE41" s="784"/>
      <c r="BF41" s="803"/>
      <c r="BG41" s="803"/>
      <c r="BH41" s="803"/>
      <c r="BI41" s="599"/>
      <c r="BJ41" s="599"/>
      <c r="BK41" s="599"/>
      <c r="BL41" s="810"/>
      <c r="BM41" s="810"/>
      <c r="BN41" s="810"/>
      <c r="BO41" s="599"/>
      <c r="BP41" s="599"/>
      <c r="BQ41" s="599"/>
      <c r="BR41" s="810"/>
      <c r="BS41" s="810"/>
      <c r="BT41" s="810"/>
      <c r="BU41" s="599"/>
      <c r="BV41" s="2204"/>
      <c r="BW41" s="2205"/>
      <c r="BX41" s="2205"/>
      <c r="BY41" s="2206"/>
      <c r="BZ41" s="599"/>
      <c r="CA41" s="600"/>
      <c r="CB41" s="63"/>
      <c r="CC41" s="69"/>
      <c r="CD41" s="67"/>
      <c r="CE41" s="67"/>
      <c r="CF41" s="70"/>
      <c r="CG41" s="69"/>
      <c r="CH41" s="70"/>
      <c r="CI41" s="69"/>
      <c r="CJ41" s="67"/>
      <c r="CK41" s="70"/>
      <c r="CL41" s="69"/>
      <c r="CM41" s="631"/>
      <c r="CN41" s="70"/>
      <c r="CO41" s="69"/>
      <c r="CP41" s="631"/>
      <c r="CQ41" s="70"/>
      <c r="CR41" s="634"/>
      <c r="CS41" s="67"/>
      <c r="CT41" s="70"/>
      <c r="CU41" s="69"/>
      <c r="CV41" s="637"/>
      <c r="CW41" s="67"/>
      <c r="CX41" s="70"/>
      <c r="CY41" s="71"/>
      <c r="CZ41" s="9"/>
      <c r="DA41" s="33"/>
      <c r="DB41" s="33"/>
      <c r="DC41" s="620"/>
      <c r="DD41" s="621"/>
      <c r="DE41" s="622"/>
      <c r="DF41" s="588"/>
      <c r="DG41" s="588"/>
      <c r="DH41" s="589"/>
      <c r="DI41" s="590"/>
      <c r="DJ41" s="590"/>
      <c r="DK41" s="590"/>
      <c r="DL41" s="591"/>
      <c r="DM41" s="592"/>
      <c r="DN41" s="592"/>
      <c r="DO41" s="592"/>
      <c r="DP41" s="592"/>
      <c r="DQ41" s="592"/>
      <c r="DR41" s="592"/>
      <c r="DS41" s="592"/>
      <c r="DT41" s="592"/>
      <c r="DU41" s="592"/>
      <c r="DV41" s="592"/>
      <c r="DW41" s="592"/>
      <c r="DX41" s="592"/>
      <c r="DY41" s="592"/>
      <c r="DZ41" s="592"/>
      <c r="EA41" s="592"/>
      <c r="EB41" s="592"/>
      <c r="EC41" s="592"/>
      <c r="ED41" s="592"/>
      <c r="EE41" s="592"/>
      <c r="EF41" s="592"/>
      <c r="EG41" s="593"/>
      <c r="EH41" s="593"/>
      <c r="EI41" s="593"/>
      <c r="EJ41" s="593"/>
      <c r="EK41" s="593"/>
      <c r="EL41" s="593"/>
      <c r="EM41" s="593"/>
      <c r="EN41" s="593"/>
      <c r="EO41" s="593"/>
      <c r="EP41" s="593"/>
      <c r="EQ41" s="593"/>
      <c r="ER41" s="593"/>
      <c r="ES41" s="593"/>
      <c r="ET41" s="593"/>
      <c r="EU41" s="593"/>
      <c r="EV41" s="593"/>
      <c r="EW41" s="593"/>
      <c r="EX41" s="593"/>
      <c r="EY41" s="593"/>
      <c r="EZ41" s="593"/>
      <c r="FA41" s="592"/>
      <c r="FB41" s="592"/>
      <c r="FC41" s="623"/>
      <c r="FD41" s="623"/>
      <c r="FE41" s="623"/>
      <c r="FF41" s="592"/>
      <c r="FG41" s="592"/>
      <c r="FH41" s="13"/>
      <c r="FI41" s="780"/>
      <c r="FJ41" s="13"/>
      <c r="FK41" s="1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row>
    <row r="42" spans="1:756" ht="12" customHeight="1">
      <c r="A42" s="61">
        <f>IF(OR(E42="",LEFT(E42,2)=" B",E42="  RF",LEFT(E42,1)="P"),0,C42)</f>
        <v>10</v>
      </c>
      <c r="B42" s="62">
        <f>IF(AND(AA41="",E42=""),0,IF(LEFT(E42,2)="PH",0,1))</f>
        <v>1</v>
      </c>
      <c r="C42" s="1773">
        <f>IF(AA41="","",C40+1)</f>
        <v>10</v>
      </c>
      <c r="D42" s="1774"/>
      <c r="E42" s="1802" t="s">
        <v>2240</v>
      </c>
      <c r="F42" s="1803"/>
      <c r="G42" s="1803"/>
      <c r="H42" s="1804"/>
      <c r="I42" s="1778" t="str">
        <f>IF(I118=0,"",I118)</f>
        <v>A</v>
      </c>
      <c r="J42" s="1779"/>
      <c r="K42" s="1780"/>
      <c r="L42" s="1808"/>
      <c r="M42" s="1808"/>
      <c r="N42" s="1808"/>
      <c r="O42" s="1805">
        <v>4</v>
      </c>
      <c r="P42" s="1806"/>
      <c r="Q42" s="1806"/>
      <c r="R42" s="1807"/>
      <c r="S42" s="1784">
        <v>3</v>
      </c>
      <c r="T42" s="1785"/>
      <c r="U42" s="1785"/>
      <c r="V42" s="1786"/>
      <c r="W42" s="1805"/>
      <c r="X42" s="1806"/>
      <c r="Y42" s="1806"/>
      <c r="Z42" s="1807"/>
      <c r="AA42" s="1762"/>
      <c r="AB42" s="1762"/>
      <c r="AC42" s="1762"/>
      <c r="AD42" s="1762"/>
      <c r="AE42" s="1762"/>
      <c r="AF42" s="1763"/>
      <c r="AG42" s="1770">
        <f>IF(OR($U$11="No",C42=""),"",IF(AM42&lt;&gt;"",AM42,IF(LEFT(E42,2)="PH","",IF(BV42&lt;&gt;"",VLOOKUP(BV42,令別表,4,FALSE)*AA41/100,IF(ISNA(VLOOKUP($AS$16,令別表,4,FALSE)),"",IF(VLOOKUP($AS$16,令別表,4,FALSE)*AA41/100=0,"",VLOOKUP($AS$16,令別表,4,FALSE)*AA41/100))))))</f>
        <v>806.4</v>
      </c>
      <c r="AH42" s="1771"/>
      <c r="AI42" s="1771"/>
      <c r="AJ42" s="1771"/>
      <c r="AK42" s="1771"/>
      <c r="AL42" s="1772"/>
      <c r="AM42" s="1767"/>
      <c r="AN42" s="1768"/>
      <c r="AO42" s="1768"/>
      <c r="AP42" s="1769"/>
      <c r="AQ42" s="1764">
        <f t="shared" si="1"/>
        <v>345.6</v>
      </c>
      <c r="AR42" s="1765"/>
      <c r="AS42" s="1765"/>
      <c r="AT42" s="1765"/>
      <c r="AU42" s="1765"/>
      <c r="AV42" s="1766"/>
      <c r="AW42" s="1790">
        <f>IF(C42="","",IF(AZ42&lt;&gt;"",AZ42,IF(LEFT(E42,2)="PH","",IF(BV42&lt;&gt;"",1+INT(AG42/VLOOKUP(BV42,令別表,5,FALSE)),IF(ISNA(VLOOKUP($AS$16,令別表,5,FALSE)),"",IF(1+INT(AG42/VLOOKUP($AS$16,令別表,5,FALSE))="","",1+INT(AG42/VLOOKUP($AS$16,令別表,5,FALSE))))))))</f>
        <v>3</v>
      </c>
      <c r="AX42" s="1791"/>
      <c r="AY42" s="1792"/>
      <c r="AZ42" s="2183"/>
      <c r="BA42" s="2184"/>
      <c r="BB42" s="2185"/>
      <c r="BC42" s="1790">
        <f>IF(E42="","",IF(BF42&lt;&gt;"",BF42,IF(BV42&lt;&gt;"",1+INT(AQ42/VLOOKUP(BV42,令別表,7,FALSE)),IF(ISNA(VLOOKUP($AS$16,令別表,7,FALSE)),"",IF(1+INT(AQ42/VLOOKUP($AS$16,令別表,7,FALSE))="","",1+INT(AQ42/VLOOKUP($AS$16,令別表,7,FALSE)))))))</f>
        <v>9</v>
      </c>
      <c r="BD42" s="1791"/>
      <c r="BE42" s="1791"/>
      <c r="BF42" s="2183"/>
      <c r="BG42" s="2184"/>
      <c r="BH42" s="2185"/>
      <c r="BI42" s="2186" t="str">
        <f>IF(OR(AA41="",E42=""),"",IF(LEFT(E42,2)=" B","無窓",IF(BL42&lt;&gt;"",BL42,IF(BV42&lt;&gt;"",VLOOKUP(BV42,令別表,8,FALSE),IF(OR(LEFT(E42,2)=" B",LEFT(E42,2)="PH"),"無窓",IF(LEFT(E42,2)&lt;&gt;"",VLOOKUP($AS$16,令別表,8,FALSE)))))))</f>
        <v>無窓</v>
      </c>
      <c r="BJ42" s="2187"/>
      <c r="BK42" s="2187"/>
      <c r="BL42" s="2164"/>
      <c r="BM42" s="2165"/>
      <c r="BN42" s="2166"/>
      <c r="BO42" s="2161" t="str">
        <f>IF(OR(E42="",AA41=""),"",IF(LEFT(E42,2)=" B","無窓",IF(BR42&lt;&gt;"",BR42,IF(BV42&lt;&gt;"",VLOOKUP(BV42,令別表,8,FALSE),IF(OR(LEFT(E42,2)=" B",LEFT(E42,2)="PH"),"無窓",IF(LEFT(E42,2)&lt;&gt;"",VLOOKUP($AS$16,令別表,9,FALSE)))))))</f>
        <v>無窓</v>
      </c>
      <c r="BP42" s="2162"/>
      <c r="BQ42" s="2163"/>
      <c r="BR42" s="2164"/>
      <c r="BS42" s="2165"/>
      <c r="BT42" s="2166"/>
      <c r="BU42" s="819" t="str">
        <f>IF(AND(LEFT($AS$16,4)="(16)",E42&lt;&gt;"",BV42=""),"■","")</f>
        <v/>
      </c>
      <c r="BV42" s="2201" t="s">
        <v>2249</v>
      </c>
      <c r="BW42" s="2202"/>
      <c r="BX42" s="2202"/>
      <c r="BY42" s="2203"/>
      <c r="BZ42" s="1810" t="str">
        <f>IF(E42="","",IF(AND(BU42="",BV42="",CB42=1),"済",IF(AND(BU42="",BV42&lt;&gt;"",CB42=1),"済","未")))</f>
        <v>済</v>
      </c>
      <c r="CA42" s="1811"/>
      <c r="CB42" s="659">
        <f>IF(AND(LEFT(E42,4)="  1F",O42&lt;&gt;"",S42&lt;&gt;"",W42&lt;&gt;"",AA41&lt;&gt;""),1,IF(AND(LEFT(E42,4)&lt;&gt;"  1F",O42&lt;&gt;"",S42&lt;&gt;"",AA41&lt;&gt;""),1,0))</f>
        <v>1</v>
      </c>
      <c r="CC42" s="69" t="str">
        <f>IF(C42="","",IF(LEFT(E42,2)=" B",O42,""))</f>
        <v/>
      </c>
      <c r="CD42" s="67" t="str">
        <f>IF(C42="","",IF(E42="  1F",O42,""))</f>
        <v/>
      </c>
      <c r="CE42" s="67">
        <f>IF(OR(C42="",E42="  1F"),"",IF(AND(LEFT(E42,2)&lt;&gt;" B",LEFT(E42,1)&lt;&gt;"P"),O42,""))</f>
        <v>4</v>
      </c>
      <c r="CF42" s="70" t="str">
        <f>IF(C42="","",IF(LEFT(E42,1)="P",O42,""))</f>
        <v/>
      </c>
      <c r="CG42" s="69" t="str">
        <f>IF(LEFT(E42,2)=" B",E42,"")</f>
        <v/>
      </c>
      <c r="CH42" s="70" t="str">
        <f>IF(BV42="","",IF(LEFT(E42,2)=" B",BV42,""))</f>
        <v/>
      </c>
      <c r="CI42" s="69" t="str">
        <f>IF(E42="  1F",AA41,"")</f>
        <v/>
      </c>
      <c r="CJ42" s="631">
        <f>IF(OR(LEFT(E42,2)=" B",LEFT(E42,2)="PH"),0,IF(CI42="",0,IF(AND(BI42="無窓",BO42="無窓"),3,IF(BI42="無窓",1,IF(BO42="無窓",2,0)))))</f>
        <v>0</v>
      </c>
      <c r="CK42" s="70" t="str">
        <f>IF(BV42="","",IF(E42="  1F",BV42,""))</f>
        <v/>
      </c>
      <c r="CL42" s="69" t="str">
        <f>IF(E42="  2F",E42,"")</f>
        <v/>
      </c>
      <c r="CM42" s="631">
        <f>IF(OR(LEFT(E42,2)=" B",LEFT(E42,2)="PH"),0,IF(CL42="",0,IF(AND(BI42="無窓",BO42="無窓"),3,IF(BI42="無窓",1,IF(BO42="無窓",2,0)))))</f>
        <v>0</v>
      </c>
      <c r="CN42" s="70" t="str">
        <f>IF(BV42="","",IF(E42="  2F",BV42,""))</f>
        <v/>
      </c>
      <c r="CO42" s="69" t="str">
        <f>IF(E42="  3F",AA41,"")</f>
        <v/>
      </c>
      <c r="CP42" s="631">
        <f>IF(OR(LEFT(E42,2)=" B",LEFT(E42,2)="PH"),0,IF(CO42="",0,IF(AND(BI42="無窓",BO42="無窓"),3,IF(BI42="無窓",1,IF(BO42="無窓",2,0)))))</f>
        <v>0</v>
      </c>
      <c r="CQ42" s="70" t="str">
        <f>IF(BV42="","",IF(E42="  3F",BV42,""))</f>
        <v/>
      </c>
      <c r="CR42" s="634">
        <f>IF(OR(E42="  4F",E42="  5F",E42="  6F",E42="  7F",E42="  8F",E42="  9F",E42=" 10F"),AA41,"")</f>
        <v>1152</v>
      </c>
      <c r="CS42" s="631">
        <f>IF(E42="",0,IF(OR(LEFT(E42,2)=" B",LEFT(E42,2)="PH"),0,IF(OR(VALUE(LEFT(E42,3))&lt;4,VALUE(LEFT(E42,3))&gt;10),0,IF(AND(BI42="無窓",BO42="無窓"),3,IF(BI42="無窓",1,IF(BO42="無窓",2,0))))))</f>
        <v>3</v>
      </c>
      <c r="CT42" s="70" t="str">
        <f>IF(OR(E42="",LEFT(E42,2)=" B",LEFT(E42,1)="P"),"",IF(AND(VALUE(LEFT(E42,3))&gt;=4,VALUE(LEFT(E42,3))&lt;11),BV42,""))</f>
        <v>( 4 )</v>
      </c>
      <c r="CU42" s="69" t="str">
        <f>IF(OR(LEFT(E42,2)=" B",LEFT(E42,2)="PH",E42=""),"",IF(VALUE(LEFT(E42,3))&gt;10,AA41,""))</f>
        <v/>
      </c>
      <c r="CV42" s="637">
        <f>IF(E42="",0,IF(OR(LEFT(E42,2)=" B",LEFT(E42,2)="PH"),0,IF(AND(BI42="無窓",BO42="無窓"),3,IF(BI42="無窓",1,IF(BO42="無窓",2,0)))))</f>
        <v>3</v>
      </c>
      <c r="CW42" s="67" t="str">
        <f>IF(OR(E42="",LEFT(E42,2)=" B",LEFT(E42,1)="P"),"",IF(VALUE(LEFT(E42,3))&gt;10,BV42,""))</f>
        <v/>
      </c>
      <c r="CX42" s="70" t="str">
        <f>IF(LEFT(E42,2)="PH",AA41,"")</f>
        <v/>
      </c>
      <c r="CY42" s="68">
        <f>IF(OR(BV42="(2) ロ",BV42="( 4 )",BV42="(5) イ"),1,"")</f>
        <v>1</v>
      </c>
      <c r="CZ42" s="9"/>
      <c r="DA42" s="33"/>
      <c r="DB42" s="33"/>
      <c r="DC42" s="52"/>
      <c r="DD42" s="53" t="s">
        <v>169</v>
      </c>
      <c r="DE42" s="72"/>
      <c r="DF42" s="26">
        <v>70</v>
      </c>
      <c r="DG42" s="26">
        <v>70</v>
      </c>
      <c r="DH42" s="27">
        <f t="shared" si="0"/>
        <v>30</v>
      </c>
      <c r="DI42" s="28">
        <v>20</v>
      </c>
      <c r="DJ42" s="28" t="s">
        <v>31</v>
      </c>
      <c r="DK42" s="28" t="s">
        <v>31</v>
      </c>
      <c r="DL42" s="29">
        <v>5</v>
      </c>
      <c r="DM42" s="30"/>
      <c r="DN42" s="30"/>
      <c r="DO42" s="30"/>
      <c r="DP42" s="30"/>
      <c r="DQ42" s="30"/>
      <c r="DR42" s="30"/>
      <c r="DS42" s="30"/>
      <c r="DT42" s="30"/>
      <c r="DU42" s="30"/>
      <c r="DV42" s="30"/>
      <c r="DW42" s="30"/>
      <c r="DX42" s="30"/>
      <c r="DY42" s="30"/>
      <c r="DZ42" s="30"/>
      <c r="EA42" s="30"/>
      <c r="EB42" s="30"/>
      <c r="EC42" s="30"/>
      <c r="ED42" s="30"/>
      <c r="EE42" s="30"/>
      <c r="EF42" s="30"/>
      <c r="EG42" s="31"/>
      <c r="EH42" s="31"/>
      <c r="EI42" s="31"/>
      <c r="EJ42" s="31"/>
      <c r="EK42" s="31"/>
      <c r="EL42" s="31"/>
      <c r="EM42" s="31"/>
      <c r="EN42" s="31"/>
      <c r="EO42" s="31"/>
      <c r="EP42" s="31"/>
      <c r="EQ42" s="31"/>
      <c r="ER42" s="31"/>
      <c r="ES42" s="31"/>
      <c r="ET42" s="31"/>
      <c r="EU42" s="31"/>
      <c r="EV42" s="31"/>
      <c r="EW42" s="31"/>
      <c r="EX42" s="31"/>
      <c r="EY42" s="31"/>
      <c r="EZ42" s="31"/>
      <c r="FA42" s="30"/>
      <c r="FB42" s="30"/>
      <c r="FC42" s="54"/>
      <c r="FD42" s="623"/>
      <c r="FE42" s="623"/>
      <c r="FF42" s="30"/>
      <c r="FG42" s="30"/>
      <c r="FH42" s="13"/>
      <c r="FI42" s="156"/>
      <c r="FJ42" s="13"/>
      <c r="FK42" s="1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row>
    <row r="43" spans="1:756" ht="0.75" customHeight="1">
      <c r="A43" s="61"/>
      <c r="B43" s="62"/>
      <c r="C43" s="594"/>
      <c r="D43" s="602"/>
      <c r="E43" s="1754"/>
      <c r="F43" s="1755"/>
      <c r="G43" s="1755"/>
      <c r="H43" s="1756"/>
      <c r="I43" s="602"/>
      <c r="J43" s="602"/>
      <c r="K43" s="602"/>
      <c r="L43" s="1808"/>
      <c r="M43" s="1808"/>
      <c r="N43" s="1808"/>
      <c r="O43" s="794"/>
      <c r="P43" s="795"/>
      <c r="Q43" s="795"/>
      <c r="R43" s="796"/>
      <c r="S43" s="797"/>
      <c r="T43" s="798"/>
      <c r="U43" s="798"/>
      <c r="V43" s="799"/>
      <c r="W43" s="800"/>
      <c r="X43" s="801"/>
      <c r="Y43" s="801"/>
      <c r="Z43" s="802"/>
      <c r="AA43" s="1760">
        <f>IF(E42="","",O119)</f>
        <v>1152</v>
      </c>
      <c r="AB43" s="1760"/>
      <c r="AC43" s="1760"/>
      <c r="AD43" s="1760"/>
      <c r="AE43" s="1760"/>
      <c r="AF43" s="1761"/>
      <c r="AG43" s="783"/>
      <c r="AH43" s="784"/>
      <c r="AI43" s="784"/>
      <c r="AJ43" s="784"/>
      <c r="AK43" s="784"/>
      <c r="AL43" s="784"/>
      <c r="AM43" s="803"/>
      <c r="AN43" s="803"/>
      <c r="AO43" s="803"/>
      <c r="AP43" s="803"/>
      <c r="AQ43" s="1757"/>
      <c r="AR43" s="1758"/>
      <c r="AS43" s="1758"/>
      <c r="AT43" s="1758"/>
      <c r="AU43" s="1758"/>
      <c r="AV43" s="1759"/>
      <c r="AW43" s="784"/>
      <c r="AX43" s="784"/>
      <c r="AY43" s="784"/>
      <c r="AZ43" s="803"/>
      <c r="BA43" s="803"/>
      <c r="BB43" s="803"/>
      <c r="BC43" s="784"/>
      <c r="BD43" s="784"/>
      <c r="BE43" s="784"/>
      <c r="BF43" s="803"/>
      <c r="BG43" s="803"/>
      <c r="BH43" s="803"/>
      <c r="BI43" s="599"/>
      <c r="BJ43" s="599"/>
      <c r="BK43" s="599"/>
      <c r="BL43" s="810"/>
      <c r="BM43" s="810"/>
      <c r="BN43" s="810"/>
      <c r="BO43" s="599"/>
      <c r="BP43" s="599"/>
      <c r="BQ43" s="599"/>
      <c r="BR43" s="810"/>
      <c r="BS43" s="810"/>
      <c r="BT43" s="810"/>
      <c r="BU43" s="599"/>
      <c r="BV43" s="2204"/>
      <c r="BW43" s="2205"/>
      <c r="BX43" s="2205"/>
      <c r="BY43" s="2206"/>
      <c r="BZ43" s="599"/>
      <c r="CA43" s="600"/>
      <c r="CB43" s="63"/>
      <c r="CC43" s="69"/>
      <c r="CD43" s="67"/>
      <c r="CE43" s="67"/>
      <c r="CF43" s="70"/>
      <c r="CG43" s="69"/>
      <c r="CH43" s="70"/>
      <c r="CI43" s="69"/>
      <c r="CJ43" s="67"/>
      <c r="CK43" s="70"/>
      <c r="CL43" s="69"/>
      <c r="CM43" s="631"/>
      <c r="CN43" s="70"/>
      <c r="CO43" s="69"/>
      <c r="CP43" s="631"/>
      <c r="CQ43" s="70"/>
      <c r="CR43" s="634"/>
      <c r="CS43" s="67"/>
      <c r="CT43" s="70"/>
      <c r="CU43" s="69"/>
      <c r="CV43" s="637"/>
      <c r="CW43" s="67"/>
      <c r="CX43" s="70"/>
      <c r="CY43" s="71"/>
      <c r="CZ43" s="9"/>
      <c r="DA43" s="33"/>
      <c r="DB43" s="33"/>
      <c r="DC43" s="620"/>
      <c r="DD43" s="621"/>
      <c r="DE43" s="622"/>
      <c r="DF43" s="588"/>
      <c r="DG43" s="588"/>
      <c r="DH43" s="589"/>
      <c r="DI43" s="590"/>
      <c r="DJ43" s="590"/>
      <c r="DK43" s="590"/>
      <c r="DL43" s="591"/>
      <c r="DM43" s="592"/>
      <c r="DN43" s="592"/>
      <c r="DO43" s="592"/>
      <c r="DP43" s="592"/>
      <c r="DQ43" s="592"/>
      <c r="DR43" s="592"/>
      <c r="DS43" s="592"/>
      <c r="DT43" s="592"/>
      <c r="DU43" s="592"/>
      <c r="DV43" s="592"/>
      <c r="DW43" s="592"/>
      <c r="DX43" s="592"/>
      <c r="DY43" s="592"/>
      <c r="DZ43" s="592"/>
      <c r="EA43" s="592"/>
      <c r="EB43" s="592"/>
      <c r="EC43" s="592"/>
      <c r="ED43" s="592"/>
      <c r="EE43" s="592"/>
      <c r="EF43" s="592"/>
      <c r="EG43" s="593"/>
      <c r="EH43" s="593"/>
      <c r="EI43" s="593"/>
      <c r="EJ43" s="593"/>
      <c r="EK43" s="593"/>
      <c r="EL43" s="593"/>
      <c r="EM43" s="593"/>
      <c r="EN43" s="593"/>
      <c r="EO43" s="593"/>
      <c r="EP43" s="593"/>
      <c r="EQ43" s="593"/>
      <c r="ER43" s="593"/>
      <c r="ES43" s="593"/>
      <c r="ET43" s="593"/>
      <c r="EU43" s="593"/>
      <c r="EV43" s="593"/>
      <c r="EW43" s="593"/>
      <c r="EX43" s="593"/>
      <c r="EY43" s="593"/>
      <c r="EZ43" s="593"/>
      <c r="FA43" s="592"/>
      <c r="FB43" s="592"/>
      <c r="FC43" s="623"/>
      <c r="FD43" s="623"/>
      <c r="FE43" s="623"/>
      <c r="FF43" s="592"/>
      <c r="FG43" s="592"/>
      <c r="FH43" s="13"/>
      <c r="FI43" s="780"/>
      <c r="FJ43" s="13"/>
      <c r="FK43" s="1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row>
    <row r="44" spans="1:756" ht="12" customHeight="1">
      <c r="A44" s="61">
        <f>IF(OR(E44="",LEFT(E44,2)=" B",E44="  RF",LEFT(E44,1)="P"),0,C44)</f>
        <v>11</v>
      </c>
      <c r="B44" s="62">
        <f>IF(AND(AA43="",E44=""),0,IF(LEFT(E44,2)="PH",0,1))</f>
        <v>1</v>
      </c>
      <c r="C44" s="1773">
        <f>IF(AA43="","",C42+1)</f>
        <v>11</v>
      </c>
      <c r="D44" s="1774"/>
      <c r="E44" s="1802" t="s">
        <v>2241</v>
      </c>
      <c r="F44" s="1803"/>
      <c r="G44" s="1803"/>
      <c r="H44" s="1804"/>
      <c r="I44" s="1778" t="str">
        <f>IF(I119=0,"",I119)</f>
        <v>A</v>
      </c>
      <c r="J44" s="1779"/>
      <c r="K44" s="1780"/>
      <c r="L44" s="1808"/>
      <c r="M44" s="1808"/>
      <c r="N44" s="1808"/>
      <c r="O44" s="1805">
        <v>4</v>
      </c>
      <c r="P44" s="1806"/>
      <c r="Q44" s="1806"/>
      <c r="R44" s="1807"/>
      <c r="S44" s="1784">
        <v>3</v>
      </c>
      <c r="T44" s="1785"/>
      <c r="U44" s="1785"/>
      <c r="V44" s="1786"/>
      <c r="W44" s="1805"/>
      <c r="X44" s="1806"/>
      <c r="Y44" s="1806"/>
      <c r="Z44" s="1807"/>
      <c r="AA44" s="1762"/>
      <c r="AB44" s="1762"/>
      <c r="AC44" s="1762"/>
      <c r="AD44" s="1762"/>
      <c r="AE44" s="1762"/>
      <c r="AF44" s="1763"/>
      <c r="AG44" s="1770">
        <f>IF(OR($U$11="No",C44=""),"",IF(AM44&lt;&gt;"",AM44,IF(LEFT(E44,2)="PH","",IF(BV44&lt;&gt;"",VLOOKUP(BV44,令別表,4,FALSE)*AA43/100,IF(ISNA(VLOOKUP($AS$16,令別表,4,FALSE)),"",IF(VLOOKUP($AS$16,令別表,4,FALSE)*AA43/100=0,"",VLOOKUP($AS$16,令別表,4,FALSE)*AA43/100))))))</f>
        <v>806.4</v>
      </c>
      <c r="AH44" s="1771"/>
      <c r="AI44" s="1771"/>
      <c r="AJ44" s="1771"/>
      <c r="AK44" s="1771"/>
      <c r="AL44" s="1772"/>
      <c r="AM44" s="1767"/>
      <c r="AN44" s="1768"/>
      <c r="AO44" s="1768"/>
      <c r="AP44" s="1769"/>
      <c r="AQ44" s="1764">
        <f t="shared" si="1"/>
        <v>345.6</v>
      </c>
      <c r="AR44" s="1765"/>
      <c r="AS44" s="1765"/>
      <c r="AT44" s="1765"/>
      <c r="AU44" s="1765"/>
      <c r="AV44" s="1766"/>
      <c r="AW44" s="1790">
        <f>IF(C44="","",IF(AZ44&lt;&gt;"",AZ44,IF(LEFT(E44,2)="PH","",IF(BV44&lt;&gt;"",1+INT(AG44/VLOOKUP(BV44,令別表,5,FALSE)),IF(ISNA(VLOOKUP($AS$16,令別表,5,FALSE)),"",IF(1+INT(AG44/VLOOKUP($AS$16,令別表,5,FALSE))="","",1+INT(AG44/VLOOKUP($AS$16,令別表,5,FALSE))))))))</f>
        <v>3</v>
      </c>
      <c r="AX44" s="1791"/>
      <c r="AY44" s="1792"/>
      <c r="AZ44" s="2183"/>
      <c r="BA44" s="2184"/>
      <c r="BB44" s="2185"/>
      <c r="BC44" s="1790">
        <f>IF(E44="","",IF(BF44&lt;&gt;"",BF44,IF(BV44&lt;&gt;"",1+INT(AQ44/VLOOKUP(BV44,令別表,7,FALSE)),IF(ISNA(VLOOKUP($AS$16,令別表,7,FALSE)),"",IF(1+INT(AQ44/VLOOKUP($AS$16,令別表,7,FALSE))="","",1+INT(AQ44/VLOOKUP($AS$16,令別表,7,FALSE)))))))</f>
        <v>9</v>
      </c>
      <c r="BD44" s="1791"/>
      <c r="BE44" s="1791"/>
      <c r="BF44" s="2183"/>
      <c r="BG44" s="2184"/>
      <c r="BH44" s="2185"/>
      <c r="BI44" s="2186" t="str">
        <f>IF(OR(AA43="",E44=""),"",IF(LEFT(E44,2)=" B","無窓",IF(BL44&lt;&gt;"",BL44,IF(BV44&lt;&gt;"",VLOOKUP(BV44,令別表,8,FALSE),IF(OR(LEFT(E44,2)=" B",LEFT(E44,2)="PH"),"無窓",IF(LEFT(E44,2)&lt;&gt;"",VLOOKUP($AS$16,令別表,8,FALSE)))))))</f>
        <v>無窓</v>
      </c>
      <c r="BJ44" s="2187"/>
      <c r="BK44" s="2187"/>
      <c r="BL44" s="2164"/>
      <c r="BM44" s="2165"/>
      <c r="BN44" s="2166"/>
      <c r="BO44" s="2161" t="str">
        <f>IF(OR(E44="",AA43=""),"",IF(LEFT(E44,2)=" B","無窓",IF(BR44&lt;&gt;"",BR44,IF(BV44&lt;&gt;"",VLOOKUP(BV44,令別表,8,FALSE),IF(OR(LEFT(E44,2)=" B",LEFT(E44,2)="PH"),"無窓",IF(LEFT(E44,2)&lt;&gt;"",VLOOKUP($AS$16,令別表,9,FALSE)))))))</f>
        <v>無窓</v>
      </c>
      <c r="BP44" s="2162"/>
      <c r="BQ44" s="2163"/>
      <c r="BR44" s="2164"/>
      <c r="BS44" s="2165"/>
      <c r="BT44" s="2166"/>
      <c r="BU44" s="819" t="str">
        <f>IF(AND(LEFT($AS$16,4)="(16)",E44&lt;&gt;"",BV44=""),"■","")</f>
        <v/>
      </c>
      <c r="BV44" s="2201" t="s">
        <v>2249</v>
      </c>
      <c r="BW44" s="2202"/>
      <c r="BX44" s="2202"/>
      <c r="BY44" s="2203"/>
      <c r="BZ44" s="1810" t="str">
        <f>IF(E44="","",IF(AND(BU44="",BV44="",CB44=1),"済",IF(AND(BU44="",BV44&lt;&gt;"",CB44=1),"済","未")))</f>
        <v>済</v>
      </c>
      <c r="CA44" s="1811"/>
      <c r="CB44" s="659">
        <f>IF(AND(LEFT(E44,4)="  1F",O44&lt;&gt;"",S44&lt;&gt;"",W44&lt;&gt;"",AA43&lt;&gt;""),1,IF(AND(LEFT(E44,4)&lt;&gt;"  1F",O44&lt;&gt;"",S44&lt;&gt;"",AA43&lt;&gt;""),1,0))</f>
        <v>1</v>
      </c>
      <c r="CC44" s="69" t="str">
        <f>IF(C44="","",IF(LEFT(E44,2)=" B",O44,""))</f>
        <v/>
      </c>
      <c r="CD44" s="67" t="str">
        <f>IF(C44="","",IF(E44="  1F",O44,""))</f>
        <v/>
      </c>
      <c r="CE44" s="67">
        <f>IF(OR(C44="",E44="  1F"),"",IF(AND(LEFT(E44,2)&lt;&gt;" B",LEFT(E44,1)&lt;&gt;"P"),O44,""))</f>
        <v>4</v>
      </c>
      <c r="CF44" s="70" t="str">
        <f>IF(C44="","",IF(LEFT(E44,1)="P",O44,""))</f>
        <v/>
      </c>
      <c r="CG44" s="69" t="str">
        <f>IF(LEFT(E44,2)=" B",E44,"")</f>
        <v/>
      </c>
      <c r="CH44" s="70" t="str">
        <f>IF(BV44="","",IF(LEFT(E44,2)=" B",BV44,""))</f>
        <v/>
      </c>
      <c r="CI44" s="69" t="str">
        <f>IF(E44="  1F",AA43,"")</f>
        <v/>
      </c>
      <c r="CJ44" s="631">
        <f>IF(OR(LEFT(E44,2)=" B",LEFT(E44,2)="PH"),0,IF(CI44="",0,IF(AND(BI44="無窓",BO44="無窓"),3,IF(BI44="無窓",1,IF(BO44="無窓",2,0)))))</f>
        <v>0</v>
      </c>
      <c r="CK44" s="70" t="str">
        <f>IF(BV44="","",IF(E44="  1F",BV44,""))</f>
        <v/>
      </c>
      <c r="CL44" s="69" t="str">
        <f>IF(E44="  2F",E44,"")</f>
        <v/>
      </c>
      <c r="CM44" s="631">
        <f>IF(OR(LEFT(E44,2)=" B",LEFT(E44,2)="PH"),0,IF(CL44="",0,IF(AND(BI44="無窓",BO44="無窓"),3,IF(BI44="無窓",1,IF(BO44="無窓",2,0)))))</f>
        <v>0</v>
      </c>
      <c r="CN44" s="70" t="str">
        <f>IF(BV44="","",IF(E44="  2F",BV44,""))</f>
        <v/>
      </c>
      <c r="CO44" s="69" t="str">
        <f>IF(E44="  3F",AA43,"")</f>
        <v/>
      </c>
      <c r="CP44" s="631">
        <f>IF(OR(LEFT(E44,2)=" B",LEFT(E44,2)="PH"),0,IF(CO44="",0,IF(AND(BI44="無窓",BO44="無窓"),3,IF(BI44="無窓",1,IF(BO44="無窓",2,0)))))</f>
        <v>0</v>
      </c>
      <c r="CQ44" s="70" t="str">
        <f>IF(BV44="","",IF(E44="  3F",BV44,""))</f>
        <v/>
      </c>
      <c r="CR44" s="634">
        <f>IF(OR(E44="  4F",E44="  5F",E44="  6F",E44="  7F",E44="  8F",E44="  9F",E44=" 10F"),AA43,"")</f>
        <v>1152</v>
      </c>
      <c r="CS44" s="631">
        <f>IF(E44="",0,IF(OR(LEFT(E44,2)=" B",LEFT(E44,2)="PH"),0,IF(OR(VALUE(LEFT(E44,3))&lt;4,VALUE(LEFT(E44,3))&gt;10),0,IF(AND(BI44="無窓",BO44="無窓"),3,IF(BI44="無窓",1,IF(BO44="無窓",2,0))))))</f>
        <v>3</v>
      </c>
      <c r="CT44" s="70" t="str">
        <f>IF(OR(E46="",LEFT(E44,2)=" B",LEFT(E44,1)="P"),"",IF(AND(VALUE(LEFT(E44,3))&gt;=4,VALUE(LEFT(E44,3))&lt;11),BV44,""))</f>
        <v>( 4 )</v>
      </c>
      <c r="CU44" s="69" t="str">
        <f>IF(OR(LEFT(E44,2)=" B",LEFT(E44,2)="PH",E44=""),"",IF(VALUE(LEFT(E44,3))&gt;10,AA43,""))</f>
        <v/>
      </c>
      <c r="CV44" s="637">
        <f>IF(E44="",0,IF(OR(LEFT(E44,2)=" B",LEFT(E44,2)="PH"),0,IF(AND(BI44="無窓",BO44="無窓"),3,IF(BI44="無窓",1,IF(BO44="無窓",2,0)))))</f>
        <v>3</v>
      </c>
      <c r="CW44" s="67" t="str">
        <f>IF(OR(E44="",LEFT(E44,2)=" B",LEFT(E44,1)="P"),"",IF(VALUE(LEFT(E44,3))&gt;10,BV44,""))</f>
        <v/>
      </c>
      <c r="CX44" s="70" t="str">
        <f>IF(LEFT(E44,2)="PH",AA43,"")</f>
        <v/>
      </c>
      <c r="CY44" s="68">
        <f>IF(OR(BV44="(2) ロ",BV44="( 4 )",BV44="(5) イ"),1,"")</f>
        <v>1</v>
      </c>
      <c r="CZ44" s="9"/>
      <c r="DA44" s="33"/>
      <c r="DB44" s="33"/>
      <c r="DC44" s="24" t="s">
        <v>171</v>
      </c>
      <c r="DD44" s="397" t="s">
        <v>172</v>
      </c>
      <c r="DE44" s="25"/>
      <c r="DF44" s="26">
        <v>75</v>
      </c>
      <c r="DG44" s="26">
        <v>300</v>
      </c>
      <c r="DH44" s="27">
        <f t="shared" si="0"/>
        <v>25</v>
      </c>
      <c r="DI44" s="28">
        <v>30</v>
      </c>
      <c r="DJ44" s="28" t="s">
        <v>31</v>
      </c>
      <c r="DK44" s="28" t="s">
        <v>75</v>
      </c>
      <c r="DL44" s="29">
        <v>100</v>
      </c>
      <c r="DM44" s="30" t="s">
        <v>173</v>
      </c>
      <c r="DN44" s="30">
        <v>58</v>
      </c>
      <c r="DO44" s="30">
        <v>70</v>
      </c>
      <c r="DP44" s="30">
        <v>100</v>
      </c>
      <c r="DQ44" s="30">
        <v>300</v>
      </c>
      <c r="DR44" s="30" t="s">
        <v>174</v>
      </c>
      <c r="DS44" s="30">
        <v>58</v>
      </c>
      <c r="DT44" s="30">
        <v>70</v>
      </c>
      <c r="DU44" s="30">
        <v>100</v>
      </c>
      <c r="DV44" s="30">
        <v>100</v>
      </c>
      <c r="DW44" s="30" t="s">
        <v>34</v>
      </c>
      <c r="DX44" s="30">
        <v>59</v>
      </c>
      <c r="DY44" s="30">
        <v>70</v>
      </c>
      <c r="DZ44" s="30">
        <v>70</v>
      </c>
      <c r="EA44" s="30">
        <v>200</v>
      </c>
      <c r="EB44" s="30" t="s">
        <v>35</v>
      </c>
      <c r="EC44" s="30">
        <v>66</v>
      </c>
      <c r="ED44" s="30">
        <v>79</v>
      </c>
      <c r="EE44" s="30">
        <v>70</v>
      </c>
      <c r="EF44" s="30">
        <v>50</v>
      </c>
      <c r="EG44" s="31" t="s">
        <v>36</v>
      </c>
      <c r="EH44" s="31">
        <v>58</v>
      </c>
      <c r="EI44" s="31">
        <v>70</v>
      </c>
      <c r="EJ44" s="31">
        <v>100</v>
      </c>
      <c r="EK44" s="31">
        <v>200</v>
      </c>
      <c r="EL44" s="31" t="s">
        <v>36</v>
      </c>
      <c r="EM44" s="31">
        <v>58</v>
      </c>
      <c r="EN44" s="31">
        <v>70</v>
      </c>
      <c r="EO44" s="31">
        <v>100</v>
      </c>
      <c r="EP44" s="31">
        <v>100</v>
      </c>
      <c r="EQ44" s="31" t="s">
        <v>36</v>
      </c>
      <c r="ER44" s="31">
        <v>58</v>
      </c>
      <c r="ES44" s="31">
        <v>70</v>
      </c>
      <c r="ET44" s="31">
        <v>70</v>
      </c>
      <c r="EU44" s="31">
        <v>150</v>
      </c>
      <c r="EV44" s="31" t="s">
        <v>37</v>
      </c>
      <c r="EW44" s="31">
        <v>66</v>
      </c>
      <c r="EX44" s="31">
        <v>79</v>
      </c>
      <c r="EY44" s="31">
        <v>70</v>
      </c>
      <c r="EZ44" s="31">
        <v>50</v>
      </c>
      <c r="FA44" s="30">
        <v>50</v>
      </c>
      <c r="FB44" s="30">
        <v>150</v>
      </c>
      <c r="FC44" s="32" t="s">
        <v>171</v>
      </c>
      <c r="FD44" s="402"/>
      <c r="FE44" s="402"/>
      <c r="FF44" s="30"/>
      <c r="FG44" s="30"/>
      <c r="FH44" s="13"/>
      <c r="FI44" s="99"/>
      <c r="FJ44" s="13"/>
      <c r="FK44" s="1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row>
    <row r="45" spans="1:756" ht="0.75" customHeight="1">
      <c r="A45" s="61"/>
      <c r="B45" s="62"/>
      <c r="C45" s="594"/>
      <c r="D45" s="602"/>
      <c r="E45" s="1754"/>
      <c r="F45" s="1755"/>
      <c r="G45" s="1755"/>
      <c r="H45" s="1756"/>
      <c r="I45" s="602"/>
      <c r="J45" s="602"/>
      <c r="K45" s="602"/>
      <c r="L45" s="1808"/>
      <c r="M45" s="1808"/>
      <c r="N45" s="1808"/>
      <c r="O45" s="794"/>
      <c r="P45" s="795"/>
      <c r="Q45" s="795"/>
      <c r="R45" s="796"/>
      <c r="S45" s="797"/>
      <c r="T45" s="798"/>
      <c r="U45" s="798"/>
      <c r="V45" s="799"/>
      <c r="W45" s="800"/>
      <c r="X45" s="801"/>
      <c r="Y45" s="801"/>
      <c r="Z45" s="802"/>
      <c r="AA45" s="1760">
        <f>IF(E44="","",O120)</f>
        <v>1152</v>
      </c>
      <c r="AB45" s="1760"/>
      <c r="AC45" s="1760"/>
      <c r="AD45" s="1760"/>
      <c r="AE45" s="1760"/>
      <c r="AF45" s="1761"/>
      <c r="AG45" s="783"/>
      <c r="AH45" s="784"/>
      <c r="AI45" s="784"/>
      <c r="AJ45" s="784"/>
      <c r="AK45" s="784"/>
      <c r="AL45" s="784"/>
      <c r="AM45" s="803"/>
      <c r="AN45" s="803"/>
      <c r="AO45" s="803"/>
      <c r="AP45" s="803"/>
      <c r="AQ45" s="1757"/>
      <c r="AR45" s="1758"/>
      <c r="AS45" s="1758"/>
      <c r="AT45" s="1758"/>
      <c r="AU45" s="1758"/>
      <c r="AV45" s="1759"/>
      <c r="AW45" s="784"/>
      <c r="AX45" s="784"/>
      <c r="AY45" s="784"/>
      <c r="AZ45" s="803"/>
      <c r="BA45" s="803"/>
      <c r="BB45" s="803"/>
      <c r="BC45" s="784"/>
      <c r="BD45" s="784"/>
      <c r="BE45" s="784"/>
      <c r="BF45" s="803"/>
      <c r="BG45" s="803"/>
      <c r="BH45" s="803"/>
      <c r="BI45" s="599"/>
      <c r="BJ45" s="599"/>
      <c r="BK45" s="599"/>
      <c r="BL45" s="810"/>
      <c r="BM45" s="810"/>
      <c r="BN45" s="810"/>
      <c r="BO45" s="599"/>
      <c r="BP45" s="599"/>
      <c r="BQ45" s="599"/>
      <c r="BR45" s="810"/>
      <c r="BS45" s="810"/>
      <c r="BT45" s="810"/>
      <c r="BU45" s="599"/>
      <c r="BV45" s="2204"/>
      <c r="BW45" s="2205"/>
      <c r="BX45" s="2205"/>
      <c r="BY45" s="2206"/>
      <c r="BZ45" s="599"/>
      <c r="CA45" s="600"/>
      <c r="CB45" s="63"/>
      <c r="CC45" s="69"/>
      <c r="CD45" s="67"/>
      <c r="CE45" s="67"/>
      <c r="CF45" s="70"/>
      <c r="CG45" s="69"/>
      <c r="CH45" s="70"/>
      <c r="CI45" s="69"/>
      <c r="CJ45" s="67"/>
      <c r="CK45" s="70"/>
      <c r="CL45" s="69"/>
      <c r="CM45" s="631"/>
      <c r="CN45" s="70"/>
      <c r="CO45" s="69"/>
      <c r="CP45" s="631"/>
      <c r="CQ45" s="70"/>
      <c r="CR45" s="634"/>
      <c r="CS45" s="67"/>
      <c r="CT45" s="70"/>
      <c r="CU45" s="69"/>
      <c r="CV45" s="637"/>
      <c r="CW45" s="67"/>
      <c r="CX45" s="70"/>
      <c r="CY45" s="71"/>
      <c r="CZ45" s="9"/>
      <c r="DA45" s="33"/>
      <c r="DB45" s="33"/>
      <c r="DC45" s="400"/>
      <c r="DD45" s="401"/>
      <c r="DE45" s="587"/>
      <c r="DF45" s="588"/>
      <c r="DG45" s="588"/>
      <c r="DH45" s="589"/>
      <c r="DI45" s="590"/>
      <c r="DJ45" s="590"/>
      <c r="DK45" s="590"/>
      <c r="DL45" s="591"/>
      <c r="DM45" s="592"/>
      <c r="DN45" s="592"/>
      <c r="DO45" s="592"/>
      <c r="DP45" s="592"/>
      <c r="DQ45" s="592"/>
      <c r="DR45" s="592"/>
      <c r="DS45" s="592"/>
      <c r="DT45" s="592"/>
      <c r="DU45" s="592"/>
      <c r="DV45" s="592"/>
      <c r="DW45" s="592"/>
      <c r="DX45" s="592"/>
      <c r="DY45" s="592"/>
      <c r="DZ45" s="592"/>
      <c r="EA45" s="592"/>
      <c r="EB45" s="592"/>
      <c r="EC45" s="592"/>
      <c r="ED45" s="592"/>
      <c r="EE45" s="592"/>
      <c r="EF45" s="592"/>
      <c r="EG45" s="593"/>
      <c r="EH45" s="593"/>
      <c r="EI45" s="593"/>
      <c r="EJ45" s="593"/>
      <c r="EK45" s="593"/>
      <c r="EL45" s="593"/>
      <c r="EM45" s="593"/>
      <c r="EN45" s="593"/>
      <c r="EO45" s="593"/>
      <c r="EP45" s="593"/>
      <c r="EQ45" s="593"/>
      <c r="ER45" s="593"/>
      <c r="ES45" s="593"/>
      <c r="ET45" s="593"/>
      <c r="EU45" s="593"/>
      <c r="EV45" s="593"/>
      <c r="EW45" s="593"/>
      <c r="EX45" s="593"/>
      <c r="EY45" s="593"/>
      <c r="EZ45" s="593"/>
      <c r="FA45" s="592"/>
      <c r="FB45" s="592"/>
      <c r="FC45" s="402"/>
      <c r="FD45" s="402"/>
      <c r="FE45" s="402"/>
      <c r="FF45" s="592"/>
      <c r="FG45" s="592"/>
      <c r="FH45" s="13"/>
      <c r="FI45" s="99"/>
      <c r="FJ45" s="13"/>
      <c r="FK45" s="1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row>
    <row r="46" spans="1:756" ht="12" customHeight="1">
      <c r="A46" s="61" t="b">
        <f>引込!AE3=IF(OR(E46="",LEFT(E46,2)=" B",E46="  RF",LEFT(E46,1)="P"),0,C46)</f>
        <v>0</v>
      </c>
      <c r="B46" s="62">
        <f>IF(AND(AA45="",E46=""),0,IF(LEFT(E46,2)="PH",0,1))</f>
        <v>1</v>
      </c>
      <c r="C46" s="1773">
        <f>IF(AA45="","",C44+1)</f>
        <v>12</v>
      </c>
      <c r="D46" s="1774"/>
      <c r="E46" s="1802" t="s">
        <v>2242</v>
      </c>
      <c r="F46" s="1803"/>
      <c r="G46" s="1803"/>
      <c r="H46" s="1804"/>
      <c r="I46" s="1778" t="str">
        <f>IF(I120=0,"",I120)</f>
        <v>A</v>
      </c>
      <c r="J46" s="1779"/>
      <c r="K46" s="1780"/>
      <c r="L46" s="1808"/>
      <c r="M46" s="1808"/>
      <c r="N46" s="1808"/>
      <c r="O46" s="1805">
        <v>4</v>
      </c>
      <c r="P46" s="1806"/>
      <c r="Q46" s="1806"/>
      <c r="R46" s="1807"/>
      <c r="S46" s="1784">
        <v>3</v>
      </c>
      <c r="T46" s="1785"/>
      <c r="U46" s="1785"/>
      <c r="V46" s="1786"/>
      <c r="W46" s="1805"/>
      <c r="X46" s="1806"/>
      <c r="Y46" s="1806"/>
      <c r="Z46" s="1807"/>
      <c r="AA46" s="1762"/>
      <c r="AB46" s="1762"/>
      <c r="AC46" s="1762"/>
      <c r="AD46" s="1762"/>
      <c r="AE46" s="1762"/>
      <c r="AF46" s="1763"/>
      <c r="AG46" s="1770">
        <f>IF(OR($U$11="No",C46=""),"",IF(AM46&lt;&gt;"",AM46,IF(LEFT(E46,2)="PH","",IF(BV46&lt;&gt;"",VLOOKUP(BV46,令別表,4,FALSE)*AA45/100,IF(ISNA(VLOOKUP($AS$16,令別表,4,FALSE)),"",IF(VLOOKUP($AS$16,令別表,4,FALSE)*AA45/100=0,"",VLOOKUP($AS$16,令別表,4,FALSE)*AA45/100))))))</f>
        <v>806.4</v>
      </c>
      <c r="AH46" s="1771"/>
      <c r="AI46" s="1771"/>
      <c r="AJ46" s="1771"/>
      <c r="AK46" s="1771"/>
      <c r="AL46" s="1772"/>
      <c r="AM46" s="1767"/>
      <c r="AN46" s="1768"/>
      <c r="AO46" s="1768"/>
      <c r="AP46" s="1769"/>
      <c r="AQ46" s="1764">
        <f t="shared" si="1"/>
        <v>345.6</v>
      </c>
      <c r="AR46" s="1765"/>
      <c r="AS46" s="1765"/>
      <c r="AT46" s="1765"/>
      <c r="AU46" s="1765"/>
      <c r="AV46" s="1766"/>
      <c r="AW46" s="1790">
        <f>IF(C46="","",IF(AZ46&lt;&gt;"",AZ46,IF(LEFT(E46,2)="PH","",IF(BV46&lt;&gt;"",1+INT(AG46/VLOOKUP(BV46,令別表,5,FALSE)),IF(ISNA(VLOOKUP($AS$16,令別表,5,FALSE)),"",IF(1+INT(AG46/VLOOKUP($AS$16,令別表,5,FALSE))="","",1+INT(AG46/VLOOKUP($AS$16,令別表,5,FALSE))))))))</f>
        <v>3</v>
      </c>
      <c r="AX46" s="1791"/>
      <c r="AY46" s="1792"/>
      <c r="AZ46" s="2183"/>
      <c r="BA46" s="2184"/>
      <c r="BB46" s="2185"/>
      <c r="BC46" s="1790">
        <f>IF(E46="","",IF(BF46&lt;&gt;"",BF46,IF(BV46&lt;&gt;"",1+INT(AQ46/VLOOKUP(BV46,令別表,7,FALSE)),IF(ISNA(VLOOKUP($AS$16,令別表,7,FALSE)),"",IF(1+INT(AQ46/VLOOKUP($AS$16,令別表,7,FALSE))="","",1+INT(AQ46/VLOOKUP($AS$16,令別表,7,FALSE)))))))</f>
        <v>9</v>
      </c>
      <c r="BD46" s="1791"/>
      <c r="BE46" s="1791"/>
      <c r="BF46" s="2183"/>
      <c r="BG46" s="2184"/>
      <c r="BH46" s="2185"/>
      <c r="BI46" s="2186" t="str">
        <f>IF(OR(AA45="",E46=""),"",IF(LEFT(E46,2)=" B","無窓",IF(BL46&lt;&gt;"",BL46,IF(BV46&lt;&gt;"",VLOOKUP(BV46,令別表,8,FALSE),IF(OR(LEFT(E46,2)=" B",LEFT(E46,2)="PH"),"無窓",IF(LEFT(E46,2)&lt;&gt;"",VLOOKUP($AS$16,令別表,8,FALSE)))))))</f>
        <v>無窓</v>
      </c>
      <c r="BJ46" s="2187"/>
      <c r="BK46" s="2187"/>
      <c r="BL46" s="2164"/>
      <c r="BM46" s="2165"/>
      <c r="BN46" s="2166"/>
      <c r="BO46" s="2161" t="str">
        <f>IF(OR(E46="",AA45=""),"",IF(LEFT(E46,2)=" B","無窓",IF(BR46&lt;&gt;"",BR46,IF(BV46&lt;&gt;"",VLOOKUP(BV46,令別表,8,FALSE),IF(OR(LEFT(E46,2)=" B",LEFT(E46,2)="PH"),"無窓",IF(LEFT(E46,2)&lt;&gt;"",VLOOKUP($AS$16,令別表,9,FALSE)))))))</f>
        <v>無窓</v>
      </c>
      <c r="BP46" s="2162"/>
      <c r="BQ46" s="2163"/>
      <c r="BR46" s="2164"/>
      <c r="BS46" s="2165"/>
      <c r="BT46" s="2166"/>
      <c r="BU46" s="819" t="str">
        <f>IF(AND(LEFT($AS$16,4)="(16)",E46&lt;&gt;"",BV46=""),"■","")</f>
        <v/>
      </c>
      <c r="BV46" s="2201" t="s">
        <v>2249</v>
      </c>
      <c r="BW46" s="2202"/>
      <c r="BX46" s="2202"/>
      <c r="BY46" s="2203"/>
      <c r="BZ46" s="1810" t="str">
        <f>IF(E46="","",IF(AND(BU46="",BV46="",CB46=1),"済",IF(AND(BU46="",BV46&lt;&gt;"",CB46=1),"済","未")))</f>
        <v>済</v>
      </c>
      <c r="CA46" s="1811"/>
      <c r="CB46" s="659">
        <f>IF(AND(LEFT(E46,4)="  1F",O46&lt;&gt;"",S46&lt;&gt;"",W46&lt;&gt;"",AA45&lt;&gt;""),1,IF(AND(LEFT(E46,4)&lt;&gt;"  1F",O46&lt;&gt;"",S46&lt;&gt;"",AA45&lt;&gt;""),1,0))</f>
        <v>1</v>
      </c>
      <c r="CC46" s="69" t="str">
        <f>IF(C46="","",IF(LEFT(E46,2)=" B",O46,""))</f>
        <v/>
      </c>
      <c r="CD46" s="67" t="str">
        <f>IF(C46="","",IF(E46="  1F",O46,""))</f>
        <v/>
      </c>
      <c r="CE46" s="67">
        <f>IF(OR(C46="",E46="  1F"),"",IF(AND(LEFT(E46,2)&lt;&gt;" B",LEFT(E46,1)&lt;&gt;"P"),O46,""))</f>
        <v>4</v>
      </c>
      <c r="CF46" s="70" t="str">
        <f>IF(C46="","",IF(LEFT(E46,1)="P",O46,""))</f>
        <v/>
      </c>
      <c r="CG46" s="69" t="str">
        <f>IF(LEFT(E46,2)=" B",E46,"")</f>
        <v/>
      </c>
      <c r="CH46" s="70" t="str">
        <f>IF(BV46="","",IF(LEFT(E46,2)=" B",BV46,""))</f>
        <v/>
      </c>
      <c r="CI46" s="69" t="str">
        <f>IF(E46="  1F",AA45,"")</f>
        <v/>
      </c>
      <c r="CJ46" s="631">
        <f>IF(OR(LEFT(E46,2)=" B",LEFT(E46,2)="PH"),0,IF(CI46="",0,IF(AND(BI46="無窓",BO46="無窓"),3,IF(BI46="無窓",1,IF(BO46="無窓",2,0)))))</f>
        <v>0</v>
      </c>
      <c r="CK46" s="70" t="str">
        <f>IF(BV46="","",IF(E46="  1F",BV46,""))</f>
        <v/>
      </c>
      <c r="CL46" s="69" t="str">
        <f>IF(E46="  2F",E46,"")</f>
        <v/>
      </c>
      <c r="CM46" s="631">
        <f>IF(OR(LEFT(E46,2)=" B",LEFT(E46,2)="PH"),0,IF(CL46="",0,IF(AND(BI46="無窓",BO46="無窓"),3,IF(BI46="無窓",1,IF(BO46="無窓",2,0)))))</f>
        <v>0</v>
      </c>
      <c r="CN46" s="70" t="str">
        <f>IF(BV46="","",IF(E46="  2F",BV46,""))</f>
        <v/>
      </c>
      <c r="CO46" s="69" t="str">
        <f>IF(E46="  3F",AA45,"")</f>
        <v/>
      </c>
      <c r="CP46" s="631">
        <f>IF(OR(LEFT(E46,2)=" B",LEFT(E46,2)="PH"),0,IF(CO46="",0,IF(AND(BI46="無窓",BO46="無窓"),3,IF(BI46="無窓",1,IF(BO46="無窓",2,0)))))</f>
        <v>0</v>
      </c>
      <c r="CQ46" s="70" t="str">
        <f>IF(BV46="","",IF(E46="  3F",BV46,""))</f>
        <v/>
      </c>
      <c r="CR46" s="634">
        <f>IF(OR(E46="  4F",E46="  5F",E46="  6F",E46="  7F",E46="  8F",E46="  9F",E46=" 10F"),AA45,"")</f>
        <v>1152</v>
      </c>
      <c r="CS46" s="631">
        <f>IF(E46="",0,IF(OR(LEFT(E46,2)=" B",LEFT(E46,2)="PH"),0,IF(OR(VALUE(LEFT(E46,3))&lt;4,VALUE(LEFT(E46,3))&gt;10),0,IF(AND(BI46="無窓",BO46="無窓"),3,IF(BI46="無窓",1,IF(BO46="無窓",2,0))))))</f>
        <v>3</v>
      </c>
      <c r="CT46" s="70" t="str">
        <f>IF(OR(E46="",LEFT(E46,2)=" B",LEFT(E46,1)="P"),"",IF(AND(VALUE(LEFT(E46,3))&gt;=4,VALUE(LEFT(E46,3))&lt;11),BV46,""))</f>
        <v>( 4 )</v>
      </c>
      <c r="CU46" s="69" t="str">
        <f>IF(OR(LEFT(E46,2)=" B",LEFT(E46,2)="PH",E46=""),"",IF(VALUE(LEFT(E46,3))&gt;10,AA45,""))</f>
        <v/>
      </c>
      <c r="CV46" s="637">
        <f>IF(E46="",0,IF(OR(LEFT(E46,2)=" B",LEFT(E46,2)="PH"),0,IF(AND(BI46="無窓",BO46="無窓"),3,IF(BI46="無窓",1,IF(BO46="無窓",2,0)))))</f>
        <v>3</v>
      </c>
      <c r="CW46" s="67" t="str">
        <f>IF(OR(E46="",LEFT(E46,2)=" B",LEFT(E46,1)="P"),"",IF(VALUE(LEFT(E46,3))&gt;10,BV46,""))</f>
        <v/>
      </c>
      <c r="CX46" s="70" t="str">
        <f>IF(LEFT(E46,2)="PH",AA45,"")</f>
        <v/>
      </c>
      <c r="CY46" s="68">
        <f>IF(OR(BV46="(2) ロ",BV46="( 4 )",BV46="(5) イ"),1,"")</f>
        <v>1</v>
      </c>
      <c r="CZ46" s="9"/>
      <c r="DA46" s="33"/>
      <c r="DB46" s="33"/>
      <c r="DC46" s="24"/>
      <c r="DD46" s="397" t="s">
        <v>175</v>
      </c>
      <c r="DE46" s="25"/>
      <c r="DF46" s="26">
        <v>70</v>
      </c>
      <c r="DG46" s="26">
        <v>100</v>
      </c>
      <c r="DH46" s="27">
        <f t="shared" si="0"/>
        <v>30</v>
      </c>
      <c r="DI46" s="28">
        <v>15</v>
      </c>
      <c r="DJ46" s="28" t="s">
        <v>31</v>
      </c>
      <c r="DK46" s="28" t="s">
        <v>31</v>
      </c>
      <c r="DL46" s="29">
        <v>100</v>
      </c>
      <c r="DM46" s="30"/>
      <c r="DN46" s="30"/>
      <c r="DO46" s="30"/>
      <c r="DP46" s="30"/>
      <c r="DQ46" s="30"/>
      <c r="DR46" s="30"/>
      <c r="DS46" s="30"/>
      <c r="DT46" s="30"/>
      <c r="DU46" s="30"/>
      <c r="DV46" s="30"/>
      <c r="DW46" s="30"/>
      <c r="DX46" s="30"/>
      <c r="DY46" s="30"/>
      <c r="DZ46" s="30"/>
      <c r="EA46" s="30"/>
      <c r="EB46" s="30"/>
      <c r="EC46" s="30"/>
      <c r="ED46" s="30"/>
      <c r="EE46" s="30"/>
      <c r="EF46" s="30"/>
      <c r="EG46" s="31"/>
      <c r="EH46" s="31"/>
      <c r="EI46" s="31"/>
      <c r="EJ46" s="31"/>
      <c r="EK46" s="31"/>
      <c r="EL46" s="31"/>
      <c r="EM46" s="31"/>
      <c r="EN46" s="31"/>
      <c r="EO46" s="31"/>
      <c r="EP46" s="31"/>
      <c r="EQ46" s="31"/>
      <c r="ER46" s="31"/>
      <c r="ES46" s="31"/>
      <c r="ET46" s="31"/>
      <c r="EU46" s="31"/>
      <c r="EV46" s="31"/>
      <c r="EW46" s="31"/>
      <c r="EX46" s="31"/>
      <c r="EY46" s="31"/>
      <c r="EZ46" s="31"/>
      <c r="FA46" s="30"/>
      <c r="FB46" s="30"/>
      <c r="FC46" s="32"/>
      <c r="FD46" s="402"/>
      <c r="FE46" s="402"/>
      <c r="FF46" s="30"/>
      <c r="FG46" s="30"/>
      <c r="FH46" s="13"/>
      <c r="FI46" s="99"/>
      <c r="FJ46" s="13"/>
      <c r="FK46" s="1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row>
    <row r="47" spans="1:756" ht="0.75" customHeight="1">
      <c r="A47" s="61"/>
      <c r="B47" s="62"/>
      <c r="C47" s="594"/>
      <c r="D47" s="602"/>
      <c r="E47" s="1754"/>
      <c r="F47" s="1755"/>
      <c r="G47" s="1755"/>
      <c r="H47" s="1756"/>
      <c r="I47" s="602"/>
      <c r="J47" s="602"/>
      <c r="K47" s="602"/>
      <c r="L47" s="1808"/>
      <c r="M47" s="1808"/>
      <c r="N47" s="1808"/>
      <c r="O47" s="794"/>
      <c r="P47" s="795"/>
      <c r="Q47" s="795"/>
      <c r="R47" s="796"/>
      <c r="S47" s="797"/>
      <c r="T47" s="798"/>
      <c r="U47" s="798"/>
      <c r="V47" s="799"/>
      <c r="W47" s="800"/>
      <c r="X47" s="801"/>
      <c r="Y47" s="801"/>
      <c r="Z47" s="802"/>
      <c r="AA47" s="1760">
        <f>IF(E46="","",O121)</f>
        <v>1152</v>
      </c>
      <c r="AB47" s="1760"/>
      <c r="AC47" s="1760"/>
      <c r="AD47" s="1760"/>
      <c r="AE47" s="1760"/>
      <c r="AF47" s="1761"/>
      <c r="AG47" s="783"/>
      <c r="AH47" s="784"/>
      <c r="AI47" s="784"/>
      <c r="AJ47" s="784"/>
      <c r="AK47" s="784"/>
      <c r="AL47" s="784"/>
      <c r="AM47" s="803"/>
      <c r="AN47" s="803"/>
      <c r="AO47" s="803"/>
      <c r="AP47" s="803"/>
      <c r="AQ47" s="1757"/>
      <c r="AR47" s="1758"/>
      <c r="AS47" s="1758"/>
      <c r="AT47" s="1758"/>
      <c r="AU47" s="1758"/>
      <c r="AV47" s="1759"/>
      <c r="AW47" s="784"/>
      <c r="AX47" s="784"/>
      <c r="AY47" s="784"/>
      <c r="AZ47" s="803"/>
      <c r="BA47" s="803"/>
      <c r="BB47" s="803"/>
      <c r="BC47" s="784"/>
      <c r="BD47" s="784"/>
      <c r="BE47" s="784"/>
      <c r="BF47" s="803"/>
      <c r="BG47" s="803"/>
      <c r="BH47" s="803"/>
      <c r="BI47" s="599"/>
      <c r="BJ47" s="599"/>
      <c r="BK47" s="599"/>
      <c r="BL47" s="810"/>
      <c r="BM47" s="810"/>
      <c r="BN47" s="810"/>
      <c r="BO47" s="599"/>
      <c r="BP47" s="599"/>
      <c r="BQ47" s="599"/>
      <c r="BR47" s="810"/>
      <c r="BS47" s="810"/>
      <c r="BT47" s="810"/>
      <c r="BU47" s="599"/>
      <c r="BV47" s="814"/>
      <c r="BW47" s="815"/>
      <c r="BX47" s="815"/>
      <c r="BY47" s="816"/>
      <c r="BZ47" s="599"/>
      <c r="CA47" s="600"/>
      <c r="CB47" s="63"/>
      <c r="CC47" s="69"/>
      <c r="CD47" s="67"/>
      <c r="CE47" s="67"/>
      <c r="CF47" s="70"/>
      <c r="CG47" s="69"/>
      <c r="CH47" s="70"/>
      <c r="CI47" s="69"/>
      <c r="CJ47" s="67"/>
      <c r="CK47" s="70"/>
      <c r="CL47" s="69"/>
      <c r="CM47" s="631"/>
      <c r="CN47" s="70"/>
      <c r="CO47" s="69"/>
      <c r="CP47" s="631"/>
      <c r="CQ47" s="70"/>
      <c r="CR47" s="634"/>
      <c r="CS47" s="67"/>
      <c r="CT47" s="70"/>
      <c r="CU47" s="69"/>
      <c r="CV47" s="637"/>
      <c r="CW47" s="67"/>
      <c r="CX47" s="70"/>
      <c r="CY47" s="71"/>
      <c r="CZ47" s="9"/>
      <c r="DA47" s="33"/>
      <c r="DB47" s="33"/>
      <c r="DC47" s="400"/>
      <c r="DD47" s="401"/>
      <c r="DE47" s="587"/>
      <c r="DF47" s="588"/>
      <c r="DG47" s="588"/>
      <c r="DH47" s="589"/>
      <c r="DI47" s="590"/>
      <c r="DJ47" s="590"/>
      <c r="DK47" s="590"/>
      <c r="DL47" s="591"/>
      <c r="DM47" s="592"/>
      <c r="DN47" s="592"/>
      <c r="DO47" s="592"/>
      <c r="DP47" s="592"/>
      <c r="DQ47" s="592"/>
      <c r="DR47" s="592"/>
      <c r="DS47" s="592"/>
      <c r="DT47" s="592"/>
      <c r="DU47" s="592"/>
      <c r="DV47" s="592"/>
      <c r="DW47" s="592"/>
      <c r="DX47" s="592"/>
      <c r="DY47" s="592"/>
      <c r="DZ47" s="592"/>
      <c r="EA47" s="592"/>
      <c r="EB47" s="592"/>
      <c r="EC47" s="592"/>
      <c r="ED47" s="592"/>
      <c r="EE47" s="592"/>
      <c r="EF47" s="592"/>
      <c r="EG47" s="593"/>
      <c r="EH47" s="593"/>
      <c r="EI47" s="593"/>
      <c r="EJ47" s="593"/>
      <c r="EK47" s="593"/>
      <c r="EL47" s="593"/>
      <c r="EM47" s="593"/>
      <c r="EN47" s="593"/>
      <c r="EO47" s="593"/>
      <c r="EP47" s="593"/>
      <c r="EQ47" s="593"/>
      <c r="ER47" s="593"/>
      <c r="ES47" s="593"/>
      <c r="ET47" s="593"/>
      <c r="EU47" s="593"/>
      <c r="EV47" s="593"/>
      <c r="EW47" s="593"/>
      <c r="EX47" s="593"/>
      <c r="EY47" s="593"/>
      <c r="EZ47" s="593"/>
      <c r="FA47" s="592"/>
      <c r="FB47" s="592"/>
      <c r="FC47" s="402"/>
      <c r="FD47" s="402"/>
      <c r="FE47" s="402"/>
      <c r="FF47" s="592"/>
      <c r="FG47" s="592"/>
      <c r="FH47" s="13"/>
      <c r="FI47" s="13"/>
      <c r="FJ47" s="13"/>
      <c r="FK47" s="1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row>
    <row r="48" spans="1:756" ht="12" customHeight="1">
      <c r="A48" s="61">
        <f>IF(OR(E48="",LEFT(E48,2)=" B",E48="  RF",LEFT(E48,1)="P"),0,C48)</f>
        <v>13</v>
      </c>
      <c r="B48" s="62">
        <f>IF(AND(AA47="",E48=""),0,IF(LEFT(E48,2)="PH",0,1))</f>
        <v>1</v>
      </c>
      <c r="C48" s="1773">
        <f>IF(AA47="","",C46+1)</f>
        <v>13</v>
      </c>
      <c r="D48" s="1774"/>
      <c r="E48" s="1802" t="s">
        <v>2243</v>
      </c>
      <c r="F48" s="1803"/>
      <c r="G48" s="1803"/>
      <c r="H48" s="1804"/>
      <c r="I48" s="1778" t="str">
        <f>IF(I121=0,"",I121)</f>
        <v>A</v>
      </c>
      <c r="J48" s="1779"/>
      <c r="K48" s="1780"/>
      <c r="L48" s="1808"/>
      <c r="M48" s="1808"/>
      <c r="N48" s="1808"/>
      <c r="O48" s="1805">
        <v>4</v>
      </c>
      <c r="P48" s="1806"/>
      <c r="Q48" s="1806"/>
      <c r="R48" s="1807"/>
      <c r="S48" s="1784">
        <v>3</v>
      </c>
      <c r="T48" s="1785"/>
      <c r="U48" s="1785"/>
      <c r="V48" s="1786"/>
      <c r="W48" s="1805"/>
      <c r="X48" s="1806"/>
      <c r="Y48" s="1806"/>
      <c r="Z48" s="1807"/>
      <c r="AA48" s="1762"/>
      <c r="AB48" s="1762"/>
      <c r="AC48" s="1762"/>
      <c r="AD48" s="1762"/>
      <c r="AE48" s="1762"/>
      <c r="AF48" s="1763"/>
      <c r="AG48" s="1770">
        <f>IF(OR($U$11="No",C48=""),"",IF(AM48&lt;&gt;"",AM48,IF(LEFT(E48,2)="PH","",IF(BV48&lt;&gt;"",VLOOKUP(BV48,令別表,4,FALSE)*AA47/100,IF(ISNA(VLOOKUP($AS$16,令別表,4,FALSE)),"",IF(VLOOKUP($AS$16,令別表,4,FALSE)*AA47/100=0,"",VLOOKUP($AS$16,令別表,4,FALSE)*AA47/100))))))</f>
        <v>806.4</v>
      </c>
      <c r="AH48" s="1771"/>
      <c r="AI48" s="1771"/>
      <c r="AJ48" s="1771"/>
      <c r="AK48" s="1771"/>
      <c r="AL48" s="1772"/>
      <c r="AM48" s="1767"/>
      <c r="AN48" s="1768"/>
      <c r="AO48" s="1768"/>
      <c r="AP48" s="1769"/>
      <c r="AQ48" s="1764">
        <f t="shared" si="1"/>
        <v>345.6</v>
      </c>
      <c r="AR48" s="1765"/>
      <c r="AS48" s="1765"/>
      <c r="AT48" s="1765"/>
      <c r="AU48" s="1765"/>
      <c r="AV48" s="1766"/>
      <c r="AW48" s="1790">
        <f>IF(C48="","",IF(AZ48&lt;&gt;"",AZ48,IF(LEFT(E48,2)="PH","",IF(BV48&lt;&gt;"",1+INT(AG48/VLOOKUP(BV48,令別表,5,FALSE)),IF(ISNA(VLOOKUP($AS$16,令別表,5,FALSE)),"",IF(1+INT(AG48/VLOOKUP($AS$16,令別表,5,FALSE))="","",1+INT(AG48/VLOOKUP($AS$16,令別表,5,FALSE))))))))</f>
        <v>3</v>
      </c>
      <c r="AX48" s="1791"/>
      <c r="AY48" s="1792"/>
      <c r="AZ48" s="2183"/>
      <c r="BA48" s="2184"/>
      <c r="BB48" s="2185"/>
      <c r="BC48" s="1790">
        <f>IF(E48="","",IF(BF48&lt;&gt;"",BF48,IF(BV48&lt;&gt;"",1+INT(AQ48/VLOOKUP(BV48,令別表,7,FALSE)),IF(ISNA(VLOOKUP($AS$16,令別表,7,FALSE)),"",IF(1+INT(AQ48/VLOOKUP($AS$16,令別表,7,FALSE))="","",1+INT(AQ48/VLOOKUP($AS$16,令別表,7,FALSE)))))))</f>
        <v>9</v>
      </c>
      <c r="BD48" s="1791"/>
      <c r="BE48" s="1791"/>
      <c r="BF48" s="2183"/>
      <c r="BG48" s="2184"/>
      <c r="BH48" s="2185"/>
      <c r="BI48" s="2186" t="str">
        <f>IF(OR(AA47="",E48=""),"",IF(LEFT(E48,2)=" B","無窓",IF(BL48&lt;&gt;"",BL48,IF(BV48&lt;&gt;"",VLOOKUP(BV48,令別表,8,FALSE),IF(OR(LEFT(E48,2)=" B",LEFT(E48,2)="PH"),"無窓",IF(LEFT(E48,2)&lt;&gt;"",VLOOKUP($AS$16,令別表,8,FALSE)))))))</f>
        <v>無窓</v>
      </c>
      <c r="BJ48" s="2187"/>
      <c r="BK48" s="2187"/>
      <c r="BL48" s="2164"/>
      <c r="BM48" s="2165"/>
      <c r="BN48" s="2166"/>
      <c r="BO48" s="2161" t="str">
        <f>IF(OR(E48="",AA47=""),"",IF(LEFT(E48,2)=" B","無窓",IF(BR48&lt;&gt;"",BR48,IF(BV48&lt;&gt;"",VLOOKUP(BV48,令別表,8,FALSE),IF(OR(LEFT(E48,2)=" B",LEFT(E48,2)="PH"),"無窓",IF(LEFT(E48,2)&lt;&gt;"",VLOOKUP($AS$16,令別表,9,FALSE)))))))</f>
        <v>無窓</v>
      </c>
      <c r="BP48" s="2162"/>
      <c r="BQ48" s="2163"/>
      <c r="BR48" s="2164"/>
      <c r="BS48" s="2165"/>
      <c r="BT48" s="2166"/>
      <c r="BU48" s="819" t="str">
        <f>IF(AND(LEFT($AS$16,4)="(16)",E48&lt;&gt;"",BV48=""),"■","")</f>
        <v/>
      </c>
      <c r="BV48" s="2201" t="s">
        <v>2249</v>
      </c>
      <c r="BW48" s="2202"/>
      <c r="BX48" s="2202"/>
      <c r="BY48" s="2203"/>
      <c r="BZ48" s="1810" t="str">
        <f>IF(E48="","",IF(AND(BU48="",BV48="",CB48=1),"済",IF(AND(BU48="",BV48&lt;&gt;"",CB48=1),"済","未")))</f>
        <v>済</v>
      </c>
      <c r="CA48" s="1811"/>
      <c r="CB48" s="659">
        <f>IF(AND(LEFT(E48,4)="  1F",O48&lt;&gt;"",S48&lt;&gt;"",W48&lt;&gt;"",AA47&lt;&gt;""),1,IF(AND(LEFT(E48,4)&lt;&gt;"  1F",O48&lt;&gt;"",S48&lt;&gt;"",AA47&lt;&gt;""),1,0))</f>
        <v>1</v>
      </c>
      <c r="CC48" s="69" t="str">
        <f>IF(C48="","",IF(LEFT(E48,2)=" B",O48,""))</f>
        <v/>
      </c>
      <c r="CD48" s="67" t="str">
        <f>IF(C48="","",IF(E48="  1F",O48,""))</f>
        <v/>
      </c>
      <c r="CE48" s="67">
        <f>IF(OR(C48="",E48="  1F"),"",IF(AND(LEFT(E48,2)&lt;&gt;" B",LEFT(E48,1)&lt;&gt;"P"),O48,""))</f>
        <v>4</v>
      </c>
      <c r="CF48" s="70" t="str">
        <f>IF(C48="","",IF(LEFT(E48,1)="P",O48,""))</f>
        <v/>
      </c>
      <c r="CG48" s="69" t="str">
        <f>IF(LEFT(E48,2)=" B",E48,"")</f>
        <v/>
      </c>
      <c r="CH48" s="70" t="str">
        <f>IF(BV48="","",IF(LEFT(E48,2)=" B",BV48,""))</f>
        <v/>
      </c>
      <c r="CI48" s="69" t="str">
        <f>IF(E48="  1F",AA47,"")</f>
        <v/>
      </c>
      <c r="CJ48" s="631">
        <f>IF(OR(LEFT(E48,2)=" B",LEFT(E48,2)="PH"),0,IF(CI48="",0,IF(AND(BI48="無窓",BO48="無窓"),3,IF(BI48="無窓",1,IF(BO48="無窓",2,0)))))</f>
        <v>0</v>
      </c>
      <c r="CK48" s="70" t="str">
        <f>IF(BV48="","",IF(E48="  1F",BV48,""))</f>
        <v/>
      </c>
      <c r="CL48" s="69" t="str">
        <f>IF(E48="  2F",E48,"")</f>
        <v/>
      </c>
      <c r="CM48" s="631">
        <f>IF(OR(LEFT(E48,2)=" B",LEFT(E48,2)="PH"),0,IF(CL48="",0,IF(AND(BI48="無窓",BO48="無窓"),3,IF(BI48="無窓",1,IF(BO48="無窓",2,0)))))</f>
        <v>0</v>
      </c>
      <c r="CN48" s="70" t="str">
        <f>IF(BV48="","",IF(E48="  2F",BV48,""))</f>
        <v/>
      </c>
      <c r="CO48" s="69" t="str">
        <f>IF(E48="  3F",AA47,"")</f>
        <v/>
      </c>
      <c r="CP48" s="631">
        <f>IF(OR(LEFT(E48,2)=" B",LEFT(E48,2)="PH"),0,IF(CO48="",0,IF(AND(BI48="無窓",BO48="無窓"),3,IF(BI48="無窓",1,IF(BO48="無窓",2,0)))))</f>
        <v>0</v>
      </c>
      <c r="CQ48" s="70" t="str">
        <f>IF(BV48="","",IF(E48="  3F",BV48,""))</f>
        <v/>
      </c>
      <c r="CR48" s="634" t="str">
        <f>IF(OR(E48="  4F",E48="  5F",E48="  6F",E48="  7F",E48="  8F",E48="  9F",E48=" 10F"),AA47,"")</f>
        <v/>
      </c>
      <c r="CS48" s="631">
        <f>IF(E48="",0,IF(OR(LEFT(E48,2)=" B",LEFT(E48,2)="PH"),0,IF(OR(VALUE(LEFT(E48,3))&lt;4,VALUE(LEFT(E48,3))&gt;10),0,IF(AND(BI48="無窓",BO48="無窓"),3,IF(BI48="無窓",1,IF(BO48="無窓",2,0))))))</f>
        <v>0</v>
      </c>
      <c r="CT48" s="70" t="str">
        <f>IF(OR(E48="",LEFT(E48,2)=" B",LEFT(E48,1)="P"),"",IF(AND(VALUE(LEFT(E48,3))&gt;=4,VALUE(LEFT(E48,3))&lt;11),BV48,""))</f>
        <v/>
      </c>
      <c r="CU48" s="69">
        <f>IF(OR(LEFT(E48,2)=" B",LEFT(E48,2)="PH",E48=""),"",IF(VALUE(LEFT(E48,3))&gt;10,AA47,""))</f>
        <v>1152</v>
      </c>
      <c r="CV48" s="637">
        <f>IF(E48="",0,IF(OR(LEFT(E48,2)=" B",LEFT(E48,2)="PH"),0,IF(AND(BI48="無窓",BO48="無窓"),3,IF(BI48="無窓",1,IF(BO48="無窓",2,0)))))</f>
        <v>3</v>
      </c>
      <c r="CW48" s="67" t="str">
        <f>IF(OR(E48="",LEFT(E48,2)=" B",LEFT(E48,1)="P"),"",IF(VALUE(LEFT(E48,3))&gt;10,BV48,""))</f>
        <v>( 4 )</v>
      </c>
      <c r="CX48" s="70" t="str">
        <f>IF(LEFT(E48,2)="PH",AA47,"")</f>
        <v/>
      </c>
      <c r="CY48" s="68">
        <f>IF(OR(BV48="(2) ロ",BV48="( 4 )",BV48="(5) イ"),1,"")</f>
        <v>1</v>
      </c>
      <c r="CZ48" s="9"/>
      <c r="DA48" s="33"/>
      <c r="DB48" s="33"/>
      <c r="DC48" s="24" t="s">
        <v>176</v>
      </c>
      <c r="DD48" s="397" t="s">
        <v>177</v>
      </c>
      <c r="DE48" s="25"/>
      <c r="DF48" s="26">
        <v>90</v>
      </c>
      <c r="DG48" s="26">
        <v>500</v>
      </c>
      <c r="DH48" s="27">
        <f t="shared" si="0"/>
        <v>10</v>
      </c>
      <c r="DI48" s="28">
        <v>20</v>
      </c>
      <c r="DJ48" s="28" t="s">
        <v>31</v>
      </c>
      <c r="DK48" s="28" t="s">
        <v>75</v>
      </c>
      <c r="DL48" s="29">
        <v>800</v>
      </c>
      <c r="DM48" s="30" t="s">
        <v>173</v>
      </c>
      <c r="DN48" s="30">
        <v>58</v>
      </c>
      <c r="DO48" s="30">
        <v>70</v>
      </c>
      <c r="DP48" s="30">
        <v>100</v>
      </c>
      <c r="DQ48" s="30">
        <v>50</v>
      </c>
      <c r="DR48" s="30" t="s">
        <v>174</v>
      </c>
      <c r="DS48" s="30">
        <v>58</v>
      </c>
      <c r="DT48" s="30">
        <v>70</v>
      </c>
      <c r="DU48" s="30">
        <v>100</v>
      </c>
      <c r="DV48" s="30">
        <v>200</v>
      </c>
      <c r="DW48" s="30" t="s">
        <v>34</v>
      </c>
      <c r="DX48" s="30">
        <v>59</v>
      </c>
      <c r="DY48" s="30">
        <v>70</v>
      </c>
      <c r="DZ48" s="30">
        <v>70</v>
      </c>
      <c r="EA48" s="30">
        <v>150</v>
      </c>
      <c r="EB48" s="30" t="s">
        <v>35</v>
      </c>
      <c r="EC48" s="30">
        <v>66</v>
      </c>
      <c r="ED48" s="30">
        <v>79</v>
      </c>
      <c r="EE48" s="30">
        <v>70</v>
      </c>
      <c r="EF48" s="30">
        <v>50</v>
      </c>
      <c r="EG48" s="31" t="s">
        <v>36</v>
      </c>
      <c r="EH48" s="31">
        <v>58</v>
      </c>
      <c r="EI48" s="31">
        <v>70</v>
      </c>
      <c r="EJ48" s="31">
        <v>100</v>
      </c>
      <c r="EK48" s="31">
        <v>50</v>
      </c>
      <c r="EL48" s="31" t="s">
        <v>36</v>
      </c>
      <c r="EM48" s="31">
        <v>58</v>
      </c>
      <c r="EN48" s="31">
        <v>70</v>
      </c>
      <c r="EO48" s="31">
        <v>100</v>
      </c>
      <c r="EP48" s="31">
        <v>50</v>
      </c>
      <c r="EQ48" s="31" t="s">
        <v>36</v>
      </c>
      <c r="ER48" s="31">
        <v>58</v>
      </c>
      <c r="ES48" s="31">
        <v>70</v>
      </c>
      <c r="ET48" s="31">
        <v>70</v>
      </c>
      <c r="EU48" s="31">
        <v>150</v>
      </c>
      <c r="EV48" s="31" t="s">
        <v>37</v>
      </c>
      <c r="EW48" s="31">
        <v>66</v>
      </c>
      <c r="EX48" s="31">
        <v>79</v>
      </c>
      <c r="EY48" s="31">
        <v>70</v>
      </c>
      <c r="EZ48" s="31">
        <v>50</v>
      </c>
      <c r="FA48" s="30">
        <v>100</v>
      </c>
      <c r="FB48" s="30">
        <v>150</v>
      </c>
      <c r="FC48" s="32" t="s">
        <v>176</v>
      </c>
      <c r="FD48" s="402"/>
      <c r="FE48" s="402"/>
      <c r="FF48" s="30"/>
      <c r="FG48" s="30"/>
      <c r="FH48" s="13"/>
      <c r="FI48" s="13"/>
      <c r="FJ48" s="13"/>
      <c r="FK48" s="1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row>
    <row r="49" spans="1:756" ht="0.75" customHeight="1">
      <c r="A49" s="61"/>
      <c r="B49" s="62"/>
      <c r="C49" s="594"/>
      <c r="D49" s="602"/>
      <c r="E49" s="1754"/>
      <c r="F49" s="1755"/>
      <c r="G49" s="1755"/>
      <c r="H49" s="1756"/>
      <c r="I49" s="602"/>
      <c r="J49" s="602"/>
      <c r="K49" s="602"/>
      <c r="L49" s="1808"/>
      <c r="M49" s="1808"/>
      <c r="N49" s="1808"/>
      <c r="O49" s="794"/>
      <c r="P49" s="795"/>
      <c r="Q49" s="795"/>
      <c r="R49" s="796"/>
      <c r="S49" s="797"/>
      <c r="T49" s="798"/>
      <c r="U49" s="798"/>
      <c r="V49" s="799"/>
      <c r="W49" s="800"/>
      <c r="X49" s="801"/>
      <c r="Y49" s="801"/>
      <c r="Z49" s="802"/>
      <c r="AA49" s="1760">
        <f>IF(E48="","",O122)</f>
        <v>1152</v>
      </c>
      <c r="AB49" s="1760"/>
      <c r="AC49" s="1760"/>
      <c r="AD49" s="1760"/>
      <c r="AE49" s="1760"/>
      <c r="AF49" s="1761"/>
      <c r="AG49" s="783"/>
      <c r="AH49" s="784"/>
      <c r="AI49" s="784"/>
      <c r="AJ49" s="784"/>
      <c r="AK49" s="784"/>
      <c r="AL49" s="784"/>
      <c r="AM49" s="803"/>
      <c r="AN49" s="803"/>
      <c r="AO49" s="803"/>
      <c r="AP49" s="803"/>
      <c r="AQ49" s="1757"/>
      <c r="AR49" s="1758"/>
      <c r="AS49" s="1758"/>
      <c r="AT49" s="1758"/>
      <c r="AU49" s="1758"/>
      <c r="AV49" s="1759"/>
      <c r="AW49" s="784"/>
      <c r="AX49" s="784"/>
      <c r="AY49" s="784"/>
      <c r="AZ49" s="803"/>
      <c r="BA49" s="803"/>
      <c r="BB49" s="803"/>
      <c r="BC49" s="784"/>
      <c r="BD49" s="784"/>
      <c r="BE49" s="784"/>
      <c r="BF49" s="803"/>
      <c r="BG49" s="803"/>
      <c r="BH49" s="803"/>
      <c r="BI49" s="599"/>
      <c r="BJ49" s="599"/>
      <c r="BK49" s="599"/>
      <c r="BL49" s="810"/>
      <c r="BM49" s="810"/>
      <c r="BN49" s="810"/>
      <c r="BO49" s="599"/>
      <c r="BP49" s="599"/>
      <c r="BQ49" s="599"/>
      <c r="BR49" s="810"/>
      <c r="BS49" s="810"/>
      <c r="BT49" s="810"/>
      <c r="BU49" s="599"/>
      <c r="BV49" s="811"/>
      <c r="BW49" s="812"/>
      <c r="BX49" s="812"/>
      <c r="BY49" s="813"/>
      <c r="BZ49" s="599"/>
      <c r="CA49" s="600"/>
      <c r="CB49" s="63"/>
      <c r="CC49" s="69"/>
      <c r="CD49" s="67"/>
      <c r="CE49" s="67"/>
      <c r="CF49" s="70"/>
      <c r="CG49" s="69"/>
      <c r="CH49" s="70"/>
      <c r="CI49" s="69"/>
      <c r="CJ49" s="67"/>
      <c r="CK49" s="70"/>
      <c r="CL49" s="69"/>
      <c r="CM49" s="631"/>
      <c r="CN49" s="70"/>
      <c r="CO49" s="69"/>
      <c r="CP49" s="631"/>
      <c r="CQ49" s="70"/>
      <c r="CR49" s="634"/>
      <c r="CS49" s="67"/>
      <c r="CT49" s="70"/>
      <c r="CU49" s="69"/>
      <c r="CV49" s="637"/>
      <c r="CW49" s="67"/>
      <c r="CX49" s="70"/>
      <c r="CY49" s="71"/>
      <c r="CZ49" s="9"/>
      <c r="DA49" s="33"/>
      <c r="DB49" s="33"/>
      <c r="DC49" s="400"/>
      <c r="DD49" s="401"/>
      <c r="DE49" s="587"/>
      <c r="DF49" s="588"/>
      <c r="DG49" s="588"/>
      <c r="DH49" s="589"/>
      <c r="DI49" s="590"/>
      <c r="DJ49" s="590"/>
      <c r="DK49" s="590"/>
      <c r="DL49" s="591"/>
      <c r="DM49" s="592"/>
      <c r="DN49" s="592"/>
      <c r="DO49" s="592"/>
      <c r="DP49" s="592"/>
      <c r="DQ49" s="592"/>
      <c r="DR49" s="592"/>
      <c r="DS49" s="592"/>
      <c r="DT49" s="592"/>
      <c r="DU49" s="592"/>
      <c r="DV49" s="592"/>
      <c r="DW49" s="592"/>
      <c r="DX49" s="592"/>
      <c r="DY49" s="592"/>
      <c r="DZ49" s="592"/>
      <c r="EA49" s="592"/>
      <c r="EB49" s="592"/>
      <c r="EC49" s="592"/>
      <c r="ED49" s="592"/>
      <c r="EE49" s="592"/>
      <c r="EF49" s="592"/>
      <c r="EG49" s="593"/>
      <c r="EH49" s="593"/>
      <c r="EI49" s="593"/>
      <c r="EJ49" s="593"/>
      <c r="EK49" s="593"/>
      <c r="EL49" s="593"/>
      <c r="EM49" s="593"/>
      <c r="EN49" s="593"/>
      <c r="EO49" s="593"/>
      <c r="EP49" s="593"/>
      <c r="EQ49" s="593"/>
      <c r="ER49" s="593"/>
      <c r="ES49" s="593"/>
      <c r="ET49" s="593"/>
      <c r="EU49" s="593"/>
      <c r="EV49" s="593"/>
      <c r="EW49" s="593"/>
      <c r="EX49" s="593"/>
      <c r="EY49" s="593"/>
      <c r="EZ49" s="593"/>
      <c r="FA49" s="592"/>
      <c r="FB49" s="592"/>
      <c r="FC49" s="402"/>
      <c r="FD49" s="402"/>
      <c r="FE49" s="402"/>
      <c r="FF49" s="592"/>
      <c r="FG49" s="592"/>
      <c r="FH49" s="13"/>
      <c r="FI49" s="13"/>
      <c r="FJ49" s="13"/>
      <c r="FK49" s="1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row>
    <row r="50" spans="1:756" ht="12" customHeight="1">
      <c r="A50" s="61">
        <f>IF(OR(E50="",LEFT(E50,2)=" B",E50="  RF",LEFT(E50,1)="P"),0,C50)</f>
        <v>14</v>
      </c>
      <c r="B50" s="62">
        <f>IF(AND(AA49="",E50=""),0,IF(LEFT(E50,2)="PH",0,1))</f>
        <v>1</v>
      </c>
      <c r="C50" s="1773">
        <f>IF(AA49="","",C48+1)</f>
        <v>14</v>
      </c>
      <c r="D50" s="1774"/>
      <c r="E50" s="1802" t="s">
        <v>2244</v>
      </c>
      <c r="F50" s="1803"/>
      <c r="G50" s="1803"/>
      <c r="H50" s="1804"/>
      <c r="I50" s="1778" t="str">
        <f>IF(I122=0,"",I122)</f>
        <v>A</v>
      </c>
      <c r="J50" s="1779"/>
      <c r="K50" s="1780"/>
      <c r="L50" s="1808"/>
      <c r="M50" s="1808"/>
      <c r="N50" s="1808"/>
      <c r="O50" s="1805">
        <v>4</v>
      </c>
      <c r="P50" s="1806"/>
      <c r="Q50" s="1806"/>
      <c r="R50" s="1807"/>
      <c r="S50" s="1784">
        <v>3</v>
      </c>
      <c r="T50" s="1785"/>
      <c r="U50" s="1785"/>
      <c r="V50" s="1786"/>
      <c r="W50" s="1805"/>
      <c r="X50" s="1806"/>
      <c r="Y50" s="1806"/>
      <c r="Z50" s="1807"/>
      <c r="AA50" s="1762"/>
      <c r="AB50" s="1762"/>
      <c r="AC50" s="1762"/>
      <c r="AD50" s="1762"/>
      <c r="AE50" s="1762"/>
      <c r="AF50" s="1763"/>
      <c r="AG50" s="1770">
        <f>IF(OR($U$11="No",C50=""),"",IF(AM50&lt;&gt;"",AM50,IF(LEFT(E50,2)="PH","",IF(BV50&lt;&gt;"",VLOOKUP(BV50,令別表,4,FALSE)*AA49/100,IF(ISNA(VLOOKUP($AS$16,令別表,4,FALSE)),"",IF(VLOOKUP($AS$16,令別表,4,FALSE)*AA49/100=0,"",VLOOKUP($AS$16,令別表,4,FALSE)*AA49/100))))))</f>
        <v>691.2</v>
      </c>
      <c r="AH50" s="1771"/>
      <c r="AI50" s="1771"/>
      <c r="AJ50" s="1771"/>
      <c r="AK50" s="1771"/>
      <c r="AL50" s="1772"/>
      <c r="AM50" s="1767"/>
      <c r="AN50" s="1768"/>
      <c r="AO50" s="1768"/>
      <c r="AP50" s="1769"/>
      <c r="AQ50" s="1764">
        <f t="shared" si="1"/>
        <v>460.79999999999995</v>
      </c>
      <c r="AR50" s="1765"/>
      <c r="AS50" s="1765"/>
      <c r="AT50" s="1765"/>
      <c r="AU50" s="1765"/>
      <c r="AV50" s="1766"/>
      <c r="AW50" s="1790">
        <f>IF(C50="","",IF(AZ50&lt;&gt;"",AZ50,IF(LEFT(E50,2)="PH","",IF(BV50&lt;&gt;"",1+INT(AG50/VLOOKUP(BV50,令別表,5,FALSE)),IF(ISNA(VLOOKUP($AS$16,令別表,5,FALSE)),"",IF(1+INT(AG50/VLOOKUP($AS$16,令別表,5,FALSE))="","",1+INT(AG50/VLOOKUP($AS$16,令別表,5,FALSE))))))))</f>
        <v>5</v>
      </c>
      <c r="AX50" s="1791"/>
      <c r="AY50" s="1792"/>
      <c r="AZ50" s="2183"/>
      <c r="BA50" s="2184"/>
      <c r="BB50" s="2185"/>
      <c r="BC50" s="1790">
        <f>IF(E50="","",IF(BF50&lt;&gt;"",BF50,IF(BV50&lt;&gt;"",1+INT(AQ50/VLOOKUP(BV50,令別表,7,FALSE)),IF(ISNA(VLOOKUP($AS$16,令別表,7,FALSE)),"",IF(1+INT(AQ50/VLOOKUP($AS$16,令別表,7,FALSE))="","",1+INT(AQ50/VLOOKUP($AS$16,令別表,7,FALSE)))))))</f>
        <v>12</v>
      </c>
      <c r="BD50" s="1791"/>
      <c r="BE50" s="1791"/>
      <c r="BF50" s="2183"/>
      <c r="BG50" s="2184"/>
      <c r="BH50" s="2185"/>
      <c r="BI50" s="2186" t="str">
        <f>IF(OR(AA49="",E50=""),"",IF(LEFT(E50,2)=" B","無窓",IF(BL50&lt;&gt;"",BL50,IF(BV50&lt;&gt;"",VLOOKUP(BV50,令別表,8,FALSE),IF(OR(LEFT(E50,2)=" B",LEFT(E50,2)="PH"),"無窓",IF(LEFT(E50,2)&lt;&gt;"",VLOOKUP($AS$16,令別表,8,FALSE)))))))</f>
        <v>無窓</v>
      </c>
      <c r="BJ50" s="2187"/>
      <c r="BK50" s="2187"/>
      <c r="BL50" s="2164"/>
      <c r="BM50" s="2165"/>
      <c r="BN50" s="2166"/>
      <c r="BO50" s="2161" t="str">
        <f>IF(OR(E50="",AA49=""),"",IF(LEFT(E50,2)=" B","無窓",IF(BR50&lt;&gt;"",BR50,IF(BV50&lt;&gt;"",VLOOKUP(BV50,令別表,8,FALSE),IF(OR(LEFT(E50,2)=" B",LEFT(E50,2)="PH"),"無窓",IF(LEFT(E50,2)&lt;&gt;"",VLOOKUP($AS$16,令別表,9,FALSE)))))))</f>
        <v>無窓</v>
      </c>
      <c r="BP50" s="2162"/>
      <c r="BQ50" s="2163"/>
      <c r="BR50" s="2164"/>
      <c r="BS50" s="2165"/>
      <c r="BT50" s="2166"/>
      <c r="BU50" s="819" t="str">
        <f>IF(AND(LEFT($AS$16,4)="(16)",E50&lt;&gt;"",BV50=""),"■","")</f>
        <v/>
      </c>
      <c r="BV50" s="2201" t="s">
        <v>2250</v>
      </c>
      <c r="BW50" s="2202"/>
      <c r="BX50" s="2202"/>
      <c r="BY50" s="2203"/>
      <c r="BZ50" s="1810" t="str">
        <f>IF(E50="","",IF(AND(BU50="",BV50="",CB50=1),"済",IF(AND(BU50="",BV50&lt;&gt;"",CB50=1),"済","未")))</f>
        <v>済</v>
      </c>
      <c r="CA50" s="1811"/>
      <c r="CB50" s="659">
        <f>IF(AND(LEFT(E50,4)="  1F",O50&lt;&gt;"",S50&lt;&gt;"",W50&lt;&gt;"",AA49&lt;&gt;""),1,IF(AND(LEFT(E50,4)&lt;&gt;"  1F",O50&lt;&gt;"",S50&lt;&gt;"",AA49&lt;&gt;""),1,0))</f>
        <v>1</v>
      </c>
      <c r="CC50" s="69" t="str">
        <f>IF(C50="","",IF(LEFT(E50,2)=" B",O50,""))</f>
        <v/>
      </c>
      <c r="CD50" s="67" t="str">
        <f>IF(C50="","",IF(E50="  1F",O50,""))</f>
        <v/>
      </c>
      <c r="CE50" s="67">
        <f>IF(OR(C50="",E50="  1F"),"",IF(AND(LEFT(E50,2)&lt;&gt;" B",LEFT(E50,1)&lt;&gt;"P"),O50,""))</f>
        <v>4</v>
      </c>
      <c r="CF50" s="70" t="str">
        <f>IF(C50="","",IF(LEFT(E50,1)="P",O50,""))</f>
        <v/>
      </c>
      <c r="CG50" s="69" t="str">
        <f>IF(LEFT(E50,2)=" B",E50,"")</f>
        <v/>
      </c>
      <c r="CH50" s="70" t="str">
        <f>IF(BV50="","",IF(LEFT(E50,2)=" B",BV50,""))</f>
        <v/>
      </c>
      <c r="CI50" s="69" t="str">
        <f>IF(E50="  1F",AA49,"")</f>
        <v/>
      </c>
      <c r="CJ50" s="631">
        <f>IF(OR(LEFT(E50,2)=" B",LEFT(E50,2)="PH"),0,IF(CI50="",0,IF(AND(BI50="無窓",BO50="無窓"),3,IF(BI50="無窓",1,IF(BO50="無窓",2,0)))))</f>
        <v>0</v>
      </c>
      <c r="CK50" s="70" t="str">
        <f>IF(BV50="","",IF(E50="  1F",BV50,""))</f>
        <v/>
      </c>
      <c r="CL50" s="69" t="str">
        <f>IF(E50="  2F",E50,"")</f>
        <v/>
      </c>
      <c r="CM50" s="631">
        <f>IF(OR(LEFT(E50,2)=" B",LEFT(E50,2)="PH"),0,IF(CL50="",0,IF(AND(BI50="無窓",BO50="無窓"),3,IF(BI50="無窓",1,IF(BO50="無窓",2,0)))))</f>
        <v>0</v>
      </c>
      <c r="CN50" s="70" t="str">
        <f>IF(BV50="","",IF(E50="  2F",BV50,""))</f>
        <v/>
      </c>
      <c r="CO50" s="69" t="str">
        <f>IF(E50="  3F",AA49,"")</f>
        <v/>
      </c>
      <c r="CP50" s="631">
        <f>IF(OR(LEFT(E50,2)=" B",LEFT(E50,2)="PH"),0,IF(CO50="",0,IF(AND(BI50="無窓",BO50="無窓"),3,IF(BI50="無窓",1,IF(BO50="無窓",2,0)))))</f>
        <v>0</v>
      </c>
      <c r="CQ50" s="70" t="str">
        <f>IF(BV50="","",IF(E50="  3F",BV50,""))</f>
        <v/>
      </c>
      <c r="CR50" s="634" t="str">
        <f>IF(OR(E50="  4F",E50="  5F",E50="  6F",E50="  7F",E50="  8F",E50="  9F",E50=" 10F"),AA49,"")</f>
        <v/>
      </c>
      <c r="CS50" s="631">
        <f>IF(E50="",0,IF(OR(LEFT(E50,2)=" B",LEFT(E50,2)="PH"),0,IF(OR(VALUE(LEFT(E50,3))&lt;4,VALUE(LEFT(E50,3))&gt;10),0,IF(AND(BI50="無窓",BO50="無窓"),3,IF(BI50="無窓",1,IF(BO50="無窓",2,0))))))</f>
        <v>0</v>
      </c>
      <c r="CT50" s="70" t="str">
        <f>IF(OR(E50="",LEFT(E50,2)=" B",LEFT(E50,1)="P"),"",IF(AND(VALUE(LEFT(E50,3))&gt;=4,VALUE(LEFT(E50,3))&lt;11),BV50,""))</f>
        <v/>
      </c>
      <c r="CU50" s="69">
        <f>IF(OR(LEFT(E50,2)=" B",LEFT(E50,2)="PH",E50=""),"",IF(VALUE(LEFT(E50,3))&gt;10,AA49,""))</f>
        <v>1152</v>
      </c>
      <c r="CV50" s="637">
        <f>IF(E50="",0,IF(OR(LEFT(E50,2)=" B",LEFT(E50,2)="PH"),0,IF(AND(BI50="無窓",BO50="無窓"),3,IF(BI50="無窓",1,IF(BO50="無窓",2,0)))))</f>
        <v>3</v>
      </c>
      <c r="CW50" s="67" t="str">
        <f>IF(OR(E50="",LEFT(E50,2)=" B",LEFT(E50,1)="P"),"",IF(VALUE(LEFT(E50,3))&gt;10,BV50,""))</f>
        <v>(3) イ</v>
      </c>
      <c r="CX50" s="70" t="str">
        <f>IF(LEFT(E50,2)="PH",AA49,"")</f>
        <v/>
      </c>
      <c r="CY50" s="68" t="str">
        <f>IF(OR(BV50="(2) ロ",BV50="( 4 )",BV50="(5) イ"),1,"")</f>
        <v/>
      </c>
      <c r="CZ50" s="9"/>
      <c r="DA50" s="33"/>
      <c r="DB50" s="33"/>
      <c r="DC50" s="24" t="s">
        <v>1041</v>
      </c>
      <c r="DD50" s="397" t="s">
        <v>1042</v>
      </c>
      <c r="DE50" s="25"/>
      <c r="DF50" s="26">
        <v>80</v>
      </c>
      <c r="DG50" s="26">
        <v>500</v>
      </c>
      <c r="DH50" s="27">
        <f t="shared" si="0"/>
        <v>20</v>
      </c>
      <c r="DI50" s="28">
        <v>20</v>
      </c>
      <c r="DJ50" s="28" t="s">
        <v>31</v>
      </c>
      <c r="DK50" s="28" t="s">
        <v>75</v>
      </c>
      <c r="DL50" s="29">
        <v>400</v>
      </c>
      <c r="DM50" s="30" t="s">
        <v>173</v>
      </c>
      <c r="DN50" s="30">
        <v>58</v>
      </c>
      <c r="DO50" s="30">
        <v>70</v>
      </c>
      <c r="DP50" s="30">
        <v>100</v>
      </c>
      <c r="DQ50" s="30">
        <v>50</v>
      </c>
      <c r="DR50" s="30" t="s">
        <v>174</v>
      </c>
      <c r="DS50" s="30">
        <v>58</v>
      </c>
      <c r="DT50" s="30">
        <v>70</v>
      </c>
      <c r="DU50" s="30">
        <v>100</v>
      </c>
      <c r="DV50" s="30">
        <v>200</v>
      </c>
      <c r="DW50" s="30" t="s">
        <v>34</v>
      </c>
      <c r="DX50" s="30">
        <v>59</v>
      </c>
      <c r="DY50" s="30">
        <v>70</v>
      </c>
      <c r="DZ50" s="30">
        <v>70</v>
      </c>
      <c r="EA50" s="30">
        <v>150</v>
      </c>
      <c r="EB50" s="30" t="s">
        <v>35</v>
      </c>
      <c r="EC50" s="30">
        <v>66</v>
      </c>
      <c r="ED50" s="30">
        <v>79</v>
      </c>
      <c r="EE50" s="30">
        <v>70</v>
      </c>
      <c r="EF50" s="30">
        <v>50</v>
      </c>
      <c r="EG50" s="31" t="s">
        <v>36</v>
      </c>
      <c r="EH50" s="31">
        <v>58</v>
      </c>
      <c r="EI50" s="31">
        <v>70</v>
      </c>
      <c r="EJ50" s="31">
        <v>100</v>
      </c>
      <c r="EK50" s="31">
        <v>50</v>
      </c>
      <c r="EL50" s="31" t="s">
        <v>36</v>
      </c>
      <c r="EM50" s="31">
        <v>58</v>
      </c>
      <c r="EN50" s="31">
        <v>70</v>
      </c>
      <c r="EO50" s="31">
        <v>100</v>
      </c>
      <c r="EP50" s="31">
        <v>50</v>
      </c>
      <c r="EQ50" s="31" t="s">
        <v>36</v>
      </c>
      <c r="ER50" s="31">
        <v>58</v>
      </c>
      <c r="ES50" s="31">
        <v>70</v>
      </c>
      <c r="ET50" s="31">
        <v>70</v>
      </c>
      <c r="EU50" s="31">
        <v>150</v>
      </c>
      <c r="EV50" s="31" t="s">
        <v>37</v>
      </c>
      <c r="EW50" s="31">
        <v>66</v>
      </c>
      <c r="EX50" s="31">
        <v>79</v>
      </c>
      <c r="EY50" s="31">
        <v>70</v>
      </c>
      <c r="EZ50" s="31">
        <v>50</v>
      </c>
      <c r="FA50" s="30">
        <v>100</v>
      </c>
      <c r="FB50" s="30">
        <v>150</v>
      </c>
      <c r="FC50" s="32" t="s">
        <v>1041</v>
      </c>
      <c r="FD50" s="402"/>
      <c r="FE50" s="402"/>
      <c r="FF50" s="30"/>
      <c r="FG50" s="30"/>
      <c r="FH50" s="13"/>
      <c r="FI50" s="13"/>
      <c r="FJ50" s="13"/>
      <c r="FK50" s="1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row>
    <row r="51" spans="1:756" ht="0.75" customHeight="1">
      <c r="A51" s="61"/>
      <c r="B51" s="62"/>
      <c r="C51" s="594"/>
      <c r="D51" s="602"/>
      <c r="E51" s="1754"/>
      <c r="F51" s="1755"/>
      <c r="G51" s="1755"/>
      <c r="H51" s="1756"/>
      <c r="I51" s="602"/>
      <c r="J51" s="602"/>
      <c r="K51" s="602"/>
      <c r="L51" s="1808"/>
      <c r="M51" s="1808"/>
      <c r="N51" s="1808"/>
      <c r="O51" s="794"/>
      <c r="P51" s="795"/>
      <c r="Q51" s="795"/>
      <c r="R51" s="796"/>
      <c r="S51" s="797"/>
      <c r="T51" s="798"/>
      <c r="U51" s="798"/>
      <c r="V51" s="799"/>
      <c r="W51" s="800"/>
      <c r="X51" s="801"/>
      <c r="Y51" s="801"/>
      <c r="Z51" s="802"/>
      <c r="AA51" s="1760">
        <f>IF(E50="","",O123)</f>
        <v>140</v>
      </c>
      <c r="AB51" s="1760"/>
      <c r="AC51" s="1760"/>
      <c r="AD51" s="1760"/>
      <c r="AE51" s="1760"/>
      <c r="AF51" s="1761"/>
      <c r="AG51" s="783"/>
      <c r="AH51" s="784"/>
      <c r="AI51" s="784"/>
      <c r="AJ51" s="784"/>
      <c r="AK51" s="784"/>
      <c r="AL51" s="784"/>
      <c r="AM51" s="803"/>
      <c r="AN51" s="803"/>
      <c r="AO51" s="803"/>
      <c r="AP51" s="803"/>
      <c r="AQ51" s="1757"/>
      <c r="AR51" s="1758"/>
      <c r="AS51" s="1758"/>
      <c r="AT51" s="1758"/>
      <c r="AU51" s="1758"/>
      <c r="AV51" s="1759"/>
      <c r="AW51" s="784"/>
      <c r="AX51" s="784"/>
      <c r="AY51" s="784"/>
      <c r="AZ51" s="803"/>
      <c r="BA51" s="803"/>
      <c r="BB51" s="803"/>
      <c r="BC51" s="784"/>
      <c r="BD51" s="784"/>
      <c r="BE51" s="784"/>
      <c r="BF51" s="803"/>
      <c r="BG51" s="803"/>
      <c r="BH51" s="803"/>
      <c r="BI51" s="599"/>
      <c r="BJ51" s="599"/>
      <c r="BK51" s="599"/>
      <c r="BL51" s="810"/>
      <c r="BM51" s="810"/>
      <c r="BN51" s="810"/>
      <c r="BO51" s="599"/>
      <c r="BP51" s="599"/>
      <c r="BQ51" s="599"/>
      <c r="BR51" s="810"/>
      <c r="BS51" s="810"/>
      <c r="BT51" s="810"/>
      <c r="BU51" s="599"/>
      <c r="BV51" s="811"/>
      <c r="BW51" s="812"/>
      <c r="BX51" s="812"/>
      <c r="BY51" s="813"/>
      <c r="BZ51" s="599"/>
      <c r="CA51" s="600"/>
      <c r="CB51" s="63"/>
      <c r="CC51" s="69"/>
      <c r="CD51" s="67"/>
      <c r="CE51" s="67"/>
      <c r="CF51" s="70"/>
      <c r="CG51" s="69"/>
      <c r="CH51" s="70"/>
      <c r="CI51" s="69"/>
      <c r="CJ51" s="67"/>
      <c r="CK51" s="70"/>
      <c r="CL51" s="69"/>
      <c r="CM51" s="631"/>
      <c r="CN51" s="70"/>
      <c r="CO51" s="69"/>
      <c r="CP51" s="631"/>
      <c r="CQ51" s="70"/>
      <c r="CR51" s="634"/>
      <c r="CS51" s="67"/>
      <c r="CT51" s="70"/>
      <c r="CU51" s="69"/>
      <c r="CV51" s="637"/>
      <c r="CW51" s="67"/>
      <c r="CX51" s="70"/>
      <c r="CY51" s="71"/>
      <c r="CZ51" s="9"/>
      <c r="DA51" s="33"/>
      <c r="DB51" s="33"/>
      <c r="DC51" s="400"/>
      <c r="DD51" s="401"/>
      <c r="DE51" s="587"/>
      <c r="DF51" s="588"/>
      <c r="DG51" s="588"/>
      <c r="DH51" s="589"/>
      <c r="DI51" s="590"/>
      <c r="DJ51" s="590"/>
      <c r="DK51" s="590"/>
      <c r="DL51" s="591"/>
      <c r="DM51" s="592"/>
      <c r="DN51" s="592"/>
      <c r="DO51" s="592"/>
      <c r="DP51" s="592"/>
      <c r="DQ51" s="592"/>
      <c r="DR51" s="592"/>
      <c r="DS51" s="592"/>
      <c r="DT51" s="592"/>
      <c r="DU51" s="592"/>
      <c r="DV51" s="592"/>
      <c r="DW51" s="592"/>
      <c r="DX51" s="592"/>
      <c r="DY51" s="592"/>
      <c r="DZ51" s="592"/>
      <c r="EA51" s="592"/>
      <c r="EB51" s="592"/>
      <c r="EC51" s="592"/>
      <c r="ED51" s="592"/>
      <c r="EE51" s="592"/>
      <c r="EF51" s="592"/>
      <c r="EG51" s="593"/>
      <c r="EH51" s="593"/>
      <c r="EI51" s="593"/>
      <c r="EJ51" s="593"/>
      <c r="EK51" s="593"/>
      <c r="EL51" s="593"/>
      <c r="EM51" s="593"/>
      <c r="EN51" s="593"/>
      <c r="EO51" s="593"/>
      <c r="EP51" s="593"/>
      <c r="EQ51" s="593"/>
      <c r="ER51" s="593"/>
      <c r="ES51" s="593"/>
      <c r="ET51" s="593"/>
      <c r="EU51" s="593"/>
      <c r="EV51" s="593"/>
      <c r="EW51" s="593"/>
      <c r="EX51" s="593"/>
      <c r="EY51" s="593"/>
      <c r="EZ51" s="593"/>
      <c r="FA51" s="592"/>
      <c r="FB51" s="592"/>
      <c r="FC51" s="402"/>
      <c r="FD51" s="402"/>
      <c r="FE51" s="402"/>
      <c r="FF51" s="592"/>
      <c r="FG51" s="592"/>
      <c r="FH51" s="13"/>
      <c r="FI51" s="13"/>
      <c r="FJ51" s="13"/>
      <c r="FK51" s="1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row>
    <row r="52" spans="1:756" ht="12" customHeight="1">
      <c r="A52" s="61">
        <f>IF(OR(E52="",LEFT(E52,2)=" B",E52="  RF",LEFT(E52,1)="P"),0,C52)</f>
        <v>0</v>
      </c>
      <c r="B52" s="62">
        <f>IF(AND(AA51="",E52=""),0,IF(LEFT(E52,2)="PH",0,1))</f>
        <v>0</v>
      </c>
      <c r="C52" s="1773">
        <f>IF(AA51="","",C50+1)</f>
        <v>15</v>
      </c>
      <c r="D52" s="1774"/>
      <c r="E52" s="1802" t="s">
        <v>2246</v>
      </c>
      <c r="F52" s="1803"/>
      <c r="G52" s="1803"/>
      <c r="H52" s="1804"/>
      <c r="I52" s="1778" t="str">
        <f>IF(I123=0,"",I123)</f>
        <v>A</v>
      </c>
      <c r="J52" s="1779"/>
      <c r="K52" s="1780"/>
      <c r="L52" s="1808"/>
      <c r="M52" s="1808"/>
      <c r="N52" s="1808"/>
      <c r="O52" s="1805">
        <v>4</v>
      </c>
      <c r="P52" s="1806"/>
      <c r="Q52" s="1806"/>
      <c r="R52" s="1807"/>
      <c r="S52" s="1784" t="s">
        <v>2251</v>
      </c>
      <c r="T52" s="1785"/>
      <c r="U52" s="1785"/>
      <c r="V52" s="1786"/>
      <c r="W52" s="1805"/>
      <c r="X52" s="1806"/>
      <c r="Y52" s="1806"/>
      <c r="Z52" s="1807"/>
      <c r="AA52" s="1762"/>
      <c r="AB52" s="1762"/>
      <c r="AC52" s="1762"/>
      <c r="AD52" s="1762"/>
      <c r="AE52" s="1762"/>
      <c r="AF52" s="1763"/>
      <c r="AG52" s="1770" t="str">
        <f>IF(OR($U$11="No",C52=""),"",IF(AM52&lt;&gt;"",AM52,IF(LEFT(E52,2)="PH","",IF(BV52&lt;&gt;"",VLOOKUP(BV52,令別表,4,FALSE)*AA51/100,IF(ISNA(VLOOKUP($AS$16,令別表,4,FALSE)),"",IF(VLOOKUP($AS$16,令別表,4,FALSE)*AA51/100=0,"",VLOOKUP($AS$16,令別表,4,FALSE)*AA51/100))))))</f>
        <v/>
      </c>
      <c r="AH52" s="1771"/>
      <c r="AI52" s="1771"/>
      <c r="AJ52" s="1771"/>
      <c r="AK52" s="1771"/>
      <c r="AL52" s="1772"/>
      <c r="AM52" s="1767"/>
      <c r="AN52" s="1768"/>
      <c r="AO52" s="1768"/>
      <c r="AP52" s="1769"/>
      <c r="AQ52" s="1764">
        <f t="shared" si="1"/>
        <v>140</v>
      </c>
      <c r="AR52" s="1765"/>
      <c r="AS52" s="1765"/>
      <c r="AT52" s="1765"/>
      <c r="AU52" s="1765"/>
      <c r="AV52" s="1766"/>
      <c r="AW52" s="1790" t="str">
        <f>IF(C52="","",IF(AZ52&lt;&gt;"",AZ52,IF(LEFT(E52,2)="PH","",IF(BV52&lt;&gt;"",1+INT(AG52/VLOOKUP(BV52,令別表,5,FALSE)),IF(ISNA(VLOOKUP($AS$16,令別表,5,FALSE)),"",IF(1+INT(AG52/VLOOKUP($AS$16,令別表,5,FALSE))="","",1+INT(AG52/VLOOKUP($AS$16,令別表,5,FALSE))))))))</f>
        <v/>
      </c>
      <c r="AX52" s="1791"/>
      <c r="AY52" s="1792"/>
      <c r="AZ52" s="2183"/>
      <c r="BA52" s="2184"/>
      <c r="BB52" s="2185"/>
      <c r="BC52" s="1790">
        <f>IF(E52="","",IF(BF52&lt;&gt;"",BF52,IF(BV52&lt;&gt;"",1+INT(AQ52/VLOOKUP(BV52,令別表,7,FALSE)),IF(ISNA(VLOOKUP($AS$16,令別表,7,FALSE)),"",IF(1+INT(AQ52/VLOOKUP($AS$16,令別表,7,FALSE))="","",1+INT(AQ52/VLOOKUP($AS$16,令別表,7,FALSE)))))))</f>
        <v>8</v>
      </c>
      <c r="BD52" s="1791"/>
      <c r="BE52" s="1791"/>
      <c r="BF52" s="2183"/>
      <c r="BG52" s="2184"/>
      <c r="BH52" s="2185"/>
      <c r="BI52" s="2186" t="str">
        <f>IF(OR(AA51="",E52=""),"",IF(LEFT(E52,2)=" B","無窓",IF(BL52&lt;&gt;"",BL52,IF(BV52&lt;&gt;"",VLOOKUP(BV52,令別表,8,FALSE),IF(OR(LEFT(E52,2)=" B",LEFT(E52,2)="PH"),"無窓",IF(LEFT(E52,2)&lt;&gt;"",VLOOKUP($AS$16,令別表,8,FALSE)))))))</f>
        <v>有窓</v>
      </c>
      <c r="BJ52" s="2187"/>
      <c r="BK52" s="2187"/>
      <c r="BL52" s="2164"/>
      <c r="BM52" s="2165"/>
      <c r="BN52" s="2166"/>
      <c r="BO52" s="2161" t="str">
        <f>IF(OR(E52="",AA51=""),"",IF(LEFT(E52,2)=" B","無窓",IF(BR52&lt;&gt;"",BR52,IF(BV52&lt;&gt;"",VLOOKUP(BV52,令別表,8,FALSE),IF(OR(LEFT(E52,2)=" B",LEFT(E52,2)="PH"),"無窓",IF(LEFT(E52,2)&lt;&gt;"",VLOOKUP($AS$16,令別表,9,FALSE)))))))</f>
        <v>有窓</v>
      </c>
      <c r="BP52" s="2162"/>
      <c r="BQ52" s="2163"/>
      <c r="BR52" s="2164"/>
      <c r="BS52" s="2165"/>
      <c r="BT52" s="2166"/>
      <c r="BU52" s="819" t="str">
        <f>IF(AND(LEFT($AS$16,4)="(16)",E52&lt;&gt;"",BV52=""),"■","")</f>
        <v/>
      </c>
      <c r="BV52" s="2201" t="s">
        <v>1982</v>
      </c>
      <c r="BW52" s="2202"/>
      <c r="BX52" s="2202"/>
      <c r="BY52" s="2203"/>
      <c r="BZ52" s="1810" t="str">
        <f>IF(E52="","",IF(AND(BU52="",BV52="",CB52=1),"済",IF(AND(BU52="",BV52&lt;&gt;"",CB52=1),"済","未")))</f>
        <v>済</v>
      </c>
      <c r="CA52" s="1811"/>
      <c r="CB52" s="659">
        <f>IF(AND(LEFT(E52,4)="  1F",O52&lt;&gt;"",S52&lt;&gt;"",W52&lt;&gt;"",AA51&lt;&gt;""),1,IF(AND(LEFT(E52,4)&lt;&gt;"  1F",O52&lt;&gt;"",S52&lt;&gt;"",AA51&lt;&gt;""),1,0))</f>
        <v>1</v>
      </c>
      <c r="CC52" s="69" t="str">
        <f>IF(C52="","",IF(LEFT(E52,2)=" B",O52,""))</f>
        <v/>
      </c>
      <c r="CD52" s="67" t="str">
        <f>IF(C52="","",IF(E52="  1F",O52,""))</f>
        <v/>
      </c>
      <c r="CE52" s="67" t="str">
        <f>IF(OR(C52="",E52="  1F"),"",IF(AND(LEFT(E52,2)&lt;&gt;" B",LEFT(E52,1)&lt;&gt;"P"),O52,""))</f>
        <v/>
      </c>
      <c r="CF52" s="70">
        <f>IF(C52="","",IF(LEFT(E52,1)="P",O52,""))</f>
        <v>4</v>
      </c>
      <c r="CG52" s="69" t="str">
        <f>IF(LEFT(E52,2)=" B",E52,"")</f>
        <v/>
      </c>
      <c r="CH52" s="70" t="str">
        <f>IF(BV52="","",IF(LEFT(E52,2)=" B",BV52,""))</f>
        <v/>
      </c>
      <c r="CI52" s="69" t="str">
        <f>IF(E52="  1F",AA51,"")</f>
        <v/>
      </c>
      <c r="CJ52" s="631">
        <f>IF(OR(LEFT(E52,2)=" B",LEFT(E52,2)="PH"),0,IF(CI52="",0,IF(AND(BI52="無窓",BO52="無窓"),3,IF(BI52="無窓",1,IF(BO52="無窓",2,0)))))</f>
        <v>0</v>
      </c>
      <c r="CK52" s="70" t="str">
        <f>IF(BV52="","",IF(E52="  1F",BV52,""))</f>
        <v/>
      </c>
      <c r="CL52" s="69" t="str">
        <f>IF(E52="  2F",E52,"")</f>
        <v/>
      </c>
      <c r="CM52" s="631">
        <f>IF(OR(LEFT(E52,2)=" B",LEFT(E52,2)="PH"),0,IF(CL52="",0,IF(AND(BI52="無窓",BO52="無窓"),3,IF(BI52="無窓",1,IF(BO52="無窓",2,0)))))</f>
        <v>0</v>
      </c>
      <c r="CN52" s="70" t="str">
        <f>IF(BV52="","",IF(E52="  2F",BV52,""))</f>
        <v/>
      </c>
      <c r="CO52" s="69" t="str">
        <f>IF(E52="  3F",AA51,"")</f>
        <v/>
      </c>
      <c r="CP52" s="631">
        <f>IF(OR(LEFT(E52,2)=" B",LEFT(E52,2)="PH"),0,IF(CO52="",0,IF(AND(BI52="無窓",BO52="無窓"),3,IF(BI52="無窓",1,IF(BO52="無窓",2,0)))))</f>
        <v>0</v>
      </c>
      <c r="CQ52" s="70" t="str">
        <f>IF(BV52="","",IF(E52="  3F",BV52,""))</f>
        <v/>
      </c>
      <c r="CR52" s="634" t="str">
        <f>IF(OR(E52="  4F",E52="  5F",E52="  6F",E52="  7F",E52="  8F",E52="  9F",E52=" 10F"),AA51,"")</f>
        <v/>
      </c>
      <c r="CS52" s="631">
        <f>IF(E52="",0,IF(OR(LEFT(E52,2)=" B",LEFT(E52,2)="PH"),0,IF(OR(VALUE(LEFT(E52,3))&lt;4,VALUE(LEFT(E52,3))&gt;10),0,IF(AND(BI52="無窓",BO52="無窓"),3,IF(BI52="無窓",1,IF(BO52="無窓",2,0))))))</f>
        <v>0</v>
      </c>
      <c r="CT52" s="70" t="str">
        <f>IF(OR(E52="",LEFT(E52,2)=" B",LEFT(E52,1)="P"),"",IF(AND(VALUE(LEFT(E52,3))&gt;=4,VALUE(LEFT(E52,3))&lt;11),BV52,""))</f>
        <v/>
      </c>
      <c r="CU52" s="69" t="str">
        <f>IF(OR(LEFT(E52,2)=" B",LEFT(E52,2)="PH",E52=""),"",IF(VALUE(LEFT(E52,3))&gt;10,AA51,""))</f>
        <v/>
      </c>
      <c r="CV52" s="637">
        <f>IF(E52="",0,IF(OR(LEFT(E52,2)=" B",LEFT(E52,2)="PH"),0,IF(AND(BI52="無窓",BO52="無窓"),3,IF(BI52="無窓",1,IF(BO52="無窓",2,0)))))</f>
        <v>0</v>
      </c>
      <c r="CW52" s="67" t="str">
        <f>IF(OR(E52="",LEFT(E52,2)=" B",LEFT(E52,1)="P"),"",IF(VALUE(LEFT(E52,3))&gt;10,BV52,""))</f>
        <v/>
      </c>
      <c r="CX52" s="70">
        <f>IF(LEFT(E52,2)="PH",AA51,"")</f>
        <v>140</v>
      </c>
      <c r="CY52" s="68" t="str">
        <f>IF(OR(BV52="(2) ロ",BV52="( 4 )",BV52="(5) イ"),1,"")</f>
        <v/>
      </c>
      <c r="CZ52" s="9"/>
      <c r="DA52" s="33"/>
      <c r="DB52" s="33"/>
      <c r="DC52" s="52" t="s">
        <v>178</v>
      </c>
      <c r="DD52" s="53" t="s">
        <v>179</v>
      </c>
      <c r="DE52" s="72"/>
      <c r="DF52" s="26">
        <v>90</v>
      </c>
      <c r="DG52" s="26">
        <v>500</v>
      </c>
      <c r="DH52" s="27">
        <f t="shared" si="0"/>
        <v>10</v>
      </c>
      <c r="DI52" s="28">
        <v>15</v>
      </c>
      <c r="DJ52" s="28" t="s">
        <v>31</v>
      </c>
      <c r="DK52" s="28" t="s">
        <v>75</v>
      </c>
      <c r="DL52" s="29">
        <v>500</v>
      </c>
      <c r="DM52" s="30" t="s">
        <v>173</v>
      </c>
      <c r="DN52" s="30">
        <v>58</v>
      </c>
      <c r="DO52" s="30">
        <v>70</v>
      </c>
      <c r="DP52" s="30">
        <v>50</v>
      </c>
      <c r="DQ52" s="30">
        <v>50</v>
      </c>
      <c r="DR52" s="30" t="s">
        <v>174</v>
      </c>
      <c r="DS52" s="30">
        <v>58</v>
      </c>
      <c r="DT52" s="30">
        <v>70</v>
      </c>
      <c r="DU52" s="30">
        <v>50</v>
      </c>
      <c r="DV52" s="30">
        <v>50</v>
      </c>
      <c r="DW52" s="30" t="s">
        <v>34</v>
      </c>
      <c r="DX52" s="30">
        <v>59</v>
      </c>
      <c r="DY52" s="30">
        <v>70</v>
      </c>
      <c r="DZ52" s="30">
        <v>70</v>
      </c>
      <c r="EA52" s="30">
        <v>150</v>
      </c>
      <c r="EB52" s="30" t="s">
        <v>35</v>
      </c>
      <c r="EC52" s="30">
        <v>66</v>
      </c>
      <c r="ED52" s="30">
        <v>79</v>
      </c>
      <c r="EE52" s="30">
        <v>70</v>
      </c>
      <c r="EF52" s="30">
        <v>50</v>
      </c>
      <c r="EG52" s="31" t="s">
        <v>36</v>
      </c>
      <c r="EH52" s="31">
        <v>58</v>
      </c>
      <c r="EI52" s="31">
        <v>70</v>
      </c>
      <c r="EJ52" s="31">
        <v>50</v>
      </c>
      <c r="EK52" s="31">
        <v>50</v>
      </c>
      <c r="EL52" s="31" t="s">
        <v>36</v>
      </c>
      <c r="EM52" s="31">
        <v>58</v>
      </c>
      <c r="EN52" s="31">
        <v>70</v>
      </c>
      <c r="EO52" s="31">
        <v>50</v>
      </c>
      <c r="EP52" s="31">
        <v>50</v>
      </c>
      <c r="EQ52" s="31" t="s">
        <v>36</v>
      </c>
      <c r="ER52" s="31">
        <v>58</v>
      </c>
      <c r="ES52" s="31">
        <v>70</v>
      </c>
      <c r="ET52" s="31">
        <v>70</v>
      </c>
      <c r="EU52" s="31">
        <v>150</v>
      </c>
      <c r="EV52" s="31" t="s">
        <v>37</v>
      </c>
      <c r="EW52" s="31">
        <v>66</v>
      </c>
      <c r="EX52" s="31">
        <v>79</v>
      </c>
      <c r="EY52" s="31">
        <v>70</v>
      </c>
      <c r="EZ52" s="31">
        <v>50</v>
      </c>
      <c r="FA52" s="30">
        <v>50</v>
      </c>
      <c r="FB52" s="30">
        <v>100</v>
      </c>
      <c r="FC52" s="54" t="s">
        <v>178</v>
      </c>
      <c r="FD52" s="623"/>
      <c r="FE52" s="623"/>
      <c r="FF52" s="30"/>
      <c r="FG52" s="30"/>
      <c r="FH52" s="13"/>
      <c r="FI52" s="13"/>
      <c r="FJ52" s="13"/>
      <c r="FK52" s="1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row>
    <row r="53" spans="1:756" ht="0.75" customHeight="1">
      <c r="A53" s="61"/>
      <c r="B53" s="62"/>
      <c r="C53" s="594"/>
      <c r="D53" s="602"/>
      <c r="E53" s="1754"/>
      <c r="F53" s="1755"/>
      <c r="G53" s="1755"/>
      <c r="H53" s="1756"/>
      <c r="I53" s="602"/>
      <c r="J53" s="602"/>
      <c r="K53" s="602"/>
      <c r="L53" s="1808"/>
      <c r="M53" s="1808"/>
      <c r="N53" s="1808"/>
      <c r="O53" s="794"/>
      <c r="P53" s="795"/>
      <c r="Q53" s="795"/>
      <c r="R53" s="796"/>
      <c r="S53" s="797"/>
      <c r="T53" s="798"/>
      <c r="U53" s="798"/>
      <c r="V53" s="799"/>
      <c r="W53" s="800"/>
      <c r="X53" s="801"/>
      <c r="Y53" s="801"/>
      <c r="Z53" s="802"/>
      <c r="AA53" s="1760">
        <f>IF(E52="","",O124)</f>
        <v>140</v>
      </c>
      <c r="AB53" s="1760"/>
      <c r="AC53" s="1760"/>
      <c r="AD53" s="1760"/>
      <c r="AE53" s="1760"/>
      <c r="AF53" s="1761"/>
      <c r="AG53" s="783"/>
      <c r="AH53" s="784"/>
      <c r="AI53" s="784"/>
      <c r="AJ53" s="784"/>
      <c r="AK53" s="784"/>
      <c r="AL53" s="784"/>
      <c r="AM53" s="803"/>
      <c r="AN53" s="803"/>
      <c r="AO53" s="803"/>
      <c r="AP53" s="803"/>
      <c r="AQ53" s="1757"/>
      <c r="AR53" s="1758"/>
      <c r="AS53" s="1758"/>
      <c r="AT53" s="1758"/>
      <c r="AU53" s="1758"/>
      <c r="AV53" s="1759"/>
      <c r="AW53" s="784"/>
      <c r="AX53" s="784"/>
      <c r="AY53" s="784"/>
      <c r="AZ53" s="803"/>
      <c r="BA53" s="803"/>
      <c r="BB53" s="803"/>
      <c r="BC53" s="784"/>
      <c r="BD53" s="784"/>
      <c r="BE53" s="784"/>
      <c r="BF53" s="803"/>
      <c r="BG53" s="803"/>
      <c r="BH53" s="803"/>
      <c r="BI53" s="599"/>
      <c r="BJ53" s="599"/>
      <c r="BK53" s="599"/>
      <c r="BL53" s="810"/>
      <c r="BM53" s="810"/>
      <c r="BN53" s="810"/>
      <c r="BO53" s="599"/>
      <c r="BP53" s="599"/>
      <c r="BQ53" s="599"/>
      <c r="BR53" s="810"/>
      <c r="BS53" s="810"/>
      <c r="BT53" s="810"/>
      <c r="BU53" s="599"/>
      <c r="BV53" s="811"/>
      <c r="BW53" s="812"/>
      <c r="BX53" s="812"/>
      <c r="BY53" s="813"/>
      <c r="BZ53" s="599"/>
      <c r="CA53" s="600"/>
      <c r="CB53" s="63"/>
      <c r="CC53" s="69"/>
      <c r="CD53" s="67"/>
      <c r="CE53" s="67"/>
      <c r="CF53" s="70"/>
      <c r="CG53" s="69"/>
      <c r="CH53" s="70"/>
      <c r="CI53" s="69"/>
      <c r="CJ53" s="67"/>
      <c r="CK53" s="70"/>
      <c r="CL53" s="69"/>
      <c r="CM53" s="631"/>
      <c r="CN53" s="70"/>
      <c r="CO53" s="69"/>
      <c r="CP53" s="631"/>
      <c r="CQ53" s="70"/>
      <c r="CR53" s="634"/>
      <c r="CS53" s="67"/>
      <c r="CT53" s="70"/>
      <c r="CU53" s="69"/>
      <c r="CV53" s="637"/>
      <c r="CW53" s="67"/>
      <c r="CX53" s="70"/>
      <c r="CY53" s="71"/>
      <c r="CZ53" s="9"/>
      <c r="DA53" s="33"/>
      <c r="DB53" s="33"/>
      <c r="DC53" s="620"/>
      <c r="DD53" s="621"/>
      <c r="DE53" s="622"/>
      <c r="DF53" s="588"/>
      <c r="DG53" s="588"/>
      <c r="DH53" s="589"/>
      <c r="DI53" s="590"/>
      <c r="DJ53" s="590"/>
      <c r="DK53" s="590"/>
      <c r="DL53" s="591"/>
      <c r="DM53" s="592"/>
      <c r="DN53" s="592"/>
      <c r="DO53" s="592"/>
      <c r="DP53" s="592"/>
      <c r="DQ53" s="592"/>
      <c r="DR53" s="592"/>
      <c r="DS53" s="592"/>
      <c r="DT53" s="592"/>
      <c r="DU53" s="592"/>
      <c r="DV53" s="592"/>
      <c r="DW53" s="592"/>
      <c r="DX53" s="592"/>
      <c r="DY53" s="592"/>
      <c r="DZ53" s="592"/>
      <c r="EA53" s="592"/>
      <c r="EB53" s="592"/>
      <c r="EC53" s="592"/>
      <c r="ED53" s="592"/>
      <c r="EE53" s="592"/>
      <c r="EF53" s="592"/>
      <c r="EG53" s="593"/>
      <c r="EH53" s="593"/>
      <c r="EI53" s="593"/>
      <c r="EJ53" s="593"/>
      <c r="EK53" s="593"/>
      <c r="EL53" s="593"/>
      <c r="EM53" s="593"/>
      <c r="EN53" s="593"/>
      <c r="EO53" s="593"/>
      <c r="EP53" s="593"/>
      <c r="EQ53" s="593"/>
      <c r="ER53" s="593"/>
      <c r="ES53" s="593"/>
      <c r="ET53" s="593"/>
      <c r="EU53" s="593"/>
      <c r="EV53" s="593"/>
      <c r="EW53" s="593"/>
      <c r="EX53" s="593"/>
      <c r="EY53" s="593"/>
      <c r="EZ53" s="593"/>
      <c r="FA53" s="592"/>
      <c r="FB53" s="592"/>
      <c r="FC53" s="623"/>
      <c r="FD53" s="623"/>
      <c r="FE53" s="623"/>
      <c r="FF53" s="592"/>
      <c r="FG53" s="592"/>
      <c r="FH53" s="13"/>
      <c r="FI53" s="13"/>
      <c r="FJ53" s="13"/>
      <c r="FK53" s="1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row>
    <row r="54" spans="1:756" ht="12" customHeight="1">
      <c r="A54" s="61">
        <f>IF(OR(E54="",LEFT(E54,2)=" B",E54="  RF",LEFT(E54,1)="P"),0,C54)</f>
        <v>0</v>
      </c>
      <c r="B54" s="62">
        <f>IF(AND(AA53="",E54=""),0,IF(LEFT(E54,2)="PH",0,1))</f>
        <v>0</v>
      </c>
      <c r="C54" s="1773">
        <f>IF(AA53="","",C52+1)</f>
        <v>16</v>
      </c>
      <c r="D54" s="1774"/>
      <c r="E54" s="1802" t="s">
        <v>2247</v>
      </c>
      <c r="F54" s="1803"/>
      <c r="G54" s="1803"/>
      <c r="H54" s="1804"/>
      <c r="I54" s="1778" t="str">
        <f>IF(I124=0,"",I124)</f>
        <v>A</v>
      </c>
      <c r="J54" s="1779"/>
      <c r="K54" s="1780"/>
      <c r="L54" s="1808"/>
      <c r="M54" s="1808"/>
      <c r="N54" s="1808"/>
      <c r="O54" s="1805">
        <v>4</v>
      </c>
      <c r="P54" s="1806"/>
      <c r="Q54" s="1806"/>
      <c r="R54" s="1807"/>
      <c r="S54" s="1784" t="s">
        <v>2251</v>
      </c>
      <c r="T54" s="1785"/>
      <c r="U54" s="1785"/>
      <c r="V54" s="1786"/>
      <c r="W54" s="1805"/>
      <c r="X54" s="1806"/>
      <c r="Y54" s="1806"/>
      <c r="Z54" s="1807"/>
      <c r="AA54" s="1762"/>
      <c r="AB54" s="1762"/>
      <c r="AC54" s="1762"/>
      <c r="AD54" s="1762"/>
      <c r="AE54" s="1762"/>
      <c r="AF54" s="1763"/>
      <c r="AG54" s="1770" t="str">
        <f>IF(OR($U$11="No",C54=""),"",IF(AM54&lt;&gt;"",AM54,IF(LEFT(E54,2)="PH","",IF(BV54&lt;&gt;"",VLOOKUP(BV54,令別表,4,FALSE)*AA53/100,IF(ISNA(VLOOKUP($AS$16,令別表,4,FALSE)),"",IF(VLOOKUP($AS$16,令別表,4,FALSE)*AA53/100=0,"",VLOOKUP($AS$16,令別表,4,FALSE)*AA53/100))))))</f>
        <v/>
      </c>
      <c r="AH54" s="1771"/>
      <c r="AI54" s="1771"/>
      <c r="AJ54" s="1771"/>
      <c r="AK54" s="1771"/>
      <c r="AL54" s="1772"/>
      <c r="AM54" s="1767"/>
      <c r="AN54" s="1768"/>
      <c r="AO54" s="1768"/>
      <c r="AP54" s="1769"/>
      <c r="AQ54" s="1764">
        <f t="shared" si="1"/>
        <v>140</v>
      </c>
      <c r="AR54" s="1765"/>
      <c r="AS54" s="1765"/>
      <c r="AT54" s="1765"/>
      <c r="AU54" s="1765"/>
      <c r="AV54" s="1766"/>
      <c r="AW54" s="1790" t="str">
        <f>IF(C54="","",IF(AZ54&lt;&gt;"",AZ54,IF(LEFT(E54,2)="PH","",IF(BV54&lt;&gt;"",1+INT(AG54/VLOOKUP(BV54,令別表,5,FALSE)),IF(ISNA(VLOOKUP($AS$16,令別表,5,FALSE)),"",IF(1+INT(AG54/VLOOKUP($AS$16,令別表,5,FALSE))="","",1+INT(AG54/VLOOKUP($AS$16,令別表,5,FALSE))))))))</f>
        <v/>
      </c>
      <c r="AX54" s="1791"/>
      <c r="AY54" s="1792"/>
      <c r="AZ54" s="2183"/>
      <c r="BA54" s="2184"/>
      <c r="BB54" s="2185"/>
      <c r="BC54" s="1790">
        <f>IF(E54="","",IF(BF54&lt;&gt;"",BF54,IF(BV54&lt;&gt;"",1+INT(AQ54/VLOOKUP(BV54,令別表,7,FALSE)),IF(ISNA(VLOOKUP($AS$16,令別表,7,FALSE)),"",IF(1+INT(AQ54/VLOOKUP($AS$16,令別表,7,FALSE))="","",1+INT(AQ54/VLOOKUP($AS$16,令別表,7,FALSE)))))))</f>
        <v>8</v>
      </c>
      <c r="BD54" s="1791"/>
      <c r="BE54" s="1791"/>
      <c r="BF54" s="2183"/>
      <c r="BG54" s="2184"/>
      <c r="BH54" s="2185"/>
      <c r="BI54" s="2186" t="str">
        <f>IF(OR(AA53="",E54=""),"",IF(LEFT(E54,2)=" B","無窓",IF(BL54&lt;&gt;"",BL54,IF(BV54&lt;&gt;"",VLOOKUP(BV54,令別表,8,FALSE),IF(OR(LEFT(E54,2)=" B",LEFT(E54,2)="PH"),"無窓",IF(LEFT(E54,2)&lt;&gt;"",VLOOKUP($AS$16,令別表,8,FALSE)))))))</f>
        <v>有窓</v>
      </c>
      <c r="BJ54" s="2187"/>
      <c r="BK54" s="2187"/>
      <c r="BL54" s="2164"/>
      <c r="BM54" s="2165"/>
      <c r="BN54" s="2166"/>
      <c r="BO54" s="2161" t="str">
        <f>IF(OR(E54="",AA53=""),"",IF(LEFT(E54,2)=" B","無窓",IF(BR54&lt;&gt;"",BR54,IF(BV54&lt;&gt;"",VLOOKUP(BV54,令別表,8,FALSE),IF(OR(LEFT(E54,2)=" B",LEFT(E54,2)="PH"),"無窓",IF(LEFT(E54,2)&lt;&gt;"",VLOOKUP($AS$16,令別表,9,FALSE)))))))</f>
        <v>有窓</v>
      </c>
      <c r="BP54" s="2162"/>
      <c r="BQ54" s="2163"/>
      <c r="BR54" s="2164"/>
      <c r="BS54" s="2165"/>
      <c r="BT54" s="2166"/>
      <c r="BU54" s="819" t="str">
        <f>IF(AND(LEFT($AS$16,4)="(16)",E54&lt;&gt;"",BV54=""),"■","")</f>
        <v/>
      </c>
      <c r="BV54" s="2201" t="s">
        <v>1982</v>
      </c>
      <c r="BW54" s="2202"/>
      <c r="BX54" s="2202"/>
      <c r="BY54" s="2203"/>
      <c r="BZ54" s="1810" t="str">
        <f>IF(E54="","",IF(AND(BU54="",BV54="",CB54=1),"済",IF(AND(BU54="",BV54&lt;&gt;"",CB54=1),"済","未")))</f>
        <v>済</v>
      </c>
      <c r="CA54" s="1811"/>
      <c r="CB54" s="659">
        <f>IF(AND(LEFT(E54,4)="  1F",O54&lt;&gt;"",S54&lt;&gt;"",W54&lt;&gt;"",AA53&lt;&gt;""),1,IF(AND(LEFT(E54,4)&lt;&gt;"  1F",O54&lt;&gt;"",S54&lt;&gt;"",AA53&lt;&gt;""),1,0))</f>
        <v>1</v>
      </c>
      <c r="CC54" s="69" t="str">
        <f>IF(C54="","",IF(LEFT(E54,2)=" B",O54,""))</f>
        <v/>
      </c>
      <c r="CD54" s="67" t="str">
        <f>IF(C54="","",IF(E54="  1F",O54,""))</f>
        <v/>
      </c>
      <c r="CE54" s="67" t="str">
        <f>IF(OR(C54="",E54="  1F"),"",IF(AND(LEFT(E54,2)&lt;&gt;" B",LEFT(E54,1)&lt;&gt;"P"),O54,""))</f>
        <v/>
      </c>
      <c r="CF54" s="70">
        <f>IF(C54="","",IF(LEFT(E54,1)="P",O54,""))</f>
        <v>4</v>
      </c>
      <c r="CG54" s="69" t="str">
        <f>IF(LEFT(E54,2)=" B",E54,"")</f>
        <v/>
      </c>
      <c r="CH54" s="70" t="str">
        <f>IF(BV54="","",IF(LEFT(E54,2)=" B",BV54,""))</f>
        <v/>
      </c>
      <c r="CI54" s="69" t="str">
        <f>IF(E54="  1F",AA53,"")</f>
        <v/>
      </c>
      <c r="CJ54" s="631">
        <f>IF(OR(LEFT(E54,2)=" B",LEFT(E54,2)="PH"),0,IF(CI54="",0,IF(AND(BI54="無窓",BO54="無窓"),3,IF(BI54="無窓",1,IF(BO54="無窓",2,0)))))</f>
        <v>0</v>
      </c>
      <c r="CK54" s="70" t="str">
        <f>IF(BV54="","",IF(E54="  1F",BV54,""))</f>
        <v/>
      </c>
      <c r="CL54" s="69" t="str">
        <f>IF(E54="  2F",E54,"")</f>
        <v/>
      </c>
      <c r="CM54" s="631">
        <f>IF(OR(LEFT(E54,2)=" B",LEFT(E54,2)="PH"),0,IF(CL54="",0,IF(AND(BI54="無窓",BO54="無窓"),3,IF(BI54="無窓",1,IF(BO54="無窓",2,0)))))</f>
        <v>0</v>
      </c>
      <c r="CN54" s="70" t="str">
        <f>IF(BV54="","",IF(E54="  2F",BV54,""))</f>
        <v/>
      </c>
      <c r="CO54" s="69" t="str">
        <f>IF(E54="  3F",AA53,"")</f>
        <v/>
      </c>
      <c r="CP54" s="631">
        <f>IF(OR(LEFT(E54,2)=" B",LEFT(E54,2)="PH"),0,IF(CO54="",0,IF(AND(BI54="無窓",BO54="無窓"),3,IF(BI54="無窓",1,IF(BO54="無窓",2,0)))))</f>
        <v>0</v>
      </c>
      <c r="CQ54" s="70" t="str">
        <f>IF(BV54="","",IF(E54="  3F",BV54,""))</f>
        <v/>
      </c>
      <c r="CR54" s="634" t="str">
        <f>IF(OR(E54="  4F",E54="  5F",E54="  6F",E54="  7F",E54="  8F",E54="  9F",E54=" 10F"),AA53,"")</f>
        <v/>
      </c>
      <c r="CS54" s="631">
        <f>IF(E54="",0,IF(OR(LEFT(E54,2)=" B",LEFT(E54,2)="PH"),0,IF(OR(VALUE(LEFT(E54,3))&lt;4,VALUE(LEFT(E54,3))&gt;10),0,IF(AND(BI54="無窓",BO54="無窓"),3,IF(BI54="無窓",1,IF(BO54="無窓",2,0))))))</f>
        <v>0</v>
      </c>
      <c r="CT54" s="70" t="str">
        <f>IF(OR(E54="",LEFT(E54,2)=" B",LEFT(E54,1)="P"),"",IF(AND(VALUE(LEFT(E54,3))&gt;=4,VALUE(LEFT(E54,3))&lt;11),BV54,""))</f>
        <v/>
      </c>
      <c r="CU54" s="69" t="str">
        <f>IF(OR(LEFT(E54,2)=" B",LEFT(E54,2)="PH",E54=""),"",IF(VALUE(LEFT(E54,3))&gt;10,AA53,""))</f>
        <v/>
      </c>
      <c r="CV54" s="637">
        <f>IF(E54="",0,IF(OR(LEFT(E54,2)=" B",LEFT(E54,2)="PH"),0,IF(AND(BI54="無窓",BO54="無窓"),3,IF(BI54="無窓",1,IF(BO54="無窓",2,0)))))</f>
        <v>0</v>
      </c>
      <c r="CW54" s="67" t="str">
        <f>IF(OR(E54="",LEFT(E54,2)=" B",LEFT(E54,1)="P"),"",IF(VALUE(LEFT(E54,3))&gt;10,BV54,""))</f>
        <v/>
      </c>
      <c r="CX54" s="70">
        <f>IF(LEFT(E54,2)="PH",AA53,"")</f>
        <v>140</v>
      </c>
      <c r="CY54" s="68" t="str">
        <f>IF(OR(BV54="(2) ロ",BV54="( 4 )",BV54="(5) イ"),1,"")</f>
        <v/>
      </c>
      <c r="CZ54" s="9"/>
      <c r="DA54" s="33"/>
      <c r="DB54" s="33"/>
      <c r="DC54" s="52" t="s">
        <v>2071</v>
      </c>
      <c r="DD54" s="53" t="s">
        <v>181</v>
      </c>
      <c r="DE54" s="72"/>
      <c r="DF54" s="26">
        <v>80</v>
      </c>
      <c r="DG54" s="26">
        <v>75</v>
      </c>
      <c r="DH54" s="27">
        <f t="shared" si="0"/>
        <v>20</v>
      </c>
      <c r="DI54" s="28">
        <v>20</v>
      </c>
      <c r="DJ54" s="28" t="s">
        <v>75</v>
      </c>
      <c r="DK54" s="28" t="s">
        <v>75</v>
      </c>
      <c r="DL54" s="29">
        <v>5</v>
      </c>
      <c r="DM54" s="30" t="s">
        <v>136</v>
      </c>
      <c r="DN54" s="30">
        <v>54</v>
      </c>
      <c r="DO54" s="30">
        <v>70</v>
      </c>
      <c r="DP54" s="30">
        <v>90</v>
      </c>
      <c r="DQ54" s="30">
        <v>300</v>
      </c>
      <c r="DR54" s="30" t="s">
        <v>34</v>
      </c>
      <c r="DS54" s="30">
        <v>54</v>
      </c>
      <c r="DT54" s="30">
        <v>70</v>
      </c>
      <c r="DU54" s="30">
        <v>90</v>
      </c>
      <c r="DV54" s="30">
        <v>500</v>
      </c>
      <c r="DW54" s="30" t="s">
        <v>34</v>
      </c>
      <c r="DX54" s="30">
        <v>59</v>
      </c>
      <c r="DY54" s="30">
        <v>70</v>
      </c>
      <c r="DZ54" s="30">
        <v>70</v>
      </c>
      <c r="EA54" s="30">
        <v>300</v>
      </c>
      <c r="EB54" s="30" t="s">
        <v>35</v>
      </c>
      <c r="EC54" s="30">
        <v>66</v>
      </c>
      <c r="ED54" s="30">
        <v>79</v>
      </c>
      <c r="EE54" s="30">
        <v>70</v>
      </c>
      <c r="EF54" s="30">
        <v>100</v>
      </c>
      <c r="EG54" s="31" t="s">
        <v>58</v>
      </c>
      <c r="EH54" s="31">
        <v>54</v>
      </c>
      <c r="EI54" s="31">
        <v>70</v>
      </c>
      <c r="EJ54" s="31">
        <v>90</v>
      </c>
      <c r="EK54" s="31">
        <v>300</v>
      </c>
      <c r="EL54" s="31" t="s">
        <v>58</v>
      </c>
      <c r="EM54" s="31">
        <v>54</v>
      </c>
      <c r="EN54" s="31">
        <v>70</v>
      </c>
      <c r="EO54" s="31">
        <v>90</v>
      </c>
      <c r="EP54" s="31">
        <v>200</v>
      </c>
      <c r="EQ54" s="31" t="s">
        <v>36</v>
      </c>
      <c r="ER54" s="31">
        <v>58</v>
      </c>
      <c r="ES54" s="31">
        <v>70</v>
      </c>
      <c r="ET54" s="31">
        <v>70</v>
      </c>
      <c r="EU54" s="31">
        <v>200</v>
      </c>
      <c r="EV54" s="31" t="s">
        <v>36</v>
      </c>
      <c r="EW54" s="31">
        <v>58</v>
      </c>
      <c r="EX54" s="31">
        <v>70</v>
      </c>
      <c r="EY54" s="31">
        <v>70</v>
      </c>
      <c r="EZ54" s="31">
        <v>100</v>
      </c>
      <c r="FA54" s="30">
        <v>20</v>
      </c>
      <c r="FB54" s="30">
        <v>100</v>
      </c>
      <c r="FC54" s="54" t="s">
        <v>180</v>
      </c>
      <c r="FD54" s="623"/>
      <c r="FE54" s="623"/>
      <c r="FF54" s="30"/>
      <c r="FG54" s="30"/>
      <c r="FH54" s="13"/>
      <c r="FI54" s="13"/>
      <c r="FJ54" s="13"/>
      <c r="FK54" s="1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row>
    <row r="55" spans="1:756" ht="0.75" customHeight="1">
      <c r="A55" s="61"/>
      <c r="B55" s="62"/>
      <c r="C55" s="594"/>
      <c r="D55" s="602"/>
      <c r="E55" s="1754" t="s">
        <v>1981</v>
      </c>
      <c r="F55" s="1755"/>
      <c r="G55" s="1755"/>
      <c r="H55" s="1756"/>
      <c r="I55" s="602"/>
      <c r="J55" s="602"/>
      <c r="K55" s="602"/>
      <c r="L55" s="1808"/>
      <c r="M55" s="1808"/>
      <c r="N55" s="1808"/>
      <c r="O55" s="794"/>
      <c r="P55" s="795"/>
      <c r="Q55" s="795"/>
      <c r="R55" s="796"/>
      <c r="S55" s="797"/>
      <c r="T55" s="798"/>
      <c r="U55" s="798"/>
      <c r="V55" s="799"/>
      <c r="W55" s="800"/>
      <c r="X55" s="801"/>
      <c r="Y55" s="801"/>
      <c r="Z55" s="802"/>
      <c r="AA55" s="1760" t="str">
        <f>IF(E54="","",O125)</f>
        <v/>
      </c>
      <c r="AB55" s="1760"/>
      <c r="AC55" s="1760"/>
      <c r="AD55" s="1760"/>
      <c r="AE55" s="1760"/>
      <c r="AF55" s="1761"/>
      <c r="AG55" s="783"/>
      <c r="AH55" s="784"/>
      <c r="AI55" s="784"/>
      <c r="AJ55" s="784"/>
      <c r="AK55" s="784"/>
      <c r="AL55" s="784"/>
      <c r="AM55" s="803"/>
      <c r="AN55" s="803"/>
      <c r="AO55" s="803"/>
      <c r="AP55" s="803"/>
      <c r="AQ55" s="1757"/>
      <c r="AR55" s="1758"/>
      <c r="AS55" s="1758"/>
      <c r="AT55" s="1758"/>
      <c r="AU55" s="1758"/>
      <c r="AV55" s="1759"/>
      <c r="AW55" s="784"/>
      <c r="AX55" s="784"/>
      <c r="AY55" s="784"/>
      <c r="AZ55" s="803"/>
      <c r="BA55" s="803"/>
      <c r="BB55" s="803"/>
      <c r="BC55" s="784"/>
      <c r="BD55" s="784"/>
      <c r="BE55" s="784"/>
      <c r="BF55" s="803"/>
      <c r="BG55" s="803"/>
      <c r="BH55" s="803"/>
      <c r="BI55" s="599"/>
      <c r="BJ55" s="599"/>
      <c r="BK55" s="599"/>
      <c r="BL55" s="810"/>
      <c r="BM55" s="810"/>
      <c r="BN55" s="810"/>
      <c r="BO55" s="599"/>
      <c r="BP55" s="599"/>
      <c r="BQ55" s="599"/>
      <c r="BR55" s="810"/>
      <c r="BS55" s="810"/>
      <c r="BT55" s="810"/>
      <c r="BU55" s="599"/>
      <c r="BV55" s="811"/>
      <c r="BW55" s="812"/>
      <c r="BX55" s="812"/>
      <c r="BY55" s="813"/>
      <c r="BZ55" s="599"/>
      <c r="CA55" s="600"/>
      <c r="CB55" s="63"/>
      <c r="CC55" s="69"/>
      <c r="CD55" s="67"/>
      <c r="CE55" s="67"/>
      <c r="CF55" s="70"/>
      <c r="CG55" s="69"/>
      <c r="CH55" s="70"/>
      <c r="CI55" s="69"/>
      <c r="CJ55" s="67"/>
      <c r="CK55" s="70"/>
      <c r="CL55" s="69"/>
      <c r="CM55" s="631"/>
      <c r="CN55" s="70"/>
      <c r="CO55" s="69"/>
      <c r="CP55" s="631"/>
      <c r="CQ55" s="70"/>
      <c r="CR55" s="634"/>
      <c r="CS55" s="67"/>
      <c r="CT55" s="70"/>
      <c r="CU55" s="69"/>
      <c r="CV55" s="637"/>
      <c r="CW55" s="67"/>
      <c r="CX55" s="70"/>
      <c r="CY55" s="71"/>
      <c r="CZ55" s="9"/>
      <c r="DA55" s="33"/>
      <c r="DB55" s="33"/>
      <c r="DC55" s="620"/>
      <c r="DD55" s="621"/>
      <c r="DE55" s="622"/>
      <c r="DF55" s="588"/>
      <c r="DG55" s="588"/>
      <c r="DH55" s="589"/>
      <c r="DI55" s="590"/>
      <c r="DJ55" s="590"/>
      <c r="DK55" s="590"/>
      <c r="DL55" s="591"/>
      <c r="DM55" s="592"/>
      <c r="DN55" s="592"/>
      <c r="DO55" s="592"/>
      <c r="DP55" s="592"/>
      <c r="DQ55" s="592"/>
      <c r="DR55" s="592"/>
      <c r="DS55" s="592"/>
      <c r="DT55" s="592"/>
      <c r="DU55" s="592"/>
      <c r="DV55" s="592"/>
      <c r="DW55" s="592"/>
      <c r="DX55" s="592"/>
      <c r="DY55" s="592"/>
      <c r="DZ55" s="592"/>
      <c r="EA55" s="592"/>
      <c r="EB55" s="592"/>
      <c r="EC55" s="592"/>
      <c r="ED55" s="592"/>
      <c r="EE55" s="592"/>
      <c r="EF55" s="592"/>
      <c r="EG55" s="593"/>
      <c r="EH55" s="593"/>
      <c r="EI55" s="593"/>
      <c r="EJ55" s="593"/>
      <c r="EK55" s="593"/>
      <c r="EL55" s="593"/>
      <c r="EM55" s="593"/>
      <c r="EN55" s="593"/>
      <c r="EO55" s="593"/>
      <c r="EP55" s="593"/>
      <c r="EQ55" s="593"/>
      <c r="ER55" s="593"/>
      <c r="ES55" s="593"/>
      <c r="ET55" s="593"/>
      <c r="EU55" s="593"/>
      <c r="EV55" s="593"/>
      <c r="EW55" s="593"/>
      <c r="EX55" s="593"/>
      <c r="EY55" s="593"/>
      <c r="EZ55" s="593"/>
      <c r="FA55" s="592"/>
      <c r="FB55" s="592"/>
      <c r="FC55" s="623"/>
      <c r="FD55" s="623"/>
      <c r="FE55" s="623"/>
      <c r="FF55" s="592"/>
      <c r="FG55" s="592"/>
      <c r="FH55" s="13"/>
      <c r="FI55" s="13"/>
      <c r="FJ55" s="13"/>
      <c r="FK55" s="1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row>
    <row r="56" spans="1:756" ht="12" customHeight="1">
      <c r="A56" s="61">
        <f>IF(OR(E56="",LEFT(E56,2)=" B",E56="  RF",LEFT(E56,1)="P"),0,C56)</f>
        <v>0</v>
      </c>
      <c r="B56" s="62">
        <f>IF(AND(AA55="",E56=""),0,IF(LEFT(E56,2)="PH",0,1))</f>
        <v>0</v>
      </c>
      <c r="C56" s="1773" t="str">
        <f>IF(AA55="","",C54+1)</f>
        <v/>
      </c>
      <c r="D56" s="1774"/>
      <c r="E56" s="1802"/>
      <c r="F56" s="1803"/>
      <c r="G56" s="1803"/>
      <c r="H56" s="1804"/>
      <c r="I56" s="1778" t="str">
        <f>IF(I125=0,"",I125)</f>
        <v/>
      </c>
      <c r="J56" s="1779"/>
      <c r="K56" s="1780"/>
      <c r="L56" s="1808"/>
      <c r="M56" s="1808"/>
      <c r="N56" s="1808"/>
      <c r="O56" s="1805"/>
      <c r="P56" s="1806"/>
      <c r="Q56" s="1806"/>
      <c r="R56" s="1807"/>
      <c r="S56" s="1784"/>
      <c r="T56" s="1785"/>
      <c r="U56" s="1785"/>
      <c r="V56" s="1786"/>
      <c r="W56" s="1805"/>
      <c r="X56" s="1806"/>
      <c r="Y56" s="1806"/>
      <c r="Z56" s="1807"/>
      <c r="AA56" s="1762"/>
      <c r="AB56" s="1762"/>
      <c r="AC56" s="1762"/>
      <c r="AD56" s="1762"/>
      <c r="AE56" s="1762"/>
      <c r="AF56" s="1763"/>
      <c r="AG56" s="1770" t="str">
        <f>IF(OR($U$11="No",C56=""),"",IF(AM56&lt;&gt;"",AM56,IF(LEFT(E56,2)="PH","",IF(BV56&lt;&gt;"",VLOOKUP(BV56,令別表,4,FALSE)*AA55/100,IF(ISNA(VLOOKUP($AS$16,令別表,4,FALSE)),"",IF(VLOOKUP($AS$16,令別表,4,FALSE)*AA55/100=0,"",VLOOKUP($AS$16,令別表,4,FALSE)*AA55/100))))))</f>
        <v/>
      </c>
      <c r="AH56" s="1771"/>
      <c r="AI56" s="1771"/>
      <c r="AJ56" s="1771"/>
      <c r="AK56" s="1771"/>
      <c r="AL56" s="1772"/>
      <c r="AM56" s="1767"/>
      <c r="AN56" s="1768"/>
      <c r="AO56" s="1768"/>
      <c r="AP56" s="1769"/>
      <c r="AQ56" s="1764" t="str">
        <f t="shared" si="1"/>
        <v/>
      </c>
      <c r="AR56" s="1765"/>
      <c r="AS56" s="1765"/>
      <c r="AT56" s="1765"/>
      <c r="AU56" s="1765"/>
      <c r="AV56" s="1766"/>
      <c r="AW56" s="1790" t="str">
        <f>IF(C56="","",IF(AZ56&lt;&gt;"",AZ56,IF(LEFT(E56,2)="PH","",IF(BV56&lt;&gt;"",1+INT(AG56/VLOOKUP(BV56,令別表,5,FALSE)),IF(ISNA(VLOOKUP($AS$16,令別表,5,FALSE)),"",IF(1+INT(AG56/VLOOKUP($AS$16,令別表,5,FALSE))="","",1+INT(AG56/VLOOKUP($AS$16,令別表,5,FALSE))))))))</f>
        <v/>
      </c>
      <c r="AX56" s="1791"/>
      <c r="AY56" s="1792"/>
      <c r="AZ56" s="2183"/>
      <c r="BA56" s="2184"/>
      <c r="BB56" s="2185"/>
      <c r="BC56" s="1790" t="str">
        <f>IF(E56="","",IF(BF56&lt;&gt;"",BF56,IF(BV56&lt;&gt;"",1+INT(AQ56/VLOOKUP(BV56,令別表,7,FALSE)),IF(ISNA(VLOOKUP($AS$16,令別表,7,FALSE)),"",IF(1+INT(AQ56/VLOOKUP($AS$16,令別表,7,FALSE))="","",1+INT(AQ56/VLOOKUP($AS$16,令別表,7,FALSE)))))))</f>
        <v/>
      </c>
      <c r="BD56" s="1791"/>
      <c r="BE56" s="1791"/>
      <c r="BF56" s="2183"/>
      <c r="BG56" s="2184"/>
      <c r="BH56" s="2185"/>
      <c r="BI56" s="2186" t="str">
        <f>IF(OR(AA55="",E56=""),"",IF(LEFT(E56,2)=" B","無窓",IF(BL56&lt;&gt;"",BL56,IF(BV56&lt;&gt;"",VLOOKUP(BV56,令別表,8,FALSE),IF(OR(LEFT(E56,2)=" B",LEFT(E56,2)="PH"),"無窓",IF(LEFT(E56,2)&lt;&gt;"",VLOOKUP($AS$16,令別表,8,FALSE)))))))</f>
        <v/>
      </c>
      <c r="BJ56" s="2187"/>
      <c r="BK56" s="2187"/>
      <c r="BL56" s="2164"/>
      <c r="BM56" s="2165"/>
      <c r="BN56" s="2166"/>
      <c r="BO56" s="2161" t="str">
        <f>IF(OR(E56="",AA55=""),"",IF(LEFT(E56,2)=" B","無窓",IF(BR56&lt;&gt;"",BR56,IF(BV56&lt;&gt;"",VLOOKUP(BV56,令別表,8,FALSE),IF(OR(LEFT(E56,2)=" B",LEFT(E56,2)="PH"),"無窓",IF(LEFT(E56,2)&lt;&gt;"",VLOOKUP($AS$16,令別表,9,FALSE)))))))</f>
        <v/>
      </c>
      <c r="BP56" s="2162"/>
      <c r="BQ56" s="2163"/>
      <c r="BR56" s="2164"/>
      <c r="BS56" s="2165"/>
      <c r="BT56" s="2166"/>
      <c r="BU56" s="819" t="str">
        <f>IF(AND(LEFT($AS$16,4)="(16)",E56&lt;&gt;"",BV56=""),"■","")</f>
        <v/>
      </c>
      <c r="BV56" s="2201"/>
      <c r="BW56" s="2202"/>
      <c r="BX56" s="2202"/>
      <c r="BY56" s="2203"/>
      <c r="BZ56" s="1810" t="str">
        <f>IF(E56="","",IF(AND(BU56="",BV56="",CB56=1),"済",IF(AND(BU56="",BV56&lt;&gt;"",CB56=1),"済","未")))</f>
        <v/>
      </c>
      <c r="CA56" s="1811"/>
      <c r="CB56" s="659">
        <f>IF(AND(LEFT(E56,4)="  1F",O56&lt;&gt;"",S56&lt;&gt;"",W56&lt;&gt;"",AA55&lt;&gt;""),1,IF(AND(LEFT(E56,4)&lt;&gt;"  1F",O56&lt;&gt;"",S56&lt;&gt;"",AA55&lt;&gt;""),1,0))</f>
        <v>0</v>
      </c>
      <c r="CC56" s="69" t="str">
        <f>IF(C56="","",IF(LEFT(E56,2)=" B",O56,""))</f>
        <v/>
      </c>
      <c r="CD56" s="67" t="str">
        <f>IF(C56="","",IF(E56="  1F",O56,""))</f>
        <v/>
      </c>
      <c r="CE56" s="67" t="str">
        <f>IF(OR(C56="",E56="  1F"),"",IF(AND(LEFT(E56,2)&lt;&gt;" B",LEFT(E56,1)&lt;&gt;"P"),O56,""))</f>
        <v/>
      </c>
      <c r="CF56" s="70" t="str">
        <f>IF(C56="","",IF(LEFT(E56,1)="P",O56,""))</f>
        <v/>
      </c>
      <c r="CG56" s="69" t="str">
        <f>IF(LEFT(E56,2)=" B",E56,"")</f>
        <v/>
      </c>
      <c r="CH56" s="70" t="str">
        <f>IF(BV56="","",IF(LEFT(E56,2)=" B",BV56,""))</f>
        <v/>
      </c>
      <c r="CI56" s="69" t="str">
        <f>IF(E56="  1F",AA55,"")</f>
        <v/>
      </c>
      <c r="CJ56" s="631">
        <f>IF(OR(LEFT(E56,2)=" B",LEFT(E56,2)="PH"),0,IF(CI56="",0,IF(AND(BI56="無窓",BO56="無窓"),3,IF(BI56="無窓",1,IF(BO56="無窓",2,0)))))</f>
        <v>0</v>
      </c>
      <c r="CK56" s="70" t="str">
        <f>IF(BV56="","",IF(E56="  1F",BV56,""))</f>
        <v/>
      </c>
      <c r="CL56" s="69" t="str">
        <f>IF(E56="  2F",E56,"")</f>
        <v/>
      </c>
      <c r="CM56" s="631">
        <f>IF(OR(LEFT(E56,2)=" B",LEFT(E56,2)="PH"),0,IF(CL56="",0,IF(AND(BI56="無窓",BO56="無窓"),3,IF(BI56="無窓",1,IF(BO56="無窓",2,0)))))</f>
        <v>0</v>
      </c>
      <c r="CN56" s="70" t="str">
        <f>IF(BV56="","",IF(E56="  2F",BV56,""))</f>
        <v/>
      </c>
      <c r="CO56" s="69" t="str">
        <f>IF(E56="  3F",AA55,"")</f>
        <v/>
      </c>
      <c r="CP56" s="631">
        <f>IF(OR(LEFT(E56,2)=" B",LEFT(E56,2)="PH"),0,IF(CO56="",0,IF(AND(BI56="無窓",BO56="無窓"),3,IF(BI56="無窓",1,IF(BO56="無窓",2,0)))))</f>
        <v>0</v>
      </c>
      <c r="CQ56" s="70" t="str">
        <f>IF(BV56="","",IF(E56="  3F",BV56,""))</f>
        <v/>
      </c>
      <c r="CR56" s="634" t="str">
        <f>IF(OR(E56="  4F",E56="  5F",E56="  6F",E56="  7F",E56="  8F",E56="  9F",E56=" 10F"),AA55,"")</f>
        <v/>
      </c>
      <c r="CS56" s="631">
        <f>IF(E56="",0,IF(OR(LEFT(E56,2)=" B",LEFT(E56,2)="PH"),0,IF(OR(VALUE(LEFT(E56,3))&lt;4,VALUE(LEFT(E56,3))&gt;10),0,IF(AND(BI56="無窓",BO56="無窓"),3,IF(BI56="無窓",1,IF(BO56="無窓",2,0))))))</f>
        <v>0</v>
      </c>
      <c r="CT56" s="70" t="str">
        <f>IF(OR(E56="",LEFT(E56,2)=" B",LEFT(E56,1)="P"),"",IF(AND(VALUE(LEFT(E56,3))&gt;=4,VALUE(LEFT(E56,3))&lt;11),BV56,""))</f>
        <v/>
      </c>
      <c r="CU56" s="69" t="str">
        <f>IF(OR(LEFT(E56,2)=" B",LEFT(E56,2)="PH",E56=""),"",IF(VALUE(LEFT(E56,3))&gt;10,AA55,""))</f>
        <v/>
      </c>
      <c r="CV56" s="637">
        <f>IF(E56="",0,IF(OR(LEFT(E56,2)=" B",LEFT(E56,2)="PH"),0,IF(AND(BI56="無窓",BO56="無窓"),3,IF(BI56="無窓",1,IF(BO56="無窓",2,0)))))</f>
        <v>0</v>
      </c>
      <c r="CW56" s="67" t="str">
        <f>IF(OR(E56="",LEFT(E56,2)=" B",LEFT(E56,1)="P"),"",IF(VALUE(LEFT(E56,3))&gt;10,BV56,""))</f>
        <v/>
      </c>
      <c r="CX56" s="70" t="str">
        <f>IF(LEFT(E56,2)="PH",AA55,"")</f>
        <v/>
      </c>
      <c r="CY56" s="68" t="str">
        <f>IF(OR(BV56="(2) ロ",BV56="( 4 )",BV56="(5) イ"),1,"")</f>
        <v/>
      </c>
      <c r="CZ56" s="9"/>
      <c r="DA56" s="33"/>
      <c r="DB56" s="33"/>
      <c r="DC56" s="24" t="s">
        <v>182</v>
      </c>
      <c r="DD56" s="397" t="s">
        <v>183</v>
      </c>
      <c r="DE56" s="25" t="s">
        <v>30</v>
      </c>
      <c r="DF56" s="26">
        <v>90</v>
      </c>
      <c r="DG56" s="26">
        <v>40</v>
      </c>
      <c r="DH56" s="27">
        <f t="shared" si="0"/>
        <v>10</v>
      </c>
      <c r="DI56" s="28">
        <v>20</v>
      </c>
      <c r="DJ56" s="28" t="s">
        <v>31</v>
      </c>
      <c r="DK56" s="28" t="s">
        <v>31</v>
      </c>
      <c r="DL56" s="29">
        <v>5</v>
      </c>
      <c r="DM56" s="30"/>
      <c r="DN56" s="30"/>
      <c r="DO56" s="30"/>
      <c r="DP56" s="30"/>
      <c r="DQ56" s="30"/>
      <c r="DR56" s="30"/>
      <c r="DS56" s="30"/>
      <c r="DT56" s="30"/>
      <c r="DU56" s="30"/>
      <c r="DV56" s="30"/>
      <c r="DW56" s="30"/>
      <c r="DX56" s="30"/>
      <c r="DY56" s="30"/>
      <c r="DZ56" s="30"/>
      <c r="EA56" s="30"/>
      <c r="EB56" s="30"/>
      <c r="EC56" s="30"/>
      <c r="ED56" s="30"/>
      <c r="EE56" s="30"/>
      <c r="EF56" s="30"/>
      <c r="EG56" s="31"/>
      <c r="EH56" s="31"/>
      <c r="EI56" s="31"/>
      <c r="EJ56" s="31"/>
      <c r="EK56" s="31"/>
      <c r="EL56" s="31"/>
      <c r="EM56" s="31"/>
      <c r="EN56" s="31"/>
      <c r="EO56" s="31"/>
      <c r="EP56" s="31"/>
      <c r="EQ56" s="31"/>
      <c r="ER56" s="31"/>
      <c r="ES56" s="31"/>
      <c r="ET56" s="31"/>
      <c r="EU56" s="31"/>
      <c r="EV56" s="31"/>
      <c r="EW56" s="31"/>
      <c r="EX56" s="31"/>
      <c r="EY56" s="31"/>
      <c r="EZ56" s="31"/>
      <c r="FA56" s="30"/>
      <c r="FB56" s="30"/>
      <c r="FC56" s="32" t="s">
        <v>182</v>
      </c>
      <c r="FD56" s="402"/>
      <c r="FE56" s="402"/>
      <c r="FF56" s="30"/>
      <c r="FG56" s="30"/>
      <c r="FH56" s="13"/>
      <c r="FI56" s="13"/>
      <c r="FJ56" s="13"/>
      <c r="FK56" s="1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row>
    <row r="57" spans="1:756" ht="0.75" customHeight="1">
      <c r="A57" s="61"/>
      <c r="B57" s="62"/>
      <c r="C57" s="594"/>
      <c r="D57" s="602"/>
      <c r="E57" s="1754"/>
      <c r="F57" s="1755"/>
      <c r="G57" s="1755"/>
      <c r="H57" s="1756"/>
      <c r="I57" s="602"/>
      <c r="J57" s="602"/>
      <c r="K57" s="602"/>
      <c r="L57" s="1808"/>
      <c r="M57" s="1808"/>
      <c r="N57" s="1808"/>
      <c r="O57" s="794"/>
      <c r="P57" s="795"/>
      <c r="Q57" s="795"/>
      <c r="R57" s="796"/>
      <c r="S57" s="797"/>
      <c r="T57" s="798"/>
      <c r="U57" s="798"/>
      <c r="V57" s="799"/>
      <c r="W57" s="800"/>
      <c r="X57" s="801"/>
      <c r="Y57" s="801"/>
      <c r="Z57" s="802"/>
      <c r="AA57" s="1760" t="str">
        <f>IF(E56="","",O126)</f>
        <v/>
      </c>
      <c r="AB57" s="1760"/>
      <c r="AC57" s="1760"/>
      <c r="AD57" s="1760"/>
      <c r="AE57" s="1760"/>
      <c r="AF57" s="1761"/>
      <c r="AG57" s="783"/>
      <c r="AH57" s="784"/>
      <c r="AI57" s="784"/>
      <c r="AJ57" s="784"/>
      <c r="AK57" s="784"/>
      <c r="AL57" s="784"/>
      <c r="AM57" s="803"/>
      <c r="AN57" s="803"/>
      <c r="AO57" s="803"/>
      <c r="AP57" s="803"/>
      <c r="AQ57" s="1757"/>
      <c r="AR57" s="1758"/>
      <c r="AS57" s="1758"/>
      <c r="AT57" s="1758"/>
      <c r="AU57" s="1758"/>
      <c r="AV57" s="1759"/>
      <c r="AW57" s="784"/>
      <c r="AX57" s="784"/>
      <c r="AY57" s="784"/>
      <c r="AZ57" s="803"/>
      <c r="BA57" s="803"/>
      <c r="BB57" s="803"/>
      <c r="BC57" s="784"/>
      <c r="BD57" s="784"/>
      <c r="BE57" s="784"/>
      <c r="BF57" s="803"/>
      <c r="BG57" s="803"/>
      <c r="BH57" s="803"/>
      <c r="BI57" s="599"/>
      <c r="BJ57" s="599"/>
      <c r="BK57" s="599"/>
      <c r="BL57" s="810"/>
      <c r="BM57" s="810"/>
      <c r="BN57" s="810"/>
      <c r="BO57" s="599"/>
      <c r="BP57" s="599"/>
      <c r="BQ57" s="599"/>
      <c r="BR57" s="810"/>
      <c r="BS57" s="810"/>
      <c r="BT57" s="810"/>
      <c r="BU57" s="599"/>
      <c r="BV57" s="811"/>
      <c r="BW57" s="812"/>
      <c r="BX57" s="812"/>
      <c r="BY57" s="813"/>
      <c r="BZ57" s="599"/>
      <c r="CA57" s="600"/>
      <c r="CB57" s="63"/>
      <c r="CC57" s="69"/>
      <c r="CD57" s="67"/>
      <c r="CE57" s="67"/>
      <c r="CF57" s="70"/>
      <c r="CG57" s="69"/>
      <c r="CH57" s="70"/>
      <c r="CI57" s="69"/>
      <c r="CJ57" s="67"/>
      <c r="CK57" s="70"/>
      <c r="CL57" s="69"/>
      <c r="CM57" s="631"/>
      <c r="CN57" s="70"/>
      <c r="CO57" s="69"/>
      <c r="CP57" s="631"/>
      <c r="CQ57" s="70"/>
      <c r="CR57" s="634"/>
      <c r="CS57" s="67"/>
      <c r="CT57" s="70"/>
      <c r="CU57" s="69"/>
      <c r="CV57" s="637"/>
      <c r="CW57" s="67"/>
      <c r="CX57" s="70"/>
      <c r="CY57" s="71"/>
      <c r="CZ57" s="9"/>
      <c r="DA57" s="33"/>
      <c r="DB57" s="33"/>
      <c r="DC57" s="400"/>
      <c r="DD57" s="401"/>
      <c r="DE57" s="587"/>
      <c r="DF57" s="588"/>
      <c r="DG57" s="588"/>
      <c r="DH57" s="589"/>
      <c r="DI57" s="590"/>
      <c r="DJ57" s="590"/>
      <c r="DK57" s="590"/>
      <c r="DL57" s="591"/>
      <c r="DM57" s="592"/>
      <c r="DN57" s="592"/>
      <c r="DO57" s="592"/>
      <c r="DP57" s="592"/>
      <c r="DQ57" s="592"/>
      <c r="DR57" s="592"/>
      <c r="DS57" s="592"/>
      <c r="DT57" s="592"/>
      <c r="DU57" s="592"/>
      <c r="DV57" s="592"/>
      <c r="DW57" s="592"/>
      <c r="DX57" s="592"/>
      <c r="DY57" s="592"/>
      <c r="DZ57" s="592"/>
      <c r="EA57" s="592"/>
      <c r="EB57" s="592"/>
      <c r="EC57" s="592"/>
      <c r="ED57" s="592"/>
      <c r="EE57" s="592"/>
      <c r="EF57" s="592"/>
      <c r="EG57" s="593"/>
      <c r="EH57" s="593"/>
      <c r="EI57" s="593"/>
      <c r="EJ57" s="593"/>
      <c r="EK57" s="593"/>
      <c r="EL57" s="593"/>
      <c r="EM57" s="593"/>
      <c r="EN57" s="593"/>
      <c r="EO57" s="593"/>
      <c r="EP57" s="593"/>
      <c r="EQ57" s="593"/>
      <c r="ER57" s="593"/>
      <c r="ES57" s="593"/>
      <c r="ET57" s="593"/>
      <c r="EU57" s="593"/>
      <c r="EV57" s="593"/>
      <c r="EW57" s="593"/>
      <c r="EX57" s="593"/>
      <c r="EY57" s="593"/>
      <c r="EZ57" s="593"/>
      <c r="FA57" s="592"/>
      <c r="FB57" s="592"/>
      <c r="FC57" s="402"/>
      <c r="FD57" s="402"/>
      <c r="FE57" s="402"/>
      <c r="FF57" s="592"/>
      <c r="FG57" s="592"/>
      <c r="FH57" s="13"/>
      <c r="FI57" s="13"/>
      <c r="FJ57" s="13"/>
      <c r="FK57" s="1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row>
    <row r="58" spans="1:756" ht="12" customHeight="1">
      <c r="A58" s="61">
        <f>IF(OR(E58="",LEFT(E58,2)=" B",E58="  RF",LEFT(E58,1)="P"),0,C58)</f>
        <v>0</v>
      </c>
      <c r="B58" s="62">
        <f>IF(AND(AA57="",E58=""),0,IF(LEFT(E58,2)="PH",0,1))</f>
        <v>0</v>
      </c>
      <c r="C58" s="1773" t="str">
        <f>IF(AA57="","",C56+1)</f>
        <v/>
      </c>
      <c r="D58" s="1774"/>
      <c r="E58" s="1802"/>
      <c r="F58" s="1803"/>
      <c r="G58" s="1803"/>
      <c r="H58" s="1804"/>
      <c r="I58" s="1778" t="str">
        <f>IF(I126=0,"",I126)</f>
        <v/>
      </c>
      <c r="J58" s="1779"/>
      <c r="K58" s="1780"/>
      <c r="L58" s="1808"/>
      <c r="M58" s="1808"/>
      <c r="N58" s="1808"/>
      <c r="O58" s="1805"/>
      <c r="P58" s="1806"/>
      <c r="Q58" s="1806"/>
      <c r="R58" s="1807"/>
      <c r="S58" s="1784"/>
      <c r="T58" s="1785"/>
      <c r="U58" s="1785"/>
      <c r="V58" s="1786"/>
      <c r="W58" s="1805"/>
      <c r="X58" s="1806"/>
      <c r="Y58" s="1806"/>
      <c r="Z58" s="1807"/>
      <c r="AA58" s="1762"/>
      <c r="AB58" s="1762"/>
      <c r="AC58" s="1762"/>
      <c r="AD58" s="1762"/>
      <c r="AE58" s="1762"/>
      <c r="AF58" s="1763"/>
      <c r="AG58" s="1770" t="str">
        <f>IF(OR($U$11="No",C58=""),"",IF(AM58&lt;&gt;"",AM58,IF(LEFT(E58,2)="PH","",IF(BV58&lt;&gt;"",VLOOKUP(BV58,令別表,4,FALSE)*AA57/100,IF(ISNA(VLOOKUP($AS$16,令別表,4,FALSE)),"",IF(VLOOKUP($AS$16,令別表,4,FALSE)*AA57/100=0,"",VLOOKUP($AS$16,令別表,4,FALSE)*AA57/100))))))</f>
        <v/>
      </c>
      <c r="AH58" s="1771"/>
      <c r="AI58" s="1771"/>
      <c r="AJ58" s="1771"/>
      <c r="AK58" s="1771"/>
      <c r="AL58" s="1772"/>
      <c r="AM58" s="1767"/>
      <c r="AN58" s="1768"/>
      <c r="AO58" s="1768"/>
      <c r="AP58" s="1769"/>
      <c r="AQ58" s="1764" t="str">
        <f t="shared" si="1"/>
        <v/>
      </c>
      <c r="AR58" s="1765"/>
      <c r="AS58" s="1765"/>
      <c r="AT58" s="1765"/>
      <c r="AU58" s="1765"/>
      <c r="AV58" s="1766"/>
      <c r="AW58" s="1790" t="str">
        <f>IF(C58="","",IF(AZ58&lt;&gt;"",AZ58,IF(LEFT(E58,2)="PH","",IF(BV58&lt;&gt;"",1+INT(AG58/VLOOKUP(BV58,令別表,5,FALSE)),IF(ISNA(VLOOKUP($AS$16,令別表,5,FALSE)),"",IF(1+INT(AG58/VLOOKUP($AS$16,令別表,5,FALSE))="","",1+INT(AG58/VLOOKUP($AS$16,令別表,5,FALSE))))))))</f>
        <v/>
      </c>
      <c r="AX58" s="1791"/>
      <c r="AY58" s="1792"/>
      <c r="AZ58" s="2183"/>
      <c r="BA58" s="2184"/>
      <c r="BB58" s="2185"/>
      <c r="BC58" s="1790" t="str">
        <f>IF(E58="","",IF(BF58&lt;&gt;"",BF58,IF(BV58&lt;&gt;"",1+INT(AQ58/VLOOKUP(BV58,令別表,7,FALSE)),IF(ISNA(VLOOKUP($AS$16,令別表,7,FALSE)),"",IF(1+INT(AQ58/VLOOKUP($AS$16,令別表,7,FALSE))="","",1+INT(AQ58/VLOOKUP($AS$16,令別表,7,FALSE)))))))</f>
        <v/>
      </c>
      <c r="BD58" s="1791"/>
      <c r="BE58" s="1791"/>
      <c r="BF58" s="2183"/>
      <c r="BG58" s="2184"/>
      <c r="BH58" s="2185"/>
      <c r="BI58" s="2186" t="str">
        <f>IF(OR(AA57="",E58=""),"",IF(LEFT(E58,2)=" B","無窓",IF(BL58&lt;&gt;"",BL58,IF(BV58&lt;&gt;"",VLOOKUP(BV58,令別表,8,FALSE),IF(OR(LEFT(E58,2)=" B",LEFT(E58,2)="PH"),"無窓",IF(LEFT(E58,2)&lt;&gt;"",VLOOKUP($AS$16,令別表,8,FALSE)))))))</f>
        <v/>
      </c>
      <c r="BJ58" s="2187"/>
      <c r="BK58" s="2187"/>
      <c r="BL58" s="2164"/>
      <c r="BM58" s="2165"/>
      <c r="BN58" s="2166"/>
      <c r="BO58" s="2161" t="str">
        <f>IF(OR(E58="",AA57=""),"",IF(LEFT(E58,2)=" B","無窓",IF(BR58&lt;&gt;"",BR58,IF(BV58&lt;&gt;"",VLOOKUP(BV58,令別表,8,FALSE),IF(OR(LEFT(E58,2)=" B",LEFT(E58,2)="PH"),"無窓",IF(LEFT(E58,2)&lt;&gt;"",VLOOKUP($AS$16,令別表,9,FALSE)))))))</f>
        <v/>
      </c>
      <c r="BP58" s="2162"/>
      <c r="BQ58" s="2163"/>
      <c r="BR58" s="2164"/>
      <c r="BS58" s="2165"/>
      <c r="BT58" s="2166"/>
      <c r="BU58" s="819" t="str">
        <f>IF(AND(LEFT($AS$16,4)="(16)",E58&lt;&gt;"",BV58=""),"■","")</f>
        <v/>
      </c>
      <c r="BV58" s="2201"/>
      <c r="BW58" s="2202"/>
      <c r="BX58" s="2202"/>
      <c r="BY58" s="2203"/>
      <c r="BZ58" s="1810" t="str">
        <f>IF(E58="","",IF(AND(BU58="",BV58="",CB58=1),"済",IF(AND(BU58="",BV58&lt;&gt;"",CB58=1),"済","未")))</f>
        <v/>
      </c>
      <c r="CA58" s="1811"/>
      <c r="CB58" s="659">
        <f>IF(AND(LEFT(E58,4)="  1F",O58&lt;&gt;"",S58&lt;&gt;"",W58&lt;&gt;"",AA57&lt;&gt;""),1,IF(AND(LEFT(E58,4)&lt;&gt;"  1F",O58&lt;&gt;"",S58&lt;&gt;"",AA57&lt;&gt;""),1,0))</f>
        <v>0</v>
      </c>
      <c r="CC58" s="69" t="str">
        <f>IF(C58="","",IF(LEFT(E58,2)=" B",O58,""))</f>
        <v/>
      </c>
      <c r="CD58" s="67" t="str">
        <f>IF(C58="","",IF(E58="  1F",O58,""))</f>
        <v/>
      </c>
      <c r="CE58" s="67" t="str">
        <f>IF(OR(C58="",E58="  1F"),"",IF(AND(LEFT(E58,2)&lt;&gt;" B",LEFT(E58,1)&lt;&gt;"P"),O58,""))</f>
        <v/>
      </c>
      <c r="CF58" s="70" t="str">
        <f>IF(C58="","",IF(LEFT(E58,1)="P",O58,""))</f>
        <v/>
      </c>
      <c r="CG58" s="69" t="str">
        <f>IF(LEFT(E58,2)=" B",E58,"")</f>
        <v/>
      </c>
      <c r="CH58" s="70" t="str">
        <f>IF(BV58="","",IF(LEFT(E58,2)=" B",BV58,""))</f>
        <v/>
      </c>
      <c r="CI58" s="69" t="str">
        <f>IF(E58="  1F",AA57,"")</f>
        <v/>
      </c>
      <c r="CJ58" s="631">
        <f>IF(OR(LEFT(E58,2)=" B",LEFT(E58,2)="PH"),0,IF(CI58="",0,IF(AND(BI58="無窓",BO58="無窓"),3,IF(BI58="無窓",1,IF(BO58="無窓",2,0)))))</f>
        <v>0</v>
      </c>
      <c r="CK58" s="70" t="str">
        <f>IF(BV58="","",IF(E58="  1F",BV58,""))</f>
        <v/>
      </c>
      <c r="CL58" s="69" t="str">
        <f>IF(E58="  2F",E58,"")</f>
        <v/>
      </c>
      <c r="CM58" s="631">
        <f>IF(OR(LEFT(E58,2)=" B",LEFT(E58,2)="PH"),0,IF(CL58="",0,IF(AND(BI58="無窓",BO58="無窓"),3,IF(BI58="無窓",1,IF(BO58="無窓",2,0)))))</f>
        <v>0</v>
      </c>
      <c r="CN58" s="70" t="str">
        <f>IF(BV58="","",IF(E58="  2F",BV58,""))</f>
        <v/>
      </c>
      <c r="CO58" s="69" t="str">
        <f>IF(E58="  3F",AA57,"")</f>
        <v/>
      </c>
      <c r="CP58" s="631">
        <f>IF(OR(LEFT(E58,2)=" B",LEFT(E58,2)="PH"),0,IF(CO58="",0,IF(AND(BI58="無窓",BO58="無窓"),3,IF(BI58="無窓",1,IF(BO58="無窓",2,0)))))</f>
        <v>0</v>
      </c>
      <c r="CQ58" s="70" t="str">
        <f>IF(BV58="","",IF(E58="  3F",BV58,""))</f>
        <v/>
      </c>
      <c r="CR58" s="634" t="str">
        <f>IF(OR(E58="  4F",E58="  5F",E58="  6F",E58="  7F",E58="  8F",E58="  9F",E58=" 10F"),AA57,"")</f>
        <v/>
      </c>
      <c r="CS58" s="631">
        <f>IF(E58="",0,IF(OR(LEFT(E58,2)=" B",LEFT(E58,2)="PH"),0,IF(OR(VALUE(LEFT(E58,3))&lt;4,VALUE(LEFT(E58,3))&gt;10),0,IF(AND(BI58="無窓",BO58="無窓"),3,IF(BI58="無窓",1,IF(BO58="無窓",2,0))))))</f>
        <v>0</v>
      </c>
      <c r="CT58" s="70" t="str">
        <f>IF(OR(E58="",LEFT(E58,2)=" B",LEFT(E58,1)="P"),"",IF(AND(VALUE(LEFT(E58,3))&gt;=4,VALUE(LEFT(E58,3))&lt;11),BV58,""))</f>
        <v/>
      </c>
      <c r="CU58" s="69" t="str">
        <f>IF(OR(LEFT(E58,2)=" B",LEFT(E58,2)="PH",E58=""),"",IF(VALUE(LEFT(E58,3))&gt;10,AA57,""))</f>
        <v/>
      </c>
      <c r="CV58" s="637">
        <f>IF(E58="",0,IF(OR(LEFT(E58,2)=" B",LEFT(E58,2)="PH"),0,IF(AND(BI58="無窓",BO58="無窓"),3,IF(BI58="無窓",1,IF(BO58="無窓",2,0)))))</f>
        <v>0</v>
      </c>
      <c r="CW58" s="67" t="str">
        <f>IF(OR(E58="",LEFT(E58,2)=" B",LEFT(E58,1)="P"),"",IF(VALUE(LEFT(E58,3))&gt;10,BV58,""))</f>
        <v/>
      </c>
      <c r="CX58" s="70" t="str">
        <f>IF(LEFT(E58,2)="PH",AA57,"")</f>
        <v/>
      </c>
      <c r="CY58" s="68" t="str">
        <f>IF(OR(BV58="(2) ロ",BV58="( 4 )",BV58="(5) イ"),1,"")</f>
        <v/>
      </c>
      <c r="CZ58" s="9"/>
      <c r="DA58" s="33"/>
      <c r="DB58" s="33"/>
      <c r="DC58" s="24" t="s">
        <v>184</v>
      </c>
      <c r="DD58" s="397" t="s">
        <v>185</v>
      </c>
      <c r="DE58" s="25"/>
      <c r="DF58" s="26">
        <v>90</v>
      </c>
      <c r="DG58" s="26">
        <v>40</v>
      </c>
      <c r="DH58" s="27">
        <f t="shared" si="0"/>
        <v>10</v>
      </c>
      <c r="DI58" s="28">
        <v>20</v>
      </c>
      <c r="DJ58" s="28" t="s">
        <v>31</v>
      </c>
      <c r="DK58" s="28" t="s">
        <v>31</v>
      </c>
      <c r="DL58" s="29">
        <v>5</v>
      </c>
      <c r="DM58" s="30"/>
      <c r="DN58" s="30"/>
      <c r="DO58" s="30"/>
      <c r="DP58" s="30"/>
      <c r="DQ58" s="30"/>
      <c r="DR58" s="30"/>
      <c r="DS58" s="30"/>
      <c r="DT58" s="30"/>
      <c r="DU58" s="30"/>
      <c r="DV58" s="30"/>
      <c r="DW58" s="30"/>
      <c r="DX58" s="30"/>
      <c r="DY58" s="30"/>
      <c r="DZ58" s="30"/>
      <c r="EA58" s="30"/>
      <c r="EB58" s="30"/>
      <c r="EC58" s="30"/>
      <c r="ED58" s="30"/>
      <c r="EE58" s="30"/>
      <c r="EF58" s="30"/>
      <c r="EG58" s="31"/>
      <c r="EH58" s="31"/>
      <c r="EI58" s="31"/>
      <c r="EJ58" s="31"/>
      <c r="EK58" s="31"/>
      <c r="EL58" s="31"/>
      <c r="EM58" s="31"/>
      <c r="EN58" s="31"/>
      <c r="EO58" s="31"/>
      <c r="EP58" s="31"/>
      <c r="EQ58" s="31"/>
      <c r="ER58" s="31"/>
      <c r="ES58" s="31"/>
      <c r="ET58" s="31"/>
      <c r="EU58" s="31"/>
      <c r="EV58" s="31"/>
      <c r="EW58" s="31"/>
      <c r="EX58" s="31"/>
      <c r="EY58" s="31"/>
      <c r="EZ58" s="31"/>
      <c r="FA58" s="30"/>
      <c r="FB58" s="30"/>
      <c r="FC58" s="32" t="s">
        <v>184</v>
      </c>
      <c r="FD58" s="402"/>
      <c r="FE58" s="402"/>
      <c r="FF58" s="30"/>
      <c r="FG58" s="30"/>
      <c r="FH58" s="13"/>
      <c r="FI58" s="13"/>
      <c r="FJ58" s="13"/>
      <c r="FK58" s="1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row>
    <row r="59" spans="1:756" ht="0.75" customHeight="1">
      <c r="A59" s="61"/>
      <c r="B59" s="62"/>
      <c r="C59" s="594"/>
      <c r="D59" s="602"/>
      <c r="E59" s="1754"/>
      <c r="F59" s="1755"/>
      <c r="G59" s="1755"/>
      <c r="H59" s="1756"/>
      <c r="I59" s="602"/>
      <c r="J59" s="602"/>
      <c r="K59" s="602"/>
      <c r="L59" s="1808"/>
      <c r="M59" s="1808"/>
      <c r="N59" s="1808"/>
      <c r="O59" s="794"/>
      <c r="P59" s="795"/>
      <c r="Q59" s="795"/>
      <c r="R59" s="796"/>
      <c r="S59" s="797"/>
      <c r="T59" s="798"/>
      <c r="U59" s="798"/>
      <c r="V59" s="799"/>
      <c r="W59" s="800"/>
      <c r="X59" s="801"/>
      <c r="Y59" s="801"/>
      <c r="Z59" s="802"/>
      <c r="AA59" s="1760" t="str">
        <f>IF(E58="","",O127)</f>
        <v/>
      </c>
      <c r="AB59" s="1760"/>
      <c r="AC59" s="1760"/>
      <c r="AD59" s="1760"/>
      <c r="AE59" s="1760"/>
      <c r="AF59" s="1761"/>
      <c r="AG59" s="783"/>
      <c r="AH59" s="784"/>
      <c r="AI59" s="784"/>
      <c r="AJ59" s="784"/>
      <c r="AK59" s="784"/>
      <c r="AL59" s="784"/>
      <c r="AM59" s="803"/>
      <c r="AN59" s="803"/>
      <c r="AO59" s="803"/>
      <c r="AP59" s="803"/>
      <c r="AQ59" s="1757"/>
      <c r="AR59" s="1758"/>
      <c r="AS59" s="1758"/>
      <c r="AT59" s="1758"/>
      <c r="AU59" s="1758"/>
      <c r="AV59" s="1759"/>
      <c r="AW59" s="784"/>
      <c r="AX59" s="784"/>
      <c r="AY59" s="784"/>
      <c r="AZ59" s="803"/>
      <c r="BA59" s="803"/>
      <c r="BB59" s="803"/>
      <c r="BC59" s="784"/>
      <c r="BD59" s="784"/>
      <c r="BE59" s="784"/>
      <c r="BF59" s="803"/>
      <c r="BG59" s="803"/>
      <c r="BH59" s="803"/>
      <c r="BI59" s="599"/>
      <c r="BJ59" s="599"/>
      <c r="BK59" s="599"/>
      <c r="BL59" s="810"/>
      <c r="BM59" s="810"/>
      <c r="BN59" s="810"/>
      <c r="BO59" s="599"/>
      <c r="BP59" s="599"/>
      <c r="BQ59" s="599"/>
      <c r="BR59" s="810"/>
      <c r="BS59" s="810"/>
      <c r="BT59" s="810"/>
      <c r="BU59" s="599"/>
      <c r="BV59" s="811"/>
      <c r="BW59" s="812"/>
      <c r="BX59" s="812"/>
      <c r="BY59" s="813"/>
      <c r="BZ59" s="599"/>
      <c r="CA59" s="600"/>
      <c r="CB59" s="63"/>
      <c r="CC59" s="69"/>
      <c r="CD59" s="67"/>
      <c r="CE59" s="67"/>
      <c r="CF59" s="70"/>
      <c r="CG59" s="69"/>
      <c r="CH59" s="70"/>
      <c r="CI59" s="69"/>
      <c r="CJ59" s="67"/>
      <c r="CK59" s="70"/>
      <c r="CL59" s="69"/>
      <c r="CM59" s="631"/>
      <c r="CN59" s="70"/>
      <c r="CO59" s="69"/>
      <c r="CP59" s="631"/>
      <c r="CQ59" s="70"/>
      <c r="CR59" s="634"/>
      <c r="CS59" s="67"/>
      <c r="CT59" s="70"/>
      <c r="CU59" s="69"/>
      <c r="CV59" s="637"/>
      <c r="CW59" s="67"/>
      <c r="CX59" s="70"/>
      <c r="CY59" s="71"/>
      <c r="CZ59" s="9"/>
      <c r="DA59" s="33"/>
      <c r="DB59" s="33"/>
      <c r="DC59" s="400"/>
      <c r="DD59" s="401"/>
      <c r="DE59" s="587"/>
      <c r="DF59" s="588"/>
      <c r="DG59" s="588"/>
      <c r="DH59" s="589"/>
      <c r="DI59" s="590"/>
      <c r="DJ59" s="590"/>
      <c r="DK59" s="590"/>
      <c r="DL59" s="591"/>
      <c r="DM59" s="592"/>
      <c r="DN59" s="592"/>
      <c r="DO59" s="592"/>
      <c r="DP59" s="592"/>
      <c r="DQ59" s="592"/>
      <c r="DR59" s="592"/>
      <c r="DS59" s="592"/>
      <c r="DT59" s="592"/>
      <c r="DU59" s="592"/>
      <c r="DV59" s="592"/>
      <c r="DW59" s="592"/>
      <c r="DX59" s="592"/>
      <c r="DY59" s="592"/>
      <c r="DZ59" s="592"/>
      <c r="EA59" s="592"/>
      <c r="EB59" s="592"/>
      <c r="EC59" s="592"/>
      <c r="ED59" s="592"/>
      <c r="EE59" s="592"/>
      <c r="EF59" s="592"/>
      <c r="EG59" s="593"/>
      <c r="EH59" s="593"/>
      <c r="EI59" s="593"/>
      <c r="EJ59" s="593"/>
      <c r="EK59" s="593"/>
      <c r="EL59" s="593"/>
      <c r="EM59" s="593"/>
      <c r="EN59" s="593"/>
      <c r="EO59" s="593"/>
      <c r="EP59" s="593"/>
      <c r="EQ59" s="593"/>
      <c r="ER59" s="593"/>
      <c r="ES59" s="593"/>
      <c r="ET59" s="593"/>
      <c r="EU59" s="593"/>
      <c r="EV59" s="593"/>
      <c r="EW59" s="593"/>
      <c r="EX59" s="593"/>
      <c r="EY59" s="593"/>
      <c r="EZ59" s="593"/>
      <c r="FA59" s="592"/>
      <c r="FB59" s="592"/>
      <c r="FC59" s="402"/>
      <c r="FD59" s="402"/>
      <c r="FE59" s="402"/>
      <c r="FF59" s="592"/>
      <c r="FG59" s="592"/>
      <c r="FH59" s="13"/>
      <c r="FI59" s="13"/>
      <c r="FJ59" s="13"/>
      <c r="FK59" s="1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row>
    <row r="60" spans="1:756" ht="12" customHeight="1">
      <c r="A60" s="61">
        <f>IF(OR(E60="",LEFT(E60,2)=" B",E60="  RF",LEFT(E60,1)="P"),0,C60)</f>
        <v>0</v>
      </c>
      <c r="B60" s="62">
        <f>IF(AND(AA59="",E60=""),0,IF(LEFT(E60,2)="PH",0,1))</f>
        <v>0</v>
      </c>
      <c r="C60" s="1773" t="str">
        <f>IF(AA59="","",C58+1)</f>
        <v/>
      </c>
      <c r="D60" s="1774"/>
      <c r="E60" s="1802"/>
      <c r="F60" s="1803"/>
      <c r="G60" s="1803"/>
      <c r="H60" s="1804"/>
      <c r="I60" s="1778" t="str">
        <f>IF(I127=0,"",I127)</f>
        <v/>
      </c>
      <c r="J60" s="1779"/>
      <c r="K60" s="1780"/>
      <c r="L60" s="1808"/>
      <c r="M60" s="1808"/>
      <c r="N60" s="1808"/>
      <c r="O60" s="1805"/>
      <c r="P60" s="1806"/>
      <c r="Q60" s="1806"/>
      <c r="R60" s="1807"/>
      <c r="S60" s="1784"/>
      <c r="T60" s="1785"/>
      <c r="U60" s="1785"/>
      <c r="V60" s="1786"/>
      <c r="W60" s="1805"/>
      <c r="X60" s="1806"/>
      <c r="Y60" s="1806"/>
      <c r="Z60" s="1807"/>
      <c r="AA60" s="1762"/>
      <c r="AB60" s="1762"/>
      <c r="AC60" s="1762"/>
      <c r="AD60" s="1762"/>
      <c r="AE60" s="1762"/>
      <c r="AF60" s="1763"/>
      <c r="AG60" s="1770" t="str">
        <f>IF(OR($U$11="No",C60=""),"",IF(AM60&lt;&gt;"",AM60,IF(LEFT(E60,2)="PH","",IF(BV60&lt;&gt;"",VLOOKUP(BV60,令別表,4,FALSE)*AA59/100,IF(ISNA(VLOOKUP($AS$16,令別表,4,FALSE)),"",IF(VLOOKUP($AS$16,令別表,4,FALSE)*AA59/100=0,"",VLOOKUP($AS$16,令別表,4,FALSE)*AA59/100))))))</f>
        <v/>
      </c>
      <c r="AH60" s="1771"/>
      <c r="AI60" s="1771"/>
      <c r="AJ60" s="1771"/>
      <c r="AK60" s="1771"/>
      <c r="AL60" s="1772"/>
      <c r="AM60" s="1767"/>
      <c r="AN60" s="1768"/>
      <c r="AO60" s="1768"/>
      <c r="AP60" s="1769"/>
      <c r="AQ60" s="1764" t="str">
        <f t="shared" si="1"/>
        <v/>
      </c>
      <c r="AR60" s="1765"/>
      <c r="AS60" s="1765"/>
      <c r="AT60" s="1765"/>
      <c r="AU60" s="1765"/>
      <c r="AV60" s="1766"/>
      <c r="AW60" s="1790" t="str">
        <f>IF(C60="","",IF(AZ60&lt;&gt;"",AZ60,IF(LEFT(E60,2)="PH","",IF(BV60&lt;&gt;"",1+INT(AG60/VLOOKUP(BV60,令別表,5,FALSE)),IF(ISNA(VLOOKUP($AS$16,令別表,5,FALSE)),"",IF(1+INT(AG60/VLOOKUP($AS$16,令別表,5,FALSE))="","",1+INT(AG60/VLOOKUP($AS$16,令別表,5,FALSE))))))))</f>
        <v/>
      </c>
      <c r="AX60" s="1791"/>
      <c r="AY60" s="1792"/>
      <c r="AZ60" s="2183"/>
      <c r="BA60" s="2184"/>
      <c r="BB60" s="2185"/>
      <c r="BC60" s="1790" t="str">
        <f>IF(E60="","",IF(BF60&lt;&gt;"",BF60,IF(BV60&lt;&gt;"",1+INT(AQ60/VLOOKUP(BV60,令別表,7,FALSE)),IF(ISNA(VLOOKUP($AS$16,令別表,7,FALSE)),"",IF(1+INT(AQ60/VLOOKUP($AS$16,令別表,7,FALSE))="","",1+INT(AQ60/VLOOKUP($AS$16,令別表,7,FALSE)))))))</f>
        <v/>
      </c>
      <c r="BD60" s="1791"/>
      <c r="BE60" s="1791"/>
      <c r="BF60" s="2183"/>
      <c r="BG60" s="2184"/>
      <c r="BH60" s="2185"/>
      <c r="BI60" s="2186" t="str">
        <f>IF(OR(AA59="",E60=""),"",IF(LEFT(E60,2)=" B","無窓",IF(BL60&lt;&gt;"",BL60,IF(BV60&lt;&gt;"",VLOOKUP(BV60,令別表,8,FALSE),IF(OR(LEFT(E60,2)=" B",LEFT(E60,2)="PH"),"無窓",IF(LEFT(E60,2)&lt;&gt;"",VLOOKUP($AS$16,令別表,8,FALSE)))))))</f>
        <v/>
      </c>
      <c r="BJ60" s="2187"/>
      <c r="BK60" s="2187"/>
      <c r="BL60" s="2164"/>
      <c r="BM60" s="2165"/>
      <c r="BN60" s="2166"/>
      <c r="BO60" s="2161" t="str">
        <f>IF(OR(E60="",AA59=""),"",IF(LEFT(E60,2)=" B","無窓",IF(BR60&lt;&gt;"",BR60,IF(BV60&lt;&gt;"",VLOOKUP(BV60,令別表,8,FALSE),IF(OR(LEFT(E60,2)=" B",LEFT(E60,2)="PH"),"無窓",IF(LEFT(E60,2)&lt;&gt;"",VLOOKUP($AS$16,令別表,9,FALSE)))))))</f>
        <v/>
      </c>
      <c r="BP60" s="2162"/>
      <c r="BQ60" s="2163"/>
      <c r="BR60" s="2164"/>
      <c r="BS60" s="2165"/>
      <c r="BT60" s="2166"/>
      <c r="BU60" s="819" t="str">
        <f>IF(AND(LEFT($AS$16,4)="(16)",E60&lt;&gt;"",BV60=""),"■","")</f>
        <v/>
      </c>
      <c r="BV60" s="2201"/>
      <c r="BW60" s="2202"/>
      <c r="BX60" s="2202"/>
      <c r="BY60" s="2203"/>
      <c r="BZ60" s="1810" t="str">
        <f>IF(E60="","",IF(AND(BU60="",BV60="",CB60=1),"済",IF(AND(BU60="",BV60&lt;&gt;"",CB60=1),"済","未")))</f>
        <v/>
      </c>
      <c r="CA60" s="1811"/>
      <c r="CB60" s="659">
        <f>IF(AND(LEFT(E60,4)="  1F",O60&lt;&gt;"",S60&lt;&gt;"",W60&lt;&gt;"",AA59&lt;&gt;""),1,IF(AND(LEFT(E60,4)&lt;&gt;"  1F",O60&lt;&gt;"",S60&lt;&gt;"",AA59&lt;&gt;""),1,0))</f>
        <v>0</v>
      </c>
      <c r="CC60" s="69" t="str">
        <f>IF(C60="","",IF(LEFT(E60,2)=" B",O60,""))</f>
        <v/>
      </c>
      <c r="CD60" s="67" t="str">
        <f>IF(C60="","",IF(E60="  1F",O60,""))</f>
        <v/>
      </c>
      <c r="CE60" s="67" t="str">
        <f>IF(OR(C60="",E60="  1F"),"",IF(AND(LEFT(E60,2)&lt;&gt;" B",LEFT(E60,1)&lt;&gt;"P"),O60,""))</f>
        <v/>
      </c>
      <c r="CF60" s="70" t="str">
        <f>IF(C60="","",IF(LEFT(E60,1)="P",O60,""))</f>
        <v/>
      </c>
      <c r="CG60" s="69" t="str">
        <f>IF(LEFT(E60,2)=" B",E60,"")</f>
        <v/>
      </c>
      <c r="CH60" s="70" t="str">
        <f>IF(BV60="","",IF(LEFT(E60,2)=" B",BV60,""))</f>
        <v/>
      </c>
      <c r="CI60" s="69" t="str">
        <f>IF(E60="  1F",AA59,"")</f>
        <v/>
      </c>
      <c r="CJ60" s="631">
        <f>IF(OR(LEFT(E60,2)=" B",LEFT(E60,2)="PH"),0,IF(CI60="",0,IF(AND(BI60="無窓",BO60="無窓"),3,IF(BI60="無窓",1,IF(BO60="無窓",2,0)))))</f>
        <v>0</v>
      </c>
      <c r="CK60" s="70" t="str">
        <f>IF(BV60="","",IF(E60="  1F",BV60,""))</f>
        <v/>
      </c>
      <c r="CL60" s="69" t="str">
        <f>IF(E60="  2F",E60,"")</f>
        <v/>
      </c>
      <c r="CM60" s="631">
        <f>IF(OR(LEFT(E60,2)=" B",LEFT(E60,2)="PH"),0,IF(CL60="",0,IF(AND(BI60="無窓",BO60="無窓"),3,IF(BI60="無窓",1,IF(BO60="無窓",2,0)))))</f>
        <v>0</v>
      </c>
      <c r="CN60" s="70" t="str">
        <f>IF(BV60="","",IF(E60="  2F",BV60,""))</f>
        <v/>
      </c>
      <c r="CO60" s="69" t="str">
        <f>IF(E60="  3F",AA59,"")</f>
        <v/>
      </c>
      <c r="CP60" s="631">
        <f>IF(OR(LEFT(E60,2)=" B",LEFT(E60,2)="PH"),0,IF(CO60="",0,IF(AND(BI60="無窓",BO60="無窓"),3,IF(BI60="無窓",1,IF(BO60="無窓",2,0)))))</f>
        <v>0</v>
      </c>
      <c r="CQ60" s="70" t="str">
        <f>IF(BV60="","",IF(E60="  3F",BV60,""))</f>
        <v/>
      </c>
      <c r="CR60" s="634" t="str">
        <f>IF(OR(E60="  4F",E60="  5F",E60="  6F",E60="  7F",E60="  8F",E60="  9F",E60=" 10F"),AA59,"")</f>
        <v/>
      </c>
      <c r="CS60" s="631">
        <f>IF(E60="",0,IF(OR(LEFT(E60,2)=" B",LEFT(E60,2)="PH"),0,IF(OR(VALUE(LEFT(E60,3))&lt;4,VALUE(LEFT(E60,3))&gt;10),0,IF(AND(BI60="無窓",BO60="無窓"),3,IF(BI60="無窓",1,IF(BO60="無窓",2,0))))))</f>
        <v>0</v>
      </c>
      <c r="CT60" s="70" t="str">
        <f>IF(OR(E60="",LEFT(E60,2)=" B",LEFT(E60,1)="P"),"",IF(AND(VALUE(LEFT(E60,3))&gt;=4,VALUE(LEFT(E60,3))&lt;11),BV60,""))</f>
        <v/>
      </c>
      <c r="CU60" s="69" t="str">
        <f>IF(OR(LEFT(E60,2)=" B",LEFT(E60,2)="PH",E60=""),"",IF(VALUE(LEFT(E60,3))&gt;10,AA59,""))</f>
        <v/>
      </c>
      <c r="CV60" s="637">
        <f>IF(E60="",0,IF(OR(LEFT(E60,2)=" B",LEFT(E60,2)="PH"),0,IF(AND(BI60="無窓",BO60="無窓"),3,IF(BI60="無窓",1,IF(BO60="無窓",2,0)))))</f>
        <v>0</v>
      </c>
      <c r="CW60" s="67" t="str">
        <f>IF(OR(E60="",LEFT(E60,2)=" B",LEFT(E60,1)="P"),"",IF(VALUE(LEFT(E60,3))&gt;10,BV60,""))</f>
        <v/>
      </c>
      <c r="CX60" s="70" t="str">
        <f>IF(LEFT(E60,2)="PH",AA59,"")</f>
        <v/>
      </c>
      <c r="CY60" s="68" t="str">
        <f>IF(OR(BV60="(2) ロ",BV60="( 4 )",BV60="(5) イ"),1,"")</f>
        <v/>
      </c>
      <c r="CZ60" s="9"/>
      <c r="DA60" s="33"/>
      <c r="DB60" s="33"/>
      <c r="DC60" s="24"/>
      <c r="DD60" s="397" t="s">
        <v>186</v>
      </c>
      <c r="DE60" s="25" t="s">
        <v>30</v>
      </c>
      <c r="DF60" s="26">
        <v>90</v>
      </c>
      <c r="DG60" s="26">
        <v>60</v>
      </c>
      <c r="DH60" s="27">
        <f t="shared" si="0"/>
        <v>10</v>
      </c>
      <c r="DI60" s="28">
        <v>20</v>
      </c>
      <c r="DJ60" s="28" t="s">
        <v>31</v>
      </c>
      <c r="DK60" s="28" t="s">
        <v>31</v>
      </c>
      <c r="DL60" s="29">
        <v>5</v>
      </c>
      <c r="DM60" s="30"/>
      <c r="DN60" s="30"/>
      <c r="DO60" s="30"/>
      <c r="DP60" s="30"/>
      <c r="DQ60" s="30"/>
      <c r="DR60" s="30"/>
      <c r="DS60" s="30"/>
      <c r="DT60" s="30"/>
      <c r="DU60" s="30"/>
      <c r="DV60" s="30"/>
      <c r="DW60" s="30"/>
      <c r="DX60" s="30"/>
      <c r="DY60" s="30"/>
      <c r="DZ60" s="30"/>
      <c r="EA60" s="30"/>
      <c r="EB60" s="30"/>
      <c r="EC60" s="30"/>
      <c r="ED60" s="30"/>
      <c r="EE60" s="30"/>
      <c r="EF60" s="30"/>
      <c r="EG60" s="31"/>
      <c r="EH60" s="31"/>
      <c r="EI60" s="31"/>
      <c r="EJ60" s="31"/>
      <c r="EK60" s="31"/>
      <c r="EL60" s="31"/>
      <c r="EM60" s="31"/>
      <c r="EN60" s="31"/>
      <c r="EO60" s="31"/>
      <c r="EP60" s="31"/>
      <c r="EQ60" s="31"/>
      <c r="ER60" s="31"/>
      <c r="ES60" s="31"/>
      <c r="ET60" s="31"/>
      <c r="EU60" s="31"/>
      <c r="EV60" s="31"/>
      <c r="EW60" s="31"/>
      <c r="EX60" s="31"/>
      <c r="EY60" s="31"/>
      <c r="EZ60" s="31"/>
      <c r="FA60" s="30"/>
      <c r="FB60" s="30"/>
      <c r="FC60" s="32"/>
      <c r="FD60" s="402"/>
      <c r="FE60" s="402"/>
      <c r="FF60" s="30"/>
      <c r="FG60" s="30"/>
      <c r="FH60" s="13"/>
      <c r="FI60" s="13"/>
      <c r="FJ60" s="13"/>
      <c r="FK60" s="1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row>
    <row r="61" spans="1:756" ht="0.75" customHeight="1">
      <c r="A61" s="61"/>
      <c r="B61" s="62"/>
      <c r="C61" s="594"/>
      <c r="D61" s="602"/>
      <c r="E61" s="1754"/>
      <c r="F61" s="1755"/>
      <c r="G61" s="1755"/>
      <c r="H61" s="1756"/>
      <c r="I61" s="602"/>
      <c r="J61" s="602"/>
      <c r="K61" s="602"/>
      <c r="L61" s="1808"/>
      <c r="M61" s="1808"/>
      <c r="N61" s="1808"/>
      <c r="O61" s="794"/>
      <c r="P61" s="795"/>
      <c r="Q61" s="795"/>
      <c r="R61" s="796"/>
      <c r="S61" s="797"/>
      <c r="T61" s="798"/>
      <c r="U61" s="798"/>
      <c r="V61" s="799"/>
      <c r="W61" s="800"/>
      <c r="X61" s="801"/>
      <c r="Y61" s="801"/>
      <c r="Z61" s="802"/>
      <c r="AA61" s="1760" t="str">
        <f>IF(E60="","",O128)</f>
        <v/>
      </c>
      <c r="AB61" s="1760"/>
      <c r="AC61" s="1760"/>
      <c r="AD61" s="1760"/>
      <c r="AE61" s="1760"/>
      <c r="AF61" s="1761"/>
      <c r="AG61" s="783"/>
      <c r="AH61" s="784"/>
      <c r="AI61" s="784"/>
      <c r="AJ61" s="784"/>
      <c r="AK61" s="784"/>
      <c r="AL61" s="784"/>
      <c r="AM61" s="803"/>
      <c r="AN61" s="803"/>
      <c r="AO61" s="803"/>
      <c r="AP61" s="803"/>
      <c r="AQ61" s="1757"/>
      <c r="AR61" s="1758"/>
      <c r="AS61" s="1758"/>
      <c r="AT61" s="1758"/>
      <c r="AU61" s="1758"/>
      <c r="AV61" s="1759"/>
      <c r="AW61" s="784"/>
      <c r="AX61" s="784"/>
      <c r="AY61" s="784"/>
      <c r="AZ61" s="803"/>
      <c r="BA61" s="803"/>
      <c r="BB61" s="803"/>
      <c r="BC61" s="784"/>
      <c r="BD61" s="784"/>
      <c r="BE61" s="784"/>
      <c r="BF61" s="803"/>
      <c r="BG61" s="803"/>
      <c r="BH61" s="803"/>
      <c r="BI61" s="599"/>
      <c r="BJ61" s="599"/>
      <c r="BK61" s="599"/>
      <c r="BL61" s="810"/>
      <c r="BM61" s="810"/>
      <c r="BN61" s="810"/>
      <c r="BO61" s="599"/>
      <c r="BP61" s="599"/>
      <c r="BQ61" s="599"/>
      <c r="BR61" s="810"/>
      <c r="BS61" s="810"/>
      <c r="BT61" s="810"/>
      <c r="BU61" s="599"/>
      <c r="BV61" s="811"/>
      <c r="BW61" s="812"/>
      <c r="BX61" s="812"/>
      <c r="BY61" s="813"/>
      <c r="BZ61" s="599"/>
      <c r="CA61" s="600"/>
      <c r="CB61" s="63"/>
      <c r="CC61" s="69"/>
      <c r="CD61" s="67"/>
      <c r="CE61" s="67"/>
      <c r="CF61" s="70"/>
      <c r="CG61" s="69"/>
      <c r="CH61" s="70"/>
      <c r="CI61" s="69"/>
      <c r="CJ61" s="67"/>
      <c r="CK61" s="70"/>
      <c r="CL61" s="69"/>
      <c r="CM61" s="631"/>
      <c r="CN61" s="70"/>
      <c r="CO61" s="69"/>
      <c r="CP61" s="631"/>
      <c r="CQ61" s="70"/>
      <c r="CR61" s="634"/>
      <c r="CS61" s="67"/>
      <c r="CT61" s="626"/>
      <c r="CU61" s="627"/>
      <c r="CV61" s="639"/>
      <c r="CW61" s="67"/>
      <c r="CX61" s="626"/>
      <c r="CY61" s="598"/>
      <c r="CZ61" s="9"/>
      <c r="DA61" s="33"/>
      <c r="DB61" s="33"/>
      <c r="DC61" s="400"/>
      <c r="DD61" s="401"/>
      <c r="DE61" s="587"/>
      <c r="DF61" s="588"/>
      <c r="DG61" s="588"/>
      <c r="DH61" s="589"/>
      <c r="DI61" s="590"/>
      <c r="DJ61" s="590"/>
      <c r="DK61" s="590"/>
      <c r="DL61" s="591"/>
      <c r="DM61" s="592"/>
      <c r="DN61" s="592"/>
      <c r="DO61" s="592"/>
      <c r="DP61" s="592"/>
      <c r="DQ61" s="592"/>
      <c r="DR61" s="592"/>
      <c r="DS61" s="592"/>
      <c r="DT61" s="592"/>
      <c r="DU61" s="592"/>
      <c r="DV61" s="592"/>
      <c r="DW61" s="592"/>
      <c r="DX61" s="592"/>
      <c r="DY61" s="592"/>
      <c r="DZ61" s="592"/>
      <c r="EA61" s="592"/>
      <c r="EB61" s="592"/>
      <c r="EC61" s="592"/>
      <c r="ED61" s="592"/>
      <c r="EE61" s="592"/>
      <c r="EF61" s="592"/>
      <c r="EG61" s="593"/>
      <c r="EH61" s="593"/>
      <c r="EI61" s="593"/>
      <c r="EJ61" s="593"/>
      <c r="EK61" s="593"/>
      <c r="EL61" s="593"/>
      <c r="EM61" s="593"/>
      <c r="EN61" s="593"/>
      <c r="EO61" s="593"/>
      <c r="EP61" s="593"/>
      <c r="EQ61" s="593"/>
      <c r="ER61" s="593"/>
      <c r="ES61" s="593"/>
      <c r="ET61" s="593"/>
      <c r="EU61" s="593"/>
      <c r="EV61" s="593"/>
      <c r="EW61" s="593"/>
      <c r="EX61" s="593"/>
      <c r="EY61" s="593"/>
      <c r="EZ61" s="593"/>
      <c r="FA61" s="592"/>
      <c r="FB61" s="592"/>
      <c r="FC61" s="402"/>
      <c r="FD61" s="402"/>
      <c r="FE61" s="402"/>
      <c r="FF61" s="592"/>
      <c r="FG61" s="592"/>
      <c r="FH61" s="13"/>
      <c r="FI61" s="13"/>
      <c r="FJ61" s="13"/>
      <c r="FK61" s="1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row>
    <row r="62" spans="1:756" ht="12" customHeight="1" thickBot="1">
      <c r="A62" s="61">
        <f>IF(OR(E62="",LEFT(E62,2)=" B",E62="  RF",LEFT(E62,1)="P"),0,C62)</f>
        <v>0</v>
      </c>
      <c r="B62" s="62">
        <f>IF(AND(AA61="",E62=""),0,IF(LEFT(E62,2)="PH",0,1))</f>
        <v>0</v>
      </c>
      <c r="C62" s="1773" t="str">
        <f>IF(AA61="","",C60+1)</f>
        <v/>
      </c>
      <c r="D62" s="1774"/>
      <c r="E62" s="2189"/>
      <c r="F62" s="2190"/>
      <c r="G62" s="2190"/>
      <c r="H62" s="2191"/>
      <c r="I62" s="1779" t="str">
        <f>IF(I128=0,"",I128)</f>
        <v/>
      </c>
      <c r="J62" s="1779"/>
      <c r="K62" s="1780"/>
      <c r="L62" s="1809"/>
      <c r="M62" s="1809"/>
      <c r="N62" s="1809"/>
      <c r="O62" s="2192"/>
      <c r="P62" s="2193"/>
      <c r="Q62" s="2193"/>
      <c r="R62" s="2194"/>
      <c r="S62" s="2195"/>
      <c r="T62" s="2196"/>
      <c r="U62" s="2196"/>
      <c r="V62" s="2197"/>
      <c r="W62" s="2192"/>
      <c r="X62" s="2193"/>
      <c r="Y62" s="2193"/>
      <c r="Z62" s="2194"/>
      <c r="AA62" s="1762"/>
      <c r="AB62" s="1762"/>
      <c r="AC62" s="1762"/>
      <c r="AD62" s="1762"/>
      <c r="AE62" s="1762"/>
      <c r="AF62" s="1763"/>
      <c r="AG62" s="1770" t="str">
        <f>IF(OR($U$11="No",C62=""),"",IF(AM62&lt;&gt;"",AM62,IF(LEFT(E62,2)="PH","",IF(BV62&lt;&gt;"",VLOOKUP(BV62,令別表,4,FALSE)*AA61/100,IF(ISNA(VLOOKUP($AS$16,令別表,4,FALSE)),"",IF(VLOOKUP($AS$16,令別表,4,FALSE)*AA61/100=0,"",VLOOKUP($AS$16,令別表,4,FALSE)*AA61/100))))))</f>
        <v/>
      </c>
      <c r="AH62" s="1771"/>
      <c r="AI62" s="1771"/>
      <c r="AJ62" s="1771"/>
      <c r="AK62" s="1771"/>
      <c r="AL62" s="1772"/>
      <c r="AM62" s="1767"/>
      <c r="AN62" s="1768"/>
      <c r="AO62" s="1768"/>
      <c r="AP62" s="1769"/>
      <c r="AQ62" s="1764" t="str">
        <f t="shared" si="1"/>
        <v/>
      </c>
      <c r="AR62" s="1765"/>
      <c r="AS62" s="1765"/>
      <c r="AT62" s="1765"/>
      <c r="AU62" s="1765"/>
      <c r="AV62" s="1766"/>
      <c r="AW62" s="1790" t="str">
        <f>IF(C62="","",IF(AZ62&lt;&gt;"",AZ62,IF(LEFT(E62,2)="PH","",IF(BV62&lt;&gt;"",1+INT(AG62/VLOOKUP(BV62,令別表,5,FALSE)),IF(ISNA(VLOOKUP($AS$16,令別表,5,FALSE)),"",IF(1+INT(AG62/VLOOKUP($AS$16,令別表,5,FALSE))="","",1+INT(AG62/VLOOKUP($AS$16,令別表,5,FALSE))))))))</f>
        <v/>
      </c>
      <c r="AX62" s="1791"/>
      <c r="AY62" s="1792"/>
      <c r="AZ62" s="2183"/>
      <c r="BA62" s="2184"/>
      <c r="BB62" s="2185"/>
      <c r="BC62" s="1790" t="str">
        <f>IF(E62="","",IF(BF62&lt;&gt;"",BF62,IF(BV62&lt;&gt;"",1+INT(AQ62/VLOOKUP(BV62,令別表,7,FALSE)),IF(ISNA(VLOOKUP($AS$16,令別表,7,FALSE)),"",IF(1+INT(AQ62/VLOOKUP($AS$16,令別表,7,FALSE))="","",1+INT(AQ62/VLOOKUP($AS$16,令別表,7,FALSE)))))))</f>
        <v/>
      </c>
      <c r="BD62" s="1791"/>
      <c r="BE62" s="1791"/>
      <c r="BF62" s="2183"/>
      <c r="BG62" s="2184"/>
      <c r="BH62" s="2185"/>
      <c r="BI62" s="2186" t="str">
        <f>IF(OR(AA61="",E62=""),"",IF(LEFT(E62,2)=" B","無窓",IF(BL62&lt;&gt;"",BL62,IF(BV62&lt;&gt;"",VLOOKUP(BV62,令別表,8,FALSE),IF(OR(LEFT(E62,2)=" B",LEFT(E62,2)="PH"),"無窓",IF(LEFT(E62,2)&lt;&gt;"",VLOOKUP($AS$16,令別表,8,FALSE)))))))</f>
        <v/>
      </c>
      <c r="BJ62" s="2187"/>
      <c r="BK62" s="2187"/>
      <c r="BL62" s="2164"/>
      <c r="BM62" s="2165"/>
      <c r="BN62" s="2166"/>
      <c r="BO62" s="2161" t="str">
        <f>IF(OR(E62="",AA61=""),"",IF(LEFT(E62,2)=" B","無窓",IF(BR62&lt;&gt;"",BR62,IF(BV62&lt;&gt;"",VLOOKUP(BV62,令別表,8,FALSE),IF(OR(LEFT(E62,2)=" B",LEFT(E62,2)="PH"),"無窓",IF(LEFT(E62,2)&lt;&gt;"",VLOOKUP($AS$16,令別表,9,FALSE)))))))</f>
        <v/>
      </c>
      <c r="BP62" s="2162"/>
      <c r="BQ62" s="2163"/>
      <c r="BR62" s="2164"/>
      <c r="BS62" s="2165"/>
      <c r="BT62" s="2166"/>
      <c r="BU62" s="819" t="str">
        <f>IF(AND(LEFT($AS$16,4)="(16)",E62&lt;&gt;"",BV62=""),"■","")</f>
        <v/>
      </c>
      <c r="BV62" s="2167"/>
      <c r="BW62" s="2168"/>
      <c r="BX62" s="2168"/>
      <c r="BY62" s="2169"/>
      <c r="BZ62" s="1810" t="str">
        <f>IF(E62="","",IF(AND(BU62="",BV62="",CB62=1),"済",IF(AND(BU62="",BV62&lt;&gt;"",CB62=1),"済","未")))</f>
        <v/>
      </c>
      <c r="CA62" s="1811"/>
      <c r="CB62" s="659">
        <f>IF(AND(LEFT(E62,4)="  1F",O62&lt;&gt;"",S62&lt;&gt;"",W62&lt;&gt;"",AA61&lt;&gt;""),1,IF(AND(LEFT(E62,4)&lt;&gt;"  1F",O62&lt;&gt;"",S62&lt;&gt;"",AA61&lt;&gt;""),1,0))</f>
        <v>0</v>
      </c>
      <c r="CC62" s="76" t="str">
        <f>IF(C62="","",IF(LEFT(E62,2)=" B",O62,""))</f>
        <v/>
      </c>
      <c r="CD62" s="78" t="str">
        <f>IF(C62="","",IF(E62="  1F",O62,""))</f>
        <v/>
      </c>
      <c r="CE62" s="78" t="str">
        <f>IF(OR(C62="",E62="  1F"),"",IF(AND(LEFT(E62,2)&lt;&gt;" B",LEFT(E62,1)&lt;&gt;"P"),O62,""))</f>
        <v/>
      </c>
      <c r="CF62" s="75" t="str">
        <f>IF(C62="","",IF(LEFT(E62,1)="P",O62,""))</f>
        <v/>
      </c>
      <c r="CG62" s="76" t="str">
        <f>IF(LEFT(E62,2)=" B",E62,"")</f>
        <v/>
      </c>
      <c r="CH62" s="75" t="str">
        <f>IF(BV62="","",IF(LEFT(E62,2)=" B",BV62,""))</f>
        <v/>
      </c>
      <c r="CI62" s="76" t="str">
        <f>IF(E62="  1F",AA612,"")</f>
        <v/>
      </c>
      <c r="CJ62" s="632">
        <f>IF(OR(LEFT(E62,2)=" B",LEFT(E62,2)="PH"),0,IF(CI62="",0,IF(AND(BI62="無窓",BO62="無窓"),3,IF(BI62="無窓",1,IF(BO62="無窓",2,0)))))</f>
        <v>0</v>
      </c>
      <c r="CK62" s="75" t="str">
        <f>IF(BV62="","",IF(E62="  1F",BV62,""))</f>
        <v/>
      </c>
      <c r="CL62" s="76" t="str">
        <f>IF(E62="  2F",E62,"")</f>
        <v/>
      </c>
      <c r="CM62" s="632">
        <f>IF(OR(LEFT(E62,2)=" B",LEFT(E62,2)="PH"),0,IF(CL62="",0,IF(AND(BI62="無窓",BO62="無窓"),3,IF(BI62="無窓",1,IF(BO62="無窓",2,0)))))</f>
        <v>0</v>
      </c>
      <c r="CN62" s="75" t="str">
        <f>IF(BV62="","",IF(E62="  2F",BV62,""))</f>
        <v/>
      </c>
      <c r="CO62" s="76" t="str">
        <f>IF(E62="  3F",AA61,"")</f>
        <v/>
      </c>
      <c r="CP62" s="632">
        <f>IF(OR(LEFT(E62,2)=" B",LEFT(E62,2)="PH"),0,IF(CO62="",0,IF(AND(BI62="無窓",BO62="無窓"),3,IF(BI62="無窓",1,IF(BO62="無窓",2,0)))))</f>
        <v>0</v>
      </c>
      <c r="CQ62" s="75" t="str">
        <f>IF(BV62="","",IF(E62="  3F",BV62,""))</f>
        <v/>
      </c>
      <c r="CR62" s="640" t="str">
        <f>IF(OR(E62="  4F",E62="  5F",E62="  6F",E62="  7F",E62="  8F",E62="  9F",E62=" 10F"),AA61,"")</f>
        <v/>
      </c>
      <c r="CS62" s="631">
        <f>IF(E62="",0,IF(OR(LEFT(E62,2)=" B",LEFT(E62,2)="PH"),0,IF(OR(VALUE(LEFT(E62,3))&lt;4,VALUE(LEFT(E62,3))&gt;10),0,IF(AND(BI62="無窓",BO62="無窓"),3,IF(BI62="無窓",1,IF(BO62="無窓",2,0))))))</f>
        <v>0</v>
      </c>
      <c r="CT62" s="70" t="str">
        <f>IF(OR(E62="",LEFT(E62,2)=" B",LEFT(E62,1)="P"),"",IF(AND(VALUE(LEFT(E62,3))&gt;=4,VALUE(LEFT(E62,3))&lt;11),BV62,""))</f>
        <v/>
      </c>
      <c r="CU62" s="69" t="str">
        <f>IF(OR(LEFT(E62,2)=" B",LEFT(E62,2)="PH",E62=""),"",IF(VALUE(LEFT(E62,3))&gt;10,AA61,""))</f>
        <v/>
      </c>
      <c r="CV62" s="637">
        <f>IF(E62="",0,IF(OR(LEFT(E62,2)=" B",LEFT(E62,2)="PH"),0,IF(AND(BI62="無窓",BO62="無窓"),3,IF(BI62="無窓",1,IF(BO62="無窓",2,0)))))</f>
        <v>0</v>
      </c>
      <c r="CW62" s="67" t="str">
        <f>IF(OR(E62="",LEFT(E62,2)=" B",LEFT(E62,1)="P"),"",IF(VALUE(LEFT(E62,3))&gt;10,BV62,""))</f>
        <v/>
      </c>
      <c r="CX62" s="70" t="str">
        <f>IF(LEFT(E62,2)="PH",AA61,"")</f>
        <v/>
      </c>
      <c r="CY62" s="68" t="str">
        <f>IF(OR(BV62="(2) ロ",BV62="( 4 )",BV62="(5) イ"),1,"")</f>
        <v/>
      </c>
      <c r="CZ62" s="9"/>
      <c r="DA62" s="33"/>
      <c r="DB62" s="33"/>
      <c r="DC62" s="24"/>
      <c r="DD62" s="397" t="s">
        <v>187</v>
      </c>
      <c r="DE62" s="25" t="s">
        <v>30</v>
      </c>
      <c r="DF62" s="26">
        <v>70</v>
      </c>
      <c r="DG62" s="26">
        <v>60</v>
      </c>
      <c r="DH62" s="27">
        <f t="shared" si="0"/>
        <v>30</v>
      </c>
      <c r="DI62" s="28">
        <v>20</v>
      </c>
      <c r="DJ62" s="28" t="s">
        <v>31</v>
      </c>
      <c r="DK62" s="28" t="s">
        <v>31</v>
      </c>
      <c r="DL62" s="29">
        <v>5</v>
      </c>
      <c r="DM62" s="30"/>
      <c r="DN62" s="30"/>
      <c r="DO62" s="30"/>
      <c r="DP62" s="30"/>
      <c r="DQ62" s="30"/>
      <c r="DR62" s="30"/>
      <c r="DS62" s="30"/>
      <c r="DT62" s="30"/>
      <c r="DU62" s="30"/>
      <c r="DV62" s="30"/>
      <c r="DW62" s="30"/>
      <c r="DX62" s="30"/>
      <c r="DY62" s="30"/>
      <c r="DZ62" s="30"/>
      <c r="EA62" s="30"/>
      <c r="EB62" s="30"/>
      <c r="EC62" s="30"/>
      <c r="ED62" s="30"/>
      <c r="EE62" s="30"/>
      <c r="EF62" s="30"/>
      <c r="EG62" s="31"/>
      <c r="EH62" s="31"/>
      <c r="EI62" s="31"/>
      <c r="EJ62" s="31"/>
      <c r="EK62" s="31"/>
      <c r="EL62" s="31"/>
      <c r="EM62" s="31"/>
      <c r="EN62" s="31"/>
      <c r="EO62" s="31"/>
      <c r="EP62" s="31"/>
      <c r="EQ62" s="31"/>
      <c r="ER62" s="31"/>
      <c r="ES62" s="31"/>
      <c r="ET62" s="31"/>
      <c r="EU62" s="31"/>
      <c r="EV62" s="31"/>
      <c r="EW62" s="31"/>
      <c r="EX62" s="31"/>
      <c r="EY62" s="31"/>
      <c r="EZ62" s="31"/>
      <c r="FA62" s="30"/>
      <c r="FB62" s="30"/>
      <c r="FC62" s="32"/>
      <c r="FD62" s="402"/>
      <c r="FE62" s="402"/>
      <c r="FF62" s="30"/>
      <c r="FG62" s="30"/>
      <c r="FH62" s="13"/>
      <c r="FI62" s="13"/>
      <c r="FJ62" s="13"/>
      <c r="FK62" s="1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row>
    <row r="63" spans="1:756" ht="12" customHeight="1">
      <c r="A63" s="1"/>
      <c r="B63" s="43">
        <f>SUM(B24:B62)</f>
        <v>14</v>
      </c>
      <c r="C63" s="2170">
        <f>MAX(C24:D62)</f>
        <v>16</v>
      </c>
      <c r="D63" s="2170"/>
      <c r="E63" s="406"/>
      <c r="F63" s="406"/>
      <c r="G63" s="406"/>
      <c r="H63" s="406"/>
      <c r="I63" s="394"/>
      <c r="J63" s="394"/>
      <c r="K63" s="394"/>
      <c r="L63" s="394"/>
      <c r="M63" s="670"/>
      <c r="N63" s="394"/>
      <c r="O63" s="406"/>
      <c r="P63" s="406"/>
      <c r="Q63" s="406"/>
      <c r="R63" s="406"/>
      <c r="S63" s="79">
        <f>MAX(S24:V62)</f>
        <v>3</v>
      </c>
      <c r="T63" s="38"/>
      <c r="U63" s="38"/>
      <c r="V63" s="38"/>
      <c r="W63" s="2171">
        <f>IF(SUM(W23:W62)=0,"",SUM(W23:W62))</f>
        <v>0.75</v>
      </c>
      <c r="X63" s="2172"/>
      <c r="Y63" s="2172"/>
      <c r="Z63" s="2173"/>
      <c r="AA63" s="2174">
        <f>IF(SUM(AA23:AA62)=0,"",SUM(AA23:AA62))</f>
        <v>28432</v>
      </c>
      <c r="AB63" s="2175"/>
      <c r="AC63" s="2175"/>
      <c r="AD63" s="2175"/>
      <c r="AE63" s="2175"/>
      <c r="AF63" s="2176"/>
      <c r="AG63" s="2174">
        <f>IF(SUM(AG23:AG62)=0,"",SUM(AG23:AG62))</f>
        <v>20160.000000000004</v>
      </c>
      <c r="AH63" s="2175"/>
      <c r="AI63" s="2175"/>
      <c r="AJ63" s="2175"/>
      <c r="AK63" s="2175"/>
      <c r="AL63" s="2176"/>
      <c r="AM63" s="782"/>
      <c r="AN63" s="782"/>
      <c r="AO63" s="782"/>
      <c r="AP63" s="782"/>
      <c r="AQ63" s="2177">
        <f>IF(SUM(AQ23:AQ62)=0,"",SUM(AQ23:AQ62))</f>
        <v>8272.0000000000036</v>
      </c>
      <c r="AR63" s="2178"/>
      <c r="AS63" s="2178"/>
      <c r="AT63" s="2178"/>
      <c r="AU63" s="2178"/>
      <c r="AV63" s="2179"/>
      <c r="AW63" s="2180">
        <f>IF(SUM(AW23:AW62)=0,"",SUM(AW23:AW62))</f>
        <v>103</v>
      </c>
      <c r="AX63" s="2181"/>
      <c r="AY63" s="2182"/>
      <c r="AZ63" s="782"/>
      <c r="BA63" s="782"/>
      <c r="BB63" s="782"/>
      <c r="BC63" s="2180">
        <f>IF(SUM(BC23:BC62)=0,"",SUM(BC23:BC62))</f>
        <v>245</v>
      </c>
      <c r="BD63" s="2181"/>
      <c r="BE63" s="2182"/>
      <c r="BF63" s="38"/>
      <c r="BG63" s="38"/>
      <c r="BH63" s="38"/>
      <c r="BI63" s="80"/>
      <c r="BJ63" s="80"/>
      <c r="BK63" s="80"/>
      <c r="BL63" s="80"/>
      <c r="BM63" s="80"/>
      <c r="BN63" s="80"/>
      <c r="BO63" s="38"/>
      <c r="BP63" s="38"/>
      <c r="BQ63" s="38"/>
      <c r="BR63" s="81" t="str">
        <f>IF(Q17="","","敷地面積確認")</f>
        <v/>
      </c>
      <c r="BS63" s="82"/>
      <c r="BT63" s="82"/>
      <c r="BU63" s="82"/>
      <c r="BV63" s="668"/>
      <c r="BW63" s="668"/>
      <c r="BX63" s="668"/>
      <c r="BY63" s="668"/>
      <c r="BZ63" s="2188" t="str">
        <f>IF(R20="？天井高？","未",IF(AND(BZ24&lt;&gt;"未",BZ26&lt;&gt;"未",BZ28&lt;&gt;"未",BZ30&lt;&gt;"未",BZ32&lt;&gt;"未",BZ34&lt;&gt;"未",BZ36&lt;&gt;"未",BZ38&lt;&gt;"未",BZ40&lt;&gt;"未",BZ42&lt;&gt;"未",BZ44&lt;&gt;"未",BZ46&lt;&gt;"未",BZ48&lt;&gt;"未",BZ50&lt;&gt;"未",BZ52&lt;&gt;"未",BZ54&lt;&gt;"未",BZ56&lt;&gt;"未",BZ58&lt;&gt;"未",BZ60&lt;&gt;"未",BZ62&lt;&gt;"未",Q18&lt;&gt;"",AB18&lt;&gt;"",AN18&lt;&gt;"",B63&lt;&gt;0),"済","未"))</f>
        <v>済</v>
      </c>
      <c r="CA63" s="2188"/>
      <c r="CB63" s="660"/>
      <c r="CC63" s="83">
        <f>SUM(CC24:CC62)</f>
        <v>10</v>
      </c>
      <c r="CD63" s="84">
        <f>SUM(CD24:CD62)</f>
        <v>5</v>
      </c>
      <c r="CE63" s="84">
        <f>SUM(CE24:CE62)+P63</f>
        <v>44</v>
      </c>
      <c r="CF63" s="84">
        <f>SUM(CF24:CF62)</f>
        <v>8</v>
      </c>
      <c r="CG63" s="84">
        <f>SUM(CG24:CG62)</f>
        <v>0</v>
      </c>
      <c r="CH63" s="84" t="str">
        <f>CONCATENATE(CH24,CH26,CH28,CH30,CH32,CH34,CH36,CH38,CH40,CH42,CH44,CH46,CH48,CH50,CH52,CH54,CH56,CH58,CH60,CH62)</f>
        <v>( 15)(13)イ</v>
      </c>
      <c r="CI63" s="84">
        <f>SUM(CI23:CI62)</f>
        <v>3816</v>
      </c>
      <c r="CJ63" s="84">
        <f>SUM(CJ24:CJ62)</f>
        <v>3</v>
      </c>
      <c r="CK63" s="84" t="str">
        <f>CONCATENATE(CK24,CK26,CK28,CK30,CK32,CK34,CK36,CK38,CK40,CK42,CK44,CK46,CK48,CK50,CK52,CK54,CK56,CK58,CK60,CK62)</f>
        <v>( 4 )</v>
      </c>
      <c r="CL63" s="84">
        <f>SUM(CL24:CL62)</f>
        <v>3816</v>
      </c>
      <c r="CM63" s="84">
        <f>SUM(CM24:CM62)</f>
        <v>3</v>
      </c>
      <c r="CN63" s="84" t="str">
        <f>CONCATENATE(CN24,CN26,CN28,CN30,CN32,CN34,CN36,CN38,CN40,CN42,CN44,CN46,CN48,CN50,CN52,CN54,CN56,CN58,CN60,CN62)</f>
        <v>(3) イ</v>
      </c>
      <c r="CO63" s="84">
        <f>SUM(CO23:CO62)</f>
        <v>3816</v>
      </c>
      <c r="CP63" s="84">
        <f>SUM(CP24:CP62)</f>
        <v>3</v>
      </c>
      <c r="CQ63" s="84" t="str">
        <f>CONCATENATE(CQ24,CQ26,CQ28,CQ30,CQ32,CQ34,CQ36,CQ38,CQ40,CQ42,CQ44,CQ46,CQ48,CQ50,CQ52,CQ54,CQ56,CQ58,CQ60,CQ62)</f>
        <v>( 4 )</v>
      </c>
      <c r="CR63" s="84">
        <f>SUM(CR24:CR62)</f>
        <v>8064</v>
      </c>
      <c r="CS63" s="84">
        <f>SUM(CS24:CS62)</f>
        <v>21</v>
      </c>
      <c r="CT63" s="84" t="str">
        <f>CONCATENATE(CT24,CT26,CT28,CT30,CT32,CT34,CT36,CT38,CT40,CT42,CT44,CT46,CT48,CT50,CT52,CT54,CT56,CT58,CT60,CT62)</f>
        <v>( 4 )( 4 )( 4 )( 4 )( 4 )( 4 )( 4 )</v>
      </c>
      <c r="CU63" s="84">
        <f>SUM(CU24:CU62)</f>
        <v>2304</v>
      </c>
      <c r="CV63" s="84">
        <f>SUM(CV24:CV62)</f>
        <v>36</v>
      </c>
      <c r="CW63" s="84" t="str">
        <f>CONCATENATE(CW24,CW26,CW28,CW30,CW32,CW34,CW36,CW38,CW40,CW42,CW44,CW46,CW48,CW50,CW52,CW54,CW56,CW58,CW60,CW62)</f>
        <v>( 4 )(3) イ</v>
      </c>
      <c r="CX63" s="84">
        <f>SUM(CX23:CX62)</f>
        <v>280</v>
      </c>
      <c r="CY63" s="85">
        <f>SUM(CY24:CY62)</f>
        <v>10</v>
      </c>
      <c r="CZ63" s="9"/>
      <c r="DA63" s="33"/>
      <c r="DB63" s="33"/>
      <c r="DC63" s="52"/>
      <c r="DD63" s="53" t="s">
        <v>188</v>
      </c>
      <c r="DE63" s="72"/>
      <c r="DF63" s="26">
        <v>70</v>
      </c>
      <c r="DG63" s="26">
        <v>50</v>
      </c>
      <c r="DH63" s="27">
        <f t="shared" si="0"/>
        <v>30</v>
      </c>
      <c r="DI63" s="28">
        <v>15</v>
      </c>
      <c r="DJ63" s="28" t="s">
        <v>31</v>
      </c>
      <c r="DK63" s="28" t="s">
        <v>31</v>
      </c>
      <c r="DL63" s="29">
        <v>5</v>
      </c>
      <c r="DM63" s="30"/>
      <c r="DN63" s="30"/>
      <c r="DO63" s="30"/>
      <c r="DP63" s="30"/>
      <c r="DQ63" s="30"/>
      <c r="DR63" s="30"/>
      <c r="DS63" s="30"/>
      <c r="DT63" s="30"/>
      <c r="DU63" s="30"/>
      <c r="DV63" s="30"/>
      <c r="DW63" s="30"/>
      <c r="DX63" s="30"/>
      <c r="DY63" s="30"/>
      <c r="DZ63" s="30"/>
      <c r="EA63" s="30"/>
      <c r="EB63" s="30"/>
      <c r="EC63" s="30"/>
      <c r="ED63" s="30"/>
      <c r="EE63" s="30"/>
      <c r="EF63" s="30"/>
      <c r="EG63" s="31"/>
      <c r="EH63" s="31"/>
      <c r="EI63" s="31"/>
      <c r="EJ63" s="31"/>
      <c r="EK63" s="31"/>
      <c r="EL63" s="31"/>
      <c r="EM63" s="31"/>
      <c r="EN63" s="31"/>
      <c r="EO63" s="31"/>
      <c r="EP63" s="31"/>
      <c r="EQ63" s="31"/>
      <c r="ER63" s="31"/>
      <c r="ES63" s="31"/>
      <c r="ET63" s="31"/>
      <c r="EU63" s="31"/>
      <c r="EV63" s="31"/>
      <c r="EW63" s="31"/>
      <c r="EX63" s="31"/>
      <c r="EY63" s="31"/>
      <c r="EZ63" s="31"/>
      <c r="FA63" s="30"/>
      <c r="FB63" s="30"/>
      <c r="FC63" s="54"/>
      <c r="FD63" s="623"/>
      <c r="FE63" s="623"/>
      <c r="FF63" s="30"/>
      <c r="FG63" s="30"/>
      <c r="FH63" s="13"/>
      <c r="FI63" s="13"/>
      <c r="FJ63" s="13"/>
      <c r="FK63" s="1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row>
    <row r="64" spans="1:756" ht="12" customHeight="1" thickBot="1">
      <c r="A64" s="1"/>
      <c r="B64" s="43"/>
      <c r="C64" s="710"/>
      <c r="D64" s="710"/>
      <c r="E64" s="710"/>
      <c r="F64" s="710"/>
      <c r="G64" s="710"/>
      <c r="H64" s="710"/>
      <c r="I64" s="710"/>
      <c r="J64" s="710"/>
      <c r="K64" s="406"/>
      <c r="L64" s="406"/>
      <c r="M64" s="671"/>
      <c r="N64" s="406"/>
      <c r="O64" s="406"/>
      <c r="P64" s="406"/>
      <c r="Q64" s="406"/>
      <c r="R64" s="406"/>
      <c r="S64" s="79"/>
      <c r="T64" s="38"/>
      <c r="U64" s="406"/>
      <c r="V64" s="406"/>
      <c r="W64" s="406"/>
      <c r="X64" s="406"/>
      <c r="Y64" s="406"/>
      <c r="Z64" s="406"/>
      <c r="AA64" s="406"/>
      <c r="AB64" s="394"/>
      <c r="AC64" s="394"/>
      <c r="AD64" s="394"/>
      <c r="AE64" s="394"/>
      <c r="AF64" s="394"/>
      <c r="AG64" s="394"/>
      <c r="AH64" s="394"/>
      <c r="AI64" s="394"/>
      <c r="AJ64" s="394"/>
      <c r="AK64" s="394"/>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38"/>
      <c r="BI64" s="38"/>
      <c r="BJ64" s="38"/>
      <c r="BK64" s="38"/>
      <c r="BL64" s="38"/>
      <c r="BM64" s="38"/>
      <c r="BN64" s="38"/>
      <c r="BO64" s="38"/>
      <c r="BP64" s="38"/>
      <c r="BQ64" s="38"/>
      <c r="BR64" s="711"/>
      <c r="BS64" s="668"/>
      <c r="BT64" s="668"/>
      <c r="BU64" s="668"/>
      <c r="BV64" s="668"/>
      <c r="BW64" s="668"/>
      <c r="BX64" s="668"/>
      <c r="BY64" s="406"/>
      <c r="BZ64" s="406"/>
      <c r="CA64" s="406"/>
      <c r="CB64" s="660"/>
      <c r="CC64" s="712"/>
      <c r="CD64" s="713"/>
      <c r="CE64" s="713"/>
      <c r="CF64" s="713"/>
      <c r="CG64" s="713"/>
      <c r="CH64" s="713"/>
      <c r="CI64" s="713"/>
      <c r="CJ64" s="713"/>
      <c r="CK64" s="713"/>
      <c r="CL64" s="713"/>
      <c r="CM64" s="713"/>
      <c r="CN64" s="713"/>
      <c r="CO64" s="713"/>
      <c r="CP64" s="713"/>
      <c r="CQ64" s="713"/>
      <c r="CR64" s="713"/>
      <c r="CS64" s="713"/>
      <c r="CT64" s="713"/>
      <c r="CU64" s="713"/>
      <c r="CV64" s="713"/>
      <c r="CW64" s="713"/>
      <c r="CX64" s="713"/>
      <c r="CY64" s="714"/>
      <c r="CZ64" s="9"/>
      <c r="DA64" s="33"/>
      <c r="DB64" s="33"/>
      <c r="DC64" s="620"/>
      <c r="DD64" s="621"/>
      <c r="DE64" s="622"/>
      <c r="DF64" s="588"/>
      <c r="DG64" s="588"/>
      <c r="DH64" s="589"/>
      <c r="DI64" s="590"/>
      <c r="DJ64" s="590"/>
      <c r="DK64" s="590"/>
      <c r="DL64" s="591"/>
      <c r="DM64" s="592"/>
      <c r="DN64" s="592"/>
      <c r="DO64" s="592"/>
      <c r="DP64" s="592"/>
      <c r="DQ64" s="592"/>
      <c r="DR64" s="592"/>
      <c r="DS64" s="592"/>
      <c r="DT64" s="592"/>
      <c r="DU64" s="592"/>
      <c r="DV64" s="592"/>
      <c r="DW64" s="592"/>
      <c r="DX64" s="592"/>
      <c r="DY64" s="592"/>
      <c r="DZ64" s="592"/>
      <c r="EA64" s="592"/>
      <c r="EB64" s="592"/>
      <c r="EC64" s="592"/>
      <c r="ED64" s="592"/>
      <c r="EE64" s="592"/>
      <c r="EF64" s="592"/>
      <c r="EG64" s="593"/>
      <c r="EH64" s="593"/>
      <c r="EI64" s="593"/>
      <c r="EJ64" s="593"/>
      <c r="EK64" s="593"/>
      <c r="EL64" s="593"/>
      <c r="EM64" s="593"/>
      <c r="EN64" s="593"/>
      <c r="EO64" s="593"/>
      <c r="EP64" s="593"/>
      <c r="EQ64" s="593"/>
      <c r="ER64" s="593"/>
      <c r="ES64" s="593"/>
      <c r="ET64" s="593"/>
      <c r="EU64" s="593"/>
      <c r="EV64" s="593"/>
      <c r="EW64" s="593"/>
      <c r="EX64" s="593"/>
      <c r="EY64" s="593"/>
      <c r="EZ64" s="593"/>
      <c r="FA64" s="592"/>
      <c r="FB64" s="592"/>
      <c r="FC64" s="623"/>
      <c r="FD64" s="623"/>
      <c r="FE64" s="623"/>
      <c r="FF64" s="592"/>
      <c r="FG64" s="592"/>
      <c r="FH64" s="13"/>
      <c r="FI64" s="13"/>
      <c r="FJ64" s="13"/>
      <c r="FK64" s="1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row>
    <row r="65" spans="1:756" ht="11.25" customHeight="1" thickBot="1">
      <c r="A65" s="1"/>
      <c r="B65" s="56"/>
      <c r="C65" s="395"/>
      <c r="D65" s="395"/>
      <c r="E65" s="396"/>
      <c r="F65" s="396"/>
      <c r="G65" s="396"/>
      <c r="H65" s="396"/>
      <c r="I65" s="396"/>
      <c r="J65" s="396"/>
      <c r="K65" s="396"/>
      <c r="L65" s="406"/>
      <c r="M65" s="671"/>
      <c r="N65" s="406"/>
      <c r="O65" s="406"/>
      <c r="P65" s="406"/>
      <c r="Q65" s="406"/>
      <c r="R65" s="406"/>
      <c r="S65" s="38"/>
      <c r="T65" s="38"/>
      <c r="U65" s="38"/>
      <c r="V65" s="38"/>
      <c r="W65" s="38"/>
      <c r="X65" s="38"/>
      <c r="Y65" s="38"/>
      <c r="Z65" s="38"/>
      <c r="AA65" s="38"/>
      <c r="AB65" s="1857" t="str">
        <f>IF(AQ85=0,"","Max ")</f>
        <v xml:space="preserve">Max </v>
      </c>
      <c r="AC65" s="1857"/>
      <c r="AD65" s="1858">
        <f>IF(AQ85=0,"",MAX(AA23:AA62))</f>
        <v>3816</v>
      </c>
      <c r="AE65" s="1858"/>
      <c r="AF65" s="1858"/>
      <c r="AG65" s="1874" t="str">
        <f>IF(AQ85=0,"","Max ")</f>
        <v xml:space="preserve">Max </v>
      </c>
      <c r="AH65" s="1874"/>
      <c r="AI65" s="1858">
        <f>IF(AQ85=0,"",MAX(AG23:AG62))</f>
        <v>2851.2</v>
      </c>
      <c r="AJ65" s="1858"/>
      <c r="AK65" s="1858"/>
      <c r="AL65" s="38"/>
      <c r="AM65" s="38"/>
      <c r="AN65" s="38"/>
      <c r="AO65" s="38"/>
      <c r="AP65" s="38"/>
      <c r="AQ65" s="38"/>
      <c r="AR65" s="38"/>
      <c r="AS65" s="38"/>
      <c r="AT65" s="38"/>
      <c r="AU65" s="38"/>
      <c r="AV65" s="38"/>
      <c r="AW65" s="38"/>
      <c r="AX65" s="38"/>
      <c r="AY65" s="2545" t="s">
        <v>2161</v>
      </c>
      <c r="AZ65" s="2546"/>
      <c r="BA65" s="2546"/>
      <c r="BB65" s="2546"/>
      <c r="BC65" s="2546"/>
      <c r="BD65" s="2547"/>
      <c r="BE65" s="38"/>
      <c r="BF65" s="2149" t="s">
        <v>197</v>
      </c>
      <c r="BG65" s="2544"/>
      <c r="BH65" s="2544"/>
      <c r="BI65" s="2544"/>
      <c r="BJ65" s="2151"/>
      <c r="BK65" s="2149" t="s">
        <v>189</v>
      </c>
      <c r="BL65" s="2150"/>
      <c r="BM65" s="2150"/>
      <c r="BN65" s="2150"/>
      <c r="BO65" s="2151"/>
      <c r="BP65" s="87" t="s">
        <v>190</v>
      </c>
      <c r="BQ65" s="87" t="s">
        <v>191</v>
      </c>
      <c r="BR65" s="2152" t="s">
        <v>192</v>
      </c>
      <c r="BS65" s="2153"/>
      <c r="BT65" s="2154"/>
      <c r="BU65" s="87"/>
      <c r="BV65" s="87" t="s">
        <v>191</v>
      </c>
      <c r="BW65" s="1847" t="s">
        <v>67</v>
      </c>
      <c r="BX65" s="1848"/>
      <c r="BY65" s="1848"/>
      <c r="BZ65" s="1848"/>
      <c r="CA65" s="1849"/>
      <c r="CB65" s="201"/>
      <c r="CC65" s="886" t="s">
        <v>193</v>
      </c>
      <c r="CD65" s="60">
        <v>1</v>
      </c>
      <c r="CE65" s="60" t="s">
        <v>194</v>
      </c>
      <c r="CF65" s="60" t="s">
        <v>195</v>
      </c>
      <c r="CG65" s="887" t="s">
        <v>193</v>
      </c>
      <c r="CH65" s="887" t="s">
        <v>128</v>
      </c>
      <c r="CI65" s="887">
        <v>1</v>
      </c>
      <c r="CJ65" s="887" t="s">
        <v>129</v>
      </c>
      <c r="CK65" s="887" t="s">
        <v>128</v>
      </c>
      <c r="CL65" s="887">
        <v>2</v>
      </c>
      <c r="CM65" s="887" t="s">
        <v>129</v>
      </c>
      <c r="CN65" s="887" t="s">
        <v>128</v>
      </c>
      <c r="CO65" s="887">
        <v>3</v>
      </c>
      <c r="CP65" s="887" t="s">
        <v>129</v>
      </c>
      <c r="CQ65" s="887" t="s">
        <v>128</v>
      </c>
      <c r="CR65" s="887">
        <v>4</v>
      </c>
      <c r="CS65" s="887" t="s">
        <v>129</v>
      </c>
      <c r="CT65" s="887" t="s">
        <v>128</v>
      </c>
      <c r="CU65" s="887">
        <v>11</v>
      </c>
      <c r="CV65" s="887" t="s">
        <v>129</v>
      </c>
      <c r="CW65" s="887" t="s">
        <v>128</v>
      </c>
      <c r="CX65" s="887" t="s">
        <v>130</v>
      </c>
      <c r="CY65" s="58"/>
      <c r="CZ65" s="9"/>
      <c r="DA65" s="33"/>
      <c r="DB65" s="33"/>
      <c r="DC65" s="52"/>
      <c r="DD65" s="53" t="s">
        <v>196</v>
      </c>
      <c r="DE65" s="72"/>
      <c r="DF65" s="26">
        <v>99.9</v>
      </c>
      <c r="DG65" s="26">
        <v>500</v>
      </c>
      <c r="DH65" s="27">
        <v>0.1</v>
      </c>
      <c r="DI65" s="28">
        <v>20</v>
      </c>
      <c r="DJ65" s="28" t="s">
        <v>31</v>
      </c>
      <c r="DK65" s="28" t="s">
        <v>75</v>
      </c>
      <c r="DL65" s="29">
        <v>20</v>
      </c>
      <c r="DM65" s="30"/>
      <c r="DN65" s="30"/>
      <c r="DO65" s="30"/>
      <c r="DP65" s="30"/>
      <c r="DQ65" s="30"/>
      <c r="DR65" s="30"/>
      <c r="DS65" s="30"/>
      <c r="DT65" s="30"/>
      <c r="DU65" s="30"/>
      <c r="DV65" s="30"/>
      <c r="DW65" s="30"/>
      <c r="DX65" s="30"/>
      <c r="DY65" s="30"/>
      <c r="DZ65" s="30"/>
      <c r="EA65" s="30"/>
      <c r="EB65" s="30"/>
      <c r="EC65" s="30"/>
      <c r="ED65" s="30"/>
      <c r="EE65" s="30"/>
      <c r="EF65" s="30"/>
      <c r="EG65" s="31"/>
      <c r="EH65" s="31"/>
      <c r="EI65" s="31"/>
      <c r="EJ65" s="31"/>
      <c r="EK65" s="31"/>
      <c r="EL65" s="31"/>
      <c r="EM65" s="31"/>
      <c r="EN65" s="31"/>
      <c r="EO65" s="31"/>
      <c r="EP65" s="31"/>
      <c r="EQ65" s="31"/>
      <c r="ER65" s="31"/>
      <c r="ES65" s="31"/>
      <c r="ET65" s="31"/>
      <c r="EU65" s="31"/>
      <c r="EV65" s="31"/>
      <c r="EW65" s="31"/>
      <c r="EX65" s="31"/>
      <c r="EY65" s="31"/>
      <c r="EZ65" s="31"/>
      <c r="FA65" s="30"/>
      <c r="FB65" s="30"/>
      <c r="FC65" s="54"/>
      <c r="FD65" s="623"/>
      <c r="FE65" s="623"/>
      <c r="FF65" s="30"/>
      <c r="FG65" s="30"/>
      <c r="FH65" s="13"/>
      <c r="FI65" s="13"/>
      <c r="FJ65" s="13"/>
      <c r="FK65" s="1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row>
    <row r="66" spans="1:756" ht="12" customHeight="1" thickBot="1">
      <c r="A66" s="1"/>
      <c r="B66" s="56"/>
      <c r="C66" s="2126" t="str">
        <f>IF(AQ85=0,"","GL－")</f>
        <v>GL－</v>
      </c>
      <c r="D66" s="2126"/>
      <c r="E66" s="2126"/>
      <c r="F66" s="2126"/>
      <c r="G66" s="1880">
        <f>IF(CC63=0,"",CC63-W63)</f>
        <v>9.25</v>
      </c>
      <c r="H66" s="1881"/>
      <c r="I66" s="1881"/>
      <c r="J66" s="1881"/>
      <c r="K66" s="1881"/>
      <c r="L66" s="1882" t="str">
        <f>IF(G66="","","m")</f>
        <v>m</v>
      </c>
      <c r="M66" s="1883"/>
      <c r="N66" s="407"/>
      <c r="O66" s="407"/>
      <c r="P66" s="407"/>
      <c r="Q66" s="407"/>
      <c r="R66" s="407"/>
      <c r="S66" s="1883"/>
      <c r="T66" s="2127"/>
      <c r="U66" s="2128" t="str">
        <f>IF(AQ85=0,"","RF(GL+)")</f>
        <v>RF(GL+)</v>
      </c>
      <c r="V66" s="2129"/>
      <c r="W66" s="2129"/>
      <c r="X66" s="2129"/>
      <c r="Y66" s="2129"/>
      <c r="Z66" s="2130"/>
      <c r="AA66" s="1880">
        <f>Y130</f>
        <v>49.75</v>
      </c>
      <c r="AB66" s="1881"/>
      <c r="AC66" s="1881"/>
      <c r="AD66" s="1881"/>
      <c r="AE66" s="1881"/>
      <c r="AF66" s="2131"/>
      <c r="AG66" s="1882" t="str">
        <f>IF(AA66="","","m")</f>
        <v>m</v>
      </c>
      <c r="AH66" s="2127"/>
      <c r="AI66" s="2198" t="str">
        <f>IF(AQ85=0,"","PH(GL+)")</f>
        <v>PH(GL+)</v>
      </c>
      <c r="AJ66" s="2199"/>
      <c r="AK66" s="2199"/>
      <c r="AL66" s="2199"/>
      <c r="AM66" s="2199"/>
      <c r="AN66" s="2200"/>
      <c r="AO66" s="1880">
        <f>Y131</f>
        <v>57.75</v>
      </c>
      <c r="AP66" s="1881"/>
      <c r="AQ66" s="1881"/>
      <c r="AR66" s="1881"/>
      <c r="AS66" s="1881"/>
      <c r="AT66" s="2131"/>
      <c r="AU66" s="1882" t="str">
        <f>IF(AO66="","","m")</f>
        <v>m</v>
      </c>
      <c r="AV66" s="1883"/>
      <c r="AW66" s="38"/>
      <c r="AX66" s="38"/>
      <c r="AY66" s="38"/>
      <c r="AZ66" s="2545" t="s">
        <v>2160</v>
      </c>
      <c r="BA66" s="2546"/>
      <c r="BB66" s="2546"/>
      <c r="BC66" s="2546"/>
      <c r="BD66" s="2547"/>
      <c r="BE66" s="38"/>
      <c r="BF66" s="38"/>
      <c r="BG66" s="1847" t="s">
        <v>1984</v>
      </c>
      <c r="BH66" s="1848"/>
      <c r="BI66" s="1849"/>
      <c r="BJ66" s="38"/>
      <c r="BK66" s="2158" t="s">
        <v>198</v>
      </c>
      <c r="BL66" s="2159"/>
      <c r="BM66" s="2159"/>
      <c r="BN66" s="2159"/>
      <c r="BO66" s="2160"/>
      <c r="BP66" s="88" t="s">
        <v>199</v>
      </c>
      <c r="BQ66" s="88" t="s">
        <v>191</v>
      </c>
      <c r="BR66" s="1847" t="s">
        <v>200</v>
      </c>
      <c r="BS66" s="1848"/>
      <c r="BT66" s="1849"/>
      <c r="BU66" s="38"/>
      <c r="BV66" s="38"/>
      <c r="BW66" s="2155" t="s">
        <v>202</v>
      </c>
      <c r="BX66" s="2156"/>
      <c r="BY66" s="2156"/>
      <c r="BZ66" s="2156"/>
      <c r="CA66" s="2157"/>
      <c r="CB66" s="63"/>
      <c r="CC66" s="35"/>
      <c r="CD66" s="9"/>
      <c r="CE66" s="9"/>
      <c r="CF66" s="9"/>
      <c r="CG66" s="66">
        <f>CG63</f>
        <v>0</v>
      </c>
      <c r="CH66" s="9"/>
      <c r="CI66" s="89">
        <f>IF(OR(CJ63=2,CJ63=3),CI63,0)</f>
        <v>3816</v>
      </c>
      <c r="CJ66" s="9"/>
      <c r="CK66" s="9"/>
      <c r="CL66" s="89">
        <f>IF(OR(CM63=2,CM63=3),CL63,0)</f>
        <v>3816</v>
      </c>
      <c r="CM66" s="9"/>
      <c r="CN66" s="9"/>
      <c r="CO66" s="89">
        <f>IF(OR(CP63=2,CP63=3),CO63,0)</f>
        <v>3816</v>
      </c>
      <c r="CP66" s="9"/>
      <c r="CQ66" s="9"/>
      <c r="CR66" s="89">
        <f>IF(OR(CS63=2,CS63=3),CR63,0)</f>
        <v>0</v>
      </c>
      <c r="CS66" s="9"/>
      <c r="CT66" s="9"/>
      <c r="CU66" s="89">
        <f>IF(OR(CV63=2,CV63=3),CU63,0)</f>
        <v>0</v>
      </c>
      <c r="CV66" s="9"/>
      <c r="CW66" s="9"/>
      <c r="CX66" s="9"/>
      <c r="CY66" s="9"/>
      <c r="CZ66" s="9"/>
      <c r="DA66" s="33"/>
      <c r="DB66" s="9"/>
      <c r="DC66" s="53" t="s">
        <v>203</v>
      </c>
      <c r="DD66" s="53" t="s">
        <v>204</v>
      </c>
      <c r="DE66" s="72"/>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13"/>
      <c r="FI66" s="13"/>
      <c r="FJ66" s="13"/>
      <c r="FK66" s="1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row>
    <row r="67" spans="1:756" ht="2.25" customHeight="1">
      <c r="A67" s="1"/>
      <c r="B67" s="42"/>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7"/>
      <c r="CC67" s="90"/>
      <c r="CD67" s="90"/>
      <c r="CE67" s="90"/>
      <c r="CF67" s="90"/>
      <c r="CG67" s="9"/>
      <c r="CH67" s="9"/>
      <c r="CI67" s="9"/>
      <c r="CJ67" s="9"/>
      <c r="CK67" s="9"/>
      <c r="CL67" s="9"/>
      <c r="CM67" s="9"/>
      <c r="CN67" s="9"/>
      <c r="CO67" s="9"/>
      <c r="CP67" s="9"/>
      <c r="CQ67" s="9"/>
      <c r="CR67" s="9"/>
      <c r="CS67" s="9"/>
      <c r="CT67" s="9"/>
      <c r="CU67" s="9"/>
      <c r="CV67" s="9"/>
      <c r="CW67" s="9"/>
      <c r="CX67" s="9"/>
      <c r="CY67" s="9"/>
      <c r="CZ67" s="9"/>
      <c r="DA67" s="9"/>
      <c r="DB67" s="9"/>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row>
    <row r="68" spans="1:756" ht="1.5" customHeight="1">
      <c r="A68" s="1"/>
      <c r="B68" s="91"/>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202"/>
      <c r="CC68" s="90"/>
      <c r="CD68" s="90"/>
      <c r="CE68" s="90"/>
      <c r="CF68" s="90"/>
      <c r="CG68" s="9"/>
      <c r="CH68" s="9"/>
      <c r="CI68" s="9"/>
      <c r="CJ68" s="9"/>
      <c r="CK68" s="9"/>
      <c r="CL68" s="9"/>
      <c r="CM68" s="9"/>
      <c r="CN68" s="9"/>
      <c r="CO68" s="9"/>
      <c r="CP68" s="9"/>
      <c r="CQ68" s="9"/>
      <c r="CR68" s="9"/>
      <c r="CS68" s="9"/>
      <c r="CT68" s="9"/>
      <c r="CU68" s="9"/>
      <c r="CV68" s="9"/>
      <c r="CW68" s="9"/>
      <c r="CX68" s="9"/>
      <c r="CY68" s="9"/>
      <c r="CZ68" s="9"/>
      <c r="DA68" s="9"/>
      <c r="DB68" s="9"/>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row>
    <row r="69" spans="1:756" ht="2.25" customHeight="1">
      <c r="A69" s="1"/>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7"/>
      <c r="CC69" s="90"/>
      <c r="CD69" s="90"/>
      <c r="CE69" s="90"/>
      <c r="CF69" s="90"/>
      <c r="CG69" s="9"/>
      <c r="CH69" s="9"/>
      <c r="CI69" s="9"/>
      <c r="CJ69" s="9"/>
      <c r="CK69" s="9"/>
      <c r="CL69" s="9"/>
      <c r="CM69" s="9"/>
      <c r="CN69" s="9"/>
      <c r="CO69" s="9"/>
      <c r="CP69" s="9"/>
      <c r="CQ69" s="9"/>
      <c r="CR69" s="9"/>
      <c r="CS69" s="9"/>
      <c r="CT69" s="9"/>
      <c r="CU69" s="9"/>
      <c r="CV69" s="9"/>
      <c r="CW69" s="9"/>
      <c r="CX69" s="9"/>
      <c r="CY69" s="9"/>
      <c r="CZ69" s="9"/>
      <c r="DA69" s="9"/>
      <c r="DB69" s="9"/>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row>
    <row r="70" spans="1:756" ht="9.75" customHeight="1">
      <c r="A70" s="2094"/>
      <c r="B70" s="37"/>
      <c r="C70" s="2145" t="s">
        <v>205</v>
      </c>
      <c r="D70" s="2146"/>
      <c r="E70" s="2146"/>
      <c r="F70" s="2146"/>
      <c r="G70" s="2146"/>
      <c r="H70" s="2146"/>
      <c r="I70" s="2146"/>
      <c r="J70" s="2146"/>
      <c r="K70" s="2146"/>
      <c r="L70" s="2146"/>
      <c r="M70" s="2146"/>
      <c r="N70" s="2146"/>
      <c r="O70" s="2133">
        <v>1</v>
      </c>
      <c r="P70" s="2134"/>
      <c r="Q70" s="2134">
        <v>2</v>
      </c>
      <c r="R70" s="2134"/>
      <c r="S70" s="2134">
        <v>3</v>
      </c>
      <c r="T70" s="2135"/>
      <c r="U70" s="2095" t="s">
        <v>206</v>
      </c>
      <c r="V70" s="2096"/>
      <c r="W70" s="2096"/>
      <c r="X70" s="2096"/>
      <c r="Y70" s="2097" t="s">
        <v>207</v>
      </c>
      <c r="Z70" s="2097"/>
      <c r="AA70" s="2097"/>
      <c r="AB70" s="2097"/>
      <c r="AC70" s="2097"/>
      <c r="AD70" s="2097"/>
      <c r="AE70" s="2096" t="s">
        <v>208</v>
      </c>
      <c r="AF70" s="2096"/>
      <c r="AG70" s="2098"/>
      <c r="AH70" s="2099" t="s">
        <v>209</v>
      </c>
      <c r="AI70" s="2100"/>
      <c r="AJ70" s="2100"/>
      <c r="AK70" s="2100"/>
      <c r="AL70" s="2100"/>
      <c r="AM70" s="2101"/>
      <c r="AN70" s="2143" t="s">
        <v>210</v>
      </c>
      <c r="AO70" s="2144"/>
      <c r="AP70" s="1825" t="s">
        <v>211</v>
      </c>
      <c r="AQ70" s="1826"/>
      <c r="AR70" s="1826"/>
      <c r="AS70" s="1826"/>
      <c r="AT70" s="1826"/>
      <c r="AU70" s="1826"/>
      <c r="AV70" s="1826"/>
      <c r="AW70" s="1826"/>
      <c r="AX70" s="1826"/>
      <c r="AY70" s="1826"/>
      <c r="AZ70" s="1826"/>
      <c r="BA70" s="1826"/>
      <c r="BB70" s="1826"/>
      <c r="BC70" s="1826"/>
      <c r="BD70" s="1826"/>
      <c r="BE70" s="1826"/>
      <c r="BF70" s="1826"/>
      <c r="BG70" s="1827"/>
      <c r="BH70" s="2091" t="s">
        <v>212</v>
      </c>
      <c r="BI70" s="2092"/>
      <c r="BJ70" s="2091" t="s">
        <v>213</v>
      </c>
      <c r="BK70" s="2092"/>
      <c r="BL70" s="2091" t="s">
        <v>214</v>
      </c>
      <c r="BM70" s="2093"/>
      <c r="BN70" s="2093"/>
      <c r="BO70" s="2092"/>
      <c r="BP70" s="2091" t="s">
        <v>215</v>
      </c>
      <c r="BQ70" s="2093"/>
      <c r="BR70" s="2093"/>
      <c r="BS70" s="2092"/>
      <c r="BT70" s="1825" t="s">
        <v>216</v>
      </c>
      <c r="BU70" s="1826"/>
      <c r="BV70" s="1826"/>
      <c r="BW70" s="1826"/>
      <c r="BX70" s="1827"/>
      <c r="BY70" s="1828" t="s">
        <v>217</v>
      </c>
      <c r="BZ70" s="1829"/>
      <c r="CA70" s="1830"/>
      <c r="CB70" s="63"/>
      <c r="CC70" s="9"/>
      <c r="CD70" s="9"/>
      <c r="CE70" s="9"/>
      <c r="CF70" s="9"/>
      <c r="CG70" s="9"/>
      <c r="CH70" s="887" t="str">
        <f>IF(LEN(CH63)&gt;5,LEFT(CH63,5),CH63)</f>
        <v>( 15)</v>
      </c>
      <c r="CI70" s="9"/>
      <c r="CJ70" s="9"/>
      <c r="CK70" s="887" t="str">
        <f>IF(LEN(CK63)&gt;5,LEFT(CK63,5),CK63)</f>
        <v>( 4 )</v>
      </c>
      <c r="CL70" s="9"/>
      <c r="CM70" s="9"/>
      <c r="CN70" s="887" t="str">
        <f>IF(LEN(CN63)&gt;5,LEFT(CN63,5),CN63)</f>
        <v>(3) イ</v>
      </c>
      <c r="CO70" s="9"/>
      <c r="CP70" s="9"/>
      <c r="CQ70" s="887" t="str">
        <f>IF(LEN(CQ63)&gt;5,LEFT(CQ63,5),CQ63)</f>
        <v>( 4 )</v>
      </c>
      <c r="CR70" s="9"/>
      <c r="CS70" s="9"/>
      <c r="CT70" s="887" t="str">
        <f>IF(LEN(CT63)&gt;5,LEFT(CT63,5),CT63)</f>
        <v>( 4 )</v>
      </c>
      <c r="CU70" s="9"/>
      <c r="CV70" s="9"/>
      <c r="CW70" s="887" t="str">
        <f>IF(LEN(CW63)&gt;5,LEFT(CW63,5),CW63)</f>
        <v>( 4 )</v>
      </c>
      <c r="CX70" s="9"/>
      <c r="CY70" s="9"/>
      <c r="CZ70" s="9"/>
      <c r="DA70" s="9"/>
      <c r="DB70" s="9"/>
      <c r="DC70" s="93"/>
      <c r="DD70" s="94" t="s">
        <v>218</v>
      </c>
      <c r="DE70" s="93"/>
      <c r="DF70" s="398" t="s">
        <v>219</v>
      </c>
      <c r="DG70" s="95"/>
      <c r="DH70" s="95"/>
      <c r="DI70" s="95"/>
      <c r="DJ70" s="95"/>
      <c r="DK70" s="96"/>
      <c r="DL70" s="93"/>
      <c r="DM70" s="398" t="s">
        <v>220</v>
      </c>
      <c r="DN70" s="95"/>
      <c r="DO70" s="95"/>
      <c r="DP70" s="95"/>
      <c r="DQ70" s="96"/>
      <c r="DR70" s="97"/>
      <c r="DS70" s="398" t="s">
        <v>221</v>
      </c>
      <c r="DT70" s="95"/>
      <c r="DU70" s="95"/>
      <c r="DV70" s="95"/>
      <c r="DW70" s="96"/>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13"/>
      <c r="FI70" s="13"/>
      <c r="FJ70" s="13"/>
      <c r="FK70" s="1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row>
    <row r="71" spans="1:756" ht="10.5" customHeight="1">
      <c r="A71" s="2094"/>
      <c r="B71" s="37"/>
      <c r="C71" s="2147"/>
      <c r="D71" s="2148"/>
      <c r="E71" s="2148"/>
      <c r="F71" s="2148"/>
      <c r="G71" s="2148"/>
      <c r="H71" s="2148"/>
      <c r="I71" s="2148"/>
      <c r="J71" s="2148"/>
      <c r="K71" s="2148"/>
      <c r="L71" s="2148"/>
      <c r="M71" s="2148"/>
      <c r="N71" s="2148"/>
      <c r="O71" s="2085" t="s">
        <v>950</v>
      </c>
      <c r="P71" s="2086"/>
      <c r="Q71" s="2086"/>
      <c r="R71" s="2086"/>
      <c r="S71" s="2086"/>
      <c r="T71" s="2087"/>
      <c r="U71" s="2080" t="s">
        <v>222</v>
      </c>
      <c r="V71" s="2081"/>
      <c r="W71" s="2139" t="s">
        <v>223</v>
      </c>
      <c r="X71" s="2139"/>
      <c r="Y71" s="2139"/>
      <c r="Z71" s="2139"/>
      <c r="AA71" s="2139" t="s">
        <v>224</v>
      </c>
      <c r="AB71" s="2139"/>
      <c r="AC71" s="2139"/>
      <c r="AD71" s="2139" t="s">
        <v>225</v>
      </c>
      <c r="AE71" s="2139"/>
      <c r="AF71" s="2081" t="s">
        <v>226</v>
      </c>
      <c r="AG71" s="2084"/>
      <c r="AH71" s="2140" t="s">
        <v>227</v>
      </c>
      <c r="AI71" s="2141"/>
      <c r="AJ71" s="2141"/>
      <c r="AK71" s="2141" t="s">
        <v>228</v>
      </c>
      <c r="AL71" s="2141"/>
      <c r="AM71" s="2142"/>
      <c r="AN71" s="2088" t="s">
        <v>229</v>
      </c>
      <c r="AO71" s="2089"/>
      <c r="AP71" s="2080" t="s">
        <v>230</v>
      </c>
      <c r="AQ71" s="2081"/>
      <c r="AR71" s="2081"/>
      <c r="AS71" s="2081"/>
      <c r="AT71" s="2081"/>
      <c r="AU71" s="2081"/>
      <c r="AV71" s="2081"/>
      <c r="AW71" s="2081"/>
      <c r="AX71" s="2081"/>
      <c r="AY71" s="2081"/>
      <c r="AZ71" s="2081"/>
      <c r="BA71" s="2084"/>
      <c r="BB71" s="2080" t="s">
        <v>231</v>
      </c>
      <c r="BC71" s="2081"/>
      <c r="BD71" s="2083" t="s">
        <v>232</v>
      </c>
      <c r="BE71" s="2082"/>
      <c r="BF71" s="2081" t="s">
        <v>233</v>
      </c>
      <c r="BG71" s="2081"/>
      <c r="BH71" s="2074" t="s">
        <v>234</v>
      </c>
      <c r="BI71" s="2075"/>
      <c r="BJ71" s="2074" t="s">
        <v>235</v>
      </c>
      <c r="BK71" s="2075"/>
      <c r="BL71" s="2076" t="s">
        <v>236</v>
      </c>
      <c r="BM71" s="2077"/>
      <c r="BN71" s="2077"/>
      <c r="BO71" s="2078"/>
      <c r="BP71" s="2074" t="s">
        <v>237</v>
      </c>
      <c r="BQ71" s="2079"/>
      <c r="BR71" s="2079"/>
      <c r="BS71" s="2075"/>
      <c r="BT71" s="2080" t="s">
        <v>17</v>
      </c>
      <c r="BU71" s="2081"/>
      <c r="BV71" s="2082"/>
      <c r="BW71" s="2083" t="s">
        <v>18</v>
      </c>
      <c r="BX71" s="2084"/>
      <c r="BY71" s="2085" t="s">
        <v>238</v>
      </c>
      <c r="BZ71" s="2086"/>
      <c r="CA71" s="2087"/>
      <c r="CB71" s="63"/>
      <c r="CC71" s="9"/>
      <c r="CD71" s="2056" t="s">
        <v>239</v>
      </c>
      <c r="CE71" s="2057"/>
      <c r="CF71" s="9"/>
      <c r="CG71" s="9"/>
      <c r="CH71" s="98"/>
      <c r="CI71" s="35"/>
      <c r="CJ71" s="35"/>
      <c r="CK71" s="35"/>
      <c r="CL71" s="98"/>
      <c r="CM71" s="35"/>
      <c r="CN71" s="35"/>
      <c r="CO71" s="35"/>
      <c r="CP71" s="35"/>
      <c r="CQ71" s="35"/>
      <c r="CR71" s="35"/>
      <c r="CS71" s="35"/>
      <c r="CT71" s="35"/>
      <c r="CU71" s="35"/>
      <c r="CV71" s="35"/>
      <c r="CW71" s="35"/>
      <c r="CX71" s="35"/>
      <c r="CY71" s="35"/>
      <c r="CZ71" s="99"/>
      <c r="DA71" s="99"/>
      <c r="DB71" s="99"/>
      <c r="DC71" s="93"/>
      <c r="DD71" s="100" t="s">
        <v>240</v>
      </c>
      <c r="DE71" s="93"/>
      <c r="DF71" s="101" t="s">
        <v>241</v>
      </c>
      <c r="DG71" s="93"/>
      <c r="DH71" s="93"/>
      <c r="DI71" s="93"/>
      <c r="DJ71" s="93"/>
      <c r="DK71" s="93"/>
      <c r="DL71" s="93"/>
      <c r="DM71" s="102" t="s">
        <v>241</v>
      </c>
      <c r="DN71" s="103"/>
      <c r="DO71" s="93"/>
      <c r="DP71" s="93"/>
      <c r="DQ71" s="93"/>
      <c r="DR71" s="102"/>
      <c r="DS71" s="102" t="s">
        <v>242</v>
      </c>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13"/>
      <c r="FI71" s="13"/>
      <c r="FJ71" s="13"/>
      <c r="FK71" s="1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row>
    <row r="72" spans="1:756" ht="12" customHeight="1">
      <c r="A72" s="2094"/>
      <c r="B72" s="37"/>
      <c r="C72" s="2437" t="s">
        <v>243</v>
      </c>
      <c r="D72" s="2437"/>
      <c r="E72" s="2437"/>
      <c r="F72" s="2437"/>
      <c r="G72" s="2437"/>
      <c r="H72" s="2437"/>
      <c r="I72" s="2437"/>
      <c r="J72" s="2437"/>
      <c r="K72" s="2437"/>
      <c r="L72" s="2437"/>
      <c r="M72" s="2437"/>
      <c r="N72" s="2437"/>
      <c r="O72" s="2136" t="str">
        <f>IF(CC63=0,"","要")</f>
        <v>要</v>
      </c>
      <c r="P72" s="2137"/>
      <c r="Q72" s="2137"/>
      <c r="R72" s="2137"/>
      <c r="S72" s="2137"/>
      <c r="T72" s="2138"/>
      <c r="U72" s="2058" t="str">
        <f>IF(CG63=0,"",IF(AND(CG63&gt;=1000,OR(LEFT(AS16,3)="(1)",LEFT(AS16,3)="(2)",LEFT(AS16,3)="(3)",AS16="( 4 )",AS16="(9) イ",AS16="(16)イ")),"A",IF(OR(AS16="( 10)",LEFT(AS16,4)="(16)"),"A","BL")))</f>
        <v/>
      </c>
      <c r="V72" s="2059"/>
      <c r="W72" s="1861" t="str">
        <f>IF(CG63=0,"",IF(AND(CG63&gt;=1000,OR(LEFT(AS16,3)="(1)",LEFT(AS16,3)="(2)",LEFT(AS16,3)="(3)",LEFT(AS16,3)="(4)",AS16="(9) イ",AS16="(16)イ")),"B",IF(OR(AS16="( 10)",LEFT(AS16,4)="(16)"),"B","C")))</f>
        <v/>
      </c>
      <c r="X72" s="1861"/>
      <c r="Y72" s="1861"/>
      <c r="Z72" s="1861"/>
      <c r="AA72" s="1861" t="str">
        <f>IF(CG63=0,"","C")</f>
        <v/>
      </c>
      <c r="AB72" s="1861"/>
      <c r="AC72" s="1861"/>
      <c r="AD72" s="2051" t="str">
        <f>IF(CG63=0,"","要")</f>
        <v/>
      </c>
      <c r="AE72" s="2051"/>
      <c r="AF72" s="2060" t="str">
        <f>IF(CG63=0,"",IF(OR(LEFT(AS16,3)="(1)",LEFT(CH63,3)="(1)"),"要",""))</f>
        <v/>
      </c>
      <c r="AG72" s="2061"/>
      <c r="AH72" s="2062" t="str">
        <f>IF(BZ63="未","",IF(AK72="要","緩和規程確認",IF(CI63=0,"",IF(OR(AH79&gt;=50,AND(AH79&gt;=20,OR(CJ63=2,CJ63=3,CM63=2,CM63=3,CN63=2,CN63=3,CP63=2,CP63=3,CS63=2,CS63=3,CV63=2,CV63=3))),"要",IF(AND(AH79&gt;=20,OR(AS16="(5) イ",AS16="(6) イ",AS16="(9) イ")),"要","－")))))</f>
        <v>緩和規程確認</v>
      </c>
      <c r="AI72" s="2063"/>
      <c r="AJ72" s="2064"/>
      <c r="AK72" s="2068" t="str">
        <f>IF(BZ63="未","",IF(AS16="","",IF(OR(AND(OR(CG63&lt;&gt;0,AH79&gt;=20),CU63&lt;&gt;0,LEFT(CH63,3)="16"),OR(AND(AH79&gt;=300,OR(LEFT(CK63,3)="(1)",LEFT(CK63,3)="(2)",LEFT(CK63,3)="(3)",LEFT(CK63,5)="( 4 )",LEFT(CK63,5)="(5) イ",LEFT(CK63,3)="(6)",LEFT(CK63,5)="(9) イ"))),OR(AND(AH79&gt;=300,OR(LEFT(CN63,3)="(1)",LEFT(CN63,3)="(2)",LEFT(CN63,3)="(3)",LEFT(CN63,5)="( 4 )",LEFT(CN63,5)="(5) イ",LEFT(CN63,3)="(6)",LEFT(CN63,5)="(9) イ"))),OR(AND(AH79&gt;=300,OR(LEFT(CQ63,3)="(1)",LEFT(CQ63,3)="(2)",LEFT(CQ63,3)="(3)",LEFT(CQ63,5)="( 4 )",LEFT(CQ63,5)="(5) イ",LEFT(CQ63,3)="(6)",LEFT(CQ63,5)="(9) イ"))),OR(AND(AH79&gt;=300,OR(LEFT(CT63,3)="(1)",LEFT(CT63,3)="(2)",LEFT(CT63,3)="(3)",LEFT(CT63,5)="( 4 )",LEFT(CT63,5)="(5) イ",LEFT(CT63,3)="(6)",LEFT(CT63,5)="(9) イ"))),OR(AND(AH79&gt;=300,OR(LEFT(CW63,3)="(1)",LEFT(CW63,3)="(2)",LEFT(CW63,3)="(3)",LEFT(CW63,5)="( 4 )",LEFT(CW63,5)="(5) イ",LEFT(CW63,3)="(6)",LEFT(CW63,5)="(9) イ")))),"要",IF(OR(AND(CU63&lt;&gt;0,AH79&gt;=20),AND(CG63&lt;&gt;0,AH79&gt;=20),AS16="16 の2",AS16="16 の3",AND(AH79&gt;=300,OR(LEFT(AS16,3)="(1)",LEFT(AS16,3)="(2)",LEFT(AS16,3)="(3)",AS16="( 4 )",AS16="(5) イ",LEFT(AS16,3)="(6)",AS16="(9) イ")),AND(AH79&gt;=500,LEFT(AS16,4)="(16)"),AND(AH79&gt;=800,OR(AS16="(5) ロ",AS16="( 7 )",AS16="( 8 )"))),"要","－"))))</f>
        <v>要</v>
      </c>
      <c r="AL72" s="2069"/>
      <c r="AM72" s="2070"/>
      <c r="AN72" s="1989" t="str">
        <f>IF(BZ63="未","",IF(AS16="","",IF(OR(LEFT(CH63,5)="(5) イ",LEFT(CH63,5)="(6) イ",LEFT(CH63,5)="(6) ロ",LEFT(CH63,5)="(6) ハ",LEFT(CH63,5)="16 の2",LEFT(CH63,5)="16 の3",LEFT(CK63,5)="(5) イ",LEFT(CK63,5)="(6) イ",LEFT(CK63,5)="(6) ロ",LEFT(CK63,5)="(6) ハ",LEFT(CK63,5)="16 の2",LEFT(CK63,5)="16 の3",LEFT(CN63,5)="(5) イ",LEFT(CN63,5)="(6) イ",LEFT(CN63,5)="(6) ロ",LEFT(CN63,5)="(6) ハ",LEFT(CN63,5)="16 の2",LEFT(CN63,5)="16 の3",LEFT(CQ63,5)="(5) イ",LEFT(CQ63,5)="(6) イ",LEFT(CQ63,5)="(6) ロ",LEFT(CQ63,5)="(6) ハ",LEFT(CQ63,5)="16 の2",LEFT(CQ63,5)="16 の3",LEFT(CT63,5)="(5) イ",LEFT(CT63,5)="(6) イ",LEFT(CT63,5)="(6) ロ",LEFT(CT63,5)="(6) ハ",LEFT(CT63,5)="16 の2",LEFT(CT63,5)="16 の3",LEFT(CW63,5)="(5) イ",LEFT(CW63,5)="(6) イ",LEFT(CW63,5)="(6) ロ",LEFT(CW63,5)="(6) ハ",LEFT(CW63,5)="16 の2",LEFT(CW63,5)="16 の3"),"要",IF(AND($AA$63&gt;=500,OR(LEFT(AS16,3)="(1)",LEFT(AS16,3)="(2)",LEFT(AS16,3)="(4)",AS16="(5) イ",AS16="(6) ニ",LEFT(AS16,4)="(12)",AS16="(17)")),"緩和規程",IF(AND($AA$63&gt;=1000,OR(LEFT(AS16,3)="(3)",AS16="(5) ロ",AS16="( 7 )",AS16="( 8 )",LEFT(AS16,3)="(9)",AS16="( 10)",AS16="( 11)",LEFT(AS16,4)="(13)",AS16="( 14)",AS16="( 15)")),"緩和規程",IF(OR(AS16="(6) イ",AS16="(6) ロ",AS16="(6) ハ",AS16="16 の2",AS16="16 の3"),"要","－"))))))</f>
        <v>－</v>
      </c>
      <c r="AO72" s="1988"/>
      <c r="AP72" s="2047" t="s">
        <v>244</v>
      </c>
      <c r="AQ72" s="2048"/>
      <c r="AR72" s="2048"/>
      <c r="AS72" s="2048"/>
      <c r="AT72" s="2048"/>
      <c r="AU72" s="2048"/>
      <c r="AV72" s="2048"/>
      <c r="AW72" s="2048"/>
      <c r="AX72" s="2048"/>
      <c r="AY72" s="2048"/>
      <c r="AZ72" s="2048"/>
      <c r="BA72" s="2049"/>
      <c r="BB72" s="2050" t="str">
        <f>IF(BZ63="未","",IF(AS16="","",IF(BD72="要","要","－")))</f>
        <v>要</v>
      </c>
      <c r="BC72" s="2051"/>
      <c r="BD72" s="2051" t="str">
        <f>IF(BZ63="未","",IF(AS16="","",IF(OR(AND(AA63&gt;=200,AS16="(9) イ"),AND(AA63&gt;=300,OR(LEFT(AS16,3)="(1)",AS16="(2) イ",AS16="(2) ロ",AS16="(2) ハ",LEFT(AS16,3)="(3)",AS16="( 4 )",AS16="(5) イ",AS16="(6) イ",AS16="(6) ハ",AS16="(6) ニ",AS16="(6) イ",AS16="(16)イ",)),AND(AA63&gt;=500,AS16="16 の2"),AND(AA63&gt;=500,OR(AS16="(5) ロ",AS16="( 7 )",AS16="( 8 )",AS16="(9) ロ",AS16="( 10)",LEFT(AS16,4)="(12)",AS16="(13)イ",AS16="( 14)")),AND(AA63&gt;=1000,OR(AS16="( 11)",AS16="( 15)")),OR(AS16="(2) ニ",AS16="(6) ロ",AS16="(13)ロ",AS16="( 17)")),"要","－")))</f>
        <v>要</v>
      </c>
      <c r="BE72" s="2051"/>
      <c r="BF72" s="2051" t="str">
        <f>IF(BZ63="未","",IF(AS16="","",IF(S63&gt;=15,"要","－")))</f>
        <v>－</v>
      </c>
      <c r="BG72" s="2052"/>
      <c r="BH72" s="1989" t="str">
        <f>IF(OR(AS16="",BZ63="未"),"",IF(OR(LEFT(AS16,5)="(16)イ",LEFT(AS16,5)="16 の3"),CG78,CG77))</f>
        <v>－</v>
      </c>
      <c r="BI72" s="1988"/>
      <c r="BJ72" s="1989" t="str">
        <f>IF(OR(AS16="",BZ63="未"),"",IF(OR(B63&gt;=11,AND(AA63&gt;=1000,,LEFT(AS16,5)="16 の2")),"要","－"))</f>
        <v>要</v>
      </c>
      <c r="BK72" s="1988"/>
      <c r="BL72" s="1989" t="str">
        <f>IF(BZ63="未","",IF(OR(BP73="要",BP75="要",BP77="要",BP79="要",BP81="要"),"－",IF(AQ85=0,"",IF(AR18="","耐火基準",IF(AR18="耐火",CF74,IF(AR18="準耐火",CG74,IF(AR18="非耐火",CH74,"")))))))</f>
        <v>－</v>
      </c>
      <c r="BM72" s="1987"/>
      <c r="BN72" s="1987"/>
      <c r="BO72" s="1988"/>
      <c r="BP72" s="1818" t="s">
        <v>26</v>
      </c>
      <c r="BQ72" s="1818"/>
      <c r="BR72" s="1818"/>
      <c r="BS72" s="1819"/>
      <c r="BT72" s="2008" t="s">
        <v>245</v>
      </c>
      <c r="BU72" s="2009"/>
      <c r="BV72" s="2009"/>
      <c r="BW72" s="2009"/>
      <c r="BX72" s="2010"/>
      <c r="BY72" s="1986" t="str">
        <f>IF(OR(AA66&gt;=20,AO66&gt;=20),"要","－")</f>
        <v>要</v>
      </c>
      <c r="BZ72" s="1987"/>
      <c r="CA72" s="1988"/>
      <c r="CB72" s="63"/>
      <c r="CC72" s="104"/>
      <c r="CD72" s="1957" t="s">
        <v>246</v>
      </c>
      <c r="CE72" s="1958"/>
      <c r="CF72" s="9"/>
      <c r="CG72" s="9"/>
      <c r="CH72" s="9"/>
      <c r="CI72" s="9"/>
      <c r="CJ72" s="105"/>
      <c r="CK72" s="106"/>
      <c r="CL72" s="106"/>
      <c r="CM72" s="106"/>
      <c r="CN72" s="106"/>
      <c r="CO72" s="106"/>
      <c r="CP72" s="106"/>
      <c r="CQ72" s="106"/>
      <c r="CR72" s="98"/>
      <c r="CS72" s="98"/>
      <c r="CT72" s="98"/>
      <c r="CU72" s="98"/>
      <c r="CV72" s="98"/>
      <c r="CW72" s="98"/>
      <c r="CX72" s="98"/>
      <c r="CY72" s="98"/>
      <c r="CZ72" s="98"/>
      <c r="DA72" s="99"/>
      <c r="DB72" s="99"/>
      <c r="DC72" s="93"/>
      <c r="DD72" s="107" t="s">
        <v>240</v>
      </c>
      <c r="DE72" s="93"/>
      <c r="DF72" s="102" t="s">
        <v>241</v>
      </c>
      <c r="DG72" s="93"/>
      <c r="DH72" s="93"/>
      <c r="DI72" s="93"/>
      <c r="DJ72" s="93"/>
      <c r="DK72" s="93"/>
      <c r="DL72" s="93"/>
      <c r="DM72" s="102" t="s">
        <v>241</v>
      </c>
      <c r="DN72" s="103"/>
      <c r="DO72" s="93"/>
      <c r="DP72" s="93"/>
      <c r="DQ72" s="93"/>
      <c r="DR72" s="102"/>
      <c r="DS72" s="102" t="s">
        <v>242</v>
      </c>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13"/>
      <c r="FI72" s="13"/>
      <c r="FJ72" s="13"/>
      <c r="FK72" s="1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row>
    <row r="73" spans="1:756" ht="11.25" customHeight="1">
      <c r="A73" s="2094"/>
      <c r="B73" s="37"/>
      <c r="C73" s="2103" t="s">
        <v>247</v>
      </c>
      <c r="D73" s="2103"/>
      <c r="E73" s="2103"/>
      <c r="F73" s="2103"/>
      <c r="G73" s="2103"/>
      <c r="H73" s="2103"/>
      <c r="I73" s="2103"/>
      <c r="J73" s="2103"/>
      <c r="K73" s="2103"/>
      <c r="L73" s="2103"/>
      <c r="M73" s="2103"/>
      <c r="N73" s="2103"/>
      <c r="O73" s="2438" t="str">
        <f>IF(CI63=0,"",IF(AND($AA$63&gt;=1000,OR($BY$16="特",AS16="( 8 )")),"要",IF(AND($AA$63&gt;=500,$B$63&gt;=3),"要",IF(OR(CJ63=1,CJ63=3),"要",""))))</f>
        <v>要</v>
      </c>
      <c r="P73" s="2439"/>
      <c r="Q73" s="2439"/>
      <c r="R73" s="2439"/>
      <c r="S73" s="2439"/>
      <c r="T73" s="2440"/>
      <c r="U73" s="1994" t="str">
        <f>IF(CI63=0,"",IF(AND(CK63&lt;&gt;"",CI63&gt;=1000,OR(LEFT(CK63,3)="(1)",LEFT(CK63,3)="(2)",LEFT(CK63,3)="(3)",LEFT(CK63,3)="(4)",LEFT(CK63,5)="(9) イ",LEFT(CK63,5)="(16)イ")),"A",IF(AND(CK63&lt;&gt;"",OR(LEFT(CK63,5)="( 10)",LEFT(CK63,2)="16")),"A",IF(AND(CI63&gt;=1000,OR(LEFT(AS16,3)="(1)",LEFT(AS16,3)="(2)",LEFT(AS16,3)="(3)",AS16="( 4 )",AS16="(9) イ",AS16="(16)イ")),"A",IF(OR(AS16="( 10)",LEFT(AS16,4)="(16)"),"A","BL")))))</f>
        <v>A</v>
      </c>
      <c r="V73" s="1995"/>
      <c r="W73" s="1996"/>
      <c r="X73" s="1996"/>
      <c r="Y73" s="1996"/>
      <c r="Z73" s="1996"/>
      <c r="AA73" s="1997" t="str">
        <f>IF(CI63=0,"","C")</f>
        <v>C</v>
      </c>
      <c r="AB73" s="1997"/>
      <c r="AC73" s="1997"/>
      <c r="AD73" s="1998" t="str">
        <f>IF(CI63=0,"","要")</f>
        <v>要</v>
      </c>
      <c r="AE73" s="1998"/>
      <c r="AF73" s="1999"/>
      <c r="AG73" s="2000"/>
      <c r="AH73" s="2062"/>
      <c r="AI73" s="2063"/>
      <c r="AJ73" s="2064"/>
      <c r="AK73" s="2068"/>
      <c r="AL73" s="2069"/>
      <c r="AM73" s="2070"/>
      <c r="AN73" s="1989"/>
      <c r="AO73" s="1988"/>
      <c r="AP73" s="2015" t="s">
        <v>248</v>
      </c>
      <c r="AQ73" s="2016"/>
      <c r="AR73" s="2016"/>
      <c r="AS73" s="2016"/>
      <c r="AT73" s="2016"/>
      <c r="AU73" s="2016"/>
      <c r="AV73" s="2016"/>
      <c r="AW73" s="2016"/>
      <c r="AX73" s="2016"/>
      <c r="AY73" s="2016"/>
      <c r="AZ73" s="2016"/>
      <c r="BA73" s="2017"/>
      <c r="BB73" s="2046" t="str">
        <f>IF(OR(AS16="",BZ63="未"),"",IF(OR(OR(LEFT(AS16,3)="(1)",LEFT(AS16,3)="(2)",LEFT(AS16,3)="(3)",AS16="( 4 )",LEFT(AS16,3)="(6)",AS16="(9) イ",AS16="(13)ロ",AS16="(16)イ",AS16="16 の3",AS16="( 17)"),AND(AA63&gt;=300,LEFT(AS16,4)="(16)"),AND(AA63&gt;=500,OR(AS16="(5) ロ",AS16="( 7 )",AS16="( 8 )",AS16="(9) ロ",AS16="( 10)",LEFT(AS16,4)="(12)",AS16="(13)イ",AS16="( 14)",AS16="16 の3)")),AND(AA63&gt;=1000,OR(AS16="( 11)",AS16="( 15)"))),"要","－"))</f>
        <v>要</v>
      </c>
      <c r="BC73" s="2019"/>
      <c r="BD73" s="2021"/>
      <c r="BE73" s="2021"/>
      <c r="BF73" s="2021"/>
      <c r="BG73" s="2022"/>
      <c r="BH73" s="1989"/>
      <c r="BI73" s="1988"/>
      <c r="BJ73" s="1989"/>
      <c r="BK73" s="1988"/>
      <c r="BL73" s="1989"/>
      <c r="BM73" s="1987"/>
      <c r="BN73" s="1987"/>
      <c r="BO73" s="1988"/>
      <c r="BP73" s="2005" t="str">
        <f>IF(OR(AS16="",BZ63="未"),"",IF(OR(AS16="(5) ロ",AS16="(6) ロ",AS16="( 7 )",AS16="( 8 )",AS16="(9) ロ",AS16="( 10)",AS16="( 11)",LEFT(AS16,4)="(12)",LEFT(AS16,4)="(13)",AS16="( 14)",AS16="( 15)",LEFT(AS16,4)="(16)",AS16="( 17)",AS16="( 18)"),"－",IF(AS16="(6) ロ",CO74,IF(LEFT(AS16,2)="16",CO75,IF(OR(AS16="( 4 )",AS16="(6) イ"),CO76,IF(OR(LEFT(AS16,3)="(1)",LEFT(AS16,3)="(2)",LEFT(AS16,3)="(3)",AS16="(5) イ",AS16="(6) ハ",AS16="(6) ニ",AS16="(9) イ"),CO77,"－"))))))</f>
        <v>－</v>
      </c>
      <c r="BQ73" s="2006"/>
      <c r="BR73" s="2006"/>
      <c r="BS73" s="2036"/>
      <c r="BT73" s="2090" t="str">
        <f>IF(OR(AS16="",BZ63="未"),"",IF(OR(AND(LEFT(AS16,3)="(1)",AA63&gt;500),AND(LEFT(CH63,3)="(1)",CG63&gt;500),AND(LEFT(CK63,3)="(1)",CI63&gt;500),AND(LEFT(CN63,3)="(1)",CL63&gt;500),AND(LEFT(CQ63,3)="(1)",CO63&gt;500),AND(LEFT(CT63,3)="(1)",CR63&gt;500),AND(LEFT(CW63,3)="(1)",CU63&gt;500)),"要","－"))</f>
        <v>－</v>
      </c>
      <c r="BU73" s="2006"/>
      <c r="BV73" s="2007"/>
      <c r="BW73" s="1820"/>
      <c r="BX73" s="1821"/>
      <c r="BY73" s="1989"/>
      <c r="BZ73" s="1987"/>
      <c r="CA73" s="1988"/>
      <c r="CB73" s="63"/>
      <c r="CC73" s="9"/>
      <c r="CD73" s="1978">
        <f>IF(ISNA(VLOOKUP(LEFT(CH70,5),令別表,10,FALSE)),"",2+INT(CG63/(VLOOKUP(LEFT(CH70,5),令別表,10,FALSE))))</f>
        <v>2</v>
      </c>
      <c r="CE73" s="1979"/>
      <c r="CF73" s="1993" t="s">
        <v>249</v>
      </c>
      <c r="CG73" s="1993"/>
      <c r="CH73" s="1993"/>
      <c r="CI73" s="1993" t="s">
        <v>250</v>
      </c>
      <c r="CJ73" s="2037"/>
      <c r="CK73" s="2037"/>
      <c r="CL73" s="2038" t="s">
        <v>251</v>
      </c>
      <c r="CM73" s="2039"/>
      <c r="CN73" s="2040"/>
      <c r="CO73" s="2038" t="s">
        <v>252</v>
      </c>
      <c r="CP73" s="2039"/>
      <c r="CQ73" s="2040"/>
      <c r="CR73" s="35"/>
      <c r="CS73" s="35"/>
      <c r="CT73" s="98"/>
      <c r="CU73" s="33" t="s">
        <v>253</v>
      </c>
      <c r="CV73" s="1978" t="str">
        <f>IF(OR(BT73="要",BT75="要",BW75="要",BT77="要",BT79="要",BW79="要"),"要","")</f>
        <v>要</v>
      </c>
      <c r="CW73" s="1979"/>
      <c r="CX73" s="35"/>
      <c r="CY73" s="35"/>
      <c r="CZ73" s="99"/>
      <c r="DA73" s="99"/>
      <c r="DB73" s="99"/>
      <c r="DC73" s="93"/>
      <c r="DD73" s="107" t="s">
        <v>240</v>
      </c>
      <c r="DE73" s="93"/>
      <c r="DF73" s="102" t="s">
        <v>241</v>
      </c>
      <c r="DG73" s="93"/>
      <c r="DH73" s="93"/>
      <c r="DI73" s="93"/>
      <c r="DJ73" s="93"/>
      <c r="DK73" s="93"/>
      <c r="DL73" s="93"/>
      <c r="DM73" s="102" t="s">
        <v>241</v>
      </c>
      <c r="DN73" s="103"/>
      <c r="DO73" s="93"/>
      <c r="DP73" s="93"/>
      <c r="DQ73" s="93"/>
      <c r="DR73" s="102"/>
      <c r="DS73" s="102" t="s">
        <v>242</v>
      </c>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13"/>
      <c r="FI73" s="13"/>
      <c r="FJ73" s="13"/>
      <c r="FK73" s="1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row>
    <row r="74" spans="1:756" ht="11.25" customHeight="1">
      <c r="A74" s="2094"/>
      <c r="B74" s="37"/>
      <c r="C74" s="2104" t="s">
        <v>254</v>
      </c>
      <c r="D74" s="2104"/>
      <c r="E74" s="2104"/>
      <c r="F74" s="2104"/>
      <c r="G74" s="2104"/>
      <c r="H74" s="2104"/>
      <c r="I74" s="2104"/>
      <c r="J74" s="2104"/>
      <c r="K74" s="2104"/>
      <c r="L74" s="2104"/>
      <c r="M74" s="2104"/>
      <c r="N74" s="2104"/>
      <c r="O74" s="2441" t="str">
        <f>IF(CI63=0,"",IF(AND($AA$63&gt;=1000,OR($BY$16="特",AS16="( 8 )")),"要",IF(AND($AA$63&gt;=500,$B$63&gt;=3),"要",IF(OR(CJ63=1,CJ63=3),"要",""))))</f>
        <v>要</v>
      </c>
      <c r="P74" s="2442"/>
      <c r="Q74" s="2442"/>
      <c r="R74" s="2442"/>
      <c r="S74" s="2442"/>
      <c r="T74" s="2443"/>
      <c r="U74" s="2041"/>
      <c r="V74" s="2042"/>
      <c r="W74" s="2043" t="str">
        <f>IF(CI63=0,"",IF(AND(CK63&lt;&gt;"",CI63&gt;=1000,OR(LEFT(CK63,3)="(1)",LEFT(CK63,3)="(2)",LEFT(CK63,3)="(3)",LEFT(CK63,5)="( 4 )",LEFT(CK63,5)="(9) イ",LEFT(CK63,5)="(16)イ")),"A",IF(AND(CK63&lt;&gt;"",OR(LEFT(CK63,5)="( 10)",LEFT(CK63,2)="16")),"B",IF(AND(CI63&gt;=1000,OR(LEFT(AS16,3)="(1)",LEFT(AS16,3)="(2)",LEFT(AS16,3)="(3)",AS16="( 4 )",AS16="(9) イ",AS16="(16)イ")),"B",IF(OR(AS16="( 10)",LEFT(AS16,4)="(16)"),"B","C")))))</f>
        <v>A</v>
      </c>
      <c r="X74" s="2027"/>
      <c r="Y74" s="2027"/>
      <c r="Z74" s="2044"/>
      <c r="AA74" s="2045"/>
      <c r="AB74" s="2045"/>
      <c r="AC74" s="2045"/>
      <c r="AD74" s="2132"/>
      <c r="AE74" s="2132"/>
      <c r="AF74" s="2027" t="str">
        <f>IF(CI63=0,"",IF(OR(LEFT(AS16,3)="(1)",LEFT(CK63,3)="(1)"),"要",""))</f>
        <v/>
      </c>
      <c r="AG74" s="2028"/>
      <c r="AH74" s="2062"/>
      <c r="AI74" s="2063"/>
      <c r="AJ74" s="2064"/>
      <c r="AK74" s="2068"/>
      <c r="AL74" s="2069"/>
      <c r="AM74" s="2070"/>
      <c r="AN74" s="1989"/>
      <c r="AO74" s="1988"/>
      <c r="AP74" s="2015" t="s">
        <v>255</v>
      </c>
      <c r="AQ74" s="2016"/>
      <c r="AR74" s="2016"/>
      <c r="AS74" s="2016"/>
      <c r="AT74" s="2016"/>
      <c r="AU74" s="2016"/>
      <c r="AV74" s="2016"/>
      <c r="AW74" s="2016"/>
      <c r="AX74" s="2016"/>
      <c r="AY74" s="2016"/>
      <c r="AZ74" s="2016"/>
      <c r="BA74" s="2017"/>
      <c r="BB74" s="2018" t="str">
        <f>IF(OR(AS16="",BZ63="未"),"",IF(BD74="要","要","－"))</f>
        <v>－</v>
      </c>
      <c r="BC74" s="2019"/>
      <c r="BD74" s="2019" t="str">
        <f>IF(BZ63="未","",IF(B63&lt;11,CL80,CL79))</f>
        <v>－</v>
      </c>
      <c r="BE74" s="2019"/>
      <c r="BF74" s="2021"/>
      <c r="BG74" s="2022"/>
      <c r="BH74" s="1989"/>
      <c r="BI74" s="1988"/>
      <c r="BJ74" s="1989"/>
      <c r="BK74" s="1988"/>
      <c r="BL74" s="1989"/>
      <c r="BM74" s="1987"/>
      <c r="BN74" s="1987"/>
      <c r="BO74" s="1988"/>
      <c r="BP74" s="1983" t="s">
        <v>256</v>
      </c>
      <c r="BQ74" s="1984"/>
      <c r="BR74" s="1984"/>
      <c r="BS74" s="1985"/>
      <c r="BT74" s="1822" t="s">
        <v>257</v>
      </c>
      <c r="BU74" s="1823"/>
      <c r="BV74" s="1823"/>
      <c r="BW74" s="1823"/>
      <c r="BX74" s="1824"/>
      <c r="BY74" s="1989"/>
      <c r="BZ74" s="1987"/>
      <c r="CA74" s="1988"/>
      <c r="CB74" s="63"/>
      <c r="CC74" s="9"/>
      <c r="CD74" s="1978">
        <f>IF(ISNA(VLOOKUP(LEFT(CK70,5),令別表,10,FALSE)),"",2+INT(CI63/(VLOOKUP(LEFT(CK70,5),令別表,10,FALSE))))</f>
        <v>765</v>
      </c>
      <c r="CE74" s="1979"/>
      <c r="CF74" s="887" t="str">
        <f>IF(AND(AR18="耐火",AS16="16 の2",AA63&gt;=450),"要",IF(AND(AR18="耐火",AA63&gt;=1500,AS16="(1)"),"要",IF(AND(AR18="耐火",AA63&gt;=2100,OR(LEFT(AS16,3)="(2)",LEFT(AS16,3)="(3)",AS16="( 4 )",LEFT(AS16,3)="(5)",AS16="(6) イ",AS16="(6) ハ",AS16="(6) ニ",AS16="( 7 )",AS16="( 8 )",LEFT(AS16,3)="(9)",AS16="( 10)",LEFT(AS16,4)="(12)",AS16="( 14)")),"要",IF(AND(AR18="耐火",AA63&gt;=1000),"要",IF(AND(AR18="耐火",AA63&gt;=3000,OR(AS16="( 11)",AS16="( 15)")),"要","－")))))</f>
        <v>－</v>
      </c>
      <c r="CG74" s="887" t="str">
        <f>IF(AND(AR18="準耐火",AS16="16 の2",AA63&gt;=300),"要",IF(AND(AR18="準耐火",AA63&gt;=1000,LEFT(AS16,3)="(1)"),"要",IF(AND(AR18="準耐火",AA63&gt;=1400,OR(LEFT(AS16,3)="(2)",LEFT(AS16,3)="(3)",AS16="( 4 )",LEFT(AS16,3)="(5)",AS16="(6) イ",AS16="(6) ハ",AS16="(6) ニ",AS16="( 7 )",AS16="( 8 )",LEFT(AS16,3)="(9)",AS16="( 10)",LEFT(AS16,4)="(12)",AS16="( 14)")),"要",IF(AND(AR18="準耐火",AA63&gt;=1000),"要",IF(AND(AR18="準耐火",AA63&gt;=2000,OR(AS16="( 11)",AS16="( 15)")),"要","－")))))</f>
        <v>－</v>
      </c>
      <c r="CH74" s="887" t="str">
        <f>IF(AND(AR18="非耐火",AS16="16 の2",AA63&gt;=150),"要",IF(AND(AR18="非耐火",AA63&gt;=500,LEFT(AS16,3)="(1)"),"要",IF(AND(AR18="非耐火",AA63&gt;=700,OR(LEFT(AS16,3)="(2)",LEFT(AS16,3)="(3)",AS16="( 4 )",LEFT(AS16,3)="(5)",LEFT(AS16,3)="(6)",AS16="( 7 )",AS16="( 8 )",LEFT(AS16,3)="(9)",AS16="( 10)",LEFT(AS16,4)="(12)",AS16="( 14)")),"要",IF(AND(AR18="非耐火",AA63&gt;=1000,OR(AS16="( 11)",AS16="( 15)")),"要","－"))))</f>
        <v>－</v>
      </c>
      <c r="CI74" s="887" t="str">
        <f>IF(LEFT(AS16,2)="16","不要",IF(OR(CI63&gt;=9000,CI63+CL63&gt;=9000),"要","－"))</f>
        <v>－</v>
      </c>
      <c r="CJ74" s="887" t="str">
        <f>IF(LEFT(AS16,2)="16","",IF(OR(CI63&gt;=6000,CI63+CL63&gt;=6000),"要","－"))</f>
        <v>要</v>
      </c>
      <c r="CK74" s="887" t="str">
        <f>IF(LEFT(AS16,2)="16","",IF(OR(CI63&gt;=3000,CI63+CL63&gt;=3000),"要","－"))</f>
        <v>要</v>
      </c>
      <c r="CL74" s="108" t="str">
        <f>IF(OR(AND(CG63&gt;=275,OR(LEFT(CH63,5)="(6) ロ",AS16="(6) ロ")),AND(CI63&gt;=275,OR(LEFT(CK63,5)="(6) ロ",AS16="(6) ロ"),CJ63&gt;=2),AND(CL63&gt;=275,OR(LEFT(CN63,5)="(6) ロ",AS16="(6) ロ"),CM63&gt;=2),AND(CO63&gt;=275,OR(LEFT(CQ63,5)="(6) ロ",AS16="(6) ロ"),CP63&gt;=2),AND(CR63/7&gt;=275,OR(LEFT(CT63,5)="(6) ロ",AS16="(6) ロ"),CS63&gt;=2),AND(CU63/(B63-10)&gt;=275,OR(LEFT(CW63,5)="(6) ロ",AS16="(6) ロ"),CV63&gt;=2)),"要","－")</f>
        <v>－</v>
      </c>
      <c r="CM74" s="1950" t="s">
        <v>258</v>
      </c>
      <c r="CN74" s="1951"/>
      <c r="CO74" s="1980" t="str">
        <f>IF(OR(AND(AA63&gt;=275,AS16="(6) ロ"),AND(CG63&gt;=275,LEFT(CH63,5)="(6) ロ"),AND(CI63&gt;=275,LEFT(CK63,5)="(6) ロ"),AND(CL63&gt;=275,LEFT(CN63,5)="(6) ロ"),AND(CO63&gt;=275,LEFT(CQ63,5)="(6) ロ"),AND(CR63&gt;=275,LEFT(CT63,5)="(6) ロ"),AND(CU63&gt;=275,LEFT(CW63,5)="(6) ロ")),"要","－")</f>
        <v>－</v>
      </c>
      <c r="CP74" s="1981"/>
      <c r="CQ74" s="1982"/>
      <c r="CR74" s="35"/>
      <c r="CS74" s="35"/>
      <c r="CT74" s="35"/>
      <c r="CU74" s="35"/>
      <c r="CV74" s="98"/>
      <c r="CW74" s="98"/>
      <c r="CX74" s="98"/>
      <c r="CY74" s="98"/>
      <c r="CZ74" s="98"/>
      <c r="DA74" s="98"/>
      <c r="DB74" s="98"/>
      <c r="DC74" s="98"/>
      <c r="DD74" s="107" t="s">
        <v>240</v>
      </c>
      <c r="DE74" s="93"/>
      <c r="DF74" s="102" t="s">
        <v>241</v>
      </c>
      <c r="DG74" s="93"/>
      <c r="DH74" s="93"/>
      <c r="DI74" s="93"/>
      <c r="DJ74" s="93"/>
      <c r="DK74" s="93"/>
      <c r="DL74" s="93"/>
      <c r="DM74" s="102" t="s">
        <v>241</v>
      </c>
      <c r="DN74" s="103"/>
      <c r="DO74" s="93"/>
      <c r="DP74" s="93"/>
      <c r="DQ74" s="93"/>
      <c r="DR74" s="102"/>
      <c r="DS74" s="102" t="s">
        <v>242</v>
      </c>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13"/>
      <c r="FI74" s="13"/>
      <c r="FJ74" s="13"/>
      <c r="FK74" s="1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row>
    <row r="75" spans="1:756" ht="11.25" customHeight="1">
      <c r="A75" s="2094"/>
      <c r="B75" s="37"/>
      <c r="C75" s="2103" t="s">
        <v>259</v>
      </c>
      <c r="D75" s="2103"/>
      <c r="E75" s="2103"/>
      <c r="F75" s="2103"/>
      <c r="G75" s="2103"/>
      <c r="H75" s="2103"/>
      <c r="I75" s="2103"/>
      <c r="J75" s="2103"/>
      <c r="K75" s="2103"/>
      <c r="L75" s="2103"/>
      <c r="M75" s="2103"/>
      <c r="N75" s="2103"/>
      <c r="O75" s="2438" t="str">
        <f>IF(CL63=0,"",IF(AND($AA$63&gt;=1000,OR($BY$16="特",AS16="( 8 )")),"要",IF(AND($AA$63&gt;=500,$B$63&gt;=3),"要",IF(OR(CM63=1,CM63=3),"要",""))))</f>
        <v>要</v>
      </c>
      <c r="P75" s="2439"/>
      <c r="Q75" s="2439"/>
      <c r="R75" s="2439"/>
      <c r="S75" s="2439"/>
      <c r="T75" s="2440"/>
      <c r="U75" s="1871" t="str">
        <f>IF(CL63=0,"",IF(AND(CN63&lt;&gt;"",CN63&gt;=1000,OR(LEFT(CN63,3)="(1)",LEFT(CN63,3)="(2)",LEFT(CN63,3)="(3)",LEFT(CN63,3)="(4)",LEFT(CN63,5)="(9) イ",LEFT(CN63,5)="(16)イ")),"A",IF(AND(CN63&lt;&gt;"",OR(LEFT(CN63,5)="( 10)",LEFT(CN63,2)="16")),"A",IF(AND(CL63&gt;=1000,OR(LEFT(AS16,3)="(1)",LEFT(AS16,3)="(2)",LEFT(AS16,3)="(3)",AS16="( 4 )",AS16="(9) イ",AS16="(16)イ")),"A",IF(OR(AS16="( 10)",LEFT(AS16,4)="(16)"),"A","BL")))))</f>
        <v>A</v>
      </c>
      <c r="V75" s="1872"/>
      <c r="W75" s="1873"/>
      <c r="X75" s="1873"/>
      <c r="Y75" s="1873"/>
      <c r="Z75" s="1873"/>
      <c r="AA75" s="2102" t="str">
        <f>IF(CL63=0,"","C")</f>
        <v>C</v>
      </c>
      <c r="AB75" s="2102"/>
      <c r="AC75" s="2102"/>
      <c r="AD75" s="2105" t="str">
        <f>IF(CL63=0,"","要")</f>
        <v>要</v>
      </c>
      <c r="AE75" s="2105"/>
      <c r="AF75" s="1970"/>
      <c r="AG75" s="1971"/>
      <c r="AH75" s="2065"/>
      <c r="AI75" s="2066"/>
      <c r="AJ75" s="2067"/>
      <c r="AK75" s="2071"/>
      <c r="AL75" s="2072"/>
      <c r="AM75" s="2073"/>
      <c r="AN75" s="1989"/>
      <c r="AO75" s="1988"/>
      <c r="AP75" s="2015" t="s">
        <v>260</v>
      </c>
      <c r="AQ75" s="2016"/>
      <c r="AR75" s="2016"/>
      <c r="AS75" s="2016"/>
      <c r="AT75" s="2016"/>
      <c r="AU75" s="2016"/>
      <c r="AV75" s="2016"/>
      <c r="AW75" s="2016"/>
      <c r="AX75" s="2016"/>
      <c r="AY75" s="2016"/>
      <c r="AZ75" s="2016"/>
      <c r="BA75" s="2017"/>
      <c r="BB75" s="2018" t="str">
        <f>IF(BZ63="未","",IF(OR(AS16="(2) ニ",AS16="(6) ロ",AS16="(13)ロ",AS16="( 17)"),"要",IF(AND(OR(AS16="(2) イ",AS16="(2) ロ",AS16="(2) ハ",AS16="(3) イ"),AA63&gt;=100,B63&lt;11),CH86,IF(B63&gt;=11,CH85,IF(AND(AA63&gt;=300,B63&lt;11),CI86,CI85)))))</f>
        <v>要</v>
      </c>
      <c r="BC75" s="2019"/>
      <c r="BD75" s="2021"/>
      <c r="BE75" s="2022"/>
      <c r="BF75" s="2021"/>
      <c r="BG75" s="2022"/>
      <c r="BH75" s="2029" t="s">
        <v>261</v>
      </c>
      <c r="BI75" s="2030"/>
      <c r="BJ75" s="2030"/>
      <c r="BK75" s="2031"/>
      <c r="BL75" s="1990"/>
      <c r="BM75" s="1991"/>
      <c r="BN75" s="1991"/>
      <c r="BO75" s="1992"/>
      <c r="BP75" s="2032" t="str">
        <f>IF(BZ63="未","",IF(OR(AS16="(5) ロ",AS16="(6) ロ",AS16="( 7 )",AS16="( 8 )",AS16="(9) ロ",AS16="( 10)",AS16="( 11)",LEFT(AS16,4)="(12)",LEFT(AS16,4)="(13)",AS16="( 14)",AS16="( 15)",LEFT(AS16,4)="(16)",LEFT(AS16,2)="16",AS16="( 17)",AS16="( 18)"),"－",IF(AND(B63&gt;=11,AS16="(6) ロ"),CL74,IF(AND(B63&lt;11,AS16="(6) ロ"),CL75,IF(AND(B63&gt;=11,AS16&lt;&gt;"(6) ロ"),CL76,IF(AND(B63&lt;11,AS16&lt;&gt;"(6) ロ"),CL77,""))))))</f>
        <v>－</v>
      </c>
      <c r="BQ75" s="1965"/>
      <c r="BR75" s="1965"/>
      <c r="BS75" s="1966"/>
      <c r="BT75" s="2053" t="str">
        <f>IF(OR(AS16="",BZ63="未"),"",IF(OR(AND(OR(LEFT(AS16,3)="(2)",AS16="( 4 )"),AA63&gt;500),AND(OR(LEFT(CH63,3)="(2)",LEFT(CH63,5)="( 4 )"),CG63&gt;500),AND(OR(LEFT(CK63,3)="(2)",LEFT(CK63,5)="( 4 )"),CI63&gt;500),AND(OR(LEFT(CN63,3)="(2)",LEFT(CN63,5)="( 4 )"),CL63&gt;500),AND(OR(LEFT(CQ63,3)="(1)",LEFT(CQ63,5)="( 4 )"),CO63&gt;500),AND(OR(LEFT(CT63,3)="(1)",LEFT(CT63,5)="( 4 )"),CR63&gt;500),AND(OR(LEFT(CW63,3)="(1)",LEFT(CW63,5)="( 4 )"),CU63&gt;500)),"要","－"))</f>
        <v>要</v>
      </c>
      <c r="BU75" s="1965"/>
      <c r="BV75" s="2054"/>
      <c r="BW75" s="2055" t="str">
        <f>IF(OR(AS16="",BZ63="未"),"",IF(AND(OR(LEFT(AS16,3)="(2)",AS16="( 4 )",AS16="( 10)",LEFT(AS16,4)="(13)",LEFT(CH63,3)="(2)",LEFT(CH63,5)="( 4 )",LEFT(CH63,5)="( 10)",LEFT(CH63,4)="(13)"),CG63&gt;=1000),"要",IF(AND(OR(LEFT(AS16,3)="(2)",AS16="( 4 )",AS16="( 10)",LEFT(AS16,4)="(13)",LEFT(CK63,3)="(2)",LEFT(CK63,5)="( 4 )",LEFT(CK63,5)="( 10)",LEFT(CK63,4)="(13)"),CI63&gt;=1000,CJ63&gt;=2),"要",IF(AND(OR(LEFT(AS16,3)="(2)",AS16="( 4 )",AS16="( 10)",LEFT(AS16,4)="(13)",LEFT(CN63,3)="(2)",LEFT(CN63,5)="( 4 )",LEFT(CN63,5)="( 10)",LEFT(CN63,4)="(13)"),CL63&gt;=1000,CM63&gt;=2),"要",IF(AND(OR(LEFT(AS16,3)="(2)",AS16="( 4 )",AS16="( 10)",LEFT(AS16,4)="(13)",LEFT(CQ63,3)="(2)",LEFT(CQ63,5)="( 4 )",LEFT(CQ63,5)="( 10)",LEFT(CQ63,4)="(13)"),CO63&gt;=1000,P63&gt;=2),"要",IF(AND(OR(LEFT(AS16,3)="(2)",AS16="( 4 )",AS16="( 10)",LEFT(AS16,4)="(13)",LEFT(CT63,3)="(2)",LEFT(CT63,5)="( 4 )",LEFT(CT63,5)="( 10)",LEFT(CT63,4)="(13)"),CR63&gt;=1000,CS63&gt;=2),"要",IF(AND(OR(LEFT(AS16,3)="(2)",AS16="( 4 )",AS16="( 10)",LEFT(AS16,4)="(13)",LEFT(CW63,3)="(2)",LEFT(CW63,5)="( 4 )",LEFT(CW63,5)="( 10)",LEFT(CW63,4)="(13)"),CU63&gt;=1000,CV63&gt;=2),"要","－")))))))</f>
        <v>要</v>
      </c>
      <c r="BX75" s="1966"/>
      <c r="BY75" s="1989"/>
      <c r="BZ75" s="1987"/>
      <c r="CA75" s="1988"/>
      <c r="CB75" s="63"/>
      <c r="CC75" s="9"/>
      <c r="CD75" s="1978">
        <f>IF(ISNA(VLOOKUP(LEFT(CN63,5),令別表,10,FALSE)),"",2+INT(CL63/(VLOOKUP(LEFT(CN63,5),令別表,10,FALSE))))</f>
        <v>1274</v>
      </c>
      <c r="CE75" s="1979"/>
      <c r="CF75" s="109"/>
      <c r="CG75" s="9"/>
      <c r="CH75" s="9"/>
      <c r="CI75" s="9"/>
      <c r="CJ75" s="9"/>
      <c r="CK75" s="9"/>
      <c r="CL75" s="108" t="str">
        <f>IF(OR(AND(CG63&gt;=275,OR(LEFT(CH63,5)="(6) ロ",AS16="(6) ロ")),AND(CI63&gt;=275,OR(LEFT(CK63,5)="(6) ロ",AS16="(6) ロ"),CJ63&gt;=2),AND(CL63&gt;=275,OR(LEFT(CN63,5)="(6) ロ",AS16="(6) ロ"),CM63&gt;=2),AND(CO63&gt;=275,OR(LEFT(CQ63,5)="(6) ロ",AS16="(6) ロ"),CP63&gt;=2),AND(CR63/(B63-3)&gt;=275,OR(LEFT(CT63,5)="(6) ロ",AS16="(6) ロ"),CS63&gt;=2)),"要","－")</f>
        <v>－</v>
      </c>
      <c r="CM75" s="1957" t="s">
        <v>262</v>
      </c>
      <c r="CN75" s="1958"/>
      <c r="CO75" s="1980" t="str">
        <f>IF(AND(AA63&gt;=1000,OR(AS16="16 の2",AS16="16 の3")),"要","－")</f>
        <v>－</v>
      </c>
      <c r="CP75" s="1981"/>
      <c r="CQ75" s="1982"/>
      <c r="CR75" s="35"/>
      <c r="CS75" s="35"/>
      <c r="CT75" s="35"/>
      <c r="CU75" s="33" t="s">
        <v>550</v>
      </c>
      <c r="CV75" s="1743">
        <f>IF(OR(O72="要",O73="要",O74="要",O75="要",O76="要",O77="要",O78="要",O79="要",O80="要",O81="要"),1,0)</f>
        <v>1</v>
      </c>
      <c r="CW75" s="1744"/>
      <c r="CX75" s="9"/>
      <c r="CY75" s="9"/>
      <c r="CZ75" s="99"/>
      <c r="DA75" s="99"/>
      <c r="DB75" s="99"/>
      <c r="DC75" s="93"/>
      <c r="DD75" s="107" t="s">
        <v>240</v>
      </c>
      <c r="DE75" s="93"/>
      <c r="DF75" s="102" t="s">
        <v>241</v>
      </c>
      <c r="DG75" s="93"/>
      <c r="DH75" s="93"/>
      <c r="DI75" s="93"/>
      <c r="DJ75" s="93"/>
      <c r="DK75" s="93"/>
      <c r="DL75" s="93"/>
      <c r="DM75" s="102" t="s">
        <v>241</v>
      </c>
      <c r="DN75" s="103"/>
      <c r="DO75" s="93"/>
      <c r="DP75" s="93"/>
      <c r="DQ75" s="93"/>
      <c r="DR75" s="102"/>
      <c r="DS75" s="102" t="s">
        <v>242</v>
      </c>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13"/>
      <c r="FI75" s="13"/>
      <c r="FJ75" s="13"/>
      <c r="FK75" s="1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row>
    <row r="76" spans="1:756" ht="11.25" customHeight="1">
      <c r="A76" s="2094"/>
      <c r="B76" s="37"/>
      <c r="C76" s="2104" t="s">
        <v>263</v>
      </c>
      <c r="D76" s="2104"/>
      <c r="E76" s="2104"/>
      <c r="F76" s="2104"/>
      <c r="G76" s="2104"/>
      <c r="H76" s="2104"/>
      <c r="I76" s="2104"/>
      <c r="J76" s="2104"/>
      <c r="K76" s="2104"/>
      <c r="L76" s="2104"/>
      <c r="M76" s="2104"/>
      <c r="N76" s="2104"/>
      <c r="O76" s="2441" t="str">
        <f>IF(CL63=0,"",IF(AND($AA$63&gt;=1000,OR($BY$16="特",AS16="( 8 )")),"要",IF(AND($AA$63&gt;=500,$B$63&gt;=3),"要",IF(OR(CM63=1,CM63=3),"要",""))))</f>
        <v>要</v>
      </c>
      <c r="P76" s="2442"/>
      <c r="Q76" s="2442"/>
      <c r="R76" s="2442"/>
      <c r="S76" s="2442"/>
      <c r="T76" s="2443"/>
      <c r="U76" s="1859"/>
      <c r="V76" s="1860"/>
      <c r="W76" s="1861" t="str">
        <f>IF(CL63=0,"",IF(AND(CN63&lt;&gt;"",CL63&gt;=1000,OR(LEFT(CN63,3)="(1)",LEFT(CN63,3)="(2)",LEFT(CN63,3)="(3)",LEFT(CN63,5)="( 4 )",LEFT(CN63,5)="(9) イ",LEFT(CN63,5)="(16)イ")),"A",IF(AND(CN63&lt;&gt;"",OR(LEFT(CN63,5)="( 10)",LEFT(CN63,2)="16")),"B",IF(AND(CL63&gt;=1000,OR(LEFT(AS16,3)="(1)",LEFT(AS16,3)="(2)",LEFT(AS16,3)="(3)",AS16="( 4 )",AS16="(9) イ",AS16="(16)イ")),"B",IF(OR(AS16="( 10)",LEFT(AS16,4)="(16)"),"B","C")))))</f>
        <v>A</v>
      </c>
      <c r="X76" s="1861"/>
      <c r="Y76" s="1861"/>
      <c r="Z76" s="1861"/>
      <c r="AA76" s="1862"/>
      <c r="AB76" s="1862"/>
      <c r="AC76" s="1862"/>
      <c r="AD76" s="1863"/>
      <c r="AE76" s="1863"/>
      <c r="AF76" s="1864" t="str">
        <f>IF(CL63=0,"",IF(OR(LEFT(AS16,3)="(1)",LEFT(CN63,3)="(1)"),"要",""))</f>
        <v/>
      </c>
      <c r="AG76" s="1865"/>
      <c r="AH76" s="110" t="s">
        <v>264</v>
      </c>
      <c r="AI76" s="111"/>
      <c r="AJ76" s="111"/>
      <c r="AK76" s="111"/>
      <c r="AL76" s="111"/>
      <c r="AM76" s="112"/>
      <c r="AN76" s="2011" t="s">
        <v>265</v>
      </c>
      <c r="AO76" s="2012"/>
      <c r="AP76" s="2015" t="s">
        <v>266</v>
      </c>
      <c r="AQ76" s="2016"/>
      <c r="AR76" s="2016"/>
      <c r="AS76" s="2016"/>
      <c r="AT76" s="2016"/>
      <c r="AU76" s="2016"/>
      <c r="AV76" s="2016"/>
      <c r="AW76" s="2016"/>
      <c r="AX76" s="2016"/>
      <c r="AY76" s="2016"/>
      <c r="AZ76" s="2016"/>
      <c r="BA76" s="2017"/>
      <c r="BB76" s="2018" t="str">
        <f>IF(OR(AS16="",BZ63="未"),"",IF(BD76="要","要","－"))</f>
        <v>要</v>
      </c>
      <c r="BC76" s="2019"/>
      <c r="BD76" s="2020" t="str">
        <f>IF(BZ63="未","",IF(B63&lt;11,CL86,CL85))</f>
        <v>要</v>
      </c>
      <c r="BE76" s="2019"/>
      <c r="BF76" s="2021"/>
      <c r="BG76" s="2022"/>
      <c r="BH76" s="1961" t="s">
        <v>267</v>
      </c>
      <c r="BI76" s="1962"/>
      <c r="BJ76" s="2001" t="str">
        <f>IF(OR(AS16="",BZ63="未"),"",IF(BJ77="要","－",IF(OR(BL72="要",BL78="要",BP73="要",BP75="要",BP77="要",BP79="要",BP81="要",BT73="要",BT75="要",BW75="要",BT77="要",BT79="要",BJ72="要",AZ78="要"),"要","－")))</f>
        <v>－</v>
      </c>
      <c r="BK76" s="1964"/>
      <c r="BL76" s="2002" t="s">
        <v>268</v>
      </c>
      <c r="BM76" s="2003"/>
      <c r="BN76" s="2003"/>
      <c r="BO76" s="2004"/>
      <c r="BP76" s="1817" t="s">
        <v>269</v>
      </c>
      <c r="BQ76" s="1818"/>
      <c r="BR76" s="1818"/>
      <c r="BS76" s="1819"/>
      <c r="BT76" s="2008" t="s">
        <v>270</v>
      </c>
      <c r="BU76" s="2009"/>
      <c r="BV76" s="2009"/>
      <c r="BW76" s="2009"/>
      <c r="BX76" s="2010"/>
      <c r="BY76" s="1989"/>
      <c r="BZ76" s="1987"/>
      <c r="CA76" s="1988"/>
      <c r="CB76" s="63"/>
      <c r="CC76" s="9"/>
      <c r="CD76" s="1978">
        <f>IF(ISNA(VLOOKUP(LEFT(CQ63,5),令別表,10,FALSE)),"",2+INT(CO63/(VLOOKUP(LEFT(CQ63,5),令別表,10,FALSE))))</f>
        <v>765</v>
      </c>
      <c r="CE76" s="1979"/>
      <c r="CF76" s="1993" t="s">
        <v>271</v>
      </c>
      <c r="CG76" s="1993"/>
      <c r="CH76" s="1993"/>
      <c r="CI76" s="113"/>
      <c r="CJ76" s="113"/>
      <c r="CK76" s="9"/>
      <c r="CL76" s="114" t="str">
        <f>IF(OR(AS16="(5) ロ",AS16="(6) ロ",AS16="( 7 )",AS16="( 8 )",AS16="(9) ロ",AS16="( 10)",AS16="( 11)",LEFT(AS16,4)="(12)",LEFT(AS16,4)="(13)",AS16="( 14)",AS16="( 15)",AS16="(16)ロ",LEFT(AS16,2)="16",AS16="( 17)",AS16="( 18)"),"－",IF(OR(AND(CG63&gt;=1000,OR(LEFT(CH63,3)="(1)",LEFT(CH63,3)="(2)",LEFT(CH63,3)="(3)",LEFT(CH63,5)="( 4 )",LEFT(CH63,5)="(5) イ",LEFT(CH63,5)="(6) イ",LEFT(CH63,5)="(6) ハ",LEFT(CH63,5)="(6) ニ",LEFT(CH63,5)="(9) イ",LEFT(AS16,3)="(1)",LEFT(AS16,3)="(2)",LEFT(AS16,3)="(3)",AS16="( 4 )",AS16="(5) イ",AS16="(6) イ",AS16="(6) ハ",AS16="(6) ニ",AS16="(9) イ")), AND(CI63&gt;=1000,OR(LEFT(CK63,3)="(1)",LEFT(CK63,3)="(2)",LEFT(CK63,3)="(3)",LEFT(CK63,5)="( 4 )",LEFT(CK63,5)="(5) イ",LEFT(CK63,5)="(6) イ",LEFT(CK63,5)="(6) ハ",LEFT(CK63,5)="(6) ニ",LEFT(CK63,5)="(9) イ",LEFT(AS16,3)="(1)",LEFT(AS16,3)="(2)",LEFT(AS16,3)="(3)",AS16="( 4 )",AS16="(5) イ",AS16="(6) イ",AS16="(6) ハ",AS16="(6) ニ",AS16="(9) イ"),CJ63&gt;=2),AND(CL63&gt;=1000,OR(LEFT(CN63,3)="(1)",LEFT(CN63,3)="(2)",LEFT(CN63,3)="(3)",LEFT(CN63,5)="( 4 )",LEFT(CN63,5)="(5) イ",LEFT(CN63,5)="(6) イ",LEFT(CN63,5)="(6) ハ",LEFT(CN63,5)="(6) ニ",LEFT(CN63,5)="(9) イ",LEFT(AS16,3)="(1)",LEFT(AS16,3)="(2)",LEFT(AS16,3)="(3)",AS16="( 4 )",AS16="(5) イ",AS16="(6) イ",AS16="(6) ハ",AS16="(6) ニ",AS16="(9) イ"),CM63&gt;=2),AND(CO63&gt;=1000,OR(LEFT(CQ63,3)="(1)",LEFT(CQ63,3)="(2)",LEFT(CQ63,3)="(3)",LEFT(CQ63,5)="( 4 )",LEFT(CQ63,5)="(5) イ",LEFT(CQ63,5)="(6) イ",LEFT(CQ63,5)="(6) ハ",LEFT(CQ63,5)="(6) ニ",LEFT(CQ63,5)="(9) イ",LEFT(AS16,3)="(1)",LEFT(AS16,3)="(2)",LEFT(AS16,3)="(3)",AS16="( 4 )",AS16="(5) イ",AS16="(6) イ",AS16="(6) ハ",AS16="(6) ニ",AS16="(9) イ"),CP63&gt;=2),AND(CR63/7&gt;=1000,OR(LEFT(CT63,3)="(1)",LEFT(CT63,3)="(2)",LEFT(CT63,3)="(3)",LEFT(CT63,5)="( 4 )",LEFT(CT63,5)="(5) イ",LEFT(CT63,5)="(6) イ",LEFT(CT63,5)="(6) ハ",LEFT(CT63,5)="(6) ニ",LEFT(CT63,5)="(9) イ",LEFT(AS16,3)="(1)",LEFT(AS16,3)="(2)",LEFT(AS16,3)="(3)",AS16="( 4 )",LEFT(AS16,5)="(5) イ",AS16="(6) イ",AS16="(6) ハ",AS16="(6) ニ",AS16="(9) イ"),CS63&gt;=2),AND(CU63/(B63-10)&gt;=1000,OR(LEFT(CW63,3)="(1)",LEFT(CW63,3)="(2)",LEFT(CW63,3)="(3)",LEFT(CW63,5)="( 4 )",LEFT(CW63,5)="(5) イ",LEFT(CW63,5)="(6) イ",LEFT(CW63,5)="(6) ハ",LEFT(CW63,5)="(6) ニ",LEFT(CW63,5)="(9) イ",LEFT(AS16,3)="(1)",LEFT(AS16,3)="(2)",LEFT(AS16,3)="(3)",AS16="( 4 )",AS16="(5) イ",AS16="(6) イ",AS16="(6) ハ",AS16="(6) ニ",AS16="(9) イ"),CV63&gt;=2)),"要","－"))</f>
        <v>要</v>
      </c>
      <c r="CM76" s="1950" t="s">
        <v>258</v>
      </c>
      <c r="CN76" s="1951"/>
      <c r="CO76" s="1980" t="str">
        <f>IF(AND(AA63&gt;=3000,OR(AS16="( 4 )",AS16="(6) イ"),B63&lt;&gt;1),"要","－")</f>
        <v>－</v>
      </c>
      <c r="CP76" s="1981"/>
      <c r="CQ76" s="1982"/>
      <c r="CR76" s="9"/>
      <c r="CS76" s="9"/>
      <c r="CT76" s="9"/>
      <c r="CU76" s="9"/>
      <c r="CV76" s="9"/>
      <c r="CW76" s="9"/>
      <c r="CX76" s="9"/>
      <c r="CY76" s="9"/>
      <c r="CZ76" s="99"/>
      <c r="DA76" s="99"/>
      <c r="DB76" s="99"/>
      <c r="DC76" s="93"/>
      <c r="DD76" s="107" t="s">
        <v>240</v>
      </c>
      <c r="DE76" s="93"/>
      <c r="DF76" s="102" t="s">
        <v>241</v>
      </c>
      <c r="DG76" s="93"/>
      <c r="DH76" s="93"/>
      <c r="DI76" s="93"/>
      <c r="DJ76" s="93"/>
      <c r="DK76" s="93"/>
      <c r="DL76" s="93"/>
      <c r="DM76" s="102" t="s">
        <v>241</v>
      </c>
      <c r="DN76" s="103"/>
      <c r="DO76" s="93"/>
      <c r="DP76" s="93"/>
      <c r="DQ76" s="93"/>
      <c r="DR76" s="102"/>
      <c r="DS76" s="102" t="s">
        <v>242</v>
      </c>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13"/>
      <c r="FI76" s="13"/>
      <c r="FJ76" s="13"/>
      <c r="FK76" s="1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row>
    <row r="77" spans="1:756" ht="11.25" customHeight="1">
      <c r="A77" s="2094"/>
      <c r="B77" s="37"/>
      <c r="C77" s="2103" t="s">
        <v>272</v>
      </c>
      <c r="D77" s="2103"/>
      <c r="E77" s="2103"/>
      <c r="F77" s="2103"/>
      <c r="G77" s="2103"/>
      <c r="H77" s="2103"/>
      <c r="I77" s="2103"/>
      <c r="J77" s="2103"/>
      <c r="K77" s="2103"/>
      <c r="L77" s="2103"/>
      <c r="M77" s="2103"/>
      <c r="N77" s="2103"/>
      <c r="O77" s="2438" t="str">
        <f>IF(CO63=0,"",IF(AND($AA$63&gt;=1000,OR($BY$16="特",AS16="( 8 )")),"要",IF(AND($AA$63&gt;=500,$B$63&gt;=3),"要",IF(OR(CP63=1,CP63=3),"要",""))))</f>
        <v>要</v>
      </c>
      <c r="P77" s="2439"/>
      <c r="Q77" s="2439"/>
      <c r="R77" s="2439"/>
      <c r="S77" s="2439"/>
      <c r="T77" s="2440"/>
      <c r="U77" s="1994" t="str">
        <f>IF(CO63=0,"",IF(AND(CQ63&lt;&gt;"",CO63&gt;=1000,OR(LEFT(CQ63,3)="(1)",LEFT(CQ63,3)="(2)",LEFT(CQ63,3)="(3)",LEFT(CQ63,3)="(4)",LEFT(CQ63,5)="(9) イ",LEFT(CQ63,5)="(16)イ")),"A",IF(AND(CQ63&lt;&gt;"",OR(LEFT(CQ63,5)="( 10)",LEFT(CQ63,2)="16")),"A",IF(AND(CO63&gt;=1000,OR(LEFT(AS16,3)="(1)",LEFT(AS16,3)="(2)",LEFT(AS16,3)="(3)",AS16="( 4 )",AS16="(9) イ",AS16="(16)イ")),"A",IF(OR(AS16="( 10)",LEFT(AS16,4)="(16)"),"A","BL")))))</f>
        <v>A</v>
      </c>
      <c r="V77" s="1995"/>
      <c r="W77" s="1996"/>
      <c r="X77" s="1996"/>
      <c r="Y77" s="1996"/>
      <c r="Z77" s="1996"/>
      <c r="AA77" s="1997" t="str">
        <f>IF(CO63=0,"","C")</f>
        <v>C</v>
      </c>
      <c r="AB77" s="1997"/>
      <c r="AC77" s="1997"/>
      <c r="AD77" s="1998" t="str">
        <f>IF(CO63=0,"","要")</f>
        <v>要</v>
      </c>
      <c r="AE77" s="1998"/>
      <c r="AF77" s="1999"/>
      <c r="AG77" s="2000"/>
      <c r="AH77" s="2023" t="s">
        <v>273</v>
      </c>
      <c r="AI77" s="2024"/>
      <c r="AJ77" s="2024"/>
      <c r="AK77" s="2025" t="s">
        <v>60</v>
      </c>
      <c r="AL77" s="2025"/>
      <c r="AM77" s="2026"/>
      <c r="AN77" s="2013"/>
      <c r="AO77" s="2014"/>
      <c r="AP77" s="2015" t="s">
        <v>274</v>
      </c>
      <c r="AQ77" s="2016"/>
      <c r="AR77" s="2016"/>
      <c r="AS77" s="2016"/>
      <c r="AT77" s="2016"/>
      <c r="AU77" s="2016"/>
      <c r="AV77" s="2016"/>
      <c r="AW77" s="2016"/>
      <c r="AX77" s="2016"/>
      <c r="AY77" s="2016"/>
      <c r="AZ77" s="2016"/>
      <c r="BA77" s="2017"/>
      <c r="BB77" s="2018" t="str">
        <f>IF(OR(AS16="",BZ63="未"),"",IF(BD77="要","要","－"))</f>
        <v>要</v>
      </c>
      <c r="BC77" s="2019"/>
      <c r="BD77" s="2019" t="str">
        <f>IF(OR(AS16="",BZ63="未"),"",IF(B63&gt;=11,"要","－"))</f>
        <v>要</v>
      </c>
      <c r="BE77" s="2019"/>
      <c r="BF77" s="2021"/>
      <c r="BG77" s="2022"/>
      <c r="BH77" s="1961" t="s">
        <v>193</v>
      </c>
      <c r="BI77" s="1962"/>
      <c r="BJ77" s="2001" t="str">
        <f>IF(OR(AS16="",BZ63="未"),"",IF(AND(BM16="特定防火対象物",AA63&gt;=1000,OR(BL72="要",BL78="要",BP73="要",BP75="要",BP77="要",BP79="要",BP81="要",BT73="要",BT75="要",BW75="要",BT77="要",BT79="要",BJ72="要",AZ78="要")),"要","－"))</f>
        <v>要</v>
      </c>
      <c r="BK77" s="1964"/>
      <c r="BL77" s="2033" t="s">
        <v>275</v>
      </c>
      <c r="BM77" s="2034"/>
      <c r="BN77" s="2034"/>
      <c r="BO77" s="2035"/>
      <c r="BP77" s="2005" t="str">
        <f>IF(OR(AS16="",BZ63="未"),"",IF(OR(AS16="(5) ロ",AS16="(6) ロ",AS16="( 7 )",AS16="( 8 )",AS16="(9) ロ",AS16="( 10)",AS16="( 11)",LEFT(AS16,4)="(12)",LEFT(AS16,4)="(13)",AS16="( 14)",AS16="( 15)",LEFT(AS16,4)="(16)",LEFT(AS16,2)="16",AS16="( 17)",AS16="( 18)"),"－",IF(CR63=0,"－",IF(AND(B63&gt;=11,OR(AND(CR63/7&gt;=1000,OR(LEFT(AS16,3)="(2)",AS16="( 4 )")),AND(AND(CR63/7&gt;=1500,OR(LEFT(AS16,3)="(1)",LEFT(AS16,3)="(3)",AS16="(5) イ",AS16="(6) イ",AS16="(6) ハ",AS16="(6) ニ",AS16="(9) イ"))),AND(CR63/7&gt;=275,AS16="(6) ロ"))),"要",IF(OR(AND(CR63/(B63-3)&gt;=1000,OR(LEFT(AS16,3)="(2)",AS16="( 4 )")),AND(AND(CR63/(B63-3)&gt;=1500,OR(LEFT(AS16,3)="(1)",LEFT(AS16,3)="(3)",AS16="(5) イ",AS16="(6) イ",AS16="(6) ハ",AS16="(6) ニ",AS16="(9) イ"))),AND(CR63/(B63-3)&gt;=275,AS16="(6) ロ")),"要","－")))))</f>
        <v>－</v>
      </c>
      <c r="BQ77" s="2006"/>
      <c r="BR77" s="2006"/>
      <c r="BS77" s="2036"/>
      <c r="BT77" s="2005" t="str">
        <f>IF(OR(AS16="",BZ63="未"),"",IF(AND(AA63&gt;500,OR(LEFT(AS16,3)="(3)",LEFT(AS16,3)="(5)",AS16="(6) イ",AS16="(6) ロ",AS16="(6) ハ")),"要",IF(OR(AND(CG63&gt;500,OR(LEFT(CH63,3)="(3)",LEFT(CH63,3)="(5)",LEFT(CH63,5)="(6) イ",LEFT(CH63,5)="(6) ロ",LEFT(CH63,5)="(6) ハ")),AND(CI63&gt;500,OR(LEFT(CK63,3)="(3)",LEFT(CK63,3)="(5)",LEFT(CK63,5)="(6) イ",LEFT(CK63,5)="(6) ロ",LEFT(CK63,5)="(6) ハ")),AND(CL63&gt;500,OR(LEFT(CN63,3)="(3)",LEFT(CN63,3)="(5)",LEFT(CN63,5)="(6) イ",LEFT(CN63,5)="(6) ロ",LEFT(CN63,5)="(6) ハ")),AND(CO63&gt;500,OR(LEFT(CQ63,3)="(3)",LEFT(CQ63,3)="(5)",LEFT(CQ63,5)="(6) イ",LEFT(CQ63,5)="(6) ロ",LEFT(CQ63,5)="(6) ハ")),AND(CR63&gt;500,OR(LEFT(CT63,3)="(3)",LEFT(CT63,3)="(5)",LEFT(CT63,5)="(6) イ",LEFT(CT63,5)="(6) ロ",LEFT(CT63,5)="(6) ハ")),AND(CU63&gt;500,OR(LEFT(CW63,3)="(3)",LEFT(CW63,3)="(5)",LEFT(CW63,5)="(6) イ",LEFT(CW63,5)="(6) ロ",LEFT(CW63,5)="(6) ハ"))),"要","－")))</f>
        <v>要</v>
      </c>
      <c r="BU77" s="2006"/>
      <c r="BV77" s="2007"/>
      <c r="BW77" s="1820"/>
      <c r="BX77" s="1821"/>
      <c r="BY77" s="1990"/>
      <c r="BZ77" s="1991"/>
      <c r="CA77" s="1992"/>
      <c r="CB77" s="63"/>
      <c r="CC77" s="9"/>
      <c r="CD77" s="1978">
        <f>IF(ISNA(VLOOKUP(LEFT(CT63,5),令別表,10,FALSE)),"",2+INT(CR63/(VLOOKUP(LEFT(CT63,5),令別表,10,FALSE))))</f>
        <v>1614</v>
      </c>
      <c r="CE77" s="1979"/>
      <c r="CF77" s="58"/>
      <c r="CG77" s="887" t="str">
        <f>IF(AND(CG63&gt;=1000,OR(AS16="(1)",AS16="(2)",AS16="(3)",AS16="( 4 )",AS16="(5) イ",AS16="(6)",AS16="(9) イ",AS16="16 の2")),"要","－")</f>
        <v>－</v>
      </c>
      <c r="CH77" s="58"/>
      <c r="CI77" s="58"/>
      <c r="CJ77" s="58"/>
      <c r="CK77" s="9"/>
      <c r="CL77" s="887" t="str">
        <f>IF(AS16="","",IF(OR(AND(CG63&gt;=1000,OR(LEFT(CH63,3)="(1)",LEFT(CH63,3)="(2)",LEFT(CH63,3)="(3)",LEFT(CH63,5)="( 4 )",LEFT(CH63,5)="(5) イ",LEFT(CH63,5)="(6) イ",LEFT(CH63,5)="(6) ハ",LEFT(CH63,5)="(6) ニ",LEFT(CH63,5)="(9) イ",LEFT(AS16,3)="(1)",LEFT(AS16,3)="(2)",LEFT(AS16,3)="(3)",AS16="( 4 )",AS16="(5) イ",AS16="(6) イ",AS16="(6) ハ",AS16="(6) ニ",AS16="(9) イ")), AND(CI63&gt;=1000,OR(LEFT(CK63,3)="(1)",LEFT(CK63,3)="(2)",LEFT(CK63,3)="(3)",LEFT(CK63,5)="( 4 )",LEFT(CK63,5)="(5) イ",LEFT(CK63,5)="(6) イ",LEFT(CK63,5)="(6) ハ",LEFT(CK63,5)="(6) ニ",LEFT(CK63,5)="(9) イ",LEFT(AS16,3)="(1)",LEFT(AS16,3)="(2)",LEFT(AS16,3)="(3)",AS16="( 4 )",AS16="(5) イ",AS16="(6) イ",AS16="(6) ハ",AS16="(6) ニ",AS16="(9) イ"),CJ63&gt;=2),AND(CL63&gt;=1000,OR(LEFT(CN63,3)="(1)",LEFT(CN63,3)="(2)",LEFT(CN63,3)="(3)",LEFT(CN63,5)="( 4 )",LEFT(CN63,5)="(5) イ",LEFT(CN63,5)="(6) イ",LEFT(CN63,5)="(6) ハ",LEFT(CN63,5)="(6) ニ",LEFT(CN63,5)="(9) イ",LEFT(AS16,3)="(1)",LEFT(AS16,3)="(2)",LEFT(AS16,3)="(3)",AS16="( 4 )",AS16="(5) イ",AS16="(6) イ",AS16="(6) ハ",AS16="(6) ニ",AS16="(9) イ"),CM63&gt;=2),AND(CO63&gt;=1000,OR(LEFT(CQ63,3)="(1)",LEFT(CQ63,3)="(2)",LEFT(CQ63,3)="(3)",LEFT(CQ63,5)="( 4 )",LEFT(CQ63,5)="(5) イ",LEFT(CQ63,5)="(6) イ",LEFT(CQ63,5)="(6) ハ",LEFT(CQ63,5)="(6) ニ",LEFT(CQ63,5)="(9) イ",LEFT(AS16,3)="(1)",LEFT(AS16,3)="(2)",LEFT(AS16,3)="(3)",AS16="( 4 )",AS16="(5) イ",AS16="(6) イ",AS16="(6) ハ",AS16="(6) ニ",AS16="(9) イ"),CP63&gt;=2),AND(CR63/B63&gt;=1000,OR(LEFT(CT63,3)="(1)",LEFT(CT63,3)="(2)",LEFT(CT63,3)="(3)",LEFT(CT63,5)="( 4 )",LEFT(CT63,5)="(5) イ",LEFT(CT63,5)="(6) イ",LEFT(CT63,5)="(6) ハ",LEFT(CT63,5)="(6) ニ",LEFT(CT63,5)="(9) イ",LEFT(AS16,3)="(1)",LEFT(AS16,3)="(2)",LEFT(AS16,3)="(3)",AS16="( 4 )",AS16="(5) イ",AS16="(6) イ",AS16="(6) ハ",AS16="(6) ニ",AS16="(9) イ"),CS63&gt;=2)),"要","－"))</f>
        <v>要</v>
      </c>
      <c r="CM77" s="1957" t="s">
        <v>262</v>
      </c>
      <c r="CN77" s="1958"/>
      <c r="CO77" s="1980" t="str">
        <f>IF(AND(AA63&gt;=6000,OR(LEFT(AS16,3)="(1)",LEFT(AS16,3)="(2)",LEFT(AS16,3)="(3)",AS16="(5) イ",AS16="(6) ハ",AS16="(6) ニ",AS16="(9) イ"),B63&lt;&gt;1),"要","－")</f>
        <v>－</v>
      </c>
      <c r="CP77" s="1981"/>
      <c r="CQ77" s="1982"/>
      <c r="CR77" s="9"/>
      <c r="CS77" s="9"/>
      <c r="CT77" s="9"/>
      <c r="CU77" s="680"/>
      <c r="CV77" s="680"/>
      <c r="CW77" s="9"/>
      <c r="CX77" s="9"/>
      <c r="CY77" s="9"/>
      <c r="CZ77" s="99"/>
      <c r="DA77" s="99"/>
      <c r="DB77" s="99"/>
      <c r="DC77" s="93"/>
      <c r="DD77" s="107" t="s">
        <v>240</v>
      </c>
      <c r="DE77" s="93"/>
      <c r="DF77" s="102" t="s">
        <v>241</v>
      </c>
      <c r="DG77" s="93"/>
      <c r="DH77" s="93"/>
      <c r="DI77" s="93"/>
      <c r="DJ77" s="93"/>
      <c r="DK77" s="93"/>
      <c r="DL77" s="93"/>
      <c r="DM77" s="102" t="s">
        <v>241</v>
      </c>
      <c r="DN77" s="103"/>
      <c r="DO77" s="93"/>
      <c r="DP77" s="93"/>
      <c r="DQ77" s="93"/>
      <c r="DR77" s="102"/>
      <c r="DS77" s="102" t="s">
        <v>242</v>
      </c>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13"/>
      <c r="FI77" s="13"/>
      <c r="FJ77" s="13"/>
      <c r="FK77" s="1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row>
    <row r="78" spans="1:756" ht="11.25" customHeight="1">
      <c r="A78" s="2094"/>
      <c r="B78" s="37"/>
      <c r="C78" s="2104" t="s">
        <v>276</v>
      </c>
      <c r="D78" s="2104"/>
      <c r="E78" s="2104"/>
      <c r="F78" s="2104"/>
      <c r="G78" s="2104"/>
      <c r="H78" s="2104"/>
      <c r="I78" s="2104"/>
      <c r="J78" s="2104"/>
      <c r="K78" s="2104"/>
      <c r="L78" s="2104"/>
      <c r="M78" s="2104"/>
      <c r="N78" s="2104"/>
      <c r="O78" s="2441" t="str">
        <f>IF(CO63=0,"",IF(AND($AA$63&gt;=1000,OR($BY$16="特",AS16="( 8 )")),"要",IF(AND($AA$63&gt;=500,$B$63&gt;=3),"要",IF(OR(CP63=1,CP63=3),"要",""))))</f>
        <v>要</v>
      </c>
      <c r="P78" s="2442"/>
      <c r="Q78" s="2442"/>
      <c r="R78" s="2442"/>
      <c r="S78" s="2442"/>
      <c r="T78" s="2443"/>
      <c r="U78" s="2041"/>
      <c r="V78" s="2042"/>
      <c r="W78" s="2447" t="str">
        <f>IF(CO63=0,"",IF(AND(CQ63&lt;&gt;"",CO63&gt;=1000,OR(LEFT(CQ63,3)="(1)",LEFT(CQ63,3)="(2)",LEFT(CQ63,3)="(3)",LEFT(CQ63,5)="( 4 )",LEFT(CQ63,5)="(9) イ",LEFT(CQ63,5)="(16)イ")),"B",IF(AND(CQ63&lt;&gt;"",OR(LEFT(CQ63,5)="( 10)",LEFT(CQ63,2)="16")),"B",IF(AND(CO63&gt;=1000,OR(LEFT(AS16,3)="(1)",LEFT(AS16,3)="(2)",LEFT(AS16,3)="(3)",AS16="( 4 )",AS16="(9) イ",AS16="(16)イ")),"B",IF(OR(AS16="( 10)",LEFT(AS16,4)="(16)"),"B","C")))))</f>
        <v>B</v>
      </c>
      <c r="X78" s="2447"/>
      <c r="Y78" s="2447"/>
      <c r="Z78" s="2447"/>
      <c r="AA78" s="2045"/>
      <c r="AB78" s="2045"/>
      <c r="AC78" s="2045"/>
      <c r="AD78" s="2132"/>
      <c r="AE78" s="2132"/>
      <c r="AF78" s="2027" t="str">
        <f>IF(CO63=0,"",IF(OR(LEFT(AS16,3)="(1)",LEFT(CQ63,3)="(1)"),"要",""))</f>
        <v/>
      </c>
      <c r="AG78" s="2028"/>
      <c r="AH78" s="2451" t="s">
        <v>277</v>
      </c>
      <c r="AI78" s="2452"/>
      <c r="AJ78" s="2453"/>
      <c r="AK78" s="2114" t="s">
        <v>278</v>
      </c>
      <c r="AL78" s="2115"/>
      <c r="AM78" s="2116"/>
      <c r="AN78" s="2013"/>
      <c r="AO78" s="2014"/>
      <c r="AP78" s="115"/>
      <c r="AQ78" s="1855" t="s">
        <v>279</v>
      </c>
      <c r="AR78" s="1855"/>
      <c r="AS78" s="1855"/>
      <c r="AT78" s="1855"/>
      <c r="AU78" s="1855"/>
      <c r="AV78" s="1855"/>
      <c r="AW78" s="1855"/>
      <c r="AX78" s="1855"/>
      <c r="AY78" s="1855"/>
      <c r="AZ78" s="1948" t="s">
        <v>2179</v>
      </c>
      <c r="BA78" s="1949"/>
      <c r="BB78" s="116"/>
      <c r="BC78" s="116"/>
      <c r="BD78" s="116"/>
      <c r="BE78" s="116"/>
      <c r="BF78" s="116"/>
      <c r="BG78" s="116"/>
      <c r="BH78" s="1961" t="s">
        <v>280</v>
      </c>
      <c r="BI78" s="1962"/>
      <c r="BJ78" s="1963" t="str">
        <f>IF(OR(AS16="",BZ63="未"),"",IF(OR(AZ79="要",AZ80="要",AZ81="要"),"要","－"))</f>
        <v>－</v>
      </c>
      <c r="BK78" s="1964"/>
      <c r="BL78" s="1942" t="str">
        <f>IF(AQ85=0,"",IF(AR18="","耐火基準",IF(AR18="耐火",CI74,IF(AR18="準耐火",CJ74,IF(AR18="非耐火",CK74,"不要")))))</f>
        <v>不要</v>
      </c>
      <c r="BM78" s="1943"/>
      <c r="BN78" s="1943"/>
      <c r="BO78" s="1944"/>
      <c r="BP78" s="1983" t="s">
        <v>281</v>
      </c>
      <c r="BQ78" s="1984"/>
      <c r="BR78" s="1984"/>
      <c r="BS78" s="1985"/>
      <c r="BT78" s="1822" t="s">
        <v>282</v>
      </c>
      <c r="BU78" s="1823"/>
      <c r="BV78" s="1823"/>
      <c r="BW78" s="1823"/>
      <c r="BX78" s="1824"/>
      <c r="BY78" s="117"/>
      <c r="BZ78" s="118"/>
      <c r="CA78" s="119"/>
      <c r="CB78" s="63"/>
      <c r="CC78" s="9"/>
      <c r="CD78" s="1978">
        <f>IF(ISNA(VLOOKUP(LEFT(CW63,5),令別表,10,FALSE)),"",2+INT(CU63/(VLOOKUP(LEFT(CW63,5),令別表,10,FALSE))))</f>
        <v>462</v>
      </c>
      <c r="CE78" s="1979"/>
      <c r="CF78" s="9"/>
      <c r="CG78" s="887" t="str">
        <f>IF(AND(CG63&gt;=1000,OR(AS16="(16)イ",AS16="16 の3"),OR(CI63&gt;=500,CL63&gt;=500,CO63&gt;=500,CR63&gt;=500,CU63&gt;=500),OR(LEFT(CH63,3)="(1)",LEFT(CH63,3)="(2)",LEFT(CH63,3)="(3)",LEFT(CH63,5)="( 4 )",LEFT(CH63,5)="(5) イ",LEFT(CH63,3)="(6)",LEFT(CH63,5)="(9) イ",LEFT(CH63,5)="16 の2",LEFT(CK63,3)="(1)",LEFT(CK63,3)="(2)",LEFT(CK63,3)="(3)",LEFT(CK63,5)="( 4 )",LEFT(CK63,5)="(5) イ",LEFT(CK63,3)="(6)",LEFT(CK63,5)="(9) イ",LEFT(CK63,5)="16 の2",LEFT(CN63,3)="(1)",LEFT(CN63,3)="(2)",LEFT(CN63,3)="(3)",LEFT(CN63,5)="( 4 )",LEFT(CN63,5)="(5) イ",LEFT(CN63,3)="(6)",LEFT(CN63,5)="(9) イ",LEFT(CN63,5)="16 の2",LEFT(CQ63,3)="(1)",LEFT(CQ63,3)="(2)",LEFT(CQ63,3)="(3)",LEFT(CQ63,5)="( 4 )",LEFT(CQ63,5)="(5) イ",LEFT(CQ63,3)="(6)",LEFT(CQ63,5)="(9) イ",LEFT(CQ63,5)="16 の2",LEFT(CT63,3)="(1)",LEFT(CT63,3)="(2)",LEFT(CT63,3)="(3)",LEFT(CT63,5)="( 4 )",LEFT(CT63,5)="(5) イ",LEFT(CT63,3)="(6)",LEFT(CT63,5)="(9) イ",LEFT(CT63,5)="16 の2",LEFT(CW63,3)="(1)",LEFT(CW63,3)="(2)",LEFT(CW63,3)="(3)",LEFT(CW63,5)="( 4 )",LEFT(CW63,5)="(5) イ",LEFT(CW63,3)="(6)",LEFT(CW63,5)="(9) イ",LEFT(CW63,5)="16 の2")),"要","－")</f>
        <v>－</v>
      </c>
      <c r="CH78" s="9"/>
      <c r="CI78" s="9"/>
      <c r="CJ78" s="9"/>
      <c r="CK78" s="9"/>
      <c r="CL78" s="1980" t="s">
        <v>283</v>
      </c>
      <c r="CM78" s="1981"/>
      <c r="CN78" s="1982"/>
      <c r="CO78" s="1980" t="s">
        <v>284</v>
      </c>
      <c r="CP78" s="1981"/>
      <c r="CQ78" s="1982"/>
      <c r="CR78" s="9"/>
      <c r="CS78" s="9"/>
      <c r="CT78" s="9"/>
      <c r="CU78" s="9"/>
      <c r="CV78" s="9"/>
      <c r="CW78" s="9"/>
      <c r="CX78" s="9"/>
      <c r="CY78" s="9"/>
      <c r="CZ78" s="99"/>
      <c r="DA78" s="99"/>
      <c r="DB78" s="99"/>
      <c r="DC78" s="93"/>
      <c r="DD78" s="107" t="s">
        <v>240</v>
      </c>
      <c r="DE78" s="93"/>
      <c r="DF78" s="102" t="s">
        <v>241</v>
      </c>
      <c r="DG78" s="93"/>
      <c r="DH78" s="93"/>
      <c r="DI78" s="93"/>
      <c r="DJ78" s="93"/>
      <c r="DK78" s="93"/>
      <c r="DL78" s="93"/>
      <c r="DM78" s="102" t="s">
        <v>241</v>
      </c>
      <c r="DN78" s="103"/>
      <c r="DO78" s="93"/>
      <c r="DP78" s="93"/>
      <c r="DQ78" s="93"/>
      <c r="DR78" s="102"/>
      <c r="DS78" s="102" t="s">
        <v>242</v>
      </c>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13"/>
      <c r="FI78" s="13"/>
      <c r="FJ78" s="13"/>
      <c r="FK78" s="1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row>
    <row r="79" spans="1:756" ht="11.25" customHeight="1">
      <c r="A79" s="2094"/>
      <c r="B79" s="37"/>
      <c r="C79" s="2103" t="s">
        <v>285</v>
      </c>
      <c r="D79" s="2103"/>
      <c r="E79" s="2103"/>
      <c r="F79" s="2103"/>
      <c r="G79" s="2103"/>
      <c r="H79" s="2103"/>
      <c r="I79" s="2103"/>
      <c r="J79" s="2103"/>
      <c r="K79" s="2103"/>
      <c r="L79" s="2103"/>
      <c r="M79" s="2103"/>
      <c r="N79" s="2103"/>
      <c r="O79" s="2438" t="str">
        <f>IF(CR63=0,"",IF(AND($AA$63&gt;=1000,OR($BY$16="特",AS16="( 8 )")),"要",IF(AND($AA$63&gt;=500,$B$63&gt;=3),"要",IF(OR(CS63=1,CS63=3),"要",""))))</f>
        <v>要</v>
      </c>
      <c r="P79" s="2439"/>
      <c r="Q79" s="2439"/>
      <c r="R79" s="2439"/>
      <c r="S79" s="2439"/>
      <c r="T79" s="2440"/>
      <c r="U79" s="1871" t="str">
        <f>IF(CR63=0,"",IF(AND(CT63&lt;&gt;"",CR63&gt;=1000,OR(LEFT(CT63,3)="(1)",LEFT(CT63,3)="(2)",LEFT(CT63,3)="(3)",LEFT(CT63,3)="(4)",LEFT(CT63,5)="(9) イ",LEFT(CT63,5)="(16)イ")),"A",IF(AND(CT63&lt;&gt;"",OR(LEFT(CT63,5)="( 10)",LEFT(CT63,2)="16")),"A",IF(AND(CR63&gt;=1000,OR(LEFT(AS16,3)="(1)",LEFT(AS16,3)="(2)",LEFT(AS16,3)="(3)",AS16="( 4 )",AS16="(9) イ",AS16="(16)イ")),"A",IF(OR(AS16="( 10)",LEFT(AS16,4)="(16)"),"A","BL")))))</f>
        <v>A</v>
      </c>
      <c r="V79" s="1872"/>
      <c r="W79" s="1873"/>
      <c r="X79" s="1873"/>
      <c r="Y79" s="1873"/>
      <c r="Z79" s="1873"/>
      <c r="AA79" s="2102" t="str">
        <f>IF(CR63=0,"","C")</f>
        <v>C</v>
      </c>
      <c r="AB79" s="2102"/>
      <c r="AC79" s="2102"/>
      <c r="AD79" s="2105" t="str">
        <f>IF(CR63=0,"","要")</f>
        <v>要</v>
      </c>
      <c r="AE79" s="2105"/>
      <c r="AF79" s="1970"/>
      <c r="AG79" s="1971"/>
      <c r="AH79" s="1972">
        <f>IF(BZ63="未","",IF(AK79&lt;&gt;"",AK79,IF(CD79&lt;&gt;0,CD79,IF(ISNA(VLOOKUP(AS16,令別表,10,FALSE)),"",1+INT(AA63/(VLOOKUP(AS16,令別表,10,FALSE)))))))</f>
        <v>4882</v>
      </c>
      <c r="AI79" s="1973"/>
      <c r="AJ79" s="1974"/>
      <c r="AK79" s="2117"/>
      <c r="AL79" s="2118"/>
      <c r="AM79" s="2119"/>
      <c r="AN79" s="1942" t="str">
        <f>IF(AS16="","",IF(OR(AS16="(1) イ",LEFT(AS16,3)="(2)",AS16="(6) ロ",LEFT(AS16,2)="16",AS16="( 17)",AS16="( 18)",AND(AA63&gt;=150,OR(AS16="(1) ロ",LEFT(AS16,3)="(3)",AS16="( 4 )",AS16="(6) イ",AS16="(6) ハ",AS16="(6) ニ",LEFT(AS16,3)="(9)",LEFT(AS16,4)="(12)",LEFT(AS16,4)="(13)",AS16="( 14)")),AND(AA63&gt;=300,OR(AS16="( 7 )",AS16="( 8 )",AS16="( 10)",AS16="( 11)",AS16="( 15)"))),"要","－"))</f>
        <v>－</v>
      </c>
      <c r="AO79" s="1944"/>
      <c r="AP79" s="115"/>
      <c r="AQ79" s="1855" t="s">
        <v>286</v>
      </c>
      <c r="AR79" s="1855"/>
      <c r="AS79" s="1855"/>
      <c r="AT79" s="1855"/>
      <c r="AU79" s="1855"/>
      <c r="AV79" s="1855"/>
      <c r="AW79" s="1855"/>
      <c r="AX79" s="1855"/>
      <c r="AY79" s="1856"/>
      <c r="AZ79" s="1948" t="s">
        <v>2179</v>
      </c>
      <c r="BA79" s="1949"/>
      <c r="BB79" s="1952"/>
      <c r="BC79" s="1952"/>
      <c r="BD79" s="1952"/>
      <c r="BE79" s="1952"/>
      <c r="BF79" s="1952"/>
      <c r="BG79" s="1952"/>
      <c r="BH79" s="1961" t="s">
        <v>287</v>
      </c>
      <c r="BI79" s="1962"/>
      <c r="BJ79" s="1963" t="str">
        <f>IF(OR(AS16="",BZ63="未"),"",IF(AK72="要","要","－"))</f>
        <v>要</v>
      </c>
      <c r="BK79" s="1964"/>
      <c r="BL79" s="1942"/>
      <c r="BM79" s="1943"/>
      <c r="BN79" s="1943"/>
      <c r="BO79" s="1944"/>
      <c r="BP79" s="2032" t="str">
        <f>IF(OR(AS16="",BZ63="未"),"",IF(CU63=0,"－",IF(OR(AS16="(5) ロ",AS16="(6) ロ",AS16="( 7 )",AS16="( 8 )",AS16="(9) ロ",AS16="( 10)",AS16="( 11)",LEFT(AS16,4)="(12)",LEFT(AS16,4)="(13)",AS16="( 14)",AS16="( 15)",AS16="(16)ロ",LEFT(AS16,2)="16",AS16="( 17)",AS16="( 18)"),"－",IF(AND(B63-10&gt;0,OR(LEFT(AS16,3)="(1)",LEFT(AS16,3)="(2)",LEFT(AS16,3)="(3)",AS16="( 4 )",AS16="(5) イ",LEFT(AS16,3)="(6)",AS16="(9) イ",AS16="(16)イ")),"要","－"))))</f>
        <v>要</v>
      </c>
      <c r="BQ79" s="1965"/>
      <c r="BR79" s="1965"/>
      <c r="BS79" s="1966"/>
      <c r="BT79" s="2032" t="str">
        <f>IF(OR(AS16="",BZ63="未"),"",IF(OR(AS16="16 の2",LEFT(CH63,5)="16 の2",LEFT(CK63,5)="16 の2",LEFT(CN63,5)="16 の2",LEFT(CQ63,5)="16 の2",LEFT(CT63,5)="16 の2",LEFT(CW63,5)="16 の2"),"要","－"))</f>
        <v>－</v>
      </c>
      <c r="BU79" s="1965"/>
      <c r="BV79" s="2054"/>
      <c r="BW79" s="1965" t="str">
        <f>IF(OR(AS16="",BZ63="未"),"",IF(AND(OR(AA63&gt;=1000,CI63&gt;=1000,CL63&gt;=1000,CO63&gt;=1000,CR63&gt;=1000,CU63&gt;=1000),OR(AS16="16 の2",LEFT(CH63,5)="16 の2",LEFT(CK63,5)="16 の2",LEFT(CN63,5)="16 の2",LEFT(CQ63,5)="16 の2",LEFT(CT63,5)="16 の2",LEFT(CW63,5)="16 の2")),"要","－"))</f>
        <v>－</v>
      </c>
      <c r="BX79" s="1966"/>
      <c r="BY79" s="117"/>
      <c r="BZ79" s="118"/>
      <c r="CA79" s="119"/>
      <c r="CB79" s="63"/>
      <c r="CC79" s="9"/>
      <c r="CD79" s="1978">
        <f>SUM(CD73:CD78)</f>
        <v>4882</v>
      </c>
      <c r="CE79" s="1979"/>
      <c r="CF79" s="9"/>
      <c r="CG79" s="9"/>
      <c r="CH79" s="9"/>
      <c r="CI79" s="9"/>
      <c r="CJ79" s="9"/>
      <c r="CK79" s="9"/>
      <c r="CL79" s="60" t="str">
        <f>IF(B63&lt;11,"",IF(OR(AND(CG63&gt;=200,LEFT(CH63,5)="(13)イ"),AND(CL63&gt;=200,LEFT(CN63,5)="(13)イ"),AND(CO63&gt;=200,LEFT(CQ63,5)="(13)イ"),AND(CR63/7&gt;=200,LEFT(CT63,5)="(13)イ"),AND(CU63/(B63-10)&gt;=200,LEFT(CW63,5)="(13)イ")),"要","－"))</f>
        <v>－</v>
      </c>
      <c r="CM79" s="1950" t="s">
        <v>258</v>
      </c>
      <c r="CN79" s="1951"/>
      <c r="CO79" s="9"/>
      <c r="CP79" s="9"/>
      <c r="CQ79" s="9"/>
      <c r="CR79" s="9"/>
      <c r="CS79" s="9"/>
      <c r="CT79" s="9"/>
      <c r="CU79" s="9"/>
      <c r="CV79" s="9"/>
      <c r="CW79" s="9"/>
      <c r="CX79" s="9"/>
      <c r="CY79" s="9"/>
      <c r="CZ79" s="99"/>
      <c r="DA79" s="99"/>
      <c r="DB79" s="99"/>
      <c r="DC79" s="93"/>
      <c r="DD79" s="107" t="s">
        <v>240</v>
      </c>
      <c r="DE79" s="93"/>
      <c r="DF79" s="102" t="s">
        <v>241</v>
      </c>
      <c r="DG79" s="93"/>
      <c r="DH79" s="93"/>
      <c r="DI79" s="93"/>
      <c r="DJ79" s="93"/>
      <c r="DK79" s="93"/>
      <c r="DL79" s="93"/>
      <c r="DM79" s="102" t="s">
        <v>241</v>
      </c>
      <c r="DN79" s="103"/>
      <c r="DO79" s="93"/>
      <c r="DP79" s="93"/>
      <c r="DQ79" s="93"/>
      <c r="DR79" s="102"/>
      <c r="DS79" s="102" t="s">
        <v>242</v>
      </c>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13"/>
      <c r="FI79" s="13"/>
      <c r="FJ79" s="13"/>
      <c r="FK79" s="1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row>
    <row r="80" spans="1:756" ht="11.25" customHeight="1">
      <c r="A80" s="2094"/>
      <c r="B80" s="37"/>
      <c r="C80" s="2104" t="s">
        <v>288</v>
      </c>
      <c r="D80" s="2104"/>
      <c r="E80" s="2104"/>
      <c r="F80" s="2104"/>
      <c r="G80" s="2104"/>
      <c r="H80" s="2104"/>
      <c r="I80" s="2104"/>
      <c r="J80" s="2104"/>
      <c r="K80" s="2104"/>
      <c r="L80" s="2104"/>
      <c r="M80" s="2104"/>
      <c r="N80" s="2104"/>
      <c r="O80" s="2441" t="str">
        <f>IF(CR63=0,"",IF(AND($AA$63&gt;=1000,OR($BY$16="特",AS16="( 8 )")),"要",IF(AND($AA$63&gt;=500,$B$63&gt;=3),"要",IF(OR(CS63=1,CS63=3),"要",""))))</f>
        <v>要</v>
      </c>
      <c r="P80" s="2442"/>
      <c r="Q80" s="2442"/>
      <c r="R80" s="2442"/>
      <c r="S80" s="2442"/>
      <c r="T80" s="2443"/>
      <c r="U80" s="1859"/>
      <c r="V80" s="1860"/>
      <c r="W80" s="1861" t="str">
        <f>IF(CR63=0,"",IF(AND(CT63&lt;&gt;"",CR63&gt;=1000,OR(LEFT(CT63,3)="(1)",LEFT(CT63,3)="(2)",LEFT(CT63,3)="(3)",LEFT(CT63,5)="( 4 )",LEFT(CT63,5)="(9) イ",LEFT(CT63,5)="(16)イ")),"B",IF(AND(CT63&lt;&gt;"",OR(LEFT(CT63,5)="( 10)",LEFT(CT63,2)="16")),"B",IF(AND(CR63&gt;=1000,OR(LEFT(AS16,3)="(1)",LEFT(AS16,3)="(2)",LEFT(AS16,3)="(3)",AS16="( 4 )",AS16="(9) イ",AS16="(16)イ")),"B",IF(OR(AS16="( 10)",LEFT(AS16,4)="(16)"),"B","C")))))</f>
        <v>B</v>
      </c>
      <c r="X80" s="1861"/>
      <c r="Y80" s="1861"/>
      <c r="Z80" s="1861"/>
      <c r="AA80" s="1862"/>
      <c r="AB80" s="1862"/>
      <c r="AC80" s="1862"/>
      <c r="AD80" s="1863"/>
      <c r="AE80" s="1863"/>
      <c r="AF80" s="1864" t="str">
        <f>IF(CR63=0,"",IF(OR(LEFT(AS16,3)="(1)",LEFT(CT63,3)="(1)"),"要",""))</f>
        <v/>
      </c>
      <c r="AG80" s="1865"/>
      <c r="AH80" s="1972"/>
      <c r="AI80" s="1973"/>
      <c r="AJ80" s="1974"/>
      <c r="AK80" s="2120"/>
      <c r="AL80" s="2121"/>
      <c r="AM80" s="2122"/>
      <c r="AN80" s="1942"/>
      <c r="AO80" s="1944"/>
      <c r="AP80" s="115"/>
      <c r="AQ80" s="1855" t="s">
        <v>289</v>
      </c>
      <c r="AR80" s="1855"/>
      <c r="AS80" s="1855"/>
      <c r="AT80" s="1855"/>
      <c r="AU80" s="1855"/>
      <c r="AV80" s="1855"/>
      <c r="AW80" s="1855"/>
      <c r="AX80" s="1855"/>
      <c r="AY80" s="1856"/>
      <c r="AZ80" s="1948" t="s">
        <v>2179</v>
      </c>
      <c r="BA80" s="1949"/>
      <c r="BB80" s="120"/>
      <c r="BC80" s="120"/>
      <c r="BD80" s="120"/>
      <c r="BE80" s="120"/>
      <c r="BF80" s="120"/>
      <c r="BG80" s="120"/>
      <c r="BH80" s="1961" t="s">
        <v>290</v>
      </c>
      <c r="BI80" s="1962"/>
      <c r="BJ80" s="1963" t="str">
        <f>IF(OR(AS16="",BZ63="未"),"",IF(AN72="要","要","－"))</f>
        <v>－</v>
      </c>
      <c r="BK80" s="1964"/>
      <c r="BL80" s="1942"/>
      <c r="BM80" s="1943"/>
      <c r="BN80" s="1943"/>
      <c r="BO80" s="1944"/>
      <c r="BP80" s="1817" t="s">
        <v>291</v>
      </c>
      <c r="BQ80" s="1818"/>
      <c r="BR80" s="1818"/>
      <c r="BS80" s="1819"/>
      <c r="BT80" s="2556"/>
      <c r="BU80" s="1952"/>
      <c r="BV80" s="1952"/>
      <c r="BW80" s="1952"/>
      <c r="BX80" s="2557"/>
      <c r="BY80" s="117"/>
      <c r="BZ80" s="118"/>
      <c r="CA80" s="119"/>
      <c r="CB80" s="63"/>
      <c r="CC80" s="9"/>
      <c r="CD80" s="9"/>
      <c r="CE80" s="9"/>
      <c r="CF80" s="9"/>
      <c r="CG80" s="9"/>
      <c r="CH80" s="9"/>
      <c r="CI80" s="9"/>
      <c r="CJ80" s="9"/>
      <c r="CK80" s="9"/>
      <c r="CL80" s="60" t="str">
        <f>IF(AS16="","",IF(B63&gt;=11,"",IF(OR(AND(CG63&gt;=200,LEFT(CH63,5)="(13)イ"),AND(CL63&gt;=200,LEFT(CN63,5)="(13)イ"),AND(CO63&gt;=200,LEFT(CQ63,5)="(13)イ"),AND(CR63/B63&gt;=200,LEFT(CT63,5)="(13)イ")),"要","－")))</f>
        <v/>
      </c>
      <c r="CM80" s="1957" t="s">
        <v>262</v>
      </c>
      <c r="CN80" s="1958"/>
      <c r="CO80" s="9"/>
      <c r="CP80" s="9"/>
      <c r="CQ80" s="9"/>
      <c r="CR80" s="9"/>
      <c r="CS80" s="9"/>
      <c r="CT80" s="9"/>
      <c r="CU80" s="9"/>
      <c r="CV80" s="9"/>
      <c r="CW80" s="9"/>
      <c r="CX80" s="9"/>
      <c r="CY80" s="9"/>
      <c r="CZ80" s="99"/>
      <c r="DA80" s="99"/>
      <c r="DB80" s="99"/>
      <c r="DC80" s="93"/>
      <c r="DD80" s="107" t="s">
        <v>240</v>
      </c>
      <c r="DE80" s="93"/>
      <c r="DF80" s="102" t="s">
        <v>241</v>
      </c>
      <c r="DG80" s="93"/>
      <c r="DH80" s="93"/>
      <c r="DI80" s="93"/>
      <c r="DJ80" s="93"/>
      <c r="DK80" s="93"/>
      <c r="DL80" s="93"/>
      <c r="DM80" s="102" t="s">
        <v>241</v>
      </c>
      <c r="DN80" s="103"/>
      <c r="DO80" s="93"/>
      <c r="DP80" s="93"/>
      <c r="DQ80" s="93"/>
      <c r="DR80" s="102"/>
      <c r="DS80" s="102" t="s">
        <v>242</v>
      </c>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13"/>
      <c r="FI80" s="13"/>
      <c r="FJ80" s="13"/>
      <c r="FK80" s="1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row>
    <row r="81" spans="1:756" ht="11.25" customHeight="1">
      <c r="A81" s="2094"/>
      <c r="B81" s="37"/>
      <c r="C81" s="1955" t="s">
        <v>292</v>
      </c>
      <c r="D81" s="1955"/>
      <c r="E81" s="1955"/>
      <c r="F81" s="1955"/>
      <c r="G81" s="1955"/>
      <c r="H81" s="1955"/>
      <c r="I81" s="1955"/>
      <c r="J81" s="1955"/>
      <c r="K81" s="1955"/>
      <c r="L81" s="1955"/>
      <c r="M81" s="1955"/>
      <c r="N81" s="1955"/>
      <c r="O81" s="2444" t="str">
        <f>IF(AND(CU63=0,CX63=0),"",IF(AND($AA$63&gt;=1000,OR($BY$16="特",AS16="( 8 )")),"要",IF(AND($AA$63&gt;=500,$B$63&gt;=3),"要",IF(OR(CV63=1,CV63=3),"要",""))))</f>
        <v>要</v>
      </c>
      <c r="P81" s="2445"/>
      <c r="Q81" s="2445"/>
      <c r="R81" s="2445"/>
      <c r="S81" s="2445"/>
      <c r="T81" s="2446"/>
      <c r="U81" s="2448" t="str">
        <f>IF(AND(CU63=0,CX63=0),"",IF(AND(CU63&gt;=1000,OR(LEFT(AS16,3)="(1)",LEFT(AS16,3)="(2)",LEFT(AS16,3)="(3)",AS16="( 4 )",AS16="(9) イ",AS16="(16)イ")),"A",IF(OR(AS16="( 10)",LEFT(AS16,4)="(16)"),"A","BL")))</f>
        <v>A</v>
      </c>
      <c r="V81" s="2449"/>
      <c r="W81" s="2378" t="str">
        <f>IF(AND(CU63=0,CX63=0),"",IF(AND(CU63&gt;=1000,OR(LEFT(AS16,3)="(1)",LEFT(AS16,3)="(2)",LEFT(AS16,3)="(3)",AS16="( 4 )",AS16="(9) イ",AS16="(16)イ")),"B",IF(OR(AS16="( 10)",LEFT(AS16,4)="(16)"),"B","C")))</f>
        <v>B</v>
      </c>
      <c r="X81" s="2378"/>
      <c r="Y81" s="2378"/>
      <c r="Z81" s="2378"/>
      <c r="AA81" s="2378" t="str">
        <f>IF(AND(CU63=0,CX63=0),"","C")</f>
        <v>C</v>
      </c>
      <c r="AB81" s="2378"/>
      <c r="AC81" s="2378"/>
      <c r="AD81" s="2019" t="str">
        <f>IF(AND(CU63=0,CX63=0),"","要")</f>
        <v>要</v>
      </c>
      <c r="AE81" s="2019"/>
      <c r="AF81" s="2449" t="str">
        <f>IF(CU63=0,"",IF(OR(LEFT(AS16,3)="(1)",LEFT(CW63,3)="(1)"),"要",""))</f>
        <v/>
      </c>
      <c r="AG81" s="2450"/>
      <c r="AH81" s="1975"/>
      <c r="AI81" s="1976"/>
      <c r="AJ81" s="1977"/>
      <c r="AK81" s="2123"/>
      <c r="AL81" s="2124"/>
      <c r="AM81" s="2125"/>
      <c r="AN81" s="1945"/>
      <c r="AO81" s="1947"/>
      <c r="AP81" s="115"/>
      <c r="AQ81" s="1855" t="s">
        <v>293</v>
      </c>
      <c r="AR81" s="1855"/>
      <c r="AS81" s="1855"/>
      <c r="AT81" s="1855"/>
      <c r="AU81" s="1855"/>
      <c r="AV81" s="1855"/>
      <c r="AW81" s="1855"/>
      <c r="AX81" s="1855"/>
      <c r="AY81" s="1856"/>
      <c r="AZ81" s="2454" t="s">
        <v>2179</v>
      </c>
      <c r="BA81" s="1949"/>
      <c r="BB81" s="121"/>
      <c r="BC81" s="121"/>
      <c r="BD81" s="121"/>
      <c r="BE81" s="121"/>
      <c r="BF81" s="121"/>
      <c r="BG81" s="121"/>
      <c r="BH81" s="1961" t="s">
        <v>194</v>
      </c>
      <c r="BI81" s="1962"/>
      <c r="BJ81" s="1963" t="str">
        <f>IF(OR(AS16="",BZ63="未"),"",IF(BH72="要","要","－"))</f>
        <v>－</v>
      </c>
      <c r="BK81" s="1964"/>
      <c r="BL81" s="1945"/>
      <c r="BM81" s="1946"/>
      <c r="BN81" s="1946"/>
      <c r="BO81" s="1947"/>
      <c r="BP81" s="1965" t="str">
        <f>IF(AS16="","",IF(CX63=0,"－",IF(AND(B63-10&gt;0,AS16&lt;&gt;"16 の2",AS16&lt;&gt;"16 の3",AS16&lt;&gt;"( 18)"),"要","－")))</f>
        <v>要</v>
      </c>
      <c r="BQ81" s="1965"/>
      <c r="BR81" s="1965"/>
      <c r="BS81" s="1966"/>
      <c r="BT81" s="1967"/>
      <c r="BU81" s="1968"/>
      <c r="BV81" s="1968"/>
      <c r="BW81" s="1968"/>
      <c r="BX81" s="1969"/>
      <c r="BY81" s="122"/>
      <c r="BZ81" s="123"/>
      <c r="CA81" s="124"/>
      <c r="CB81" s="63"/>
      <c r="CC81" s="9"/>
      <c r="CD81" s="9"/>
      <c r="CE81" s="9"/>
      <c r="CF81" s="125"/>
      <c r="CG81" s="125"/>
      <c r="CH81" s="125"/>
      <c r="CI81" s="1933" t="s">
        <v>294</v>
      </c>
      <c r="CJ81" s="1934"/>
      <c r="CK81" s="1935"/>
      <c r="CL81" s="1933" t="s">
        <v>295</v>
      </c>
      <c r="CM81" s="1934"/>
      <c r="CN81" s="1935"/>
      <c r="CO81" s="126"/>
      <c r="CP81" s="113"/>
      <c r="CQ81" s="113"/>
      <c r="CR81" s="9"/>
      <c r="CS81" s="9"/>
      <c r="CT81" s="9"/>
      <c r="CU81" s="9"/>
      <c r="CV81" s="9"/>
      <c r="CW81" s="9"/>
      <c r="CX81" s="9"/>
      <c r="CY81" s="9"/>
      <c r="CZ81" s="9"/>
      <c r="DA81" s="9"/>
      <c r="DB81" s="9"/>
      <c r="DC81" s="9"/>
      <c r="DD81" s="107" t="s">
        <v>240</v>
      </c>
      <c r="DE81" s="9"/>
      <c r="DF81" s="102" t="s">
        <v>241</v>
      </c>
      <c r="DG81" s="9"/>
      <c r="DH81" s="9"/>
      <c r="DI81" s="9"/>
      <c r="DJ81" s="9"/>
      <c r="DK81" s="9"/>
      <c r="DL81" s="9"/>
      <c r="DM81" s="102" t="s">
        <v>241</v>
      </c>
      <c r="DN81" s="9"/>
      <c r="DO81" s="9"/>
      <c r="DP81" s="9"/>
      <c r="DQ81" s="9"/>
      <c r="DR81" s="102"/>
      <c r="DS81" s="102" t="s">
        <v>242</v>
      </c>
      <c r="DT81" s="99"/>
      <c r="DU81" s="99"/>
      <c r="DV81" s="99"/>
      <c r="DW81" s="99"/>
      <c r="DX81" s="99"/>
      <c r="DY81" s="99"/>
      <c r="DZ81" s="99"/>
      <c r="EA81" s="99"/>
      <c r="EB81" s="99"/>
      <c r="EC81" s="99"/>
      <c r="ED81" s="99"/>
      <c r="EE81" s="99"/>
      <c r="EF81" s="99"/>
      <c r="EG81" s="9"/>
      <c r="EH81" s="9"/>
      <c r="EI81" s="9"/>
      <c r="EJ81" s="9"/>
      <c r="EK81" s="9"/>
      <c r="EL81" s="99"/>
      <c r="EM81" s="99"/>
      <c r="EN81" s="99"/>
      <c r="EO81" s="99"/>
      <c r="EP81" s="99"/>
      <c r="EQ81" s="99"/>
      <c r="ER81" s="99"/>
      <c r="ES81" s="99"/>
      <c r="ET81" s="99"/>
      <c r="EU81" s="99"/>
      <c r="EV81" s="99"/>
      <c r="EW81" s="99"/>
      <c r="EX81" s="99"/>
      <c r="EY81" s="99"/>
      <c r="EZ81" s="99"/>
      <c r="FA81" s="99"/>
      <c r="FB81" s="99"/>
      <c r="FC81" s="99"/>
      <c r="FD81" s="99"/>
      <c r="FE81" s="99"/>
      <c r="FF81" s="99"/>
      <c r="FG81" s="99"/>
      <c r="FH81" s="13"/>
      <c r="FI81" s="13"/>
      <c r="FJ81" s="13"/>
      <c r="FK81" s="1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row>
    <row r="82" spans="1:756" ht="2.25" customHeight="1">
      <c r="A82" s="209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v>4</v>
      </c>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7"/>
      <c r="CC82" s="9"/>
      <c r="CD82" s="9"/>
      <c r="CE82" s="9"/>
      <c r="CF82" s="125"/>
      <c r="CG82" s="125"/>
      <c r="CH82" s="125"/>
      <c r="CI82" s="1936"/>
      <c r="CJ82" s="1937"/>
      <c r="CK82" s="1938"/>
      <c r="CL82" s="1936"/>
      <c r="CM82" s="1937"/>
      <c r="CN82" s="1938"/>
      <c r="CO82" s="126"/>
      <c r="CP82" s="113"/>
      <c r="CQ82" s="113"/>
      <c r="CR82" s="9"/>
      <c r="CS82" s="9"/>
      <c r="CT82" s="9"/>
      <c r="CU82" s="9"/>
      <c r="CV82" s="9"/>
      <c r="CW82" s="9"/>
      <c r="CX82" s="9"/>
      <c r="CY82" s="9"/>
      <c r="CZ82" s="9"/>
      <c r="DA82" s="9"/>
      <c r="DB82" s="9"/>
      <c r="DC82" s="9"/>
      <c r="DD82" s="127"/>
      <c r="DE82" s="9"/>
      <c r="DF82" s="102" t="s">
        <v>241</v>
      </c>
      <c r="DG82" s="9"/>
      <c r="DH82" s="9"/>
      <c r="DI82" s="9"/>
      <c r="DJ82" s="9"/>
      <c r="DK82" s="9"/>
      <c r="DL82" s="9"/>
      <c r="DM82" s="102" t="s">
        <v>241</v>
      </c>
      <c r="DN82" s="9"/>
      <c r="DO82" s="9"/>
      <c r="DP82" s="9"/>
      <c r="DQ82" s="9"/>
      <c r="DR82" s="102"/>
      <c r="DS82" s="102" t="s">
        <v>242</v>
      </c>
      <c r="DT82" s="99"/>
      <c r="DU82" s="99"/>
      <c r="DV82" s="99"/>
      <c r="DW82" s="99"/>
      <c r="DX82" s="99"/>
      <c r="DY82" s="99"/>
      <c r="DZ82" s="99"/>
      <c r="EA82" s="99"/>
      <c r="EB82" s="99"/>
      <c r="EC82" s="99"/>
      <c r="ED82" s="99"/>
      <c r="EE82" s="99"/>
      <c r="EF82" s="99"/>
      <c r="EG82" s="9"/>
      <c r="EH82" s="9"/>
      <c r="EI82" s="9"/>
      <c r="EJ82" s="9"/>
      <c r="EK82" s="9"/>
      <c r="EL82" s="99"/>
      <c r="EM82" s="99"/>
      <c r="EN82" s="99"/>
      <c r="EO82" s="99"/>
      <c r="EP82" s="99"/>
      <c r="EQ82" s="99"/>
      <c r="ER82" s="99"/>
      <c r="ES82" s="99"/>
      <c r="ET82" s="99"/>
      <c r="EU82" s="99"/>
      <c r="EV82" s="99"/>
      <c r="EW82" s="99"/>
      <c r="EX82" s="99"/>
      <c r="EY82" s="99"/>
      <c r="EZ82" s="99"/>
      <c r="FA82" s="99"/>
      <c r="FB82" s="99"/>
      <c r="FC82" s="99"/>
      <c r="FD82" s="99"/>
      <c r="FE82" s="99"/>
      <c r="FF82" s="99"/>
      <c r="FG82" s="99"/>
      <c r="FH82" s="13"/>
      <c r="FI82" s="13"/>
      <c r="FJ82" s="13"/>
      <c r="FK82" s="1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row>
    <row r="83" spans="1:756" ht="1.5" customHeight="1">
      <c r="A83" s="2094"/>
      <c r="B83" s="128"/>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203"/>
      <c r="CC83" s="9"/>
      <c r="CD83" s="9"/>
      <c r="CE83" s="9"/>
      <c r="CF83" s="125"/>
      <c r="CG83" s="125"/>
      <c r="CH83" s="125"/>
      <c r="CI83" s="1936"/>
      <c r="CJ83" s="1937"/>
      <c r="CK83" s="1938"/>
      <c r="CL83" s="1936"/>
      <c r="CM83" s="1937"/>
      <c r="CN83" s="1938"/>
      <c r="CO83" s="126"/>
      <c r="CP83" s="113"/>
      <c r="CQ83" s="113"/>
      <c r="CR83" s="9"/>
      <c r="CS83" s="9"/>
      <c r="CT83" s="9"/>
      <c r="CU83" s="9"/>
      <c r="CV83" s="9"/>
      <c r="CW83" s="9"/>
      <c r="CX83" s="9"/>
      <c r="CY83" s="9"/>
      <c r="CZ83" s="9"/>
      <c r="DA83" s="9"/>
      <c r="DB83" s="9"/>
      <c r="DC83" s="9"/>
      <c r="DD83" s="127"/>
      <c r="DE83" s="9"/>
      <c r="DF83" s="102" t="s">
        <v>241</v>
      </c>
      <c r="DG83" s="9"/>
      <c r="DH83" s="9"/>
      <c r="DI83" s="9"/>
      <c r="DJ83" s="9"/>
      <c r="DK83" s="9"/>
      <c r="DL83" s="9"/>
      <c r="DM83" s="102" t="s">
        <v>241</v>
      </c>
      <c r="DN83" s="9"/>
      <c r="DO83" s="9"/>
      <c r="DP83" s="9"/>
      <c r="DQ83" s="9"/>
      <c r="DR83" s="102"/>
      <c r="DS83" s="102" t="s">
        <v>242</v>
      </c>
      <c r="DT83" s="99"/>
      <c r="DU83" s="99"/>
      <c r="DV83" s="99"/>
      <c r="DW83" s="99"/>
      <c r="DX83" s="99"/>
      <c r="DY83" s="99"/>
      <c r="DZ83" s="99"/>
      <c r="EA83" s="99"/>
      <c r="EB83" s="99"/>
      <c r="EC83" s="99"/>
      <c r="ED83" s="99"/>
      <c r="EE83" s="99"/>
      <c r="EF83" s="99"/>
      <c r="EG83" s="9"/>
      <c r="EH83" s="9"/>
      <c r="EI83" s="9"/>
      <c r="EJ83" s="9"/>
      <c r="EK83" s="9"/>
      <c r="EL83" s="99"/>
      <c r="EM83" s="99"/>
      <c r="EN83" s="99"/>
      <c r="EO83" s="99"/>
      <c r="EP83" s="99"/>
      <c r="EQ83" s="99"/>
      <c r="ER83" s="99"/>
      <c r="ES83" s="99"/>
      <c r="ET83" s="99"/>
      <c r="EU83" s="99"/>
      <c r="EV83" s="99"/>
      <c r="EW83" s="99"/>
      <c r="EX83" s="99"/>
      <c r="EY83" s="99"/>
      <c r="EZ83" s="99"/>
      <c r="FA83" s="99"/>
      <c r="FB83" s="99"/>
      <c r="FC83" s="99"/>
      <c r="FD83" s="99"/>
      <c r="FE83" s="99"/>
      <c r="FF83" s="99"/>
      <c r="FG83" s="99"/>
      <c r="FH83" s="13"/>
      <c r="FI83" s="13"/>
      <c r="FJ83" s="13"/>
      <c r="FK83" s="1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row>
    <row r="84" spans="1:756" ht="2.25" customHeight="1">
      <c r="A84" s="209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7"/>
      <c r="CC84" s="9"/>
      <c r="CD84" s="9"/>
      <c r="CE84" s="9"/>
      <c r="CF84" s="125"/>
      <c r="CG84" s="125"/>
      <c r="CH84" s="125"/>
      <c r="CI84" s="1939"/>
      <c r="CJ84" s="1940"/>
      <c r="CK84" s="1941"/>
      <c r="CL84" s="1939"/>
      <c r="CM84" s="1940"/>
      <c r="CN84" s="1941"/>
      <c r="CO84" s="126"/>
      <c r="CP84" s="113"/>
      <c r="CQ84" s="113"/>
      <c r="CR84" s="9"/>
      <c r="CS84" s="9"/>
      <c r="CT84" s="9"/>
      <c r="CU84" s="9"/>
      <c r="CV84" s="9"/>
      <c r="CW84" s="9"/>
      <c r="CX84" s="9"/>
      <c r="CY84" s="9"/>
      <c r="CZ84" s="9"/>
      <c r="DA84" s="9"/>
      <c r="DB84" s="9"/>
      <c r="DC84" s="9"/>
      <c r="DD84" s="127"/>
      <c r="DE84" s="9"/>
      <c r="DF84" s="102" t="s">
        <v>241</v>
      </c>
      <c r="DG84" s="9"/>
      <c r="DH84" s="9"/>
      <c r="DI84" s="9"/>
      <c r="DJ84" s="9"/>
      <c r="DK84" s="9"/>
      <c r="DL84" s="9"/>
      <c r="DM84" s="102" t="s">
        <v>241</v>
      </c>
      <c r="DN84" s="9"/>
      <c r="DO84" s="9"/>
      <c r="DP84" s="9"/>
      <c r="DQ84" s="9"/>
      <c r="DR84" s="102"/>
      <c r="DS84" s="102" t="s">
        <v>242</v>
      </c>
      <c r="DT84" s="99"/>
      <c r="DU84" s="99"/>
      <c r="DV84" s="99"/>
      <c r="DW84" s="99"/>
      <c r="DX84" s="99"/>
      <c r="DY84" s="99"/>
      <c r="DZ84" s="99"/>
      <c r="EA84" s="99"/>
      <c r="EB84" s="99"/>
      <c r="EC84" s="99"/>
      <c r="ED84" s="99"/>
      <c r="EE84" s="99"/>
      <c r="EF84" s="99"/>
      <c r="EG84" s="9"/>
      <c r="EH84" s="9"/>
      <c r="EI84" s="9"/>
      <c r="EJ84" s="9"/>
      <c r="EK84" s="9"/>
      <c r="EL84" s="99"/>
      <c r="EM84" s="99"/>
      <c r="EN84" s="99"/>
      <c r="EO84" s="99"/>
      <c r="EP84" s="99"/>
      <c r="EQ84" s="99"/>
      <c r="ER84" s="99"/>
      <c r="ES84" s="99"/>
      <c r="ET84" s="99"/>
      <c r="EU84" s="99"/>
      <c r="EV84" s="99"/>
      <c r="EW84" s="99"/>
      <c r="EX84" s="99"/>
      <c r="EY84" s="99"/>
      <c r="EZ84" s="99"/>
      <c r="FA84" s="99"/>
      <c r="FB84" s="99"/>
      <c r="FC84" s="99"/>
      <c r="FD84" s="99"/>
      <c r="FE84" s="99"/>
      <c r="FF84" s="99"/>
      <c r="FG84" s="99"/>
      <c r="FH84" s="13"/>
      <c r="FI84" s="13"/>
      <c r="FJ84" s="13"/>
      <c r="FK84" s="1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row>
    <row r="85" spans="1:756" ht="12" customHeight="1" thickBot="1">
      <c r="A85" s="2094"/>
      <c r="B85" s="37">
        <v>0</v>
      </c>
      <c r="C85" s="1959" t="s">
        <v>296</v>
      </c>
      <c r="D85" s="1959"/>
      <c r="E85" s="1959"/>
      <c r="F85" s="1959"/>
      <c r="G85" s="1866" t="s">
        <v>297</v>
      </c>
      <c r="H85" s="1867"/>
      <c r="I85" s="1867"/>
      <c r="J85" s="1867"/>
      <c r="K85" s="1868"/>
      <c r="L85" s="1960" t="s">
        <v>298</v>
      </c>
      <c r="M85" s="1960"/>
      <c r="N85" s="1960"/>
      <c r="O85" s="1960"/>
      <c r="P85" s="1960"/>
      <c r="Q85" s="1960"/>
      <c r="R85" s="1960"/>
      <c r="S85" s="1960"/>
      <c r="T85" s="1960"/>
      <c r="U85" s="1960"/>
      <c r="V85" s="1960"/>
      <c r="W85" s="1960"/>
      <c r="X85" s="1960"/>
      <c r="Y85" s="1960"/>
      <c r="Z85" s="1960"/>
      <c r="AA85" s="1960"/>
      <c r="AB85" s="1960"/>
      <c r="AC85" s="1960"/>
      <c r="AD85" s="1960"/>
      <c r="AE85" s="1866" t="s">
        <v>953</v>
      </c>
      <c r="AF85" s="1867"/>
      <c r="AG85" s="1867"/>
      <c r="AH85" s="1867"/>
      <c r="AI85" s="1867"/>
      <c r="AJ85" s="1867"/>
      <c r="AK85" s="1867"/>
      <c r="AL85" s="1867"/>
      <c r="AM85" s="1867"/>
      <c r="AN85" s="1867"/>
      <c r="AO85" s="1868"/>
      <c r="AP85" s="880">
        <f>IF(AND(BZ10="済",BZ16="済",BZ63="済"),1,0)</f>
        <v>1</v>
      </c>
      <c r="AQ85" s="645">
        <v>1</v>
      </c>
      <c r="AR85" s="1959" t="s">
        <v>296</v>
      </c>
      <c r="AS85" s="1959"/>
      <c r="AT85" s="1959"/>
      <c r="AU85" s="1959"/>
      <c r="AV85" s="1959" t="s">
        <v>297</v>
      </c>
      <c r="AW85" s="1959"/>
      <c r="AX85" s="1959"/>
      <c r="AY85" s="1959"/>
      <c r="AZ85" s="1959"/>
      <c r="BA85" s="1960" t="s">
        <v>298</v>
      </c>
      <c r="BB85" s="1960"/>
      <c r="BC85" s="1960"/>
      <c r="BD85" s="1960"/>
      <c r="BE85" s="1960"/>
      <c r="BF85" s="1960"/>
      <c r="BG85" s="1960"/>
      <c r="BH85" s="1960"/>
      <c r="BI85" s="1960"/>
      <c r="BJ85" s="1960"/>
      <c r="BK85" s="1960"/>
      <c r="BL85" s="1960"/>
      <c r="BM85" s="1960"/>
      <c r="BN85" s="1960"/>
      <c r="BO85" s="1960"/>
      <c r="BP85" s="1960"/>
      <c r="BQ85" s="1960"/>
      <c r="BR85" s="1960"/>
      <c r="BS85" s="1959" t="s">
        <v>299</v>
      </c>
      <c r="BT85" s="1959"/>
      <c r="BU85" s="1959"/>
      <c r="BV85" s="1959"/>
      <c r="BW85" s="1959"/>
      <c r="BX85" s="1959"/>
      <c r="BY85" s="1959"/>
      <c r="BZ85" s="1959"/>
      <c r="CA85" s="1959"/>
      <c r="CB85" s="63"/>
      <c r="CC85" s="9"/>
      <c r="CD85" s="658">
        <f>IF(AND(BZ10="済",BZ16="済",BZ63="済"),1,0)</f>
        <v>1</v>
      </c>
      <c r="CE85" s="657">
        <f>IF(AND(BZ10="済",BZ16="済"),1,0)</f>
        <v>1</v>
      </c>
      <c r="CF85" s="35"/>
      <c r="CG85" s="35"/>
      <c r="CH85" s="131" t="str">
        <f>IF(B63&lt;11,"",IF(OR(AND(OR(AS16="(2) イ",AS16="(2) ロ",AS16="(2) ハ",LEFT(AS16,3)="(3)"),AA63&gt;=100),CG63&gt;=100,AND(OR(LEFT(CK63,5)="(2) イ",LEFT(CK63,5)="(2) ロ",LEFT(CK63,5)="(2) ハ",LEFT(CK63,3)="(3)"),CI63&gt;=100,CJ63&gt;=2),AND(OR(LEFT(CN4400,5)="(2) イ",LEFT(CN63,5)="(2) ロ",LEFT(CN63,5)="(2) ハ",LEFT(CN63,3)="(3)"),CL63&gt;=100,CM63&gt;=2),AND(OR(LEFT(CQ63,5)="(2) イ",LEFT(CQ63,5)="(2) ロ",LEFT(CQ63,5)="(2) ハ",LEFT(CQ63,3)="(3)"),CO63&gt;=100,CP63&gt;=2),AND(OR(LEFT(CT63,5)="(2) イ",LEFT(CT63,5)="(2) ロ",LEFT(CT63,5)="(2) ハ",LEFT(CT63,3)="(3)"),CR63/7&gt;=100,CS63&gt;=2),AND(OR(LEFT(CW63,5)="(2) イ",LEFT(CW63,5)="(2) ロ",LEFT(CW63,5)="(2) ハ",LEFT(CW63,3)="(3)"),CU63/(B63-10)&gt;=100,CW63&gt;=2)),"要","－"))</f>
        <v>要</v>
      </c>
      <c r="CI85" s="132" t="str">
        <f>IF(B63&lt;11,"",IF(OR(CG63&gt;=300,OR(AND(CI63&gt;=300,CJ63&gt;=2),AND(CL63&gt;=300,CM63&gt;=2),AND(CO63&gt;=300,CP63&gt;=2),AND(CR63/7&gt;=300,CS63&gt;=2),AND(CU63/(B63-10)&gt;=300,CV63&gt;=2)),OR(LEFT(AS16,3)="(1)",AS16="( 4 )",AS16="(5)",AS16="(6) イ",AS16="(6) ハ",AS16="(6) ニ",AS16="( 7 )",AS16="( 8 )",LEFT(AS16,3)="(9)",AS16="( 10)",AS16="( 11)",LEFT(AS16,4)="(12)",AS16="(13)イ",AS16="( 14)",AS16="( 15)",AS16="(16)ロ",LEFT(AS16,2)="16",LEFT(AS16,3)="(1)",AS16="( 4 )",LEFT(AS16,3)="(5)",AS16="(6) イ",AS16="(6) ハ",AS16="(6) ニ",AS16="( 7 )",AS16="( 8 )",LEFT(AS16,3)="(9)",AS16="( 10)",AS16="( 11)",LEFT(AS16,4)="(12)",AS16="(13)イ",AS16="( 14)",AS16="( 15)",AS16="(16)ロ",LEFT(AS16,2)="16",LEFT(CK63,3)="(1)",LEFT(CK63,5)="( 4 )",LEFT(CK63,3)="(5)",LEFT(CK63,5)="(6) イ",LEFT(CK63,5)="(6) ハ",LEFT(CK63,5)="(6) ニ",LEFT(CK63,5)="( 7 )",LEFT(CK63,5)="( 8 )",LEFT(CK63,5)="(9)",LEFT(CK63,5)="( 10)",LEFT(CK63,5)="( 11)",LEFT(CK63,4)="(12)",LEFT(CK63,5)="(13)イ",LEFT(CK63,5)="( 14)",LEFT(CK63,5)="( 15)",LEFT(CK63,5)="(16)ロ",LEFT(CK63,2)="16",LEFT(CN63,3)="(1)",LEFT(CN63,5)="( 4 )",LEFT(CN63,3)="(5)",LEFT(CN63,5)="(6) イ",LEFT(CN63,5)="(6) ハ",LEFT(CN63,5)="(6) ニ",LEFT(CN63,5)="( 7 )",LEFT(CN63,5)="( 8 )",LEFT(CN63,5)="(9)",LEFT(CN63,5)="( 10)",LEFT(CN63,5)="( 11)",LEFT(CN63,4)="(12)",LEFT(CN63,5)="(13)イ",LEFT(CN63,5)="( 14)",LEFT(CN63,5)="( 15)",LEFT(CN63,5)="(16)ロ",LEFT(CN63,2)="16",LEFT(CQ63,3)="(1)",LEFT(CQ63,5)="( 4 )",LEFT(CQ63,3)="(5)",LEFT(CQ63,5)="(6) イ",LEFT(CQ63,5)="(6) ハ",LEFT(CQ63,5)="(6) ニ",LEFT(CQ63,5)="( 7 )",LEFT(CQ63,5)="( 8 )",LEFT(CQ63,5)="(9)",LEFT(CQ63,5)="( 10)",LEFT(CQ63,5)="( 11)",LEFT(CQ63,4)="(12)",LEFT(CQ63,5)="(13)イ",LEFT(CQ63,5)="( 14)",LEFT(CQ63,5)="( 15)",LEFT(CQ63,5)="(16)ロ",LEFT(CQ63,2)="16",LEFT(CT63,3)="(1)",LEFT(CT63,5)="( 4 )",LEFT(CT63,3)="(5)",LEFT(CT63,5)="(6) イ",LEFT(CT63,5)="(6) ハ",LEFT(CT63,5)="(6) ニ",LEFT(CT63,5)="( 7 )",LEFT(CT63,5)="( 8 )",LEFT(CT63,5)="(9)",LEFT(CT63,5)="( 10)",LEFT(CT63,5)="( 11)",LEFT(CT63,4)="(12)",LEFT(CT63,5)="(13)イ",LEFT(CT63,5)="( 14)",LEFT(CT63,5)="( 15)",LEFT(CT63,5)="(16)ロ",LEFT(CT63,2)="16",LEFT(CW63,3)="(1)",LEFT(CW63,5)="( 4 )",LEFT(CW63,3)="(5)",LEFT(CW63,5)="(6) イ",LEFT(CW63,5)="(6) ハ",LEFT(CW63,5)="(6) ニ",LEFT(CW63,5)="( 7 )",LEFT(CW63,5)="( 8 )",LEFT(CW63,5)="(9)",LEFT(CW63,5)="( 10)",LEFT(CSG63,5)="( 11)",LEFT(CW63,4)="(12)",LEFT(CW63,5)="(13)イ",LEFT(CW63,5)="( 14)",LEFT(CW63,5)="( 15)",LEFT(CW63,5)="(16)ロ",LEFT(CW63,2)="16")),"要","－"))</f>
        <v>要</v>
      </c>
      <c r="CJ85" s="1950" t="s">
        <v>258</v>
      </c>
      <c r="CK85" s="1951"/>
      <c r="CL85" s="132" t="str">
        <f>IF(AND(OR(CO63&gt;=300,CR63/7&gt;=300,CU63/(B63-10)&gt;=300),OR(LEFT(AS16,3)="(1)",AS16="( 4 )",LEFT(AS16,3)="(5)",AS16="(6) イ",AS16="(6) ハ",AS16="(6) ニ",AS16="( 7 )",AS16="( 8 )",LEFT(AS16,3)="(9)",AS16="( 10)",AS16="( 11)",LEFT(AS16,4)="(12)",AS16="(13)イ",AS16="( 14)",AS16="( 15)",AS16="(16)ロ",LEFT(CQ63,3)="(1)",LEFT(CQ63,5)="( 4 )",LEFT(CQ63,3)="(5)",LEFT(CQ63,5)="(6) イ",LEFT(CQ63,5)="(6) ハ",LEFT(CQ63,5)="(6) ニ",LEFT(CQ63,5)="( 7 )",LEFT(CQ63,5)="( 8 )",LEFT(CQ63,3)="(9)",LEFT(CQ63,5)="( 10)",LEFT(CQ63,5)="( 11)",LEFT(CQ63,4)="(12)",LEFT(CQ63,5)="(13)イ",LEFT(CQ63,5)="( 14)",LEFT(CQ63,5)="( 15)",LEFT(CQ63,5)="(16)ロ",LEFT(CT63,3)="(1)",LEFT(CT63,5)="( 4 )",LEFT(CT63,3)="(5)",LEFT(CT63,5)="(6) イ",LEFT(CT63,5)="(6) ハ",LEFT(CT63,5)="(6) ニ",LEFT(CT63,5)="( 7 )",LEFT(CT63,5)="( 8 )",LEFT(CT63,3)="(9)",LEFT(CT63,5)="( 10)",LEFT(CT63,5)="( 11)",LEFT(CT63,4)="(12)",LEFT(CT63,5)="(13)イ",LEFT(CT63,5)="( 14)",LEFT(CT63,5)="( 15)",LEFT(CT63,5)="(16)ロ",LEFT(CW63,3)="(1)",LEFT(CW63,5)="( 4 )",LEFT(CW63,3)="(5)",LEFT(CW63,5)="(6) イ",LEFT(CW63,5)="(6) ハ",LEFT(CW63,5)="(6) ニ",LEFT(CW63,5)="( 7 )",LEFT(CW63,5)="( 8 )",LEFT(CW63,3)="(9)",LEFT(CW63,5)="( 10)",LEFT(CW63,5)="( 11)",LEFT(CW63,4)="(12)",LEFT(CW63,5)="(13)イ",LEFT(CW63,5)="( 14)",LEFT(CSP63,5)="( 15)",LEFT(CW63,5)="(16)ロ")),"要","－")</f>
        <v>要</v>
      </c>
      <c r="CM85" s="1953" t="s">
        <v>258</v>
      </c>
      <c r="CN85" s="1954"/>
      <c r="CO85" s="9"/>
      <c r="CP85" s="9"/>
      <c r="CQ85" s="9"/>
      <c r="CR85" s="9"/>
      <c r="CS85" s="9"/>
      <c r="CT85" s="9"/>
      <c r="CU85" s="9"/>
      <c r="CV85" s="9"/>
      <c r="CW85" s="9"/>
      <c r="CX85" s="9"/>
      <c r="CY85" s="9"/>
      <c r="CZ85" s="9"/>
      <c r="DA85" s="9"/>
      <c r="DB85" s="9"/>
      <c r="DC85" s="9"/>
      <c r="DD85" s="133"/>
      <c r="DE85" s="9"/>
      <c r="DF85" s="102" t="s">
        <v>241</v>
      </c>
      <c r="DG85" s="9"/>
      <c r="DH85" s="9"/>
      <c r="DI85" s="9"/>
      <c r="DJ85" s="9"/>
      <c r="DK85" s="9"/>
      <c r="DL85" s="9"/>
      <c r="DM85" s="102" t="s">
        <v>241</v>
      </c>
      <c r="DN85" s="9"/>
      <c r="DO85" s="9"/>
      <c r="DP85" s="9"/>
      <c r="DQ85" s="9"/>
      <c r="DR85" s="102"/>
      <c r="DS85" s="102" t="s">
        <v>242</v>
      </c>
      <c r="DT85" s="99"/>
      <c r="DU85" s="99"/>
      <c r="DV85" s="99"/>
      <c r="DW85" s="99"/>
      <c r="DX85" s="99"/>
      <c r="DY85" s="99"/>
      <c r="DZ85" s="99"/>
      <c r="EA85" s="99"/>
      <c r="EB85" s="99"/>
      <c r="EC85" s="99"/>
      <c r="ED85" s="99"/>
      <c r="EE85" s="99"/>
      <c r="EF85" s="99"/>
      <c r="EG85" s="9"/>
      <c r="EH85" s="9"/>
      <c r="EI85" s="9"/>
      <c r="EJ85" s="9"/>
      <c r="EK85" s="9"/>
      <c r="EL85" s="99"/>
      <c r="EM85" s="99"/>
      <c r="EN85" s="99"/>
      <c r="EO85" s="99"/>
      <c r="EP85" s="99"/>
      <c r="EQ85" s="99"/>
      <c r="ER85" s="99"/>
      <c r="ES85" s="99"/>
      <c r="ET85" s="99"/>
      <c r="EU85" s="99"/>
      <c r="EV85" s="99"/>
      <c r="EW85" s="99"/>
      <c r="EX85" s="99"/>
      <c r="EY85" s="99"/>
      <c r="EZ85" s="99"/>
      <c r="FA85" s="99"/>
      <c r="FB85" s="99"/>
      <c r="FC85" s="99"/>
      <c r="FD85" s="99"/>
      <c r="FE85" s="99"/>
      <c r="FF85" s="99"/>
      <c r="FG85" s="99"/>
      <c r="FH85" s="13"/>
      <c r="FI85" s="13"/>
      <c r="FJ85" s="134" t="s">
        <v>67</v>
      </c>
      <c r="FK85" s="1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row>
    <row r="86" spans="1:756" ht="11.25" customHeight="1" thickBot="1">
      <c r="A86" s="2094"/>
      <c r="B86" s="37">
        <f>IF(C86="◎",1,0)</f>
        <v>1</v>
      </c>
      <c r="C86" s="1884" t="str">
        <f>IF(OR(L86="",E86="－"),"","◎")</f>
        <v>◎</v>
      </c>
      <c r="D86" s="1884"/>
      <c r="E86" s="1889"/>
      <c r="F86" s="1889"/>
      <c r="G86" s="1869">
        <f>IF(C86="◎",B86,"")</f>
        <v>1</v>
      </c>
      <c r="H86" s="1870"/>
      <c r="I86" s="1870"/>
      <c r="J86" s="1870"/>
      <c r="K86" s="1870"/>
      <c r="L86" s="1847" t="str">
        <f>IF(AQ85=1," 引込工事","")</f>
        <v xml:space="preserve"> 引込工事</v>
      </c>
      <c r="M86" s="1848"/>
      <c r="N86" s="1848"/>
      <c r="O86" s="1848"/>
      <c r="P86" s="1848"/>
      <c r="Q86" s="1848"/>
      <c r="R86" s="1848"/>
      <c r="S86" s="1848"/>
      <c r="T86" s="1848"/>
      <c r="U86" s="1848"/>
      <c r="V86" s="1848"/>
      <c r="W86" s="1848"/>
      <c r="X86" s="1848"/>
      <c r="Y86" s="1848"/>
      <c r="Z86" s="1848"/>
      <c r="AA86" s="1848"/>
      <c r="AB86" s="1848"/>
      <c r="AC86" s="1848"/>
      <c r="AD86" s="1849"/>
      <c r="AE86" s="2106" t="str">
        <f>IF([2]受変!$AC$6="H"," 高圧引込"," 低圧引込")</f>
        <v xml:space="preserve"> 高圧引込</v>
      </c>
      <c r="AF86" s="2107"/>
      <c r="AG86" s="2107"/>
      <c r="AH86" s="2107"/>
      <c r="AI86" s="2107"/>
      <c r="AJ86" s="2107"/>
      <c r="AK86" s="2107"/>
      <c r="AL86" s="2107"/>
      <c r="AM86" s="2107"/>
      <c r="AN86" s="2107"/>
      <c r="AO86" s="2108"/>
      <c r="AP86" s="130"/>
      <c r="AQ86" s="130">
        <f>IF(AND(AR86="◎",BA86&lt;&gt;""),B102+1,B102)</f>
        <v>11</v>
      </c>
      <c r="AR86" s="1884" t="str">
        <f>IF(OR(BA86="",AT86="－"),"","◎")</f>
        <v>◎</v>
      </c>
      <c r="AS86" s="1884"/>
      <c r="AT86" s="1889"/>
      <c r="AU86" s="1889"/>
      <c r="AV86" s="1869">
        <f>IF(AR86="◎",AQ86,"")</f>
        <v>11</v>
      </c>
      <c r="AW86" s="1870"/>
      <c r="AX86" s="1870"/>
      <c r="AY86" s="1870"/>
      <c r="AZ86" s="1870"/>
      <c r="BA86" s="1847" t="str">
        <f>IF(AQ85=1," 構内電話設備工事","")</f>
        <v xml:space="preserve"> 構内電話設備工事</v>
      </c>
      <c r="BB86" s="1848"/>
      <c r="BC86" s="1848"/>
      <c r="BD86" s="1848"/>
      <c r="BE86" s="1848"/>
      <c r="BF86" s="1848"/>
      <c r="BG86" s="1848"/>
      <c r="BH86" s="1848"/>
      <c r="BI86" s="1848"/>
      <c r="BJ86" s="1848"/>
      <c r="BK86" s="1848"/>
      <c r="BL86" s="1848"/>
      <c r="BM86" s="1848"/>
      <c r="BN86" s="1848"/>
      <c r="BO86" s="1848"/>
      <c r="BP86" s="1848"/>
      <c r="BQ86" s="1848"/>
      <c r="BR86" s="1849"/>
      <c r="BS86" s="1956"/>
      <c r="BT86" s="1815"/>
      <c r="BU86" s="1815"/>
      <c r="BV86" s="1815"/>
      <c r="BW86" s="1815"/>
      <c r="BX86" s="1815"/>
      <c r="BY86" s="1815"/>
      <c r="BZ86" s="1815"/>
      <c r="CA86" s="1816"/>
      <c r="CB86" s="146"/>
      <c r="CC86" s="704"/>
      <c r="CD86" s="704"/>
      <c r="CE86" s="135"/>
      <c r="CF86" s="135"/>
      <c r="CG86" s="35"/>
      <c r="CH86" s="136" t="str">
        <f>IF(AS16="","",IF(B63&gt;=11,"",IF(OR(AND(OR(AS16="(2) イ",AS16="(2) ロ",AS16="(2) ハ",LEFT(AS16,3)="(3)"),AA63&gt;=100),CG63&gt;=100,AND(OR(LEFT(CK63,5)="(2) イ",LEFT(CK63,5)="(2) ロ",LEFT(CK63,5)="(2) ハ",LEFT(CK63,3)="(3)"),CI63&gt;=100,CJ63&gt;=2),AND(OR(LEFT(CN63,5)="(2) イ",LEFT(CN63,5)="(2) ロ",LEFT(CN63,5)="(2) ハ",LEFT(CN63,3)="(3)"),CL63&gt;=100,CM63&gt;=2),AND(OR(LEFT(CQ63,5)="(2) イ",LEFT(CQ63,5)="(2) ロ",LEFT(CQ63,5)="(2) ハ",LEFT(CQ63,3)="(3)"),CO63&gt;=100,CP63&gt;=2),AND(OR(LEFT(CT63,5)="(2) イ",LEFT(CT63,5)="(2) ロ",LEFT(CT63,5)="(2) ハ",LEFT(CT63,3)="(3)"),CR63/B63&gt;=100,CS63&gt;=2)),"要","－")))</f>
        <v/>
      </c>
      <c r="CI86" s="136" t="str">
        <f>IF(AS16="","",IF(B63&gt;=11,"",IF(OR(CG63&gt;=300,OR(AND(CI63&gt;=300,CJ63&gt;=2),AND(CL63&gt;=300,CM63&gt;=2),AND(CO63&gt;=300,CP63&gt;=2),AND(CR63/B63&gt;=300,CS63&gt;=2)),OR(LEFT(AS16,3)="(1)",AS16="( 4 )",LEFT(AS16,3)="(5)",AS16="(6) イ",AS16="(6) ハ",AS16="(6) ニ",AS16="( 7 )",AS16="( 8 )",LEFT(AS16,3)="(9)",AS16="( 10)",AS16="( 11)",LEFT(AS16,4)="(12)",AS16="(13)イ",AS16="( 14)",AS16="( 15)",AS16="(16)ロ",LEFT(AS16,2)="16",LEFT(AS16,3)="(1)",AS16="( 4 )",LEFT(AS16,3)="(5)",AS16="(6) イ",AS16="(6) ハ",AS16="(6) ニ",AS16="( 7 )",AS16="( 8 )",LEFT(AS16,3)="(9)",AS16="( 10)",AS16="( 11)",LEFT(AS16,4)="(12)",AS16="(13)イ",AS16="( 14)",AS16="( 15)",AS16="(16)ロ",LEFT(AS16,2)="16",LEFT(CK63,3)="(1)",LEFT(CK63,5)="( 4 )",LEFT(CK63,3)="(5)",LEFT(CK63,5)="(6) イ",LEFT(CK63,5)="(6) ハ",LEFT(CK63,5)="(6) ニ",LEFT(CK63,5)="( 7 )",LEFT(CK63,5)="( 8 )",LEFT(CK63,5)="(9)",LEFT(CK63,5)="( 10)",LEFT(CK63,5)="( 11)",LEFT(CK63,4)="(12)",LEFT(CK63,5)="(13)イ",LEFT(CK63,5)="( 14)",LEFT(CK63,5)="( 15)",LEFT(CK63,5)="(16)ロ",LEFT(CK63,2)="16",LEFT(CN63,3)="(1)",LEFT(CN63,5)="( 4 )",LEFT(CN63,3)="(5)",LEFT(CN63,5)="(6) イ",LEFT(CN63,5)="(6) ハ",LEFT(CN63,5)="(6) ニ",LEFT(CN63,5)="( 7 )",LEFT(CN63,5)="( 8 )",LEFT(CN63,5)="(9)",LEFT(CN63,5)="( 10)",LEFT(CN63,5)="( 11)",LEFT(CN63,4)="(12)",LEFT(CN63,5)="(13)イ",LEFT(CN63,5)="( 14)",LEFT(CN63,5)="( 15)",LEFT(CN63,5)="(16)ロ",LEFT(CN63,2)="16",LEFT(CQ63,3)="(1)",LEFT(CQ63,5)="( 4 )",LEFT(CQ63,3)="(5)",LEFT(CQ63,5)="(6) イ",LEFT(CQ63,5)="(6) ハ",LEFT(CQ63,5)="(6) ニ",LEFT(CQ63,5)="( 7 )",LEFT(CQ63,5)="( 8 )",LEFT(CQ63,5)="(9)",LEFT(CQ63,5)="( 10)",LEFT(CQ63,5)="( 11)",LEFT(CQ63,4)="(12)",LEFT(CQ63,5)="(13)イ",LEFT(CQ63,5)="( 14)",LEFT(CQ63,5)="( 15)",LEFT(CQ63,5)="(16)ロ",LEFT(CQ63,2)="16",LEFT(CT63,3)="(1)",LEFT(CT63,5)="( 4 )",LEFT(CT63,3)="(5)",LEFT(CT63,5)="(6) イ",LEFT(CT63,5)="(6) ハ",LEFT(CT63,5)="(6) ニ",LEFT(CT63,5)="( 7 )",LEFT(CT63,5)="( 8 )",LEFT(CT63,5)="(9)",LEFT(CT63,5)="( 10)",LEFT(CT63,5)="( 11)",LEFT(CT63,4)="(12)",LEFT(CT63,5)="(13)イ",LEFT(CT63,5)="( 14)",LEFT(CT63,5)="( 15)",LEFT(CT63,5)="(16)ロ",LEFT(CT63,2)="16")),"要","－")))</f>
        <v/>
      </c>
      <c r="CJ86" s="1957" t="s">
        <v>262</v>
      </c>
      <c r="CK86" s="1958"/>
      <c r="CL86" s="136" t="str">
        <f>IF(AS16="","",IF(AND(OR(CO63&gt;=300,CR63/B63&gt;=300),OR(LEFT(AS16,3)="(1)",AS16="( 4 )",LEFT(AS16,3)="(5)",AS16="(6) イ",AS16="(6) ハ",AS16="(6) ニ",AS16="( 7 )",AS16="( 8 )",LEFT(AS16,3)="(9)",AS16="( 10)",AS16="( 11)",LEFT(AS16,4)="(12)",AS16="(13)イ",AS16="( 14)",AS16="( 15)",AS16="(16)ロ",LEFT(CQ63,3)="(1)",LEFT(CQ63,5)="( 4 )",LEFT(CQ63,3)="(5)",LEFT(CQ63,5)="(6) イ",LEFT(CQ63,5)="(6) ハ",LEFT(CQ63,5)="(6) ニ",LEFT(CQ63,5)="( 7 )",LEFT(CQ63,5)="( 8 )",LEFT(CQ63,3)="(9)",LEFT(CQ63,5)="( 10)",LEFT(CQ63,5)="( 11)",LEFT(CQ63,4)="(12)",LEFT(CQ63,5)="(13)イ",LEFT(CQ63,5)="( 14)",LEFT(CQ63,5)="( 15)",LEFT(CQ63,5)="(16)ロ",LEFT(CT63,3)="(1)",LEFT(CT63,5)="( 4 )",LEFT(CT63,3)="(5)",LEFT(CT63,5)="(6) イ",LEFT(CT63,5)="(6) ハ",LEFT(CT63,5)="(6) ニ",LEFT(CT63,5)="( 7 )",LEFT(CT63,5)="( 8 )",LEFT(CT63,3)="(9)",LEFT(CT63,5)="( 10)",LEFT(CT63,5)="( 11)",LEFT(CT63,4)="(12)",LEFT(CT63,5)="(13)イ",LEFT(CT63,5)="( 14)",LEFT(CT63,5)="( 15)",LEFT(CT63,5)="(16)ロ")),"要","－"))</f>
        <v>要</v>
      </c>
      <c r="CM86" s="1957" t="s">
        <v>262</v>
      </c>
      <c r="CN86" s="1958"/>
      <c r="CO86" s="704"/>
      <c r="CP86" s="704"/>
      <c r="CQ86" s="704"/>
      <c r="CR86" s="704"/>
      <c r="CS86" s="704"/>
      <c r="CT86" s="704"/>
      <c r="CU86" s="704"/>
      <c r="CV86" s="704"/>
      <c r="CW86" s="704"/>
      <c r="CX86" s="704"/>
      <c r="CY86" s="704"/>
      <c r="CZ86" s="704"/>
      <c r="DA86" s="704"/>
      <c r="DB86" s="704"/>
      <c r="DC86" s="9"/>
      <c r="DD86" s="137"/>
      <c r="DE86" s="9"/>
      <c r="DF86" s="102" t="s">
        <v>241</v>
      </c>
      <c r="DG86" s="9"/>
      <c r="DH86" s="9"/>
      <c r="DI86" s="9"/>
      <c r="DJ86" s="9"/>
      <c r="DK86" s="9"/>
      <c r="DL86" s="9"/>
      <c r="DM86" s="102" t="s">
        <v>241</v>
      </c>
      <c r="DN86" s="9"/>
      <c r="DO86" s="9"/>
      <c r="DP86" s="9"/>
      <c r="DQ86" s="9"/>
      <c r="DR86" s="102"/>
      <c r="DS86" s="102" t="s">
        <v>242</v>
      </c>
      <c r="DT86" s="99"/>
      <c r="DU86" s="99"/>
      <c r="DV86" s="99"/>
      <c r="DW86" s="99"/>
      <c r="DX86" s="99"/>
      <c r="DY86" s="99"/>
      <c r="DZ86" s="99"/>
      <c r="EA86" s="99"/>
      <c r="EB86" s="99"/>
      <c r="EC86" s="99"/>
      <c r="ED86" s="99"/>
      <c r="EE86" s="99"/>
      <c r="EF86" s="99"/>
      <c r="EG86" s="9"/>
      <c r="EH86" s="9"/>
      <c r="EI86" s="9"/>
      <c r="EJ86" s="9"/>
      <c r="EK86" s="9"/>
      <c r="EL86" s="99"/>
      <c r="EM86" s="99"/>
      <c r="EN86" s="99"/>
      <c r="EO86" s="99"/>
      <c r="EP86" s="99"/>
      <c r="EQ86" s="99"/>
      <c r="ER86" s="99"/>
      <c r="ES86" s="99"/>
      <c r="ET86" s="99"/>
      <c r="EU86" s="99"/>
      <c r="EV86" s="99"/>
      <c r="EW86" s="99"/>
      <c r="EX86" s="99"/>
      <c r="EY86" s="99"/>
      <c r="EZ86" s="99"/>
      <c r="FA86" s="99"/>
      <c r="FB86" s="99"/>
      <c r="FC86" s="99"/>
      <c r="FD86" s="99"/>
      <c r="FE86" s="99"/>
      <c r="FF86" s="99"/>
      <c r="FG86" s="99"/>
      <c r="FH86" s="13"/>
      <c r="FI86" s="13"/>
      <c r="FJ86" s="138" t="s">
        <v>300</v>
      </c>
      <c r="FK86" s="910"/>
      <c r="FL86" s="139" t="s">
        <v>301</v>
      </c>
      <c r="FM86" s="140" t="s">
        <v>302</v>
      </c>
      <c r="FN86" s="141" t="s">
        <v>67</v>
      </c>
      <c r="FO86" s="142" t="s">
        <v>303</v>
      </c>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row>
    <row r="87" spans="1:756" ht="11.25" customHeight="1" thickBot="1">
      <c r="A87" s="2094"/>
      <c r="B87" s="37">
        <f>IF(AND(C87="◎",L87&lt;&gt;""),B86+1,B86)</f>
        <v>2</v>
      </c>
      <c r="C87" s="1884" t="str">
        <f>IF(OR(L87="",E87="－"),"","◎")</f>
        <v>◎</v>
      </c>
      <c r="D87" s="1884"/>
      <c r="E87" s="1889"/>
      <c r="F87" s="1889"/>
      <c r="G87" s="1869">
        <f>IF(AND(C87="◎",L87&lt;&gt;""),B87,"")</f>
        <v>2</v>
      </c>
      <c r="H87" s="1870"/>
      <c r="I87" s="1870"/>
      <c r="J87" s="1870"/>
      <c r="K87" s="1870"/>
      <c r="L87" s="1847" t="str">
        <f>IF(AQ85=1," 受変電設備工事","")</f>
        <v xml:space="preserve"> 受変電設備工事</v>
      </c>
      <c r="M87" s="1848"/>
      <c r="N87" s="1848"/>
      <c r="O87" s="1848"/>
      <c r="P87" s="1848"/>
      <c r="Q87" s="1848"/>
      <c r="R87" s="1848"/>
      <c r="S87" s="1848"/>
      <c r="T87" s="1848"/>
      <c r="U87" s="1848"/>
      <c r="V87" s="1848"/>
      <c r="W87" s="1848"/>
      <c r="X87" s="1848"/>
      <c r="Y87" s="1848"/>
      <c r="Z87" s="1848"/>
      <c r="AA87" s="1848"/>
      <c r="AB87" s="1848"/>
      <c r="AC87" s="1848"/>
      <c r="AD87" s="1849"/>
      <c r="AE87" s="2109" t="str">
        <f>IF([2]受変!$AC$6="L"," 低圧受電",IF([2]受変!$Y$53&lt;1950," 特高受電"," 高圧受電"))</f>
        <v xml:space="preserve"> 高圧受電</v>
      </c>
      <c r="AF87" s="2110"/>
      <c r="AG87" s="2110"/>
      <c r="AH87" s="2110"/>
      <c r="AI87" s="2110"/>
      <c r="AJ87" s="2110"/>
      <c r="AK87" s="2110"/>
      <c r="AL87" s="2110"/>
      <c r="AM87" s="2110"/>
      <c r="AN87" s="2110"/>
      <c r="AO87" s="2111"/>
      <c r="AP87" s="130"/>
      <c r="AQ87" s="130">
        <f>IF(AND(AR87="◎",BA87&lt;&gt;""),AQ86+1,AQ86)</f>
        <v>12</v>
      </c>
      <c r="AR87" s="1884" t="str">
        <f t="shared" ref="AR87:AR102" si="2">IF(OR(BA87="",AT87="－"),"","◎")</f>
        <v>◎</v>
      </c>
      <c r="AS87" s="1884"/>
      <c r="AT87" s="2112"/>
      <c r="AU87" s="2113"/>
      <c r="AV87" s="1869">
        <f>IF(AR87="◎",AQ87,"")</f>
        <v>12</v>
      </c>
      <c r="AW87" s="1870"/>
      <c r="AX87" s="1870"/>
      <c r="AY87" s="1870"/>
      <c r="AZ87" s="1870"/>
      <c r="BA87" s="1847" t="str">
        <f>IF(AQ85=1," 構内放送設備工事","")</f>
        <v xml:space="preserve"> 構内放送設備工事</v>
      </c>
      <c r="BB87" s="1848"/>
      <c r="BC87" s="1848"/>
      <c r="BD87" s="1848"/>
      <c r="BE87" s="1848"/>
      <c r="BF87" s="1848"/>
      <c r="BG87" s="1848"/>
      <c r="BH87" s="1848"/>
      <c r="BI87" s="1848"/>
      <c r="BJ87" s="1848"/>
      <c r="BK87" s="1848"/>
      <c r="BL87" s="1848"/>
      <c r="BM87" s="1848"/>
      <c r="BN87" s="1848"/>
      <c r="BO87" s="1848"/>
      <c r="BP87" s="1848"/>
      <c r="BQ87" s="1848"/>
      <c r="BR87" s="1849"/>
      <c r="BS87" s="1815"/>
      <c r="BT87" s="1815"/>
      <c r="BU87" s="1815"/>
      <c r="BV87" s="1815"/>
      <c r="BW87" s="1815"/>
      <c r="BX87" s="1815"/>
      <c r="BY87" s="1815"/>
      <c r="BZ87" s="1815"/>
      <c r="CA87" s="1816"/>
      <c r="CB87" s="146"/>
      <c r="CC87" s="704"/>
      <c r="CD87" s="704"/>
      <c r="CE87" s="135"/>
      <c r="CF87" s="135"/>
      <c r="CG87" s="704"/>
      <c r="CH87" s="887">
        <v>100</v>
      </c>
      <c r="CI87" s="887">
        <v>300</v>
      </c>
      <c r="CJ87" s="704"/>
      <c r="CK87" s="704"/>
      <c r="CL87" s="704"/>
      <c r="CM87" s="704"/>
      <c r="CN87" s="704"/>
      <c r="CO87" s="704"/>
      <c r="CP87" s="704"/>
      <c r="CQ87" s="704"/>
      <c r="CR87" s="704"/>
      <c r="CS87" s="704"/>
      <c r="CT87" s="704"/>
      <c r="CU87" s="704"/>
      <c r="CV87" s="704"/>
      <c r="CW87" s="704"/>
      <c r="CX87" s="704"/>
      <c r="CY87" s="704"/>
      <c r="CZ87" s="704"/>
      <c r="DA87" s="704"/>
      <c r="DB87" s="704"/>
      <c r="DC87" s="9"/>
      <c r="DD87" s="137"/>
      <c r="DE87" s="9"/>
      <c r="DF87" s="102" t="s">
        <v>241</v>
      </c>
      <c r="DG87" s="9"/>
      <c r="DH87" s="9"/>
      <c r="DI87" s="9"/>
      <c r="DJ87" s="9"/>
      <c r="DK87" s="9"/>
      <c r="DL87" s="9"/>
      <c r="DM87" s="102" t="s">
        <v>241</v>
      </c>
      <c r="DN87" s="9"/>
      <c r="DO87" s="9"/>
      <c r="DP87" s="9"/>
      <c r="DQ87" s="9"/>
      <c r="DR87" s="102"/>
      <c r="DS87" s="102" t="s">
        <v>242</v>
      </c>
      <c r="DT87" s="99"/>
      <c r="DU87" s="99"/>
      <c r="DV87" s="99"/>
      <c r="DW87" s="99"/>
      <c r="DX87" s="99"/>
      <c r="DY87" s="99"/>
      <c r="DZ87" s="99"/>
      <c r="EA87" s="99"/>
      <c r="EB87" s="99"/>
      <c r="EC87" s="99"/>
      <c r="ED87" s="99"/>
      <c r="EE87" s="99"/>
      <c r="EF87" s="99"/>
      <c r="EG87" s="9"/>
      <c r="EH87" s="9"/>
      <c r="EI87" s="9"/>
      <c r="EJ87" s="9"/>
      <c r="EK87" s="9"/>
      <c r="EL87" s="99"/>
      <c r="EM87" s="99"/>
      <c r="EN87" s="99"/>
      <c r="EO87" s="99"/>
      <c r="EP87" s="99"/>
      <c r="EQ87" s="99"/>
      <c r="ER87" s="99"/>
      <c r="ES87" s="99"/>
      <c r="ET87" s="99"/>
      <c r="EU87" s="99"/>
      <c r="EV87" s="99"/>
      <c r="EW87" s="99"/>
      <c r="EX87" s="99"/>
      <c r="EY87" s="99"/>
      <c r="EZ87" s="99"/>
      <c r="FA87" s="99"/>
      <c r="FB87" s="99"/>
      <c r="FC87" s="99"/>
      <c r="FD87" s="99"/>
      <c r="FE87" s="99"/>
      <c r="FF87" s="99"/>
      <c r="FG87" s="99"/>
      <c r="FH87" s="13"/>
      <c r="FI87" s="13"/>
      <c r="FJ87" s="138" t="s">
        <v>304</v>
      </c>
      <c r="FK87" s="910"/>
      <c r="FL87" s="143" t="s">
        <v>305</v>
      </c>
      <c r="FM87" s="144">
        <v>1</v>
      </c>
      <c r="FN87" s="138" t="s">
        <v>300</v>
      </c>
      <c r="FO87" s="145">
        <v>5</v>
      </c>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row>
    <row r="88" spans="1:756" ht="11.25" customHeight="1" thickBot="1">
      <c r="A88" s="2094"/>
      <c r="B88" s="37">
        <f>IF(AND(C88="◎",L88&lt;&gt;""),B87+1,B87)</f>
        <v>3</v>
      </c>
      <c r="C88" s="1884" t="str">
        <f t="shared" ref="C88:C102" si="3">IF(OR(L88="",E88="－"),"","◎")</f>
        <v>◎</v>
      </c>
      <c r="D88" s="1884"/>
      <c r="E88" s="1889"/>
      <c r="F88" s="1889"/>
      <c r="G88" s="1869">
        <f>IF(AND(C88="◎",L88&lt;&gt;""),B88,"")</f>
        <v>3</v>
      </c>
      <c r="H88" s="1870"/>
      <c r="I88" s="1870"/>
      <c r="J88" s="1870"/>
      <c r="K88" s="1870"/>
      <c r="L88" s="1847" t="str">
        <f>IF(AQ85=1," 自家用発電設備工事","")</f>
        <v xml:space="preserve"> 自家用発電設備工事</v>
      </c>
      <c r="M88" s="1848"/>
      <c r="N88" s="1848"/>
      <c r="O88" s="1848"/>
      <c r="P88" s="1848"/>
      <c r="Q88" s="1848"/>
      <c r="R88" s="1848"/>
      <c r="S88" s="1848"/>
      <c r="T88" s="1848"/>
      <c r="U88" s="1848"/>
      <c r="V88" s="1848"/>
      <c r="W88" s="1848"/>
      <c r="X88" s="1848"/>
      <c r="Y88" s="1848"/>
      <c r="Z88" s="1848"/>
      <c r="AA88" s="1848"/>
      <c r="AB88" s="1848"/>
      <c r="AC88" s="1848"/>
      <c r="AD88" s="1849"/>
      <c r="AE88" s="2109" t="str">
        <f>" "&amp;発電!BM18&amp;" [KVA]"</f>
        <v xml:space="preserve"> 250 [KVA]</v>
      </c>
      <c r="AF88" s="2110"/>
      <c r="AG88" s="2110"/>
      <c r="AH88" s="2110"/>
      <c r="AI88" s="2110"/>
      <c r="AJ88" s="2110"/>
      <c r="AK88" s="2110"/>
      <c r="AL88" s="2110"/>
      <c r="AM88" s="2110"/>
      <c r="AN88" s="2110"/>
      <c r="AO88" s="2111"/>
      <c r="AP88" s="130"/>
      <c r="AQ88" s="130">
        <f>IF(AND(AR88="◎",BA88&lt;&gt;""),AQ87+1,AQ87)</f>
        <v>12</v>
      </c>
      <c r="AR88" s="1884" t="str">
        <f t="shared" si="2"/>
        <v/>
      </c>
      <c r="AS88" s="1884"/>
      <c r="AT88" s="2112" t="s">
        <v>2253</v>
      </c>
      <c r="AU88" s="2113"/>
      <c r="AV88" s="1869" t="str">
        <f>IF(AR88="◎",AQ88,"")</f>
        <v/>
      </c>
      <c r="AW88" s="1870"/>
      <c r="AX88" s="1870"/>
      <c r="AY88" s="1870"/>
      <c r="AZ88" s="1888"/>
      <c r="BA88" s="1929" t="str">
        <f>IF(AQ85=1," インターホン設備工事","")</f>
        <v xml:space="preserve"> インターホン設備工事</v>
      </c>
      <c r="BB88" s="1930"/>
      <c r="BC88" s="1930"/>
      <c r="BD88" s="1930"/>
      <c r="BE88" s="1930"/>
      <c r="BF88" s="1930"/>
      <c r="BG88" s="1930"/>
      <c r="BH88" s="1930"/>
      <c r="BI88" s="1930"/>
      <c r="BJ88" s="1930"/>
      <c r="BK88" s="1930"/>
      <c r="BL88" s="1930"/>
      <c r="BM88" s="1930"/>
      <c r="BN88" s="1930"/>
      <c r="BO88" s="1930"/>
      <c r="BP88" s="1930"/>
      <c r="BQ88" s="1930"/>
      <c r="BR88" s="1931"/>
      <c r="BS88" s="1925"/>
      <c r="BT88" s="1815"/>
      <c r="BU88" s="1815"/>
      <c r="BV88" s="1815"/>
      <c r="BW88" s="1815"/>
      <c r="BX88" s="1815"/>
      <c r="BY88" s="1815"/>
      <c r="BZ88" s="1815"/>
      <c r="CA88" s="1816"/>
      <c r="CB88" s="146"/>
      <c r="CC88" s="704"/>
      <c r="CD88" s="704"/>
      <c r="CE88" s="704"/>
      <c r="CF88" s="704"/>
      <c r="CG88" s="704"/>
      <c r="CH88" s="704"/>
      <c r="CI88" s="704"/>
      <c r="CJ88" s="704"/>
      <c r="CK88" s="704"/>
      <c r="CL88" s="704"/>
      <c r="CM88" s="704"/>
      <c r="CN88" s="704"/>
      <c r="CO88" s="704"/>
      <c r="CP88" s="704"/>
      <c r="CQ88" s="704"/>
      <c r="CR88" s="704"/>
      <c r="CS88" s="704"/>
      <c r="CT88" s="704"/>
      <c r="CU88" s="704"/>
      <c r="CV88" s="704"/>
      <c r="CW88" s="704"/>
      <c r="CX88" s="704"/>
      <c r="CY88" s="704"/>
      <c r="CZ88" s="704"/>
      <c r="DA88" s="704"/>
      <c r="DB88" s="704"/>
      <c r="DC88" s="9"/>
      <c r="DD88" s="137"/>
      <c r="DE88" s="9"/>
      <c r="DF88" s="102" t="s">
        <v>241</v>
      </c>
      <c r="DG88" s="9"/>
      <c r="DH88" s="9"/>
      <c r="DI88" s="9"/>
      <c r="DJ88" s="9"/>
      <c r="DK88" s="9"/>
      <c r="DL88" s="9"/>
      <c r="DM88" s="102" t="s">
        <v>241</v>
      </c>
      <c r="DN88" s="9"/>
      <c r="DO88" s="9"/>
      <c r="DP88" s="9"/>
      <c r="DQ88" s="9"/>
      <c r="DR88" s="102"/>
      <c r="DS88" s="102" t="s">
        <v>242</v>
      </c>
      <c r="DT88" s="99"/>
      <c r="DU88" s="99"/>
      <c r="DV88" s="99"/>
      <c r="DW88" s="99"/>
      <c r="DX88" s="99"/>
      <c r="DY88" s="99"/>
      <c r="DZ88" s="99"/>
      <c r="EA88" s="99"/>
      <c r="EB88" s="99"/>
      <c r="EC88" s="99"/>
      <c r="ED88" s="99"/>
      <c r="EE88" s="99"/>
      <c r="EF88" s="99"/>
      <c r="EG88" s="9"/>
      <c r="EH88" s="9"/>
      <c r="EI88" s="9"/>
      <c r="EJ88" s="9"/>
      <c r="EK88" s="9"/>
      <c r="EL88" s="99"/>
      <c r="EM88" s="99"/>
      <c r="EN88" s="99"/>
      <c r="EO88" s="99"/>
      <c r="EP88" s="99"/>
      <c r="EQ88" s="99"/>
      <c r="ER88" s="99"/>
      <c r="ES88" s="99"/>
      <c r="ET88" s="99"/>
      <c r="EU88" s="99"/>
      <c r="EV88" s="99"/>
      <c r="EW88" s="99"/>
      <c r="EX88" s="99"/>
      <c r="EY88" s="99"/>
      <c r="EZ88" s="99"/>
      <c r="FA88" s="99"/>
      <c r="FB88" s="99"/>
      <c r="FC88" s="99"/>
      <c r="FD88" s="99"/>
      <c r="FE88" s="99"/>
      <c r="FF88" s="99"/>
      <c r="FG88" s="99"/>
      <c r="FH88" s="13"/>
      <c r="FI88" s="13"/>
      <c r="FJ88" s="138" t="s">
        <v>306</v>
      </c>
      <c r="FK88" s="910"/>
      <c r="FL88" s="143" t="s">
        <v>307</v>
      </c>
      <c r="FM88" s="144">
        <v>1</v>
      </c>
      <c r="FN88" s="138" t="s">
        <v>300</v>
      </c>
      <c r="FO88" s="145">
        <v>25</v>
      </c>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row>
    <row r="89" spans="1:756" ht="11.25" customHeight="1" thickBot="1">
      <c r="A89" s="2094"/>
      <c r="B89" s="37">
        <f>IF(AND(C89="◎",L89&lt;&gt;""),B88+1,B88)</f>
        <v>3</v>
      </c>
      <c r="C89" s="1884" t="str">
        <f t="shared" si="3"/>
        <v/>
      </c>
      <c r="D89" s="1884"/>
      <c r="E89" s="1889" t="s">
        <v>2253</v>
      </c>
      <c r="F89" s="1889"/>
      <c r="G89" s="1869" t="str">
        <f>IF(AND(C89="◎",L89&lt;&gt;""),B89,"")</f>
        <v/>
      </c>
      <c r="H89" s="1870"/>
      <c r="I89" s="1870"/>
      <c r="J89" s="1870"/>
      <c r="K89" s="1870"/>
      <c r="L89" s="1932" t="str">
        <f>IF(AQ85=1," 蓄電池設備工事","")</f>
        <v xml:space="preserve"> 蓄電池設備工事</v>
      </c>
      <c r="M89" s="1932"/>
      <c r="N89" s="1932"/>
      <c r="O89" s="1932"/>
      <c r="P89" s="1932"/>
      <c r="Q89" s="1932"/>
      <c r="R89" s="1932"/>
      <c r="S89" s="1932"/>
      <c r="T89" s="1932"/>
      <c r="U89" s="1932"/>
      <c r="V89" s="1932"/>
      <c r="W89" s="1932"/>
      <c r="X89" s="1932"/>
      <c r="Y89" s="1932"/>
      <c r="Z89" s="1932"/>
      <c r="AA89" s="1932"/>
      <c r="AB89" s="1932"/>
      <c r="AC89" s="1932"/>
      <c r="AD89" s="1932"/>
      <c r="AE89" s="1901"/>
      <c r="AF89" s="1902"/>
      <c r="AG89" s="1902"/>
      <c r="AH89" s="1902"/>
      <c r="AI89" s="1902"/>
      <c r="AJ89" s="1902"/>
      <c r="AK89" s="1902"/>
      <c r="AL89" s="1902"/>
      <c r="AM89" s="1902"/>
      <c r="AN89" s="1902"/>
      <c r="AO89" s="1903"/>
      <c r="AP89" s="130"/>
      <c r="AQ89" s="130">
        <f>IF(AND(AR89="◎",BA89&lt;&gt;""),AQ88+1,AQ88)</f>
        <v>12</v>
      </c>
      <c r="AR89" s="1884" t="str">
        <f t="shared" si="2"/>
        <v/>
      </c>
      <c r="AS89" s="1884"/>
      <c r="AT89" s="2112" t="s">
        <v>2253</v>
      </c>
      <c r="AU89" s="2113"/>
      <c r="AV89" s="1869" t="str">
        <f>IF(AR89="◎",AQ89,"")</f>
        <v/>
      </c>
      <c r="AW89" s="1870"/>
      <c r="AX89" s="1870"/>
      <c r="AY89" s="1870"/>
      <c r="AZ89" s="1888"/>
      <c r="BA89" s="1926" t="str">
        <f>IF(AQ85=1," ナースコール設備工事","")</f>
        <v xml:space="preserve"> ナースコール設備工事</v>
      </c>
      <c r="BB89" s="1927"/>
      <c r="BC89" s="1927"/>
      <c r="BD89" s="1927"/>
      <c r="BE89" s="1927"/>
      <c r="BF89" s="1927"/>
      <c r="BG89" s="1927"/>
      <c r="BH89" s="1927"/>
      <c r="BI89" s="1927"/>
      <c r="BJ89" s="1927"/>
      <c r="BK89" s="1927"/>
      <c r="BL89" s="1927"/>
      <c r="BM89" s="1927"/>
      <c r="BN89" s="1927"/>
      <c r="BO89" s="1927"/>
      <c r="BP89" s="1927"/>
      <c r="BQ89" s="1927"/>
      <c r="BR89" s="1928"/>
      <c r="BS89" s="1815"/>
      <c r="BT89" s="1815"/>
      <c r="BU89" s="1815"/>
      <c r="BV89" s="1815"/>
      <c r="BW89" s="1815"/>
      <c r="BX89" s="1815"/>
      <c r="BY89" s="1815"/>
      <c r="BZ89" s="1815"/>
      <c r="CA89" s="1816"/>
      <c r="CB89" s="146"/>
      <c r="CC89" s="704"/>
      <c r="CD89" s="704"/>
      <c r="CE89" s="704"/>
      <c r="CF89" s="704"/>
      <c r="CG89" s="704"/>
      <c r="CH89" s="704"/>
      <c r="CI89" s="704"/>
      <c r="CJ89" s="704"/>
      <c r="CK89" s="704"/>
      <c r="CL89" s="704"/>
      <c r="CM89" s="704"/>
      <c r="CN89" s="704"/>
      <c r="CO89" s="704"/>
      <c r="CP89" s="704"/>
      <c r="CQ89" s="704"/>
      <c r="CR89" s="704"/>
      <c r="CS89" s="704"/>
      <c r="CT89" s="704"/>
      <c r="CU89" s="704"/>
      <c r="CV89" s="704"/>
      <c r="CW89" s="704"/>
      <c r="CX89" s="704"/>
      <c r="CY89" s="704"/>
      <c r="CZ89" s="704"/>
      <c r="DA89" s="704"/>
      <c r="DB89" s="704"/>
      <c r="DC89" s="9"/>
      <c r="DD89" s="137"/>
      <c r="DE89" s="9"/>
      <c r="DF89" s="9"/>
      <c r="DG89" s="9"/>
      <c r="DH89" s="9"/>
      <c r="DI89" s="9"/>
      <c r="DJ89" s="9"/>
      <c r="DK89" s="9"/>
      <c r="DL89" s="9"/>
      <c r="DM89" s="9"/>
      <c r="DN89" s="9"/>
      <c r="DO89" s="9"/>
      <c r="DP89" s="9"/>
      <c r="DQ89" s="9"/>
      <c r="DR89" s="99"/>
      <c r="DS89" s="99"/>
      <c r="DT89" s="99"/>
      <c r="DU89" s="99"/>
      <c r="DV89" s="99"/>
      <c r="DW89" s="99"/>
      <c r="DX89" s="99"/>
      <c r="DY89" s="99"/>
      <c r="DZ89" s="99"/>
      <c r="EA89" s="99"/>
      <c r="EB89" s="99"/>
      <c r="EC89" s="99"/>
      <c r="ED89" s="99"/>
      <c r="EE89" s="99"/>
      <c r="EF89" s="99"/>
      <c r="EG89" s="9"/>
      <c r="EH89" s="9"/>
      <c r="EI89" s="9"/>
      <c r="EJ89" s="9"/>
      <c r="EK89" s="9"/>
      <c r="EL89" s="99"/>
      <c r="EM89" s="99"/>
      <c r="EN89" s="99"/>
      <c r="EO89" s="99"/>
      <c r="EP89" s="99"/>
      <c r="EQ89" s="99"/>
      <c r="ER89" s="99"/>
      <c r="ES89" s="99"/>
      <c r="ET89" s="99"/>
      <c r="EU89" s="99"/>
      <c r="EV89" s="99"/>
      <c r="EW89" s="99"/>
      <c r="EX89" s="99"/>
      <c r="EY89" s="99"/>
      <c r="EZ89" s="99"/>
      <c r="FA89" s="99"/>
      <c r="FB89" s="99"/>
      <c r="FC89" s="99"/>
      <c r="FD89" s="99"/>
      <c r="FE89" s="99"/>
      <c r="FF89" s="99"/>
      <c r="FG89" s="99"/>
      <c r="FH89" s="13"/>
      <c r="FI89" s="13"/>
      <c r="FJ89" s="138" t="s">
        <v>308</v>
      </c>
      <c r="FK89" s="910"/>
      <c r="FL89" s="143" t="s">
        <v>309</v>
      </c>
      <c r="FM89" s="144">
        <v>1</v>
      </c>
      <c r="FN89" s="138" t="s">
        <v>300</v>
      </c>
      <c r="FO89" s="145">
        <v>110</v>
      </c>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row>
    <row r="90" spans="1:756" ht="11.25" customHeight="1" thickBot="1">
      <c r="A90" s="2094"/>
      <c r="B90" s="37">
        <f>IF(AND(C90="◎",L90&lt;&gt;""),B89+1,B89)</f>
        <v>3</v>
      </c>
      <c r="C90" s="1884" t="str">
        <f t="shared" si="3"/>
        <v/>
      </c>
      <c r="D90" s="1884"/>
      <c r="E90" s="1889" t="s">
        <v>2253</v>
      </c>
      <c r="F90" s="1889"/>
      <c r="G90" s="1869" t="str">
        <f>IF(AND(C90="◎",L90&lt;&gt;""),B90,"")</f>
        <v/>
      </c>
      <c r="H90" s="1870"/>
      <c r="I90" s="1870"/>
      <c r="J90" s="1870"/>
      <c r="K90" s="1870"/>
      <c r="L90" s="1908" t="str">
        <f>IF(AQ85=1," ＵＰＳ設備工事","")</f>
        <v xml:space="preserve"> ＵＰＳ設備工事</v>
      </c>
      <c r="M90" s="1909"/>
      <c r="N90" s="1909"/>
      <c r="O90" s="1909"/>
      <c r="P90" s="1909"/>
      <c r="Q90" s="1909"/>
      <c r="R90" s="1909"/>
      <c r="S90" s="1909"/>
      <c r="T90" s="1909"/>
      <c r="U90" s="1909"/>
      <c r="V90" s="1909"/>
      <c r="W90" s="1909"/>
      <c r="X90" s="1909"/>
      <c r="Y90" s="1909"/>
      <c r="Z90" s="1909"/>
      <c r="AA90" s="1909"/>
      <c r="AB90" s="1909"/>
      <c r="AC90" s="1909"/>
      <c r="AD90" s="1910"/>
      <c r="AE90" s="1901"/>
      <c r="AF90" s="1902"/>
      <c r="AG90" s="1902"/>
      <c r="AH90" s="1902"/>
      <c r="AI90" s="1902"/>
      <c r="AJ90" s="1902"/>
      <c r="AK90" s="1902"/>
      <c r="AL90" s="1902"/>
      <c r="AM90" s="1902"/>
      <c r="AN90" s="1902"/>
      <c r="AO90" s="1903"/>
      <c r="AP90" s="130"/>
      <c r="AQ90" s="130">
        <f>IF(AND(AR90="◎",BA90&lt;&gt;""),AQ89+1,AQ89)</f>
        <v>13</v>
      </c>
      <c r="AR90" s="1884" t="str">
        <f t="shared" si="2"/>
        <v>◎</v>
      </c>
      <c r="AS90" s="1884"/>
      <c r="AT90" s="1906"/>
      <c r="AU90" s="1907"/>
      <c r="AV90" s="1869">
        <f>IF(AND(AR90="◎",BA90&lt;&gt;"",BA90&lt;&gt;""),AQ90,"")</f>
        <v>13</v>
      </c>
      <c r="AW90" s="1870"/>
      <c r="AX90" s="1870"/>
      <c r="AY90" s="1870"/>
      <c r="AZ90" s="1870"/>
      <c r="BA90" s="1847" t="str">
        <f>IF(AQ85=1," テレビ共聴設備工事","")</f>
        <v xml:space="preserve"> テレビ共聴設備工事</v>
      </c>
      <c r="BB90" s="1848"/>
      <c r="BC90" s="1848"/>
      <c r="BD90" s="1848"/>
      <c r="BE90" s="1848"/>
      <c r="BF90" s="1848"/>
      <c r="BG90" s="1848"/>
      <c r="BH90" s="1848"/>
      <c r="BI90" s="1848"/>
      <c r="BJ90" s="1848"/>
      <c r="BK90" s="1848"/>
      <c r="BL90" s="1848"/>
      <c r="BM90" s="1848"/>
      <c r="BN90" s="1848"/>
      <c r="BO90" s="1848"/>
      <c r="BP90" s="1848"/>
      <c r="BQ90" s="1848"/>
      <c r="BR90" s="1849"/>
      <c r="BS90" s="1815"/>
      <c r="BT90" s="1815"/>
      <c r="BU90" s="1815"/>
      <c r="BV90" s="1815"/>
      <c r="BW90" s="1815"/>
      <c r="BX90" s="1815"/>
      <c r="BY90" s="1815"/>
      <c r="BZ90" s="1815"/>
      <c r="CA90" s="1816"/>
      <c r="CB90" s="146"/>
      <c r="CC90" s="704"/>
      <c r="CD90" s="704"/>
      <c r="CE90" s="55" t="s">
        <v>91</v>
      </c>
      <c r="CF90" s="728"/>
      <c r="CG90" s="147"/>
      <c r="CH90" s="147"/>
      <c r="CI90" s="147"/>
      <c r="CJ90" s="147"/>
      <c r="CL90" s="704"/>
      <c r="CM90" s="704"/>
      <c r="CN90" s="704"/>
      <c r="CO90" s="704"/>
      <c r="CP90" s="704"/>
      <c r="CQ90" s="704"/>
      <c r="CR90" s="704"/>
      <c r="CS90" s="704"/>
      <c r="CT90" s="704"/>
      <c r="CU90" s="704"/>
      <c r="CV90" s="704"/>
      <c r="CW90" s="704"/>
      <c r="CX90" s="704"/>
      <c r="CY90" s="704"/>
      <c r="CZ90" s="704"/>
      <c r="DA90" s="704"/>
      <c r="DB90" s="704"/>
      <c r="DC90" s="9"/>
      <c r="DD90" s="137"/>
      <c r="DE90" s="9"/>
      <c r="DF90" s="9"/>
      <c r="DG90" s="9"/>
      <c r="DH90" s="9"/>
      <c r="DI90" s="9"/>
      <c r="DJ90" s="9"/>
      <c r="DK90" s="9"/>
      <c r="DL90" s="9"/>
      <c r="DM90" s="9"/>
      <c r="DN90" s="9"/>
      <c r="DO90" s="9"/>
      <c r="DP90" s="9"/>
      <c r="DQ90" s="9"/>
      <c r="DR90" s="99"/>
      <c r="DS90" s="99"/>
      <c r="DT90" s="99"/>
      <c r="DU90" s="99"/>
      <c r="DV90" s="99"/>
      <c r="DW90" s="99"/>
      <c r="DX90" s="99"/>
      <c r="DY90" s="99"/>
      <c r="DZ90" s="99"/>
      <c r="EA90" s="99"/>
      <c r="EB90" s="99"/>
      <c r="EC90" s="99"/>
      <c r="ED90" s="99"/>
      <c r="EE90" s="99"/>
      <c r="EF90" s="99"/>
      <c r="EG90" s="9"/>
      <c r="EH90" s="9"/>
      <c r="EI90" s="9"/>
      <c r="EJ90" s="9"/>
      <c r="EK90" s="9"/>
      <c r="EL90" s="99"/>
      <c r="EM90" s="99"/>
      <c r="EN90" s="99"/>
      <c r="EO90" s="99"/>
      <c r="EP90" s="99"/>
      <c r="EQ90" s="99"/>
      <c r="ER90" s="99"/>
      <c r="ES90" s="99"/>
      <c r="ET90" s="99"/>
      <c r="EU90" s="99"/>
      <c r="EV90" s="99"/>
      <c r="EW90" s="99"/>
      <c r="EX90" s="99"/>
      <c r="EY90" s="99"/>
      <c r="EZ90" s="99"/>
      <c r="FA90" s="99"/>
      <c r="FB90" s="99"/>
      <c r="FC90" s="99"/>
      <c r="FD90" s="99"/>
      <c r="FE90" s="99"/>
      <c r="FF90" s="99"/>
      <c r="FG90" s="99"/>
      <c r="FH90" s="13"/>
      <c r="FI90" s="13"/>
      <c r="FJ90" s="138" t="s">
        <v>310</v>
      </c>
      <c r="FK90" s="910"/>
      <c r="FL90" s="143" t="s">
        <v>311</v>
      </c>
      <c r="FM90" s="144">
        <v>1</v>
      </c>
      <c r="FN90" s="138" t="s">
        <v>300</v>
      </c>
      <c r="FO90" s="145">
        <v>6</v>
      </c>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row>
    <row r="91" spans="1:756" ht="11.25" customHeight="1" thickBot="1">
      <c r="A91" s="2094"/>
      <c r="B91" s="37">
        <f>IF(AND(C91="◎",L91&lt;&gt;""),B90+1,B90)</f>
        <v>3</v>
      </c>
      <c r="C91" s="1884" t="str">
        <f t="shared" si="3"/>
        <v/>
      </c>
      <c r="D91" s="1884"/>
      <c r="E91" s="1889" t="s">
        <v>2253</v>
      </c>
      <c r="F91" s="1889"/>
      <c r="G91" s="1869" t="str">
        <f>IF(AND(C91="◎",L91&lt;&gt;""),B91,"")</f>
        <v/>
      </c>
      <c r="H91" s="1870"/>
      <c r="I91" s="1870"/>
      <c r="J91" s="1870"/>
      <c r="K91" s="1870"/>
      <c r="L91" s="1895" t="str">
        <f>IF(AQ85=1," 太陽光発電設備工事","")</f>
        <v xml:space="preserve"> 太陽光発電設備工事</v>
      </c>
      <c r="M91" s="1896"/>
      <c r="N91" s="1896"/>
      <c r="O91" s="1896"/>
      <c r="P91" s="1896"/>
      <c r="Q91" s="1896"/>
      <c r="R91" s="1896"/>
      <c r="S91" s="1896"/>
      <c r="T91" s="1896"/>
      <c r="U91" s="1896"/>
      <c r="V91" s="1896"/>
      <c r="W91" s="1896"/>
      <c r="X91" s="1896"/>
      <c r="Y91" s="1896"/>
      <c r="Z91" s="1896"/>
      <c r="AA91" s="1896"/>
      <c r="AB91" s="1896"/>
      <c r="AC91" s="1896"/>
      <c r="AD91" s="1897"/>
      <c r="AE91" s="1901"/>
      <c r="AF91" s="1902"/>
      <c r="AG91" s="1902"/>
      <c r="AH91" s="1902"/>
      <c r="AI91" s="1902"/>
      <c r="AJ91" s="1902"/>
      <c r="AK91" s="1902"/>
      <c r="AL91" s="1902"/>
      <c r="AM91" s="1902"/>
      <c r="AN91" s="1902"/>
      <c r="AO91" s="1903"/>
      <c r="AP91" s="130"/>
      <c r="AQ91" s="130">
        <f t="shared" ref="AQ91:AQ102" si="4">IF(AND(AR91="◎",BA91&lt;&gt;""),AQ90+1,AQ90)</f>
        <v>13</v>
      </c>
      <c r="AR91" s="1884" t="str">
        <f t="shared" si="2"/>
        <v/>
      </c>
      <c r="AS91" s="1884"/>
      <c r="AT91" s="1906" t="s">
        <v>2253</v>
      </c>
      <c r="AU91" s="1907"/>
      <c r="AV91" s="1869" t="str">
        <f>IF(AR91="◎",AQ91,"")</f>
        <v/>
      </c>
      <c r="AW91" s="1870"/>
      <c r="AX91" s="1870"/>
      <c r="AY91" s="1870"/>
      <c r="AZ91" s="1888"/>
      <c r="BA91" s="1922" t="str">
        <f>IF(AQ85=1," 電気時計設備工事","")</f>
        <v xml:space="preserve"> 電気時計設備工事</v>
      </c>
      <c r="BB91" s="1923"/>
      <c r="BC91" s="1923"/>
      <c r="BD91" s="1923"/>
      <c r="BE91" s="1923"/>
      <c r="BF91" s="1923"/>
      <c r="BG91" s="1923"/>
      <c r="BH91" s="1923"/>
      <c r="BI91" s="1923"/>
      <c r="BJ91" s="1923"/>
      <c r="BK91" s="1923"/>
      <c r="BL91" s="1923"/>
      <c r="BM91" s="1923"/>
      <c r="BN91" s="1923"/>
      <c r="BO91" s="1923"/>
      <c r="BP91" s="1923"/>
      <c r="BQ91" s="1923"/>
      <c r="BR91" s="1924"/>
      <c r="BS91" s="1815"/>
      <c r="BT91" s="1815"/>
      <c r="BU91" s="1815"/>
      <c r="BV91" s="1815"/>
      <c r="BW91" s="1815"/>
      <c r="BX91" s="1815"/>
      <c r="BY91" s="1815"/>
      <c r="BZ91" s="1815"/>
      <c r="CA91" s="1816"/>
      <c r="CB91" s="146"/>
      <c r="CC91" s="704"/>
      <c r="CD91" s="704"/>
      <c r="CE91" s="55" t="s">
        <v>116</v>
      </c>
      <c r="CF91" s="704"/>
      <c r="CG91" s="704"/>
      <c r="CH91" s="704"/>
      <c r="CI91" s="704"/>
      <c r="CJ91" s="704"/>
      <c r="CL91" s="704"/>
      <c r="CM91" s="704"/>
      <c r="CN91" s="704"/>
      <c r="CO91" s="704"/>
      <c r="CP91" s="704"/>
      <c r="CQ91" s="704"/>
      <c r="CR91" s="704"/>
      <c r="CS91" s="704"/>
      <c r="CT91" s="704"/>
      <c r="CU91" s="704"/>
      <c r="CV91" s="704"/>
      <c r="CW91" s="704"/>
      <c r="CX91" s="704"/>
      <c r="CY91" s="704"/>
      <c r="CZ91" s="704"/>
      <c r="DA91" s="704"/>
      <c r="DB91" s="704"/>
      <c r="DC91" s="9"/>
      <c r="DD91" s="137"/>
      <c r="DE91" s="9"/>
      <c r="DF91" s="9"/>
      <c r="DG91" s="9"/>
      <c r="DH91" s="9"/>
      <c r="DI91" s="9"/>
      <c r="DJ91" s="9"/>
      <c r="DK91" s="9"/>
      <c r="DL91" s="9"/>
      <c r="DM91" s="9"/>
      <c r="DN91" s="9"/>
      <c r="DO91" s="9"/>
      <c r="DP91" s="9"/>
      <c r="DQ91" s="9"/>
      <c r="DR91" s="99"/>
      <c r="DS91" s="99"/>
      <c r="DT91" s="99"/>
      <c r="DU91" s="99"/>
      <c r="DV91" s="99"/>
      <c r="DW91" s="99"/>
      <c r="DX91" s="99"/>
      <c r="DY91" s="99"/>
      <c r="DZ91" s="99"/>
      <c r="EA91" s="99"/>
      <c r="EB91" s="99"/>
      <c r="EC91" s="99"/>
      <c r="ED91" s="99"/>
      <c r="EE91" s="99"/>
      <c r="EF91" s="99"/>
      <c r="EG91" s="9"/>
      <c r="EH91" s="9"/>
      <c r="EI91" s="9"/>
      <c r="EJ91" s="9"/>
      <c r="EK91" s="9"/>
      <c r="EL91" s="99"/>
      <c r="EM91" s="99"/>
      <c r="EN91" s="99"/>
      <c r="EO91" s="99"/>
      <c r="EP91" s="99"/>
      <c r="EQ91" s="99"/>
      <c r="ER91" s="99"/>
      <c r="ES91" s="99"/>
      <c r="ET91" s="99"/>
      <c r="EU91" s="99"/>
      <c r="EV91" s="99"/>
      <c r="EW91" s="99"/>
      <c r="EX91" s="99"/>
      <c r="EY91" s="99"/>
      <c r="EZ91" s="99"/>
      <c r="FA91" s="99"/>
      <c r="FB91" s="99"/>
      <c r="FC91" s="99"/>
      <c r="FD91" s="99"/>
      <c r="FE91" s="99"/>
      <c r="FF91" s="99"/>
      <c r="FG91" s="99"/>
      <c r="FH91" s="13"/>
      <c r="FI91" s="13"/>
      <c r="FJ91" s="138" t="s">
        <v>312</v>
      </c>
      <c r="FK91" s="910"/>
      <c r="FL91" s="143" t="s">
        <v>313</v>
      </c>
      <c r="FM91" s="144">
        <v>1</v>
      </c>
      <c r="FN91" s="138" t="s">
        <v>300</v>
      </c>
      <c r="FO91" s="145">
        <v>20</v>
      </c>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row>
    <row r="92" spans="1:756" ht="11.25" customHeight="1" thickBot="1">
      <c r="A92" s="2094"/>
      <c r="B92" s="37">
        <f>IF(AND(C92="◎",Q92&lt;&gt;""),B91+1,B91)</f>
        <v>3</v>
      </c>
      <c r="C92" s="1884" t="str">
        <f t="shared" si="3"/>
        <v/>
      </c>
      <c r="D92" s="1884"/>
      <c r="E92" s="1889" t="s">
        <v>2253</v>
      </c>
      <c r="F92" s="1889"/>
      <c r="G92" s="1869" t="str">
        <f>IF(AND(C92="◎",Q92&lt;&gt;""),B92,"")</f>
        <v/>
      </c>
      <c r="H92" s="1870"/>
      <c r="I92" s="1870"/>
      <c r="J92" s="1870"/>
      <c r="K92" s="1870"/>
      <c r="L92" s="1919"/>
      <c r="M92" s="1920"/>
      <c r="N92" s="1920"/>
      <c r="O92" s="1920"/>
      <c r="P92" s="1920"/>
      <c r="Q92" s="1920"/>
      <c r="R92" s="1920"/>
      <c r="S92" s="1920"/>
      <c r="T92" s="1920"/>
      <c r="U92" s="1920"/>
      <c r="V92" s="1920"/>
      <c r="W92" s="1920"/>
      <c r="X92" s="1920"/>
      <c r="Y92" s="1920"/>
      <c r="Z92" s="1920"/>
      <c r="AA92" s="1920"/>
      <c r="AB92" s="1920"/>
      <c r="AC92" s="1920"/>
      <c r="AD92" s="1921"/>
      <c r="AE92" s="1901"/>
      <c r="AF92" s="1902"/>
      <c r="AG92" s="1902"/>
      <c r="AH92" s="1902"/>
      <c r="AI92" s="1902"/>
      <c r="AJ92" s="1902"/>
      <c r="AK92" s="1902"/>
      <c r="AL92" s="1902"/>
      <c r="AM92" s="1902"/>
      <c r="AN92" s="1902"/>
      <c r="AO92" s="1903"/>
      <c r="AP92" s="130"/>
      <c r="AQ92" s="130">
        <f t="shared" si="4"/>
        <v>13</v>
      </c>
      <c r="AR92" s="1884" t="str">
        <f t="shared" si="2"/>
        <v/>
      </c>
      <c r="AS92" s="1884"/>
      <c r="AT92" s="1906" t="s">
        <v>2253</v>
      </c>
      <c r="AU92" s="1907"/>
      <c r="AV92" s="1869" t="str">
        <f t="shared" ref="AV92:AV102" si="5">IF(AR92="◎",AQ92,"")</f>
        <v/>
      </c>
      <c r="AW92" s="1870"/>
      <c r="AX92" s="1870"/>
      <c r="AY92" s="1870"/>
      <c r="AZ92" s="1888"/>
      <c r="BA92" s="1913"/>
      <c r="BB92" s="1914"/>
      <c r="BC92" s="1914"/>
      <c r="BD92" s="1914"/>
      <c r="BE92" s="1914"/>
      <c r="BF92" s="1914"/>
      <c r="BG92" s="1914"/>
      <c r="BH92" s="1914"/>
      <c r="BI92" s="1914"/>
      <c r="BJ92" s="1914"/>
      <c r="BK92" s="1914"/>
      <c r="BL92" s="1914"/>
      <c r="BM92" s="1914"/>
      <c r="BN92" s="1914"/>
      <c r="BO92" s="1914"/>
      <c r="BP92" s="1914"/>
      <c r="BQ92" s="1914"/>
      <c r="BR92" s="1915"/>
      <c r="BS92" s="1815"/>
      <c r="BT92" s="1815"/>
      <c r="BU92" s="1815"/>
      <c r="BV92" s="1815"/>
      <c r="BW92" s="1815"/>
      <c r="BX92" s="1815"/>
      <c r="BY92" s="1815"/>
      <c r="BZ92" s="1815"/>
      <c r="CA92" s="1816"/>
      <c r="CB92" s="146"/>
      <c r="CC92" s="704"/>
      <c r="CD92" s="704"/>
      <c r="CE92" s="55" t="s">
        <v>133</v>
      </c>
      <c r="CF92" s="704"/>
      <c r="CG92" s="147"/>
      <c r="CH92" s="147"/>
      <c r="CI92" s="147"/>
      <c r="CJ92" s="147"/>
      <c r="CL92" s="147"/>
      <c r="CM92" s="147"/>
      <c r="CN92" s="704"/>
      <c r="CO92" s="704"/>
      <c r="CP92" s="704"/>
      <c r="CQ92" s="704"/>
      <c r="CR92" s="704"/>
      <c r="CS92" s="704"/>
      <c r="CT92" s="704"/>
      <c r="CU92" s="704"/>
      <c r="CV92" s="704"/>
      <c r="CW92" s="704"/>
      <c r="CX92" s="704"/>
      <c r="CY92" s="704"/>
      <c r="CZ92" s="704"/>
      <c r="DA92" s="704"/>
      <c r="DB92" s="704"/>
      <c r="DC92" s="9"/>
      <c r="DD92" s="137"/>
      <c r="DE92" s="9"/>
      <c r="DF92" s="9"/>
      <c r="DG92" s="9"/>
      <c r="DH92" s="9"/>
      <c r="DI92" s="9"/>
      <c r="DJ92" s="9"/>
      <c r="DK92" s="9"/>
      <c r="DL92" s="9"/>
      <c r="DM92" s="9"/>
      <c r="DN92" s="9"/>
      <c r="DO92" s="9"/>
      <c r="DP92" s="9"/>
      <c r="DQ92" s="9"/>
      <c r="DR92" s="99"/>
      <c r="DS92" s="99"/>
      <c r="DT92" s="99"/>
      <c r="DU92" s="99"/>
      <c r="DV92" s="99"/>
      <c r="DW92" s="99"/>
      <c r="DX92" s="99"/>
      <c r="DY92" s="99"/>
      <c r="DZ92" s="99"/>
      <c r="EA92" s="99"/>
      <c r="EB92" s="99"/>
      <c r="EC92" s="99"/>
      <c r="ED92" s="99"/>
      <c r="EE92" s="99"/>
      <c r="EF92" s="99"/>
      <c r="EG92" s="9"/>
      <c r="EH92" s="9"/>
      <c r="EI92" s="9"/>
      <c r="EJ92" s="9"/>
      <c r="EK92" s="9"/>
      <c r="EL92" s="99"/>
      <c r="EM92" s="99"/>
      <c r="EN92" s="99"/>
      <c r="EO92" s="99"/>
      <c r="EP92" s="99"/>
      <c r="EQ92" s="99"/>
      <c r="ER92" s="99"/>
      <c r="ES92" s="99"/>
      <c r="ET92" s="99"/>
      <c r="EU92" s="99"/>
      <c r="EV92" s="99"/>
      <c r="EW92" s="99"/>
      <c r="EX92" s="99"/>
      <c r="EY92" s="99"/>
      <c r="EZ92" s="99"/>
      <c r="FA92" s="99"/>
      <c r="FB92" s="99"/>
      <c r="FC92" s="99"/>
      <c r="FD92" s="99"/>
      <c r="FE92" s="99"/>
      <c r="FF92" s="99"/>
      <c r="FG92" s="99"/>
      <c r="FH92" s="13"/>
      <c r="FI92" s="13"/>
      <c r="FJ92" s="138" t="s">
        <v>314</v>
      </c>
      <c r="FK92" s="910"/>
      <c r="FL92" s="143" t="s">
        <v>315</v>
      </c>
      <c r="FM92" s="144">
        <v>1</v>
      </c>
      <c r="FN92" s="138" t="s">
        <v>300</v>
      </c>
      <c r="FO92" s="145">
        <v>40</v>
      </c>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row>
    <row r="93" spans="1:756" ht="11.25" customHeight="1" thickBot="1">
      <c r="A93" s="2094"/>
      <c r="B93" s="37">
        <f>IF(AND(C93="◎",L93&lt;&gt;""),B92+1,B92)</f>
        <v>4</v>
      </c>
      <c r="C93" s="1884" t="str">
        <f t="shared" si="3"/>
        <v>◎</v>
      </c>
      <c r="D93" s="1884"/>
      <c r="E93" s="1889"/>
      <c r="F93" s="1889"/>
      <c r="G93" s="1869">
        <f>IF(AND(C93="◎",L93&lt;&gt;""),B93,"")</f>
        <v>4</v>
      </c>
      <c r="H93" s="1870"/>
      <c r="I93" s="1870"/>
      <c r="J93" s="1870"/>
      <c r="K93" s="1870"/>
      <c r="L93" s="1847" t="str">
        <f>IF(AQ85=1," 低圧幹線設備工事","")</f>
        <v xml:space="preserve"> 低圧幹線設備工事</v>
      </c>
      <c r="M93" s="1848"/>
      <c r="N93" s="1848"/>
      <c r="O93" s="1848"/>
      <c r="P93" s="1848"/>
      <c r="Q93" s="1848"/>
      <c r="R93" s="1848"/>
      <c r="S93" s="1848"/>
      <c r="T93" s="1848"/>
      <c r="U93" s="1848"/>
      <c r="V93" s="1848"/>
      <c r="W93" s="1848"/>
      <c r="X93" s="1848"/>
      <c r="Y93" s="1848"/>
      <c r="Z93" s="1848"/>
      <c r="AA93" s="1848"/>
      <c r="AB93" s="1848"/>
      <c r="AC93" s="1848"/>
      <c r="AD93" s="1849"/>
      <c r="AE93" s="1902"/>
      <c r="AF93" s="1902"/>
      <c r="AG93" s="1902"/>
      <c r="AH93" s="1902"/>
      <c r="AI93" s="1902"/>
      <c r="AJ93" s="1902"/>
      <c r="AK93" s="1902"/>
      <c r="AL93" s="1902"/>
      <c r="AM93" s="1902"/>
      <c r="AN93" s="1902"/>
      <c r="AO93" s="1903"/>
      <c r="AP93" s="130"/>
      <c r="AQ93" s="130">
        <f t="shared" si="4"/>
        <v>13</v>
      </c>
      <c r="AR93" s="1884" t="str">
        <f t="shared" si="2"/>
        <v/>
      </c>
      <c r="AS93" s="1884"/>
      <c r="AT93" s="1906" t="s">
        <v>2253</v>
      </c>
      <c r="AU93" s="1907"/>
      <c r="AV93" s="1869" t="str">
        <f t="shared" si="5"/>
        <v/>
      </c>
      <c r="AW93" s="1870"/>
      <c r="AX93" s="1870"/>
      <c r="AY93" s="1870"/>
      <c r="AZ93" s="1888"/>
      <c r="BA93" s="1908" t="str">
        <f>IF(AQ85=1," 舞台音響映像設備工事","")</f>
        <v xml:space="preserve"> 舞台音響映像設備工事</v>
      </c>
      <c r="BB93" s="1909"/>
      <c r="BC93" s="1909"/>
      <c r="BD93" s="1909"/>
      <c r="BE93" s="1909"/>
      <c r="BF93" s="1909"/>
      <c r="BG93" s="1909"/>
      <c r="BH93" s="1909"/>
      <c r="BI93" s="1909"/>
      <c r="BJ93" s="1909"/>
      <c r="BK93" s="1909"/>
      <c r="BL93" s="1909"/>
      <c r="BM93" s="1909"/>
      <c r="BN93" s="1909"/>
      <c r="BO93" s="1909"/>
      <c r="BP93" s="1909"/>
      <c r="BQ93" s="1909"/>
      <c r="BR93" s="1910"/>
      <c r="BS93" s="1815"/>
      <c r="BT93" s="1815"/>
      <c r="BU93" s="1815"/>
      <c r="BV93" s="1815"/>
      <c r="BW93" s="1815"/>
      <c r="BX93" s="1815"/>
      <c r="BY93" s="1815"/>
      <c r="BZ93" s="1815"/>
      <c r="CA93" s="1816"/>
      <c r="CB93" s="146"/>
      <c r="CC93" s="704"/>
      <c r="CD93" s="704"/>
      <c r="CE93" s="55" t="s">
        <v>138</v>
      </c>
      <c r="CF93" s="704"/>
      <c r="CG93" s="704"/>
      <c r="CH93" s="704"/>
      <c r="CI93" s="704"/>
      <c r="CJ93" s="704"/>
      <c r="CK93" s="780"/>
      <c r="CL93" s="704"/>
      <c r="CM93" s="704"/>
      <c r="CN93" s="704"/>
      <c r="CO93" s="704"/>
      <c r="CP93" s="704"/>
      <c r="CQ93" s="704"/>
      <c r="CR93" s="704"/>
      <c r="CS93" s="704"/>
      <c r="CT93" s="704"/>
      <c r="CU93" s="704"/>
      <c r="CV93" s="704"/>
      <c r="CW93" s="704"/>
      <c r="CX93" s="704"/>
      <c r="CY93" s="704"/>
      <c r="CZ93" s="704"/>
      <c r="DA93" s="704"/>
      <c r="DB93" s="704"/>
      <c r="DC93" s="9"/>
      <c r="DD93" s="137"/>
      <c r="DE93" s="9"/>
      <c r="DF93" s="9"/>
      <c r="DG93" s="9"/>
      <c r="DH93" s="9"/>
      <c r="DI93" s="9"/>
      <c r="DJ93" s="9"/>
      <c r="DK93" s="9"/>
      <c r="DL93" s="9"/>
      <c r="DM93" s="9"/>
      <c r="DN93" s="9"/>
      <c r="DO93" s="9"/>
      <c r="DP93" s="9"/>
      <c r="DQ93" s="9"/>
      <c r="DR93" s="99"/>
      <c r="DS93" s="99"/>
      <c r="DT93" s="99"/>
      <c r="DU93" s="99"/>
      <c r="DV93" s="99"/>
      <c r="DW93" s="99"/>
      <c r="DX93" s="99"/>
      <c r="DY93" s="99"/>
      <c r="DZ93" s="99"/>
      <c r="EA93" s="99"/>
      <c r="EB93" s="99"/>
      <c r="EC93" s="99"/>
      <c r="ED93" s="99"/>
      <c r="EE93" s="99"/>
      <c r="EF93" s="99"/>
      <c r="EG93" s="9"/>
      <c r="EH93" s="9"/>
      <c r="EI93" s="9"/>
      <c r="EJ93" s="9"/>
      <c r="EK93" s="9"/>
      <c r="EL93" s="99"/>
      <c r="EM93" s="99"/>
      <c r="EN93" s="99"/>
      <c r="EO93" s="99"/>
      <c r="EP93" s="99"/>
      <c r="EQ93" s="99"/>
      <c r="ER93" s="99"/>
      <c r="ES93" s="99"/>
      <c r="ET93" s="99"/>
      <c r="EU93" s="99"/>
      <c r="EV93" s="99"/>
      <c r="EW93" s="99"/>
      <c r="EX93" s="99"/>
      <c r="EY93" s="99"/>
      <c r="EZ93" s="99"/>
      <c r="FA93" s="99"/>
      <c r="FB93" s="99"/>
      <c r="FC93" s="99"/>
      <c r="FD93" s="99"/>
      <c r="FE93" s="99"/>
      <c r="FF93" s="99"/>
      <c r="FG93" s="99"/>
      <c r="FH93" s="13"/>
      <c r="FI93" s="13"/>
      <c r="FJ93" s="138" t="s">
        <v>316</v>
      </c>
      <c r="FK93" s="910"/>
      <c r="FL93" s="143" t="s">
        <v>317</v>
      </c>
      <c r="FM93" s="144">
        <v>1</v>
      </c>
      <c r="FN93" s="138" t="s">
        <v>300</v>
      </c>
      <c r="FO93" s="145">
        <v>2</v>
      </c>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row>
    <row r="94" spans="1:756" ht="11.25" customHeight="1" thickBot="1">
      <c r="A94" s="2094"/>
      <c r="B94" s="37">
        <f>IF(AND(C94="◎",L94&lt;&gt;""),B93+1,B93)</f>
        <v>5</v>
      </c>
      <c r="C94" s="1884" t="str">
        <f t="shared" si="3"/>
        <v>◎</v>
      </c>
      <c r="D94" s="1884"/>
      <c r="E94" s="1889"/>
      <c r="F94" s="1889"/>
      <c r="G94" s="1869">
        <f>IF(AND(C94="◎",L94&lt;&gt;""),B94,"")</f>
        <v>5</v>
      </c>
      <c r="H94" s="1870"/>
      <c r="I94" s="1870"/>
      <c r="J94" s="1870"/>
      <c r="K94" s="1870"/>
      <c r="L94" s="1847" t="str">
        <f>IF(AQ85=1," 動力配線工事","")</f>
        <v xml:space="preserve"> 動力配線工事</v>
      </c>
      <c r="M94" s="1848"/>
      <c r="N94" s="1848"/>
      <c r="O94" s="1848"/>
      <c r="P94" s="1848"/>
      <c r="Q94" s="1848"/>
      <c r="R94" s="1848"/>
      <c r="S94" s="1848"/>
      <c r="T94" s="1848"/>
      <c r="U94" s="1848"/>
      <c r="V94" s="1848"/>
      <c r="W94" s="1848"/>
      <c r="X94" s="1848"/>
      <c r="Y94" s="1848"/>
      <c r="Z94" s="1848"/>
      <c r="AA94" s="1848"/>
      <c r="AB94" s="1848"/>
      <c r="AC94" s="1848"/>
      <c r="AD94" s="1849"/>
      <c r="AE94" s="1902"/>
      <c r="AF94" s="1902"/>
      <c r="AG94" s="1902"/>
      <c r="AH94" s="1902"/>
      <c r="AI94" s="1902"/>
      <c r="AJ94" s="1902"/>
      <c r="AK94" s="1902"/>
      <c r="AL94" s="1902"/>
      <c r="AM94" s="1902"/>
      <c r="AN94" s="1902"/>
      <c r="AO94" s="1903"/>
      <c r="AP94" s="130"/>
      <c r="AQ94" s="130">
        <f t="shared" si="4"/>
        <v>13</v>
      </c>
      <c r="AR94" s="1884" t="str">
        <f t="shared" si="2"/>
        <v/>
      </c>
      <c r="AS94" s="1884"/>
      <c r="AT94" s="1906" t="s">
        <v>2253</v>
      </c>
      <c r="AU94" s="1907"/>
      <c r="AV94" s="1869" t="str">
        <f t="shared" si="5"/>
        <v/>
      </c>
      <c r="AW94" s="1870"/>
      <c r="AX94" s="1870"/>
      <c r="AY94" s="1870"/>
      <c r="AZ94" s="1888"/>
      <c r="BA94" s="1908" t="str">
        <f>IF(AQ85=1," 舞台照明設備工事","")</f>
        <v xml:space="preserve"> 舞台照明設備工事</v>
      </c>
      <c r="BB94" s="1909"/>
      <c r="BC94" s="1909"/>
      <c r="BD94" s="1909"/>
      <c r="BE94" s="1909"/>
      <c r="BF94" s="1909"/>
      <c r="BG94" s="1909"/>
      <c r="BH94" s="1909"/>
      <c r="BI94" s="1909"/>
      <c r="BJ94" s="1909"/>
      <c r="BK94" s="1909"/>
      <c r="BL94" s="1909"/>
      <c r="BM94" s="1909"/>
      <c r="BN94" s="1909"/>
      <c r="BO94" s="1909"/>
      <c r="BP94" s="1909"/>
      <c r="BQ94" s="1909"/>
      <c r="BR94" s="1910"/>
      <c r="BS94" s="1815"/>
      <c r="BT94" s="1815"/>
      <c r="BU94" s="1815"/>
      <c r="BV94" s="1815"/>
      <c r="BW94" s="1815"/>
      <c r="BX94" s="1815"/>
      <c r="BY94" s="1815"/>
      <c r="BZ94" s="1815"/>
      <c r="CA94" s="1816"/>
      <c r="CB94" s="146"/>
      <c r="CC94" s="704"/>
      <c r="CD94" s="704"/>
      <c r="CE94" s="55" t="s">
        <v>143</v>
      </c>
      <c r="CF94" s="704"/>
      <c r="CG94" s="704"/>
      <c r="CH94" s="704"/>
      <c r="CI94" s="704"/>
      <c r="CJ94" s="704"/>
      <c r="CK94" s="781"/>
      <c r="CL94" s="704"/>
      <c r="CM94" s="704"/>
      <c r="CN94" s="704"/>
      <c r="CO94" s="704"/>
      <c r="CP94" s="704"/>
      <c r="CQ94" s="704"/>
      <c r="CR94" s="704"/>
      <c r="CS94" s="704"/>
      <c r="CT94" s="704"/>
      <c r="CU94" s="704"/>
      <c r="CV94" s="704"/>
      <c r="CW94" s="704"/>
      <c r="CX94" s="704"/>
      <c r="CY94" s="704"/>
      <c r="CZ94" s="704"/>
      <c r="DA94" s="704"/>
      <c r="DB94" s="704"/>
      <c r="DC94" s="9"/>
      <c r="DD94" s="137"/>
      <c r="DE94" s="9"/>
      <c r="DF94" s="9"/>
      <c r="DG94" s="9"/>
      <c r="DH94" s="9"/>
      <c r="DI94" s="9"/>
      <c r="DJ94" s="9"/>
      <c r="DK94" s="9"/>
      <c r="DL94" s="9"/>
      <c r="DM94" s="9"/>
      <c r="DN94" s="9"/>
      <c r="DO94" s="9"/>
      <c r="DP94" s="9"/>
      <c r="DQ94" s="9"/>
      <c r="DR94" s="99"/>
      <c r="DS94" s="99"/>
      <c r="DT94" s="99"/>
      <c r="DU94" s="99"/>
      <c r="DV94" s="99"/>
      <c r="DW94" s="99"/>
      <c r="DX94" s="99"/>
      <c r="DY94" s="99"/>
      <c r="DZ94" s="99"/>
      <c r="EA94" s="99"/>
      <c r="EB94" s="99"/>
      <c r="EC94" s="99"/>
      <c r="ED94" s="99"/>
      <c r="EE94" s="99"/>
      <c r="EF94" s="99"/>
      <c r="EG94" s="9"/>
      <c r="EH94" s="9"/>
      <c r="EI94" s="9"/>
      <c r="EJ94" s="9"/>
      <c r="EK94" s="9"/>
      <c r="EL94" s="99"/>
      <c r="EM94" s="99"/>
      <c r="EN94" s="99"/>
      <c r="EO94" s="99"/>
      <c r="EP94" s="99"/>
      <c r="EQ94" s="99"/>
      <c r="ER94" s="99"/>
      <c r="ES94" s="99"/>
      <c r="ET94" s="99"/>
      <c r="EU94" s="99"/>
      <c r="EV94" s="99"/>
      <c r="EW94" s="99"/>
      <c r="EX94" s="99"/>
      <c r="EY94" s="99"/>
      <c r="EZ94" s="99"/>
      <c r="FA94" s="99"/>
      <c r="FB94" s="99"/>
      <c r="FC94" s="99"/>
      <c r="FD94" s="99"/>
      <c r="FE94" s="99"/>
      <c r="FF94" s="99"/>
      <c r="FG94" s="99"/>
      <c r="FH94" s="13"/>
      <c r="FI94" s="13"/>
      <c r="FJ94" s="138" t="s">
        <v>318</v>
      </c>
      <c r="FK94" s="910"/>
      <c r="FL94" s="143" t="s">
        <v>319</v>
      </c>
      <c r="FM94" s="144">
        <v>1</v>
      </c>
      <c r="FN94" s="138" t="s">
        <v>300</v>
      </c>
      <c r="FO94" s="145">
        <v>27</v>
      </c>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row>
    <row r="95" spans="1:756" ht="11.25" customHeight="1" thickBot="1">
      <c r="A95" s="2094"/>
      <c r="B95" s="37">
        <f>IF(AND(C95="◎",L95&lt;&gt;""),B94+1,B94)</f>
        <v>5</v>
      </c>
      <c r="C95" s="1884" t="str">
        <f t="shared" si="3"/>
        <v/>
      </c>
      <c r="D95" s="1884"/>
      <c r="E95" s="1889" t="s">
        <v>2253</v>
      </c>
      <c r="F95" s="1889"/>
      <c r="G95" s="1869" t="str">
        <f>IF(AND(C95="◎",L95&lt;&gt;""),B95,"")</f>
        <v/>
      </c>
      <c r="H95" s="1870"/>
      <c r="I95" s="1870"/>
      <c r="J95" s="1870"/>
      <c r="K95" s="1870"/>
      <c r="L95" s="1916" t="str">
        <f>IF(AQ85=1," 制御配線工事","")</f>
        <v xml:space="preserve"> 制御配線工事</v>
      </c>
      <c r="M95" s="1917"/>
      <c r="N95" s="1917"/>
      <c r="O95" s="1917"/>
      <c r="P95" s="1917"/>
      <c r="Q95" s="1917"/>
      <c r="R95" s="1917"/>
      <c r="S95" s="1917"/>
      <c r="T95" s="1917"/>
      <c r="U95" s="1917"/>
      <c r="V95" s="1917"/>
      <c r="W95" s="1917"/>
      <c r="X95" s="1917"/>
      <c r="Y95" s="1917"/>
      <c r="Z95" s="1917"/>
      <c r="AA95" s="1917"/>
      <c r="AB95" s="1917"/>
      <c r="AC95" s="1917"/>
      <c r="AD95" s="1918"/>
      <c r="AE95" s="1901"/>
      <c r="AF95" s="1902"/>
      <c r="AG95" s="1902"/>
      <c r="AH95" s="1902"/>
      <c r="AI95" s="1902"/>
      <c r="AJ95" s="1902"/>
      <c r="AK95" s="1902"/>
      <c r="AL95" s="1902"/>
      <c r="AM95" s="1902"/>
      <c r="AN95" s="1902"/>
      <c r="AO95" s="1903"/>
      <c r="AP95" s="130"/>
      <c r="AQ95" s="130">
        <f t="shared" si="4"/>
        <v>13</v>
      </c>
      <c r="AR95" s="1884" t="str">
        <f t="shared" si="2"/>
        <v/>
      </c>
      <c r="AS95" s="1884"/>
      <c r="AT95" s="1906" t="s">
        <v>2253</v>
      </c>
      <c r="AU95" s="1907"/>
      <c r="AV95" s="1869" t="str">
        <f t="shared" si="5"/>
        <v/>
      </c>
      <c r="AW95" s="1870"/>
      <c r="AX95" s="1870"/>
      <c r="AY95" s="1870"/>
      <c r="AZ95" s="1888"/>
      <c r="BA95" s="1913"/>
      <c r="BB95" s="1914"/>
      <c r="BC95" s="1914"/>
      <c r="BD95" s="1914"/>
      <c r="BE95" s="1914"/>
      <c r="BF95" s="1914"/>
      <c r="BG95" s="1914"/>
      <c r="BH95" s="1914"/>
      <c r="BI95" s="1914"/>
      <c r="BJ95" s="1914"/>
      <c r="BK95" s="1914"/>
      <c r="BL95" s="1914"/>
      <c r="BM95" s="1914"/>
      <c r="BN95" s="1914"/>
      <c r="BO95" s="1914"/>
      <c r="BP95" s="1914"/>
      <c r="BQ95" s="1914"/>
      <c r="BR95" s="1915"/>
      <c r="BS95" s="1815"/>
      <c r="BT95" s="1815"/>
      <c r="BU95" s="1815"/>
      <c r="BV95" s="1815"/>
      <c r="BW95" s="1815"/>
      <c r="BX95" s="1815"/>
      <c r="BY95" s="1815"/>
      <c r="BZ95" s="1815"/>
      <c r="CA95" s="1816"/>
      <c r="CB95" s="146"/>
      <c r="CC95" s="704"/>
      <c r="CD95" s="704"/>
      <c r="CE95" s="55" t="s">
        <v>146</v>
      </c>
      <c r="CF95" s="704"/>
      <c r="CG95" s="704"/>
      <c r="CH95" s="704"/>
      <c r="CI95" s="704"/>
      <c r="CJ95" s="704"/>
      <c r="CK95" s="780"/>
      <c r="CL95" s="704"/>
      <c r="CM95" s="704"/>
      <c r="CN95" s="704"/>
      <c r="CO95" s="704"/>
      <c r="CP95" s="704"/>
      <c r="CQ95" s="704"/>
      <c r="CR95" s="704"/>
      <c r="CS95" s="704"/>
      <c r="CT95" s="704"/>
      <c r="CU95" s="562" t="s">
        <v>2022</v>
      </c>
      <c r="CV95" s="704"/>
      <c r="CW95" s="704"/>
      <c r="CX95" s="704"/>
      <c r="CY95" s="704"/>
      <c r="CZ95" s="704"/>
      <c r="DA95" s="704"/>
      <c r="DB95" s="704"/>
      <c r="DC95" s="9"/>
      <c r="DD95" s="137"/>
      <c r="DE95" s="9"/>
      <c r="DF95" s="9"/>
      <c r="DG95" s="9"/>
      <c r="DH95" s="9"/>
      <c r="DI95" s="9"/>
      <c r="DJ95" s="9"/>
      <c r="DK95" s="9"/>
      <c r="DL95" s="9"/>
      <c r="DM95" s="9"/>
      <c r="DN95" s="9"/>
      <c r="DO95" s="9"/>
      <c r="DP95" s="9"/>
      <c r="DQ95" s="9"/>
      <c r="DR95" s="99"/>
      <c r="DS95" s="99"/>
      <c r="DT95" s="99"/>
      <c r="DU95" s="99"/>
      <c r="DV95" s="99"/>
      <c r="DW95" s="99"/>
      <c r="DX95" s="99"/>
      <c r="DY95" s="99"/>
      <c r="DZ95" s="99"/>
      <c r="EA95" s="99"/>
      <c r="EB95" s="99"/>
      <c r="EC95" s="99"/>
      <c r="ED95" s="99"/>
      <c r="EE95" s="99"/>
      <c r="EF95" s="99"/>
      <c r="EG95" s="9"/>
      <c r="EH95" s="9"/>
      <c r="EI95" s="9"/>
      <c r="EJ95" s="9"/>
      <c r="EK95" s="9"/>
      <c r="EL95" s="99"/>
      <c r="EM95" s="99"/>
      <c r="EN95" s="99"/>
      <c r="EO95" s="99"/>
      <c r="EP95" s="99"/>
      <c r="EQ95" s="99"/>
      <c r="ER95" s="99"/>
      <c r="ES95" s="99"/>
      <c r="ET95" s="99"/>
      <c r="EU95" s="99"/>
      <c r="EV95" s="99"/>
      <c r="EW95" s="99"/>
      <c r="EX95" s="99"/>
      <c r="EY95" s="99"/>
      <c r="EZ95" s="99"/>
      <c r="FA95" s="99"/>
      <c r="FB95" s="99"/>
      <c r="FC95" s="99"/>
      <c r="FD95" s="99"/>
      <c r="FE95" s="99"/>
      <c r="FF95" s="99"/>
      <c r="FG95" s="99"/>
      <c r="FH95" s="13"/>
      <c r="FI95" s="13"/>
      <c r="FJ95" s="138" t="s">
        <v>320</v>
      </c>
      <c r="FK95" s="910"/>
      <c r="FL95" s="143" t="s">
        <v>321</v>
      </c>
      <c r="FM95" s="144">
        <v>1</v>
      </c>
      <c r="FN95" s="138" t="s">
        <v>300</v>
      </c>
      <c r="FO95" s="145">
        <v>24</v>
      </c>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row>
    <row r="96" spans="1:756" ht="11.25" customHeight="1" thickBot="1">
      <c r="A96" s="2094"/>
      <c r="B96" s="37">
        <f>IF(AND(C96="◎",Q96&lt;&gt;""),B95+1,B95)</f>
        <v>5</v>
      </c>
      <c r="C96" s="1884" t="str">
        <f t="shared" si="3"/>
        <v/>
      </c>
      <c r="D96" s="1884"/>
      <c r="E96" s="1889" t="s">
        <v>2253</v>
      </c>
      <c r="F96" s="1889"/>
      <c r="G96" s="1869" t="str">
        <f>IF(AND(C96="◎",Q96&lt;&gt;""),B96,"")</f>
        <v/>
      </c>
      <c r="H96" s="1870"/>
      <c r="I96" s="1870"/>
      <c r="J96" s="1870"/>
      <c r="K96" s="1870"/>
      <c r="L96" s="1912"/>
      <c r="M96" s="1912"/>
      <c r="N96" s="1912"/>
      <c r="O96" s="1912"/>
      <c r="P96" s="1912"/>
      <c r="Q96" s="1912"/>
      <c r="R96" s="1912"/>
      <c r="S96" s="1912"/>
      <c r="T96" s="1912"/>
      <c r="U96" s="1912"/>
      <c r="V96" s="1912"/>
      <c r="W96" s="1912"/>
      <c r="X96" s="1912"/>
      <c r="Y96" s="1912"/>
      <c r="Z96" s="1912"/>
      <c r="AA96" s="1912"/>
      <c r="AB96" s="1912"/>
      <c r="AC96" s="1912"/>
      <c r="AD96" s="1912"/>
      <c r="AE96" s="1901"/>
      <c r="AF96" s="1902"/>
      <c r="AG96" s="1902"/>
      <c r="AH96" s="1902"/>
      <c r="AI96" s="1902"/>
      <c r="AJ96" s="1902"/>
      <c r="AK96" s="1902"/>
      <c r="AL96" s="1902"/>
      <c r="AM96" s="1902"/>
      <c r="AN96" s="1902"/>
      <c r="AO96" s="1903"/>
      <c r="AP96" s="130"/>
      <c r="AQ96" s="130">
        <f t="shared" si="4"/>
        <v>13</v>
      </c>
      <c r="AR96" s="1884" t="str">
        <f t="shared" si="2"/>
        <v/>
      </c>
      <c r="AS96" s="1884"/>
      <c r="AT96" s="1906" t="s">
        <v>2253</v>
      </c>
      <c r="AU96" s="1907"/>
      <c r="AV96" s="1869" t="str">
        <f t="shared" si="5"/>
        <v/>
      </c>
      <c r="AW96" s="1870"/>
      <c r="AX96" s="1870"/>
      <c r="AY96" s="1870"/>
      <c r="AZ96" s="1888"/>
      <c r="BA96" s="1895" t="str">
        <f>IF(AQ85=1," ＩＴＶ監視設備工事","")</f>
        <v xml:space="preserve"> ＩＴＶ監視設備工事</v>
      </c>
      <c r="BB96" s="1896"/>
      <c r="BC96" s="1896"/>
      <c r="BD96" s="1896"/>
      <c r="BE96" s="1896"/>
      <c r="BF96" s="1896"/>
      <c r="BG96" s="1896"/>
      <c r="BH96" s="1896"/>
      <c r="BI96" s="1896"/>
      <c r="BJ96" s="1896"/>
      <c r="BK96" s="1896"/>
      <c r="BL96" s="1896"/>
      <c r="BM96" s="1896"/>
      <c r="BN96" s="1896"/>
      <c r="BO96" s="1896"/>
      <c r="BP96" s="1896"/>
      <c r="BQ96" s="1896"/>
      <c r="BR96" s="1897"/>
      <c r="BS96" s="1815"/>
      <c r="BT96" s="1815"/>
      <c r="BU96" s="1815"/>
      <c r="BV96" s="1815"/>
      <c r="BW96" s="1815"/>
      <c r="BX96" s="1815"/>
      <c r="BY96" s="1815"/>
      <c r="BZ96" s="1815"/>
      <c r="CA96" s="1816"/>
      <c r="CB96" s="146"/>
      <c r="CC96" s="704"/>
      <c r="CD96" s="704"/>
      <c r="CE96" s="55" t="s">
        <v>151</v>
      </c>
      <c r="CF96" s="704"/>
      <c r="CG96" s="704"/>
      <c r="CH96" s="704"/>
      <c r="CI96" s="704"/>
      <c r="CJ96" s="704"/>
      <c r="CK96" s="781"/>
      <c r="CL96" s="704"/>
      <c r="CM96" s="704"/>
      <c r="CN96" s="704"/>
      <c r="CO96" s="704"/>
      <c r="CP96" s="704"/>
      <c r="CQ96" s="704"/>
      <c r="CR96" s="704"/>
      <c r="CS96" s="704"/>
      <c r="CT96" s="704"/>
      <c r="CU96" s="635" t="s">
        <v>2023</v>
      </c>
      <c r="CV96" s="704"/>
      <c r="CW96" s="704"/>
      <c r="CX96" s="704"/>
      <c r="CY96" s="704"/>
      <c r="CZ96" s="704"/>
      <c r="DA96" s="704"/>
      <c r="DB96" s="704"/>
      <c r="DC96" s="9"/>
      <c r="DD96" s="137"/>
      <c r="DE96" s="9"/>
      <c r="DF96" s="9"/>
      <c r="DG96" s="9"/>
      <c r="DH96" s="9"/>
      <c r="DI96" s="9"/>
      <c r="DJ96" s="9"/>
      <c r="DK96" s="9"/>
      <c r="DL96" s="9"/>
      <c r="DM96" s="9"/>
      <c r="DN96" s="9"/>
      <c r="DO96" s="9"/>
      <c r="DP96" s="9"/>
      <c r="DQ96" s="9"/>
      <c r="DR96" s="99"/>
      <c r="DS96" s="99"/>
      <c r="DT96" s="99"/>
      <c r="DU96" s="99"/>
      <c r="DV96" s="99"/>
      <c r="DW96" s="99"/>
      <c r="DX96" s="99"/>
      <c r="DY96" s="99"/>
      <c r="DZ96" s="99"/>
      <c r="EA96" s="99"/>
      <c r="EB96" s="99"/>
      <c r="EC96" s="99"/>
      <c r="ED96" s="99"/>
      <c r="EE96" s="99"/>
      <c r="EF96" s="99"/>
      <c r="EG96" s="9"/>
      <c r="EH96" s="9"/>
      <c r="EI96" s="9"/>
      <c r="EJ96" s="9"/>
      <c r="EK96" s="9"/>
      <c r="EL96" s="99"/>
      <c r="EM96" s="99"/>
      <c r="EN96" s="99"/>
      <c r="EO96" s="99"/>
      <c r="EP96" s="99"/>
      <c r="EQ96" s="99"/>
      <c r="ER96" s="99"/>
      <c r="ES96" s="99"/>
      <c r="ET96" s="99"/>
      <c r="EU96" s="99"/>
      <c r="EV96" s="99"/>
      <c r="EW96" s="99"/>
      <c r="EX96" s="99"/>
      <c r="EY96" s="99"/>
      <c r="EZ96" s="99"/>
      <c r="FA96" s="99"/>
      <c r="FB96" s="99"/>
      <c r="FC96" s="99"/>
      <c r="FD96" s="99"/>
      <c r="FE96" s="99"/>
      <c r="FF96" s="99"/>
      <c r="FG96" s="99"/>
      <c r="FH96" s="13"/>
      <c r="FI96" s="13"/>
      <c r="FJ96" s="148"/>
      <c r="FK96" s="13"/>
      <c r="FL96" s="143" t="s">
        <v>322</v>
      </c>
      <c r="FM96" s="144">
        <v>1</v>
      </c>
      <c r="FN96" s="138" t="s">
        <v>300</v>
      </c>
      <c r="FO96" s="145">
        <v>4</v>
      </c>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row>
    <row r="97" spans="1:756" ht="11.25" customHeight="1" thickBot="1">
      <c r="A97" s="2094"/>
      <c r="B97" s="37">
        <f>IF(AND(C97="◎",L97&lt;&gt;""),B96+1,B96)</f>
        <v>6</v>
      </c>
      <c r="C97" s="1884" t="str">
        <f t="shared" si="3"/>
        <v>◎</v>
      </c>
      <c r="D97" s="1884"/>
      <c r="E97" s="1889"/>
      <c r="F97" s="1889"/>
      <c r="G97" s="1869">
        <f>IF(AND(C97="◎",L97&lt;&gt;""),B97,"")</f>
        <v>6</v>
      </c>
      <c r="H97" s="1870"/>
      <c r="I97" s="1870"/>
      <c r="J97" s="1870"/>
      <c r="K97" s="1870"/>
      <c r="L97" s="1847" t="str">
        <f>IF(AQ85=1," 照明コンセント設備工事","")</f>
        <v xml:space="preserve"> 照明コンセント設備工事</v>
      </c>
      <c r="M97" s="1848"/>
      <c r="N97" s="1848"/>
      <c r="O97" s="1848"/>
      <c r="P97" s="1848"/>
      <c r="Q97" s="1848"/>
      <c r="R97" s="1848"/>
      <c r="S97" s="1848"/>
      <c r="T97" s="1848"/>
      <c r="U97" s="1848"/>
      <c r="V97" s="1848"/>
      <c r="W97" s="1848"/>
      <c r="X97" s="1848"/>
      <c r="Y97" s="1848"/>
      <c r="Z97" s="1848"/>
      <c r="AA97" s="1848"/>
      <c r="AB97" s="1848"/>
      <c r="AC97" s="1848"/>
      <c r="AD97" s="1849"/>
      <c r="AE97" s="1902"/>
      <c r="AF97" s="1902"/>
      <c r="AG97" s="1902"/>
      <c r="AH97" s="1902"/>
      <c r="AI97" s="1902"/>
      <c r="AJ97" s="1902"/>
      <c r="AK97" s="1902"/>
      <c r="AL97" s="1902"/>
      <c r="AM97" s="1902"/>
      <c r="AN97" s="1902"/>
      <c r="AO97" s="1903"/>
      <c r="AP97" s="130"/>
      <c r="AQ97" s="130">
        <f t="shared" si="4"/>
        <v>13</v>
      </c>
      <c r="AR97" s="1884" t="str">
        <f t="shared" si="2"/>
        <v/>
      </c>
      <c r="AS97" s="1884"/>
      <c r="AT97" s="1906" t="s">
        <v>2253</v>
      </c>
      <c r="AU97" s="1907"/>
      <c r="AV97" s="1869" t="str">
        <f t="shared" si="5"/>
        <v/>
      </c>
      <c r="AW97" s="1870"/>
      <c r="AX97" s="1870"/>
      <c r="AY97" s="1870"/>
      <c r="AZ97" s="1888"/>
      <c r="BA97" s="1908" t="str">
        <f>IF(AQ85=1," 出退表示設備工事","")</f>
        <v xml:space="preserve"> 出退表示設備工事</v>
      </c>
      <c r="BB97" s="1909"/>
      <c r="BC97" s="1909"/>
      <c r="BD97" s="1909"/>
      <c r="BE97" s="1909"/>
      <c r="BF97" s="1909"/>
      <c r="BG97" s="1909"/>
      <c r="BH97" s="1909"/>
      <c r="BI97" s="1909"/>
      <c r="BJ97" s="1909"/>
      <c r="BK97" s="1909"/>
      <c r="BL97" s="1909"/>
      <c r="BM97" s="1909"/>
      <c r="BN97" s="1909"/>
      <c r="BO97" s="1909"/>
      <c r="BP97" s="1909"/>
      <c r="BQ97" s="1909"/>
      <c r="BR97" s="1910"/>
      <c r="BS97" s="1815"/>
      <c r="BT97" s="1815"/>
      <c r="BU97" s="1815"/>
      <c r="BV97" s="1815"/>
      <c r="BW97" s="1815"/>
      <c r="BX97" s="1815"/>
      <c r="BY97" s="1815"/>
      <c r="BZ97" s="1815"/>
      <c r="CA97" s="1816"/>
      <c r="CB97" s="146"/>
      <c r="CC97" s="704"/>
      <c r="CD97" s="704"/>
      <c r="CE97" s="55" t="s">
        <v>154</v>
      </c>
      <c r="CF97" s="704"/>
      <c r="CG97" s="704"/>
      <c r="CH97" s="704"/>
      <c r="CI97" s="704"/>
      <c r="CJ97" s="704"/>
      <c r="CK97" s="781"/>
      <c r="CL97" s="1"/>
      <c r="CM97" s="704"/>
      <c r="CN97" s="704"/>
      <c r="CO97" s="704"/>
      <c r="CP97" s="704"/>
      <c r="CQ97" s="704"/>
      <c r="CR97" s="704"/>
      <c r="CS97" s="704"/>
      <c r="CT97" s="704"/>
      <c r="CU97" s="635" t="s">
        <v>2024</v>
      </c>
      <c r="CV97" s="704"/>
      <c r="CW97" s="704"/>
      <c r="CX97" s="704"/>
      <c r="CY97" s="704"/>
      <c r="CZ97" s="704"/>
      <c r="DA97" s="704"/>
      <c r="DB97" s="704"/>
      <c r="DC97" s="9"/>
      <c r="DD97" s="137"/>
      <c r="DE97" s="9"/>
      <c r="DF97" s="9"/>
      <c r="DG97" s="9"/>
      <c r="DH97" s="9"/>
      <c r="DI97" s="9"/>
      <c r="DJ97" s="9"/>
      <c r="DK97" s="9"/>
      <c r="DL97" s="9"/>
      <c r="DM97" s="9"/>
      <c r="DN97" s="9"/>
      <c r="DO97" s="9"/>
      <c r="DP97" s="9"/>
      <c r="DQ97" s="9"/>
      <c r="DR97" s="99"/>
      <c r="DS97" s="99"/>
      <c r="DT97" s="99"/>
      <c r="DU97" s="99"/>
      <c r="DV97" s="99"/>
      <c r="DW97" s="99"/>
      <c r="DX97" s="99"/>
      <c r="DY97" s="99"/>
      <c r="DZ97" s="99"/>
      <c r="EA97" s="99"/>
      <c r="EB97" s="99"/>
      <c r="EC97" s="99"/>
      <c r="ED97" s="99"/>
      <c r="EE97" s="99"/>
      <c r="EF97" s="99"/>
      <c r="EG97" s="9"/>
      <c r="EH97" s="9"/>
      <c r="EI97" s="9"/>
      <c r="EJ97" s="9"/>
      <c r="EK97" s="9"/>
      <c r="EL97" s="99"/>
      <c r="EM97" s="99"/>
      <c r="EN97" s="99"/>
      <c r="EO97" s="99"/>
      <c r="EP97" s="99"/>
      <c r="EQ97" s="99"/>
      <c r="ER97" s="99"/>
      <c r="ES97" s="99"/>
      <c r="ET97" s="99"/>
      <c r="EU97" s="99"/>
      <c r="EV97" s="99"/>
      <c r="EW97" s="99"/>
      <c r="EX97" s="99"/>
      <c r="EY97" s="99"/>
      <c r="EZ97" s="99"/>
      <c r="FA97" s="99"/>
      <c r="FB97" s="99"/>
      <c r="FC97" s="99"/>
      <c r="FD97" s="99"/>
      <c r="FE97" s="99"/>
      <c r="FF97" s="99"/>
      <c r="FG97" s="99"/>
      <c r="FH97" s="13"/>
      <c r="FI97" s="13"/>
      <c r="FJ97" s="13"/>
      <c r="FK97" s="13"/>
      <c r="FL97" s="143" t="s">
        <v>323</v>
      </c>
      <c r="FM97" s="144">
        <v>1</v>
      </c>
      <c r="FN97" s="138" t="s">
        <v>300</v>
      </c>
      <c r="FO97" s="145">
        <v>3</v>
      </c>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row>
    <row r="98" spans="1:756" ht="11.25" customHeight="1" thickBot="1">
      <c r="A98" s="2094"/>
      <c r="B98" s="37">
        <f>IF(AND(C98="◎",L98&lt;&gt;""),B97+1,B97)</f>
        <v>7</v>
      </c>
      <c r="C98" s="1884" t="str">
        <f t="shared" si="3"/>
        <v>◎</v>
      </c>
      <c r="D98" s="1884"/>
      <c r="E98" s="1889"/>
      <c r="F98" s="1889"/>
      <c r="G98" s="1869">
        <f>IF(AND(C98="◎",L98&lt;&gt;""),B98,"")</f>
        <v>7</v>
      </c>
      <c r="H98" s="1870"/>
      <c r="I98" s="1870"/>
      <c r="J98" s="1870"/>
      <c r="K98" s="1870"/>
      <c r="L98" s="1847" t="str">
        <f>IF(AQ85=1," 照明器具取付工事","")</f>
        <v xml:space="preserve"> 照明器具取付工事</v>
      </c>
      <c r="M98" s="1848"/>
      <c r="N98" s="1848"/>
      <c r="O98" s="1848"/>
      <c r="P98" s="1848"/>
      <c r="Q98" s="1848"/>
      <c r="R98" s="1848"/>
      <c r="S98" s="1848"/>
      <c r="T98" s="1848"/>
      <c r="U98" s="1848"/>
      <c r="V98" s="1848"/>
      <c r="W98" s="1848"/>
      <c r="X98" s="1848"/>
      <c r="Y98" s="1848"/>
      <c r="Z98" s="1848"/>
      <c r="AA98" s="1848"/>
      <c r="AB98" s="1848"/>
      <c r="AC98" s="1848"/>
      <c r="AD98" s="1849"/>
      <c r="AE98" s="1902"/>
      <c r="AF98" s="1902"/>
      <c r="AG98" s="1902"/>
      <c r="AH98" s="1902"/>
      <c r="AI98" s="1902"/>
      <c r="AJ98" s="1902"/>
      <c r="AK98" s="1902"/>
      <c r="AL98" s="1902"/>
      <c r="AM98" s="1902"/>
      <c r="AN98" s="1902"/>
      <c r="AO98" s="1903"/>
      <c r="AP98" s="130"/>
      <c r="AQ98" s="130">
        <f t="shared" si="4"/>
        <v>13</v>
      </c>
      <c r="AR98" s="1884" t="str">
        <f t="shared" si="2"/>
        <v/>
      </c>
      <c r="AS98" s="1884"/>
      <c r="AT98" s="1906" t="s">
        <v>2253</v>
      </c>
      <c r="AU98" s="1907"/>
      <c r="AV98" s="1869" t="str">
        <f t="shared" si="5"/>
        <v/>
      </c>
      <c r="AW98" s="1870"/>
      <c r="AX98" s="1870"/>
      <c r="AY98" s="1870"/>
      <c r="AZ98" s="1888"/>
      <c r="BA98" s="1895" t="str">
        <f>IF(AQ85=1," 構内ＬＡＮ設備工事","")</f>
        <v xml:space="preserve"> 構内ＬＡＮ設備工事</v>
      </c>
      <c r="BB98" s="1896"/>
      <c r="BC98" s="1896"/>
      <c r="BD98" s="1896"/>
      <c r="BE98" s="1896"/>
      <c r="BF98" s="1896"/>
      <c r="BG98" s="1896"/>
      <c r="BH98" s="1896"/>
      <c r="BI98" s="1896"/>
      <c r="BJ98" s="1896"/>
      <c r="BK98" s="1896"/>
      <c r="BL98" s="1896"/>
      <c r="BM98" s="1896"/>
      <c r="BN98" s="1896"/>
      <c r="BO98" s="1896"/>
      <c r="BP98" s="1896"/>
      <c r="BQ98" s="1896"/>
      <c r="BR98" s="1897"/>
      <c r="BS98" s="1815"/>
      <c r="BT98" s="1815"/>
      <c r="BU98" s="1815"/>
      <c r="BV98" s="1815"/>
      <c r="BW98" s="1815"/>
      <c r="BX98" s="1815"/>
      <c r="BY98" s="1815"/>
      <c r="BZ98" s="1815"/>
      <c r="CA98" s="1816"/>
      <c r="CB98" s="146"/>
      <c r="CC98" s="704"/>
      <c r="CD98" s="704"/>
      <c r="CE98" s="55" t="s">
        <v>159</v>
      </c>
      <c r="CF98" s="704"/>
      <c r="CG98" s="704"/>
      <c r="CH98" s="704"/>
      <c r="CI98" s="704"/>
      <c r="CJ98" s="704"/>
      <c r="CK98" s="780"/>
      <c r="CL98" s="1"/>
      <c r="CM98" s="704"/>
      <c r="CN98" s="704"/>
      <c r="CO98" s="704"/>
      <c r="CP98" s="704"/>
      <c r="CQ98" s="704"/>
      <c r="CR98" s="704"/>
      <c r="CS98" s="704"/>
      <c r="CT98" s="704"/>
      <c r="CU98" s="636" t="s">
        <v>2025</v>
      </c>
      <c r="CV98" s="704"/>
      <c r="CW98" s="704"/>
      <c r="CX98" s="704"/>
      <c r="CY98" s="704"/>
      <c r="CZ98" s="704"/>
      <c r="DA98" s="704"/>
      <c r="DB98" s="704"/>
      <c r="DC98" s="9"/>
      <c r="DD98" s="137"/>
      <c r="DE98" s="9"/>
      <c r="DF98" s="9"/>
      <c r="DG98" s="9"/>
      <c r="DH98" s="9"/>
      <c r="DI98" s="9"/>
      <c r="DJ98" s="9"/>
      <c r="DK98" s="9"/>
      <c r="DL98" s="9"/>
      <c r="DM98" s="9"/>
      <c r="DN98" s="9"/>
      <c r="DO98" s="9"/>
      <c r="DP98" s="9"/>
      <c r="DQ98" s="9"/>
      <c r="DR98" s="99"/>
      <c r="DS98" s="99"/>
      <c r="DT98" s="99"/>
      <c r="DU98" s="99"/>
      <c r="DV98" s="99"/>
      <c r="DW98" s="99"/>
      <c r="DX98" s="99"/>
      <c r="DY98" s="99"/>
      <c r="DZ98" s="99"/>
      <c r="EA98" s="99"/>
      <c r="EB98" s="99"/>
      <c r="EC98" s="99"/>
      <c r="ED98" s="99"/>
      <c r="EE98" s="99"/>
      <c r="EF98" s="99"/>
      <c r="EG98" s="9"/>
      <c r="EH98" s="9"/>
      <c r="EI98" s="9"/>
      <c r="EJ98" s="9"/>
      <c r="EK98" s="9"/>
      <c r="EL98" s="99"/>
      <c r="EM98" s="99"/>
      <c r="EN98" s="99"/>
      <c r="EO98" s="99"/>
      <c r="EP98" s="99"/>
      <c r="EQ98" s="99"/>
      <c r="ER98" s="99"/>
      <c r="ES98" s="99"/>
      <c r="ET98" s="99"/>
      <c r="EU98" s="99"/>
      <c r="EV98" s="99"/>
      <c r="EW98" s="99"/>
      <c r="EX98" s="99"/>
      <c r="EY98" s="99"/>
      <c r="EZ98" s="99"/>
      <c r="FA98" s="99"/>
      <c r="FB98" s="99"/>
      <c r="FC98" s="99"/>
      <c r="FD98" s="99"/>
      <c r="FE98" s="99"/>
      <c r="FF98" s="99"/>
      <c r="FG98" s="99"/>
      <c r="FH98" s="13"/>
      <c r="FI98" s="13"/>
      <c r="FJ98" s="13"/>
      <c r="FK98" s="13"/>
      <c r="FL98" s="149" t="s">
        <v>324</v>
      </c>
      <c r="FM98" s="150"/>
      <c r="FN98" s="151"/>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row>
    <row r="99" spans="1:756" ht="11.25" customHeight="1" thickBot="1">
      <c r="A99" s="2094"/>
      <c r="B99" s="37">
        <f>IF(AND(C99="◎",L99&lt;&gt;""),B98+1,B98)</f>
        <v>8</v>
      </c>
      <c r="C99" s="1884" t="str">
        <f t="shared" si="3"/>
        <v>◎</v>
      </c>
      <c r="D99" s="1884"/>
      <c r="E99" s="1889"/>
      <c r="F99" s="1889"/>
      <c r="G99" s="1869">
        <f>IF(AND(C99="◎",L99&lt;&gt;""),B99,"")</f>
        <v>8</v>
      </c>
      <c r="H99" s="1870"/>
      <c r="I99" s="1870"/>
      <c r="J99" s="1870"/>
      <c r="K99" s="1870"/>
      <c r="L99" s="1911" t="str">
        <f>IF(AQ85=1," 非常照明・誘導灯設備工事","")</f>
        <v xml:space="preserve"> 非常照明・誘導灯設備工事</v>
      </c>
      <c r="M99" s="1848"/>
      <c r="N99" s="1848"/>
      <c r="O99" s="1848"/>
      <c r="P99" s="1848"/>
      <c r="Q99" s="1848"/>
      <c r="R99" s="1848"/>
      <c r="S99" s="1848"/>
      <c r="T99" s="1848"/>
      <c r="U99" s="1848"/>
      <c r="V99" s="1848"/>
      <c r="W99" s="1848"/>
      <c r="X99" s="1848"/>
      <c r="Y99" s="1848"/>
      <c r="Z99" s="1848"/>
      <c r="AA99" s="1848"/>
      <c r="AB99" s="1848"/>
      <c r="AC99" s="1848"/>
      <c r="AD99" s="1849"/>
      <c r="AE99" s="1902"/>
      <c r="AF99" s="1902"/>
      <c r="AG99" s="1902"/>
      <c r="AH99" s="1902"/>
      <c r="AI99" s="1902"/>
      <c r="AJ99" s="1902"/>
      <c r="AK99" s="1902"/>
      <c r="AL99" s="1902"/>
      <c r="AM99" s="1902"/>
      <c r="AN99" s="1902"/>
      <c r="AO99" s="1903"/>
      <c r="AP99" s="130"/>
      <c r="AQ99" s="130">
        <f t="shared" si="4"/>
        <v>13</v>
      </c>
      <c r="AR99" s="1884" t="str">
        <f t="shared" si="2"/>
        <v/>
      </c>
      <c r="AS99" s="1884"/>
      <c r="AT99" s="1906" t="s">
        <v>2253</v>
      </c>
      <c r="AU99" s="1907"/>
      <c r="AV99" s="1869" t="str">
        <f t="shared" si="5"/>
        <v/>
      </c>
      <c r="AW99" s="1870"/>
      <c r="AX99" s="1870"/>
      <c r="AY99" s="1870"/>
      <c r="AZ99" s="1888"/>
      <c r="BA99" s="1908" t="str">
        <f>IF(AQ85=1," 駐車場管制設備工事","")</f>
        <v xml:space="preserve"> 駐車場管制設備工事</v>
      </c>
      <c r="BB99" s="1909"/>
      <c r="BC99" s="1909"/>
      <c r="BD99" s="1909"/>
      <c r="BE99" s="1909"/>
      <c r="BF99" s="1909"/>
      <c r="BG99" s="1909"/>
      <c r="BH99" s="1909"/>
      <c r="BI99" s="1909"/>
      <c r="BJ99" s="1909"/>
      <c r="BK99" s="1909"/>
      <c r="BL99" s="1909"/>
      <c r="BM99" s="1909"/>
      <c r="BN99" s="1909"/>
      <c r="BO99" s="1909"/>
      <c r="BP99" s="1909"/>
      <c r="BQ99" s="1909"/>
      <c r="BR99" s="1910"/>
      <c r="BS99" s="1815"/>
      <c r="BT99" s="1815"/>
      <c r="BU99" s="1815"/>
      <c r="BV99" s="1815"/>
      <c r="BW99" s="1815"/>
      <c r="BX99" s="1815"/>
      <c r="BY99" s="1815"/>
      <c r="BZ99" s="1815"/>
      <c r="CA99" s="1816"/>
      <c r="CB99" s="146"/>
      <c r="CC99" s="704"/>
      <c r="CD99" s="704"/>
      <c r="CE99" s="55" t="s">
        <v>161</v>
      </c>
      <c r="CF99" s="704"/>
      <c r="CG99" s="704"/>
      <c r="CH99" s="704"/>
      <c r="CI99" s="704"/>
      <c r="CJ99" s="704"/>
      <c r="CL99" s="1"/>
      <c r="CM99" s="704"/>
      <c r="CN99" s="704"/>
      <c r="CO99" s="704"/>
      <c r="CP99" s="704"/>
      <c r="CQ99" s="704"/>
      <c r="CR99" s="704"/>
      <c r="CS99" s="704"/>
      <c r="CT99" s="704"/>
      <c r="CU99" s="636" t="s">
        <v>2027</v>
      </c>
      <c r="CV99" s="704"/>
      <c r="CW99" s="704"/>
      <c r="CX99" s="704"/>
      <c r="CY99" s="704"/>
      <c r="CZ99" s="704"/>
      <c r="DA99" s="704"/>
      <c r="DB99" s="704"/>
      <c r="DC99" s="9"/>
      <c r="DD99" s="137"/>
      <c r="DE99" s="9"/>
      <c r="DF99" s="9"/>
      <c r="DG99" s="9"/>
      <c r="DH99" s="9"/>
      <c r="DI99" s="9"/>
      <c r="DJ99" s="9"/>
      <c r="DK99" s="9"/>
      <c r="DL99" s="9"/>
      <c r="DM99" s="9"/>
      <c r="DN99" s="9"/>
      <c r="DO99" s="9"/>
      <c r="DP99" s="9"/>
      <c r="DQ99" s="9"/>
      <c r="DR99" s="99"/>
      <c r="DS99" s="99"/>
      <c r="DT99" s="99"/>
      <c r="DU99" s="99"/>
      <c r="DV99" s="99"/>
      <c r="DW99" s="99"/>
      <c r="DX99" s="99"/>
      <c r="DY99" s="99"/>
      <c r="DZ99" s="99"/>
      <c r="EA99" s="99"/>
      <c r="EB99" s="99"/>
      <c r="EC99" s="99"/>
      <c r="ED99" s="99"/>
      <c r="EE99" s="99"/>
      <c r="EF99" s="99"/>
      <c r="EG99" s="9"/>
      <c r="EH99" s="9"/>
      <c r="EI99" s="9"/>
      <c r="EJ99" s="9"/>
      <c r="EK99" s="9"/>
      <c r="EL99" s="99"/>
      <c r="EM99" s="99"/>
      <c r="EN99" s="99"/>
      <c r="EO99" s="99"/>
      <c r="EP99" s="99"/>
      <c r="EQ99" s="99"/>
      <c r="ER99" s="99"/>
      <c r="ES99" s="99"/>
      <c r="ET99" s="99"/>
      <c r="EU99" s="99"/>
      <c r="EV99" s="99"/>
      <c r="EW99" s="99"/>
      <c r="EX99" s="99"/>
      <c r="EY99" s="99"/>
      <c r="EZ99" s="99"/>
      <c r="FA99" s="99"/>
      <c r="FB99" s="99"/>
      <c r="FC99" s="99"/>
      <c r="FD99" s="99"/>
      <c r="FE99" s="99"/>
      <c r="FF99" s="99"/>
      <c r="FG99" s="99"/>
      <c r="FH99" s="13"/>
      <c r="FI99" s="13"/>
      <c r="FJ99" s="13"/>
      <c r="FK99" s="13"/>
      <c r="FL99" s="143" t="s">
        <v>325</v>
      </c>
      <c r="FM99" s="144">
        <v>2</v>
      </c>
      <c r="FN99" s="138" t="s">
        <v>304</v>
      </c>
      <c r="FO99" s="145">
        <v>2</v>
      </c>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row>
    <row r="100" spans="1:756" ht="11.25" customHeight="1" thickBot="1">
      <c r="A100" s="2094"/>
      <c r="B100" s="37">
        <f>IF(AND(C100="◎",Q100&lt;&gt;""),B99+1,B99)</f>
        <v>8</v>
      </c>
      <c r="C100" s="1884" t="str">
        <f t="shared" si="3"/>
        <v/>
      </c>
      <c r="D100" s="1884"/>
      <c r="E100" s="1889" t="s">
        <v>2253</v>
      </c>
      <c r="F100" s="1889"/>
      <c r="G100" s="1869" t="str">
        <f>IF(AND(C100="◎",Q100&lt;&gt;""),B100,"")</f>
        <v/>
      </c>
      <c r="H100" s="1870"/>
      <c r="I100" s="1870"/>
      <c r="J100" s="1870"/>
      <c r="K100" s="1870"/>
      <c r="L100" s="1898"/>
      <c r="M100" s="1899"/>
      <c r="N100" s="1899"/>
      <c r="O100" s="1899"/>
      <c r="P100" s="1899"/>
      <c r="Q100" s="1899"/>
      <c r="R100" s="1899"/>
      <c r="S100" s="1899"/>
      <c r="T100" s="1899"/>
      <c r="U100" s="1899"/>
      <c r="V100" s="1899"/>
      <c r="W100" s="1899"/>
      <c r="X100" s="1899"/>
      <c r="Y100" s="1899"/>
      <c r="Z100" s="1899"/>
      <c r="AA100" s="1899"/>
      <c r="AB100" s="1899"/>
      <c r="AC100" s="1899"/>
      <c r="AD100" s="1900"/>
      <c r="AE100" s="1901"/>
      <c r="AF100" s="1902"/>
      <c r="AG100" s="1902"/>
      <c r="AH100" s="1902"/>
      <c r="AI100" s="1902"/>
      <c r="AJ100" s="1902"/>
      <c r="AK100" s="1902"/>
      <c r="AL100" s="1902"/>
      <c r="AM100" s="1902"/>
      <c r="AN100" s="1902"/>
      <c r="AO100" s="1903"/>
      <c r="AP100" s="130"/>
      <c r="AQ100" s="130">
        <f t="shared" si="4"/>
        <v>13</v>
      </c>
      <c r="AR100" s="1884" t="str">
        <f t="shared" si="2"/>
        <v/>
      </c>
      <c r="AS100" s="1884"/>
      <c r="AT100" s="1906" t="s">
        <v>2253</v>
      </c>
      <c r="AU100" s="1907"/>
      <c r="AV100" s="1869" t="str">
        <f t="shared" si="5"/>
        <v/>
      </c>
      <c r="AW100" s="1870"/>
      <c r="AX100" s="1870"/>
      <c r="AY100" s="1870"/>
      <c r="AZ100" s="1888"/>
      <c r="BA100" s="1895" t="str">
        <f>IF(AQ85=1," セキュリティ設備工事","")</f>
        <v xml:space="preserve"> セキュリティ設備工事</v>
      </c>
      <c r="BB100" s="1896"/>
      <c r="BC100" s="1896"/>
      <c r="BD100" s="1896"/>
      <c r="BE100" s="1896"/>
      <c r="BF100" s="1896"/>
      <c r="BG100" s="1896"/>
      <c r="BH100" s="1896"/>
      <c r="BI100" s="1896"/>
      <c r="BJ100" s="1896"/>
      <c r="BK100" s="1896"/>
      <c r="BL100" s="1896"/>
      <c r="BM100" s="1896"/>
      <c r="BN100" s="1896"/>
      <c r="BO100" s="1896"/>
      <c r="BP100" s="1896"/>
      <c r="BQ100" s="1896"/>
      <c r="BR100" s="1897"/>
      <c r="BS100" s="1815"/>
      <c r="BT100" s="1815"/>
      <c r="BU100" s="1815"/>
      <c r="BV100" s="1815"/>
      <c r="BW100" s="1815"/>
      <c r="BX100" s="1815"/>
      <c r="BY100" s="1815"/>
      <c r="BZ100" s="1815"/>
      <c r="CA100" s="1816"/>
      <c r="CB100" s="146"/>
      <c r="CC100" s="704"/>
      <c r="CD100" s="704"/>
      <c r="CE100" s="55" t="s">
        <v>163</v>
      </c>
      <c r="CF100" s="704"/>
      <c r="CG100" s="704"/>
      <c r="CH100" s="704"/>
      <c r="CI100" s="704"/>
      <c r="CJ100" s="704"/>
      <c r="CK100" s="55"/>
      <c r="CL100" s="1"/>
      <c r="CM100" s="704"/>
      <c r="CN100" s="704"/>
      <c r="CO100" s="704"/>
      <c r="CP100" s="704"/>
      <c r="CQ100" s="704"/>
      <c r="CR100" s="704"/>
      <c r="CS100" s="704"/>
      <c r="CT100" s="704"/>
      <c r="CU100" s="636" t="s">
        <v>2028</v>
      </c>
      <c r="CV100" s="704"/>
      <c r="CW100" s="704"/>
      <c r="CX100" s="704"/>
      <c r="CY100" s="704"/>
      <c r="CZ100" s="704"/>
      <c r="DA100" s="704"/>
      <c r="DB100" s="704"/>
      <c r="DC100" s="9"/>
      <c r="DD100" s="137"/>
      <c r="DE100" s="9"/>
      <c r="DF100" s="9"/>
      <c r="DG100" s="9"/>
      <c r="DH100" s="9"/>
      <c r="DI100" s="9"/>
      <c r="DJ100" s="9"/>
      <c r="DK100" s="9"/>
      <c r="DL100" s="9"/>
      <c r="DM100" s="9"/>
      <c r="DN100" s="9"/>
      <c r="DO100" s="9"/>
      <c r="DP100" s="9"/>
      <c r="DQ100" s="9"/>
      <c r="DR100" s="99"/>
      <c r="DS100" s="99"/>
      <c r="DT100" s="99"/>
      <c r="DU100" s="99"/>
      <c r="DV100" s="99"/>
      <c r="DW100" s="99"/>
      <c r="DX100" s="99"/>
      <c r="DY100" s="99"/>
      <c r="DZ100" s="99"/>
      <c r="EA100" s="99"/>
      <c r="EB100" s="99"/>
      <c r="EC100" s="99"/>
      <c r="ED100" s="99"/>
      <c r="EE100" s="99"/>
      <c r="EF100" s="99"/>
      <c r="EG100" s="9"/>
      <c r="EH100" s="9"/>
      <c r="EI100" s="9"/>
      <c r="EJ100" s="9"/>
      <c r="EK100" s="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13"/>
      <c r="FI100" s="13"/>
      <c r="FJ100" s="13"/>
      <c r="FK100" s="13"/>
      <c r="FL100" s="143" t="s">
        <v>326</v>
      </c>
      <c r="FM100" s="144">
        <v>2</v>
      </c>
      <c r="FN100" s="138" t="s">
        <v>304</v>
      </c>
      <c r="FO100" s="145">
        <v>29</v>
      </c>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row>
    <row r="101" spans="1:756" ht="11.25" customHeight="1" thickBot="1">
      <c r="A101" s="2094"/>
      <c r="B101" s="37">
        <f>IF(AND(C101="◎",L101&lt;&gt;""),B100+1,B100)</f>
        <v>9</v>
      </c>
      <c r="C101" s="1884" t="str">
        <f t="shared" si="3"/>
        <v>◎</v>
      </c>
      <c r="D101" s="1884"/>
      <c r="E101" s="1889"/>
      <c r="F101" s="1889"/>
      <c r="G101" s="1869">
        <f>IF(AND(C101="◎",L101&lt;&gt;""),B101,"")</f>
        <v>9</v>
      </c>
      <c r="H101" s="1870"/>
      <c r="I101" s="1870"/>
      <c r="J101" s="1870"/>
      <c r="K101" s="1870"/>
      <c r="L101" s="1847" t="str">
        <f>IF(AQ85=1," 自火報防排煙設備工事","")</f>
        <v xml:space="preserve"> 自火報防排煙設備工事</v>
      </c>
      <c r="M101" s="1848"/>
      <c r="N101" s="1848"/>
      <c r="O101" s="1848"/>
      <c r="P101" s="1848"/>
      <c r="Q101" s="1848"/>
      <c r="R101" s="1848"/>
      <c r="S101" s="1848"/>
      <c r="T101" s="1848"/>
      <c r="U101" s="1848"/>
      <c r="V101" s="1848"/>
      <c r="W101" s="1848"/>
      <c r="X101" s="1848"/>
      <c r="Y101" s="1848"/>
      <c r="Z101" s="1848"/>
      <c r="AA101" s="1848"/>
      <c r="AB101" s="1848"/>
      <c r="AC101" s="1848"/>
      <c r="AD101" s="1849"/>
      <c r="AE101" s="1902"/>
      <c r="AF101" s="1902"/>
      <c r="AG101" s="1902"/>
      <c r="AH101" s="1902"/>
      <c r="AI101" s="1902"/>
      <c r="AJ101" s="1902"/>
      <c r="AK101" s="1902"/>
      <c r="AL101" s="1902"/>
      <c r="AM101" s="1902"/>
      <c r="AN101" s="1902"/>
      <c r="AO101" s="1903"/>
      <c r="AP101" s="130"/>
      <c r="AQ101" s="130">
        <f t="shared" si="4"/>
        <v>13</v>
      </c>
      <c r="AR101" s="1884" t="str">
        <f t="shared" si="2"/>
        <v/>
      </c>
      <c r="AS101" s="1884"/>
      <c r="AT101" s="1906" t="s">
        <v>2253</v>
      </c>
      <c r="AU101" s="1907"/>
      <c r="AV101" s="1869" t="str">
        <f t="shared" si="5"/>
        <v/>
      </c>
      <c r="AW101" s="1870"/>
      <c r="AX101" s="1870"/>
      <c r="AY101" s="1870"/>
      <c r="AZ101" s="1888"/>
      <c r="BA101" s="1908" t="str">
        <f>IF(AQ85=1," 電波障害補償工事","")</f>
        <v xml:space="preserve"> 電波障害補償工事</v>
      </c>
      <c r="BB101" s="1909"/>
      <c r="BC101" s="1909"/>
      <c r="BD101" s="1909"/>
      <c r="BE101" s="1909"/>
      <c r="BF101" s="1909"/>
      <c r="BG101" s="1909"/>
      <c r="BH101" s="1909"/>
      <c r="BI101" s="1909"/>
      <c r="BJ101" s="1909"/>
      <c r="BK101" s="1909"/>
      <c r="BL101" s="1909"/>
      <c r="BM101" s="1909"/>
      <c r="BN101" s="1909"/>
      <c r="BO101" s="1909"/>
      <c r="BP101" s="1909"/>
      <c r="BQ101" s="1909"/>
      <c r="BR101" s="1910"/>
      <c r="BS101" s="1815"/>
      <c r="BT101" s="1815"/>
      <c r="BU101" s="1815"/>
      <c r="BV101" s="1815"/>
      <c r="BW101" s="1815"/>
      <c r="BX101" s="1815"/>
      <c r="BY101" s="1815"/>
      <c r="BZ101" s="1815"/>
      <c r="CA101" s="1816"/>
      <c r="CB101" s="146"/>
      <c r="CC101" s="704"/>
      <c r="CD101" s="704"/>
      <c r="CE101" s="55" t="s">
        <v>168</v>
      </c>
      <c r="CF101" s="704"/>
      <c r="CG101" s="704"/>
      <c r="CH101" s="704"/>
      <c r="CI101" s="704"/>
      <c r="CJ101" s="704"/>
      <c r="CL101" s="1"/>
      <c r="CM101" s="704"/>
      <c r="CN101" s="704"/>
      <c r="CO101" s="704"/>
      <c r="CP101" s="704"/>
      <c r="CQ101" s="704"/>
      <c r="CR101" s="704"/>
      <c r="CS101" s="704"/>
      <c r="CT101" s="704"/>
      <c r="CU101" s="704"/>
      <c r="CV101" s="704"/>
      <c r="CW101" s="704"/>
      <c r="CX101" s="704"/>
      <c r="CY101" s="704"/>
      <c r="CZ101" s="704"/>
      <c r="DA101" s="704"/>
      <c r="DB101" s="704"/>
      <c r="DC101" s="9"/>
      <c r="DD101" s="137"/>
      <c r="DE101" s="9"/>
      <c r="DF101" s="9"/>
      <c r="DG101" s="9"/>
      <c r="DH101" s="9"/>
      <c r="DI101" s="9"/>
      <c r="DJ101" s="9"/>
      <c r="DK101" s="9"/>
      <c r="DL101" s="9"/>
      <c r="DM101" s="9"/>
      <c r="DN101" s="9"/>
      <c r="DO101" s="9"/>
      <c r="DP101" s="9"/>
      <c r="DQ101" s="9"/>
      <c r="DR101" s="99"/>
      <c r="DS101" s="99"/>
      <c r="DT101" s="99"/>
      <c r="DU101" s="99"/>
      <c r="DV101" s="99"/>
      <c r="DW101" s="99"/>
      <c r="DX101" s="99"/>
      <c r="DY101" s="99"/>
      <c r="DZ101" s="99"/>
      <c r="EA101" s="99"/>
      <c r="EB101" s="99"/>
      <c r="EC101" s="99"/>
      <c r="ED101" s="99"/>
      <c r="EE101" s="99"/>
      <c r="EF101" s="99"/>
      <c r="EG101" s="9"/>
      <c r="EH101" s="9"/>
      <c r="EI101" s="9"/>
      <c r="EJ101" s="9"/>
      <c r="EK101" s="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13"/>
      <c r="FI101" s="13"/>
      <c r="FJ101" s="13"/>
      <c r="FK101" s="13"/>
      <c r="FL101" s="143" t="s">
        <v>327</v>
      </c>
      <c r="FM101" s="144">
        <v>2</v>
      </c>
      <c r="FN101" s="138" t="s">
        <v>304</v>
      </c>
      <c r="FO101" s="145">
        <v>126</v>
      </c>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row>
    <row r="102" spans="1:756" ht="11.25" customHeight="1" thickBot="1">
      <c r="A102" s="2094"/>
      <c r="B102" s="37">
        <f>IF(AND(C102="◎",L102&lt;&gt;""),B101+1,B101)</f>
        <v>10</v>
      </c>
      <c r="C102" s="1884" t="str">
        <f t="shared" si="3"/>
        <v>◎</v>
      </c>
      <c r="D102" s="1884"/>
      <c r="E102" s="1885"/>
      <c r="F102" s="1885"/>
      <c r="G102" s="1869">
        <f>IF(AND(C102="◎",L102&lt;&gt;""),B102,"")</f>
        <v>10</v>
      </c>
      <c r="H102" s="1870"/>
      <c r="I102" s="1870"/>
      <c r="J102" s="1870"/>
      <c r="K102" s="1870"/>
      <c r="L102" s="1847" t="str">
        <f>IF(AQ85=1," 雷保護設備工事","")</f>
        <v xml:space="preserve"> 雷保護設備工事</v>
      </c>
      <c r="M102" s="1848"/>
      <c r="N102" s="1848"/>
      <c r="O102" s="1848"/>
      <c r="P102" s="1848"/>
      <c r="Q102" s="1848"/>
      <c r="R102" s="1848"/>
      <c r="S102" s="1848"/>
      <c r="T102" s="1848"/>
      <c r="U102" s="1848"/>
      <c r="V102" s="1848"/>
      <c r="W102" s="1848"/>
      <c r="X102" s="1848"/>
      <c r="Y102" s="1848"/>
      <c r="Z102" s="1848"/>
      <c r="AA102" s="1848"/>
      <c r="AB102" s="1848"/>
      <c r="AC102" s="1848"/>
      <c r="AD102" s="1849"/>
      <c r="AE102" s="1904" t="str">
        <f>IF(C102&lt;&gt;"◎",""," GL+"&amp;AO66&amp;" m")</f>
        <v xml:space="preserve"> GL+57.75 m</v>
      </c>
      <c r="AF102" s="1905"/>
      <c r="AG102" s="1905"/>
      <c r="AH102" s="1905"/>
      <c r="AI102" s="1905"/>
      <c r="AJ102" s="1905"/>
      <c r="AK102" s="1905"/>
      <c r="AL102" s="1905"/>
      <c r="AM102" s="1905"/>
      <c r="AN102" s="1905"/>
      <c r="AO102" s="1905"/>
      <c r="AP102" s="423"/>
      <c r="AQ102" s="130">
        <f t="shared" si="4"/>
        <v>13</v>
      </c>
      <c r="AR102" s="1884" t="str">
        <f t="shared" si="2"/>
        <v/>
      </c>
      <c r="AS102" s="1884"/>
      <c r="AT102" s="1886" t="s">
        <v>2253</v>
      </c>
      <c r="AU102" s="1887"/>
      <c r="AV102" s="1869" t="str">
        <f t="shared" si="5"/>
        <v/>
      </c>
      <c r="AW102" s="1870"/>
      <c r="AX102" s="1870"/>
      <c r="AY102" s="1870"/>
      <c r="AZ102" s="1888"/>
      <c r="BA102" s="1890"/>
      <c r="BB102" s="1891"/>
      <c r="BC102" s="1891"/>
      <c r="BD102" s="1891"/>
      <c r="BE102" s="1891"/>
      <c r="BF102" s="1891"/>
      <c r="BG102" s="1891"/>
      <c r="BH102" s="1891"/>
      <c r="BI102" s="1891"/>
      <c r="BJ102" s="1891"/>
      <c r="BK102" s="1891"/>
      <c r="BL102" s="1891"/>
      <c r="BM102" s="1891"/>
      <c r="BN102" s="1891"/>
      <c r="BO102" s="1891"/>
      <c r="BP102" s="1891"/>
      <c r="BQ102" s="1891"/>
      <c r="BR102" s="1892"/>
      <c r="BS102" s="1893"/>
      <c r="BT102" s="1893"/>
      <c r="BU102" s="1893"/>
      <c r="BV102" s="1893"/>
      <c r="BW102" s="1893"/>
      <c r="BX102" s="1893"/>
      <c r="BY102" s="1893"/>
      <c r="BZ102" s="1893"/>
      <c r="CA102" s="1894"/>
      <c r="CB102" s="146"/>
      <c r="CC102" s="704"/>
      <c r="CD102" s="704"/>
      <c r="CE102" s="55" t="s">
        <v>170</v>
      </c>
      <c r="CF102" s="704"/>
      <c r="CG102" s="704"/>
      <c r="CH102" s="704"/>
      <c r="CI102" s="704"/>
      <c r="CJ102" s="704"/>
      <c r="CK102" s="55"/>
      <c r="CL102" s="1"/>
      <c r="CM102" s="704"/>
      <c r="CN102" s="704"/>
      <c r="CO102" s="704"/>
      <c r="CP102" s="704"/>
      <c r="CQ102" s="704"/>
      <c r="CR102" s="646" t="s">
        <v>2168</v>
      </c>
      <c r="CS102" s="704"/>
      <c r="CT102" s="704"/>
      <c r="CU102" s="636" t="s">
        <v>2029</v>
      </c>
      <c r="CV102" s="704"/>
      <c r="CW102" s="704"/>
      <c r="CX102" s="704"/>
      <c r="CY102" s="704"/>
      <c r="CZ102" s="704"/>
      <c r="DA102" s="704"/>
      <c r="DB102" s="704"/>
      <c r="DC102" s="9"/>
      <c r="DD102" s="137"/>
      <c r="DE102" s="9"/>
      <c r="DF102" s="9"/>
      <c r="DG102" s="9"/>
      <c r="DH102" s="9"/>
      <c r="DI102" s="9"/>
      <c r="DJ102" s="9"/>
      <c r="DK102" s="9"/>
      <c r="DL102" s="9"/>
      <c r="DM102" s="9"/>
      <c r="DN102" s="9"/>
      <c r="DO102" s="9"/>
      <c r="DP102" s="9"/>
      <c r="DQ102" s="9"/>
      <c r="DR102" s="99"/>
      <c r="DS102" s="99"/>
      <c r="DT102" s="99"/>
      <c r="DU102" s="99"/>
      <c r="DV102" s="99"/>
      <c r="DW102" s="99"/>
      <c r="DX102" s="99"/>
      <c r="DY102" s="99"/>
      <c r="DZ102" s="99"/>
      <c r="EA102" s="99"/>
      <c r="EB102" s="99"/>
      <c r="EC102" s="99"/>
      <c r="ED102" s="99"/>
      <c r="EE102" s="99"/>
      <c r="EF102" s="99"/>
      <c r="EG102" s="9"/>
      <c r="EH102" s="9"/>
      <c r="EI102" s="9"/>
      <c r="EJ102" s="9"/>
      <c r="EK102" s="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13"/>
      <c r="FI102" s="13"/>
      <c r="FJ102" s="13"/>
      <c r="FK102" s="13"/>
      <c r="FL102" s="143" t="s">
        <v>328</v>
      </c>
      <c r="FM102" s="144">
        <v>2</v>
      </c>
      <c r="FN102" s="138" t="s">
        <v>304</v>
      </c>
      <c r="FO102" s="145">
        <v>2</v>
      </c>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row>
    <row r="103" spans="1:756" ht="11.25" customHeight="1">
      <c r="A103" s="156"/>
      <c r="B103" s="424"/>
      <c r="C103" s="425"/>
      <c r="D103" s="425"/>
      <c r="E103" s="426"/>
      <c r="F103" s="426"/>
      <c r="G103" s="427"/>
      <c r="H103" s="427"/>
      <c r="I103" s="427"/>
      <c r="J103" s="427"/>
      <c r="K103" s="427"/>
      <c r="L103" s="561"/>
      <c r="M103" s="561"/>
      <c r="N103" s="561"/>
      <c r="O103" s="561"/>
      <c r="P103" s="561"/>
      <c r="Q103" s="561"/>
      <c r="R103" s="561"/>
      <c r="S103" s="561"/>
      <c r="T103" s="561"/>
      <c r="U103" s="561"/>
      <c r="V103" s="561"/>
      <c r="W103" s="561"/>
      <c r="X103" s="561"/>
      <c r="Y103" s="561"/>
      <c r="Z103" s="561"/>
      <c r="AA103" s="561"/>
      <c r="AB103" s="561"/>
      <c r="AC103" s="561"/>
      <c r="AD103" s="561"/>
      <c r="AE103" s="428"/>
      <c r="AF103" s="428"/>
      <c r="AG103" s="428"/>
      <c r="AH103" s="428"/>
      <c r="AI103" s="428"/>
      <c r="AJ103" s="428"/>
      <c r="AK103" s="428"/>
      <c r="AL103" s="428"/>
      <c r="AM103" s="428"/>
      <c r="AN103" s="428"/>
      <c r="AO103" s="428"/>
      <c r="AP103" s="204"/>
      <c r="AQ103" s="204"/>
      <c r="AR103" s="429"/>
      <c r="AS103" s="429"/>
      <c r="AT103" s="426"/>
      <c r="AU103" s="426"/>
      <c r="AV103" s="427"/>
      <c r="AW103" s="427"/>
      <c r="AX103" s="427"/>
      <c r="AY103" s="427"/>
      <c r="AZ103" s="427"/>
      <c r="BA103" s="443"/>
      <c r="BB103" s="443"/>
      <c r="BC103" s="443"/>
      <c r="BD103" s="443"/>
      <c r="BE103" s="443"/>
      <c r="BF103" s="443"/>
      <c r="BG103" s="443"/>
      <c r="BH103" s="443"/>
      <c r="BI103" s="443"/>
      <c r="BJ103" s="443"/>
      <c r="BK103" s="443"/>
      <c r="BL103" s="443"/>
      <c r="BM103" s="443"/>
      <c r="BN103" s="443"/>
      <c r="BO103" s="443"/>
      <c r="BP103" s="443"/>
      <c r="BQ103" s="443"/>
      <c r="BR103" s="443"/>
      <c r="BS103" s="430"/>
      <c r="BT103" s="430"/>
      <c r="BU103" s="430"/>
      <c r="BV103" s="430"/>
      <c r="BW103" s="430"/>
      <c r="BX103" s="430"/>
      <c r="BY103" s="430"/>
      <c r="BZ103" s="430"/>
      <c r="CA103" s="430"/>
      <c r="CB103" s="431"/>
      <c r="CC103" s="704"/>
      <c r="CD103" s="704"/>
      <c r="CE103" s="704"/>
      <c r="CF103" s="704"/>
      <c r="CG103" s="704"/>
      <c r="CH103" s="704"/>
      <c r="CI103" s="704"/>
      <c r="CJ103" s="704"/>
      <c r="CL103" s="1"/>
      <c r="CM103" s="704"/>
      <c r="CN103" s="704"/>
      <c r="CO103" s="704"/>
      <c r="CP103" s="704"/>
      <c r="CQ103" s="704"/>
      <c r="CR103" s="646" t="s">
        <v>2169</v>
      </c>
      <c r="CS103" s="704"/>
      <c r="CT103" s="704"/>
      <c r="CU103" s="636" t="s">
        <v>2030</v>
      </c>
      <c r="CV103" s="704"/>
      <c r="CW103" s="704"/>
      <c r="CX103" s="704"/>
      <c r="CY103" s="704"/>
      <c r="CZ103" s="704"/>
      <c r="DA103" s="704"/>
      <c r="DB103" s="704"/>
      <c r="DC103" s="9"/>
      <c r="DD103" s="137"/>
      <c r="DE103" s="9"/>
      <c r="DF103" s="9"/>
      <c r="DG103" s="9"/>
      <c r="DH103" s="9"/>
      <c r="DI103" s="9"/>
      <c r="DJ103" s="9"/>
      <c r="DK103" s="9"/>
      <c r="DL103" s="9"/>
      <c r="DM103" s="9"/>
      <c r="DN103" s="9"/>
      <c r="DO103" s="9"/>
      <c r="DP103" s="9"/>
      <c r="DQ103" s="9"/>
      <c r="DR103" s="99"/>
      <c r="DS103" s="99"/>
      <c r="DT103" s="99"/>
      <c r="DU103" s="99"/>
      <c r="DV103" s="99"/>
      <c r="DW103" s="99"/>
      <c r="DX103" s="99"/>
      <c r="DY103" s="99"/>
      <c r="DZ103" s="99"/>
      <c r="EA103" s="99"/>
      <c r="EB103" s="99"/>
      <c r="EC103" s="99"/>
      <c r="ED103" s="99"/>
      <c r="EE103" s="99"/>
      <c r="EF103" s="99"/>
      <c r="EG103" s="9"/>
      <c r="EH103" s="9"/>
      <c r="EI103" s="9"/>
      <c r="EJ103" s="9"/>
      <c r="EK103" s="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13"/>
      <c r="FI103" s="13"/>
      <c r="FJ103" s="13"/>
      <c r="FK103" s="13"/>
      <c r="FL103" s="143" t="s">
        <v>329</v>
      </c>
      <c r="FM103" s="144">
        <v>2</v>
      </c>
      <c r="FN103" s="138" t="s">
        <v>304</v>
      </c>
      <c r="FO103" s="145">
        <v>3</v>
      </c>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row>
    <row r="104" spans="1:756" ht="11.25" customHeight="1" thickBot="1">
      <c r="A104" s="2094"/>
      <c r="B104" s="432"/>
      <c r="C104" s="433"/>
      <c r="D104" s="433"/>
      <c r="E104" s="434"/>
      <c r="F104" s="434"/>
      <c r="G104" s="435"/>
      <c r="H104" s="435"/>
      <c r="I104" s="435"/>
      <c r="J104" s="435"/>
      <c r="K104" s="435"/>
      <c r="L104" s="853"/>
      <c r="M104" s="854"/>
      <c r="N104" s="436"/>
      <c r="O104" s="436"/>
      <c r="P104" s="436"/>
      <c r="Q104" s="436"/>
      <c r="R104" s="436"/>
      <c r="S104" s="436"/>
      <c r="T104" s="436"/>
      <c r="U104" s="436"/>
      <c r="V104" s="436"/>
      <c r="W104" s="436"/>
      <c r="X104" s="436"/>
      <c r="Y104" s="436"/>
      <c r="Z104" s="436"/>
      <c r="AA104" s="436"/>
      <c r="AB104" s="436"/>
      <c r="AC104" s="436"/>
      <c r="AD104" s="436"/>
      <c r="AE104" s="437"/>
      <c r="AF104" s="437"/>
      <c r="AG104" s="437"/>
      <c r="AH104" s="437"/>
      <c r="AI104" s="437"/>
      <c r="AJ104" s="437"/>
      <c r="AK104" s="437"/>
      <c r="AL104" s="437"/>
      <c r="AM104" s="437"/>
      <c r="AN104" s="437"/>
      <c r="AO104" s="437"/>
      <c r="AP104" s="438"/>
      <c r="AQ104" s="438"/>
      <c r="AR104" s="439"/>
      <c r="AS104" s="439"/>
      <c r="AT104" s="434"/>
      <c r="AU104" s="434"/>
      <c r="AV104" s="435"/>
      <c r="AW104" s="435"/>
      <c r="AX104" s="435"/>
      <c r="AY104" s="435"/>
      <c r="AZ104" s="435"/>
      <c r="BA104" s="440"/>
      <c r="BB104" s="440"/>
      <c r="BC104" s="440"/>
      <c r="BD104" s="440"/>
      <c r="BE104" s="440"/>
      <c r="BF104" s="440"/>
      <c r="BG104" s="440"/>
      <c r="BH104" s="440"/>
      <c r="BI104" s="440"/>
      <c r="BJ104" s="440"/>
      <c r="BK104" s="440"/>
      <c r="BL104" s="440"/>
      <c r="BM104" s="440"/>
      <c r="BN104" s="440"/>
      <c r="BO104" s="440"/>
      <c r="BP104" s="440"/>
      <c r="BQ104" s="440"/>
      <c r="BR104" s="440"/>
      <c r="BS104" s="441"/>
      <c r="BT104" s="441"/>
      <c r="BU104" s="441"/>
      <c r="BV104" s="441"/>
      <c r="BW104" s="441"/>
      <c r="BX104" s="441"/>
      <c r="BY104" s="441"/>
      <c r="BZ104" s="441"/>
      <c r="CA104" s="441"/>
      <c r="CB104" s="442"/>
      <c r="CC104" s="704"/>
      <c r="CD104" s="704"/>
      <c r="CE104" s="704"/>
      <c r="CF104" s="704"/>
      <c r="CG104" s="704"/>
      <c r="CH104" s="704"/>
      <c r="CI104" s="704"/>
      <c r="CJ104" s="704"/>
      <c r="CK104" s="1"/>
      <c r="CL104" s="1"/>
      <c r="CM104" s="704"/>
      <c r="CN104" s="704"/>
      <c r="CO104" s="704"/>
      <c r="CP104" s="704"/>
      <c r="CQ104" s="704"/>
      <c r="CR104" s="646" t="s">
        <v>2170</v>
      </c>
      <c r="CS104" s="704"/>
      <c r="CT104" s="704"/>
      <c r="CU104" s="636" t="s">
        <v>2031</v>
      </c>
      <c r="CV104" s="704"/>
      <c r="CW104" s="704"/>
      <c r="CX104" s="704"/>
      <c r="CY104" s="704"/>
      <c r="CZ104" s="704"/>
      <c r="DA104" s="704"/>
      <c r="DB104" s="704"/>
      <c r="DC104" s="9"/>
      <c r="DD104" s="137"/>
      <c r="DE104" s="9"/>
      <c r="DF104" s="9"/>
      <c r="DG104" s="9"/>
      <c r="DH104" s="9"/>
      <c r="DI104" s="9"/>
      <c r="DJ104" s="9"/>
      <c r="DK104" s="9"/>
      <c r="DL104" s="9"/>
      <c r="DM104" s="9"/>
      <c r="DN104" s="9"/>
      <c r="DO104" s="9"/>
      <c r="DP104" s="9"/>
      <c r="DQ104" s="9"/>
      <c r="DR104" s="99"/>
      <c r="DS104" s="99"/>
      <c r="DT104" s="99"/>
      <c r="DU104" s="99"/>
      <c r="DV104" s="99"/>
      <c r="DW104" s="99"/>
      <c r="DX104" s="99"/>
      <c r="DY104" s="99"/>
      <c r="DZ104" s="99"/>
      <c r="EA104" s="99"/>
      <c r="EB104" s="99"/>
      <c r="EC104" s="99"/>
      <c r="ED104" s="99"/>
      <c r="EE104" s="99"/>
      <c r="EF104" s="99"/>
      <c r="EG104" s="9"/>
      <c r="EH104" s="9"/>
      <c r="EI104" s="9"/>
      <c r="EJ104" s="9"/>
      <c r="EK104" s="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13"/>
      <c r="FI104" s="13"/>
      <c r="FJ104" s="13"/>
      <c r="FK104" s="13"/>
      <c r="FL104" s="143" t="s">
        <v>330</v>
      </c>
      <c r="FM104" s="144">
        <v>2</v>
      </c>
      <c r="FN104" s="138" t="s">
        <v>304</v>
      </c>
      <c r="FO104" s="145">
        <v>130</v>
      </c>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row>
    <row r="105" spans="1:756" s="1" customFormat="1" ht="10.5" customHeight="1" thickBot="1">
      <c r="A105" s="2094"/>
      <c r="B105" s="6"/>
      <c r="C105" s="4"/>
      <c r="D105" s="4"/>
      <c r="E105" s="1745" t="s">
        <v>2067</v>
      </c>
      <c r="F105" s="1745"/>
      <c r="G105" s="1745"/>
      <c r="H105" s="1745"/>
      <c r="I105" s="4"/>
      <c r="J105" s="4"/>
      <c r="K105" s="4"/>
      <c r="L105" s="672"/>
      <c r="M105" s="673"/>
      <c r="N105" s="674"/>
      <c r="O105" s="674"/>
      <c r="P105" s="674"/>
      <c r="Q105" s="674"/>
      <c r="R105" s="674"/>
      <c r="S105" s="674"/>
      <c r="T105" s="675"/>
      <c r="U105" s="2532" t="s">
        <v>1030</v>
      </c>
      <c r="V105" s="2533"/>
      <c r="W105" s="2533"/>
      <c r="X105" s="2533"/>
      <c r="Y105" s="2533"/>
      <c r="Z105" s="2533"/>
      <c r="AA105" s="2533"/>
      <c r="AB105" s="2533"/>
      <c r="AC105" s="2533"/>
      <c r="AD105" s="2533"/>
      <c r="AE105" s="2533"/>
      <c r="AF105" s="2533"/>
      <c r="AG105" s="2533"/>
      <c r="AH105" s="2533"/>
      <c r="AI105" s="2533"/>
      <c r="AJ105" s="2533"/>
      <c r="AK105" s="2533"/>
      <c r="AL105" s="2533"/>
      <c r="AM105" s="2533"/>
      <c r="AN105" s="2533"/>
      <c r="AO105" s="2533"/>
      <c r="AP105" s="2533"/>
      <c r="AQ105" s="2533"/>
      <c r="AR105" s="2533"/>
      <c r="AS105" s="2533"/>
      <c r="AT105" s="2533"/>
      <c r="AU105" s="2533"/>
      <c r="AV105" s="2533"/>
      <c r="AW105" s="2533"/>
      <c r="AX105" s="2533"/>
      <c r="AY105" s="2533"/>
      <c r="AZ105" s="2533"/>
      <c r="BA105" s="2533"/>
      <c r="BB105" s="2533"/>
      <c r="BC105" s="2533"/>
      <c r="BD105" s="2533"/>
      <c r="BE105" s="2533"/>
      <c r="BF105" s="2533"/>
      <c r="BG105" s="2533"/>
      <c r="BH105" s="2534"/>
      <c r="BI105" s="2541" t="s">
        <v>1043</v>
      </c>
      <c r="BJ105" s="2541"/>
      <c r="BK105" s="2541" t="s">
        <v>1043</v>
      </c>
      <c r="BL105" s="2541"/>
      <c r="BM105" s="2541" t="s">
        <v>1043</v>
      </c>
      <c r="BN105" s="2541"/>
      <c r="BO105" s="2541" t="s">
        <v>1043</v>
      </c>
      <c r="BP105" s="2541"/>
      <c r="BQ105" s="2541" t="s">
        <v>1043</v>
      </c>
      <c r="BR105" s="2541"/>
      <c r="BS105" s="2541" t="s">
        <v>1043</v>
      </c>
      <c r="BT105" s="2541"/>
      <c r="BU105" s="2538" t="s">
        <v>201</v>
      </c>
      <c r="BV105" s="2539"/>
      <c r="BW105" s="2539"/>
      <c r="BX105" s="2539"/>
      <c r="BY105" s="2540"/>
      <c r="BZ105" s="4"/>
      <c r="CA105" s="4"/>
      <c r="CB105" s="7"/>
      <c r="CR105" s="647" t="s">
        <v>2171</v>
      </c>
      <c r="CU105" s="636" t="s">
        <v>2032</v>
      </c>
      <c r="DB105" s="156"/>
      <c r="DC105" s="99"/>
      <c r="DD105" s="628"/>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13"/>
      <c r="FI105" s="13"/>
      <c r="FJ105" s="13"/>
      <c r="FK105" s="13"/>
      <c r="FL105" s="143" t="s">
        <v>331</v>
      </c>
      <c r="FM105" s="144">
        <v>2</v>
      </c>
      <c r="FN105" s="138" t="s">
        <v>304</v>
      </c>
      <c r="FO105" s="145">
        <v>45</v>
      </c>
    </row>
    <row r="106" spans="1:756" s="1" customFormat="1" ht="12" customHeight="1" thickBot="1">
      <c r="A106" s="2094"/>
      <c r="B106" s="6"/>
      <c r="C106" s="4"/>
      <c r="D106" s="415"/>
      <c r="E106" s="4"/>
      <c r="F106" s="4"/>
      <c r="G106" s="4"/>
      <c r="H106" s="4"/>
      <c r="I106" s="4"/>
      <c r="J106" s="4"/>
      <c r="K106" s="4"/>
      <c r="L106" s="672"/>
      <c r="M106" s="676"/>
      <c r="N106" s="677"/>
      <c r="O106" s="678"/>
      <c r="P106" s="678"/>
      <c r="Q106" s="678"/>
      <c r="R106" s="678"/>
      <c r="S106" s="678"/>
      <c r="T106" s="679"/>
      <c r="U106" s="2535" t="s">
        <v>1031</v>
      </c>
      <c r="V106" s="2536"/>
      <c r="W106" s="2536"/>
      <c r="X106" s="2536"/>
      <c r="Y106" s="2536"/>
      <c r="Z106" s="2536"/>
      <c r="AA106" s="2536"/>
      <c r="AB106" s="2536"/>
      <c r="AC106" s="2536"/>
      <c r="AD106" s="2536"/>
      <c r="AE106" s="2536"/>
      <c r="AF106" s="2536"/>
      <c r="AG106" s="2536"/>
      <c r="AH106" s="2536"/>
      <c r="AI106" s="2536"/>
      <c r="AJ106" s="2536"/>
      <c r="AK106" s="2536"/>
      <c r="AL106" s="2536"/>
      <c r="AM106" s="2536"/>
      <c r="AN106" s="2536"/>
      <c r="AO106" s="2536"/>
      <c r="AP106" s="2536"/>
      <c r="AQ106" s="2536"/>
      <c r="AR106" s="2536"/>
      <c r="AS106" s="2536"/>
      <c r="AT106" s="2536"/>
      <c r="AU106" s="2536"/>
      <c r="AV106" s="2536"/>
      <c r="AW106" s="2536"/>
      <c r="AX106" s="2536"/>
      <c r="AY106" s="2536"/>
      <c r="AZ106" s="2536"/>
      <c r="BA106" s="2536"/>
      <c r="BB106" s="2536"/>
      <c r="BC106" s="2536"/>
      <c r="BD106" s="2536"/>
      <c r="BE106" s="2536"/>
      <c r="BF106" s="2536"/>
      <c r="BG106" s="2536"/>
      <c r="BH106" s="2537"/>
      <c r="BI106" s="445"/>
      <c r="BJ106" s="445"/>
      <c r="BK106" s="445"/>
      <c r="BL106" s="445"/>
      <c r="BM106" s="446"/>
      <c r="BN106" s="4"/>
      <c r="BO106" s="4"/>
      <c r="BP106" s="4"/>
      <c r="BQ106" s="4"/>
      <c r="BR106" s="4"/>
      <c r="BS106" s="4"/>
      <c r="BT106" s="4"/>
      <c r="BU106" s="444"/>
      <c r="BV106" s="444"/>
      <c r="BW106" s="444"/>
      <c r="BX106" s="444"/>
      <c r="BY106" s="444"/>
      <c r="BZ106" s="4"/>
      <c r="CA106" s="4"/>
      <c r="CB106" s="7"/>
      <c r="CR106" s="647" t="s">
        <v>2057</v>
      </c>
      <c r="CU106" s="636" t="s">
        <v>2033</v>
      </c>
      <c r="DB106" s="156"/>
      <c r="DC106" s="99"/>
      <c r="DD106" s="152"/>
      <c r="DE106" s="99"/>
      <c r="DF106" s="99"/>
      <c r="DG106" s="99"/>
      <c r="DH106" s="99"/>
      <c r="DI106" s="99"/>
      <c r="DJ106" s="719"/>
      <c r="DK106" s="720"/>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13"/>
      <c r="FI106" s="13"/>
      <c r="FJ106" s="13"/>
      <c r="FK106" s="13"/>
      <c r="FL106" s="143" t="s">
        <v>332</v>
      </c>
      <c r="FM106" s="144">
        <v>2</v>
      </c>
      <c r="FN106" s="138" t="s">
        <v>304</v>
      </c>
      <c r="FO106" s="145">
        <v>65</v>
      </c>
    </row>
    <row r="107" spans="1:756" s="1" customFormat="1" ht="12" customHeight="1" thickBot="1">
      <c r="A107" s="2094"/>
      <c r="B107" s="6"/>
      <c r="C107" s="4"/>
      <c r="D107" s="4"/>
      <c r="E107" s="2527" t="s">
        <v>548</v>
      </c>
      <c r="F107" s="2528"/>
      <c r="G107" s="2528"/>
      <c r="H107" s="2528"/>
      <c r="I107" s="1847" t="s">
        <v>1028</v>
      </c>
      <c r="J107" s="1848"/>
      <c r="K107" s="1848"/>
      <c r="L107" s="1848"/>
      <c r="M107" s="1848"/>
      <c r="N107" s="1849"/>
      <c r="O107" s="1875" t="s">
        <v>97</v>
      </c>
      <c r="P107" s="1875"/>
      <c r="Q107" s="1875"/>
      <c r="R107" s="1875"/>
      <c r="S107" s="1875"/>
      <c r="T107" s="1876"/>
      <c r="U107" s="2512" t="s">
        <v>1020</v>
      </c>
      <c r="V107" s="2513"/>
      <c r="W107" s="2513"/>
      <c r="X107" s="2513"/>
      <c r="Y107" s="2513"/>
      <c r="Z107" s="2513"/>
      <c r="AA107" s="2513"/>
      <c r="AB107" s="2513"/>
      <c r="AC107" s="2513"/>
      <c r="AD107" s="2513"/>
      <c r="AE107" s="2513"/>
      <c r="AF107" s="2513"/>
      <c r="AG107" s="2513"/>
      <c r="AH107" s="2513"/>
      <c r="AI107" s="2513"/>
      <c r="AJ107" s="2513"/>
      <c r="AK107" s="2513"/>
      <c r="AL107" s="2513"/>
      <c r="AM107" s="2513"/>
      <c r="AN107" s="2514"/>
      <c r="AO107" s="2515" t="s">
        <v>1021</v>
      </c>
      <c r="AP107" s="2513"/>
      <c r="AQ107" s="2513"/>
      <c r="AR107" s="2513"/>
      <c r="AS107" s="2513"/>
      <c r="AT107" s="2513"/>
      <c r="AU107" s="2513"/>
      <c r="AV107" s="2513"/>
      <c r="AW107" s="2513"/>
      <c r="AX107" s="2513"/>
      <c r="AY107" s="2513"/>
      <c r="AZ107" s="2513"/>
      <c r="BA107" s="2513"/>
      <c r="BB107" s="2513"/>
      <c r="BC107" s="2513"/>
      <c r="BD107" s="2513"/>
      <c r="BE107" s="2513"/>
      <c r="BF107" s="2513"/>
      <c r="BG107" s="2513"/>
      <c r="BH107" s="2514"/>
      <c r="BI107" s="2516" t="s">
        <v>1024</v>
      </c>
      <c r="BJ107" s="2517"/>
      <c r="BK107" s="2517"/>
      <c r="BL107" s="2517"/>
      <c r="BM107" s="2518"/>
      <c r="BN107" s="2516" t="s">
        <v>1022</v>
      </c>
      <c r="BO107" s="2517"/>
      <c r="BP107" s="2517"/>
      <c r="BQ107" s="2517"/>
      <c r="BR107" s="2518"/>
      <c r="BS107" s="4"/>
      <c r="BT107" s="1813" t="s">
        <v>1026</v>
      </c>
      <c r="BU107" s="1813"/>
      <c r="BV107" s="1813" t="s">
        <v>1026</v>
      </c>
      <c r="BW107" s="1813"/>
      <c r="BX107" s="1813" t="s">
        <v>1027</v>
      </c>
      <c r="BY107" s="1813"/>
      <c r="BZ107" s="1813" t="s">
        <v>1027</v>
      </c>
      <c r="CA107" s="1813"/>
      <c r="CB107" s="416"/>
      <c r="CC107" s="412"/>
      <c r="CD107" s="1740" t="s">
        <v>2180</v>
      </c>
      <c r="CE107" s="1740"/>
      <c r="CF107" s="1740" t="s">
        <v>2181</v>
      </c>
      <c r="CG107" s="1740"/>
      <c r="CH107" s="1740" t="s">
        <v>1035</v>
      </c>
      <c r="CI107" s="1740"/>
      <c r="CR107" s="647" t="s">
        <v>2058</v>
      </c>
      <c r="CU107" s="636" t="s">
        <v>2034</v>
      </c>
      <c r="CV107" s="629"/>
      <c r="CW107" s="641">
        <f>SUM(CD109:CI109)</f>
        <v>5</v>
      </c>
      <c r="CZ107" s="560" t="str">
        <f>E23</f>
        <v xml:space="preserve"> B2F</v>
      </c>
      <c r="DA107" s="547" t="str">
        <f>IF(CZ107=0,"  RF",IF(CZ107="  GL","  1F",CZ107))</f>
        <v xml:space="preserve"> B2F</v>
      </c>
      <c r="DB107" s="721"/>
      <c r="DC107" s="722"/>
      <c r="DD107" s="722"/>
      <c r="DE107" s="721"/>
      <c r="DF107" s="722"/>
      <c r="DG107" s="723"/>
      <c r="DH107" s="719"/>
      <c r="DI107" s="724"/>
      <c r="DJ107" s="725"/>
      <c r="DK107" s="726"/>
      <c r="DL107" s="71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13"/>
      <c r="FI107" s="13"/>
      <c r="FJ107" s="13"/>
      <c r="FK107" s="13"/>
      <c r="FL107" s="143" t="s">
        <v>333</v>
      </c>
      <c r="FM107" s="144">
        <v>2</v>
      </c>
      <c r="FN107" s="138" t="s">
        <v>304</v>
      </c>
      <c r="FO107" s="145">
        <v>6</v>
      </c>
    </row>
    <row r="108" spans="1:756" s="1" customFormat="1" ht="12" customHeight="1" thickBot="1">
      <c r="A108" s="2094"/>
      <c r="B108" s="6"/>
      <c r="C108" s="4"/>
      <c r="D108" s="4"/>
      <c r="E108" s="2529" t="s">
        <v>1029</v>
      </c>
      <c r="F108" s="2530"/>
      <c r="G108" s="2530"/>
      <c r="H108" s="2531"/>
      <c r="I108" s="1850" t="s">
        <v>1007</v>
      </c>
      <c r="J108" s="1850"/>
      <c r="K108" s="1850"/>
      <c r="L108" s="1851" t="s">
        <v>1009</v>
      </c>
      <c r="M108" s="1851"/>
      <c r="N108" s="1851"/>
      <c r="O108" s="1877" t="s">
        <v>119</v>
      </c>
      <c r="P108" s="1878"/>
      <c r="Q108" s="1878"/>
      <c r="R108" s="1878"/>
      <c r="S108" s="1878"/>
      <c r="T108" s="1879"/>
      <c r="U108" s="2462" t="s">
        <v>1010</v>
      </c>
      <c r="V108" s="2463"/>
      <c r="W108" s="2463"/>
      <c r="X108" s="2463"/>
      <c r="Y108" s="2462" t="s">
        <v>1011</v>
      </c>
      <c r="Z108" s="2463"/>
      <c r="AA108" s="2463"/>
      <c r="AB108" s="2464"/>
      <c r="AC108" s="2462" t="s">
        <v>1012</v>
      </c>
      <c r="AD108" s="2463"/>
      <c r="AE108" s="2463"/>
      <c r="AF108" s="2463"/>
      <c r="AG108" s="2462" t="s">
        <v>1013</v>
      </c>
      <c r="AH108" s="2463"/>
      <c r="AI108" s="2463"/>
      <c r="AJ108" s="2464"/>
      <c r="AK108" s="2465" t="s">
        <v>1014</v>
      </c>
      <c r="AL108" s="2466"/>
      <c r="AM108" s="2466"/>
      <c r="AN108" s="2467"/>
      <c r="AO108" s="2468" t="s">
        <v>1015</v>
      </c>
      <c r="AP108" s="2466"/>
      <c r="AQ108" s="2466"/>
      <c r="AR108" s="2467"/>
      <c r="AS108" s="2462" t="s">
        <v>1016</v>
      </c>
      <c r="AT108" s="2463"/>
      <c r="AU108" s="2463"/>
      <c r="AV108" s="2464"/>
      <c r="AW108" s="2462" t="s">
        <v>1017</v>
      </c>
      <c r="AX108" s="2463"/>
      <c r="AY108" s="2463"/>
      <c r="AZ108" s="2464"/>
      <c r="BA108" s="2462" t="s">
        <v>1018</v>
      </c>
      <c r="BB108" s="2463"/>
      <c r="BC108" s="2463"/>
      <c r="BD108" s="2464"/>
      <c r="BE108" s="2462" t="s">
        <v>1019</v>
      </c>
      <c r="BF108" s="2463"/>
      <c r="BG108" s="2463"/>
      <c r="BH108" s="2464"/>
      <c r="BI108" s="2519" t="s">
        <v>1025</v>
      </c>
      <c r="BJ108" s="2520"/>
      <c r="BK108" s="2520"/>
      <c r="BL108" s="2520"/>
      <c r="BM108" s="2521"/>
      <c r="BN108" s="2519" t="s">
        <v>1023</v>
      </c>
      <c r="BO108" s="2520"/>
      <c r="BP108" s="2520"/>
      <c r="BQ108" s="2520"/>
      <c r="BR108" s="2521"/>
      <c r="BS108" s="4"/>
      <c r="BT108" s="1814" t="s">
        <v>1032</v>
      </c>
      <c r="BU108" s="1814"/>
      <c r="BV108" s="1814" t="s">
        <v>1033</v>
      </c>
      <c r="BW108" s="1814"/>
      <c r="BX108" s="1814" t="s">
        <v>1034</v>
      </c>
      <c r="BY108" s="1814"/>
      <c r="BZ108" s="1814" t="s">
        <v>2019</v>
      </c>
      <c r="CA108" s="1814"/>
      <c r="CB108" s="417"/>
      <c r="CC108" s="413"/>
      <c r="CD108" s="1741" t="s">
        <v>549</v>
      </c>
      <c r="CE108" s="1741"/>
      <c r="CF108" s="1741" t="s">
        <v>549</v>
      </c>
      <c r="CG108" s="1741"/>
      <c r="CH108" s="1741" t="s">
        <v>549</v>
      </c>
      <c r="CI108" s="1741"/>
      <c r="CR108" s="647" t="s">
        <v>2172</v>
      </c>
      <c r="CU108" s="636" t="s">
        <v>2035</v>
      </c>
      <c r="CV108" s="629"/>
      <c r="CW108" s="641">
        <f t="shared" ref="CW108:CW126" si="6">SUM(CD110:CI110)</f>
        <v>5</v>
      </c>
      <c r="CZ108" s="560" t="str">
        <f>E26</f>
        <v xml:space="preserve"> B1F</v>
      </c>
      <c r="DA108" s="547" t="str">
        <f>IF(DH108="","",IF(CZ108=0,"  RF",IF(CZ108="  GL","  1F",CZ108)))</f>
        <v/>
      </c>
      <c r="DB108" s="721"/>
      <c r="DC108" s="722"/>
      <c r="DD108" s="722"/>
      <c r="DE108" s="721"/>
      <c r="DF108" s="722"/>
      <c r="DG108" s="722"/>
      <c r="DH108" s="719"/>
      <c r="DI108" s="724"/>
      <c r="DJ108" s="725"/>
      <c r="DK108" s="726"/>
      <c r="DL108" s="71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13"/>
      <c r="FI108" s="13"/>
      <c r="FJ108" s="13"/>
      <c r="FK108" s="13"/>
      <c r="FL108" s="143" t="s">
        <v>340</v>
      </c>
      <c r="FM108" s="144">
        <v>2</v>
      </c>
      <c r="FN108" s="138" t="s">
        <v>304</v>
      </c>
      <c r="FO108" s="145">
        <v>17</v>
      </c>
    </row>
    <row r="109" spans="1:756" s="1" customFormat="1" ht="10.5" customHeight="1">
      <c r="A109" s="2094"/>
      <c r="B109" s="6"/>
      <c r="C109" s="4"/>
      <c r="D109" s="48">
        <v>1</v>
      </c>
      <c r="E109" s="1839" t="str">
        <f>IF(OR($AQ$85=0,E24=""),"",E24)</f>
        <v xml:space="preserve"> B2F</v>
      </c>
      <c r="F109" s="1840"/>
      <c r="G109" s="1840"/>
      <c r="H109" s="1840"/>
      <c r="I109" s="1852" t="s">
        <v>2245</v>
      </c>
      <c r="J109" s="1853"/>
      <c r="K109" s="1854"/>
      <c r="L109" s="1837">
        <f>IF(E109="","",IF(I109="A",U109/AO109,IF(I109="B1",BT109^2/(U109*AS109+BT109*AO109),IF(I109="B2",BT109^2/(Y109*AS109+BT109*AO109),IF(I109="B3",BT109^2/(U109*AO109+BT109*AS109),IF(I109="B4",BT109^2/(Y109*AO109+BT109*AS109),IF(I109="C1",BV109^2/(U109*AS109+AC109*AW109+BV109*AO109),IF(I109="C2",BV109^2/(U109*AO109+AC109*AS109+BV109*AW109),IF(I109="C3",BV109^2/(AC109*AW109+Y109*AS109+BV109*AO109),IF(I109="C4",BV109^2/(BT109*AW109+U109*AS109+AC109*AO109),IF(I109="D1",BV109^2/(U109*AS109+Y109*BX109+AC109*AW109),IF(I109="D2",BV109^2/(U109*AO109+Y109*AW109+BV109*AO109),IF(I109="D3",(BX109+AW109)^2/(U109*AO109+BT109*AS109+AC109*AW109),IF(I109="D4",(BX109+AW109)^2/(Y109*AO109+BV109*AS109+BV109*AW109),IF(I109="E1",BT109^2/ABS(BT109*BX109-AS109*AW109-AW109*AS109),IF(I109="E2",BT109^2/ABS(BT109*BX109-U109*AO109-(BT109-AC109)*(BX109-AW109)),IF(I109="F1",BT109^2/ABS(BT109*BX109-AC109*AS109-(BT109-AC109-AG109)*(BX109-AW109-BA109)),IF(I109="F2",BT109^2/ABS(BT109*(BX109+AW109)-AC109*AW109-U109*AO109-(BT109-AC109-AG109)*(BX109+AW109-BA109)),IF(I109="F3",BV109^2/ABS(BV109*(BX109+AW109)-AG109*AW109-U109*AO109-AC109*BA109),IF(I109="F4",BV109^2/ABS(BV109*BX109-U109*AO109-AC109*AW109-(BV109-AG109)*(BX109-AW109-BA109)),IF(I109="G1",BV109^2/ABS(BV109*(BX109+AW109)-(U109-AG109)*AW109-U109*AS109-(AC109-AK109)*BE109-AC109*(BX109+AW109-BA109-BE109)),IF(I109="G2",BV109^2/ABS(BV109*(BA109+AS109+AW109)-U109*(BA109-AO109)-Y109*BA109-(BV109-AG109-AK109)*AW109-AK109*(AW109-BE109)),IF(I109="H",(BV109+AG109+AK109)^2/ABS((BV109+AG109+AK109)*BX109-U109*AS109-AC109*AS109-AG109*(AS109-BE109)-AK109*(BX109-BA109)),IF(I109="I",BV109^2/ABS(BV109*(BX109+AW109)-Y109*AS109)))))))))))))))))))))))))</f>
        <v>0.72727272727272729</v>
      </c>
      <c r="M109" s="1838"/>
      <c r="N109" s="1838"/>
      <c r="O109" s="1831">
        <f>IF(L109="","",HLOOKUP(I109,面積,D109+1,FALSE))</f>
        <v>3168</v>
      </c>
      <c r="P109" s="1832"/>
      <c r="Q109" s="1832"/>
      <c r="R109" s="1832"/>
      <c r="S109" s="1832"/>
      <c r="T109" s="1833"/>
      <c r="U109" s="2455">
        <v>48</v>
      </c>
      <c r="V109" s="2456"/>
      <c r="W109" s="2456"/>
      <c r="X109" s="2457"/>
      <c r="Y109" s="2458"/>
      <c r="Z109" s="2458"/>
      <c r="AA109" s="2458"/>
      <c r="AB109" s="2458"/>
      <c r="AC109" s="2458"/>
      <c r="AD109" s="2458"/>
      <c r="AE109" s="2458"/>
      <c r="AF109" s="2458"/>
      <c r="AG109" s="2458"/>
      <c r="AH109" s="2458"/>
      <c r="AI109" s="2458"/>
      <c r="AJ109" s="2458"/>
      <c r="AK109" s="2459"/>
      <c r="AL109" s="2456"/>
      <c r="AM109" s="2456"/>
      <c r="AN109" s="2460"/>
      <c r="AO109" s="2455">
        <v>66</v>
      </c>
      <c r="AP109" s="2456"/>
      <c r="AQ109" s="2456"/>
      <c r="AR109" s="2457"/>
      <c r="AS109" s="2458"/>
      <c r="AT109" s="2458"/>
      <c r="AU109" s="2458"/>
      <c r="AV109" s="2458"/>
      <c r="AW109" s="2458"/>
      <c r="AX109" s="2458"/>
      <c r="AY109" s="2458"/>
      <c r="AZ109" s="2458"/>
      <c r="BA109" s="2458"/>
      <c r="BB109" s="2458"/>
      <c r="BC109" s="2458"/>
      <c r="BD109" s="2458"/>
      <c r="BE109" s="2458"/>
      <c r="BF109" s="2458"/>
      <c r="BG109" s="2458"/>
      <c r="BH109" s="2461"/>
      <c r="BI109" s="2522">
        <f>IF(E109="","",IF(E109="  1F",SUM($CF$109:CF109)+$W$63,SUM($CF$109:CF109)))</f>
        <v>0</v>
      </c>
      <c r="BJ109" s="2523"/>
      <c r="BK109" s="2523"/>
      <c r="BL109" s="2523"/>
      <c r="BM109" s="2524"/>
      <c r="BN109" s="2525" t="str">
        <f t="shared" ref="BN109:BN124" si="7">IF(OR(E109="",BI109="",BI109&lt;20),"",IF(I109="A",2*(U109+AO109),IF(LEFT(I109,1)="B",2*(BT109+BX109),IF(OR(I109="C1",I109="C2"),2*BV109+2*(BX109+AW109),IF(I109="C3",2*(U109+AC109)+2*(AO109+AW109),IF(I109="C4",2*(Y109+AC109)+2*(AS109+AW109),IF(I109="D1",2*BV109+3*AO109+2*AS109,IF(I109="D2",2*BV109+2*AO109+3*AS109,IF(I109="D3",2*U109+3*Y109+2*(BX109+AW109),IF(I109="D4",3*U109+2*Y109+2*(BX109+AW109),IF(I109="E1",2*U109+3*Y109+2*BX109,IF(I109="E2",3*U109+2*Y109+2*BX109,IF(I109="F1",2*(U109+Y109)+2*BX109,IF(I109="F2",3*U109+2*Y109+2*(BX109+AW109),IF(I109="F3",2*(BV109+BX109+AW109),IF(I109="F4",2*(BV109+BX109),IF(I109="G1",2*(BV109+AG109+AK109+BX109+AW109),IF(I109="G2",2*(BV109+BX109+AW109+BA109+BE109),IF(I109="H",2*(BV109+AG109+AK109+BX109+AW109),IF(I109="I",2*(BV109+Y109+BX109+AS109+AW109)))))))))))))))))))))</f>
        <v/>
      </c>
      <c r="BO109" s="2526"/>
      <c r="BP109" s="2526"/>
      <c r="BQ109" s="2526"/>
      <c r="BR109" s="2526"/>
      <c r="BS109" s="408" t="str">
        <f t="shared" ref="BS109:BS123" si="8">IF(E109="","",IF(AND(I109="A",OR(U109="",AO109="")),"×",IF(AND(LEFT(I109,1)="B",OR(U109="",Y109="",AO109="",AS109="")),"×",IF(AND(OR(LEFT(I109,1)="C",LEFT(I109,1)="D",LEFT(I109,1)="E",I109="I"),OR(U109="",Y109="",AC109="",AO109="",AS109="",AW109="")),"×",IF(AND(LEFT(I109,1)="F",OR(U109="",Y109="",AC109="",AG109="",AO109="",AS109="",AW109="",BA109="")),"×",IF(AND(OR(LEFT(I109,1)="G",I109="H"),OR(U109="",Y109="",AC109="",AG109="",AK109="",AO109="",AS109="",AW109="",BA109="",BE109="")),"×","●"))))))</f>
        <v>●</v>
      </c>
      <c r="BT109" s="1812">
        <f>U109+Y109</f>
        <v>48</v>
      </c>
      <c r="BU109" s="1812"/>
      <c r="BV109" s="1812">
        <f>BT109+AC109</f>
        <v>48</v>
      </c>
      <c r="BW109" s="1812"/>
      <c r="BX109" s="1812">
        <f>AO109+AS109</f>
        <v>66</v>
      </c>
      <c r="BY109" s="1812"/>
      <c r="BZ109" s="1812">
        <f>BX109+AW109</f>
        <v>66</v>
      </c>
      <c r="CA109" s="1812"/>
      <c r="CB109" s="418"/>
      <c r="CC109" s="411"/>
      <c r="CD109" s="856">
        <f>O24</f>
        <v>5</v>
      </c>
      <c r="CE109" s="733"/>
      <c r="CF109" s="858" t="str">
        <f>IF(LEFT(E109,2)=" B","",CD109)</f>
        <v/>
      </c>
      <c r="CG109" s="733"/>
      <c r="CH109" s="858" t="str">
        <f>IF(LEFT(E109,1)="P","",CF109)</f>
        <v/>
      </c>
      <c r="CI109" s="733"/>
      <c r="CJ109" s="735" t="str">
        <f>E109</f>
        <v xml:space="preserve"> B2F</v>
      </c>
      <c r="CK109" s="734"/>
      <c r="CL109" s="737">
        <f t="shared" ref="CL109:CL116" si="9">IF(LEFT(E109,2)=" B",CD109,"")</f>
        <v>5</v>
      </c>
      <c r="CM109" s="734">
        <f>CD109</f>
        <v>5</v>
      </c>
      <c r="CN109" s="635"/>
      <c r="CR109" s="647" t="s">
        <v>2020</v>
      </c>
      <c r="CU109" s="636" t="s">
        <v>2036</v>
      </c>
      <c r="CV109" s="629"/>
      <c r="CW109" s="641">
        <f t="shared" si="6"/>
        <v>15</v>
      </c>
      <c r="CZ109" s="560" t="str">
        <f>E28</f>
        <v xml:space="preserve">  1F</v>
      </c>
      <c r="DA109" s="547" t="str">
        <f>IF(DH109="","",IF(CZ109=0,"  RF",IF(CZ109="  GL","  1F",CZ109)))</f>
        <v/>
      </c>
      <c r="DB109" s="721"/>
      <c r="DC109" s="722"/>
      <c r="DD109" s="722"/>
      <c r="DE109" s="721"/>
      <c r="DF109" s="722"/>
      <c r="DG109" s="722"/>
      <c r="DH109" s="719"/>
      <c r="DI109" s="724"/>
      <c r="DJ109" s="725"/>
      <c r="DK109" s="726"/>
      <c r="DL109" s="71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13"/>
      <c r="FI109" s="13"/>
      <c r="FJ109" s="13"/>
      <c r="FK109" s="13"/>
      <c r="FL109" s="143"/>
      <c r="FM109" s="144"/>
      <c r="FN109" s="138"/>
      <c r="FO109" s="145"/>
    </row>
    <row r="110" spans="1:756" s="1" customFormat="1" ht="10.5" customHeight="1">
      <c r="A110" s="2094"/>
      <c r="B110" s="6"/>
      <c r="C110" s="4"/>
      <c r="D110" s="48">
        <v>2</v>
      </c>
      <c r="E110" s="1839" t="str">
        <f>IF(OR($AQ$85=0,E26=""),"",E26)</f>
        <v xml:space="preserve"> B1F</v>
      </c>
      <c r="F110" s="1840"/>
      <c r="G110" s="1840"/>
      <c r="H110" s="1840"/>
      <c r="I110" s="1844" t="s">
        <v>2245</v>
      </c>
      <c r="J110" s="1845"/>
      <c r="K110" s="1846"/>
      <c r="L110" s="1837">
        <f>IF(E110="","",IF(I110="A",U110/AO110,IF(I110="B1",BT110^2/(U110*AS110+BT110*AO110),IF(I110="B2",BT110^2/(Y110*AS110+BT110*AO110),IF(I110="B3",BT110^2/(U110*AO110+BT110*AS110),IF(I110="B4",BT110^2/(Y110*AO110+BT110*AS110),IF(I110="C1",BV110^2/(U110*AS110+AC110*AW110+BV110*AO110),IF(I110="C2",BV110^2/(U110*AO110+AC110*AS110+BV110*AW110),IF(I110="C3",BV110^2/(AC110*AW110+Y110*AS110+BV110*AO110),IF(I110="C4",BV110^2/(BT110*AW110+U110*AS110+AC110*AO110),IF(I110="D1",BV110^2/(U110*AS110+Y110*BX110+AC110*AW110),IF(I110="D2",BV110^2/(U110*AO110+Y110*AW110+BV110*AO110),IF(I110="D3",(BX110+AW110)^2/(U110*AO110+BT110*AS110+AC110*AW110),IF(I110="D4",(BX110+AW110)^2/(Y110*AO110+BV110*AS110+BV110*AW110),IF(I110="E1",BT110^2/ABS(BT110*BX110-AS110*AW110-AW110*AS110),IF(I110="E2",BT110^2/ABS(BT110*BX110-U110*AO110-(BT110-AC110)*(BX110-AW110)),IF(I110="F1",BT110^2/ABS(BT110*BX110-AC110*AS110-(BT110-AC110-AG110)*(BX110-AW110-BA110)),IF(I110="F2",BT110^2/ABS(BT110*(BX110+AW110)-AC110*AW110-U110*AO110-(BT110-AC110-AG110)*(BX110+AW110-BA110)),IF(I110="F3",BV110^2/ABS(BV110*(BX110+AW110)-AG110*AW110-U110*AO110-AC110*BA110),IF(I110="F4",BV110^2/ABS(BV110*BX110-U110*AO110-AC110*AW110-(BV110-AG110)*(BX110-AW110-BA110)),IF(I110="G1",BV110^2/ABS(BV110*(BX110+AW110)-(U110-AG110)*AW110-U110*AS110-(AC110-AK110)*BE110-AC110*(BX110+AW110-BA110-BE110)),IF(I110="G2",BV110^2/ABS(BV110*(BA110+AS110+AW110)-U110*(BA110-AO110)-Y110*BA110-(BV110-AG110-AK110)*AW110-AK110*(AW110-BE110)),IF(I110="H",(BV110+AG110+AK110)^2/ABS((BV110+AG110+AK110)*BX110-U110*AS110-AC110*AS110-AG110*(AS110-BE110)-AK110*(BX110-BA110)),IF(I110="I",BV110^2/ABS(BV110*(BX110+AW110)-Y110*AS110)))))))))))))))))))))))))</f>
        <v>0.72727272727272729</v>
      </c>
      <c r="M110" s="1838"/>
      <c r="N110" s="1838"/>
      <c r="O110" s="1831">
        <f>IF(L110="","",HLOOKUP(I110,面積,D110+1,FALSE))</f>
        <v>3168</v>
      </c>
      <c r="P110" s="1832"/>
      <c r="Q110" s="1832"/>
      <c r="R110" s="1832"/>
      <c r="S110" s="1832"/>
      <c r="T110" s="1833"/>
      <c r="U110" s="2469">
        <v>48</v>
      </c>
      <c r="V110" s="2470"/>
      <c r="W110" s="2470"/>
      <c r="X110" s="2471"/>
      <c r="Y110" s="2472"/>
      <c r="Z110" s="2472"/>
      <c r="AA110" s="2472"/>
      <c r="AB110" s="2472"/>
      <c r="AC110" s="2472"/>
      <c r="AD110" s="2472"/>
      <c r="AE110" s="2472"/>
      <c r="AF110" s="2472"/>
      <c r="AG110" s="2472"/>
      <c r="AH110" s="2472"/>
      <c r="AI110" s="2472"/>
      <c r="AJ110" s="2472"/>
      <c r="AK110" s="2473"/>
      <c r="AL110" s="2474"/>
      <c r="AM110" s="2474"/>
      <c r="AN110" s="2475"/>
      <c r="AO110" s="2469">
        <v>66</v>
      </c>
      <c r="AP110" s="2470"/>
      <c r="AQ110" s="2470"/>
      <c r="AR110" s="2471"/>
      <c r="AS110" s="2472"/>
      <c r="AT110" s="2472"/>
      <c r="AU110" s="2472"/>
      <c r="AV110" s="2472"/>
      <c r="AW110" s="2472"/>
      <c r="AX110" s="2472"/>
      <c r="AY110" s="2472"/>
      <c r="AZ110" s="2472"/>
      <c r="BA110" s="2472"/>
      <c r="BB110" s="2472"/>
      <c r="BC110" s="2472"/>
      <c r="BD110" s="2472"/>
      <c r="BE110" s="2472"/>
      <c r="BF110" s="2472"/>
      <c r="BG110" s="2472"/>
      <c r="BH110" s="2476"/>
      <c r="BI110" s="2522">
        <f>IF(E110="","",IF(E110="  1F",SUM($CF$109:CF110)+$W$63,SUM($CF$109:CF110)))</f>
        <v>0</v>
      </c>
      <c r="BJ110" s="2523"/>
      <c r="BK110" s="2523"/>
      <c r="BL110" s="2523"/>
      <c r="BM110" s="2524"/>
      <c r="BN110" s="2525" t="str">
        <f t="shared" si="7"/>
        <v/>
      </c>
      <c r="BO110" s="2526"/>
      <c r="BP110" s="2526"/>
      <c r="BQ110" s="2526"/>
      <c r="BR110" s="2526"/>
      <c r="BS110" s="408" t="str">
        <f>IF(E110="","",IF(AND(I110="A",OR(U110="",AO110="")),"×",IF(AND(LEFT(I110,1)="B",OR(U110="",Y110="",AO110="",AS110="")),"×",IF(AND(OR(LEFT(I110,1)="C",LEFT(I110,1)="D",LEFT(I110,1)="E",I110="I"),OR(U110="",Y110="",AC110="",AO110="",AS110="",AW110="")),"×",IF(AND(LEFT(I110,1)="F",OR(U110="",Y110="",AC110="",AG110="",AO110="",AS110="",AW110="",BA110="")),"×",IF(AND(OR(LEFT(I110,1)="G",I110="H"),OR(U110="",Y110="",AC110="",AG110="",AK110="",AO110="",AS110="",AW110="",BA110="",BE110="")),"×","●"))))))</f>
        <v>●</v>
      </c>
      <c r="BT110" s="1812">
        <f>U110+Y110</f>
        <v>48</v>
      </c>
      <c r="BU110" s="1812"/>
      <c r="BV110" s="1812">
        <f>BT110+AC110</f>
        <v>48</v>
      </c>
      <c r="BW110" s="1812"/>
      <c r="BX110" s="1812">
        <f>AO110+AS110</f>
        <v>66</v>
      </c>
      <c r="BY110" s="1812"/>
      <c r="BZ110" s="1812">
        <f t="shared" ref="BZ110:BZ128" si="10">BX110+AW110</f>
        <v>66</v>
      </c>
      <c r="CA110" s="1812"/>
      <c r="CB110" s="418"/>
      <c r="CC110" s="411"/>
      <c r="CD110" s="857">
        <f>O26</f>
        <v>5</v>
      </c>
      <c r="CE110" s="733"/>
      <c r="CF110" s="858" t="str">
        <f t="shared" ref="CF110:CF128" si="11">IF(LEFT(E110,2)=" B","",CD110)</f>
        <v/>
      </c>
      <c r="CG110" s="733"/>
      <c r="CH110" s="858" t="str">
        <f t="shared" ref="CH110:CH128" si="12">IF(LEFT(E110,1)="P","",CF110)</f>
        <v/>
      </c>
      <c r="CI110" s="733"/>
      <c r="CJ110" s="735" t="str">
        <f t="shared" ref="CJ110:CJ128" si="13">E110</f>
        <v xml:space="preserve"> B1F</v>
      </c>
      <c r="CK110" s="734"/>
      <c r="CL110" s="737">
        <f t="shared" si="9"/>
        <v>5</v>
      </c>
      <c r="CM110" s="734">
        <f>CD110</f>
        <v>5</v>
      </c>
      <c r="CN110" s="635"/>
      <c r="CR110" s="647"/>
      <c r="CU110" s="636" t="s">
        <v>2037</v>
      </c>
      <c r="CV110" s="629"/>
      <c r="CW110" s="641">
        <f t="shared" si="6"/>
        <v>12</v>
      </c>
      <c r="CZ110" s="560" t="str">
        <f>E30</f>
        <v xml:space="preserve">  2F</v>
      </c>
      <c r="DA110" s="547" t="str">
        <f>IF(DH110="","",IF(CZ110=0,"  RF",IF(CZ110="  GL","  1F",CZ110)))</f>
        <v/>
      </c>
      <c r="DB110" s="721"/>
      <c r="DC110" s="722"/>
      <c r="DD110" s="722"/>
      <c r="DE110" s="721"/>
      <c r="DF110" s="722"/>
      <c r="DG110" s="722"/>
      <c r="DH110" s="719"/>
      <c r="DI110" s="724"/>
      <c r="DJ110" s="725"/>
      <c r="DK110" s="726"/>
      <c r="DL110" s="71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13"/>
      <c r="FI110" s="13"/>
      <c r="FJ110" s="13"/>
      <c r="FK110" s="13"/>
      <c r="FL110" s="153" t="s">
        <v>334</v>
      </c>
      <c r="FM110" s="150"/>
      <c r="FN110" s="151"/>
      <c r="FO110" s="154"/>
    </row>
    <row r="111" spans="1:756" s="1" customFormat="1" ht="10.5" customHeight="1">
      <c r="A111" s="2094"/>
      <c r="B111" s="6"/>
      <c r="C111" s="4"/>
      <c r="D111" s="48">
        <v>3</v>
      </c>
      <c r="E111" s="1839" t="str">
        <f>IF(OR($AQ$85=0,E28=""),"",E28)</f>
        <v xml:space="preserve">  1F</v>
      </c>
      <c r="F111" s="1840"/>
      <c r="G111" s="1840"/>
      <c r="H111" s="1840"/>
      <c r="I111" s="1844" t="s">
        <v>2248</v>
      </c>
      <c r="J111" s="1845"/>
      <c r="K111" s="1846"/>
      <c r="L111" s="1837">
        <f>IF(E111="","",IF(I111="A",U111/AO111,IF(I111="B1",BT111^2/(U111*AS111+BT111*AO111),IF(I111="B2",BT111^2/(Y111*AS111+BT111*AO111),IF(I111="B3",BT111^2/(U111*AO111+BT111*AS111),IF(I111="B4",BT111^2/(Y111*AO111+BT111*AS111),IF(I111="C1",BV111^2/(U111*AS111+AC111*AW111+BV111*AO111),IF(I111="C2",BV111^2/(U111*AO111+AC111*AS111+BV111*AW111),IF(I111="C3",BV111^2/(AC111*AW111+Y111*AS111+BV111*AO111),IF(I111="C4",BV111^2/(BT111*AW111+U111*AS111+AC111*AO111),IF(I111="D1",BV111^2/(U111*AS111+Y111*BX111+AC111*AW111),IF(I111="D2",BV111^2/(U111*AO111+Y111*AW111+BV111*AO111),IF(I111="D3",(BX111+AW111)^2/(U111*AO111+BT111*AS111+AC111*AW111),IF(I111="D4",(BX111+AW111)^2/(Y111*AO111+BV111*AS111+BV111*AW111),IF(I111="E1",BT111^2/ABS(BT111*BX111-AS111*AW111-AW111*AS111),IF(I111="E2",BT111^2/ABS(BT111*BX111-U111*AO111-(BT111-AC111)*(BX111-AW111)),IF(I111="F1",BT111^2/ABS(BT111*BX111-AC111*AS111-(BT111-AC111-AG111)*(BX111-AW111-BA111)),IF(I111="F2",BT111^2/ABS(BT111*(BX111+AW111)-AC111*AW111-U111*AO111-(BT111-AC111-AG111)*(BX111+AW111-BA111)),IF(I111="F3",BV111^2/ABS(BV111*(BX111+AW111)-AG111*AW111-U111*AO111-AC111*BA111),IF(I111="F4",BV111^2/ABS(BV111*BX111-U111*AO111-AC111*AW111-(BV111-AG111)*(BX111-AW111-BA111)),IF(I111="G1",BV111^2/ABS(BV111*(BX111+AW111)-(U111-AG111)*AW111-U111*AS111-(AC111-AK111)*BE111-AC111*(BX111+AW111-BA111-BE111)),IF(I111="G2",BV111^2/ABS(BV111*(BA111+AS111+AW111)-U111*(BA111-AO111)-Y111*BA111-(BV111-AG111-AK111)*AW111-AK111*(AW111-BE111)),IF(I111="H",(BV111+AG111+AK111)^2/ABS((BV111+AG111+AK111)*BX111-U111*AS111-AC111*AS111-AG111*(AS111-BE111)-AK111*(BX111-BA111)),IF(I111="I",BV111^2/ABS(BV111*(BX111+AW111)-Y111*AS111)))))))))))))))))))))))))</f>
        <v>0.94339622641509435</v>
      </c>
      <c r="M111" s="1838"/>
      <c r="N111" s="1838"/>
      <c r="O111" s="1831">
        <f t="shared" ref="O111:O128" si="14">IF(E111="","",HLOOKUP(I111,面積,D111+1,FALSE))</f>
        <v>3816</v>
      </c>
      <c r="P111" s="1832"/>
      <c r="Q111" s="1832"/>
      <c r="R111" s="1832"/>
      <c r="S111" s="1832"/>
      <c r="T111" s="1833"/>
      <c r="U111" s="2469">
        <v>48</v>
      </c>
      <c r="V111" s="2470"/>
      <c r="W111" s="2470"/>
      <c r="X111" s="2471"/>
      <c r="Y111" s="2477">
        <v>12</v>
      </c>
      <c r="Z111" s="2478"/>
      <c r="AA111" s="2478"/>
      <c r="AB111" s="2479"/>
      <c r="AC111" s="2477"/>
      <c r="AD111" s="2478"/>
      <c r="AE111" s="2478"/>
      <c r="AF111" s="2479"/>
      <c r="AG111" s="2477"/>
      <c r="AH111" s="2478"/>
      <c r="AI111" s="2478"/>
      <c r="AJ111" s="2479"/>
      <c r="AK111" s="2477"/>
      <c r="AL111" s="2478"/>
      <c r="AM111" s="2478"/>
      <c r="AN111" s="2480"/>
      <c r="AO111" s="2469">
        <v>54</v>
      </c>
      <c r="AP111" s="2470"/>
      <c r="AQ111" s="2470"/>
      <c r="AR111" s="2471"/>
      <c r="AS111" s="2477">
        <v>12</v>
      </c>
      <c r="AT111" s="2478"/>
      <c r="AU111" s="2478"/>
      <c r="AV111" s="2479"/>
      <c r="AW111" s="2477"/>
      <c r="AX111" s="2478"/>
      <c r="AY111" s="2478"/>
      <c r="AZ111" s="2479"/>
      <c r="BA111" s="2472"/>
      <c r="BB111" s="2472"/>
      <c r="BC111" s="2472"/>
      <c r="BD111" s="2472"/>
      <c r="BE111" s="2472"/>
      <c r="BF111" s="2472"/>
      <c r="BG111" s="2472"/>
      <c r="BH111" s="2476"/>
      <c r="BI111" s="2522">
        <f>IF(E111="","",IF(E111="  1F",SUM($CF$109:CF111)+$W$63,SUM($CF$109:CF111)))</f>
        <v>5.75</v>
      </c>
      <c r="BJ111" s="2523"/>
      <c r="BK111" s="2523"/>
      <c r="BL111" s="2523"/>
      <c r="BM111" s="2524"/>
      <c r="BN111" s="2525" t="str">
        <f t="shared" si="7"/>
        <v/>
      </c>
      <c r="BO111" s="2526"/>
      <c r="BP111" s="2526"/>
      <c r="BQ111" s="2526"/>
      <c r="BR111" s="2526"/>
      <c r="BS111" s="408" t="str">
        <f>IF(E111="","",IF(AND(I111="A",OR(U111="",AO111="")),"×",IF(AND(LEFT(I111,1)="B",OR(U111="",Y111="",AO111="",AS111="")),"×",IF(AND(OR(LEFT(I111,1)="C",LEFT(I111,1)="D",LEFT(I111,1)="E",I111="I"),OR(U111="",Y111="",AC111="",AO111="",AS111="",AW111="")),"×",IF(AND(LEFT(I111,1)="F",OR(U111="",Y111="",AC111="",AG111="",AO111="",AS111="",AW111="",BA111="")),"×",IF(AND(OR(LEFT(I111,1)="G",I111="H"),OR(U111="",Y111="",AC111="",AG111="",AK111="",AO111="",AS111="",AW111="",BA111="",BE111="")),"×","●"))))))</f>
        <v>●</v>
      </c>
      <c r="BT111" s="1812">
        <f t="shared" ref="BT111:BT128" si="15">U111+Y111</f>
        <v>60</v>
      </c>
      <c r="BU111" s="1812"/>
      <c r="BV111" s="1812">
        <f t="shared" ref="BV111:BV128" si="16">BT111+AC111</f>
        <v>60</v>
      </c>
      <c r="BW111" s="1812"/>
      <c r="BX111" s="1812">
        <f>AO111+AS111</f>
        <v>66</v>
      </c>
      <c r="BY111" s="1812"/>
      <c r="BZ111" s="1812">
        <f>BX111+AW111</f>
        <v>66</v>
      </c>
      <c r="CA111" s="1812"/>
      <c r="CB111" s="418"/>
      <c r="CC111" s="411"/>
      <c r="CD111" s="857">
        <f>O28</f>
        <v>5</v>
      </c>
      <c r="CE111" s="733"/>
      <c r="CF111" s="858">
        <f t="shared" si="11"/>
        <v>5</v>
      </c>
      <c r="CG111" s="733"/>
      <c r="CH111" s="858">
        <f t="shared" si="12"/>
        <v>5</v>
      </c>
      <c r="CI111" s="733"/>
      <c r="CJ111" s="735" t="str">
        <f t="shared" si="13"/>
        <v xml:space="preserve">  1F</v>
      </c>
      <c r="CK111" s="734"/>
      <c r="CL111" s="737" t="str">
        <f t="shared" si="9"/>
        <v/>
      </c>
      <c r="CM111" s="734">
        <f>CD111</f>
        <v>5</v>
      </c>
      <c r="CN111" s="635"/>
      <c r="CR111" s="647" t="s">
        <v>2173</v>
      </c>
      <c r="CU111" s="636" t="s">
        <v>2038</v>
      </c>
      <c r="CV111" s="629"/>
      <c r="CW111" s="641">
        <f t="shared" si="6"/>
        <v>12</v>
      </c>
      <c r="CZ111" s="560" t="str">
        <f>E32</f>
        <v xml:space="preserve">  3F</v>
      </c>
      <c r="DA111" s="547" t="str">
        <f>IF(DH111="","",IF(CZ111=0,"  RF",IF(CZ111="  GL","  1F",CZ111)))</f>
        <v/>
      </c>
      <c r="DB111" s="721"/>
      <c r="DC111" s="722"/>
      <c r="DD111" s="722"/>
      <c r="DE111" s="721"/>
      <c r="DF111" s="722"/>
      <c r="DG111" s="722"/>
      <c r="DH111" s="719"/>
      <c r="DI111" s="724"/>
      <c r="DJ111" s="725"/>
      <c r="DK111" s="726"/>
      <c r="DL111" s="71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13"/>
      <c r="FI111" s="13"/>
      <c r="FJ111" s="13"/>
      <c r="FK111" s="13"/>
      <c r="FL111" s="143" t="s">
        <v>335</v>
      </c>
      <c r="FM111" s="144">
        <v>5</v>
      </c>
      <c r="FN111" s="138" t="s">
        <v>312</v>
      </c>
      <c r="FO111" s="145">
        <v>5</v>
      </c>
    </row>
    <row r="112" spans="1:756" s="1" customFormat="1" ht="10.5" customHeight="1">
      <c r="A112" s="2094"/>
      <c r="B112" s="6"/>
      <c r="C112" s="4"/>
      <c r="D112" s="48">
        <v>4</v>
      </c>
      <c r="E112" s="1839" t="str">
        <f>IF(OR($AQ$85=0,E30=""),"",E30)</f>
        <v xml:space="preserve">  2F</v>
      </c>
      <c r="F112" s="1840"/>
      <c r="G112" s="1840"/>
      <c r="H112" s="1840"/>
      <c r="I112" s="1834" t="s">
        <v>2248</v>
      </c>
      <c r="J112" s="1835"/>
      <c r="K112" s="1836"/>
      <c r="L112" s="1837">
        <f t="shared" ref="L112:L128" si="17">IF(E112="","",IF(I112="A",U112/AO112,IF(I112="B1",BT112^2/(U112*AS112+BT112*AO112),IF(I112="B2",BT112^2/(Y112*AS112+BT112*AO112),IF(I112="B3",BT112^2/(U112*AO112+BT112*AS112),IF(I112="B4",BT112^2/(Y112*AO112+BT112*AS112),IF(I112="C1",BV112^2/(U112*AS112+AC112*AW112+BV112*AO112),IF(I112="C2",BV112^2/(U112*AO112+AC112*AS112+BV112*AW112),IF(I112="C3",BV112^2/(AC112*AW112+Y112*AS112+BV112*AO112),IF(I112="C4",BV112^2/(BT112*AW112+U112*AS112+AC112*AO112),IF(I112="D1",BV112^2/(U112*AS112+Y112*BX112+AC112*AW112),IF(I112="D2",BV112^2/(U112*AO112+Y112*AW112+BV112*AO112),IF(I112="D3",(BX112+AW112)^2/(U112*AO112+BT112*AS112+AC112*AW112),IF(I112="D4",(BX112+AW112)^2/(Y112*AO112+BV112*AS112+BV112*AW112),IF(I112="E1",BT112^2/ABS(BT112*BX112-AS112*AW112-AW112*AS112),IF(I112="E2",BT112^2/ABS(BT112*BX112-U112*AO112-(BT112-AC112)*(BX112-AW112)),IF(I112="F1",BT112^2/ABS(BT112*BX112-AC112*AS112-(BT112-AC112-AG112)*(BX112-AW112-BA112)),IF(I112="F2",BT112^2/ABS(BT112*(BX112+AW112)-AC112*AW112-U112*AO112-(BT112-AC112-AG112)*(BX112+AW112-BA112)),IF(I112="F3",BV112^2/ABS(BV112*(BX112+AW112)-AG112*AW112-U112*AO112-AC112*BA112),IF(I112="F4",BV112^2/ABS(BV112*BX112-U112*AO112-AC112*AW112-(BV112-AG112)*(BX112-AW112-BA112)),IF(I112="G1",BV112^2/ABS(BV112*(BX112+AW112)-(U112-AG112)*AW112-U112*AS112-(AC112-AK112)*BE112-AC112*(BX112+AW112-BA112-BE112)),IF(I112="G2",BV112^2/ABS(BV112*(BA112+AS112+AW112)-U112*(BA112-AO112)-Y112*BA112-(BV112-AG112-AK112)*AW112-AK112*(AW112-BE112)),IF(I112="H",(BV112+AG112+AK112)^2/ABS((BV112+AG112+AK112)*BX112-U112*AS112-AC112*AS112-AG112*(AS112-BE112)-AK112*(BX112-BA112)),IF(I112="I",BV112^2/ABS(BV112*(BX112+AW112)-Y112*AS112)))))))))))))))))))))))))</f>
        <v>0.94339622641509435</v>
      </c>
      <c r="M112" s="1838"/>
      <c r="N112" s="1838"/>
      <c r="O112" s="1831">
        <f t="shared" si="14"/>
        <v>3816</v>
      </c>
      <c r="P112" s="1832"/>
      <c r="Q112" s="1832"/>
      <c r="R112" s="1832"/>
      <c r="S112" s="1832"/>
      <c r="T112" s="1833"/>
      <c r="U112" s="2485">
        <v>48</v>
      </c>
      <c r="V112" s="2486"/>
      <c r="W112" s="2486"/>
      <c r="X112" s="2487"/>
      <c r="Y112" s="2481">
        <v>12</v>
      </c>
      <c r="Z112" s="2482"/>
      <c r="AA112" s="2482"/>
      <c r="AB112" s="2483"/>
      <c r="AC112" s="2481"/>
      <c r="AD112" s="2482"/>
      <c r="AE112" s="2482"/>
      <c r="AF112" s="2483"/>
      <c r="AG112" s="2481"/>
      <c r="AH112" s="2482"/>
      <c r="AI112" s="2482"/>
      <c r="AJ112" s="2483"/>
      <c r="AK112" s="2481"/>
      <c r="AL112" s="2482"/>
      <c r="AM112" s="2482"/>
      <c r="AN112" s="2484"/>
      <c r="AO112" s="2485">
        <v>54</v>
      </c>
      <c r="AP112" s="2486"/>
      <c r="AQ112" s="2486"/>
      <c r="AR112" s="2487"/>
      <c r="AS112" s="2481">
        <v>12</v>
      </c>
      <c r="AT112" s="2482"/>
      <c r="AU112" s="2482"/>
      <c r="AV112" s="2483"/>
      <c r="AW112" s="2481"/>
      <c r="AX112" s="2482"/>
      <c r="AY112" s="2482"/>
      <c r="AZ112" s="2483"/>
      <c r="BA112" s="2488"/>
      <c r="BB112" s="2488"/>
      <c r="BC112" s="2488"/>
      <c r="BD112" s="2488"/>
      <c r="BE112" s="2488"/>
      <c r="BF112" s="2488"/>
      <c r="BG112" s="2488"/>
      <c r="BH112" s="2489"/>
      <c r="BI112" s="2522">
        <f>IF(E112="","",IF(E112="  1F",SUM($CF$109:CF112)+$W$63,SUM($CF$109:CF112)))</f>
        <v>9</v>
      </c>
      <c r="BJ112" s="2523"/>
      <c r="BK112" s="2523"/>
      <c r="BL112" s="2523"/>
      <c r="BM112" s="2524"/>
      <c r="BN112" s="2525" t="str">
        <f t="shared" si="7"/>
        <v/>
      </c>
      <c r="BO112" s="2526"/>
      <c r="BP112" s="2526"/>
      <c r="BQ112" s="2526"/>
      <c r="BR112" s="2526"/>
      <c r="BS112" s="408" t="str">
        <f>IF(E112="","",IF(AND(I112="A",OR(U112="",AO112="")),"×",IF(AND(LEFT(I112,1)="B",OR(U112="",Y112="",AO112="",AS112="")),"×",IF(AND(OR(LEFT(I112,1)="C",LEFT(I112,1)="D",LEFT(I112,1)="E",I112="I"),OR(U112="",Y112="",AC112="",AO112="",AS112="",AW112="")),"×",IF(AND(LEFT(I112,1)="F",OR(U112="",Y112="",AC112="",AG112="",AO112="",AS112="",AW112="",BA112="")),"×",IF(AND(OR(LEFT(I112,1)="G",I112="H"),OR(U112="",Y112="",AC112="",AG112="",AK112="",AO112="",AS112="",AW112="",BA112="",BE112="")),"×","●"))))))</f>
        <v>●</v>
      </c>
      <c r="BT112" s="1812">
        <f t="shared" si="15"/>
        <v>60</v>
      </c>
      <c r="BU112" s="1812"/>
      <c r="BV112" s="1812">
        <f t="shared" si="16"/>
        <v>60</v>
      </c>
      <c r="BW112" s="1812"/>
      <c r="BX112" s="1812">
        <f t="shared" ref="BX112:BX128" si="18">AO112+AS112</f>
        <v>66</v>
      </c>
      <c r="BY112" s="1812"/>
      <c r="BZ112" s="1812">
        <f t="shared" si="10"/>
        <v>66</v>
      </c>
      <c r="CA112" s="1812"/>
      <c r="CB112" s="418"/>
      <c r="CC112" s="411"/>
      <c r="CD112" s="857">
        <f>O30</f>
        <v>4</v>
      </c>
      <c r="CE112" s="733"/>
      <c r="CF112" s="858">
        <f t="shared" si="11"/>
        <v>4</v>
      </c>
      <c r="CG112" s="733"/>
      <c r="CH112" s="858">
        <f t="shared" si="12"/>
        <v>4</v>
      </c>
      <c r="CI112" s="733"/>
      <c r="CJ112" s="735" t="str">
        <f t="shared" si="13"/>
        <v xml:space="preserve">  2F</v>
      </c>
      <c r="CK112" s="734"/>
      <c r="CL112" s="737" t="str">
        <f t="shared" si="9"/>
        <v/>
      </c>
      <c r="CM112" s="734">
        <f>CD112</f>
        <v>4</v>
      </c>
      <c r="CN112" s="635"/>
      <c r="CR112" s="647" t="s">
        <v>2174</v>
      </c>
      <c r="CU112" s="636" t="s">
        <v>2039</v>
      </c>
      <c r="CV112" s="629"/>
      <c r="CW112" s="641">
        <f t="shared" si="6"/>
        <v>12</v>
      </c>
      <c r="CZ112" s="560" t="str">
        <f>E34</f>
        <v xml:space="preserve">  4F</v>
      </c>
      <c r="DA112" s="547" t="str">
        <f>IF(DH112="","",IF(CZ112=0,"  RF",IF(CZ112="  GL","  1F",CZ112)))</f>
        <v/>
      </c>
      <c r="DB112" s="721"/>
      <c r="DC112" s="722"/>
      <c r="DD112" s="722"/>
      <c r="DE112" s="721"/>
      <c r="DF112" s="722"/>
      <c r="DG112" s="722"/>
      <c r="DH112" s="719"/>
      <c r="DI112" s="724"/>
      <c r="DJ112" s="725"/>
      <c r="DK112" s="726"/>
      <c r="DL112" s="71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13"/>
      <c r="FI112" s="13"/>
      <c r="FJ112" s="13"/>
      <c r="FK112" s="13"/>
      <c r="FL112" s="143" t="s">
        <v>336</v>
      </c>
      <c r="FM112" s="144">
        <v>2</v>
      </c>
      <c r="FN112" s="138" t="s">
        <v>304</v>
      </c>
      <c r="FO112" s="155">
        <v>5</v>
      </c>
    </row>
    <row r="113" spans="1:171" s="1" customFormat="1" ht="10.5" customHeight="1">
      <c r="A113" s="2094"/>
      <c r="B113" s="6"/>
      <c r="C113" s="4"/>
      <c r="D113" s="48">
        <v>5</v>
      </c>
      <c r="E113" s="1839" t="str">
        <f>IF(OR($AQ$85=0,E32=""),"",E32)</f>
        <v xml:space="preserve">  3F</v>
      </c>
      <c r="F113" s="1840"/>
      <c r="G113" s="1840"/>
      <c r="H113" s="1840"/>
      <c r="I113" s="1834" t="s">
        <v>2248</v>
      </c>
      <c r="J113" s="1835"/>
      <c r="K113" s="1836"/>
      <c r="L113" s="1837">
        <f t="shared" si="17"/>
        <v>0.94339622641509435</v>
      </c>
      <c r="M113" s="1838"/>
      <c r="N113" s="1838"/>
      <c r="O113" s="1831">
        <f t="shared" si="14"/>
        <v>3816</v>
      </c>
      <c r="P113" s="1832"/>
      <c r="Q113" s="1832"/>
      <c r="R113" s="1832"/>
      <c r="S113" s="1832"/>
      <c r="T113" s="1833"/>
      <c r="U113" s="2485">
        <v>48</v>
      </c>
      <c r="V113" s="2486"/>
      <c r="W113" s="2486"/>
      <c r="X113" s="2487"/>
      <c r="Y113" s="2481">
        <v>12</v>
      </c>
      <c r="Z113" s="2482"/>
      <c r="AA113" s="2482"/>
      <c r="AB113" s="2483"/>
      <c r="AC113" s="2481"/>
      <c r="AD113" s="2482"/>
      <c r="AE113" s="2482"/>
      <c r="AF113" s="2483"/>
      <c r="AG113" s="2481"/>
      <c r="AH113" s="2482"/>
      <c r="AI113" s="2482"/>
      <c r="AJ113" s="2483"/>
      <c r="AK113" s="2481"/>
      <c r="AL113" s="2482"/>
      <c r="AM113" s="2482"/>
      <c r="AN113" s="2484"/>
      <c r="AO113" s="2485">
        <v>54</v>
      </c>
      <c r="AP113" s="2486"/>
      <c r="AQ113" s="2486"/>
      <c r="AR113" s="2487"/>
      <c r="AS113" s="2481">
        <v>12</v>
      </c>
      <c r="AT113" s="2482"/>
      <c r="AU113" s="2482"/>
      <c r="AV113" s="2483"/>
      <c r="AW113" s="2481"/>
      <c r="AX113" s="2482"/>
      <c r="AY113" s="2482"/>
      <c r="AZ113" s="2483"/>
      <c r="BA113" s="2488"/>
      <c r="BB113" s="2488"/>
      <c r="BC113" s="2488"/>
      <c r="BD113" s="2488"/>
      <c r="BE113" s="2488"/>
      <c r="BF113" s="2488"/>
      <c r="BG113" s="2488"/>
      <c r="BH113" s="2489"/>
      <c r="BI113" s="2522">
        <f>IF(E113="","",IF(E113="  1F",SUM($CF$109:CF113)+$W$63,SUM($CF$109:CF113)))</f>
        <v>13</v>
      </c>
      <c r="BJ113" s="2523"/>
      <c r="BK113" s="2523"/>
      <c r="BL113" s="2523"/>
      <c r="BM113" s="2524"/>
      <c r="BN113" s="2525" t="str">
        <f t="shared" si="7"/>
        <v/>
      </c>
      <c r="BO113" s="2526"/>
      <c r="BP113" s="2526"/>
      <c r="BQ113" s="2526"/>
      <c r="BR113" s="2526"/>
      <c r="BS113" s="408" t="str">
        <f>IF(E113="","",IF(AND(I113="A",OR(U113="",AO113="")),"×",IF(AND(LEFT(I113,1)="B",OR(U113="",Y113="",AO113="",AS113="")),"×",IF(AND(OR(LEFT(I113,1)="C",LEFT(I113,1)="D",LEFT(I113,1)="E",I113="I"),OR(U113="",Y113="",AC113="",AO113="",AS113="",AW113="")),"×",IF(AND(LEFT(I113,1)="F",OR(U113="",Y113="",AC113="",AG113="",AO113="",AS113="",AW113="",BA113="")),"×",IF(AND(OR(LEFT(I113,1)="G",I113="H"),OR(U113="",Y113="",AC113="",AG113="",AK113="",AO113="",AS113="",AW113="",BA113="",BE113="")),"×","●"))))))</f>
        <v>●</v>
      </c>
      <c r="BT113" s="1812">
        <f t="shared" si="15"/>
        <v>60</v>
      </c>
      <c r="BU113" s="1812"/>
      <c r="BV113" s="1812">
        <f t="shared" si="16"/>
        <v>60</v>
      </c>
      <c r="BW113" s="1812"/>
      <c r="BX113" s="1812">
        <f t="shared" si="18"/>
        <v>66</v>
      </c>
      <c r="BY113" s="1812"/>
      <c r="BZ113" s="1812">
        <f t="shared" si="10"/>
        <v>66</v>
      </c>
      <c r="CA113" s="1812"/>
      <c r="CB113" s="418"/>
      <c r="CC113" s="411"/>
      <c r="CD113" s="857">
        <f>O32</f>
        <v>4</v>
      </c>
      <c r="CE113" s="733"/>
      <c r="CF113" s="858">
        <f t="shared" si="11"/>
        <v>4</v>
      </c>
      <c r="CG113" s="733"/>
      <c r="CH113" s="858">
        <f t="shared" si="12"/>
        <v>4</v>
      </c>
      <c r="CI113" s="733"/>
      <c r="CJ113" s="735" t="str">
        <f t="shared" si="13"/>
        <v xml:space="preserve">  3F</v>
      </c>
      <c r="CK113" s="734"/>
      <c r="CL113" s="737" t="str">
        <f t="shared" si="9"/>
        <v/>
      </c>
      <c r="CM113" s="734">
        <f>CD113</f>
        <v>4</v>
      </c>
      <c r="CN113" s="635"/>
      <c r="CR113" s="647" t="s">
        <v>2059</v>
      </c>
      <c r="CU113" s="636" t="s">
        <v>2040</v>
      </c>
      <c r="CV113" s="629"/>
      <c r="CW113" s="641">
        <f t="shared" si="6"/>
        <v>12</v>
      </c>
      <c r="CZ113" s="560" t="str">
        <f>E36</f>
        <v xml:space="preserve">  5F</v>
      </c>
      <c r="DA113" s="547" t="str">
        <f t="shared" ref="DA113:DA126" si="19">IF(DH113="","",IF(CZ113=0,"  RF",IF(CZ113="  GL","  1F",CZ113)))</f>
        <v/>
      </c>
      <c r="DB113" s="721"/>
      <c r="DC113" s="722"/>
      <c r="DD113" s="722"/>
      <c r="DE113" s="721"/>
      <c r="DF113" s="722"/>
      <c r="DG113" s="722"/>
      <c r="DH113" s="719"/>
      <c r="DI113" s="724"/>
      <c r="DJ113" s="725"/>
      <c r="DK113" s="726"/>
      <c r="DL113" s="71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13"/>
      <c r="FI113" s="13"/>
      <c r="FJ113" s="13"/>
      <c r="FK113" s="13"/>
      <c r="FL113" s="143" t="s">
        <v>51</v>
      </c>
      <c r="FM113" s="144">
        <v>2</v>
      </c>
      <c r="FN113" s="138" t="s">
        <v>304</v>
      </c>
      <c r="FO113" s="145">
        <v>3</v>
      </c>
    </row>
    <row r="114" spans="1:171" s="1" customFormat="1" ht="10.5" customHeight="1">
      <c r="A114" s="2094"/>
      <c r="B114" s="6"/>
      <c r="C114" s="4"/>
      <c r="D114" s="48">
        <v>6</v>
      </c>
      <c r="E114" s="1839" t="str">
        <f>IF(OR($AQ$85=0,E34=""),"",E34)</f>
        <v xml:space="preserve">  4F</v>
      </c>
      <c r="F114" s="1840"/>
      <c r="G114" s="1840"/>
      <c r="H114" s="1840"/>
      <c r="I114" s="1834" t="s">
        <v>2245</v>
      </c>
      <c r="J114" s="1835"/>
      <c r="K114" s="1836"/>
      <c r="L114" s="1837">
        <f t="shared" si="17"/>
        <v>0.5</v>
      </c>
      <c r="M114" s="1838"/>
      <c r="N114" s="1838"/>
      <c r="O114" s="1831">
        <f t="shared" si="14"/>
        <v>1152</v>
      </c>
      <c r="P114" s="1832"/>
      <c r="Q114" s="1832"/>
      <c r="R114" s="1832"/>
      <c r="S114" s="1832"/>
      <c r="T114" s="1833"/>
      <c r="U114" s="2493">
        <v>24</v>
      </c>
      <c r="V114" s="2494"/>
      <c r="W114" s="2494"/>
      <c r="X114" s="2495"/>
      <c r="Y114" s="2481"/>
      <c r="Z114" s="2482"/>
      <c r="AA114" s="2482"/>
      <c r="AB114" s="2483"/>
      <c r="AC114" s="2481"/>
      <c r="AD114" s="2482"/>
      <c r="AE114" s="2482"/>
      <c r="AF114" s="2483"/>
      <c r="AG114" s="2481"/>
      <c r="AH114" s="2482"/>
      <c r="AI114" s="2482"/>
      <c r="AJ114" s="2483"/>
      <c r="AK114" s="2481"/>
      <c r="AL114" s="2482"/>
      <c r="AM114" s="2482"/>
      <c r="AN114" s="2484"/>
      <c r="AO114" s="2490">
        <v>48</v>
      </c>
      <c r="AP114" s="2491"/>
      <c r="AQ114" s="2491"/>
      <c r="AR114" s="2492"/>
      <c r="AS114" s="2481"/>
      <c r="AT114" s="2482"/>
      <c r="AU114" s="2482"/>
      <c r="AV114" s="2483"/>
      <c r="AW114" s="2481"/>
      <c r="AX114" s="2482"/>
      <c r="AY114" s="2482"/>
      <c r="AZ114" s="2483"/>
      <c r="BA114" s="2488"/>
      <c r="BB114" s="2488"/>
      <c r="BC114" s="2488"/>
      <c r="BD114" s="2488"/>
      <c r="BE114" s="2488"/>
      <c r="BF114" s="2488"/>
      <c r="BG114" s="2488"/>
      <c r="BH114" s="2489"/>
      <c r="BI114" s="2522">
        <f>IF(E114="","",IF(E114="  1F",SUM($CF$109:CF114)+$W$63,SUM($CF$109:CF114)))</f>
        <v>17</v>
      </c>
      <c r="BJ114" s="2523"/>
      <c r="BK114" s="2523"/>
      <c r="BL114" s="2523"/>
      <c r="BM114" s="2524"/>
      <c r="BN114" s="2525" t="str">
        <f t="shared" si="7"/>
        <v/>
      </c>
      <c r="BO114" s="2526"/>
      <c r="BP114" s="2526"/>
      <c r="BQ114" s="2526"/>
      <c r="BR114" s="2526"/>
      <c r="BS114" s="408" t="str">
        <f t="shared" si="8"/>
        <v>●</v>
      </c>
      <c r="BT114" s="1812">
        <f t="shared" si="15"/>
        <v>24</v>
      </c>
      <c r="BU114" s="1812"/>
      <c r="BV114" s="1812">
        <f t="shared" si="16"/>
        <v>24</v>
      </c>
      <c r="BW114" s="1812"/>
      <c r="BX114" s="1812">
        <f t="shared" si="18"/>
        <v>48</v>
      </c>
      <c r="BY114" s="1812"/>
      <c r="BZ114" s="1812">
        <f t="shared" si="10"/>
        <v>48</v>
      </c>
      <c r="CA114" s="1812"/>
      <c r="CB114" s="418"/>
      <c r="CC114" s="411"/>
      <c r="CD114" s="857">
        <f>O34</f>
        <v>4</v>
      </c>
      <c r="CE114" s="733"/>
      <c r="CF114" s="858">
        <f t="shared" si="11"/>
        <v>4</v>
      </c>
      <c r="CG114" s="733"/>
      <c r="CH114" s="858">
        <f t="shared" si="12"/>
        <v>4</v>
      </c>
      <c r="CI114" s="733"/>
      <c r="CJ114" s="735" t="str">
        <f t="shared" si="13"/>
        <v xml:space="preserve">  4F</v>
      </c>
      <c r="CK114" s="734"/>
      <c r="CL114" s="737" t="str">
        <f t="shared" si="9"/>
        <v/>
      </c>
      <c r="CM114" s="734">
        <f t="shared" ref="CM114:CM128" si="20">CD114</f>
        <v>4</v>
      </c>
      <c r="CN114" s="635"/>
      <c r="CR114" s="647" t="s">
        <v>2060</v>
      </c>
      <c r="CU114" s="636" t="s">
        <v>2041</v>
      </c>
      <c r="CV114" s="629"/>
      <c r="CW114" s="641">
        <f t="shared" si="6"/>
        <v>12</v>
      </c>
      <c r="CZ114" s="560" t="str">
        <f>E38</f>
        <v xml:space="preserve">  6F</v>
      </c>
      <c r="DA114" s="547" t="str">
        <f t="shared" si="19"/>
        <v/>
      </c>
      <c r="DB114" s="721"/>
      <c r="DC114" s="722"/>
      <c r="DD114" s="722"/>
      <c r="DE114" s="721"/>
      <c r="DF114" s="722"/>
      <c r="DG114" s="722"/>
      <c r="DH114" s="719"/>
      <c r="DI114" s="724"/>
      <c r="DJ114" s="725"/>
      <c r="DK114" s="726"/>
      <c r="DL114" s="71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13"/>
      <c r="FI114" s="13"/>
      <c r="FJ114" s="13"/>
      <c r="FK114" s="13"/>
      <c r="FL114" s="143" t="s">
        <v>337</v>
      </c>
      <c r="FM114" s="144">
        <v>5</v>
      </c>
      <c r="FN114" s="138" t="s">
        <v>312</v>
      </c>
      <c r="FO114" s="145">
        <v>20</v>
      </c>
    </row>
    <row r="115" spans="1:171" s="1" customFormat="1" ht="10.5" customHeight="1">
      <c r="A115" s="2094"/>
      <c r="B115" s="6"/>
      <c r="C115" s="4"/>
      <c r="D115" s="48">
        <v>7</v>
      </c>
      <c r="E115" s="1839" t="str">
        <f>IF(OR($AQ$85=0,E36=""),"",E36)</f>
        <v xml:space="preserve">  5F</v>
      </c>
      <c r="F115" s="1840"/>
      <c r="G115" s="1840"/>
      <c r="H115" s="1840"/>
      <c r="I115" s="1834" t="s">
        <v>2245</v>
      </c>
      <c r="J115" s="1835"/>
      <c r="K115" s="1836"/>
      <c r="L115" s="1837">
        <f t="shared" si="17"/>
        <v>0.5</v>
      </c>
      <c r="M115" s="1838"/>
      <c r="N115" s="1838"/>
      <c r="O115" s="1831">
        <f t="shared" si="14"/>
        <v>1152</v>
      </c>
      <c r="P115" s="1832"/>
      <c r="Q115" s="1832"/>
      <c r="R115" s="1832"/>
      <c r="S115" s="1832"/>
      <c r="T115" s="1833"/>
      <c r="U115" s="2493">
        <v>24</v>
      </c>
      <c r="V115" s="2494"/>
      <c r="W115" s="2494"/>
      <c r="X115" s="2495"/>
      <c r="Y115" s="2481"/>
      <c r="Z115" s="2482"/>
      <c r="AA115" s="2482"/>
      <c r="AB115" s="2483"/>
      <c r="AC115" s="2481"/>
      <c r="AD115" s="2482"/>
      <c r="AE115" s="2482"/>
      <c r="AF115" s="2483"/>
      <c r="AG115" s="2481"/>
      <c r="AH115" s="2482"/>
      <c r="AI115" s="2482"/>
      <c r="AJ115" s="2483"/>
      <c r="AK115" s="2481"/>
      <c r="AL115" s="2482"/>
      <c r="AM115" s="2482"/>
      <c r="AN115" s="2484"/>
      <c r="AO115" s="2490">
        <v>48</v>
      </c>
      <c r="AP115" s="2491"/>
      <c r="AQ115" s="2491"/>
      <c r="AR115" s="2492"/>
      <c r="AS115" s="2481"/>
      <c r="AT115" s="2482"/>
      <c r="AU115" s="2482"/>
      <c r="AV115" s="2483"/>
      <c r="AW115" s="2496"/>
      <c r="AX115" s="2496"/>
      <c r="AY115" s="2496"/>
      <c r="AZ115" s="2496"/>
      <c r="BA115" s="2496"/>
      <c r="BB115" s="2496"/>
      <c r="BC115" s="2496"/>
      <c r="BD115" s="2496"/>
      <c r="BE115" s="2496"/>
      <c r="BF115" s="2496"/>
      <c r="BG115" s="2496"/>
      <c r="BH115" s="2497"/>
      <c r="BI115" s="2522">
        <f>IF(E115="","",IF(E115="  1F",SUM($CF$109:CF115)+$W$63,SUM($CF$109:CF115)))</f>
        <v>21</v>
      </c>
      <c r="BJ115" s="2523"/>
      <c r="BK115" s="2523"/>
      <c r="BL115" s="2523"/>
      <c r="BM115" s="2524"/>
      <c r="BN115" s="2525">
        <f t="shared" si="7"/>
        <v>144</v>
      </c>
      <c r="BO115" s="2526"/>
      <c r="BP115" s="2526"/>
      <c r="BQ115" s="2526"/>
      <c r="BR115" s="2526"/>
      <c r="BS115" s="408" t="str">
        <f t="shared" si="8"/>
        <v>●</v>
      </c>
      <c r="BT115" s="1812">
        <f t="shared" si="15"/>
        <v>24</v>
      </c>
      <c r="BU115" s="1812"/>
      <c r="BV115" s="1812">
        <f t="shared" si="16"/>
        <v>24</v>
      </c>
      <c r="BW115" s="1812"/>
      <c r="BX115" s="1812">
        <f t="shared" si="18"/>
        <v>48</v>
      </c>
      <c r="BY115" s="1812"/>
      <c r="BZ115" s="1812">
        <f t="shared" si="10"/>
        <v>48</v>
      </c>
      <c r="CA115" s="1812"/>
      <c r="CB115" s="418"/>
      <c r="CC115" s="411"/>
      <c r="CD115" s="857">
        <f>IF(O36="","",O36)</f>
        <v>4</v>
      </c>
      <c r="CE115" s="733"/>
      <c r="CF115" s="858">
        <f t="shared" si="11"/>
        <v>4</v>
      </c>
      <c r="CG115" s="733"/>
      <c r="CH115" s="858">
        <f t="shared" si="12"/>
        <v>4</v>
      </c>
      <c r="CI115" s="733"/>
      <c r="CJ115" s="735" t="str">
        <f t="shared" si="13"/>
        <v xml:space="preserve">  5F</v>
      </c>
      <c r="CK115" s="734"/>
      <c r="CL115" s="737" t="str">
        <f t="shared" si="9"/>
        <v/>
      </c>
      <c r="CM115" s="734">
        <f t="shared" si="20"/>
        <v>4</v>
      </c>
      <c r="CN115" s="635"/>
      <c r="CO115" s="411"/>
      <c r="CP115" s="411"/>
      <c r="CQ115" s="411"/>
      <c r="CR115" s="647" t="s">
        <v>2061</v>
      </c>
      <c r="CU115" s="636" t="s">
        <v>2042</v>
      </c>
      <c r="CV115" s="629"/>
      <c r="CW115" s="641">
        <f t="shared" si="6"/>
        <v>12</v>
      </c>
      <c r="CZ115" s="560" t="str">
        <f>E40</f>
        <v xml:space="preserve">  7F</v>
      </c>
      <c r="DA115" s="547" t="str">
        <f t="shared" si="19"/>
        <v/>
      </c>
      <c r="DB115" s="721"/>
      <c r="DC115" s="722"/>
      <c r="DD115" s="722"/>
      <c r="DE115" s="721"/>
      <c r="DF115" s="722"/>
      <c r="DG115" s="722"/>
      <c r="DH115" s="719"/>
      <c r="DI115" s="724"/>
      <c r="DJ115" s="725"/>
      <c r="DK115" s="726"/>
      <c r="DL115" s="71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13"/>
      <c r="FI115" s="13"/>
      <c r="FJ115" s="13"/>
      <c r="FK115" s="13"/>
      <c r="FL115" s="143" t="s">
        <v>338</v>
      </c>
      <c r="FM115" s="144">
        <v>5</v>
      </c>
      <c r="FN115" s="138" t="s">
        <v>312</v>
      </c>
      <c r="FO115" s="145">
        <v>8</v>
      </c>
    </row>
    <row r="116" spans="1:171" s="1" customFormat="1" ht="10.5" customHeight="1">
      <c r="A116" s="2094"/>
      <c r="B116" s="6"/>
      <c r="C116" s="4"/>
      <c r="D116" s="48">
        <v>8</v>
      </c>
      <c r="E116" s="1839" t="str">
        <f>IF(OR($AQ$85=0,E38=""),"",E38)</f>
        <v xml:space="preserve">  6F</v>
      </c>
      <c r="F116" s="1840"/>
      <c r="G116" s="1840"/>
      <c r="H116" s="1840"/>
      <c r="I116" s="1834" t="s">
        <v>2245</v>
      </c>
      <c r="J116" s="1835"/>
      <c r="K116" s="1836"/>
      <c r="L116" s="1837">
        <f t="shared" si="17"/>
        <v>0.5</v>
      </c>
      <c r="M116" s="1838"/>
      <c r="N116" s="1838"/>
      <c r="O116" s="1831">
        <f t="shared" si="14"/>
        <v>1152</v>
      </c>
      <c r="P116" s="1832"/>
      <c r="Q116" s="1832"/>
      <c r="R116" s="1832"/>
      <c r="S116" s="1832"/>
      <c r="T116" s="1833"/>
      <c r="U116" s="2493">
        <v>24</v>
      </c>
      <c r="V116" s="2494"/>
      <c r="W116" s="2494"/>
      <c r="X116" s="2495"/>
      <c r="Y116" s="2481"/>
      <c r="Z116" s="2482"/>
      <c r="AA116" s="2482"/>
      <c r="AB116" s="2483"/>
      <c r="AC116" s="2481"/>
      <c r="AD116" s="2482"/>
      <c r="AE116" s="2482"/>
      <c r="AF116" s="2483"/>
      <c r="AG116" s="2481"/>
      <c r="AH116" s="2482"/>
      <c r="AI116" s="2482"/>
      <c r="AJ116" s="2483"/>
      <c r="AK116" s="2481"/>
      <c r="AL116" s="2482"/>
      <c r="AM116" s="2482"/>
      <c r="AN116" s="2484"/>
      <c r="AO116" s="2490">
        <v>48</v>
      </c>
      <c r="AP116" s="2491"/>
      <c r="AQ116" s="2491"/>
      <c r="AR116" s="2492"/>
      <c r="AS116" s="2481"/>
      <c r="AT116" s="2482"/>
      <c r="AU116" s="2482"/>
      <c r="AV116" s="2483"/>
      <c r="AW116" s="2488"/>
      <c r="AX116" s="2488"/>
      <c r="AY116" s="2488"/>
      <c r="AZ116" s="2488"/>
      <c r="BA116" s="2488"/>
      <c r="BB116" s="2488"/>
      <c r="BC116" s="2488"/>
      <c r="BD116" s="2488"/>
      <c r="BE116" s="2488"/>
      <c r="BF116" s="2488"/>
      <c r="BG116" s="2488"/>
      <c r="BH116" s="2489"/>
      <c r="BI116" s="2522">
        <f>IF(E116="","",IF(E116="  1F",SUM($CF$109:CF116)+$W$63,SUM($CF$109:CF116)))</f>
        <v>25</v>
      </c>
      <c r="BJ116" s="2523"/>
      <c r="BK116" s="2523"/>
      <c r="BL116" s="2523"/>
      <c r="BM116" s="2524"/>
      <c r="BN116" s="2525">
        <f t="shared" si="7"/>
        <v>144</v>
      </c>
      <c r="BO116" s="2526"/>
      <c r="BP116" s="2526"/>
      <c r="BQ116" s="2526"/>
      <c r="BR116" s="2526"/>
      <c r="BS116" s="408" t="str">
        <f t="shared" si="8"/>
        <v>●</v>
      </c>
      <c r="BT116" s="1812">
        <f t="shared" si="15"/>
        <v>24</v>
      </c>
      <c r="BU116" s="1812"/>
      <c r="BV116" s="1812">
        <f t="shared" si="16"/>
        <v>24</v>
      </c>
      <c r="BW116" s="1812"/>
      <c r="BX116" s="1812">
        <f t="shared" si="18"/>
        <v>48</v>
      </c>
      <c r="BY116" s="1812"/>
      <c r="BZ116" s="1812">
        <f t="shared" si="10"/>
        <v>48</v>
      </c>
      <c r="CA116" s="1812"/>
      <c r="CB116" s="418"/>
      <c r="CC116" s="411"/>
      <c r="CD116" s="857">
        <f>IF(O38="","",O38)</f>
        <v>4</v>
      </c>
      <c r="CE116" s="733"/>
      <c r="CF116" s="858">
        <f t="shared" si="11"/>
        <v>4</v>
      </c>
      <c r="CG116" s="733"/>
      <c r="CH116" s="858">
        <f t="shared" si="12"/>
        <v>4</v>
      </c>
      <c r="CI116" s="733"/>
      <c r="CJ116" s="735" t="str">
        <f t="shared" si="13"/>
        <v xml:space="preserve">  6F</v>
      </c>
      <c r="CK116" s="734"/>
      <c r="CL116" s="737" t="str">
        <f t="shared" si="9"/>
        <v/>
      </c>
      <c r="CM116" s="734">
        <f t="shared" si="20"/>
        <v>4</v>
      </c>
      <c r="CN116" s="635"/>
      <c r="CR116" s="647" t="s">
        <v>2062</v>
      </c>
      <c r="CU116" s="636" t="s">
        <v>2043</v>
      </c>
      <c r="CV116" s="629"/>
      <c r="CW116" s="641">
        <f t="shared" si="6"/>
        <v>12</v>
      </c>
      <c r="CZ116" s="560" t="str">
        <f>E42</f>
        <v xml:space="preserve">  8F</v>
      </c>
      <c r="DA116" s="547" t="str">
        <f t="shared" si="19"/>
        <v/>
      </c>
      <c r="DB116" s="721"/>
      <c r="DC116" s="722"/>
      <c r="DD116" s="722"/>
      <c r="DE116" s="721"/>
      <c r="DF116" s="722"/>
      <c r="DG116" s="722"/>
      <c r="DH116" s="719"/>
      <c r="DI116" s="724"/>
      <c r="DJ116" s="725"/>
      <c r="DK116" s="726"/>
      <c r="DL116" s="71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13"/>
      <c r="FI116" s="13"/>
      <c r="FJ116" s="13"/>
      <c r="FK116" s="13"/>
      <c r="FL116" s="143" t="s">
        <v>339</v>
      </c>
      <c r="FM116" s="144">
        <v>4</v>
      </c>
      <c r="FN116" s="138" t="s">
        <v>308</v>
      </c>
      <c r="FO116" s="145">
        <v>360</v>
      </c>
    </row>
    <row r="117" spans="1:171" s="1" customFormat="1" ht="10.5" customHeight="1">
      <c r="A117" s="2094"/>
      <c r="B117" s="6"/>
      <c r="C117" s="4"/>
      <c r="D117" s="48">
        <v>9</v>
      </c>
      <c r="E117" s="1839" t="str">
        <f>IF(OR($AQ$85=0,E40=""),"",E40)</f>
        <v xml:space="preserve">  7F</v>
      </c>
      <c r="F117" s="1840"/>
      <c r="G117" s="1840"/>
      <c r="H117" s="1840"/>
      <c r="I117" s="1834" t="s">
        <v>2245</v>
      </c>
      <c r="J117" s="1835"/>
      <c r="K117" s="1836"/>
      <c r="L117" s="1837">
        <f t="shared" si="17"/>
        <v>0.5</v>
      </c>
      <c r="M117" s="1838"/>
      <c r="N117" s="1838"/>
      <c r="O117" s="1831">
        <f t="shared" si="14"/>
        <v>1152</v>
      </c>
      <c r="P117" s="1832"/>
      <c r="Q117" s="1832"/>
      <c r="R117" s="1832"/>
      <c r="S117" s="1832"/>
      <c r="T117" s="1833"/>
      <c r="U117" s="2493">
        <v>24</v>
      </c>
      <c r="V117" s="2494"/>
      <c r="W117" s="2494"/>
      <c r="X117" s="2495"/>
      <c r="Y117" s="2481"/>
      <c r="Z117" s="2482"/>
      <c r="AA117" s="2482"/>
      <c r="AB117" s="2483"/>
      <c r="AC117" s="2481"/>
      <c r="AD117" s="2482"/>
      <c r="AE117" s="2482"/>
      <c r="AF117" s="2483"/>
      <c r="AG117" s="2481"/>
      <c r="AH117" s="2482"/>
      <c r="AI117" s="2482"/>
      <c r="AJ117" s="2483"/>
      <c r="AK117" s="2481"/>
      <c r="AL117" s="2482"/>
      <c r="AM117" s="2482"/>
      <c r="AN117" s="2484"/>
      <c r="AO117" s="2490">
        <v>48</v>
      </c>
      <c r="AP117" s="2491"/>
      <c r="AQ117" s="2491"/>
      <c r="AR117" s="2492"/>
      <c r="AS117" s="2481"/>
      <c r="AT117" s="2482"/>
      <c r="AU117" s="2482"/>
      <c r="AV117" s="2483"/>
      <c r="AW117" s="2488"/>
      <c r="AX117" s="2488"/>
      <c r="AY117" s="2488"/>
      <c r="AZ117" s="2488"/>
      <c r="BA117" s="2488"/>
      <c r="BB117" s="2488"/>
      <c r="BC117" s="2488"/>
      <c r="BD117" s="2488"/>
      <c r="BE117" s="2488"/>
      <c r="BF117" s="2488"/>
      <c r="BG117" s="2488"/>
      <c r="BH117" s="2489"/>
      <c r="BI117" s="2522">
        <f>IF(E117="","",IF(E117="  1F",SUM($CF$109:CF117)+$W$63,SUM($CF$109:CF117)))</f>
        <v>29</v>
      </c>
      <c r="BJ117" s="2523"/>
      <c r="BK117" s="2523"/>
      <c r="BL117" s="2523"/>
      <c r="BM117" s="2524"/>
      <c r="BN117" s="2525">
        <f t="shared" si="7"/>
        <v>144</v>
      </c>
      <c r="BO117" s="2526"/>
      <c r="BP117" s="2526"/>
      <c r="BQ117" s="2526"/>
      <c r="BR117" s="2526"/>
      <c r="BS117" s="408" t="str">
        <f t="shared" si="8"/>
        <v>●</v>
      </c>
      <c r="BT117" s="1812">
        <f t="shared" si="15"/>
        <v>24</v>
      </c>
      <c r="BU117" s="1812"/>
      <c r="BV117" s="1812">
        <f t="shared" si="16"/>
        <v>24</v>
      </c>
      <c r="BW117" s="1812"/>
      <c r="BX117" s="1812">
        <f t="shared" si="18"/>
        <v>48</v>
      </c>
      <c r="BY117" s="1812"/>
      <c r="BZ117" s="1812">
        <f t="shared" si="10"/>
        <v>48</v>
      </c>
      <c r="CA117" s="1812"/>
      <c r="CB117" s="418"/>
      <c r="CC117" s="411"/>
      <c r="CD117" s="857">
        <f>IF(O40="","",O40)</f>
        <v>4</v>
      </c>
      <c r="CE117" s="733"/>
      <c r="CF117" s="858">
        <f t="shared" si="11"/>
        <v>4</v>
      </c>
      <c r="CG117" s="733"/>
      <c r="CH117" s="858">
        <f t="shared" si="12"/>
        <v>4</v>
      </c>
      <c r="CI117" s="733"/>
      <c r="CJ117" s="735" t="str">
        <f t="shared" si="13"/>
        <v xml:space="preserve">  7F</v>
      </c>
      <c r="CK117" s="734"/>
      <c r="CL117" s="737"/>
      <c r="CM117" s="734">
        <f t="shared" si="20"/>
        <v>4</v>
      </c>
      <c r="CN117" s="635"/>
      <c r="CR117" s="647" t="s">
        <v>2175</v>
      </c>
      <c r="CU117" s="636" t="s">
        <v>2044</v>
      </c>
      <c r="CV117" s="629"/>
      <c r="CW117" s="641">
        <f t="shared" si="6"/>
        <v>12</v>
      </c>
      <c r="CZ117" s="560" t="str">
        <f>E44</f>
        <v xml:space="preserve">  9F</v>
      </c>
      <c r="DA117" s="547" t="str">
        <f t="shared" si="19"/>
        <v/>
      </c>
      <c r="DB117" s="721"/>
      <c r="DC117" s="722"/>
      <c r="DD117" s="722"/>
      <c r="DE117" s="721"/>
      <c r="DF117" s="722"/>
      <c r="DG117" s="722"/>
      <c r="DH117" s="719"/>
      <c r="DI117" s="724"/>
      <c r="DJ117" s="725"/>
      <c r="DK117" s="726"/>
      <c r="DL117" s="71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13"/>
      <c r="FI117" s="13"/>
      <c r="FJ117" s="13"/>
      <c r="FK117" s="13"/>
      <c r="FL117" s="143" t="s">
        <v>341</v>
      </c>
      <c r="FM117" s="144">
        <v>3</v>
      </c>
      <c r="FN117" s="138" t="s">
        <v>306</v>
      </c>
      <c r="FO117" s="145">
        <v>110</v>
      </c>
    </row>
    <row r="118" spans="1:171" s="1" customFormat="1" ht="10.5" customHeight="1">
      <c r="A118" s="2094"/>
      <c r="B118" s="6"/>
      <c r="C118" s="4"/>
      <c r="D118" s="48">
        <v>10</v>
      </c>
      <c r="E118" s="1839" t="str">
        <f>IF(OR($AQ$85=0,E42=""),"",E42)</f>
        <v xml:space="preserve">  8F</v>
      </c>
      <c r="F118" s="1840"/>
      <c r="G118" s="1840"/>
      <c r="H118" s="1840"/>
      <c r="I118" s="1834" t="s">
        <v>2245</v>
      </c>
      <c r="J118" s="1835"/>
      <c r="K118" s="1836"/>
      <c r="L118" s="1837">
        <f t="shared" si="17"/>
        <v>0.5</v>
      </c>
      <c r="M118" s="1838"/>
      <c r="N118" s="1838"/>
      <c r="O118" s="1831">
        <f t="shared" si="14"/>
        <v>1152</v>
      </c>
      <c r="P118" s="1832"/>
      <c r="Q118" s="1832"/>
      <c r="R118" s="1832"/>
      <c r="S118" s="1832"/>
      <c r="T118" s="1833"/>
      <c r="U118" s="2493">
        <v>24</v>
      </c>
      <c r="V118" s="2494"/>
      <c r="W118" s="2494"/>
      <c r="X118" s="2495"/>
      <c r="Y118" s="2481"/>
      <c r="Z118" s="2482"/>
      <c r="AA118" s="2482"/>
      <c r="AB118" s="2483"/>
      <c r="AC118" s="2481"/>
      <c r="AD118" s="2482"/>
      <c r="AE118" s="2482"/>
      <c r="AF118" s="2483"/>
      <c r="AG118" s="2481"/>
      <c r="AH118" s="2482"/>
      <c r="AI118" s="2482"/>
      <c r="AJ118" s="2483"/>
      <c r="AK118" s="2481"/>
      <c r="AL118" s="2482"/>
      <c r="AM118" s="2482"/>
      <c r="AN118" s="2484"/>
      <c r="AO118" s="2490">
        <v>48</v>
      </c>
      <c r="AP118" s="2491"/>
      <c r="AQ118" s="2491"/>
      <c r="AR118" s="2492"/>
      <c r="AS118" s="2481"/>
      <c r="AT118" s="2482"/>
      <c r="AU118" s="2482"/>
      <c r="AV118" s="2483"/>
      <c r="AW118" s="2488"/>
      <c r="AX118" s="2488"/>
      <c r="AY118" s="2488"/>
      <c r="AZ118" s="2488"/>
      <c r="BA118" s="2488"/>
      <c r="BB118" s="2488"/>
      <c r="BC118" s="2488"/>
      <c r="BD118" s="2488"/>
      <c r="BE118" s="2488"/>
      <c r="BF118" s="2488"/>
      <c r="BG118" s="2488"/>
      <c r="BH118" s="2489"/>
      <c r="BI118" s="2522">
        <f>IF(E118="","",IF(E118="  1F",SUM($CF$109:CF118)+$W$63,SUM($CF$109:CF118)))</f>
        <v>33</v>
      </c>
      <c r="BJ118" s="2523"/>
      <c r="BK118" s="2523"/>
      <c r="BL118" s="2523"/>
      <c r="BM118" s="2524"/>
      <c r="BN118" s="2525">
        <f t="shared" si="7"/>
        <v>144</v>
      </c>
      <c r="BO118" s="2526"/>
      <c r="BP118" s="2526"/>
      <c r="BQ118" s="2526"/>
      <c r="BR118" s="2526"/>
      <c r="BS118" s="408" t="str">
        <f t="shared" si="8"/>
        <v>●</v>
      </c>
      <c r="BT118" s="1812">
        <f t="shared" si="15"/>
        <v>24</v>
      </c>
      <c r="BU118" s="1812"/>
      <c r="BV118" s="1812">
        <f t="shared" si="16"/>
        <v>24</v>
      </c>
      <c r="BW118" s="1812"/>
      <c r="BX118" s="1812">
        <f t="shared" si="18"/>
        <v>48</v>
      </c>
      <c r="BY118" s="1812"/>
      <c r="BZ118" s="1812">
        <f t="shared" si="10"/>
        <v>48</v>
      </c>
      <c r="CA118" s="1812"/>
      <c r="CB118" s="418"/>
      <c r="CC118" s="411"/>
      <c r="CD118" s="857">
        <f>IF(O42="","",O42)</f>
        <v>4</v>
      </c>
      <c r="CE118" s="733"/>
      <c r="CF118" s="858">
        <f t="shared" si="11"/>
        <v>4</v>
      </c>
      <c r="CG118" s="733"/>
      <c r="CH118" s="858">
        <f t="shared" si="12"/>
        <v>4</v>
      </c>
      <c r="CI118" s="733"/>
      <c r="CJ118" s="735" t="str">
        <f t="shared" si="13"/>
        <v xml:space="preserve">  8F</v>
      </c>
      <c r="CK118" s="734"/>
      <c r="CL118" s="737"/>
      <c r="CM118" s="734">
        <f t="shared" si="20"/>
        <v>4</v>
      </c>
      <c r="CN118" s="635"/>
      <c r="CR118" s="647" t="s">
        <v>2063</v>
      </c>
      <c r="CU118" s="635" t="s">
        <v>2045</v>
      </c>
      <c r="CV118" s="629"/>
      <c r="CW118" s="641">
        <f t="shared" si="6"/>
        <v>12</v>
      </c>
      <c r="CZ118" s="560" t="str">
        <f>E46</f>
        <v xml:space="preserve"> 10F</v>
      </c>
      <c r="DA118" s="547" t="str">
        <f t="shared" si="19"/>
        <v/>
      </c>
      <c r="DB118" s="721"/>
      <c r="DC118" s="722"/>
      <c r="DD118" s="722"/>
      <c r="DE118" s="721"/>
      <c r="DF118" s="722"/>
      <c r="DG118" s="722"/>
      <c r="DH118" s="719"/>
      <c r="DI118" s="724"/>
      <c r="DJ118" s="725"/>
      <c r="DK118" s="726"/>
      <c r="DL118" s="71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13"/>
      <c r="FI118" s="13"/>
      <c r="FJ118" s="13"/>
      <c r="FK118" s="13"/>
      <c r="FL118" s="143" t="s">
        <v>342</v>
      </c>
      <c r="FM118" s="144">
        <v>5</v>
      </c>
      <c r="FN118" s="138" t="s">
        <v>312</v>
      </c>
      <c r="FO118" s="145">
        <v>9</v>
      </c>
    </row>
    <row r="119" spans="1:171" s="1" customFormat="1" ht="10.5" customHeight="1">
      <c r="A119" s="2094"/>
      <c r="B119" s="6"/>
      <c r="C119" s="4"/>
      <c r="D119" s="48">
        <v>11</v>
      </c>
      <c r="E119" s="1839" t="str">
        <f>IF(OR($AQ$85=0,E44=""),"",E44)</f>
        <v xml:space="preserve">  9F</v>
      </c>
      <c r="F119" s="1840"/>
      <c r="G119" s="1840"/>
      <c r="H119" s="1840"/>
      <c r="I119" s="1834" t="s">
        <v>2245</v>
      </c>
      <c r="J119" s="1835"/>
      <c r="K119" s="1836"/>
      <c r="L119" s="1837">
        <f t="shared" si="17"/>
        <v>0.5</v>
      </c>
      <c r="M119" s="1838"/>
      <c r="N119" s="1838"/>
      <c r="O119" s="1831">
        <f t="shared" si="14"/>
        <v>1152</v>
      </c>
      <c r="P119" s="1832"/>
      <c r="Q119" s="1832"/>
      <c r="R119" s="1832"/>
      <c r="S119" s="1832"/>
      <c r="T119" s="1833"/>
      <c r="U119" s="2493">
        <v>24</v>
      </c>
      <c r="V119" s="2494"/>
      <c r="W119" s="2494"/>
      <c r="X119" s="2495"/>
      <c r="Y119" s="2481"/>
      <c r="Z119" s="2482"/>
      <c r="AA119" s="2482"/>
      <c r="AB119" s="2483"/>
      <c r="AC119" s="2481"/>
      <c r="AD119" s="2482"/>
      <c r="AE119" s="2482"/>
      <c r="AF119" s="2483"/>
      <c r="AG119" s="2481"/>
      <c r="AH119" s="2482"/>
      <c r="AI119" s="2482"/>
      <c r="AJ119" s="2483"/>
      <c r="AK119" s="2481"/>
      <c r="AL119" s="2482"/>
      <c r="AM119" s="2482"/>
      <c r="AN119" s="2484"/>
      <c r="AO119" s="2490">
        <v>48</v>
      </c>
      <c r="AP119" s="2491"/>
      <c r="AQ119" s="2491"/>
      <c r="AR119" s="2492"/>
      <c r="AS119" s="2481"/>
      <c r="AT119" s="2482"/>
      <c r="AU119" s="2482"/>
      <c r="AV119" s="2483"/>
      <c r="AW119" s="2488"/>
      <c r="AX119" s="2488"/>
      <c r="AY119" s="2488"/>
      <c r="AZ119" s="2488"/>
      <c r="BA119" s="2488"/>
      <c r="BB119" s="2488"/>
      <c r="BC119" s="2488"/>
      <c r="BD119" s="2488"/>
      <c r="BE119" s="2488"/>
      <c r="BF119" s="2488"/>
      <c r="BG119" s="2488"/>
      <c r="BH119" s="2489"/>
      <c r="BI119" s="2522">
        <f>IF(E119="","",IF(E119="  1F",SUM($CF$109:CF119)+$W$63,SUM($CF$109:CF119)))</f>
        <v>37</v>
      </c>
      <c r="BJ119" s="2523"/>
      <c r="BK119" s="2523"/>
      <c r="BL119" s="2523"/>
      <c r="BM119" s="2524"/>
      <c r="BN119" s="2525">
        <f t="shared" si="7"/>
        <v>144</v>
      </c>
      <c r="BO119" s="2526"/>
      <c r="BP119" s="2526"/>
      <c r="BQ119" s="2526"/>
      <c r="BR119" s="2526"/>
      <c r="BS119" s="408" t="str">
        <f t="shared" si="8"/>
        <v>●</v>
      </c>
      <c r="BT119" s="1812">
        <f t="shared" si="15"/>
        <v>24</v>
      </c>
      <c r="BU119" s="1812"/>
      <c r="BV119" s="1812">
        <f t="shared" si="16"/>
        <v>24</v>
      </c>
      <c r="BW119" s="1812"/>
      <c r="BX119" s="1812">
        <f t="shared" si="18"/>
        <v>48</v>
      </c>
      <c r="BY119" s="1812"/>
      <c r="BZ119" s="1812">
        <f t="shared" si="10"/>
        <v>48</v>
      </c>
      <c r="CA119" s="1812"/>
      <c r="CB119" s="418"/>
      <c r="CC119" s="411"/>
      <c r="CD119" s="857">
        <f>IF(O44="","",O44)</f>
        <v>4</v>
      </c>
      <c r="CE119" s="733"/>
      <c r="CF119" s="858">
        <f t="shared" si="11"/>
        <v>4</v>
      </c>
      <c r="CG119" s="733"/>
      <c r="CH119" s="858">
        <f t="shared" si="12"/>
        <v>4</v>
      </c>
      <c r="CI119" s="733"/>
      <c r="CJ119" s="735" t="str">
        <f t="shared" si="13"/>
        <v xml:space="preserve">  9F</v>
      </c>
      <c r="CK119" s="734"/>
      <c r="CL119" s="737"/>
      <c r="CM119" s="734">
        <f t="shared" si="20"/>
        <v>4</v>
      </c>
      <c r="CN119" s="635"/>
      <c r="CR119" s="647" t="s">
        <v>2176</v>
      </c>
      <c r="CU119" s="636" t="s">
        <v>2046</v>
      </c>
      <c r="CV119" s="629"/>
      <c r="CW119" s="641">
        <f t="shared" si="6"/>
        <v>12</v>
      </c>
      <c r="CZ119" s="560" t="str">
        <f>E48</f>
        <v xml:space="preserve"> 11F</v>
      </c>
      <c r="DA119" s="547" t="str">
        <f t="shared" si="19"/>
        <v/>
      </c>
      <c r="DB119" s="721"/>
      <c r="DC119" s="722"/>
      <c r="DD119" s="722"/>
      <c r="DE119" s="721"/>
      <c r="DF119" s="722"/>
      <c r="DG119" s="722"/>
      <c r="DH119" s="719"/>
      <c r="DI119" s="724"/>
      <c r="DJ119" s="725"/>
      <c r="DK119" s="726"/>
      <c r="DL119" s="719"/>
      <c r="DM119" s="156"/>
      <c r="DN119" s="156"/>
      <c r="DO119" s="156"/>
      <c r="DP119" s="156"/>
      <c r="DQ119" s="156"/>
      <c r="DR119" s="156"/>
      <c r="DS119" s="156"/>
      <c r="DT119" s="156"/>
      <c r="DU119" s="156"/>
      <c r="DV119" s="156"/>
      <c r="DW119" s="156"/>
      <c r="DX119" s="156"/>
      <c r="DY119" s="156"/>
      <c r="DZ119" s="156"/>
      <c r="EA119" s="156"/>
      <c r="EB119" s="156"/>
      <c r="EC119" s="156"/>
      <c r="ED119" s="156"/>
      <c r="EE119" s="156"/>
      <c r="EF119" s="156"/>
      <c r="EG119" s="156"/>
      <c r="EH119" s="156"/>
      <c r="EI119" s="156"/>
      <c r="EJ119" s="156"/>
      <c r="EK119" s="156"/>
      <c r="EL119" s="156"/>
      <c r="EM119" s="156"/>
      <c r="EN119" s="156"/>
      <c r="EO119" s="156"/>
      <c r="EP119" s="156"/>
      <c r="EQ119" s="156"/>
      <c r="ER119" s="156"/>
      <c r="ES119" s="156"/>
      <c r="ET119" s="156"/>
      <c r="EU119" s="156"/>
      <c r="EV119" s="156"/>
      <c r="EW119" s="156"/>
      <c r="EX119" s="156"/>
      <c r="EY119" s="156"/>
      <c r="EZ119" s="156"/>
      <c r="FA119" s="156"/>
      <c r="FB119" s="156"/>
      <c r="FC119" s="156"/>
      <c r="FD119" s="156"/>
      <c r="FE119" s="156"/>
      <c r="FF119" s="156"/>
      <c r="FG119" s="156"/>
      <c r="FL119" s="143" t="s">
        <v>343</v>
      </c>
      <c r="FM119" s="144">
        <v>4</v>
      </c>
      <c r="FN119" s="138" t="s">
        <v>308</v>
      </c>
      <c r="FO119" s="145">
        <v>560</v>
      </c>
    </row>
    <row r="120" spans="1:171" s="1" customFormat="1" ht="10.15" customHeight="1">
      <c r="A120" s="2094"/>
      <c r="B120" s="6"/>
      <c r="C120" s="4"/>
      <c r="D120" s="48">
        <v>12</v>
      </c>
      <c r="E120" s="1839" t="str">
        <f>IF(OR($AQ$85=0,E46=""),"",E46)</f>
        <v xml:space="preserve"> 10F</v>
      </c>
      <c r="F120" s="1840"/>
      <c r="G120" s="1840"/>
      <c r="H120" s="1840"/>
      <c r="I120" s="1834" t="s">
        <v>2245</v>
      </c>
      <c r="J120" s="1835"/>
      <c r="K120" s="1836"/>
      <c r="L120" s="1837">
        <f t="shared" si="17"/>
        <v>0.5</v>
      </c>
      <c r="M120" s="1838"/>
      <c r="N120" s="1838"/>
      <c r="O120" s="1831">
        <f t="shared" si="14"/>
        <v>1152</v>
      </c>
      <c r="P120" s="1832"/>
      <c r="Q120" s="1832"/>
      <c r="R120" s="1832"/>
      <c r="S120" s="1832"/>
      <c r="T120" s="1833"/>
      <c r="U120" s="2493">
        <v>24</v>
      </c>
      <c r="V120" s="2494"/>
      <c r="W120" s="2494"/>
      <c r="X120" s="2495"/>
      <c r="Y120" s="2481"/>
      <c r="Z120" s="2482"/>
      <c r="AA120" s="2482"/>
      <c r="AB120" s="2483"/>
      <c r="AC120" s="2481"/>
      <c r="AD120" s="2482"/>
      <c r="AE120" s="2482"/>
      <c r="AF120" s="2483"/>
      <c r="AG120" s="2481"/>
      <c r="AH120" s="2482"/>
      <c r="AI120" s="2482"/>
      <c r="AJ120" s="2483"/>
      <c r="AK120" s="2481"/>
      <c r="AL120" s="2482"/>
      <c r="AM120" s="2482"/>
      <c r="AN120" s="2484"/>
      <c r="AO120" s="2490">
        <v>48</v>
      </c>
      <c r="AP120" s="2491"/>
      <c r="AQ120" s="2491"/>
      <c r="AR120" s="2492"/>
      <c r="AS120" s="2481"/>
      <c r="AT120" s="2482"/>
      <c r="AU120" s="2482"/>
      <c r="AV120" s="2483"/>
      <c r="AW120" s="2488"/>
      <c r="AX120" s="2488"/>
      <c r="AY120" s="2488"/>
      <c r="AZ120" s="2488"/>
      <c r="BA120" s="2488"/>
      <c r="BB120" s="2488"/>
      <c r="BC120" s="2488"/>
      <c r="BD120" s="2488"/>
      <c r="BE120" s="2488"/>
      <c r="BF120" s="2488"/>
      <c r="BG120" s="2488"/>
      <c r="BH120" s="2489"/>
      <c r="BI120" s="2522">
        <f>IF(E120="","",IF(E120="  1F",SUM($CF$109:CF120)+$W$63,SUM($CF$109:CF120)))</f>
        <v>41</v>
      </c>
      <c r="BJ120" s="2523"/>
      <c r="BK120" s="2523"/>
      <c r="BL120" s="2523"/>
      <c r="BM120" s="2524"/>
      <c r="BN120" s="2525">
        <f t="shared" si="7"/>
        <v>144</v>
      </c>
      <c r="BO120" s="2526"/>
      <c r="BP120" s="2526"/>
      <c r="BQ120" s="2526"/>
      <c r="BR120" s="2526"/>
      <c r="BS120" s="408" t="str">
        <f t="shared" si="8"/>
        <v>●</v>
      </c>
      <c r="BT120" s="1812">
        <f t="shared" si="15"/>
        <v>24</v>
      </c>
      <c r="BU120" s="1812"/>
      <c r="BV120" s="1812">
        <f t="shared" si="16"/>
        <v>24</v>
      </c>
      <c r="BW120" s="1812"/>
      <c r="BX120" s="1812">
        <f t="shared" si="18"/>
        <v>48</v>
      </c>
      <c r="BY120" s="1812"/>
      <c r="BZ120" s="1812">
        <f t="shared" si="10"/>
        <v>48</v>
      </c>
      <c r="CA120" s="1812"/>
      <c r="CB120" s="418"/>
      <c r="CC120" s="411"/>
      <c r="CD120" s="857">
        <f>IF(O46="","",O46)</f>
        <v>4</v>
      </c>
      <c r="CE120" s="733"/>
      <c r="CF120" s="858">
        <f t="shared" si="11"/>
        <v>4</v>
      </c>
      <c r="CG120" s="733"/>
      <c r="CH120" s="858">
        <f t="shared" si="12"/>
        <v>4</v>
      </c>
      <c r="CI120" s="733"/>
      <c r="CJ120" s="735" t="str">
        <f t="shared" si="13"/>
        <v xml:space="preserve"> 10F</v>
      </c>
      <c r="CK120" s="734"/>
      <c r="CL120" s="737"/>
      <c r="CM120" s="734">
        <f t="shared" si="20"/>
        <v>4</v>
      </c>
      <c r="CN120" s="635"/>
      <c r="CR120" s="647"/>
      <c r="CU120" s="636" t="s">
        <v>2047</v>
      </c>
      <c r="CV120" s="629"/>
      <c r="CW120" s="641">
        <f t="shared" si="6"/>
        <v>12</v>
      </c>
      <c r="CZ120" s="560" t="str">
        <f>E50</f>
        <v xml:space="preserve"> 12F</v>
      </c>
      <c r="DA120" s="547" t="str">
        <f t="shared" si="19"/>
        <v/>
      </c>
      <c r="DB120" s="721"/>
      <c r="DC120" s="722"/>
      <c r="DD120" s="722"/>
      <c r="DE120" s="721"/>
      <c r="DF120" s="722"/>
      <c r="DG120" s="722"/>
      <c r="DH120" s="719"/>
      <c r="DI120" s="724"/>
      <c r="DJ120" s="725"/>
      <c r="DK120" s="726"/>
      <c r="DL120" s="719"/>
      <c r="DM120" s="156"/>
      <c r="DN120" s="156"/>
      <c r="DO120" s="156"/>
      <c r="DP120" s="156"/>
      <c r="DQ120" s="156"/>
      <c r="DR120" s="156"/>
      <c r="DS120" s="156"/>
      <c r="DT120" s="156"/>
      <c r="DU120" s="156"/>
      <c r="DV120" s="156"/>
      <c r="DW120" s="156"/>
      <c r="DX120" s="156"/>
      <c r="DY120" s="156"/>
      <c r="DZ120" s="156"/>
      <c r="EA120" s="156"/>
      <c r="EB120" s="156"/>
      <c r="EC120" s="156"/>
      <c r="ED120" s="156"/>
      <c r="EE120" s="156"/>
      <c r="EF120" s="156"/>
      <c r="EG120" s="156"/>
      <c r="EH120" s="156"/>
      <c r="EI120" s="156"/>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L120" s="143" t="s">
        <v>344</v>
      </c>
      <c r="FM120" s="144">
        <v>4</v>
      </c>
      <c r="FN120" s="138" t="s">
        <v>308</v>
      </c>
      <c r="FO120" s="145">
        <v>4</v>
      </c>
    </row>
    <row r="121" spans="1:171" s="1" customFormat="1" ht="10.15" customHeight="1">
      <c r="A121" s="2094"/>
      <c r="B121" s="6"/>
      <c r="C121" s="4"/>
      <c r="D121" s="48">
        <v>13</v>
      </c>
      <c r="E121" s="1839" t="str">
        <f>IF(OR($AQ$85=0,E48=""),"",E48)</f>
        <v xml:space="preserve"> 11F</v>
      </c>
      <c r="F121" s="1840"/>
      <c r="G121" s="1840"/>
      <c r="H121" s="1840"/>
      <c r="I121" s="1834" t="s">
        <v>2245</v>
      </c>
      <c r="J121" s="1835"/>
      <c r="K121" s="1836"/>
      <c r="L121" s="1837">
        <f t="shared" si="17"/>
        <v>0.5</v>
      </c>
      <c r="M121" s="1838"/>
      <c r="N121" s="1838"/>
      <c r="O121" s="1831">
        <f t="shared" si="14"/>
        <v>1152</v>
      </c>
      <c r="P121" s="1832"/>
      <c r="Q121" s="1832"/>
      <c r="R121" s="1832"/>
      <c r="S121" s="1832"/>
      <c r="T121" s="1833"/>
      <c r="U121" s="2493">
        <v>24</v>
      </c>
      <c r="V121" s="2494"/>
      <c r="W121" s="2494"/>
      <c r="X121" s="2495"/>
      <c r="Y121" s="2481"/>
      <c r="Z121" s="2482"/>
      <c r="AA121" s="2482"/>
      <c r="AB121" s="2483"/>
      <c r="AC121" s="2481"/>
      <c r="AD121" s="2482"/>
      <c r="AE121" s="2482"/>
      <c r="AF121" s="2483"/>
      <c r="AG121" s="2481"/>
      <c r="AH121" s="2482"/>
      <c r="AI121" s="2482"/>
      <c r="AJ121" s="2483"/>
      <c r="AK121" s="2481"/>
      <c r="AL121" s="2482"/>
      <c r="AM121" s="2482"/>
      <c r="AN121" s="2484"/>
      <c r="AO121" s="2490">
        <v>48</v>
      </c>
      <c r="AP121" s="2491"/>
      <c r="AQ121" s="2491"/>
      <c r="AR121" s="2492"/>
      <c r="AS121" s="2481"/>
      <c r="AT121" s="2482"/>
      <c r="AU121" s="2482"/>
      <c r="AV121" s="2483"/>
      <c r="AW121" s="2488"/>
      <c r="AX121" s="2488"/>
      <c r="AY121" s="2488"/>
      <c r="AZ121" s="2488"/>
      <c r="BA121" s="2488"/>
      <c r="BB121" s="2488"/>
      <c r="BC121" s="2488"/>
      <c r="BD121" s="2488"/>
      <c r="BE121" s="2488"/>
      <c r="BF121" s="2488"/>
      <c r="BG121" s="2488"/>
      <c r="BH121" s="2489"/>
      <c r="BI121" s="2522">
        <f>IF(E121="","",IF(E121="  1F",SUM($CF$109:CF121)+$W$63,SUM($CF$109:CF121)))</f>
        <v>45</v>
      </c>
      <c r="BJ121" s="2523"/>
      <c r="BK121" s="2523"/>
      <c r="BL121" s="2523"/>
      <c r="BM121" s="2524"/>
      <c r="BN121" s="2525">
        <f t="shared" si="7"/>
        <v>144</v>
      </c>
      <c r="BO121" s="2526"/>
      <c r="BP121" s="2526"/>
      <c r="BQ121" s="2526"/>
      <c r="BR121" s="2526"/>
      <c r="BS121" s="408" t="str">
        <f t="shared" si="8"/>
        <v>●</v>
      </c>
      <c r="BT121" s="1812">
        <f t="shared" si="15"/>
        <v>24</v>
      </c>
      <c r="BU121" s="1812"/>
      <c r="BV121" s="1812">
        <f t="shared" si="16"/>
        <v>24</v>
      </c>
      <c r="BW121" s="1812"/>
      <c r="BX121" s="1812">
        <f t="shared" si="18"/>
        <v>48</v>
      </c>
      <c r="BY121" s="1812"/>
      <c r="BZ121" s="1812">
        <f t="shared" si="10"/>
        <v>48</v>
      </c>
      <c r="CA121" s="1812"/>
      <c r="CB121" s="418"/>
      <c r="CC121" s="411"/>
      <c r="CD121" s="857">
        <f>IF(O48="","",O48)</f>
        <v>4</v>
      </c>
      <c r="CE121" s="733"/>
      <c r="CF121" s="858">
        <f t="shared" si="11"/>
        <v>4</v>
      </c>
      <c r="CG121" s="733"/>
      <c r="CH121" s="858">
        <f t="shared" si="12"/>
        <v>4</v>
      </c>
      <c r="CI121" s="733"/>
      <c r="CJ121" s="735" t="str">
        <f t="shared" si="13"/>
        <v xml:space="preserve"> 11F</v>
      </c>
      <c r="CK121" s="734"/>
      <c r="CL121" s="737"/>
      <c r="CM121" s="734">
        <f t="shared" si="20"/>
        <v>4</v>
      </c>
      <c r="CN121" s="635"/>
      <c r="CR121" s="647" t="s">
        <v>2177</v>
      </c>
      <c r="CU121" s="636" t="s">
        <v>2048</v>
      </c>
      <c r="CV121" s="629"/>
      <c r="CW121" s="641">
        <f t="shared" si="6"/>
        <v>8</v>
      </c>
      <c r="CZ121" s="560" t="str">
        <f>E52</f>
        <v>PH1F</v>
      </c>
      <c r="DA121" s="547" t="str">
        <f t="shared" si="19"/>
        <v/>
      </c>
      <c r="DB121" s="721"/>
      <c r="DC121" s="722"/>
      <c r="DD121" s="722"/>
      <c r="DE121" s="721"/>
      <c r="DF121" s="722"/>
      <c r="DG121" s="722"/>
      <c r="DH121" s="719"/>
      <c r="DI121" s="724"/>
      <c r="DJ121" s="725"/>
      <c r="DK121" s="726"/>
      <c r="DL121" s="719"/>
      <c r="DM121" s="156"/>
      <c r="DN121" s="156"/>
      <c r="DO121" s="156"/>
      <c r="DP121" s="156"/>
      <c r="DQ121" s="156"/>
      <c r="DR121" s="156"/>
      <c r="DS121" s="156"/>
      <c r="DT121" s="156"/>
      <c r="DU121" s="156"/>
      <c r="DV121" s="156"/>
      <c r="DW121" s="156"/>
      <c r="DX121" s="156"/>
      <c r="DY121" s="156"/>
      <c r="DZ121" s="156"/>
      <c r="EA121" s="156"/>
      <c r="EB121" s="156"/>
      <c r="EC121" s="156"/>
      <c r="ED121" s="156"/>
      <c r="EE121" s="156"/>
      <c r="EF121" s="156"/>
      <c r="EG121" s="156"/>
      <c r="EH121" s="156"/>
      <c r="EI121" s="156"/>
      <c r="EJ121" s="156"/>
      <c r="EK121" s="156"/>
      <c r="EL121" s="156"/>
      <c r="EM121" s="156"/>
      <c r="EN121" s="156"/>
      <c r="EO121" s="156"/>
      <c r="EP121" s="156"/>
      <c r="EQ121" s="156"/>
      <c r="ER121" s="156"/>
      <c r="ES121" s="156"/>
      <c r="ET121" s="156"/>
      <c r="EU121" s="156"/>
      <c r="EV121" s="156"/>
      <c r="EW121" s="156"/>
      <c r="EX121" s="156"/>
      <c r="EY121" s="156"/>
      <c r="EZ121" s="156"/>
      <c r="FA121" s="156"/>
      <c r="FB121" s="156"/>
      <c r="FC121" s="156"/>
      <c r="FD121" s="156"/>
      <c r="FE121" s="156"/>
      <c r="FF121" s="156"/>
      <c r="FG121" s="156"/>
      <c r="FL121" s="143" t="s">
        <v>345</v>
      </c>
      <c r="FM121" s="144">
        <v>4</v>
      </c>
      <c r="FN121" s="138" t="s">
        <v>308</v>
      </c>
      <c r="FO121" s="145">
        <v>940</v>
      </c>
    </row>
    <row r="122" spans="1:171" s="1" customFormat="1" ht="10.15" customHeight="1">
      <c r="A122" s="2094"/>
      <c r="B122" s="6"/>
      <c r="C122" s="4"/>
      <c r="D122" s="48">
        <v>14</v>
      </c>
      <c r="E122" s="1839" t="str">
        <f>IF(OR($AQ$85=0,E50=""),"",E50)</f>
        <v xml:space="preserve"> 12F</v>
      </c>
      <c r="F122" s="1840"/>
      <c r="G122" s="1840"/>
      <c r="H122" s="1840"/>
      <c r="I122" s="1834" t="s">
        <v>2245</v>
      </c>
      <c r="J122" s="1835"/>
      <c r="K122" s="1836"/>
      <c r="L122" s="1837">
        <f t="shared" si="17"/>
        <v>0.5</v>
      </c>
      <c r="M122" s="1838"/>
      <c r="N122" s="1838"/>
      <c r="O122" s="1831">
        <f t="shared" si="14"/>
        <v>1152</v>
      </c>
      <c r="P122" s="1832"/>
      <c r="Q122" s="1832"/>
      <c r="R122" s="1832"/>
      <c r="S122" s="1832"/>
      <c r="T122" s="1833"/>
      <c r="U122" s="2493">
        <v>24</v>
      </c>
      <c r="V122" s="2494"/>
      <c r="W122" s="2494"/>
      <c r="X122" s="2495"/>
      <c r="Y122" s="2481"/>
      <c r="Z122" s="2482"/>
      <c r="AA122" s="2482"/>
      <c r="AB122" s="2483"/>
      <c r="AC122" s="2481"/>
      <c r="AD122" s="2482"/>
      <c r="AE122" s="2482"/>
      <c r="AF122" s="2483"/>
      <c r="AG122" s="2481"/>
      <c r="AH122" s="2482"/>
      <c r="AI122" s="2482"/>
      <c r="AJ122" s="2483"/>
      <c r="AK122" s="2481"/>
      <c r="AL122" s="2482"/>
      <c r="AM122" s="2482"/>
      <c r="AN122" s="2484"/>
      <c r="AO122" s="2490">
        <v>48</v>
      </c>
      <c r="AP122" s="2491"/>
      <c r="AQ122" s="2491"/>
      <c r="AR122" s="2492"/>
      <c r="AS122" s="2481"/>
      <c r="AT122" s="2482"/>
      <c r="AU122" s="2482"/>
      <c r="AV122" s="2483"/>
      <c r="AW122" s="2488"/>
      <c r="AX122" s="2488"/>
      <c r="AY122" s="2488"/>
      <c r="AZ122" s="2488"/>
      <c r="BA122" s="2488"/>
      <c r="BB122" s="2488"/>
      <c r="BC122" s="2488"/>
      <c r="BD122" s="2488"/>
      <c r="BE122" s="2488"/>
      <c r="BF122" s="2488"/>
      <c r="BG122" s="2488"/>
      <c r="BH122" s="2489"/>
      <c r="BI122" s="2522">
        <f>IF(E122="","",IF(E122="  1F",SUM($CF$109:CF122)+$W$63,SUM($CF$109:CF122)))</f>
        <v>49</v>
      </c>
      <c r="BJ122" s="2523"/>
      <c r="BK122" s="2523"/>
      <c r="BL122" s="2523"/>
      <c r="BM122" s="2524"/>
      <c r="BN122" s="2525">
        <f t="shared" si="7"/>
        <v>144</v>
      </c>
      <c r="BO122" s="2526"/>
      <c r="BP122" s="2526"/>
      <c r="BQ122" s="2526"/>
      <c r="BR122" s="2526"/>
      <c r="BS122" s="408" t="str">
        <f t="shared" si="8"/>
        <v>●</v>
      </c>
      <c r="BT122" s="1812">
        <f t="shared" si="15"/>
        <v>24</v>
      </c>
      <c r="BU122" s="1812"/>
      <c r="BV122" s="1812">
        <f t="shared" si="16"/>
        <v>24</v>
      </c>
      <c r="BW122" s="1812"/>
      <c r="BX122" s="1812">
        <f t="shared" si="18"/>
        <v>48</v>
      </c>
      <c r="BY122" s="1812"/>
      <c r="BZ122" s="1812">
        <f t="shared" si="10"/>
        <v>48</v>
      </c>
      <c r="CA122" s="1812"/>
      <c r="CB122" s="418"/>
      <c r="CC122" s="411"/>
      <c r="CD122" s="857">
        <f>IF(O50="","",O50)</f>
        <v>4</v>
      </c>
      <c r="CE122" s="733"/>
      <c r="CF122" s="858">
        <f t="shared" si="11"/>
        <v>4</v>
      </c>
      <c r="CG122" s="733"/>
      <c r="CH122" s="858">
        <f t="shared" si="12"/>
        <v>4</v>
      </c>
      <c r="CI122" s="733"/>
      <c r="CJ122" s="735" t="str">
        <f t="shared" si="13"/>
        <v xml:space="preserve"> 12F</v>
      </c>
      <c r="CK122" s="734"/>
      <c r="CL122" s="734"/>
      <c r="CM122" s="734">
        <f t="shared" si="20"/>
        <v>4</v>
      </c>
      <c r="CN122" s="635"/>
      <c r="CR122" s="647" t="s">
        <v>2064</v>
      </c>
      <c r="CU122" s="636" t="s">
        <v>2049</v>
      </c>
      <c r="CV122" s="629"/>
      <c r="CW122" s="641">
        <f t="shared" si="6"/>
        <v>8</v>
      </c>
      <c r="CZ122" s="560" t="str">
        <f>E54</f>
        <v>PH2F</v>
      </c>
      <c r="DA122" s="547" t="str">
        <f t="shared" si="19"/>
        <v/>
      </c>
      <c r="DB122" s="721"/>
      <c r="DC122" s="722"/>
      <c r="DD122" s="722"/>
      <c r="DE122" s="721"/>
      <c r="DF122" s="722"/>
      <c r="DG122" s="722"/>
      <c r="DH122" s="719"/>
      <c r="DI122" s="724"/>
      <c r="DJ122" s="725"/>
      <c r="DK122" s="726"/>
      <c r="DL122" s="719"/>
      <c r="DM122" s="156"/>
      <c r="DN122" s="156"/>
      <c r="DO122" s="156"/>
      <c r="DP122" s="156"/>
      <c r="DQ122" s="156"/>
      <c r="DR122" s="156"/>
      <c r="DS122" s="156"/>
      <c r="DT122" s="156"/>
      <c r="DU122" s="156"/>
      <c r="DV122" s="156"/>
      <c r="DW122" s="156"/>
      <c r="DX122" s="156"/>
      <c r="DY122" s="156"/>
      <c r="DZ122" s="156"/>
      <c r="EA122" s="156"/>
      <c r="EB122" s="156"/>
      <c r="EC122" s="156"/>
      <c r="ED122" s="156"/>
      <c r="EE122" s="156"/>
      <c r="EF122" s="156"/>
      <c r="EG122" s="156"/>
      <c r="EH122" s="156"/>
      <c r="EI122" s="156"/>
      <c r="EJ122" s="156"/>
      <c r="EK122" s="156"/>
      <c r="EL122" s="156"/>
      <c r="EM122" s="156"/>
      <c r="EN122" s="156"/>
      <c r="EO122" s="156"/>
      <c r="EP122" s="156"/>
      <c r="EQ122" s="156"/>
      <c r="ER122" s="156"/>
      <c r="ES122" s="156"/>
      <c r="ET122" s="156"/>
      <c r="EU122" s="156"/>
      <c r="EV122" s="156"/>
      <c r="EW122" s="156"/>
      <c r="EX122" s="156"/>
      <c r="EY122" s="156"/>
      <c r="EZ122" s="156"/>
      <c r="FA122" s="156"/>
      <c r="FB122" s="156"/>
      <c r="FC122" s="156"/>
      <c r="FD122" s="156"/>
      <c r="FE122" s="156"/>
      <c r="FF122" s="156"/>
      <c r="FG122" s="156"/>
      <c r="FL122" s="143" t="s">
        <v>346</v>
      </c>
      <c r="FM122" s="144">
        <v>3</v>
      </c>
      <c r="FN122" s="138" t="s">
        <v>306</v>
      </c>
      <c r="FO122" s="145">
        <v>110</v>
      </c>
    </row>
    <row r="123" spans="1:171" s="1" customFormat="1" ht="10.15" customHeight="1">
      <c r="A123" s="2094"/>
      <c r="B123" s="419"/>
      <c r="C123" s="420"/>
      <c r="D123" s="48">
        <v>15</v>
      </c>
      <c r="E123" s="1839" t="str">
        <f>IF(OR($AQ$85=0,E52=""),"",E52)</f>
        <v>PH1F</v>
      </c>
      <c r="F123" s="1840"/>
      <c r="G123" s="1840"/>
      <c r="H123" s="1840"/>
      <c r="I123" s="1834" t="s">
        <v>2245</v>
      </c>
      <c r="J123" s="1835"/>
      <c r="K123" s="1836"/>
      <c r="L123" s="1837">
        <f t="shared" si="17"/>
        <v>0.7142857142857143</v>
      </c>
      <c r="M123" s="1838"/>
      <c r="N123" s="1838"/>
      <c r="O123" s="1831">
        <f t="shared" si="14"/>
        <v>140</v>
      </c>
      <c r="P123" s="1832"/>
      <c r="Q123" s="1832"/>
      <c r="R123" s="1832"/>
      <c r="S123" s="1832"/>
      <c r="T123" s="1833"/>
      <c r="U123" s="2498">
        <v>10</v>
      </c>
      <c r="V123" s="2482"/>
      <c r="W123" s="2482"/>
      <c r="X123" s="2483"/>
      <c r="Y123" s="2488"/>
      <c r="Z123" s="2488"/>
      <c r="AA123" s="2488"/>
      <c r="AB123" s="2488"/>
      <c r="AC123" s="2488"/>
      <c r="AD123" s="2488"/>
      <c r="AE123" s="2488"/>
      <c r="AF123" s="2488"/>
      <c r="AG123" s="2488"/>
      <c r="AH123" s="2488"/>
      <c r="AI123" s="2488"/>
      <c r="AJ123" s="2488"/>
      <c r="AK123" s="2499"/>
      <c r="AL123" s="2491"/>
      <c r="AM123" s="2491"/>
      <c r="AN123" s="2500"/>
      <c r="AO123" s="2498">
        <v>14</v>
      </c>
      <c r="AP123" s="2482"/>
      <c r="AQ123" s="2482"/>
      <c r="AR123" s="2483"/>
      <c r="AS123" s="2488"/>
      <c r="AT123" s="2488"/>
      <c r="AU123" s="2488"/>
      <c r="AV123" s="2488"/>
      <c r="AW123" s="2488"/>
      <c r="AX123" s="2488"/>
      <c r="AY123" s="2488"/>
      <c r="AZ123" s="2488"/>
      <c r="BA123" s="2488"/>
      <c r="BB123" s="2488"/>
      <c r="BC123" s="2488"/>
      <c r="BD123" s="2488"/>
      <c r="BE123" s="2488"/>
      <c r="BF123" s="2488"/>
      <c r="BG123" s="2488"/>
      <c r="BH123" s="2489"/>
      <c r="BI123" s="2522">
        <f>IF(E123="","",IF(E123="  1F",SUM($CF$109:CF123)+$W$63,SUM($CF$109:CF123)))</f>
        <v>53</v>
      </c>
      <c r="BJ123" s="2523"/>
      <c r="BK123" s="2523"/>
      <c r="BL123" s="2523"/>
      <c r="BM123" s="2524"/>
      <c r="BN123" s="2525">
        <f t="shared" si="7"/>
        <v>48</v>
      </c>
      <c r="BO123" s="2526"/>
      <c r="BP123" s="2526"/>
      <c r="BQ123" s="2526"/>
      <c r="BR123" s="2526"/>
      <c r="BS123" s="408" t="str">
        <f t="shared" si="8"/>
        <v>●</v>
      </c>
      <c r="BT123" s="1812">
        <f t="shared" si="15"/>
        <v>10</v>
      </c>
      <c r="BU123" s="1812"/>
      <c r="BV123" s="1812">
        <f t="shared" si="16"/>
        <v>10</v>
      </c>
      <c r="BW123" s="1812"/>
      <c r="BX123" s="1812">
        <f t="shared" si="18"/>
        <v>14</v>
      </c>
      <c r="BY123" s="1812"/>
      <c r="BZ123" s="1812">
        <f t="shared" si="10"/>
        <v>14</v>
      </c>
      <c r="CA123" s="1812"/>
      <c r="CB123" s="418"/>
      <c r="CC123" s="411"/>
      <c r="CD123" s="857">
        <f>IF(O52="","",O52)</f>
        <v>4</v>
      </c>
      <c r="CE123" s="733"/>
      <c r="CF123" s="858">
        <f t="shared" si="11"/>
        <v>4</v>
      </c>
      <c r="CG123" s="733"/>
      <c r="CH123" s="858" t="str">
        <f t="shared" si="12"/>
        <v/>
      </c>
      <c r="CI123" s="733"/>
      <c r="CJ123" s="735" t="str">
        <f t="shared" si="13"/>
        <v>PH1F</v>
      </c>
      <c r="CK123" s="734"/>
      <c r="CL123" s="734"/>
      <c r="CM123" s="734">
        <f t="shared" si="20"/>
        <v>4</v>
      </c>
      <c r="CN123" s="635"/>
      <c r="CR123" s="647" t="s">
        <v>2065</v>
      </c>
      <c r="CU123" s="636" t="s">
        <v>2050</v>
      </c>
      <c r="CV123" s="629"/>
      <c r="CW123" s="641">
        <f t="shared" si="6"/>
        <v>0</v>
      </c>
      <c r="CZ123" s="560">
        <f>E56</f>
        <v>0</v>
      </c>
      <c r="DA123" s="547" t="str">
        <f t="shared" si="19"/>
        <v/>
      </c>
      <c r="DB123" s="721"/>
      <c r="DC123" s="722"/>
      <c r="DD123" s="722"/>
      <c r="DE123" s="721"/>
      <c r="DF123" s="722"/>
      <c r="DG123" s="722"/>
      <c r="DH123" s="719"/>
      <c r="DI123" s="724"/>
      <c r="DJ123" s="725"/>
      <c r="DK123" s="726"/>
      <c r="DL123" s="719"/>
      <c r="DM123" s="156"/>
      <c r="DN123" s="156"/>
      <c r="DO123" s="156"/>
      <c r="DP123" s="156"/>
      <c r="DQ123" s="156"/>
      <c r="DR123" s="156"/>
      <c r="DS123" s="156"/>
      <c r="DT123" s="156"/>
      <c r="DU123" s="156"/>
      <c r="DV123" s="156"/>
      <c r="DW123" s="156"/>
      <c r="DX123" s="156"/>
      <c r="DY123" s="156"/>
      <c r="DZ123" s="156"/>
      <c r="EA123" s="156"/>
      <c r="EB123" s="156"/>
      <c r="EC123" s="156"/>
      <c r="ED123" s="156"/>
      <c r="EE123" s="156"/>
      <c r="EF123" s="156"/>
      <c r="EG123" s="156"/>
      <c r="EH123" s="156"/>
      <c r="EI123" s="156"/>
      <c r="EJ123" s="156"/>
      <c r="EK123" s="156"/>
      <c r="EL123" s="156"/>
      <c r="EM123" s="156"/>
      <c r="EN123" s="156"/>
      <c r="EO123" s="156"/>
      <c r="EP123" s="156"/>
      <c r="EQ123" s="156"/>
      <c r="ER123" s="156"/>
      <c r="ES123" s="156"/>
      <c r="ET123" s="156"/>
      <c r="EU123" s="156"/>
      <c r="EV123" s="156"/>
      <c r="EW123" s="156"/>
      <c r="EX123" s="156"/>
      <c r="EY123" s="156"/>
      <c r="EZ123" s="156"/>
      <c r="FA123" s="156"/>
      <c r="FB123" s="156"/>
      <c r="FC123" s="156"/>
      <c r="FD123" s="156"/>
      <c r="FE123" s="156"/>
      <c r="FF123" s="156"/>
      <c r="FG123" s="156"/>
      <c r="FL123" s="157" t="s">
        <v>347</v>
      </c>
      <c r="FM123" s="144">
        <v>3</v>
      </c>
      <c r="FN123" s="138" t="s">
        <v>306</v>
      </c>
      <c r="FO123" s="145">
        <v>28</v>
      </c>
    </row>
    <row r="124" spans="1:171" s="1" customFormat="1" ht="10.15" customHeight="1">
      <c r="A124" s="2094"/>
      <c r="B124" s="419"/>
      <c r="C124" s="420"/>
      <c r="D124" s="48">
        <v>16</v>
      </c>
      <c r="E124" s="1839" t="str">
        <f>IF(OR($AQ$85=0,E54=""),"",E54)</f>
        <v>PH2F</v>
      </c>
      <c r="F124" s="1840"/>
      <c r="G124" s="1840"/>
      <c r="H124" s="1840"/>
      <c r="I124" s="1834" t="s">
        <v>2245</v>
      </c>
      <c r="J124" s="1835"/>
      <c r="K124" s="1836"/>
      <c r="L124" s="1837">
        <f t="shared" si="17"/>
        <v>0.7142857142857143</v>
      </c>
      <c r="M124" s="1838"/>
      <c r="N124" s="1838"/>
      <c r="O124" s="1831">
        <f t="shared" si="14"/>
        <v>140</v>
      </c>
      <c r="P124" s="1832"/>
      <c r="Q124" s="1832"/>
      <c r="R124" s="1832"/>
      <c r="S124" s="1832"/>
      <c r="T124" s="1833"/>
      <c r="U124" s="2498">
        <v>10</v>
      </c>
      <c r="V124" s="2482"/>
      <c r="W124" s="2482"/>
      <c r="X124" s="2483"/>
      <c r="Y124" s="2488"/>
      <c r="Z124" s="2488"/>
      <c r="AA124" s="2488"/>
      <c r="AB124" s="2488"/>
      <c r="AC124" s="2488"/>
      <c r="AD124" s="2488"/>
      <c r="AE124" s="2488"/>
      <c r="AF124" s="2488"/>
      <c r="AG124" s="2488"/>
      <c r="AH124" s="2488"/>
      <c r="AI124" s="2488"/>
      <c r="AJ124" s="2488"/>
      <c r="AK124" s="2499"/>
      <c r="AL124" s="2491"/>
      <c r="AM124" s="2491"/>
      <c r="AN124" s="2500"/>
      <c r="AO124" s="2498">
        <v>14</v>
      </c>
      <c r="AP124" s="2482"/>
      <c r="AQ124" s="2482"/>
      <c r="AR124" s="2483"/>
      <c r="AS124" s="2488"/>
      <c r="AT124" s="2488"/>
      <c r="AU124" s="2488"/>
      <c r="AV124" s="2488"/>
      <c r="AW124" s="2488"/>
      <c r="AX124" s="2488"/>
      <c r="AY124" s="2488"/>
      <c r="AZ124" s="2488"/>
      <c r="BA124" s="2488"/>
      <c r="BB124" s="2488"/>
      <c r="BC124" s="2488"/>
      <c r="BD124" s="2488"/>
      <c r="BE124" s="2488"/>
      <c r="BF124" s="2488"/>
      <c r="BG124" s="2488"/>
      <c r="BH124" s="2489"/>
      <c r="BI124" s="2522">
        <f>IF(E124="","",IF(E124="  1F",SUM($CF$109:CF124)+$W$63,SUM($CF$109:CF124)))</f>
        <v>57</v>
      </c>
      <c r="BJ124" s="2523"/>
      <c r="BK124" s="2523"/>
      <c r="BL124" s="2523"/>
      <c r="BM124" s="2524"/>
      <c r="BN124" s="2525">
        <f t="shared" si="7"/>
        <v>48</v>
      </c>
      <c r="BO124" s="2526"/>
      <c r="BP124" s="2526"/>
      <c r="BQ124" s="2526"/>
      <c r="BR124" s="2526"/>
      <c r="BS124" s="408" t="str">
        <f>IF(E124="","",IF(AND(I124="A",OR(U124="",AO124="")),"×",IF(AND(LEFT(I124,1)="B",OR(U124="",Y124="",AO124="",AS124="")),"×",IF(AND(OR(LEFT(I124,1)="C",LEFT(I124,1)="D",LEFT(I124,1)="E",I124="I"),OR(U124="",Y124="",AC124="",AO124="",AS124="",AW124="")),"×",IF(AND(LEFT(I124,1)="F",OR(U124="",Y124="",AC124="",AG124="",AO124="",AS124="",AW124="",BA124="")),"×",IF(AND(OR(LEFT(I124,1)="G",I124="H"),OR(U124="",Y124="",AC124="",AG124="",AK124="",AO124="",AS124="",AW124="",BA124="",BE124="")),"×","●"))))))</f>
        <v>●</v>
      </c>
      <c r="BT124" s="1812">
        <f t="shared" si="15"/>
        <v>10</v>
      </c>
      <c r="BU124" s="1812"/>
      <c r="BV124" s="1812">
        <f t="shared" si="16"/>
        <v>10</v>
      </c>
      <c r="BW124" s="1812"/>
      <c r="BX124" s="1812">
        <f t="shared" si="18"/>
        <v>14</v>
      </c>
      <c r="BY124" s="1812"/>
      <c r="BZ124" s="1812">
        <f t="shared" si="10"/>
        <v>14</v>
      </c>
      <c r="CA124" s="1812"/>
      <c r="CB124" s="418"/>
      <c r="CC124" s="411"/>
      <c r="CD124" s="857">
        <f>IF(O54="","",O54)</f>
        <v>4</v>
      </c>
      <c r="CE124" s="733"/>
      <c r="CF124" s="858">
        <f t="shared" si="11"/>
        <v>4</v>
      </c>
      <c r="CG124" s="733"/>
      <c r="CH124" s="858" t="str">
        <f t="shared" si="12"/>
        <v/>
      </c>
      <c r="CI124" s="733"/>
      <c r="CJ124" s="735" t="str">
        <f t="shared" si="13"/>
        <v>PH2F</v>
      </c>
      <c r="CK124" s="734"/>
      <c r="CL124" s="734"/>
      <c r="CM124" s="734">
        <f t="shared" si="20"/>
        <v>4</v>
      </c>
      <c r="CN124" s="635"/>
      <c r="CR124" s="647" t="s">
        <v>2178</v>
      </c>
      <c r="CU124" s="636" t="s">
        <v>2051</v>
      </c>
      <c r="CV124" s="629"/>
      <c r="CW124" s="641">
        <f t="shared" si="6"/>
        <v>0</v>
      </c>
      <c r="CZ124" s="560">
        <f>E58</f>
        <v>0</v>
      </c>
      <c r="DA124" s="547" t="str">
        <f t="shared" si="19"/>
        <v/>
      </c>
      <c r="DB124" s="721"/>
      <c r="DC124" s="722"/>
      <c r="DD124" s="722"/>
      <c r="DE124" s="721"/>
      <c r="DF124" s="722"/>
      <c r="DG124" s="722"/>
      <c r="DH124" s="719"/>
      <c r="DI124" s="724"/>
      <c r="DJ124" s="725"/>
      <c r="DK124" s="726"/>
      <c r="DL124" s="719"/>
      <c r="DM124" s="156"/>
      <c r="DN124" s="156"/>
      <c r="DO124" s="156"/>
      <c r="DP124" s="156"/>
      <c r="DQ124" s="156"/>
      <c r="DR124" s="156"/>
      <c r="DS124" s="156"/>
      <c r="DT124" s="156"/>
      <c r="DU124" s="156"/>
      <c r="DV124" s="156"/>
      <c r="DW124" s="156"/>
      <c r="DX124" s="156"/>
      <c r="DY124" s="156"/>
      <c r="DZ124" s="156"/>
      <c r="EA124" s="156"/>
      <c r="EB124" s="156"/>
      <c r="EC124" s="156"/>
      <c r="ED124" s="156"/>
      <c r="EE124" s="156"/>
      <c r="EF124" s="156"/>
      <c r="EG124" s="156"/>
      <c r="EH124" s="156"/>
      <c r="EI124" s="156"/>
      <c r="EJ124" s="156"/>
      <c r="EK124" s="156"/>
      <c r="EL124" s="156"/>
      <c r="EM124" s="156"/>
      <c r="EN124" s="156"/>
      <c r="EO124" s="156"/>
      <c r="EP124" s="156"/>
      <c r="EQ124" s="156"/>
      <c r="ER124" s="156"/>
      <c r="ES124" s="156"/>
      <c r="ET124" s="156"/>
      <c r="EU124" s="156"/>
      <c r="EV124" s="156"/>
      <c r="EW124" s="156"/>
      <c r="EX124" s="156"/>
      <c r="EY124" s="156"/>
      <c r="EZ124" s="156"/>
      <c r="FA124" s="156"/>
      <c r="FB124" s="156"/>
      <c r="FC124" s="156"/>
      <c r="FD124" s="156"/>
      <c r="FE124" s="156"/>
      <c r="FF124" s="156"/>
      <c r="FG124" s="156"/>
      <c r="FL124" s="157" t="s">
        <v>348</v>
      </c>
      <c r="FM124" s="144">
        <v>3</v>
      </c>
      <c r="FN124" s="138" t="s">
        <v>306</v>
      </c>
      <c r="FO124" s="145">
        <v>9</v>
      </c>
    </row>
    <row r="125" spans="1:171" s="1" customFormat="1" ht="10.15" customHeight="1">
      <c r="A125" s="2094"/>
      <c r="B125" s="6"/>
      <c r="C125" s="4"/>
      <c r="D125" s="48">
        <v>17</v>
      </c>
      <c r="E125" s="1839" t="str">
        <f>IF(OR($AQ$85=0,E56=""),"",E56)</f>
        <v/>
      </c>
      <c r="F125" s="1840"/>
      <c r="G125" s="1840"/>
      <c r="H125" s="1840"/>
      <c r="I125" s="1834"/>
      <c r="J125" s="1835"/>
      <c r="K125" s="1836"/>
      <c r="L125" s="1837" t="str">
        <f t="shared" si="17"/>
        <v/>
      </c>
      <c r="M125" s="1838"/>
      <c r="N125" s="1838"/>
      <c r="O125" s="1831" t="str">
        <f t="shared" si="14"/>
        <v/>
      </c>
      <c r="P125" s="1832"/>
      <c r="Q125" s="1832"/>
      <c r="R125" s="1832"/>
      <c r="S125" s="1832"/>
      <c r="T125" s="1833"/>
      <c r="U125" s="2498"/>
      <c r="V125" s="2482"/>
      <c r="W125" s="2482"/>
      <c r="X125" s="2483"/>
      <c r="Y125" s="2488"/>
      <c r="Z125" s="2488"/>
      <c r="AA125" s="2488"/>
      <c r="AB125" s="2488"/>
      <c r="AC125" s="2488"/>
      <c r="AD125" s="2488"/>
      <c r="AE125" s="2488"/>
      <c r="AF125" s="2488"/>
      <c r="AG125" s="2488"/>
      <c r="AH125" s="2488"/>
      <c r="AI125" s="2488"/>
      <c r="AJ125" s="2488"/>
      <c r="AK125" s="2499"/>
      <c r="AL125" s="2491"/>
      <c r="AM125" s="2491"/>
      <c r="AN125" s="2500"/>
      <c r="AO125" s="2498"/>
      <c r="AP125" s="2482"/>
      <c r="AQ125" s="2482"/>
      <c r="AR125" s="2483"/>
      <c r="AS125" s="2488"/>
      <c r="AT125" s="2488"/>
      <c r="AU125" s="2488"/>
      <c r="AV125" s="2488"/>
      <c r="AW125" s="2488"/>
      <c r="AX125" s="2488"/>
      <c r="AY125" s="2488"/>
      <c r="AZ125" s="2488"/>
      <c r="BA125" s="2488"/>
      <c r="BB125" s="2488"/>
      <c r="BC125" s="2488"/>
      <c r="BD125" s="2488"/>
      <c r="BE125" s="2488"/>
      <c r="BF125" s="2488"/>
      <c r="BG125" s="2488"/>
      <c r="BH125" s="2489"/>
      <c r="BI125" s="2522" t="str">
        <f>IF(E125="","",IF(E125="  1F",SUM($CF$109:CF125)+$W$63,SUM($CF$109:CF125)))</f>
        <v/>
      </c>
      <c r="BJ125" s="2523"/>
      <c r="BK125" s="2523"/>
      <c r="BL125" s="2523"/>
      <c r="BM125" s="2524"/>
      <c r="BN125" s="2525" t="str">
        <f>IF(OR(E125="",BI125="",BI125&lt;20),"",IF(I125="A",2*(U125+AO125),IF(LEFT(I125,1)="B",2*(BT125+BX125),IF(OR(I125="C1",I125="C2"),2*BV125+2*(BX125+AW125),IF(I125="C3",2*(U125+AC125)+2*(AO125+AW125),IF(I125="C4",2*(Y125+AC125)+2*(AS125+AW125),IF(I125="D1",2*BV125+3*AO125+2*AS125,IF(I125="D2",2*BV125+2*AO125+3*AS125,IF(I125="D3",2*U125+3*Y125+2*(BX125+AW125),IF(I125="D4",3*U125+2*Y125+2*(BX125+AW125),IF(I125="E1",2*U125+3*Y125+2*BX125,IF(I125="E2",3*U125+2*Y125+2*BX125,IF(I125="F1",2*(U125+Y125)+2*BX125,IF(I125="F2",3*U125+2*Y125+2*(BX125+AW125),IF(I125="F3",2*(BV125+BX125+AW125),IF(I125="F4",2*(BV125+BX125),IF(I125="G1",2*(BV125+AG125+AK125+BX125+AW125),IF(I125="G2",2*(BV125+BX125+AW125+BA125+BE125),IF(I125="H",2*(BV125+AG125+AK125+BX125+AW125),IF(I125="I",2*(BV125+Y125+BX125+AS125+AW125)))))))))))))))))))))</f>
        <v/>
      </c>
      <c r="BO125" s="2526"/>
      <c r="BP125" s="2526"/>
      <c r="BQ125" s="2526"/>
      <c r="BR125" s="2526"/>
      <c r="BS125" s="408" t="str">
        <f>IF(E125="","",IF(AND(I125="A",OR(U125="",AO125="")),"×",IF(AND(LEFT(I125,1)="B",OR(U125="",Y125="",AO125="",AS125="")),"×",IF(AND(OR(LEFT(I125,1)="C",LEFT(I125,1)="D",LEFT(I125,1)="E",I125="I"),OR(U125="",Y125="",AC125="",AO125="",AS125="",AW125="")),"×",IF(AND(LEFT(I125,1)="F",OR(U125="",Y125="",AC125="",AG125="",AO125="",AS125="",AW125="",BA125="")),"×",IF(AND(OR(LEFT(I125,1)="G",I125="H"),OR(U125="",Y125="",AC125="",AG125="",AK125="",AO125="",AS125="",AW125="",BA125="",BE125="")),"×","●"))))))</f>
        <v/>
      </c>
      <c r="BT125" s="1812">
        <f t="shared" si="15"/>
        <v>0</v>
      </c>
      <c r="BU125" s="1812"/>
      <c r="BV125" s="1812">
        <f t="shared" si="16"/>
        <v>0</v>
      </c>
      <c r="BW125" s="1812"/>
      <c r="BX125" s="1812">
        <f t="shared" si="18"/>
        <v>0</v>
      </c>
      <c r="BY125" s="1812"/>
      <c r="BZ125" s="1812">
        <f t="shared" si="10"/>
        <v>0</v>
      </c>
      <c r="CA125" s="1812"/>
      <c r="CB125" s="418"/>
      <c r="CC125" s="411"/>
      <c r="CD125" s="857" t="str">
        <f>IF(O56="","",O56)</f>
        <v/>
      </c>
      <c r="CE125" s="733"/>
      <c r="CF125" s="858" t="str">
        <f t="shared" si="11"/>
        <v/>
      </c>
      <c r="CG125" s="733"/>
      <c r="CH125" s="858" t="str">
        <f>IF(LEFT(E125,1)="P","",CF125)</f>
        <v/>
      </c>
      <c r="CI125" s="733"/>
      <c r="CJ125" s="735" t="str">
        <f t="shared" si="13"/>
        <v/>
      </c>
      <c r="CK125" s="734"/>
      <c r="CL125" s="734"/>
      <c r="CM125" s="734" t="str">
        <f t="shared" si="20"/>
        <v/>
      </c>
      <c r="CN125" s="635"/>
      <c r="CR125" s="647" t="s">
        <v>1982</v>
      </c>
      <c r="CU125" s="636" t="s">
        <v>2052</v>
      </c>
      <c r="CV125" s="629"/>
      <c r="CW125" s="641">
        <f t="shared" si="6"/>
        <v>0</v>
      </c>
      <c r="CZ125" s="560">
        <f>E60</f>
        <v>0</v>
      </c>
      <c r="DA125" s="547" t="str">
        <f t="shared" si="19"/>
        <v/>
      </c>
      <c r="DB125" s="721"/>
      <c r="DC125" s="722"/>
      <c r="DD125" s="722"/>
      <c r="DE125" s="721"/>
      <c r="DF125" s="722"/>
      <c r="DG125" s="722"/>
      <c r="DH125" s="719"/>
      <c r="DI125" s="724"/>
      <c r="DJ125" s="725"/>
      <c r="DK125" s="726"/>
      <c r="DL125" s="719"/>
      <c r="DM125" s="156"/>
      <c r="DN125" s="156"/>
      <c r="DO125" s="156"/>
      <c r="DP125" s="156"/>
      <c r="DQ125" s="156"/>
      <c r="DR125" s="156"/>
      <c r="DS125" s="156"/>
      <c r="DT125" s="156"/>
      <c r="DU125" s="156"/>
      <c r="DV125" s="156"/>
      <c r="DW125" s="156"/>
      <c r="DX125" s="156"/>
      <c r="DY125" s="156"/>
      <c r="DZ125" s="156"/>
      <c r="EA125" s="156"/>
      <c r="EB125" s="156"/>
      <c r="EC125" s="156"/>
      <c r="ED125" s="156"/>
      <c r="EE125" s="156"/>
      <c r="EF125" s="156"/>
      <c r="EG125" s="156"/>
      <c r="EH125" s="156"/>
      <c r="EI125" s="156"/>
      <c r="EJ125" s="156"/>
      <c r="EK125" s="156"/>
      <c r="EL125" s="156"/>
      <c r="EM125" s="156"/>
      <c r="EN125" s="156"/>
      <c r="EO125" s="156"/>
      <c r="EP125" s="156"/>
      <c r="EQ125" s="156"/>
      <c r="ER125" s="156"/>
      <c r="ES125" s="156"/>
      <c r="ET125" s="156"/>
      <c r="EU125" s="156"/>
      <c r="EV125" s="156"/>
      <c r="EW125" s="156"/>
      <c r="EX125" s="156"/>
      <c r="EY125" s="156"/>
      <c r="EZ125" s="156"/>
      <c r="FA125" s="156"/>
      <c r="FB125" s="156"/>
      <c r="FC125" s="156"/>
      <c r="FD125" s="156"/>
      <c r="FE125" s="156"/>
      <c r="FF125" s="156"/>
      <c r="FG125" s="156"/>
      <c r="FL125" s="157" t="s">
        <v>349</v>
      </c>
      <c r="FM125" s="144">
        <v>5</v>
      </c>
      <c r="FN125" s="138" t="s">
        <v>312</v>
      </c>
      <c r="FO125" s="145">
        <v>5</v>
      </c>
    </row>
    <row r="126" spans="1:171" s="1" customFormat="1" ht="10.15" customHeight="1">
      <c r="A126" s="2094"/>
      <c r="B126" s="6"/>
      <c r="C126" s="4"/>
      <c r="D126" s="48">
        <v>18</v>
      </c>
      <c r="E126" s="1839" t="str">
        <f>IF(OR($AQ$85=0,E58=""),"",E58)</f>
        <v/>
      </c>
      <c r="F126" s="1840"/>
      <c r="G126" s="1840"/>
      <c r="H126" s="1840"/>
      <c r="I126" s="1834"/>
      <c r="J126" s="1835"/>
      <c r="K126" s="1836"/>
      <c r="L126" s="1837" t="str">
        <f t="shared" si="17"/>
        <v/>
      </c>
      <c r="M126" s="1838"/>
      <c r="N126" s="1838"/>
      <c r="O126" s="1831" t="str">
        <f t="shared" si="14"/>
        <v/>
      </c>
      <c r="P126" s="1832"/>
      <c r="Q126" s="1832"/>
      <c r="R126" s="1832"/>
      <c r="S126" s="1832"/>
      <c r="T126" s="1833"/>
      <c r="U126" s="2498"/>
      <c r="V126" s="2482"/>
      <c r="W126" s="2482"/>
      <c r="X126" s="2483"/>
      <c r="Y126" s="2488"/>
      <c r="Z126" s="2488"/>
      <c r="AA126" s="2488"/>
      <c r="AB126" s="2488"/>
      <c r="AC126" s="2488"/>
      <c r="AD126" s="2488"/>
      <c r="AE126" s="2488"/>
      <c r="AF126" s="2488"/>
      <c r="AG126" s="2488"/>
      <c r="AH126" s="2488"/>
      <c r="AI126" s="2488"/>
      <c r="AJ126" s="2488"/>
      <c r="AK126" s="2499"/>
      <c r="AL126" s="2491"/>
      <c r="AM126" s="2491"/>
      <c r="AN126" s="2500"/>
      <c r="AO126" s="2498"/>
      <c r="AP126" s="2482"/>
      <c r="AQ126" s="2482"/>
      <c r="AR126" s="2483"/>
      <c r="AS126" s="2488"/>
      <c r="AT126" s="2488"/>
      <c r="AU126" s="2488"/>
      <c r="AV126" s="2488"/>
      <c r="AW126" s="2488"/>
      <c r="AX126" s="2488"/>
      <c r="AY126" s="2488"/>
      <c r="AZ126" s="2488"/>
      <c r="BA126" s="2488"/>
      <c r="BB126" s="2488"/>
      <c r="BC126" s="2488"/>
      <c r="BD126" s="2488"/>
      <c r="BE126" s="2488"/>
      <c r="BF126" s="2488"/>
      <c r="BG126" s="2488"/>
      <c r="BH126" s="2489"/>
      <c r="BI126" s="2522" t="str">
        <f>IF(E126="","",IF(E126="  1F",SUM($CF$109:CF126)+$W$63,SUM($CF$109:CF126)))</f>
        <v/>
      </c>
      <c r="BJ126" s="2523"/>
      <c r="BK126" s="2523"/>
      <c r="BL126" s="2523"/>
      <c r="BM126" s="2524"/>
      <c r="BN126" s="2525" t="str">
        <f>IF(OR(E126="",BI126="",BI126&lt;20),"",IF(I126="A",2*(U126+AO126),IF(LEFT(I126,1)="B",2*(BT126+BX126),IF(OR(I126="C1",I126="C2"),2*BV126+2*(BX126+AW126),IF(I126="C3",2*(U126+AC126)+2*(AO126+AW126),IF(I126="C4",2*(Y126+AC126)+2*(AS126+AW126),IF(I126="D1",2*BV126+3*AO126+2*AS126,IF(I126="D2",2*BV126+2*AO126+3*AS126,IF(I126="D3",2*U126+3*Y126+2*(BX126+AW126),IF(I126="D4",3*U126+2*Y126+2*(BX126+AW126),IF(I126="E1",2*U126+3*Y126+2*BX126,IF(I126="E2",3*U126+2*Y126+2*BX126,IF(I126="F1",2*(U126+Y126)+2*BX126,IF(I126="F2",3*U126+2*Y126+2*(BX126+AW126),IF(I126="F3",2*(BV126+BX126+AW126),IF(I126="F4",2*(BV126+BX126),IF(I126="G1",2*(BV126+AG126+AK126+BX126+AW126),IF(I126="G2",2*(BV126+BX126+AW126+BA126+BE126),IF(I126="H",2*(BV126+AG126+AK126+BX126+AW126),IF(I126="I",2*(BV126+Y126+BX126+AS126+AW126)))))))))))))))))))))</f>
        <v/>
      </c>
      <c r="BO126" s="2526"/>
      <c r="BP126" s="2526"/>
      <c r="BQ126" s="2526"/>
      <c r="BR126" s="2526"/>
      <c r="BS126" s="408" t="str">
        <f>IF(E126="","",IF(AND(I126="A",OR(U126="",AO126="")),"×",IF(AND(LEFT(I126,1)="B",OR(U126="",Y126="",AO126="",AS126="")),"×",IF(AND(OR(LEFT(I126,1)="C",LEFT(I126,1)="D",LEFT(I126,1)="E",I126="I"),OR(U126="",Y126="",AC126="",AO126="",AS126="",AW126="")),"×",IF(AND(LEFT(I126,1)="F",OR(U126="",Y126="",AC126="",AG126="",AO126="",AS126="",AW126="",BA126="")),"×",IF(AND(OR(LEFT(I126,1)="G",I126="H"),OR(U126="",Y126="",AC126="",AG126="",AK126="",AO126="",AS126="",AW126="",BA126="",BE126="")),"×","●"))))))</f>
        <v/>
      </c>
      <c r="BT126" s="1812">
        <f t="shared" si="15"/>
        <v>0</v>
      </c>
      <c r="BU126" s="1812"/>
      <c r="BV126" s="1812">
        <f t="shared" si="16"/>
        <v>0</v>
      </c>
      <c r="BW126" s="1812"/>
      <c r="BX126" s="1812">
        <f t="shared" si="18"/>
        <v>0</v>
      </c>
      <c r="BY126" s="1812"/>
      <c r="BZ126" s="1812">
        <f t="shared" si="10"/>
        <v>0</v>
      </c>
      <c r="CA126" s="1812"/>
      <c r="CB126" s="418"/>
      <c r="CC126" s="411"/>
      <c r="CD126" s="857" t="str">
        <f>IF(O58="","",O58)</f>
        <v/>
      </c>
      <c r="CE126" s="733"/>
      <c r="CF126" s="858" t="str">
        <f t="shared" si="11"/>
        <v/>
      </c>
      <c r="CG126" s="733"/>
      <c r="CH126" s="858" t="str">
        <f t="shared" si="12"/>
        <v/>
      </c>
      <c r="CI126" s="733"/>
      <c r="CJ126" s="735" t="str">
        <f t="shared" si="13"/>
        <v/>
      </c>
      <c r="CK126" s="734"/>
      <c r="CL126" s="734"/>
      <c r="CM126" s="734" t="str">
        <f t="shared" si="20"/>
        <v/>
      </c>
      <c r="CN126" s="635"/>
      <c r="CR126" s="647" t="s">
        <v>1995</v>
      </c>
      <c r="CU126" s="636" t="s">
        <v>2053</v>
      </c>
      <c r="CV126" s="629"/>
      <c r="CW126" s="641">
        <f t="shared" si="6"/>
        <v>0</v>
      </c>
      <c r="CZ126" s="560">
        <f>E62</f>
        <v>0</v>
      </c>
      <c r="DA126" s="547" t="str">
        <f t="shared" si="19"/>
        <v/>
      </c>
      <c r="DB126" s="721"/>
      <c r="DC126" s="722"/>
      <c r="DD126" s="722"/>
      <c r="DE126" s="721"/>
      <c r="DF126" s="722"/>
      <c r="DG126" s="722"/>
      <c r="DH126" s="719"/>
      <c r="DI126" s="724"/>
      <c r="DJ126" s="725"/>
      <c r="DK126" s="726"/>
      <c r="DL126" s="719"/>
      <c r="DM126" s="156"/>
      <c r="DN126" s="156"/>
      <c r="DO126" s="156"/>
      <c r="DP126" s="156"/>
      <c r="DQ126" s="156"/>
      <c r="DR126" s="156"/>
      <c r="DS126" s="156"/>
      <c r="DT126" s="156"/>
      <c r="DU126" s="156"/>
      <c r="DV126" s="156"/>
      <c r="DW126" s="156"/>
      <c r="DX126" s="156"/>
      <c r="DY126" s="156"/>
      <c r="DZ126" s="156"/>
      <c r="EA126" s="156"/>
      <c r="EB126" s="156"/>
      <c r="EC126" s="156"/>
      <c r="ED126" s="156"/>
      <c r="EE126" s="156"/>
      <c r="EF126" s="156"/>
      <c r="EG126" s="156"/>
      <c r="EH126" s="156"/>
      <c r="EI126" s="156"/>
      <c r="EJ126" s="156"/>
      <c r="EK126" s="156"/>
      <c r="EL126" s="156"/>
      <c r="EM126" s="156"/>
      <c r="EN126" s="156"/>
      <c r="EO126" s="156"/>
      <c r="EP126" s="156"/>
      <c r="EQ126" s="156"/>
      <c r="ER126" s="156"/>
      <c r="ES126" s="156"/>
      <c r="ET126" s="156"/>
      <c r="EU126" s="156"/>
      <c r="EV126" s="156"/>
      <c r="EW126" s="156"/>
      <c r="EX126" s="156"/>
      <c r="EY126" s="156"/>
      <c r="EZ126" s="156"/>
      <c r="FA126" s="156"/>
      <c r="FB126" s="156"/>
      <c r="FC126" s="156"/>
      <c r="FD126" s="156"/>
      <c r="FE126" s="156"/>
      <c r="FF126" s="156"/>
      <c r="FG126" s="156"/>
      <c r="FL126" s="157" t="s">
        <v>350</v>
      </c>
      <c r="FM126" s="144">
        <v>4</v>
      </c>
      <c r="FN126" s="138" t="s">
        <v>308</v>
      </c>
      <c r="FO126" s="145">
        <v>12</v>
      </c>
    </row>
    <row r="127" spans="1:171" s="1" customFormat="1" ht="10.15" customHeight="1">
      <c r="A127" s="2094"/>
      <c r="B127" s="6"/>
      <c r="C127" s="4"/>
      <c r="D127" s="48">
        <v>19</v>
      </c>
      <c r="E127" s="1839" t="str">
        <f>IF(OR($AQ$85=0,E60=""),"",E60)</f>
        <v/>
      </c>
      <c r="F127" s="1840"/>
      <c r="G127" s="1840"/>
      <c r="H127" s="1840"/>
      <c r="I127" s="1834"/>
      <c r="J127" s="1835"/>
      <c r="K127" s="1836"/>
      <c r="L127" s="1837" t="str">
        <f t="shared" si="17"/>
        <v/>
      </c>
      <c r="M127" s="1838"/>
      <c r="N127" s="1838"/>
      <c r="O127" s="1831" t="str">
        <f t="shared" si="14"/>
        <v/>
      </c>
      <c r="P127" s="1832"/>
      <c r="Q127" s="1832"/>
      <c r="R127" s="1832"/>
      <c r="S127" s="1832"/>
      <c r="T127" s="1833"/>
      <c r="U127" s="2490"/>
      <c r="V127" s="2491"/>
      <c r="W127" s="2491"/>
      <c r="X127" s="2492"/>
      <c r="Y127" s="2488"/>
      <c r="Z127" s="2488"/>
      <c r="AA127" s="2488"/>
      <c r="AB127" s="2488"/>
      <c r="AC127" s="2488"/>
      <c r="AD127" s="2488"/>
      <c r="AE127" s="2488"/>
      <c r="AF127" s="2488"/>
      <c r="AG127" s="2488"/>
      <c r="AH127" s="2488"/>
      <c r="AI127" s="2488"/>
      <c r="AJ127" s="2488"/>
      <c r="AK127" s="2499"/>
      <c r="AL127" s="2491"/>
      <c r="AM127" s="2491"/>
      <c r="AN127" s="2500"/>
      <c r="AO127" s="2490"/>
      <c r="AP127" s="2491"/>
      <c r="AQ127" s="2491"/>
      <c r="AR127" s="2492"/>
      <c r="AS127" s="2488"/>
      <c r="AT127" s="2488"/>
      <c r="AU127" s="2488"/>
      <c r="AV127" s="2488"/>
      <c r="AW127" s="2488"/>
      <c r="AX127" s="2488"/>
      <c r="AY127" s="2488"/>
      <c r="AZ127" s="2488"/>
      <c r="BA127" s="2488"/>
      <c r="BB127" s="2488"/>
      <c r="BC127" s="2488"/>
      <c r="BD127" s="2488"/>
      <c r="BE127" s="2488"/>
      <c r="BF127" s="2488"/>
      <c r="BG127" s="2488"/>
      <c r="BH127" s="2489"/>
      <c r="BI127" s="2522" t="str">
        <f>IF(E127="","",IF(E127="  1F",SUM($CF$109:CF127)+$W$63,SUM($CF$109:CF127)))</f>
        <v/>
      </c>
      <c r="BJ127" s="2523"/>
      <c r="BK127" s="2523"/>
      <c r="BL127" s="2523"/>
      <c r="BM127" s="2524"/>
      <c r="BN127" s="2525" t="str">
        <f>IF(OR(E127="",BI127="",BI127&lt;20),"",IF(I127="A",2*(U127+AO127),IF(LEFT(I127,1)="B",2*(BT127+BX127),IF(OR(I127="C1",I127="C2"),2*BV127+2*(BX127+AW127),IF(I127="C3",2*(U127+AC127)+2*(AO127+AW127),IF(I127="C4",2*(Y127+AC127)+2*(AS127+AW127),IF(I127="D1",2*BV127+3*AO127+2*AS127,IF(I127="D2",2*BV127+2*AO127+3*AS127,IF(I127="D3",2*U127+3*Y127+2*(BX127+AW127),IF(I127="D4",3*U127+2*Y127+2*(BX127+AW127),IF(I127="E1",2*U127+3*Y127+2*BX127,IF(I127="E2",3*U127+2*Y127+2*BX127,IF(I127="F1",2*(U127+Y127)+2*BX127,IF(I127="F2",3*U127+2*Y127+2*(BX127+AW127),IF(I127="F3",2*(BV127+BX127+AW127),IF(I127="F4",2*(BV127+BX127),IF(I127="G1",2*(BV127+AG127+AK127+BX127+AW127),IF(I127="G2",2*(BV127+BX127+AW127+BA127+BE127),IF(I127="H",2*(BV127+AG127+AK127+BX127+AW127),IF(I127="I",2*(BV127+Y127+BX127+AS127+AW127)))))))))))))))))))))</f>
        <v/>
      </c>
      <c r="BO127" s="2526"/>
      <c r="BP127" s="2526"/>
      <c r="BQ127" s="2526"/>
      <c r="BR127" s="2526"/>
      <c r="BS127" s="408" t="str">
        <f>IF(E127="","",IF(AND(I127="A",OR(U127="",AO127="")),"×",IF(AND(LEFT(I127,1)="B",OR(U127="",Y127="",AO127="",AS127="")),"×",IF(AND(OR(LEFT(I127,1)="C",LEFT(I127,1)="D",LEFT(I127,1)="E",I127="I"),OR(U127="",Y127="",AC127="",AO127="",AS127="",AW127="")),"×",IF(AND(LEFT(I127,1)="F",OR(U127="",Y127="",AC127="",AG127="",AO127="",AS127="",AW127="",BA127="")),"×",IF(AND(OR(LEFT(I127,1)="G",I127="H"),OR(U127="",Y127="",AC127="",AG127="",AK127="",AO127="",AS127="",AW127="",BA127="",BE127="")),"×","●"))))))</f>
        <v/>
      </c>
      <c r="BT127" s="1812">
        <f t="shared" si="15"/>
        <v>0</v>
      </c>
      <c r="BU127" s="1812"/>
      <c r="BV127" s="1812">
        <f t="shared" si="16"/>
        <v>0</v>
      </c>
      <c r="BW127" s="1812"/>
      <c r="BX127" s="1812">
        <f t="shared" si="18"/>
        <v>0</v>
      </c>
      <c r="BY127" s="1812"/>
      <c r="BZ127" s="1812">
        <f t="shared" si="10"/>
        <v>0</v>
      </c>
      <c r="CA127" s="1812"/>
      <c r="CB127" s="418"/>
      <c r="CC127" s="411"/>
      <c r="CD127" s="857" t="str">
        <f>IF(O60="","",O60)</f>
        <v/>
      </c>
      <c r="CE127" s="733"/>
      <c r="CF127" s="858" t="str">
        <f t="shared" si="11"/>
        <v/>
      </c>
      <c r="CG127" s="733"/>
      <c r="CH127" s="858" t="str">
        <f t="shared" si="12"/>
        <v/>
      </c>
      <c r="CI127" s="733"/>
      <c r="CJ127" s="735" t="str">
        <f t="shared" si="13"/>
        <v/>
      </c>
      <c r="CK127" s="734"/>
      <c r="CL127" s="734"/>
      <c r="CM127" s="734" t="str">
        <f t="shared" si="20"/>
        <v/>
      </c>
      <c r="CN127" s="635"/>
      <c r="CR127" s="647" t="s">
        <v>2066</v>
      </c>
      <c r="CU127" s="635"/>
      <c r="CZ127" s="546"/>
      <c r="DA127" s="546"/>
      <c r="DB127" s="719"/>
      <c r="DC127" s="722"/>
      <c r="DD127" s="727"/>
      <c r="DE127" s="721"/>
      <c r="DF127" s="721"/>
      <c r="DG127" s="727"/>
      <c r="DH127" s="727"/>
      <c r="DI127" s="724"/>
      <c r="DJ127" s="719"/>
      <c r="DK127" s="719"/>
      <c r="DL127" s="719"/>
      <c r="DM127" s="156"/>
      <c r="DN127" s="156"/>
      <c r="DO127" s="156"/>
      <c r="DP127" s="156"/>
      <c r="DQ127" s="156"/>
      <c r="DR127" s="156"/>
      <c r="DS127" s="156"/>
      <c r="DT127" s="156"/>
      <c r="DU127" s="156"/>
      <c r="DV127" s="156"/>
      <c r="DW127" s="156"/>
      <c r="DX127" s="156"/>
      <c r="DY127" s="156"/>
      <c r="DZ127" s="156"/>
      <c r="EA127" s="156"/>
      <c r="EB127" s="156"/>
      <c r="EC127" s="156"/>
      <c r="ED127" s="156"/>
      <c r="EE127" s="156"/>
      <c r="EF127" s="156"/>
      <c r="EG127" s="156"/>
      <c r="EH127" s="156"/>
      <c r="EI127" s="156"/>
      <c r="EJ127" s="156"/>
      <c r="EK127" s="156"/>
      <c r="EL127" s="156"/>
      <c r="EM127" s="156"/>
      <c r="EN127" s="156"/>
      <c r="EO127" s="156"/>
      <c r="EP127" s="156"/>
      <c r="EQ127" s="156"/>
      <c r="ER127" s="156"/>
      <c r="ES127" s="156"/>
      <c r="ET127" s="156"/>
      <c r="EU127" s="156"/>
      <c r="EV127" s="156"/>
      <c r="EW127" s="156"/>
      <c r="EX127" s="156"/>
      <c r="EY127" s="156"/>
      <c r="EZ127" s="156"/>
      <c r="FA127" s="156"/>
      <c r="FB127" s="156"/>
      <c r="FC127" s="156"/>
      <c r="FD127" s="156"/>
      <c r="FE127" s="156"/>
      <c r="FF127" s="156"/>
      <c r="FG127" s="156"/>
      <c r="FL127" s="157" t="s">
        <v>351</v>
      </c>
      <c r="FM127" s="144">
        <v>4</v>
      </c>
      <c r="FN127" s="138" t="s">
        <v>308</v>
      </c>
      <c r="FO127" s="145">
        <v>4</v>
      </c>
    </row>
    <row r="128" spans="1:171" s="1" customFormat="1" ht="10.15" customHeight="1" thickBot="1">
      <c r="A128" s="2094"/>
      <c r="B128" s="6"/>
      <c r="C128" s="4"/>
      <c r="D128" s="48">
        <v>20</v>
      </c>
      <c r="E128" s="1839" t="str">
        <f>IF(OR($AQ$85=0,E62=""),"",E62)</f>
        <v/>
      </c>
      <c r="F128" s="1840"/>
      <c r="G128" s="1840"/>
      <c r="H128" s="1840"/>
      <c r="I128" s="1841"/>
      <c r="J128" s="1842"/>
      <c r="K128" s="1843"/>
      <c r="L128" s="1837" t="str">
        <f t="shared" si="17"/>
        <v/>
      </c>
      <c r="M128" s="1838"/>
      <c r="N128" s="1838"/>
      <c r="O128" s="1831" t="str">
        <f t="shared" si="14"/>
        <v/>
      </c>
      <c r="P128" s="1832"/>
      <c r="Q128" s="1832"/>
      <c r="R128" s="1832"/>
      <c r="S128" s="1832"/>
      <c r="T128" s="1833"/>
      <c r="U128" s="2501"/>
      <c r="V128" s="2502"/>
      <c r="W128" s="2502"/>
      <c r="X128" s="2503"/>
      <c r="Y128" s="2504"/>
      <c r="Z128" s="2504"/>
      <c r="AA128" s="2504"/>
      <c r="AB128" s="2504"/>
      <c r="AC128" s="2505"/>
      <c r="AD128" s="2505"/>
      <c r="AE128" s="2505"/>
      <c r="AF128" s="2505"/>
      <c r="AG128" s="2505"/>
      <c r="AH128" s="2505"/>
      <c r="AI128" s="2505"/>
      <c r="AJ128" s="2505"/>
      <c r="AK128" s="2506"/>
      <c r="AL128" s="2507"/>
      <c r="AM128" s="2507"/>
      <c r="AN128" s="2508"/>
      <c r="AO128" s="2509"/>
      <c r="AP128" s="2507"/>
      <c r="AQ128" s="2507"/>
      <c r="AR128" s="2510"/>
      <c r="AS128" s="2505"/>
      <c r="AT128" s="2505"/>
      <c r="AU128" s="2505"/>
      <c r="AV128" s="2505"/>
      <c r="AW128" s="2505"/>
      <c r="AX128" s="2505"/>
      <c r="AY128" s="2505"/>
      <c r="AZ128" s="2505"/>
      <c r="BA128" s="2505"/>
      <c r="BB128" s="2505"/>
      <c r="BC128" s="2505"/>
      <c r="BD128" s="2505"/>
      <c r="BE128" s="2505"/>
      <c r="BF128" s="2505"/>
      <c r="BG128" s="2505"/>
      <c r="BH128" s="2511"/>
      <c r="BI128" s="2522" t="str">
        <f>IF(E128="","",IF(E128="  1F",SUM($CF$109:CF128)+$W$63,SUM($CF$109:CF128)))</f>
        <v/>
      </c>
      <c r="BJ128" s="2523"/>
      <c r="BK128" s="2523"/>
      <c r="BL128" s="2523"/>
      <c r="BM128" s="2524"/>
      <c r="BN128" s="2525" t="str">
        <f>IF(OR(E128="",BI128="",BI128&lt;20),"",IF(I128="A",2*(U128+AO128),IF(LEFT(I128,1)="B",2*(BT128+BX128),IF(OR(I128="C1",I128="C2"),2*BV128+2*(BX128+AW128),IF(I128="C3",2*(U128+AC128)+2*(AO128+AW128),IF(I128="C4",2*(Y128+AC128)+2*(AS128+AW128),IF(I128="D1",2*BV128+3*AO128+2*AS128,IF(I128="D2",2*BV128+2*AO128+3*AS128,IF(I128="D3",2*U128+3*Y128+2*(BX128+AW128),IF(I128="D4",3*U128+2*Y128+2*(BX128+AW128),IF(I128="E1",2*U128+3*Y128+2*BX128,IF(I128="E2",3*U128+2*Y128+2*BX128,IF(I128="F1",2*(U128+Y128)+2*BX128,IF(I128="F2",3*U128+2*Y128+2*(BX128+AW128),IF(I128="F3",2*(BV128+BX128+AW128),IF(I128="F4",2*(BV128+BX128),IF(I128="G1",2*(BV128+AG128+AK128+BX128+AW128),IF(I128="G2",2*(BV128+BX128+AW128+BA128+BE128),IF(I128="H",2*(BV128+AG128+AK128+BX128+AW128),IF(I128="I",2*(BV128+Y128+BX128+AS128+AW128)))))))))))))))))))))</f>
        <v/>
      </c>
      <c r="BO128" s="2526"/>
      <c r="BP128" s="2526"/>
      <c r="BQ128" s="2526"/>
      <c r="BR128" s="2526"/>
      <c r="BS128" s="408" t="str">
        <f>IF(E128="","",IF(AND(I128="A",OR(U128="",AO128="")),"×",IF(AND(LEFT(I128,1)="B",OR(U128="",Y128="",AO128="",AS128="")),"×",IF(AND(OR(LEFT(I128,1)="C",LEFT(I128,1)="D",LEFT(I128,1)="E",I128="I"),OR(U128="",Y128="",AC128="",AO128="",AS128="",AW128="")),"×",IF(AND(LEFT(I128,1)="F",OR(U128="",Y128="",AC128="",AG128="",AO128="",AS128="",AW128="",BA128="")),"×",IF(AND(OR(LEFT(I128,1)="G",I128="H"),OR(U128="",Y128="",AC128="",AG128="",AK128="",AO128="",AS128="",AW128="",BA128="",BE128="")),"×","●"))))))</f>
        <v/>
      </c>
      <c r="BT128" s="1812">
        <f t="shared" si="15"/>
        <v>0</v>
      </c>
      <c r="BU128" s="1812"/>
      <c r="BV128" s="1812">
        <f t="shared" si="16"/>
        <v>0</v>
      </c>
      <c r="BW128" s="1812"/>
      <c r="BX128" s="1812">
        <f t="shared" si="18"/>
        <v>0</v>
      </c>
      <c r="BY128" s="1812"/>
      <c r="BZ128" s="1812">
        <f t="shared" si="10"/>
        <v>0</v>
      </c>
      <c r="CA128" s="1812"/>
      <c r="CB128" s="418"/>
      <c r="CC128" s="411"/>
      <c r="CD128" s="857" t="str">
        <f>IF(O62="","",O62)</f>
        <v/>
      </c>
      <c r="CE128" s="733"/>
      <c r="CF128" s="858" t="str">
        <f t="shared" si="11"/>
        <v/>
      </c>
      <c r="CG128" s="733"/>
      <c r="CH128" s="858" t="str">
        <f t="shared" si="12"/>
        <v/>
      </c>
      <c r="CI128" s="733"/>
      <c r="CJ128" s="735" t="str">
        <f t="shared" si="13"/>
        <v/>
      </c>
      <c r="CK128" s="734"/>
      <c r="CL128" s="734"/>
      <c r="CM128" s="734" t="str">
        <f t="shared" si="20"/>
        <v/>
      </c>
      <c r="CN128" s="635"/>
      <c r="CR128" s="635"/>
      <c r="CU128" s="635"/>
      <c r="DB128" s="156"/>
      <c r="DC128" s="156"/>
      <c r="DD128" s="137"/>
      <c r="DE128" s="156"/>
      <c r="DF128" s="156"/>
      <c r="DG128" s="156"/>
      <c r="DH128" s="156"/>
      <c r="DI128" s="156"/>
      <c r="DJ128" s="156"/>
      <c r="DK128" s="156"/>
      <c r="DL128" s="156"/>
      <c r="DM128" s="156"/>
      <c r="DN128" s="156"/>
      <c r="DO128" s="156"/>
      <c r="DP128" s="156"/>
      <c r="DQ128" s="156"/>
      <c r="DR128" s="156"/>
      <c r="DS128" s="156"/>
      <c r="DT128" s="156"/>
      <c r="DU128" s="156"/>
      <c r="DV128" s="156"/>
      <c r="DW128" s="156"/>
      <c r="DX128" s="156"/>
      <c r="DY128" s="156"/>
      <c r="DZ128" s="156"/>
      <c r="EA128" s="156"/>
      <c r="EB128" s="156"/>
      <c r="EC128" s="156"/>
      <c r="ED128" s="156"/>
      <c r="EE128" s="156"/>
      <c r="EF128" s="156"/>
      <c r="EG128" s="156"/>
      <c r="EH128" s="156"/>
      <c r="EI128" s="156"/>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L128" s="157" t="s">
        <v>352</v>
      </c>
      <c r="FM128" s="144">
        <v>4</v>
      </c>
      <c r="FN128" s="138" t="s">
        <v>308</v>
      </c>
      <c r="FO128" s="145">
        <v>505</v>
      </c>
    </row>
    <row r="129" spans="1:171" s="1" customFormat="1" ht="5.25" customHeight="1">
      <c r="A129" s="209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21"/>
      <c r="BS129" s="410" t="s">
        <v>1040</v>
      </c>
      <c r="BT129" s="421"/>
      <c r="BU129" s="4"/>
      <c r="BV129" s="4"/>
      <c r="BW129" s="4"/>
      <c r="BX129" s="4"/>
      <c r="BY129" s="4"/>
      <c r="BZ129" s="4"/>
      <c r="CA129" s="4"/>
      <c r="CB129" s="7"/>
      <c r="CF129" s="732">
        <f>W63</f>
        <v>0.75</v>
      </c>
      <c r="CH129" s="732">
        <f>W63</f>
        <v>0.75</v>
      </c>
      <c r="CJ129" s="732">
        <f>W63</f>
        <v>0.75</v>
      </c>
      <c r="CL129" s="732">
        <f>W63</f>
        <v>0.75</v>
      </c>
      <c r="CR129" s="635"/>
      <c r="CU129" s="635"/>
      <c r="DB129" s="156"/>
      <c r="DC129" s="156"/>
      <c r="DD129" s="137"/>
      <c r="DE129" s="156"/>
      <c r="DF129" s="156"/>
      <c r="DG129" s="156"/>
      <c r="DH129" s="156"/>
      <c r="DI129" s="156"/>
      <c r="DJ129" s="156"/>
      <c r="DK129" s="156"/>
      <c r="DL129" s="156"/>
      <c r="DM129" s="156"/>
      <c r="DN129" s="156"/>
      <c r="DO129" s="156"/>
      <c r="DP129" s="156"/>
      <c r="DQ129" s="156"/>
      <c r="DR129" s="156"/>
      <c r="DS129" s="156"/>
      <c r="DT129" s="156"/>
      <c r="DU129" s="156"/>
      <c r="DV129" s="156"/>
      <c r="DW129" s="156"/>
      <c r="DX129" s="156"/>
      <c r="DY129" s="156"/>
      <c r="DZ129" s="156"/>
      <c r="EA129" s="156"/>
      <c r="EB129" s="156"/>
      <c r="EC129" s="156"/>
      <c r="ED129" s="156"/>
      <c r="EE129" s="156"/>
      <c r="EF129" s="156"/>
      <c r="EG129" s="156"/>
      <c r="EH129" s="156"/>
      <c r="EI129" s="156"/>
      <c r="EJ129" s="156"/>
      <c r="EK129" s="156"/>
      <c r="EL129" s="156"/>
      <c r="EM129" s="156"/>
      <c r="EN129" s="156"/>
      <c r="EO129" s="156"/>
      <c r="EP129" s="156"/>
      <c r="EQ129" s="156"/>
      <c r="ER129" s="156"/>
      <c r="ES129" s="156"/>
      <c r="ET129" s="156"/>
      <c r="EU129" s="156"/>
      <c r="EV129" s="156"/>
      <c r="EW129" s="156"/>
      <c r="EX129" s="156"/>
      <c r="EY129" s="156"/>
      <c r="EZ129" s="156"/>
      <c r="FA129" s="156"/>
      <c r="FB129" s="156"/>
      <c r="FC129" s="156"/>
      <c r="FD129" s="156"/>
      <c r="FE129" s="156"/>
      <c r="FF129" s="156"/>
      <c r="FG129" s="156"/>
      <c r="FL129" s="157" t="s">
        <v>353</v>
      </c>
      <c r="FM129" s="144">
        <v>3</v>
      </c>
      <c r="FN129" s="138" t="s">
        <v>306</v>
      </c>
      <c r="FO129" s="145">
        <v>260</v>
      </c>
    </row>
    <row r="130" spans="1:171" s="1" customFormat="1" ht="10.15" customHeight="1">
      <c r="A130" s="2094"/>
      <c r="B130" s="6"/>
      <c r="C130" s="4"/>
      <c r="D130" s="4"/>
      <c r="E130" s="1839" t="str">
        <f>IF(E109="  1F",E109,IF(E110="  1F",E110,IF(E111="  1F",E111,IF(E112="  1F",E112,IF(E113="  1F",E113,IF(E114="  1F",E114,IF(E115="  1F",E115,"")))))))</f>
        <v xml:space="preserve">  1F</v>
      </c>
      <c r="F130" s="1840"/>
      <c r="G130" s="1840"/>
      <c r="H130" s="2542"/>
      <c r="I130" s="2543" t="str">
        <f>IF(E109="  1F",I109,IF(E110="  1F",I110,IF(E111="  1F",I111,IF(E112="  1F",I112,IF(E113="  1F",I113,IF(E114="  1F",I114,IF(E115="  1F",I115,"")))))))</f>
        <v>B1</v>
      </c>
      <c r="J130" s="2543"/>
      <c r="K130" s="2543"/>
      <c r="L130" s="2525">
        <f>IF(E109="  1F",L109,IF(E110="  1F",L110,IF(E111="  1F",L111,IF(E112="  1F",L112,IF(E113="  1F",L113,IF(E114="  1F",L114,IF(E115="  1F",L115,"")))))))</f>
        <v>0.94339622641509435</v>
      </c>
      <c r="M130" s="2526"/>
      <c r="N130" s="2526"/>
      <c r="O130" s="1734">
        <f>IF(E109="  1F",O109,IF(E110="  1F",O110,IF(E111="  1F",O111,IF(E112="  1F",O112,IF(E113="  1F",O113,IF(E114="  1F",O114,IF(E115="  1F",O115,"")))))))</f>
        <v>3816</v>
      </c>
      <c r="P130" s="1735"/>
      <c r="Q130" s="1735"/>
      <c r="R130" s="1735"/>
      <c r="S130" s="1735"/>
      <c r="T130" s="1736"/>
      <c r="U130" s="414"/>
      <c r="V130" s="414"/>
      <c r="W130" s="414"/>
      <c r="X130" s="643" t="str">
        <f>IF(I109="","","軒高")</f>
        <v>軒高</v>
      </c>
      <c r="Y130" s="1750">
        <f>CH130</f>
        <v>49.75</v>
      </c>
      <c r="Z130" s="1750"/>
      <c r="AA130" s="1750"/>
      <c r="AB130" s="1750"/>
      <c r="AC130" s="1751" t="str">
        <f>IF(Y130="","","ｍ")</f>
        <v>ｍ</v>
      </c>
      <c r="AD130" s="1752"/>
      <c r="AE130" s="1753" t="str">
        <f>IF(Y130=0,"",VLOOKUP(CH131,面積階,28,FALSE))</f>
        <v xml:space="preserve"> 12F</v>
      </c>
      <c r="AF130" s="1753"/>
      <c r="AG130" s="1753"/>
      <c r="AH130" s="1753"/>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21"/>
      <c r="BS130" s="86" t="str">
        <f>IF(AP85=0,"X・Y入力未",IF(OR(BS109="×",BS110="×",BS111="×",BS112="×",BS113="×",BS114="×",BS115="×",BS116="×",BS117="×",BS118="×",BS119="×",BS120="×",BS121="×",BS122="×",BS123="×",BS124="×",BS125="×",BS126="×",BS127="×",BS128="×"),"X・Y入力未","済"))</f>
        <v>済</v>
      </c>
      <c r="BT130" s="421"/>
      <c r="BU130" s="4"/>
      <c r="BV130" s="4"/>
      <c r="BW130" s="4"/>
      <c r="BX130" s="4"/>
      <c r="BY130" s="4"/>
      <c r="BZ130" s="4"/>
      <c r="CA130" s="4"/>
      <c r="CB130" s="422"/>
      <c r="CC130" s="411"/>
      <c r="CD130" s="411"/>
      <c r="CE130" s="656"/>
      <c r="CF130" s="1739">
        <f>SUM(CF109:CG129)</f>
        <v>57.75</v>
      </c>
      <c r="CG130" s="1739"/>
      <c r="CH130" s="1739">
        <f>SUM(CH109:CI129)</f>
        <v>49.75</v>
      </c>
      <c r="CI130" s="1739"/>
      <c r="CJ130" s="736"/>
      <c r="CK130" s="736"/>
      <c r="CL130" s="1737">
        <f>SUM(CL109:CL116)+W63</f>
        <v>10.75</v>
      </c>
      <c r="CM130" s="1738"/>
      <c r="CU130" s="635"/>
      <c r="DB130" s="156"/>
      <c r="DC130" s="156"/>
      <c r="DD130" s="881">
        <f>AP85</f>
        <v>1</v>
      </c>
      <c r="DE130" s="156"/>
      <c r="DF130" s="156"/>
      <c r="DG130" s="156"/>
      <c r="DH130" s="156"/>
      <c r="DI130" s="156"/>
      <c r="DJ130" s="156"/>
      <c r="DK130" s="156"/>
      <c r="DL130" s="156"/>
      <c r="DM130" s="156"/>
      <c r="DN130" s="156"/>
      <c r="DO130" s="156"/>
      <c r="DP130" s="156"/>
      <c r="DQ130" s="156"/>
      <c r="DR130" s="156"/>
      <c r="DS130" s="156"/>
      <c r="DT130" s="156"/>
      <c r="DU130" s="156"/>
      <c r="DV130" s="156"/>
      <c r="DW130" s="156"/>
      <c r="DX130" s="156"/>
      <c r="DY130" s="156"/>
      <c r="DZ130" s="156"/>
      <c r="EA130" s="156"/>
      <c r="EB130" s="156"/>
      <c r="EC130" s="156"/>
      <c r="ED130" s="156"/>
      <c r="EE130" s="156"/>
      <c r="EF130" s="156"/>
      <c r="EG130" s="156"/>
      <c r="EH130" s="156"/>
      <c r="EI130" s="156"/>
      <c r="EJ130" s="156"/>
      <c r="EK130" s="156"/>
      <c r="EL130" s="156"/>
      <c r="EM130" s="156"/>
      <c r="EN130" s="156"/>
      <c r="EO130" s="156"/>
      <c r="EP130" s="156"/>
      <c r="EQ130" s="156"/>
      <c r="ER130" s="156"/>
      <c r="ES130" s="156"/>
      <c r="ET130" s="156"/>
      <c r="EU130" s="156"/>
      <c r="EV130" s="156"/>
      <c r="EW130" s="156"/>
      <c r="EX130" s="156"/>
      <c r="EY130" s="156"/>
      <c r="EZ130" s="156"/>
      <c r="FA130" s="156"/>
      <c r="FB130" s="156"/>
      <c r="FC130" s="156"/>
      <c r="FD130" s="156"/>
      <c r="FE130" s="156"/>
      <c r="FF130" s="156"/>
      <c r="FG130" s="156"/>
      <c r="FL130" s="157" t="s">
        <v>354</v>
      </c>
      <c r="FM130" s="144">
        <v>3</v>
      </c>
      <c r="FN130" s="138" t="s">
        <v>306</v>
      </c>
      <c r="FO130" s="145">
        <v>3</v>
      </c>
    </row>
    <row r="131" spans="1:171" s="1" customFormat="1" ht="11.25" customHeight="1">
      <c r="A131" s="2094"/>
      <c r="B131" s="6"/>
      <c r="C131" s="4"/>
      <c r="D131" s="4"/>
      <c r="E131" s="4"/>
      <c r="F131" s="4"/>
      <c r="G131" s="4"/>
      <c r="H131" s="4"/>
      <c r="I131" s="4"/>
      <c r="J131" s="4"/>
      <c r="K131" s="4"/>
      <c r="L131" s="4"/>
      <c r="M131" s="4"/>
      <c r="N131" s="4"/>
      <c r="O131" s="4"/>
      <c r="P131" s="4"/>
      <c r="Q131" s="4"/>
      <c r="R131" s="4"/>
      <c r="S131" s="4"/>
      <c r="T131" s="4"/>
      <c r="U131" s="414"/>
      <c r="V131" s="414"/>
      <c r="W131" s="414"/>
      <c r="X131" s="644" t="str">
        <f>IF(I109="","","最大高")</f>
        <v>最大高</v>
      </c>
      <c r="Y131" s="1750">
        <f>CF130</f>
        <v>57.75</v>
      </c>
      <c r="Z131" s="1750"/>
      <c r="AA131" s="1750"/>
      <c r="AB131" s="1750"/>
      <c r="AC131" s="1751" t="str">
        <f>IF(Y131="","","ｍ")</f>
        <v>ｍ</v>
      </c>
      <c r="AD131" s="1752"/>
      <c r="AE131" s="1752" t="str">
        <f>IF(Y131=0,"",VLOOKUP(CF131,面積階,28,FALSE))</f>
        <v>PH2F</v>
      </c>
      <c r="AF131" s="1752"/>
      <c r="AG131" s="1752"/>
      <c r="AH131" s="1752"/>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22"/>
      <c r="CC131" s="411"/>
      <c r="CD131" s="411"/>
      <c r="CE131" s="656"/>
      <c r="CF131" s="1742">
        <f>IF(CF130=0,"",CF130-CF129)</f>
        <v>57</v>
      </c>
      <c r="CG131" s="1742"/>
      <c r="CH131" s="1742">
        <f>IF(CH130=0,"",CH130-CH129)</f>
        <v>49</v>
      </c>
      <c r="CI131" s="1742"/>
      <c r="CJ131" s="413"/>
      <c r="CK131" s="413"/>
      <c r="CL131" s="413"/>
      <c r="CU131" s="635"/>
      <c r="DB131" s="156"/>
      <c r="DC131" s="156"/>
      <c r="DD131" s="137"/>
      <c r="DE131" s="156"/>
      <c r="DF131" s="156"/>
      <c r="DG131" s="156"/>
      <c r="DH131" s="156"/>
      <c r="DI131" s="156"/>
      <c r="DJ131" s="156"/>
      <c r="DK131" s="156"/>
      <c r="DL131" s="156"/>
      <c r="DM131" s="156"/>
      <c r="DN131" s="156"/>
      <c r="DO131" s="156"/>
      <c r="DP131" s="156"/>
      <c r="DQ131" s="156"/>
      <c r="DR131" s="156"/>
      <c r="DS131" s="156"/>
      <c r="DT131" s="156"/>
      <c r="DU131" s="156"/>
      <c r="DV131" s="156"/>
      <c r="DW131" s="156"/>
      <c r="DX131" s="156"/>
      <c r="DY131" s="156"/>
      <c r="DZ131" s="156"/>
      <c r="EA131" s="156"/>
      <c r="EB131" s="156"/>
      <c r="EC131" s="156"/>
      <c r="ED131" s="156"/>
      <c r="EE131" s="156"/>
      <c r="EF131" s="156"/>
      <c r="EG131" s="156"/>
      <c r="EH131" s="156"/>
      <c r="EI131" s="156"/>
      <c r="EJ131" s="156"/>
      <c r="EK131" s="156"/>
      <c r="EL131" s="156"/>
      <c r="EM131" s="156"/>
      <c r="EN131" s="156"/>
      <c r="EO131" s="156"/>
      <c r="EP131" s="156"/>
      <c r="EQ131" s="156"/>
      <c r="ER131" s="156"/>
      <c r="ES131" s="156"/>
      <c r="ET131" s="156"/>
      <c r="EU131" s="156"/>
      <c r="EV131" s="156"/>
      <c r="EW131" s="156"/>
      <c r="EX131" s="156"/>
      <c r="EY131" s="156"/>
      <c r="EZ131" s="156"/>
      <c r="FA131" s="156"/>
      <c r="FB131" s="156"/>
      <c r="FC131" s="156"/>
      <c r="FD131" s="156"/>
      <c r="FE131" s="156"/>
      <c r="FF131" s="156"/>
      <c r="FG131" s="156"/>
      <c r="FL131" s="157" t="s">
        <v>355</v>
      </c>
      <c r="FM131" s="144">
        <v>4</v>
      </c>
      <c r="FN131" s="138" t="s">
        <v>308</v>
      </c>
      <c r="FO131" s="145">
        <v>15</v>
      </c>
    </row>
    <row r="132" spans="1:171" s="1" customFormat="1" ht="11.25" customHeight="1">
      <c r="A132" s="209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7"/>
      <c r="DB132" s="156"/>
      <c r="DC132" s="156"/>
      <c r="DD132" s="137"/>
      <c r="DE132" s="156"/>
      <c r="DF132" s="156"/>
      <c r="DG132" s="156"/>
      <c r="DH132" s="156"/>
      <c r="DI132" s="156"/>
      <c r="DJ132" s="156"/>
      <c r="DK132" s="156"/>
      <c r="DL132" s="156"/>
      <c r="DM132" s="156"/>
      <c r="DN132" s="156"/>
      <c r="DO132" s="156"/>
      <c r="DP132" s="156"/>
      <c r="DQ132" s="156"/>
      <c r="DR132" s="156"/>
      <c r="DS132" s="156"/>
      <c r="DT132" s="156"/>
      <c r="DU132" s="156"/>
      <c r="DV132" s="156"/>
      <c r="DW132" s="156"/>
      <c r="DX132" s="156"/>
      <c r="DY132" s="156"/>
      <c r="DZ132" s="156"/>
      <c r="EA132" s="156"/>
      <c r="EB132" s="156"/>
      <c r="EC132" s="156"/>
      <c r="ED132" s="156"/>
      <c r="EE132" s="156"/>
      <c r="EF132" s="156"/>
      <c r="EG132" s="156"/>
      <c r="EH132" s="156"/>
      <c r="EI132" s="156"/>
      <c r="EJ132" s="156"/>
      <c r="EK132" s="156"/>
      <c r="EL132" s="156"/>
      <c r="EM132" s="156"/>
      <c r="EN132" s="156"/>
      <c r="EO132" s="156"/>
      <c r="EP132" s="156"/>
      <c r="EQ132" s="156"/>
      <c r="ER132" s="156"/>
      <c r="ES132" s="156"/>
      <c r="ET132" s="156"/>
      <c r="EU132" s="156"/>
      <c r="EV132" s="156"/>
      <c r="EW132" s="156"/>
      <c r="EX132" s="156"/>
      <c r="EY132" s="156"/>
      <c r="EZ132" s="156"/>
      <c r="FA132" s="156"/>
      <c r="FB132" s="156"/>
      <c r="FC132" s="156"/>
      <c r="FD132" s="156"/>
      <c r="FE132" s="156"/>
      <c r="FF132" s="156"/>
      <c r="FG132" s="156"/>
      <c r="FL132" s="157" t="s">
        <v>356</v>
      </c>
      <c r="FM132" s="144">
        <v>4</v>
      </c>
      <c r="FN132" s="138" t="s">
        <v>308</v>
      </c>
      <c r="FO132" s="145">
        <v>5</v>
      </c>
    </row>
    <row r="133" spans="1:171" s="1" customFormat="1" ht="11.25" customHeight="1" thickBot="1">
      <c r="A133" s="2094"/>
      <c r="B133" s="2548"/>
      <c r="C133" s="648"/>
      <c r="D133" s="649"/>
      <c r="E133" s="649"/>
      <c r="F133" s="649"/>
      <c r="G133" s="649"/>
      <c r="H133" s="649"/>
      <c r="I133" s="649"/>
      <c r="J133" s="649"/>
      <c r="K133" s="649"/>
      <c r="L133" s="649"/>
      <c r="M133" s="649"/>
      <c r="N133" s="649"/>
      <c r="O133" s="649"/>
      <c r="P133" s="649"/>
      <c r="Q133" s="649"/>
      <c r="R133" s="649"/>
      <c r="S133" s="649"/>
      <c r="T133" s="649"/>
      <c r="U133" s="649"/>
      <c r="V133" s="649"/>
      <c r="W133" s="649"/>
      <c r="X133" s="649"/>
      <c r="Y133" s="649"/>
      <c r="Z133" s="649"/>
      <c r="AA133" s="649"/>
      <c r="AB133" s="649"/>
      <c r="AC133" s="649"/>
      <c r="AD133" s="649"/>
      <c r="AE133" s="649"/>
      <c r="AF133" s="649"/>
      <c r="AG133" s="649"/>
      <c r="AH133" s="649"/>
      <c r="AI133" s="649"/>
      <c r="AJ133" s="649"/>
      <c r="AK133" s="649"/>
      <c r="AL133" s="649"/>
      <c r="AM133" s="649"/>
      <c r="AN133" s="649"/>
      <c r="AO133" s="649"/>
      <c r="AP133" s="649"/>
      <c r="AQ133" s="649"/>
      <c r="AR133" s="649"/>
      <c r="AS133" s="649"/>
      <c r="AT133" s="649"/>
      <c r="AU133" s="649"/>
      <c r="AV133" s="649"/>
      <c r="AW133" s="649"/>
      <c r="AX133" s="649"/>
      <c r="AY133" s="649"/>
      <c r="AZ133" s="649"/>
      <c r="BA133" s="649"/>
      <c r="BB133" s="649"/>
      <c r="BC133" s="649"/>
      <c r="BD133" s="649"/>
      <c r="BE133" s="649"/>
      <c r="BF133" s="649"/>
      <c r="BG133" s="649"/>
      <c r="BH133" s="649"/>
      <c r="BI133" s="649"/>
      <c r="BJ133" s="649"/>
      <c r="BK133" s="649"/>
      <c r="BL133" s="649"/>
      <c r="BM133" s="649"/>
      <c r="BN133" s="649"/>
      <c r="BO133" s="649"/>
      <c r="BP133" s="649"/>
      <c r="BQ133" s="649"/>
      <c r="BR133" s="649"/>
      <c r="BS133" s="649"/>
      <c r="BT133" s="649"/>
      <c r="BU133" s="649"/>
      <c r="BV133" s="649"/>
      <c r="BW133" s="649"/>
      <c r="BX133" s="649"/>
      <c r="BY133" s="649"/>
      <c r="BZ133" s="649"/>
      <c r="CA133" s="516"/>
      <c r="CB133" s="517"/>
      <c r="CC133" s="13"/>
      <c r="CD133" s="579" t="s">
        <v>1996</v>
      </c>
      <c r="CE133" s="579" t="s">
        <v>1997</v>
      </c>
      <c r="CF133" s="579" t="s">
        <v>1998</v>
      </c>
      <c r="CG133" s="579" t="s">
        <v>1999</v>
      </c>
      <c r="CH133" s="579" t="s">
        <v>2000</v>
      </c>
      <c r="CI133" s="579" t="s">
        <v>2001</v>
      </c>
      <c r="CJ133" s="579" t="s">
        <v>2002</v>
      </c>
      <c r="CK133" s="579" t="s">
        <v>2003</v>
      </c>
      <c r="CL133" s="579" t="s">
        <v>2004</v>
      </c>
      <c r="CM133" s="579" t="s">
        <v>2005</v>
      </c>
      <c r="CN133" s="579" t="s">
        <v>2006</v>
      </c>
      <c r="CO133" s="579" t="s">
        <v>2007</v>
      </c>
      <c r="CP133" s="579" t="s">
        <v>2008</v>
      </c>
      <c r="CQ133" s="579" t="s">
        <v>2009</v>
      </c>
      <c r="CR133" s="579" t="s">
        <v>2010</v>
      </c>
      <c r="CS133" s="579" t="s">
        <v>2011</v>
      </c>
      <c r="CT133" s="579" t="s">
        <v>2012</v>
      </c>
      <c r="CU133" s="579" t="s">
        <v>2013</v>
      </c>
      <c r="CV133" s="579" t="s">
        <v>2014</v>
      </c>
      <c r="CW133" s="579" t="s">
        <v>2015</v>
      </c>
      <c r="CX133" s="579" t="s">
        <v>2016</v>
      </c>
      <c r="CY133" s="579" t="s">
        <v>2017</v>
      </c>
      <c r="CZ133" s="579" t="s">
        <v>2018</v>
      </c>
      <c r="DA133" s="13"/>
      <c r="DB133" s="13"/>
      <c r="DC133" s="99"/>
      <c r="DD133" s="137"/>
      <c r="DE133" s="156"/>
      <c r="DF133" s="156"/>
      <c r="DG133" s="156"/>
      <c r="DH133" s="156"/>
      <c r="DI133" s="156"/>
      <c r="DJ133" s="156"/>
      <c r="DK133" s="156"/>
      <c r="DL133" s="156"/>
      <c r="DM133" s="156"/>
      <c r="DN133" s="156"/>
      <c r="DO133" s="156"/>
      <c r="DP133" s="156"/>
      <c r="DQ133" s="156"/>
      <c r="DR133" s="156"/>
      <c r="DS133" s="156"/>
      <c r="DT133" s="156"/>
      <c r="DU133" s="156"/>
      <c r="DV133" s="156"/>
      <c r="DW133" s="156"/>
      <c r="DX133" s="156"/>
      <c r="DY133" s="156"/>
      <c r="DZ133" s="156"/>
      <c r="EA133" s="156"/>
      <c r="EB133" s="156"/>
      <c r="EC133" s="156"/>
      <c r="ED133" s="156"/>
      <c r="EE133" s="156"/>
      <c r="EF133" s="156"/>
      <c r="EG133" s="156"/>
      <c r="EH133" s="156"/>
      <c r="EI133" s="156"/>
      <c r="EJ133" s="156"/>
      <c r="EK133" s="156"/>
      <c r="EL133" s="156"/>
      <c r="EM133" s="156"/>
      <c r="EN133" s="156"/>
      <c r="EO133" s="156"/>
      <c r="EP133" s="156"/>
      <c r="EQ133" s="156"/>
      <c r="ER133" s="156"/>
      <c r="ES133" s="156"/>
      <c r="ET133" s="156"/>
      <c r="EU133" s="156"/>
      <c r="EV133" s="156"/>
      <c r="EW133" s="156"/>
      <c r="EX133" s="156"/>
      <c r="EY133" s="156"/>
      <c r="EZ133" s="156"/>
      <c r="FA133" s="156"/>
      <c r="FB133" s="156"/>
      <c r="FC133" s="156"/>
      <c r="FD133" s="156"/>
      <c r="FE133" s="156"/>
      <c r="FF133" s="156"/>
      <c r="FG133" s="156"/>
      <c r="FL133" s="157" t="s">
        <v>357</v>
      </c>
      <c r="FM133" s="144">
        <v>4</v>
      </c>
      <c r="FN133" s="138" t="s">
        <v>306</v>
      </c>
      <c r="FO133" s="145">
        <v>20</v>
      </c>
    </row>
    <row r="134" spans="1:171" s="1" customFormat="1" ht="11.25" customHeight="1">
      <c r="A134" s="2094"/>
      <c r="B134" s="2548"/>
      <c r="C134" s="652" t="s">
        <v>2093</v>
      </c>
      <c r="D134" s="516"/>
      <c r="E134" s="516"/>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6"/>
      <c r="AK134" s="516"/>
      <c r="AL134" s="516"/>
      <c r="AM134" s="516"/>
      <c r="AN134" s="516"/>
      <c r="AO134" s="516"/>
      <c r="AP134" s="516"/>
      <c r="AQ134" s="516"/>
      <c r="AR134" s="516"/>
      <c r="AS134" s="516"/>
      <c r="AT134" s="516"/>
      <c r="AU134" s="516"/>
      <c r="AV134" s="516"/>
      <c r="AW134" s="516"/>
      <c r="AX134" s="516"/>
      <c r="AY134" s="516"/>
      <c r="AZ134" s="516"/>
      <c r="BA134" s="516"/>
      <c r="BB134" s="516"/>
      <c r="BC134" s="516"/>
      <c r="BD134" s="516"/>
      <c r="BE134" s="516"/>
      <c r="BF134" s="516"/>
      <c r="BG134" s="516"/>
      <c r="BH134" s="516"/>
      <c r="BI134" s="516"/>
      <c r="BJ134" s="516"/>
      <c r="BK134" s="516"/>
      <c r="BL134" s="516"/>
      <c r="BM134" s="516"/>
      <c r="BN134" s="516"/>
      <c r="BO134" s="516"/>
      <c r="BP134" s="516"/>
      <c r="BQ134" s="516"/>
      <c r="BR134" s="516"/>
      <c r="BS134" s="516"/>
      <c r="BT134" s="516"/>
      <c r="BU134" s="516"/>
      <c r="BV134" s="516"/>
      <c r="BW134" s="516"/>
      <c r="BX134" s="516"/>
      <c r="BY134" s="516"/>
      <c r="BZ134" s="516"/>
      <c r="CA134" s="516"/>
      <c r="CB134" s="517"/>
      <c r="CC134" s="581">
        <v>1</v>
      </c>
      <c r="CD134" s="580">
        <f>U109*AO109</f>
        <v>3168</v>
      </c>
      <c r="CE134" s="580">
        <f>BT109*BX109-Y109*AS109</f>
        <v>3168</v>
      </c>
      <c r="CF134" s="580">
        <f>BT109*BX109-U109*AS109</f>
        <v>3168</v>
      </c>
      <c r="CG134" s="580">
        <f>BT109*BX109-Y109*AO109</f>
        <v>3168</v>
      </c>
      <c r="CH134" s="580">
        <f>BT109*BX109-U109*AO109</f>
        <v>0</v>
      </c>
      <c r="CI134" s="580">
        <f>BV109*BX109-Y109*AS109-AC109*(AS109-AW109)</f>
        <v>3168</v>
      </c>
      <c r="CJ134" s="580">
        <f>BV109*(AO109+AW109)-Y109*AO109-AC109*(AO109-AS109)</f>
        <v>3168</v>
      </c>
      <c r="CK134" s="580">
        <f>AC109*BZ109-(AC109-U109-Y109)*AO109-(AC109-Y109)*AS109</f>
        <v>3168</v>
      </c>
      <c r="CL134" s="580">
        <f>AC109*BZ109-(AC109-U109)*AS109-(AC109-U109-Y109)*AW109</f>
        <v>0</v>
      </c>
      <c r="CM134" s="580">
        <f>BV109*BX109-U109*AO109-AC109*(AO109+AS109-AW109)</f>
        <v>0</v>
      </c>
      <c r="CN134" s="580">
        <f>BV109*BX109-U109*AS109-AC109*AW109</f>
        <v>3168</v>
      </c>
      <c r="CO134" s="580">
        <f>BT109*BZ109-Y109*AO109-BV109*AW109</f>
        <v>3168</v>
      </c>
      <c r="CP134" s="580">
        <f>BT109*BZ109-U109*AO109-AC109*AW109</f>
        <v>0</v>
      </c>
      <c r="CQ134" s="580">
        <f>BT109*BX109-Y109*AW109-AC109*AS109</f>
        <v>3168</v>
      </c>
      <c r="CR134" s="580">
        <f>BT109*BX109-U109*AO109-(BT109-AC109)*(BX109-AW109)</f>
        <v>-3168</v>
      </c>
      <c r="CS134" s="580">
        <f>BT109*BX109-Y109*AW109-AC109*AS109-(BT109-AC109-AG109)*(BX109-AW109-BA109)</f>
        <v>0</v>
      </c>
      <c r="CT134" s="580">
        <f>BT109*BZ109-U109*AO109-AC109*AW109-(BT109-AC109-AG109)*(BX109-AW109-BA109)</f>
        <v>-3168</v>
      </c>
      <c r="CU134" s="580">
        <f>BV109*BZ109-U109*AO109-AC109*BA109-AG109*AW109</f>
        <v>0</v>
      </c>
      <c r="CV134" s="580">
        <f>BV109*BX109-U109*AO109-AC109*AW109-(BV109-AG109)*(BX109-AW109-BA109)</f>
        <v>-3168</v>
      </c>
      <c r="CW134" s="580">
        <f>BV109*BZ109-U109*AS109-(U109-AG109)*AW109-AC109*(BZ109-BA109-BE109)-AK109*(AW109-BE109)</f>
        <v>3168</v>
      </c>
      <c r="CX134" s="580">
        <f>BV109*(AS109+AW109+BA109)-U109*(BA109-AO109)-Y109*BA109-(BV109-AG109-AK109)*AW109-AK109*(AW109-BE109)</f>
        <v>3168</v>
      </c>
      <c r="CY134" s="580">
        <f>(BV109+AG109+AK109)*BX109-U109*AS109-AC109*AW109-AK109*BE109-(AC109+AG109+AK109)*(BX109-BA109-BE109)</f>
        <v>3168</v>
      </c>
      <c r="CZ134" s="580">
        <f>BV109*BZ109-Y109*AS109</f>
        <v>3168</v>
      </c>
      <c r="DC134" s="156"/>
      <c r="DD134" s="137"/>
      <c r="DE134" s="156"/>
      <c r="DF134" s="156"/>
      <c r="DG134" s="156"/>
      <c r="DH134" s="156"/>
      <c r="DI134" s="156"/>
      <c r="DJ134" s="156"/>
      <c r="DK134" s="156"/>
      <c r="DL134" s="156"/>
      <c r="DM134" s="156"/>
      <c r="DN134" s="156"/>
      <c r="DO134" s="156"/>
      <c r="DP134" s="156"/>
      <c r="DQ134" s="156"/>
      <c r="DR134" s="156"/>
      <c r="DS134" s="156"/>
      <c r="DT134" s="156"/>
      <c r="DU134" s="156"/>
      <c r="DV134" s="156"/>
      <c r="DW134" s="156"/>
      <c r="DX134" s="156"/>
      <c r="DY134" s="156"/>
      <c r="DZ134" s="156"/>
      <c r="EA134" s="156"/>
      <c r="EB134" s="156"/>
      <c r="EC134" s="156"/>
      <c r="ED134" s="156"/>
      <c r="EE134" s="156"/>
      <c r="EF134" s="156"/>
      <c r="EG134" s="156"/>
      <c r="EH134" s="156"/>
      <c r="EI134" s="156"/>
      <c r="EJ134" s="156"/>
      <c r="EK134" s="156"/>
      <c r="EL134" s="156"/>
      <c r="EM134" s="156"/>
      <c r="EN134" s="156"/>
      <c r="EO134" s="156"/>
      <c r="EP134" s="156"/>
      <c r="EQ134" s="156"/>
      <c r="ER134" s="156"/>
      <c r="ES134" s="156"/>
      <c r="ET134" s="156"/>
      <c r="EU134" s="156"/>
      <c r="EV134" s="156"/>
      <c r="EW134" s="156"/>
      <c r="EX134" s="156"/>
      <c r="EY134" s="156"/>
      <c r="EZ134" s="156"/>
      <c r="FA134" s="156"/>
      <c r="FB134" s="156"/>
      <c r="FC134" s="156"/>
      <c r="FD134" s="156"/>
      <c r="FE134" s="156"/>
      <c r="FF134" s="156"/>
      <c r="FG134" s="156"/>
      <c r="FL134" s="157" t="s">
        <v>358</v>
      </c>
      <c r="FM134" s="144">
        <v>3</v>
      </c>
      <c r="FN134" s="138" t="s">
        <v>306</v>
      </c>
      <c r="FO134" s="145">
        <v>38</v>
      </c>
    </row>
    <row r="135" spans="1:171" s="1" customFormat="1" ht="11.25" customHeight="1">
      <c r="A135" s="2094"/>
      <c r="B135" s="2548"/>
      <c r="C135" s="516"/>
      <c r="D135" s="516"/>
      <c r="E135" s="516"/>
      <c r="F135" s="516"/>
      <c r="G135" s="516"/>
      <c r="H135" s="516"/>
      <c r="I135" s="516"/>
      <c r="J135" s="516"/>
      <c r="K135" s="516"/>
      <c r="L135" s="516"/>
      <c r="M135" s="516"/>
      <c r="N135" s="516"/>
      <c r="O135" s="516"/>
      <c r="P135" s="516"/>
      <c r="Q135" s="516"/>
      <c r="R135" s="516"/>
      <c r="S135" s="516"/>
      <c r="T135" s="516"/>
      <c r="U135" s="516"/>
      <c r="V135" s="516"/>
      <c r="W135" s="516"/>
      <c r="X135" s="516"/>
      <c r="Y135" s="516"/>
      <c r="Z135" s="516"/>
      <c r="AA135" s="516"/>
      <c r="AB135" s="516"/>
      <c r="AC135" s="516"/>
      <c r="AD135" s="516"/>
      <c r="AE135" s="516"/>
      <c r="AF135" s="516"/>
      <c r="AG135" s="516"/>
      <c r="AH135" s="516"/>
      <c r="AI135" s="516"/>
      <c r="AJ135" s="516"/>
      <c r="AK135" s="516"/>
      <c r="AL135" s="516"/>
      <c r="AM135" s="516"/>
      <c r="AN135" s="516"/>
      <c r="AO135" s="516"/>
      <c r="AP135" s="516"/>
      <c r="AQ135" s="516"/>
      <c r="AR135" s="516"/>
      <c r="AS135" s="516"/>
      <c r="AT135" s="516"/>
      <c r="AU135" s="516"/>
      <c r="AV135" s="516"/>
      <c r="AW135" s="516"/>
      <c r="AX135" s="516"/>
      <c r="AY135" s="516"/>
      <c r="AZ135" s="516"/>
      <c r="BA135" s="516"/>
      <c r="BB135" s="516"/>
      <c r="BC135" s="516"/>
      <c r="BD135" s="516"/>
      <c r="BE135" s="516"/>
      <c r="BF135" s="516"/>
      <c r="BG135" s="516"/>
      <c r="BH135" s="516"/>
      <c r="BI135" s="516"/>
      <c r="BJ135" s="516"/>
      <c r="BK135" s="516"/>
      <c r="BL135" s="516"/>
      <c r="BM135" s="516"/>
      <c r="BN135" s="516"/>
      <c r="BO135" s="516"/>
      <c r="BP135" s="516"/>
      <c r="BQ135" s="516"/>
      <c r="BR135" s="516"/>
      <c r="BS135" s="516"/>
      <c r="BT135" s="516"/>
      <c r="BU135" s="516"/>
      <c r="BV135" s="516"/>
      <c r="BW135" s="516"/>
      <c r="BX135" s="516"/>
      <c r="BY135" s="516"/>
      <c r="BZ135" s="516"/>
      <c r="CA135" s="516"/>
      <c r="CB135" s="517"/>
      <c r="CC135" s="581">
        <v>2</v>
      </c>
      <c r="CD135" s="580">
        <f t="shared" ref="CD135:CD153" si="21">U110*AO110</f>
        <v>3168</v>
      </c>
      <c r="CE135" s="580">
        <f t="shared" ref="CE135:CE153" si="22">BT110*BX110-Y110*AS110</f>
        <v>3168</v>
      </c>
      <c r="CF135" s="580">
        <f t="shared" ref="CF135:CF153" si="23">BT110*BX110-U110*AS110</f>
        <v>3168</v>
      </c>
      <c r="CG135" s="580">
        <f t="shared" ref="CG135:CG153" si="24">BT110*BX110-Y110*AO110</f>
        <v>3168</v>
      </c>
      <c r="CH135" s="580">
        <f t="shared" ref="CH135:CH153" si="25">BT110*BX110-U110*AO110</f>
        <v>0</v>
      </c>
      <c r="CI135" s="580">
        <f>BV110*BX110-Y110*AS110-AC110*(AS110-AW110)</f>
        <v>3168</v>
      </c>
      <c r="CJ135" s="580">
        <f t="shared" ref="CJ135:CJ153" si="26">BV110*(AO110+AW110)-Y110*AO110-AC110*(AO110-AS110)</f>
        <v>3168</v>
      </c>
      <c r="CK135" s="580">
        <f t="shared" ref="CK135:CK153" si="27">AC110*BZ110-(AC110-U110-Y110)*AO110-(AC110-Y110)*AS110</f>
        <v>3168</v>
      </c>
      <c r="CL135" s="580">
        <f t="shared" ref="CL135:CL153" si="28">AC110*BZ110-(AC110-U110)*AS110-(AC110-U110-Y110)*AW110</f>
        <v>0</v>
      </c>
      <c r="CM135" s="580">
        <f t="shared" ref="CM135:CM153" si="29">BV110*BX110-U110*AO110-AC110*(AO110+AS110-AW110)</f>
        <v>0</v>
      </c>
      <c r="CN135" s="580">
        <f t="shared" ref="CN135:CN153" si="30">BV110*BX110-U110*AS110-AC110*AW110</f>
        <v>3168</v>
      </c>
      <c r="CO135" s="580">
        <f t="shared" ref="CO135:CO153" si="31">BT110*BZ110-Y110*AO110-BV110*AW110</f>
        <v>3168</v>
      </c>
      <c r="CP135" s="580">
        <f t="shared" ref="CP135:CP153" si="32">BT110*BZ110-U110*AO110-AC110*AW110</f>
        <v>0</v>
      </c>
      <c r="CQ135" s="580">
        <f t="shared" ref="CQ135:CQ153" si="33">BT110*BX110-Y110*AW110-AC110*AS110</f>
        <v>3168</v>
      </c>
      <c r="CR135" s="580">
        <f t="shared" ref="CR135:CR153" si="34">BT110*BX110-U110*AO110-(BT110-AC110)*(BX110-AW110)</f>
        <v>-3168</v>
      </c>
      <c r="CS135" s="580">
        <f t="shared" ref="CS135:CS153" si="35">BT110*BX110-Y110*AW110-AC110*AS110-(BT110-AC110-AG110)*(BX110-AW110-BA110)</f>
        <v>0</v>
      </c>
      <c r="CT135" s="580">
        <f t="shared" ref="CT135:CT153" si="36">BT110*BZ110-U110*AO110-AC110*AW110-(BT110-AC110-AG110)*(BX110-AW110-BA110)</f>
        <v>-3168</v>
      </c>
      <c r="CU135" s="580">
        <f t="shared" ref="CU135:CU153" si="37">BV110*BZ110-U110*AO110-AC110*BA110-AG110*AW110</f>
        <v>0</v>
      </c>
      <c r="CV135" s="580">
        <f t="shared" ref="CV135:CV153" si="38">BV110*BX110-U110*AO110-AC110*AW110-(BV110-AG110)*(BX110-AW110-BA110)</f>
        <v>-3168</v>
      </c>
      <c r="CW135" s="580">
        <f t="shared" ref="CW135:CW153" si="39">BV110*BZ110-U110*AS110-(U110-AG110)*AW110-AC110*(BZ110-BA110-BE110)-AK110*(AW110-BE110)</f>
        <v>3168</v>
      </c>
      <c r="CX135" s="580">
        <f t="shared" ref="CX135:CX153" si="40">BV110*(AS110+AW110+BA110)-U110*(BA110-AO110)-Y110*BA110-(BV110-AG110-AK110)*AW110-AK110*(AW110-BE110)</f>
        <v>3168</v>
      </c>
      <c r="CY135" s="580">
        <f t="shared" ref="CY135:CY153" si="41">(BV110+AG110+AK110)*BX110-U110*AS110-AC110*AW110-AK110*BE110-(AC110+AG110+AK110)*(BX110-BA110-BE110)</f>
        <v>3168</v>
      </c>
      <c r="CZ135" s="580">
        <f t="shared" ref="CZ135:CZ153" si="42">BV110*BZ110-Y110*AS110</f>
        <v>3168</v>
      </c>
      <c r="DC135" s="156"/>
      <c r="DD135" s="137"/>
      <c r="DE135" s="156"/>
      <c r="DF135" s="156"/>
      <c r="DG135" s="156"/>
      <c r="DH135" s="156"/>
      <c r="DI135" s="156"/>
      <c r="DJ135" s="156"/>
      <c r="DK135" s="156"/>
      <c r="DL135" s="156"/>
      <c r="DM135" s="156"/>
      <c r="DN135" s="156"/>
      <c r="DO135" s="156"/>
      <c r="DP135" s="156"/>
      <c r="DQ135" s="156"/>
      <c r="DR135" s="156"/>
      <c r="DS135" s="156"/>
      <c r="DT135" s="156"/>
      <c r="DU135" s="156"/>
      <c r="DV135" s="156"/>
      <c r="DW135" s="156"/>
      <c r="DX135" s="156"/>
      <c r="DY135" s="156"/>
      <c r="DZ135" s="156"/>
      <c r="EA135" s="156"/>
      <c r="EB135" s="156"/>
      <c r="EC135" s="156"/>
      <c r="ED135" s="156"/>
      <c r="EE135" s="156"/>
      <c r="EF135" s="156"/>
      <c r="EG135" s="156"/>
      <c r="EH135" s="156"/>
      <c r="EI135" s="156"/>
      <c r="EJ135" s="156"/>
      <c r="EK135" s="156"/>
      <c r="EL135" s="156"/>
      <c r="EM135" s="156"/>
      <c r="EN135" s="156"/>
      <c r="EO135" s="156"/>
      <c r="EP135" s="156"/>
      <c r="EQ135" s="156"/>
      <c r="ER135" s="156"/>
      <c r="ES135" s="156"/>
      <c r="ET135" s="156"/>
      <c r="EU135" s="156"/>
      <c r="EV135" s="156"/>
      <c r="EW135" s="156"/>
      <c r="EX135" s="156"/>
      <c r="EY135" s="156"/>
      <c r="EZ135" s="156"/>
      <c r="FA135" s="156"/>
      <c r="FB135" s="156"/>
      <c r="FC135" s="156"/>
      <c r="FD135" s="156"/>
      <c r="FE135" s="156"/>
      <c r="FF135" s="156"/>
      <c r="FG135" s="156"/>
      <c r="FL135" s="157" t="s">
        <v>359</v>
      </c>
      <c r="FM135" s="144">
        <v>4</v>
      </c>
      <c r="FN135" s="138" t="s">
        <v>308</v>
      </c>
      <c r="FO135" s="145">
        <v>7</v>
      </c>
    </row>
    <row r="136" spans="1:171" s="1" customFormat="1" ht="11.25" customHeight="1">
      <c r="A136" s="2094"/>
      <c r="B136" s="2548"/>
      <c r="C136" s="650"/>
      <c r="D136" s="650"/>
      <c r="E136" s="885" t="s">
        <v>2143</v>
      </c>
      <c r="F136" s="650"/>
      <c r="G136" s="650"/>
      <c r="H136" s="650"/>
      <c r="I136" s="650"/>
      <c r="J136" s="650"/>
      <c r="K136" s="650"/>
      <c r="L136" s="650"/>
      <c r="M136" s="650"/>
      <c r="N136" s="650"/>
      <c r="O136" s="653" t="s">
        <v>2092</v>
      </c>
      <c r="P136" s="650"/>
      <c r="Q136" s="650"/>
      <c r="R136" s="650"/>
      <c r="S136" s="650"/>
      <c r="T136" s="650"/>
      <c r="U136" s="650"/>
      <c r="V136" s="650"/>
      <c r="W136" s="650"/>
      <c r="X136" s="650"/>
      <c r="Y136" s="650"/>
      <c r="Z136" s="650"/>
      <c r="AA136" s="650"/>
      <c r="AB136" s="650"/>
      <c r="AC136" s="650"/>
      <c r="AD136" s="650"/>
      <c r="AE136" s="650"/>
      <c r="AF136" s="650"/>
      <c r="AG136" s="650"/>
      <c r="AH136" s="650"/>
      <c r="AI136" s="650"/>
      <c r="AJ136" s="650"/>
      <c r="AK136" s="650"/>
      <c r="AL136" s="650"/>
      <c r="AM136" s="650"/>
      <c r="AN136" s="650"/>
      <c r="AO136" s="650"/>
      <c r="AP136" s="650"/>
      <c r="AQ136" s="650"/>
      <c r="AR136" s="653" t="s">
        <v>2094</v>
      </c>
      <c r="AS136" s="650"/>
      <c r="AT136" s="650"/>
      <c r="AU136" s="650"/>
      <c r="AV136" s="650"/>
      <c r="AW136" s="650"/>
      <c r="AX136" s="650"/>
      <c r="AY136" s="650"/>
      <c r="AZ136" s="650"/>
      <c r="BA136" s="650"/>
      <c r="BB136" s="650"/>
      <c r="BC136" s="650"/>
      <c r="BD136" s="650"/>
      <c r="BE136" s="650"/>
      <c r="BF136" s="650"/>
      <c r="BG136" s="650"/>
      <c r="BH136" s="650"/>
      <c r="BI136" s="650"/>
      <c r="BJ136" s="650"/>
      <c r="BK136" s="650"/>
      <c r="BL136" s="650"/>
      <c r="BM136" s="650"/>
      <c r="BN136" s="650"/>
      <c r="BO136" s="650"/>
      <c r="BP136" s="650"/>
      <c r="BQ136" s="650"/>
      <c r="BR136" s="650"/>
      <c r="BS136" s="650"/>
      <c r="BT136" s="650"/>
      <c r="BU136" s="650"/>
      <c r="BV136" s="650"/>
      <c r="BW136" s="650"/>
      <c r="BX136" s="650"/>
      <c r="BY136" s="650"/>
      <c r="BZ136" s="650"/>
      <c r="CA136" s="650"/>
      <c r="CB136" s="651"/>
      <c r="CC136" s="581">
        <v>3</v>
      </c>
      <c r="CD136" s="580">
        <f t="shared" si="21"/>
        <v>2592</v>
      </c>
      <c r="CE136" s="580">
        <f t="shared" si="22"/>
        <v>3816</v>
      </c>
      <c r="CF136" s="580">
        <f t="shared" si="23"/>
        <v>3384</v>
      </c>
      <c r="CG136" s="580">
        <f t="shared" si="24"/>
        <v>3312</v>
      </c>
      <c r="CH136" s="580">
        <f t="shared" si="25"/>
        <v>1368</v>
      </c>
      <c r="CI136" s="580">
        <f t="shared" ref="CI136:CI153" si="43">BV111*BX111-Y111*AS111-AC111*(AS111-AW111)</f>
        <v>3816</v>
      </c>
      <c r="CJ136" s="580">
        <f t="shared" si="26"/>
        <v>2592</v>
      </c>
      <c r="CK136" s="580">
        <f t="shared" si="27"/>
        <v>3384</v>
      </c>
      <c r="CL136" s="580">
        <f t="shared" si="28"/>
        <v>576</v>
      </c>
      <c r="CM136" s="580">
        <f t="shared" si="29"/>
        <v>1368</v>
      </c>
      <c r="CN136" s="580">
        <f t="shared" si="30"/>
        <v>3384</v>
      </c>
      <c r="CO136" s="580">
        <f t="shared" si="31"/>
        <v>3312</v>
      </c>
      <c r="CP136" s="580">
        <f t="shared" si="32"/>
        <v>1368</v>
      </c>
      <c r="CQ136" s="580">
        <f t="shared" si="33"/>
        <v>3960</v>
      </c>
      <c r="CR136" s="580">
        <f t="shared" si="34"/>
        <v>-2592</v>
      </c>
      <c r="CS136" s="580">
        <f t="shared" si="35"/>
        <v>0</v>
      </c>
      <c r="CT136" s="580">
        <f t="shared" si="36"/>
        <v>-2592</v>
      </c>
      <c r="CU136" s="580">
        <f t="shared" si="37"/>
        <v>1368</v>
      </c>
      <c r="CV136" s="580">
        <f t="shared" si="38"/>
        <v>-2592</v>
      </c>
      <c r="CW136" s="580">
        <f t="shared" si="39"/>
        <v>3384</v>
      </c>
      <c r="CX136" s="580">
        <f t="shared" si="40"/>
        <v>3312</v>
      </c>
      <c r="CY136" s="580">
        <f t="shared" si="41"/>
        <v>3384</v>
      </c>
      <c r="CZ136" s="580">
        <f t="shared" si="42"/>
        <v>3816</v>
      </c>
      <c r="DC136" s="156"/>
      <c r="DD136" s="137"/>
      <c r="DE136" s="156"/>
      <c r="DF136" s="156"/>
      <c r="DG136" s="156"/>
      <c r="DH136" s="156"/>
      <c r="DI136" s="156"/>
      <c r="DJ136" s="156"/>
      <c r="DK136" s="156"/>
      <c r="DL136" s="156"/>
      <c r="DM136" s="156"/>
      <c r="DN136" s="156"/>
      <c r="DO136" s="156"/>
      <c r="DP136" s="156"/>
      <c r="DQ136" s="156"/>
      <c r="DR136" s="156"/>
      <c r="DS136" s="156"/>
      <c r="DT136" s="156"/>
      <c r="DU136" s="156"/>
      <c r="DV136" s="156"/>
      <c r="DW136" s="156"/>
      <c r="DX136" s="156"/>
      <c r="DY136" s="156"/>
      <c r="DZ136" s="156"/>
      <c r="EA136" s="156"/>
      <c r="EB136" s="156"/>
      <c r="EC136" s="156"/>
      <c r="ED136" s="156"/>
      <c r="EE136" s="156"/>
      <c r="EF136" s="156"/>
      <c r="EG136" s="156"/>
      <c r="EH136" s="156"/>
      <c r="EI136" s="156"/>
      <c r="EJ136" s="156"/>
      <c r="EK136" s="156"/>
      <c r="EL136" s="156"/>
      <c r="EM136" s="156"/>
      <c r="EN136" s="156"/>
      <c r="EO136" s="156"/>
      <c r="EP136" s="156"/>
      <c r="EQ136" s="156"/>
      <c r="ER136" s="156"/>
      <c r="ES136" s="156"/>
      <c r="ET136" s="156"/>
      <c r="EU136" s="156"/>
      <c r="EV136" s="156"/>
      <c r="EW136" s="156"/>
      <c r="EX136" s="156"/>
      <c r="EY136" s="156"/>
      <c r="EZ136" s="156"/>
      <c r="FA136" s="156"/>
      <c r="FB136" s="156"/>
      <c r="FC136" s="156"/>
      <c r="FD136" s="156"/>
      <c r="FE136" s="156"/>
      <c r="FF136" s="156"/>
      <c r="FG136" s="156"/>
      <c r="FL136" s="158" t="s">
        <v>1049</v>
      </c>
      <c r="FM136" s="159"/>
      <c r="FN136" s="151"/>
      <c r="FO136" s="154"/>
    </row>
    <row r="137" spans="1:171" s="1" customFormat="1" ht="11.25" customHeight="1">
      <c r="A137" s="2094"/>
      <c r="B137" s="2548"/>
      <c r="C137" s="650"/>
      <c r="D137" s="650"/>
      <c r="E137" s="650"/>
      <c r="F137" s="650"/>
      <c r="G137" s="650"/>
      <c r="H137" s="650"/>
      <c r="I137" s="650"/>
      <c r="J137" s="650"/>
      <c r="K137" s="650"/>
      <c r="L137" s="650"/>
      <c r="M137" s="650"/>
      <c r="N137" s="650"/>
      <c r="O137" s="653" t="s">
        <v>2095</v>
      </c>
      <c r="P137" s="650"/>
      <c r="Q137" s="650"/>
      <c r="R137" s="650"/>
      <c r="S137" s="650"/>
      <c r="T137" s="650"/>
      <c r="U137" s="650"/>
      <c r="V137" s="650"/>
      <c r="W137" s="650"/>
      <c r="X137" s="650"/>
      <c r="Y137" s="650"/>
      <c r="Z137" s="650"/>
      <c r="AA137" s="650"/>
      <c r="AB137" s="650"/>
      <c r="AC137" s="650"/>
      <c r="AD137" s="650"/>
      <c r="AE137" s="650"/>
      <c r="AF137" s="650"/>
      <c r="AG137" s="650"/>
      <c r="AH137" s="650"/>
      <c r="AI137" s="650"/>
      <c r="AJ137" s="650"/>
      <c r="AK137" s="650"/>
      <c r="AL137" s="650"/>
      <c r="AM137" s="650"/>
      <c r="AN137" s="650"/>
      <c r="AO137" s="650"/>
      <c r="AP137" s="650"/>
      <c r="AQ137" s="650"/>
      <c r="AR137" s="653" t="s">
        <v>2096</v>
      </c>
      <c r="AS137" s="650"/>
      <c r="AT137" s="650"/>
      <c r="AU137" s="650"/>
      <c r="AV137" s="650"/>
      <c r="AW137" s="650"/>
      <c r="AX137" s="650"/>
      <c r="AY137" s="650"/>
      <c r="AZ137" s="650"/>
      <c r="BA137" s="650"/>
      <c r="BB137" s="650"/>
      <c r="BC137" s="650"/>
      <c r="BD137" s="650"/>
      <c r="BE137" s="650"/>
      <c r="BF137" s="650"/>
      <c r="BG137" s="650"/>
      <c r="BH137" s="650"/>
      <c r="BI137" s="650"/>
      <c r="BJ137" s="650"/>
      <c r="BK137" s="650"/>
      <c r="BL137" s="650"/>
      <c r="BM137" s="650"/>
      <c r="BN137" s="650"/>
      <c r="BO137" s="650"/>
      <c r="BP137" s="650"/>
      <c r="BQ137" s="650"/>
      <c r="BR137" s="650"/>
      <c r="BS137" s="650"/>
      <c r="BT137" s="650"/>
      <c r="BU137" s="650"/>
      <c r="BV137" s="650"/>
      <c r="BW137" s="650"/>
      <c r="BX137" s="650"/>
      <c r="BY137" s="650"/>
      <c r="BZ137" s="650"/>
      <c r="CA137" s="650"/>
      <c r="CB137" s="651"/>
      <c r="CC137" s="581">
        <v>4</v>
      </c>
      <c r="CD137" s="580">
        <f t="shared" si="21"/>
        <v>2592</v>
      </c>
      <c r="CE137" s="580">
        <f t="shared" si="22"/>
        <v>3816</v>
      </c>
      <c r="CF137" s="580">
        <f t="shared" si="23"/>
        <v>3384</v>
      </c>
      <c r="CG137" s="580">
        <f t="shared" si="24"/>
        <v>3312</v>
      </c>
      <c r="CH137" s="580">
        <f t="shared" si="25"/>
        <v>1368</v>
      </c>
      <c r="CI137" s="580">
        <f t="shared" si="43"/>
        <v>3816</v>
      </c>
      <c r="CJ137" s="580">
        <f t="shared" si="26"/>
        <v>2592</v>
      </c>
      <c r="CK137" s="580">
        <f t="shared" si="27"/>
        <v>3384</v>
      </c>
      <c r="CL137" s="580">
        <f t="shared" si="28"/>
        <v>576</v>
      </c>
      <c r="CM137" s="580">
        <f t="shared" si="29"/>
        <v>1368</v>
      </c>
      <c r="CN137" s="580">
        <f t="shared" si="30"/>
        <v>3384</v>
      </c>
      <c r="CO137" s="580">
        <f t="shared" si="31"/>
        <v>3312</v>
      </c>
      <c r="CP137" s="580">
        <f t="shared" si="32"/>
        <v>1368</v>
      </c>
      <c r="CQ137" s="580">
        <f t="shared" si="33"/>
        <v>3960</v>
      </c>
      <c r="CR137" s="580">
        <f t="shared" si="34"/>
        <v>-2592</v>
      </c>
      <c r="CS137" s="580">
        <f t="shared" si="35"/>
        <v>0</v>
      </c>
      <c r="CT137" s="580">
        <f t="shared" si="36"/>
        <v>-2592</v>
      </c>
      <c r="CU137" s="580">
        <f t="shared" si="37"/>
        <v>1368</v>
      </c>
      <c r="CV137" s="580">
        <f t="shared" si="38"/>
        <v>-2592</v>
      </c>
      <c r="CW137" s="580">
        <f t="shared" si="39"/>
        <v>3384</v>
      </c>
      <c r="CX137" s="580">
        <f t="shared" si="40"/>
        <v>3312</v>
      </c>
      <c r="CY137" s="580">
        <f t="shared" si="41"/>
        <v>3384</v>
      </c>
      <c r="CZ137" s="580">
        <f t="shared" si="42"/>
        <v>3816</v>
      </c>
      <c r="DC137" s="156"/>
      <c r="DD137" s="137"/>
      <c r="DE137" s="156"/>
      <c r="DF137" s="156"/>
      <c r="DG137" s="156"/>
      <c r="DH137" s="156"/>
      <c r="DI137" s="156"/>
      <c r="DJ137" s="156"/>
      <c r="DK137" s="156"/>
      <c r="DL137" s="156"/>
      <c r="DM137" s="156"/>
      <c r="DN137" s="156"/>
      <c r="DO137" s="156"/>
      <c r="DP137" s="156"/>
      <c r="DQ137" s="156"/>
      <c r="DR137" s="156"/>
      <c r="DS137" s="156"/>
      <c r="DT137" s="156"/>
      <c r="DU137" s="156"/>
      <c r="DV137" s="156"/>
      <c r="DW137" s="156"/>
      <c r="DX137" s="156"/>
      <c r="DY137" s="156"/>
      <c r="DZ137" s="156"/>
      <c r="EA137" s="156"/>
      <c r="EB137" s="156"/>
      <c r="EC137" s="156"/>
      <c r="ED137" s="156"/>
      <c r="EE137" s="156"/>
      <c r="EF137" s="156"/>
      <c r="EG137" s="156"/>
      <c r="EH137" s="156"/>
      <c r="EI137" s="156"/>
      <c r="EJ137" s="156"/>
      <c r="EK137" s="156"/>
      <c r="EL137" s="156"/>
      <c r="EM137" s="156"/>
      <c r="EN137" s="156"/>
      <c r="EO137" s="156"/>
      <c r="EP137" s="156"/>
      <c r="EQ137" s="156"/>
      <c r="ER137" s="156"/>
      <c r="ES137" s="156"/>
      <c r="ET137" s="156"/>
      <c r="EU137" s="156"/>
      <c r="EV137" s="156"/>
      <c r="EW137" s="156"/>
      <c r="EX137" s="156"/>
      <c r="EY137" s="156"/>
      <c r="EZ137" s="156"/>
      <c r="FA137" s="156"/>
      <c r="FB137" s="156"/>
      <c r="FC137" s="156"/>
      <c r="FD137" s="156"/>
      <c r="FE137" s="156"/>
      <c r="FF137" s="156"/>
      <c r="FG137" s="156"/>
      <c r="FL137" s="157" t="s">
        <v>360</v>
      </c>
      <c r="FM137" s="144">
        <v>7</v>
      </c>
      <c r="FN137" s="138" t="s">
        <v>314</v>
      </c>
      <c r="FO137" s="145">
        <v>5</v>
      </c>
    </row>
    <row r="138" spans="1:171" s="1" customFormat="1" ht="11.25" customHeight="1">
      <c r="A138" s="2094"/>
      <c r="B138" s="2548"/>
      <c r="C138" s="650"/>
      <c r="D138" s="650"/>
      <c r="E138" s="650"/>
      <c r="F138" s="650"/>
      <c r="G138" s="650"/>
      <c r="H138" s="650"/>
      <c r="I138" s="650"/>
      <c r="J138" s="650"/>
      <c r="K138" s="650"/>
      <c r="L138" s="650"/>
      <c r="M138" s="650"/>
      <c r="N138" s="650"/>
      <c r="O138" s="653" t="s">
        <v>2100</v>
      </c>
      <c r="P138" s="650"/>
      <c r="Q138" s="650"/>
      <c r="R138" s="650"/>
      <c r="S138" s="650"/>
      <c r="T138" s="650"/>
      <c r="U138" s="650"/>
      <c r="V138" s="650"/>
      <c r="W138" s="650"/>
      <c r="X138" s="650"/>
      <c r="Y138" s="650"/>
      <c r="Z138" s="650"/>
      <c r="AA138" s="650"/>
      <c r="AB138" s="650"/>
      <c r="AC138" s="650"/>
      <c r="AD138" s="650"/>
      <c r="AE138" s="650"/>
      <c r="AF138" s="650"/>
      <c r="AG138" s="650"/>
      <c r="AH138" s="650"/>
      <c r="AI138" s="650"/>
      <c r="AJ138" s="650"/>
      <c r="AK138" s="650"/>
      <c r="AL138" s="650"/>
      <c r="AM138" s="650"/>
      <c r="AN138" s="650"/>
      <c r="AO138" s="650"/>
      <c r="AP138" s="650"/>
      <c r="AQ138" s="650"/>
      <c r="AR138" s="653" t="s">
        <v>2097</v>
      </c>
      <c r="AS138" s="650"/>
      <c r="AT138" s="650"/>
      <c r="AU138" s="650"/>
      <c r="AV138" s="650"/>
      <c r="AW138" s="650"/>
      <c r="AX138" s="650"/>
      <c r="AY138" s="650"/>
      <c r="AZ138" s="650"/>
      <c r="BA138" s="650"/>
      <c r="BB138" s="650"/>
      <c r="BC138" s="650"/>
      <c r="BD138" s="650"/>
      <c r="BE138" s="650"/>
      <c r="BF138" s="650"/>
      <c r="BG138" s="650"/>
      <c r="BH138" s="650"/>
      <c r="BI138" s="650"/>
      <c r="BJ138" s="650"/>
      <c r="BK138" s="650"/>
      <c r="BL138" s="650"/>
      <c r="BM138" s="650"/>
      <c r="BN138" s="650"/>
      <c r="BO138" s="650"/>
      <c r="BP138" s="650"/>
      <c r="BQ138" s="650"/>
      <c r="BR138" s="650"/>
      <c r="BS138" s="650"/>
      <c r="BT138" s="650"/>
      <c r="BU138" s="650"/>
      <c r="BV138" s="650"/>
      <c r="BW138" s="650"/>
      <c r="BX138" s="650"/>
      <c r="BY138" s="650"/>
      <c r="BZ138" s="650"/>
      <c r="CA138" s="650"/>
      <c r="CB138" s="651"/>
      <c r="CC138" s="581">
        <v>5</v>
      </c>
      <c r="CD138" s="580">
        <f t="shared" si="21"/>
        <v>2592</v>
      </c>
      <c r="CE138" s="580">
        <f t="shared" si="22"/>
        <v>3816</v>
      </c>
      <c r="CF138" s="580">
        <f t="shared" si="23"/>
        <v>3384</v>
      </c>
      <c r="CG138" s="580">
        <f t="shared" si="24"/>
        <v>3312</v>
      </c>
      <c r="CH138" s="580">
        <f t="shared" si="25"/>
        <v>1368</v>
      </c>
      <c r="CI138" s="580">
        <f t="shared" si="43"/>
        <v>3816</v>
      </c>
      <c r="CJ138" s="580">
        <f t="shared" si="26"/>
        <v>2592</v>
      </c>
      <c r="CK138" s="580">
        <f t="shared" si="27"/>
        <v>3384</v>
      </c>
      <c r="CL138" s="580">
        <f t="shared" si="28"/>
        <v>576</v>
      </c>
      <c r="CM138" s="580">
        <f t="shared" si="29"/>
        <v>1368</v>
      </c>
      <c r="CN138" s="580">
        <f t="shared" si="30"/>
        <v>3384</v>
      </c>
      <c r="CO138" s="580">
        <f t="shared" si="31"/>
        <v>3312</v>
      </c>
      <c r="CP138" s="580">
        <f t="shared" si="32"/>
        <v>1368</v>
      </c>
      <c r="CQ138" s="580">
        <f t="shared" si="33"/>
        <v>3960</v>
      </c>
      <c r="CR138" s="580">
        <f t="shared" si="34"/>
        <v>-2592</v>
      </c>
      <c r="CS138" s="580">
        <f t="shared" si="35"/>
        <v>0</v>
      </c>
      <c r="CT138" s="580">
        <f t="shared" si="36"/>
        <v>-2592</v>
      </c>
      <c r="CU138" s="580">
        <f t="shared" si="37"/>
        <v>1368</v>
      </c>
      <c r="CV138" s="580">
        <f t="shared" si="38"/>
        <v>-2592</v>
      </c>
      <c r="CW138" s="580">
        <f t="shared" si="39"/>
        <v>3384</v>
      </c>
      <c r="CX138" s="580">
        <f t="shared" si="40"/>
        <v>3312</v>
      </c>
      <c r="CY138" s="580">
        <f t="shared" si="41"/>
        <v>3384</v>
      </c>
      <c r="CZ138" s="580">
        <f t="shared" si="42"/>
        <v>3816</v>
      </c>
      <c r="DC138" s="156"/>
      <c r="DD138" s="137"/>
      <c r="DE138" s="156"/>
      <c r="DF138" s="156"/>
      <c r="DG138" s="156"/>
      <c r="DH138" s="156"/>
      <c r="DI138" s="156"/>
      <c r="DJ138" s="156"/>
      <c r="DK138" s="156"/>
      <c r="DL138" s="156"/>
      <c r="DM138" s="156"/>
      <c r="DN138" s="156"/>
      <c r="DO138" s="156"/>
      <c r="DP138" s="156"/>
      <c r="DQ138" s="156"/>
      <c r="DR138" s="156"/>
      <c r="DS138" s="156"/>
      <c r="DT138" s="156"/>
      <c r="DU138" s="156"/>
      <c r="DV138" s="156"/>
      <c r="DW138" s="156"/>
      <c r="DX138" s="156"/>
      <c r="DY138" s="156"/>
      <c r="DZ138" s="156"/>
      <c r="EA138" s="156"/>
      <c r="EB138" s="156"/>
      <c r="EC138" s="156"/>
      <c r="ED138" s="156"/>
      <c r="EE138" s="156"/>
      <c r="EF138" s="156"/>
      <c r="EG138" s="156"/>
      <c r="EH138" s="156"/>
      <c r="EI138" s="156"/>
      <c r="EJ138" s="156"/>
      <c r="EK138" s="156"/>
      <c r="EL138" s="156"/>
      <c r="EM138" s="156"/>
      <c r="EN138" s="156"/>
      <c r="EO138" s="156"/>
      <c r="EP138" s="156"/>
      <c r="EQ138" s="156"/>
      <c r="ER138" s="156"/>
      <c r="ES138" s="156"/>
      <c r="ET138" s="156"/>
      <c r="EU138" s="156"/>
      <c r="EV138" s="156"/>
      <c r="EW138" s="156"/>
      <c r="EX138" s="156"/>
      <c r="EY138" s="156"/>
      <c r="EZ138" s="156"/>
      <c r="FA138" s="156"/>
      <c r="FB138" s="156"/>
      <c r="FC138" s="156"/>
      <c r="FD138" s="156"/>
      <c r="FE138" s="156"/>
      <c r="FF138" s="156"/>
      <c r="FG138" s="156"/>
      <c r="FL138" s="157" t="s">
        <v>361</v>
      </c>
      <c r="FM138" s="144">
        <v>6</v>
      </c>
      <c r="FN138" s="138" t="s">
        <v>310</v>
      </c>
      <c r="FO138" s="145">
        <v>45</v>
      </c>
    </row>
    <row r="139" spans="1:171" s="1" customFormat="1" ht="11.25" customHeight="1">
      <c r="A139" s="2094"/>
      <c r="B139" s="2548"/>
      <c r="C139" s="650"/>
      <c r="D139" s="650"/>
      <c r="E139" s="650"/>
      <c r="F139" s="650"/>
      <c r="G139" s="650"/>
      <c r="H139" s="650"/>
      <c r="I139" s="650"/>
      <c r="J139" s="650"/>
      <c r="K139" s="650"/>
      <c r="L139" s="650"/>
      <c r="M139" s="650"/>
      <c r="N139" s="650"/>
      <c r="O139" s="653" t="s">
        <v>2098</v>
      </c>
      <c r="P139" s="650"/>
      <c r="Q139" s="650"/>
      <c r="R139" s="650"/>
      <c r="S139" s="650"/>
      <c r="T139" s="650"/>
      <c r="U139" s="650"/>
      <c r="V139" s="650"/>
      <c r="W139" s="650"/>
      <c r="X139" s="650"/>
      <c r="Y139" s="650"/>
      <c r="Z139" s="650"/>
      <c r="AA139" s="650"/>
      <c r="AB139" s="650"/>
      <c r="AC139" s="650"/>
      <c r="AD139" s="650"/>
      <c r="AE139" s="650"/>
      <c r="AF139" s="650"/>
      <c r="AG139" s="650"/>
      <c r="AH139" s="650"/>
      <c r="AI139" s="650"/>
      <c r="AJ139" s="650"/>
      <c r="AK139" s="650"/>
      <c r="AL139" s="650"/>
      <c r="AM139" s="650"/>
      <c r="AN139" s="650"/>
      <c r="AO139" s="650"/>
      <c r="AP139" s="650"/>
      <c r="AQ139" s="650"/>
      <c r="AR139" s="653" t="s">
        <v>2099</v>
      </c>
      <c r="AS139" s="650"/>
      <c r="AT139" s="650"/>
      <c r="AU139" s="650"/>
      <c r="AV139" s="650"/>
      <c r="AW139" s="650"/>
      <c r="AX139" s="650"/>
      <c r="AY139" s="650"/>
      <c r="AZ139" s="650"/>
      <c r="BA139" s="650"/>
      <c r="BB139" s="650"/>
      <c r="BC139" s="650"/>
      <c r="BD139" s="650"/>
      <c r="BE139" s="650"/>
      <c r="BF139" s="650"/>
      <c r="BG139" s="650"/>
      <c r="BH139" s="650"/>
      <c r="BI139" s="650"/>
      <c r="BJ139" s="650"/>
      <c r="BK139" s="650"/>
      <c r="BL139" s="650"/>
      <c r="BM139" s="650"/>
      <c r="BN139" s="650"/>
      <c r="BO139" s="650"/>
      <c r="BP139" s="650"/>
      <c r="BQ139" s="650"/>
      <c r="BR139" s="650"/>
      <c r="BS139" s="650"/>
      <c r="BT139" s="650"/>
      <c r="BU139" s="650"/>
      <c r="BV139" s="650"/>
      <c r="BW139" s="650"/>
      <c r="BX139" s="650"/>
      <c r="BY139" s="650"/>
      <c r="BZ139" s="650"/>
      <c r="CA139" s="650"/>
      <c r="CB139" s="651"/>
      <c r="CC139" s="581">
        <v>6</v>
      </c>
      <c r="CD139" s="580">
        <f t="shared" si="21"/>
        <v>1152</v>
      </c>
      <c r="CE139" s="580">
        <f t="shared" si="22"/>
        <v>1152</v>
      </c>
      <c r="CF139" s="580">
        <f t="shared" si="23"/>
        <v>1152</v>
      </c>
      <c r="CG139" s="580">
        <f t="shared" si="24"/>
        <v>1152</v>
      </c>
      <c r="CH139" s="580">
        <f t="shared" si="25"/>
        <v>0</v>
      </c>
      <c r="CI139" s="580">
        <f t="shared" si="43"/>
        <v>1152</v>
      </c>
      <c r="CJ139" s="580">
        <f t="shared" si="26"/>
        <v>1152</v>
      </c>
      <c r="CK139" s="580">
        <f t="shared" si="27"/>
        <v>1152</v>
      </c>
      <c r="CL139" s="580">
        <f t="shared" si="28"/>
        <v>0</v>
      </c>
      <c r="CM139" s="580">
        <f t="shared" si="29"/>
        <v>0</v>
      </c>
      <c r="CN139" s="580">
        <f t="shared" si="30"/>
        <v>1152</v>
      </c>
      <c r="CO139" s="580">
        <f t="shared" si="31"/>
        <v>1152</v>
      </c>
      <c r="CP139" s="580">
        <f t="shared" si="32"/>
        <v>0</v>
      </c>
      <c r="CQ139" s="580">
        <f t="shared" si="33"/>
        <v>1152</v>
      </c>
      <c r="CR139" s="580">
        <f t="shared" si="34"/>
        <v>-1152</v>
      </c>
      <c r="CS139" s="580">
        <f t="shared" si="35"/>
        <v>0</v>
      </c>
      <c r="CT139" s="580">
        <f t="shared" si="36"/>
        <v>-1152</v>
      </c>
      <c r="CU139" s="580">
        <f t="shared" si="37"/>
        <v>0</v>
      </c>
      <c r="CV139" s="580">
        <f t="shared" si="38"/>
        <v>-1152</v>
      </c>
      <c r="CW139" s="580">
        <f t="shared" si="39"/>
        <v>1152</v>
      </c>
      <c r="CX139" s="580">
        <f t="shared" si="40"/>
        <v>1152</v>
      </c>
      <c r="CY139" s="580">
        <f t="shared" si="41"/>
        <v>1152</v>
      </c>
      <c r="CZ139" s="580">
        <f t="shared" si="42"/>
        <v>1152</v>
      </c>
      <c r="DC139" s="156"/>
      <c r="DD139" s="137"/>
      <c r="DE139" s="156"/>
      <c r="DF139" s="156"/>
      <c r="DG139" s="156"/>
      <c r="DH139" s="156"/>
      <c r="DI139" s="156"/>
      <c r="DJ139" s="156"/>
      <c r="DK139" s="156"/>
      <c r="DL139" s="156"/>
      <c r="DM139" s="156"/>
      <c r="DN139" s="156"/>
      <c r="DO139" s="156"/>
      <c r="DP139" s="156"/>
      <c r="DQ139" s="156"/>
      <c r="DR139" s="156"/>
      <c r="DS139" s="156"/>
      <c r="DT139" s="156"/>
      <c r="DU139" s="156"/>
      <c r="DV139" s="156"/>
      <c r="DW139" s="156"/>
      <c r="DX139" s="156"/>
      <c r="DY139" s="156"/>
      <c r="DZ139" s="156"/>
      <c r="EA139" s="156"/>
      <c r="EB139" s="156"/>
      <c r="EC139" s="156"/>
      <c r="ED139" s="156"/>
      <c r="EE139" s="156"/>
      <c r="EF139" s="156"/>
      <c r="EG139" s="156"/>
      <c r="EH139" s="156"/>
      <c r="EI139" s="156"/>
      <c r="EJ139" s="156"/>
      <c r="EK139" s="156"/>
      <c r="EL139" s="156"/>
      <c r="EM139" s="156"/>
      <c r="EN139" s="156"/>
      <c r="EO139" s="156"/>
      <c r="EP139" s="156"/>
      <c r="EQ139" s="156"/>
      <c r="ER139" s="156"/>
      <c r="ES139" s="156"/>
      <c r="ET139" s="156"/>
      <c r="EU139" s="156"/>
      <c r="EV139" s="156"/>
      <c r="EW139" s="156"/>
      <c r="EX139" s="156"/>
      <c r="EY139" s="156"/>
      <c r="EZ139" s="156"/>
      <c r="FA139" s="156"/>
      <c r="FB139" s="156"/>
      <c r="FC139" s="156"/>
      <c r="FD139" s="156"/>
      <c r="FE139" s="156"/>
      <c r="FF139" s="156"/>
      <c r="FG139" s="156"/>
      <c r="FL139" s="157" t="s">
        <v>362</v>
      </c>
      <c r="FM139" s="144">
        <v>6</v>
      </c>
      <c r="FN139" s="138" t="s">
        <v>310</v>
      </c>
      <c r="FO139" s="145">
        <v>100</v>
      </c>
    </row>
    <row r="140" spans="1:171" s="1" customFormat="1" ht="11.25" customHeight="1">
      <c r="A140" s="2094"/>
      <c r="B140" s="2548"/>
      <c r="C140" s="650"/>
      <c r="D140" s="650"/>
      <c r="E140" s="650"/>
      <c r="F140" s="650"/>
      <c r="G140" s="650"/>
      <c r="H140" s="650"/>
      <c r="I140" s="650"/>
      <c r="J140" s="650"/>
      <c r="K140" s="650"/>
      <c r="L140" s="650"/>
      <c r="M140" s="650"/>
      <c r="N140" s="650"/>
      <c r="O140" s="885"/>
      <c r="P140" s="650"/>
      <c r="Q140" s="650"/>
      <c r="R140" s="650"/>
      <c r="S140" s="650"/>
      <c r="T140" s="650"/>
      <c r="U140" s="650"/>
      <c r="V140" s="650"/>
      <c r="W140" s="650"/>
      <c r="X140" s="650"/>
      <c r="Y140" s="650"/>
      <c r="Z140" s="650"/>
      <c r="AA140" s="650"/>
      <c r="AB140" s="650"/>
      <c r="AC140" s="650"/>
      <c r="AD140" s="650"/>
      <c r="AE140" s="650"/>
      <c r="AF140" s="650"/>
      <c r="AG140" s="650"/>
      <c r="AH140" s="650"/>
      <c r="AI140" s="650"/>
      <c r="AJ140" s="650"/>
      <c r="AK140" s="650"/>
      <c r="AL140" s="650"/>
      <c r="AM140" s="650"/>
      <c r="AN140" s="650"/>
      <c r="AO140" s="650"/>
      <c r="AP140" s="650"/>
      <c r="AQ140" s="650"/>
      <c r="AR140" s="650"/>
      <c r="AS140" s="650"/>
      <c r="AT140" s="650"/>
      <c r="AU140" s="650"/>
      <c r="AV140" s="650"/>
      <c r="AW140" s="650"/>
      <c r="AX140" s="650"/>
      <c r="AY140" s="650"/>
      <c r="AZ140" s="650"/>
      <c r="BA140" s="650"/>
      <c r="BB140" s="650"/>
      <c r="BC140" s="650"/>
      <c r="BD140" s="650"/>
      <c r="BE140" s="650"/>
      <c r="BF140" s="650"/>
      <c r="BG140" s="650"/>
      <c r="BH140" s="650"/>
      <c r="BI140" s="650"/>
      <c r="BJ140" s="650"/>
      <c r="BK140" s="650"/>
      <c r="BL140" s="650"/>
      <c r="BM140" s="650"/>
      <c r="BN140" s="650"/>
      <c r="BO140" s="650"/>
      <c r="BP140" s="650"/>
      <c r="BQ140" s="650"/>
      <c r="BR140" s="650"/>
      <c r="BS140" s="650"/>
      <c r="BT140" s="650"/>
      <c r="BU140" s="650"/>
      <c r="BV140" s="650"/>
      <c r="BW140" s="650"/>
      <c r="BX140" s="650"/>
      <c r="BY140" s="650"/>
      <c r="BZ140" s="650"/>
      <c r="CA140" s="650"/>
      <c r="CB140" s="651"/>
      <c r="CC140" s="581">
        <v>7</v>
      </c>
      <c r="CD140" s="580">
        <f t="shared" si="21"/>
        <v>1152</v>
      </c>
      <c r="CE140" s="580">
        <f t="shared" si="22"/>
        <v>1152</v>
      </c>
      <c r="CF140" s="580">
        <f t="shared" si="23"/>
        <v>1152</v>
      </c>
      <c r="CG140" s="580">
        <f t="shared" si="24"/>
        <v>1152</v>
      </c>
      <c r="CH140" s="580">
        <f t="shared" si="25"/>
        <v>0</v>
      </c>
      <c r="CI140" s="580">
        <f t="shared" si="43"/>
        <v>1152</v>
      </c>
      <c r="CJ140" s="580">
        <f t="shared" si="26"/>
        <v>1152</v>
      </c>
      <c r="CK140" s="580">
        <f t="shared" si="27"/>
        <v>1152</v>
      </c>
      <c r="CL140" s="580">
        <f t="shared" si="28"/>
        <v>0</v>
      </c>
      <c r="CM140" s="580">
        <f t="shared" si="29"/>
        <v>0</v>
      </c>
      <c r="CN140" s="580">
        <f t="shared" si="30"/>
        <v>1152</v>
      </c>
      <c r="CO140" s="580">
        <f t="shared" si="31"/>
        <v>1152</v>
      </c>
      <c r="CP140" s="580">
        <f t="shared" si="32"/>
        <v>0</v>
      </c>
      <c r="CQ140" s="580">
        <f t="shared" si="33"/>
        <v>1152</v>
      </c>
      <c r="CR140" s="580">
        <f t="shared" si="34"/>
        <v>-1152</v>
      </c>
      <c r="CS140" s="580">
        <f t="shared" si="35"/>
        <v>0</v>
      </c>
      <c r="CT140" s="580">
        <f t="shared" si="36"/>
        <v>-1152</v>
      </c>
      <c r="CU140" s="580">
        <f t="shared" si="37"/>
        <v>0</v>
      </c>
      <c r="CV140" s="580">
        <f t="shared" si="38"/>
        <v>-1152</v>
      </c>
      <c r="CW140" s="580">
        <f t="shared" si="39"/>
        <v>1152</v>
      </c>
      <c r="CX140" s="580">
        <f t="shared" si="40"/>
        <v>1152</v>
      </c>
      <c r="CY140" s="580">
        <f t="shared" si="41"/>
        <v>1152</v>
      </c>
      <c r="CZ140" s="580">
        <f t="shared" si="42"/>
        <v>1152</v>
      </c>
      <c r="DC140" s="156"/>
      <c r="DD140" s="137"/>
      <c r="DE140" s="156"/>
      <c r="DF140" s="156"/>
      <c r="DG140" s="156"/>
      <c r="DH140" s="156"/>
      <c r="DI140" s="156"/>
      <c r="DJ140" s="156"/>
      <c r="DK140" s="156"/>
      <c r="DL140" s="156"/>
      <c r="DM140" s="156"/>
      <c r="DN140" s="156"/>
      <c r="DO140" s="156"/>
      <c r="DP140" s="156"/>
      <c r="DQ140" s="156"/>
      <c r="DR140" s="156"/>
      <c r="DS140" s="156"/>
      <c r="DT140" s="156"/>
      <c r="DU140" s="156"/>
      <c r="DV140" s="156"/>
      <c r="DW140" s="156"/>
      <c r="DX140" s="156"/>
      <c r="DY140" s="156"/>
      <c r="DZ140" s="156"/>
      <c r="EA140" s="156"/>
      <c r="EB140" s="156"/>
      <c r="EC140" s="156"/>
      <c r="ED140" s="156"/>
      <c r="EE140" s="156"/>
      <c r="EF140" s="156"/>
      <c r="EG140" s="156"/>
      <c r="EH140" s="156"/>
      <c r="EI140" s="156"/>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L140" s="157" t="s">
        <v>363</v>
      </c>
      <c r="FM140" s="144">
        <v>7</v>
      </c>
      <c r="FN140" s="138" t="s">
        <v>314</v>
      </c>
      <c r="FO140" s="145">
        <v>5</v>
      </c>
    </row>
    <row r="141" spans="1:171" s="1" customFormat="1" ht="11.25" customHeight="1">
      <c r="A141" s="2094"/>
      <c r="B141" s="2548"/>
      <c r="C141" s="650"/>
      <c r="D141" s="650"/>
      <c r="E141" s="885" t="s">
        <v>2144</v>
      </c>
      <c r="F141" s="650"/>
      <c r="G141" s="650"/>
      <c r="H141" s="650"/>
      <c r="I141" s="650"/>
      <c r="J141" s="650"/>
      <c r="K141" s="650"/>
      <c r="L141" s="650"/>
      <c r="M141" s="650"/>
      <c r="N141" s="650"/>
      <c r="O141" s="653" t="s">
        <v>2101</v>
      </c>
      <c r="P141" s="650"/>
      <c r="Q141" s="650"/>
      <c r="R141" s="650"/>
      <c r="S141" s="650"/>
      <c r="T141" s="650"/>
      <c r="U141" s="650"/>
      <c r="V141" s="650"/>
      <c r="W141" s="650"/>
      <c r="X141" s="650"/>
      <c r="Y141" s="650"/>
      <c r="Z141" s="650"/>
      <c r="AA141" s="650"/>
      <c r="AB141" s="650"/>
      <c r="AC141" s="650"/>
      <c r="AD141" s="650"/>
      <c r="AE141" s="650"/>
      <c r="AF141" s="650"/>
      <c r="AG141" s="650"/>
      <c r="AH141" s="650"/>
      <c r="AI141" s="650"/>
      <c r="AJ141" s="650"/>
      <c r="AK141" s="650"/>
      <c r="AL141" s="650"/>
      <c r="AM141" s="650"/>
      <c r="AN141" s="650"/>
      <c r="AO141" s="650"/>
      <c r="AP141" s="650"/>
      <c r="AQ141" s="650"/>
      <c r="AR141" s="650"/>
      <c r="AS141" s="650"/>
      <c r="AT141" s="650"/>
      <c r="AU141" s="650"/>
      <c r="AV141" s="650"/>
      <c r="AW141" s="650"/>
      <c r="AX141" s="650"/>
      <c r="AY141" s="650"/>
      <c r="AZ141" s="650"/>
      <c r="BA141" s="650"/>
      <c r="BB141" s="650"/>
      <c r="BC141" s="650"/>
      <c r="BD141" s="650"/>
      <c r="BE141" s="650"/>
      <c r="BF141" s="650"/>
      <c r="BG141" s="650"/>
      <c r="BH141" s="650"/>
      <c r="BI141" s="650"/>
      <c r="BJ141" s="650"/>
      <c r="BK141" s="650"/>
      <c r="BL141" s="650"/>
      <c r="BM141" s="650"/>
      <c r="BN141" s="650"/>
      <c r="BO141" s="650"/>
      <c r="BP141" s="650"/>
      <c r="BQ141" s="650"/>
      <c r="BR141" s="650"/>
      <c r="BS141" s="650"/>
      <c r="BT141" s="650"/>
      <c r="BU141" s="650"/>
      <c r="BV141" s="650"/>
      <c r="BW141" s="650"/>
      <c r="BX141" s="650"/>
      <c r="BY141" s="650"/>
      <c r="BZ141" s="650"/>
      <c r="CA141" s="650"/>
      <c r="CB141" s="651"/>
      <c r="CC141" s="581">
        <v>8</v>
      </c>
      <c r="CD141" s="580">
        <f t="shared" si="21"/>
        <v>1152</v>
      </c>
      <c r="CE141" s="580">
        <f t="shared" si="22"/>
        <v>1152</v>
      </c>
      <c r="CF141" s="580">
        <f t="shared" si="23"/>
        <v>1152</v>
      </c>
      <c r="CG141" s="580">
        <f t="shared" si="24"/>
        <v>1152</v>
      </c>
      <c r="CH141" s="580">
        <f t="shared" si="25"/>
        <v>0</v>
      </c>
      <c r="CI141" s="580">
        <f t="shared" si="43"/>
        <v>1152</v>
      </c>
      <c r="CJ141" s="580">
        <f t="shared" si="26"/>
        <v>1152</v>
      </c>
      <c r="CK141" s="580">
        <f t="shared" si="27"/>
        <v>1152</v>
      </c>
      <c r="CL141" s="580">
        <f t="shared" si="28"/>
        <v>0</v>
      </c>
      <c r="CM141" s="580">
        <f t="shared" si="29"/>
        <v>0</v>
      </c>
      <c r="CN141" s="580">
        <f t="shared" si="30"/>
        <v>1152</v>
      </c>
      <c r="CO141" s="580">
        <f t="shared" si="31"/>
        <v>1152</v>
      </c>
      <c r="CP141" s="580">
        <f t="shared" si="32"/>
        <v>0</v>
      </c>
      <c r="CQ141" s="580">
        <f t="shared" si="33"/>
        <v>1152</v>
      </c>
      <c r="CR141" s="580">
        <f t="shared" si="34"/>
        <v>-1152</v>
      </c>
      <c r="CS141" s="580">
        <f t="shared" si="35"/>
        <v>0</v>
      </c>
      <c r="CT141" s="580">
        <f t="shared" si="36"/>
        <v>-1152</v>
      </c>
      <c r="CU141" s="580">
        <f t="shared" si="37"/>
        <v>0</v>
      </c>
      <c r="CV141" s="580">
        <f t="shared" si="38"/>
        <v>-1152</v>
      </c>
      <c r="CW141" s="580">
        <f t="shared" si="39"/>
        <v>1152</v>
      </c>
      <c r="CX141" s="580">
        <f t="shared" si="40"/>
        <v>1152</v>
      </c>
      <c r="CY141" s="580">
        <f t="shared" si="41"/>
        <v>1152</v>
      </c>
      <c r="CZ141" s="580">
        <f t="shared" si="42"/>
        <v>1152</v>
      </c>
      <c r="DC141" s="156"/>
      <c r="DD141" s="137"/>
      <c r="DE141" s="156"/>
      <c r="DF141" s="156"/>
      <c r="DG141" s="156"/>
      <c r="DH141" s="156"/>
      <c r="DI141" s="156"/>
      <c r="DJ141" s="156"/>
      <c r="DK141" s="156"/>
      <c r="DL141" s="156"/>
      <c r="DM141" s="156"/>
      <c r="DN141" s="156"/>
      <c r="DO141" s="156"/>
      <c r="DP141" s="156"/>
      <c r="DQ141" s="156"/>
      <c r="DR141" s="156"/>
      <c r="DS141" s="156"/>
      <c r="DT141" s="156"/>
      <c r="DU141" s="156"/>
      <c r="DV141" s="156"/>
      <c r="DW141" s="156"/>
      <c r="DX141" s="156"/>
      <c r="DY141" s="156"/>
      <c r="DZ141" s="156"/>
      <c r="EA141" s="156"/>
      <c r="EB141" s="156"/>
      <c r="EC141" s="156"/>
      <c r="ED141" s="156"/>
      <c r="EE141" s="156"/>
      <c r="EF141" s="156"/>
      <c r="EG141" s="156"/>
      <c r="EH141" s="156"/>
      <c r="EI141" s="156"/>
      <c r="EJ141" s="156"/>
      <c r="EK141" s="156"/>
      <c r="EL141" s="156"/>
      <c r="EM141" s="156"/>
      <c r="EN141" s="156"/>
      <c r="EO141" s="156"/>
      <c r="EP141" s="156"/>
      <c r="EQ141" s="156"/>
      <c r="ER141" s="156"/>
      <c r="ES141" s="156"/>
      <c r="ET141" s="156"/>
      <c r="EU141" s="156"/>
      <c r="EV141" s="156"/>
      <c r="EW141" s="156"/>
      <c r="EX141" s="156"/>
      <c r="EY141" s="156"/>
      <c r="EZ141" s="156"/>
      <c r="FA141" s="156"/>
      <c r="FB141" s="156"/>
      <c r="FC141" s="156"/>
      <c r="FD141" s="156"/>
      <c r="FE141" s="156"/>
      <c r="FF141" s="156"/>
      <c r="FG141" s="156"/>
      <c r="FL141" s="157" t="s">
        <v>364</v>
      </c>
      <c r="FM141" s="144">
        <v>7</v>
      </c>
      <c r="FN141" s="138" t="s">
        <v>314</v>
      </c>
      <c r="FO141" s="145">
        <v>2</v>
      </c>
    </row>
    <row r="142" spans="1:171" s="1" customFormat="1" ht="11.25" customHeight="1">
      <c r="A142" s="2094"/>
      <c r="B142" s="2548"/>
      <c r="C142" s="650"/>
      <c r="D142" s="650"/>
      <c r="E142" s="650"/>
      <c r="F142" s="650"/>
      <c r="G142" s="650"/>
      <c r="H142" s="650"/>
      <c r="I142" s="650"/>
      <c r="J142" s="650"/>
      <c r="K142" s="650"/>
      <c r="L142" s="650"/>
      <c r="M142" s="650"/>
      <c r="N142" s="650"/>
      <c r="O142" s="653" t="s">
        <v>2102</v>
      </c>
      <c r="P142" s="650"/>
      <c r="Q142" s="650"/>
      <c r="R142" s="650"/>
      <c r="S142" s="650"/>
      <c r="T142" s="650"/>
      <c r="U142" s="650"/>
      <c r="V142" s="650"/>
      <c r="W142" s="650"/>
      <c r="X142" s="650"/>
      <c r="Y142" s="650"/>
      <c r="Z142" s="650"/>
      <c r="AA142" s="650"/>
      <c r="AB142" s="650"/>
      <c r="AC142" s="650"/>
      <c r="AD142" s="650"/>
      <c r="AE142" s="650"/>
      <c r="AF142" s="650"/>
      <c r="AG142" s="650"/>
      <c r="AH142" s="650"/>
      <c r="AI142" s="650"/>
      <c r="AJ142" s="650"/>
      <c r="AK142" s="650"/>
      <c r="AL142" s="650"/>
      <c r="AM142" s="650"/>
      <c r="AN142" s="650"/>
      <c r="AO142" s="650"/>
      <c r="AP142" s="650"/>
      <c r="AQ142" s="650"/>
      <c r="AR142" s="650"/>
      <c r="AS142" s="650"/>
      <c r="AT142" s="650"/>
      <c r="AU142" s="650"/>
      <c r="AV142" s="650"/>
      <c r="AW142" s="650"/>
      <c r="AX142" s="650"/>
      <c r="AY142" s="650"/>
      <c r="AZ142" s="650"/>
      <c r="BA142" s="650"/>
      <c r="BB142" s="650"/>
      <c r="BC142" s="650"/>
      <c r="BD142" s="650"/>
      <c r="BE142" s="650"/>
      <c r="BF142" s="650"/>
      <c r="BG142" s="650"/>
      <c r="BH142" s="650"/>
      <c r="BI142" s="650"/>
      <c r="BJ142" s="650"/>
      <c r="BK142" s="650"/>
      <c r="BL142" s="650"/>
      <c r="BM142" s="650"/>
      <c r="BN142" s="650"/>
      <c r="BO142" s="650"/>
      <c r="BP142" s="650"/>
      <c r="BQ142" s="650"/>
      <c r="BR142" s="650"/>
      <c r="BS142" s="650"/>
      <c r="BT142" s="650"/>
      <c r="BU142" s="650"/>
      <c r="BV142" s="650"/>
      <c r="BW142" s="650"/>
      <c r="BX142" s="650"/>
      <c r="BY142" s="650"/>
      <c r="BZ142" s="650"/>
      <c r="CA142" s="650"/>
      <c r="CB142" s="651"/>
      <c r="CC142" s="581">
        <v>9</v>
      </c>
      <c r="CD142" s="580">
        <f t="shared" si="21"/>
        <v>1152</v>
      </c>
      <c r="CE142" s="580">
        <f t="shared" si="22"/>
        <v>1152</v>
      </c>
      <c r="CF142" s="580">
        <f t="shared" si="23"/>
        <v>1152</v>
      </c>
      <c r="CG142" s="580">
        <f t="shared" si="24"/>
        <v>1152</v>
      </c>
      <c r="CH142" s="580">
        <f t="shared" si="25"/>
        <v>0</v>
      </c>
      <c r="CI142" s="580">
        <f t="shared" si="43"/>
        <v>1152</v>
      </c>
      <c r="CJ142" s="580">
        <f t="shared" si="26"/>
        <v>1152</v>
      </c>
      <c r="CK142" s="580">
        <f t="shared" si="27"/>
        <v>1152</v>
      </c>
      <c r="CL142" s="580">
        <f t="shared" si="28"/>
        <v>0</v>
      </c>
      <c r="CM142" s="580">
        <f t="shared" si="29"/>
        <v>0</v>
      </c>
      <c r="CN142" s="580">
        <f t="shared" si="30"/>
        <v>1152</v>
      </c>
      <c r="CO142" s="580">
        <f t="shared" si="31"/>
        <v>1152</v>
      </c>
      <c r="CP142" s="580">
        <f t="shared" si="32"/>
        <v>0</v>
      </c>
      <c r="CQ142" s="580">
        <f t="shared" si="33"/>
        <v>1152</v>
      </c>
      <c r="CR142" s="580">
        <f t="shared" si="34"/>
        <v>-1152</v>
      </c>
      <c r="CS142" s="580">
        <f t="shared" si="35"/>
        <v>0</v>
      </c>
      <c r="CT142" s="580">
        <f t="shared" si="36"/>
        <v>-1152</v>
      </c>
      <c r="CU142" s="580">
        <f t="shared" si="37"/>
        <v>0</v>
      </c>
      <c r="CV142" s="580">
        <f t="shared" si="38"/>
        <v>-1152</v>
      </c>
      <c r="CW142" s="580">
        <f t="shared" si="39"/>
        <v>1152</v>
      </c>
      <c r="CX142" s="580">
        <f t="shared" si="40"/>
        <v>1152</v>
      </c>
      <c r="CY142" s="580">
        <f t="shared" si="41"/>
        <v>1152</v>
      </c>
      <c r="CZ142" s="580">
        <f t="shared" si="42"/>
        <v>1152</v>
      </c>
      <c r="DC142" s="156"/>
      <c r="DD142" s="137"/>
      <c r="DE142" s="156"/>
      <c r="DF142" s="156"/>
      <c r="DG142" s="156"/>
      <c r="DH142" s="156"/>
      <c r="DI142" s="156"/>
      <c r="DJ142" s="156"/>
      <c r="DK142" s="156"/>
      <c r="DL142" s="156"/>
      <c r="DM142" s="156"/>
      <c r="DN142" s="156"/>
      <c r="DO142" s="156"/>
      <c r="DP142" s="156"/>
      <c r="DQ142" s="156"/>
      <c r="DR142" s="156"/>
      <c r="DS142" s="156"/>
      <c r="DT142" s="156"/>
      <c r="DU142" s="156"/>
      <c r="DV142" s="156"/>
      <c r="DW142" s="156"/>
      <c r="DX142" s="156"/>
      <c r="DY142" s="156"/>
      <c r="DZ142" s="156"/>
      <c r="EA142" s="156"/>
      <c r="EB142" s="156"/>
      <c r="EC142" s="156"/>
      <c r="ED142" s="156"/>
      <c r="EE142" s="156"/>
      <c r="EF142" s="156"/>
      <c r="EG142" s="156"/>
      <c r="EH142" s="156"/>
      <c r="EI142" s="156"/>
      <c r="EJ142" s="156"/>
      <c r="EK142" s="156"/>
      <c r="EL142" s="156"/>
      <c r="EM142" s="156"/>
      <c r="EN142" s="156"/>
      <c r="EO142" s="156"/>
      <c r="EP142" s="156"/>
      <c r="EQ142" s="156"/>
      <c r="ER142" s="156"/>
      <c r="ES142" s="156"/>
      <c r="ET142" s="156"/>
      <c r="EU142" s="156"/>
      <c r="EV142" s="156"/>
      <c r="EW142" s="156"/>
      <c r="EX142" s="156"/>
      <c r="EY142" s="156"/>
      <c r="EZ142" s="156"/>
      <c r="FA142" s="156"/>
      <c r="FB142" s="156"/>
      <c r="FC142" s="156"/>
      <c r="FD142" s="156"/>
      <c r="FE142" s="156"/>
      <c r="FF142" s="156"/>
      <c r="FG142" s="156"/>
      <c r="FL142" s="157" t="s">
        <v>365</v>
      </c>
      <c r="FM142" s="144">
        <v>7</v>
      </c>
      <c r="FN142" s="138" t="s">
        <v>314</v>
      </c>
      <c r="FO142" s="145">
        <v>3</v>
      </c>
    </row>
    <row r="143" spans="1:171" s="1" customFormat="1" ht="11.25" customHeight="1">
      <c r="A143" s="2094"/>
      <c r="B143" s="2548"/>
      <c r="C143" s="650"/>
      <c r="D143" s="650"/>
      <c r="E143" s="650"/>
      <c r="F143" s="650"/>
      <c r="G143" s="650"/>
      <c r="H143" s="650"/>
      <c r="I143" s="650"/>
      <c r="J143" s="650"/>
      <c r="K143" s="650"/>
      <c r="L143" s="650"/>
      <c r="M143" s="650"/>
      <c r="N143" s="650"/>
      <c r="O143" s="653" t="s">
        <v>2103</v>
      </c>
      <c r="P143" s="650"/>
      <c r="Q143" s="650"/>
      <c r="R143" s="650"/>
      <c r="S143" s="650"/>
      <c r="T143" s="650"/>
      <c r="U143" s="650"/>
      <c r="V143" s="650"/>
      <c r="W143" s="650"/>
      <c r="X143" s="650"/>
      <c r="Y143" s="650"/>
      <c r="Z143" s="650"/>
      <c r="AA143" s="650"/>
      <c r="AB143" s="650"/>
      <c r="AC143" s="650"/>
      <c r="AD143" s="650"/>
      <c r="AE143" s="650"/>
      <c r="AF143" s="650"/>
      <c r="AG143" s="650"/>
      <c r="AH143" s="650"/>
      <c r="AI143" s="650"/>
      <c r="AJ143" s="650"/>
      <c r="AK143" s="650"/>
      <c r="AL143" s="650"/>
      <c r="AM143" s="650"/>
      <c r="AN143" s="650"/>
      <c r="AO143" s="650"/>
      <c r="AP143" s="650"/>
      <c r="AQ143" s="650"/>
      <c r="AR143" s="650"/>
      <c r="AS143" s="650"/>
      <c r="AT143" s="650"/>
      <c r="AU143" s="650"/>
      <c r="AV143" s="650"/>
      <c r="AW143" s="650"/>
      <c r="AX143" s="650"/>
      <c r="AY143" s="650"/>
      <c r="AZ143" s="650"/>
      <c r="BA143" s="650"/>
      <c r="BB143" s="650"/>
      <c r="BC143" s="650"/>
      <c r="BD143" s="650"/>
      <c r="BE143" s="650"/>
      <c r="BF143" s="650"/>
      <c r="BG143" s="650"/>
      <c r="BH143" s="650"/>
      <c r="BI143" s="650"/>
      <c r="BJ143" s="650"/>
      <c r="BK143" s="650"/>
      <c r="BL143" s="650"/>
      <c r="BM143" s="650"/>
      <c r="BN143" s="650"/>
      <c r="BO143" s="650"/>
      <c r="BP143" s="650"/>
      <c r="BQ143" s="650"/>
      <c r="BR143" s="650"/>
      <c r="BS143" s="650"/>
      <c r="BT143" s="650"/>
      <c r="BU143" s="650"/>
      <c r="BV143" s="650"/>
      <c r="BW143" s="650"/>
      <c r="BX143" s="650"/>
      <c r="BY143" s="650"/>
      <c r="BZ143" s="650"/>
      <c r="CA143" s="650"/>
      <c r="CB143" s="651"/>
      <c r="CC143" s="581">
        <v>10</v>
      </c>
      <c r="CD143" s="580">
        <f t="shared" si="21"/>
        <v>1152</v>
      </c>
      <c r="CE143" s="580">
        <f t="shared" si="22"/>
        <v>1152</v>
      </c>
      <c r="CF143" s="580">
        <f t="shared" si="23"/>
        <v>1152</v>
      </c>
      <c r="CG143" s="580">
        <f t="shared" si="24"/>
        <v>1152</v>
      </c>
      <c r="CH143" s="580">
        <f t="shared" si="25"/>
        <v>0</v>
      </c>
      <c r="CI143" s="580">
        <f t="shared" si="43"/>
        <v>1152</v>
      </c>
      <c r="CJ143" s="580">
        <f t="shared" si="26"/>
        <v>1152</v>
      </c>
      <c r="CK143" s="580">
        <f t="shared" si="27"/>
        <v>1152</v>
      </c>
      <c r="CL143" s="580">
        <f t="shared" si="28"/>
        <v>0</v>
      </c>
      <c r="CM143" s="580">
        <f t="shared" si="29"/>
        <v>0</v>
      </c>
      <c r="CN143" s="580">
        <f t="shared" si="30"/>
        <v>1152</v>
      </c>
      <c r="CO143" s="580">
        <f t="shared" si="31"/>
        <v>1152</v>
      </c>
      <c r="CP143" s="580">
        <f t="shared" si="32"/>
        <v>0</v>
      </c>
      <c r="CQ143" s="580">
        <f t="shared" si="33"/>
        <v>1152</v>
      </c>
      <c r="CR143" s="580">
        <f t="shared" si="34"/>
        <v>-1152</v>
      </c>
      <c r="CS143" s="580">
        <f t="shared" si="35"/>
        <v>0</v>
      </c>
      <c r="CT143" s="580">
        <f t="shared" si="36"/>
        <v>-1152</v>
      </c>
      <c r="CU143" s="580">
        <f t="shared" si="37"/>
        <v>0</v>
      </c>
      <c r="CV143" s="580">
        <f t="shared" si="38"/>
        <v>-1152</v>
      </c>
      <c r="CW143" s="580">
        <f t="shared" si="39"/>
        <v>1152</v>
      </c>
      <c r="CX143" s="580">
        <f t="shared" si="40"/>
        <v>1152</v>
      </c>
      <c r="CY143" s="580">
        <f t="shared" si="41"/>
        <v>1152</v>
      </c>
      <c r="CZ143" s="580">
        <f t="shared" si="42"/>
        <v>1152</v>
      </c>
      <c r="DC143" s="156"/>
      <c r="DD143" s="137"/>
      <c r="DE143" s="156"/>
      <c r="DF143" s="156"/>
      <c r="DG143" s="156"/>
      <c r="DH143" s="156"/>
      <c r="DI143" s="156"/>
      <c r="DJ143" s="156"/>
      <c r="DK143" s="156"/>
      <c r="DL143" s="156"/>
      <c r="DM143" s="156"/>
      <c r="DN143" s="156"/>
      <c r="DO143" s="156"/>
      <c r="DP143" s="156"/>
      <c r="DQ143" s="156"/>
      <c r="DR143" s="156"/>
      <c r="DS143" s="156"/>
      <c r="DT143" s="156"/>
      <c r="DU143" s="156"/>
      <c r="DV143" s="156"/>
      <c r="DW143" s="156"/>
      <c r="DX143" s="156"/>
      <c r="DY143" s="156"/>
      <c r="DZ143" s="156"/>
      <c r="EA143" s="156"/>
      <c r="EB143" s="156"/>
      <c r="EC143" s="156"/>
      <c r="ED143" s="156"/>
      <c r="EE143" s="156"/>
      <c r="EF143" s="156"/>
      <c r="EG143" s="156"/>
      <c r="EH143" s="156"/>
      <c r="EI143" s="156"/>
      <c r="EJ143" s="156"/>
      <c r="EK143" s="156"/>
      <c r="EL143" s="156"/>
      <c r="EM143" s="156"/>
      <c r="EN143" s="156"/>
      <c r="EO143" s="156"/>
      <c r="EP143" s="156"/>
      <c r="EQ143" s="156"/>
      <c r="ER143" s="156"/>
      <c r="ES143" s="156"/>
      <c r="ET143" s="156"/>
      <c r="EU143" s="156"/>
      <c r="EV143" s="156"/>
      <c r="EW143" s="156"/>
      <c r="EX143" s="156"/>
      <c r="EY143" s="156"/>
      <c r="EZ143" s="156"/>
      <c r="FA143" s="156"/>
      <c r="FB143" s="156"/>
      <c r="FC143" s="156"/>
      <c r="FD143" s="156"/>
      <c r="FE143" s="156"/>
      <c r="FF143" s="156"/>
      <c r="FG143" s="156"/>
      <c r="FL143" s="157" t="s">
        <v>366</v>
      </c>
      <c r="FM143" s="144">
        <v>6</v>
      </c>
      <c r="FN143" s="138" t="s">
        <v>310</v>
      </c>
      <c r="FO143" s="145">
        <v>40</v>
      </c>
    </row>
    <row r="144" spans="1:171" s="1" customFormat="1" ht="11.25" customHeight="1">
      <c r="A144" s="2094"/>
      <c r="B144" s="2548"/>
      <c r="C144" s="650"/>
      <c r="D144" s="650"/>
      <c r="E144" s="650"/>
      <c r="F144" s="650"/>
      <c r="G144" s="650"/>
      <c r="H144" s="650"/>
      <c r="I144" s="650"/>
      <c r="J144" s="650"/>
      <c r="K144" s="650"/>
      <c r="L144" s="650"/>
      <c r="M144" s="650"/>
      <c r="N144" s="650"/>
      <c r="O144" s="650"/>
      <c r="P144" s="650"/>
      <c r="Q144" s="650"/>
      <c r="R144" s="650"/>
      <c r="S144" s="650"/>
      <c r="T144" s="650"/>
      <c r="U144" s="650"/>
      <c r="V144" s="650"/>
      <c r="W144" s="650"/>
      <c r="X144" s="650"/>
      <c r="Y144" s="650"/>
      <c r="Z144" s="650"/>
      <c r="AA144" s="650"/>
      <c r="AB144" s="650"/>
      <c r="AC144" s="650"/>
      <c r="AD144" s="650"/>
      <c r="AE144" s="650"/>
      <c r="AF144" s="650"/>
      <c r="AG144" s="650"/>
      <c r="AH144" s="650"/>
      <c r="AI144" s="650"/>
      <c r="AJ144" s="650"/>
      <c r="AK144" s="650"/>
      <c r="AL144" s="650"/>
      <c r="AM144" s="650"/>
      <c r="AN144" s="650"/>
      <c r="AO144" s="650"/>
      <c r="AP144" s="650"/>
      <c r="AQ144" s="650"/>
      <c r="AR144" s="650"/>
      <c r="AS144" s="650"/>
      <c r="AT144" s="650"/>
      <c r="AU144" s="650"/>
      <c r="AV144" s="650"/>
      <c r="AW144" s="650"/>
      <c r="AX144" s="650"/>
      <c r="AY144" s="650"/>
      <c r="AZ144" s="650"/>
      <c r="BA144" s="650"/>
      <c r="BB144" s="650"/>
      <c r="BC144" s="650"/>
      <c r="BD144" s="650"/>
      <c r="BE144" s="650"/>
      <c r="BF144" s="650"/>
      <c r="BG144" s="650"/>
      <c r="BH144" s="650"/>
      <c r="BI144" s="650"/>
      <c r="BJ144" s="650"/>
      <c r="BK144" s="650"/>
      <c r="BL144" s="650"/>
      <c r="BM144" s="650"/>
      <c r="BN144" s="650"/>
      <c r="BO144" s="650"/>
      <c r="BP144" s="650"/>
      <c r="BQ144" s="650"/>
      <c r="BR144" s="650"/>
      <c r="BS144" s="650"/>
      <c r="BT144" s="650"/>
      <c r="BU144" s="650"/>
      <c r="BV144" s="650"/>
      <c r="BW144" s="650"/>
      <c r="BX144" s="650"/>
      <c r="BY144" s="650"/>
      <c r="BZ144" s="650"/>
      <c r="CA144" s="650"/>
      <c r="CB144" s="651"/>
      <c r="CC144" s="581">
        <v>11</v>
      </c>
      <c r="CD144" s="580">
        <f t="shared" si="21"/>
        <v>1152</v>
      </c>
      <c r="CE144" s="580">
        <f t="shared" si="22"/>
        <v>1152</v>
      </c>
      <c r="CF144" s="580">
        <f t="shared" si="23"/>
        <v>1152</v>
      </c>
      <c r="CG144" s="580">
        <f t="shared" si="24"/>
        <v>1152</v>
      </c>
      <c r="CH144" s="580">
        <f t="shared" si="25"/>
        <v>0</v>
      </c>
      <c r="CI144" s="580">
        <f t="shared" si="43"/>
        <v>1152</v>
      </c>
      <c r="CJ144" s="580">
        <f t="shared" si="26"/>
        <v>1152</v>
      </c>
      <c r="CK144" s="580">
        <f t="shared" si="27"/>
        <v>1152</v>
      </c>
      <c r="CL144" s="580">
        <f t="shared" si="28"/>
        <v>0</v>
      </c>
      <c r="CM144" s="580">
        <f t="shared" si="29"/>
        <v>0</v>
      </c>
      <c r="CN144" s="580">
        <f t="shared" si="30"/>
        <v>1152</v>
      </c>
      <c r="CO144" s="580">
        <f t="shared" si="31"/>
        <v>1152</v>
      </c>
      <c r="CP144" s="580">
        <f t="shared" si="32"/>
        <v>0</v>
      </c>
      <c r="CQ144" s="580">
        <f t="shared" si="33"/>
        <v>1152</v>
      </c>
      <c r="CR144" s="580">
        <f t="shared" si="34"/>
        <v>-1152</v>
      </c>
      <c r="CS144" s="580">
        <f t="shared" si="35"/>
        <v>0</v>
      </c>
      <c r="CT144" s="580">
        <f t="shared" si="36"/>
        <v>-1152</v>
      </c>
      <c r="CU144" s="580">
        <f t="shared" si="37"/>
        <v>0</v>
      </c>
      <c r="CV144" s="580">
        <f t="shared" si="38"/>
        <v>-1152</v>
      </c>
      <c r="CW144" s="580">
        <f t="shared" si="39"/>
        <v>1152</v>
      </c>
      <c r="CX144" s="580">
        <f t="shared" si="40"/>
        <v>1152</v>
      </c>
      <c r="CY144" s="580">
        <f t="shared" si="41"/>
        <v>1152</v>
      </c>
      <c r="CZ144" s="580">
        <f t="shared" si="42"/>
        <v>1152</v>
      </c>
      <c r="DC144" s="156"/>
      <c r="DD144" s="137"/>
      <c r="DE144" s="156"/>
      <c r="DF144" s="156"/>
      <c r="DG144" s="156"/>
      <c r="DH144" s="156"/>
      <c r="DI144" s="156"/>
      <c r="DJ144" s="156"/>
      <c r="DK144" s="156"/>
      <c r="DL144" s="156"/>
      <c r="DM144" s="156"/>
      <c r="DN144" s="156"/>
      <c r="DO144" s="156"/>
      <c r="DP144" s="156"/>
      <c r="DQ144" s="156"/>
      <c r="DR144" s="156"/>
      <c r="DS144" s="156"/>
      <c r="DT144" s="156"/>
      <c r="DU144" s="156"/>
      <c r="DV144" s="156"/>
      <c r="DW144" s="156"/>
      <c r="DX144" s="156"/>
      <c r="DY144" s="156"/>
      <c r="DZ144" s="156"/>
      <c r="EA144" s="156"/>
      <c r="EB144" s="156"/>
      <c r="EC144" s="156"/>
      <c r="ED144" s="156"/>
      <c r="EE144" s="156"/>
      <c r="EF144" s="156"/>
      <c r="EG144" s="156"/>
      <c r="EH144" s="156"/>
      <c r="EI144" s="156"/>
      <c r="EJ144" s="156"/>
      <c r="EK144" s="156"/>
      <c r="EL144" s="156"/>
      <c r="EM144" s="156"/>
      <c r="EN144" s="156"/>
      <c r="EO144" s="156"/>
      <c r="EP144" s="156"/>
      <c r="EQ144" s="156"/>
      <c r="ER144" s="156"/>
      <c r="ES144" s="156"/>
      <c r="ET144" s="156"/>
      <c r="EU144" s="156"/>
      <c r="EV144" s="156"/>
      <c r="EW144" s="156"/>
      <c r="EX144" s="156"/>
      <c r="EY144" s="156"/>
      <c r="EZ144" s="156"/>
      <c r="FA144" s="156"/>
      <c r="FB144" s="156"/>
      <c r="FC144" s="156"/>
      <c r="FD144" s="156"/>
      <c r="FE144" s="156"/>
      <c r="FF144" s="156"/>
      <c r="FG144" s="156"/>
      <c r="FL144" s="157" t="s">
        <v>367</v>
      </c>
      <c r="FM144" s="144">
        <v>6</v>
      </c>
      <c r="FN144" s="138" t="s">
        <v>310</v>
      </c>
      <c r="FO144" s="145">
        <v>18</v>
      </c>
    </row>
    <row r="145" spans="1:171" s="1" customFormat="1" ht="11.25" customHeight="1">
      <c r="A145" s="715"/>
      <c r="B145" s="2548"/>
      <c r="C145" s="650"/>
      <c r="D145" s="650"/>
      <c r="E145" s="885" t="s">
        <v>2145</v>
      </c>
      <c r="F145" s="650"/>
      <c r="G145" s="650"/>
      <c r="H145" s="650"/>
      <c r="I145" s="650"/>
      <c r="J145" s="650"/>
      <c r="K145" s="650"/>
      <c r="L145" s="650"/>
      <c r="M145" s="650"/>
      <c r="N145" s="650"/>
      <c r="O145" s="653" t="s">
        <v>2104</v>
      </c>
      <c r="P145" s="650"/>
      <c r="Q145" s="650"/>
      <c r="R145" s="650"/>
      <c r="S145" s="650"/>
      <c r="T145" s="650"/>
      <c r="U145" s="650"/>
      <c r="V145" s="650"/>
      <c r="W145" s="650"/>
      <c r="X145" s="650"/>
      <c r="Y145" s="650"/>
      <c r="Z145" s="650"/>
      <c r="AA145" s="650"/>
      <c r="AB145" s="650"/>
      <c r="AC145" s="653"/>
      <c r="AD145" s="650"/>
      <c r="AE145" s="650"/>
      <c r="AF145" s="650"/>
      <c r="AG145" s="650"/>
      <c r="AH145" s="650"/>
      <c r="AI145" s="653"/>
      <c r="AJ145" s="650"/>
      <c r="AK145" s="650"/>
      <c r="AL145" s="650"/>
      <c r="AM145" s="650"/>
      <c r="AN145" s="653"/>
      <c r="AO145" s="650"/>
      <c r="AP145" s="650"/>
      <c r="AQ145" s="650"/>
      <c r="AR145" s="653" t="s">
        <v>2105</v>
      </c>
      <c r="AS145" s="650"/>
      <c r="AT145" s="650"/>
      <c r="AU145" s="650"/>
      <c r="AV145" s="650"/>
      <c r="AW145" s="650"/>
      <c r="AX145" s="650"/>
      <c r="AY145" s="650"/>
      <c r="AZ145" s="650"/>
      <c r="BA145" s="650"/>
      <c r="BB145" s="650"/>
      <c r="BC145" s="650"/>
      <c r="BD145" s="653" t="s">
        <v>2106</v>
      </c>
      <c r="BE145" s="650"/>
      <c r="BF145" s="650"/>
      <c r="BG145" s="650"/>
      <c r="BH145" s="650"/>
      <c r="BI145" s="650"/>
      <c r="BJ145" s="650"/>
      <c r="BK145" s="650"/>
      <c r="BL145" s="650"/>
      <c r="BM145" s="650"/>
      <c r="BN145" s="650"/>
      <c r="BO145" s="650"/>
      <c r="BP145" s="650"/>
      <c r="BQ145" s="650"/>
      <c r="BR145" s="650"/>
      <c r="BS145" s="650"/>
      <c r="BT145" s="650"/>
      <c r="BU145" s="650"/>
      <c r="BV145" s="650"/>
      <c r="BW145" s="650"/>
      <c r="BX145" s="650"/>
      <c r="BY145" s="650"/>
      <c r="BZ145" s="650"/>
      <c r="CA145" s="650"/>
      <c r="CB145" s="651"/>
      <c r="CC145" s="581">
        <v>12</v>
      </c>
      <c r="CD145" s="580">
        <f t="shared" si="21"/>
        <v>1152</v>
      </c>
      <c r="CE145" s="580">
        <f t="shared" si="22"/>
        <v>1152</v>
      </c>
      <c r="CF145" s="580">
        <f t="shared" si="23"/>
        <v>1152</v>
      </c>
      <c r="CG145" s="580">
        <f t="shared" si="24"/>
        <v>1152</v>
      </c>
      <c r="CH145" s="580">
        <f t="shared" si="25"/>
        <v>0</v>
      </c>
      <c r="CI145" s="580">
        <f t="shared" si="43"/>
        <v>1152</v>
      </c>
      <c r="CJ145" s="580">
        <f t="shared" si="26"/>
        <v>1152</v>
      </c>
      <c r="CK145" s="580">
        <f t="shared" si="27"/>
        <v>1152</v>
      </c>
      <c r="CL145" s="580">
        <f t="shared" si="28"/>
        <v>0</v>
      </c>
      <c r="CM145" s="580">
        <f t="shared" si="29"/>
        <v>0</v>
      </c>
      <c r="CN145" s="580">
        <f t="shared" si="30"/>
        <v>1152</v>
      </c>
      <c r="CO145" s="580">
        <f t="shared" si="31"/>
        <v>1152</v>
      </c>
      <c r="CP145" s="580">
        <f t="shared" si="32"/>
        <v>0</v>
      </c>
      <c r="CQ145" s="580">
        <f t="shared" si="33"/>
        <v>1152</v>
      </c>
      <c r="CR145" s="580">
        <f t="shared" si="34"/>
        <v>-1152</v>
      </c>
      <c r="CS145" s="580">
        <f t="shared" si="35"/>
        <v>0</v>
      </c>
      <c r="CT145" s="580">
        <f t="shared" si="36"/>
        <v>-1152</v>
      </c>
      <c r="CU145" s="580">
        <f t="shared" si="37"/>
        <v>0</v>
      </c>
      <c r="CV145" s="580">
        <f t="shared" si="38"/>
        <v>-1152</v>
      </c>
      <c r="CW145" s="580">
        <f t="shared" si="39"/>
        <v>1152</v>
      </c>
      <c r="CX145" s="580">
        <f t="shared" si="40"/>
        <v>1152</v>
      </c>
      <c r="CY145" s="580">
        <f t="shared" si="41"/>
        <v>1152</v>
      </c>
      <c r="CZ145" s="580">
        <f t="shared" si="42"/>
        <v>1152</v>
      </c>
      <c r="DC145" s="156"/>
      <c r="DD145" s="137"/>
      <c r="DE145" s="156"/>
      <c r="DF145" s="156"/>
      <c r="DG145" s="156"/>
      <c r="DH145" s="156"/>
      <c r="DI145" s="156"/>
      <c r="DJ145" s="156"/>
      <c r="DK145" s="156"/>
      <c r="DL145" s="156"/>
      <c r="DM145" s="156"/>
      <c r="DN145" s="156"/>
      <c r="DO145" s="156"/>
      <c r="DP145" s="156"/>
      <c r="DQ145" s="156"/>
      <c r="DR145" s="156"/>
      <c r="DS145" s="156"/>
      <c r="DT145" s="156"/>
      <c r="DU145" s="156"/>
      <c r="DV145" s="156"/>
      <c r="DW145" s="156"/>
      <c r="DX145" s="156"/>
      <c r="DY145" s="156"/>
      <c r="DZ145" s="156"/>
      <c r="EA145" s="156"/>
      <c r="EB145" s="156"/>
      <c r="EC145" s="156"/>
      <c r="ED145" s="156"/>
      <c r="EE145" s="156"/>
      <c r="EF145" s="156"/>
      <c r="EG145" s="156"/>
      <c r="EH145" s="156"/>
      <c r="EI145" s="156"/>
      <c r="EJ145" s="156"/>
      <c r="EK145" s="156"/>
      <c r="EL145" s="156"/>
      <c r="EM145" s="156"/>
      <c r="EN145" s="156"/>
      <c r="EO145" s="156"/>
      <c r="EP145" s="156"/>
      <c r="EQ145" s="156"/>
      <c r="ER145" s="156"/>
      <c r="ES145" s="156"/>
      <c r="ET145" s="156"/>
      <c r="EU145" s="156"/>
      <c r="EV145" s="156"/>
      <c r="EW145" s="156"/>
      <c r="EX145" s="156"/>
      <c r="EY145" s="156"/>
      <c r="EZ145" s="156"/>
      <c r="FA145" s="156"/>
      <c r="FB145" s="156"/>
      <c r="FC145" s="156"/>
      <c r="FD145" s="156"/>
      <c r="FE145" s="156"/>
      <c r="FF145" s="156"/>
      <c r="FG145" s="156"/>
      <c r="FL145" s="157" t="s">
        <v>368</v>
      </c>
      <c r="FM145" s="144">
        <v>6</v>
      </c>
      <c r="FN145" s="138" t="s">
        <v>310</v>
      </c>
      <c r="FO145" s="145">
        <v>4</v>
      </c>
    </row>
    <row r="146" spans="1:171" s="1" customFormat="1" ht="11.25" customHeight="1">
      <c r="A146" s="715"/>
      <c r="B146" s="2548"/>
      <c r="C146" s="516"/>
      <c r="D146" s="516"/>
      <c r="E146" s="516"/>
      <c r="F146" s="516"/>
      <c r="G146" s="516"/>
      <c r="H146" s="516"/>
      <c r="I146" s="516"/>
      <c r="J146" s="516"/>
      <c r="K146" s="516"/>
      <c r="L146" s="516"/>
      <c r="M146" s="516"/>
      <c r="N146" s="516"/>
      <c r="O146" s="653" t="s">
        <v>2107</v>
      </c>
      <c r="P146" s="650"/>
      <c r="Q146" s="650"/>
      <c r="R146" s="650"/>
      <c r="S146" s="650"/>
      <c r="T146" s="650"/>
      <c r="U146" s="650"/>
      <c r="V146" s="650"/>
      <c r="W146" s="650"/>
      <c r="X146" s="650"/>
      <c r="Y146" s="650"/>
      <c r="Z146" s="650"/>
      <c r="AA146" s="650"/>
      <c r="AB146" s="650"/>
      <c r="AC146" s="653"/>
      <c r="AD146" s="650"/>
      <c r="AE146" s="650"/>
      <c r="AF146" s="650"/>
      <c r="AG146" s="650"/>
      <c r="AH146" s="650"/>
      <c r="AI146" s="653" t="s">
        <v>2108</v>
      </c>
      <c r="AJ146" s="650"/>
      <c r="AK146" s="650"/>
      <c r="AL146" s="650"/>
      <c r="AM146" s="650"/>
      <c r="AN146" s="653"/>
      <c r="AO146" s="650"/>
      <c r="AP146" s="650"/>
      <c r="AQ146" s="516"/>
      <c r="AR146" s="516"/>
      <c r="AS146" s="516"/>
      <c r="AT146" s="516"/>
      <c r="AU146" s="516"/>
      <c r="AV146" s="516"/>
      <c r="AW146" s="516"/>
      <c r="AX146" s="516"/>
      <c r="AY146" s="516"/>
      <c r="AZ146" s="516"/>
      <c r="BA146" s="516"/>
      <c r="BB146" s="516"/>
      <c r="BC146" s="516"/>
      <c r="BD146" s="653" t="s">
        <v>2109</v>
      </c>
      <c r="BE146" s="516"/>
      <c r="BF146" s="516"/>
      <c r="BG146" s="516"/>
      <c r="BH146" s="516"/>
      <c r="BI146" s="516"/>
      <c r="BJ146" s="516"/>
      <c r="BK146" s="516"/>
      <c r="BL146" s="516"/>
      <c r="BM146" s="516"/>
      <c r="BN146" s="516"/>
      <c r="BO146" s="516"/>
      <c r="BP146" s="516"/>
      <c r="BQ146" s="516"/>
      <c r="BR146" s="516"/>
      <c r="BS146" s="650"/>
      <c r="BT146" s="650"/>
      <c r="BU146" s="650"/>
      <c r="BV146" s="650"/>
      <c r="BW146" s="650"/>
      <c r="BX146" s="650"/>
      <c r="BY146" s="650"/>
      <c r="BZ146" s="650"/>
      <c r="CA146" s="650"/>
      <c r="CB146" s="651"/>
      <c r="CC146" s="581">
        <v>13</v>
      </c>
      <c r="CD146" s="580">
        <f t="shared" si="21"/>
        <v>1152</v>
      </c>
      <c r="CE146" s="580">
        <f t="shared" si="22"/>
        <v>1152</v>
      </c>
      <c r="CF146" s="580">
        <f t="shared" si="23"/>
        <v>1152</v>
      </c>
      <c r="CG146" s="580">
        <f t="shared" si="24"/>
        <v>1152</v>
      </c>
      <c r="CH146" s="580">
        <f t="shared" si="25"/>
        <v>0</v>
      </c>
      <c r="CI146" s="580">
        <f t="shared" si="43"/>
        <v>1152</v>
      </c>
      <c r="CJ146" s="580">
        <f t="shared" si="26"/>
        <v>1152</v>
      </c>
      <c r="CK146" s="580">
        <f t="shared" si="27"/>
        <v>1152</v>
      </c>
      <c r="CL146" s="580">
        <f t="shared" si="28"/>
        <v>0</v>
      </c>
      <c r="CM146" s="580">
        <f t="shared" si="29"/>
        <v>0</v>
      </c>
      <c r="CN146" s="580">
        <f t="shared" si="30"/>
        <v>1152</v>
      </c>
      <c r="CO146" s="580">
        <f t="shared" si="31"/>
        <v>1152</v>
      </c>
      <c r="CP146" s="580">
        <f t="shared" si="32"/>
        <v>0</v>
      </c>
      <c r="CQ146" s="580">
        <f t="shared" si="33"/>
        <v>1152</v>
      </c>
      <c r="CR146" s="580">
        <f t="shared" si="34"/>
        <v>-1152</v>
      </c>
      <c r="CS146" s="580">
        <f t="shared" si="35"/>
        <v>0</v>
      </c>
      <c r="CT146" s="580">
        <f t="shared" si="36"/>
        <v>-1152</v>
      </c>
      <c r="CU146" s="580">
        <f t="shared" si="37"/>
        <v>0</v>
      </c>
      <c r="CV146" s="580">
        <f t="shared" si="38"/>
        <v>-1152</v>
      </c>
      <c r="CW146" s="580">
        <f t="shared" si="39"/>
        <v>1152</v>
      </c>
      <c r="CX146" s="580">
        <f t="shared" si="40"/>
        <v>1152</v>
      </c>
      <c r="CY146" s="580">
        <f t="shared" si="41"/>
        <v>1152</v>
      </c>
      <c r="CZ146" s="580">
        <f t="shared" si="42"/>
        <v>1152</v>
      </c>
      <c r="DC146" s="156"/>
      <c r="DD146" s="137"/>
      <c r="DE146" s="156"/>
      <c r="DF146" s="156"/>
      <c r="DG146" s="156"/>
      <c r="DH146" s="156"/>
      <c r="DI146" s="156"/>
      <c r="DJ146" s="156"/>
      <c r="DK146" s="156"/>
      <c r="DL146" s="156"/>
      <c r="DM146" s="156"/>
      <c r="DN146" s="156"/>
      <c r="DO146" s="156"/>
      <c r="DP146" s="156"/>
      <c r="DQ146" s="156"/>
      <c r="DR146" s="156"/>
      <c r="DS146" s="156"/>
      <c r="DT146" s="156"/>
      <c r="DU146" s="156"/>
      <c r="DV146" s="156"/>
      <c r="DW146" s="156"/>
      <c r="DX146" s="156"/>
      <c r="DY146" s="156"/>
      <c r="DZ146" s="156"/>
      <c r="EA146" s="156"/>
      <c r="EB146" s="156"/>
      <c r="EC146" s="156"/>
      <c r="ED146" s="156"/>
      <c r="EE146" s="156"/>
      <c r="EF146" s="156"/>
      <c r="EG146" s="156"/>
      <c r="EH146" s="156"/>
      <c r="EI146" s="156"/>
      <c r="EJ146" s="156"/>
      <c r="EK146" s="156"/>
      <c r="EL146" s="156"/>
      <c r="EM146" s="156"/>
      <c r="EN146" s="156"/>
      <c r="EO146" s="156"/>
      <c r="EP146" s="156"/>
      <c r="EQ146" s="156"/>
      <c r="ER146" s="156"/>
      <c r="ES146" s="156"/>
      <c r="ET146" s="156"/>
      <c r="EU146" s="156"/>
      <c r="EV146" s="156"/>
      <c r="EW146" s="156"/>
      <c r="EX146" s="156"/>
      <c r="EY146" s="156"/>
      <c r="EZ146" s="156"/>
      <c r="FA146" s="156"/>
      <c r="FB146" s="156"/>
      <c r="FC146" s="156"/>
      <c r="FD146" s="156"/>
      <c r="FE146" s="156"/>
      <c r="FF146" s="156"/>
      <c r="FG146" s="156"/>
      <c r="FL146" s="157" t="s">
        <v>369</v>
      </c>
      <c r="FM146" s="144">
        <v>6</v>
      </c>
      <c r="FN146" s="138" t="s">
        <v>310</v>
      </c>
      <c r="FO146" s="145">
        <v>25</v>
      </c>
    </row>
    <row r="147" spans="1:171" s="1" customFormat="1" ht="11.25" customHeight="1">
      <c r="A147" s="715"/>
      <c r="B147" s="2548"/>
      <c r="C147" s="516"/>
      <c r="D147" s="516"/>
      <c r="E147" s="516"/>
      <c r="F147" s="516"/>
      <c r="G147" s="516"/>
      <c r="H147" s="516"/>
      <c r="I147" s="516"/>
      <c r="J147" s="516"/>
      <c r="K147" s="516"/>
      <c r="L147" s="516"/>
      <c r="M147" s="516"/>
      <c r="N147" s="516"/>
      <c r="O147" s="516"/>
      <c r="P147" s="516"/>
      <c r="Q147" s="516"/>
      <c r="R147" s="516"/>
      <c r="S147" s="516"/>
      <c r="T147" s="516"/>
      <c r="U147" s="516"/>
      <c r="V147" s="516"/>
      <c r="W147" s="516"/>
      <c r="X147" s="516"/>
      <c r="Y147" s="516"/>
      <c r="Z147" s="516"/>
      <c r="AA147" s="516"/>
      <c r="AB147" s="516"/>
      <c r="AC147" s="516"/>
      <c r="AD147" s="516"/>
      <c r="AE147" s="516"/>
      <c r="AF147" s="516"/>
      <c r="AG147" s="516"/>
      <c r="AH147" s="516"/>
      <c r="AI147" s="516"/>
      <c r="AJ147" s="516"/>
      <c r="AK147" s="516"/>
      <c r="AL147" s="516"/>
      <c r="AM147" s="516"/>
      <c r="AN147" s="516"/>
      <c r="AO147" s="516"/>
      <c r="AP147" s="516"/>
      <c r="AQ147" s="516"/>
      <c r="AR147" s="516"/>
      <c r="AS147" s="516"/>
      <c r="AT147" s="516"/>
      <c r="AU147" s="516"/>
      <c r="AV147" s="516"/>
      <c r="AW147" s="516"/>
      <c r="AX147" s="516"/>
      <c r="AY147" s="516"/>
      <c r="AZ147" s="516"/>
      <c r="BA147" s="516"/>
      <c r="BB147" s="516"/>
      <c r="BC147" s="516"/>
      <c r="BD147" s="516"/>
      <c r="BE147" s="516"/>
      <c r="BF147" s="516"/>
      <c r="BG147" s="516"/>
      <c r="BH147" s="516"/>
      <c r="BI147" s="516"/>
      <c r="BJ147" s="516"/>
      <c r="BK147" s="516"/>
      <c r="BL147" s="516"/>
      <c r="BM147" s="516"/>
      <c r="BN147" s="516"/>
      <c r="BO147" s="516"/>
      <c r="BP147" s="516"/>
      <c r="BQ147" s="516"/>
      <c r="BR147" s="516"/>
      <c r="BS147" s="650"/>
      <c r="BT147" s="650"/>
      <c r="BU147" s="650"/>
      <c r="BV147" s="650"/>
      <c r="BW147" s="650"/>
      <c r="BX147" s="650"/>
      <c r="BY147" s="650"/>
      <c r="BZ147" s="650"/>
      <c r="CA147" s="650"/>
      <c r="CB147" s="651"/>
      <c r="CC147" s="581">
        <v>14</v>
      </c>
      <c r="CD147" s="580">
        <f t="shared" si="21"/>
        <v>1152</v>
      </c>
      <c r="CE147" s="580">
        <f t="shared" si="22"/>
        <v>1152</v>
      </c>
      <c r="CF147" s="580">
        <f t="shared" si="23"/>
        <v>1152</v>
      </c>
      <c r="CG147" s="580">
        <f t="shared" si="24"/>
        <v>1152</v>
      </c>
      <c r="CH147" s="580">
        <f t="shared" si="25"/>
        <v>0</v>
      </c>
      <c r="CI147" s="580">
        <f t="shared" si="43"/>
        <v>1152</v>
      </c>
      <c r="CJ147" s="580">
        <f t="shared" si="26"/>
        <v>1152</v>
      </c>
      <c r="CK147" s="580">
        <f t="shared" si="27"/>
        <v>1152</v>
      </c>
      <c r="CL147" s="580">
        <f t="shared" si="28"/>
        <v>0</v>
      </c>
      <c r="CM147" s="580">
        <f t="shared" si="29"/>
        <v>0</v>
      </c>
      <c r="CN147" s="580">
        <f t="shared" si="30"/>
        <v>1152</v>
      </c>
      <c r="CO147" s="580">
        <f t="shared" si="31"/>
        <v>1152</v>
      </c>
      <c r="CP147" s="580">
        <f t="shared" si="32"/>
        <v>0</v>
      </c>
      <c r="CQ147" s="580">
        <f t="shared" si="33"/>
        <v>1152</v>
      </c>
      <c r="CR147" s="580">
        <f t="shared" si="34"/>
        <v>-1152</v>
      </c>
      <c r="CS147" s="580">
        <f t="shared" si="35"/>
        <v>0</v>
      </c>
      <c r="CT147" s="580">
        <f t="shared" si="36"/>
        <v>-1152</v>
      </c>
      <c r="CU147" s="580">
        <f t="shared" si="37"/>
        <v>0</v>
      </c>
      <c r="CV147" s="580">
        <f t="shared" si="38"/>
        <v>-1152</v>
      </c>
      <c r="CW147" s="580">
        <f t="shared" si="39"/>
        <v>1152</v>
      </c>
      <c r="CX147" s="580">
        <f t="shared" si="40"/>
        <v>1152</v>
      </c>
      <c r="CY147" s="580">
        <f t="shared" si="41"/>
        <v>1152</v>
      </c>
      <c r="CZ147" s="580">
        <f t="shared" si="42"/>
        <v>1152</v>
      </c>
      <c r="DC147" s="156"/>
      <c r="DD147" s="137"/>
      <c r="DE147" s="156"/>
      <c r="DF147" s="156"/>
      <c r="DG147" s="156"/>
      <c r="DH147" s="156"/>
      <c r="DI147" s="156"/>
      <c r="DJ147" s="156"/>
      <c r="DK147" s="156"/>
      <c r="DL147" s="156"/>
      <c r="DM147" s="156"/>
      <c r="DN147" s="156"/>
      <c r="DO147" s="156"/>
      <c r="DP147" s="156"/>
      <c r="DQ147" s="156"/>
      <c r="DR147" s="156"/>
      <c r="DS147" s="156"/>
      <c r="DT147" s="156"/>
      <c r="DU147" s="156"/>
      <c r="DV147" s="156"/>
      <c r="DW147" s="156"/>
      <c r="DX147" s="156"/>
      <c r="DY147" s="156"/>
      <c r="DZ147" s="156"/>
      <c r="EA147" s="156"/>
      <c r="EB147" s="156"/>
      <c r="EC147" s="156"/>
      <c r="ED147" s="156"/>
      <c r="EE147" s="156"/>
      <c r="EF147" s="156"/>
      <c r="EG147" s="156"/>
      <c r="EH147" s="156"/>
      <c r="EI147" s="156"/>
      <c r="EJ147" s="156"/>
      <c r="EK147" s="156"/>
      <c r="EL147" s="156"/>
      <c r="EM147" s="156"/>
      <c r="EN147" s="156"/>
      <c r="EO147" s="156"/>
      <c r="EP147" s="156"/>
      <c r="EQ147" s="156"/>
      <c r="ER147" s="156"/>
      <c r="ES147" s="156"/>
      <c r="ET147" s="156"/>
      <c r="EU147" s="156"/>
      <c r="EV147" s="156"/>
      <c r="EW147" s="156"/>
      <c r="EX147" s="156"/>
      <c r="EY147" s="156"/>
      <c r="EZ147" s="156"/>
      <c r="FA147" s="156"/>
      <c r="FB147" s="156"/>
      <c r="FC147" s="156"/>
      <c r="FD147" s="156"/>
      <c r="FE147" s="156"/>
      <c r="FF147" s="156"/>
      <c r="FG147" s="156"/>
      <c r="FL147" s="157" t="s">
        <v>370</v>
      </c>
      <c r="FM147" s="144">
        <v>6</v>
      </c>
      <c r="FN147" s="138" t="s">
        <v>310</v>
      </c>
      <c r="FO147" s="145">
        <v>90</v>
      </c>
    </row>
    <row r="148" spans="1:171" s="1" customFormat="1" ht="11.25" customHeight="1">
      <c r="A148" s="715"/>
      <c r="B148" s="2548"/>
      <c r="C148" s="516"/>
      <c r="D148" s="516"/>
      <c r="E148" s="885" t="s">
        <v>2142</v>
      </c>
      <c r="F148" s="650"/>
      <c r="G148" s="650"/>
      <c r="H148" s="650"/>
      <c r="I148" s="650"/>
      <c r="J148" s="650"/>
      <c r="K148" s="650"/>
      <c r="L148" s="650"/>
      <c r="M148" s="650"/>
      <c r="N148" s="650"/>
      <c r="O148" s="653" t="s">
        <v>2110</v>
      </c>
      <c r="P148" s="650"/>
      <c r="Q148" s="650"/>
      <c r="R148" s="650"/>
      <c r="S148" s="650"/>
      <c r="T148" s="650"/>
      <c r="U148" s="650"/>
      <c r="V148" s="650"/>
      <c r="W148" s="650"/>
      <c r="X148" s="650"/>
      <c r="Y148" s="650"/>
      <c r="Z148" s="650"/>
      <c r="AA148" s="650"/>
      <c r="AB148" s="650"/>
      <c r="AC148" s="650"/>
      <c r="AD148" s="653" t="s">
        <v>2111</v>
      </c>
      <c r="AE148" s="650"/>
      <c r="AF148" s="650"/>
      <c r="AG148" s="650"/>
      <c r="AH148" s="650"/>
      <c r="AI148" s="650"/>
      <c r="AJ148" s="650"/>
      <c r="AK148" s="650"/>
      <c r="AL148" s="650"/>
      <c r="AM148" s="650"/>
      <c r="AN148" s="650"/>
      <c r="AO148" s="653" t="s">
        <v>2112</v>
      </c>
      <c r="AP148" s="650"/>
      <c r="AQ148" s="650"/>
      <c r="AR148" s="650"/>
      <c r="AS148" s="650"/>
      <c r="AT148" s="650"/>
      <c r="AU148" s="650"/>
      <c r="AV148" s="650"/>
      <c r="AW148" s="650"/>
      <c r="AX148" s="650"/>
      <c r="AY148" s="650"/>
      <c r="AZ148" s="650"/>
      <c r="BA148" s="650"/>
      <c r="BB148" s="516"/>
      <c r="BC148" s="516"/>
      <c r="BD148" s="516"/>
      <c r="BE148" s="516"/>
      <c r="BF148" s="516"/>
      <c r="BG148" s="516"/>
      <c r="BH148" s="516"/>
      <c r="BI148" s="516"/>
      <c r="BJ148" s="516"/>
      <c r="BK148" s="516"/>
      <c r="BL148" s="516"/>
      <c r="BM148" s="516"/>
      <c r="BN148" s="516"/>
      <c r="BO148" s="516"/>
      <c r="BP148" s="516"/>
      <c r="BQ148" s="516"/>
      <c r="BR148" s="516"/>
      <c r="BS148" s="650"/>
      <c r="BT148" s="650"/>
      <c r="BU148" s="650"/>
      <c r="BV148" s="650"/>
      <c r="BW148" s="650"/>
      <c r="BX148" s="650"/>
      <c r="BY148" s="650"/>
      <c r="BZ148" s="650"/>
      <c r="CA148" s="650"/>
      <c r="CB148" s="651"/>
      <c r="CC148" s="581">
        <v>15</v>
      </c>
      <c r="CD148" s="580">
        <f t="shared" si="21"/>
        <v>140</v>
      </c>
      <c r="CE148" s="580">
        <f t="shared" si="22"/>
        <v>140</v>
      </c>
      <c r="CF148" s="580">
        <f t="shared" si="23"/>
        <v>140</v>
      </c>
      <c r="CG148" s="580">
        <f t="shared" si="24"/>
        <v>140</v>
      </c>
      <c r="CH148" s="580">
        <f t="shared" si="25"/>
        <v>0</v>
      </c>
      <c r="CI148" s="580">
        <f t="shared" si="43"/>
        <v>140</v>
      </c>
      <c r="CJ148" s="580">
        <f t="shared" si="26"/>
        <v>140</v>
      </c>
      <c r="CK148" s="580">
        <f t="shared" si="27"/>
        <v>140</v>
      </c>
      <c r="CL148" s="580">
        <f t="shared" si="28"/>
        <v>0</v>
      </c>
      <c r="CM148" s="580">
        <f t="shared" si="29"/>
        <v>0</v>
      </c>
      <c r="CN148" s="580">
        <f t="shared" si="30"/>
        <v>140</v>
      </c>
      <c r="CO148" s="580">
        <f t="shared" si="31"/>
        <v>140</v>
      </c>
      <c r="CP148" s="580">
        <f t="shared" si="32"/>
        <v>0</v>
      </c>
      <c r="CQ148" s="580">
        <f t="shared" si="33"/>
        <v>140</v>
      </c>
      <c r="CR148" s="580">
        <f t="shared" si="34"/>
        <v>-140</v>
      </c>
      <c r="CS148" s="580">
        <f t="shared" si="35"/>
        <v>0</v>
      </c>
      <c r="CT148" s="580">
        <f t="shared" si="36"/>
        <v>-140</v>
      </c>
      <c r="CU148" s="580">
        <f t="shared" si="37"/>
        <v>0</v>
      </c>
      <c r="CV148" s="580">
        <f t="shared" si="38"/>
        <v>-140</v>
      </c>
      <c r="CW148" s="580">
        <f t="shared" si="39"/>
        <v>140</v>
      </c>
      <c r="CX148" s="580">
        <f t="shared" si="40"/>
        <v>140</v>
      </c>
      <c r="CY148" s="580">
        <f t="shared" si="41"/>
        <v>140</v>
      </c>
      <c r="CZ148" s="580">
        <f t="shared" si="42"/>
        <v>140</v>
      </c>
      <c r="DC148" s="156"/>
      <c r="DD148" s="137"/>
      <c r="DE148" s="156"/>
      <c r="DF148" s="156"/>
      <c r="DG148" s="156"/>
      <c r="DH148" s="156"/>
      <c r="DI148" s="156"/>
      <c r="DJ148" s="156"/>
      <c r="DK148" s="156"/>
      <c r="DL148" s="156"/>
      <c r="DM148" s="156"/>
      <c r="DN148" s="156"/>
      <c r="DO148" s="156"/>
      <c r="DP148" s="156"/>
      <c r="DQ148" s="156"/>
      <c r="DR148" s="156"/>
      <c r="DS148" s="156"/>
      <c r="DT148" s="156"/>
      <c r="DU148" s="156"/>
      <c r="DV148" s="156"/>
      <c r="DW148" s="156"/>
      <c r="DX148" s="156"/>
      <c r="DY148" s="156"/>
      <c r="DZ148" s="156"/>
      <c r="EA148" s="156"/>
      <c r="EB148" s="156"/>
      <c r="EC148" s="156"/>
      <c r="ED148" s="156"/>
      <c r="EE148" s="156"/>
      <c r="EF148" s="156"/>
      <c r="EG148" s="156"/>
      <c r="EH148" s="156"/>
      <c r="EI148" s="156"/>
      <c r="EJ148" s="156"/>
      <c r="EK148" s="156"/>
      <c r="EL148" s="156"/>
      <c r="EM148" s="156"/>
      <c r="EN148" s="156"/>
      <c r="EO148" s="156"/>
      <c r="EP148" s="156"/>
      <c r="EQ148" s="156"/>
      <c r="ER148" s="156"/>
      <c r="ES148" s="156"/>
      <c r="ET148" s="156"/>
      <c r="EU148" s="156"/>
      <c r="EV148" s="156"/>
      <c r="EW148" s="156"/>
      <c r="EX148" s="156"/>
      <c r="EY148" s="156"/>
      <c r="EZ148" s="156"/>
      <c r="FA148" s="156"/>
      <c r="FB148" s="156"/>
      <c r="FC148" s="156"/>
      <c r="FD148" s="156"/>
      <c r="FE148" s="156"/>
      <c r="FF148" s="156"/>
      <c r="FG148" s="156"/>
      <c r="FL148" s="157" t="s">
        <v>371</v>
      </c>
      <c r="FM148" s="144">
        <v>9</v>
      </c>
      <c r="FN148" s="138" t="s">
        <v>310</v>
      </c>
      <c r="FO148" s="145">
        <v>7</v>
      </c>
    </row>
    <row r="149" spans="1:171" s="1" customFormat="1" ht="11.25" customHeight="1">
      <c r="A149" s="715"/>
      <c r="B149" s="2548"/>
      <c r="C149" s="516"/>
      <c r="D149" s="516"/>
      <c r="E149" s="516"/>
      <c r="F149" s="516"/>
      <c r="G149" s="516"/>
      <c r="H149" s="516"/>
      <c r="I149" s="516"/>
      <c r="J149" s="516"/>
      <c r="K149" s="516"/>
      <c r="L149" s="516"/>
      <c r="M149" s="516"/>
      <c r="N149" s="516"/>
      <c r="O149" s="516"/>
      <c r="P149" s="516"/>
      <c r="Q149" s="516"/>
      <c r="R149" s="516"/>
      <c r="S149" s="516"/>
      <c r="T149" s="516"/>
      <c r="U149" s="516"/>
      <c r="V149" s="516"/>
      <c r="W149" s="516"/>
      <c r="X149" s="516"/>
      <c r="Y149" s="516"/>
      <c r="Z149" s="516"/>
      <c r="AA149" s="516"/>
      <c r="AB149" s="516"/>
      <c r="AC149" s="516"/>
      <c r="AD149" s="516"/>
      <c r="AE149" s="516"/>
      <c r="AF149" s="516"/>
      <c r="AG149" s="516"/>
      <c r="AH149" s="516"/>
      <c r="AI149" s="516"/>
      <c r="AJ149" s="516"/>
      <c r="AK149" s="516"/>
      <c r="AL149" s="516"/>
      <c r="AM149" s="516"/>
      <c r="AN149" s="516"/>
      <c r="AO149" s="516"/>
      <c r="AP149" s="516"/>
      <c r="AQ149" s="516"/>
      <c r="AR149" s="516"/>
      <c r="AS149" s="516"/>
      <c r="AT149" s="516"/>
      <c r="AU149" s="516"/>
      <c r="AV149" s="516"/>
      <c r="AW149" s="516"/>
      <c r="AX149" s="516"/>
      <c r="AY149" s="516"/>
      <c r="AZ149" s="516"/>
      <c r="BA149" s="516"/>
      <c r="BB149" s="516"/>
      <c r="BC149" s="516"/>
      <c r="BD149" s="516"/>
      <c r="BE149" s="516"/>
      <c r="BF149" s="516"/>
      <c r="BG149" s="516"/>
      <c r="BH149" s="516"/>
      <c r="BI149" s="516"/>
      <c r="BJ149" s="516"/>
      <c r="BK149" s="516"/>
      <c r="BL149" s="516"/>
      <c r="BM149" s="516"/>
      <c r="BN149" s="516"/>
      <c r="BO149" s="516"/>
      <c r="BP149" s="516"/>
      <c r="BQ149" s="516"/>
      <c r="BR149" s="516"/>
      <c r="BS149" s="650"/>
      <c r="BT149" s="650"/>
      <c r="BU149" s="650"/>
      <c r="BV149" s="650"/>
      <c r="BW149" s="650"/>
      <c r="BX149" s="650"/>
      <c r="BY149" s="650"/>
      <c r="BZ149" s="650"/>
      <c r="CA149" s="650"/>
      <c r="CB149" s="651"/>
      <c r="CC149" s="581">
        <v>16</v>
      </c>
      <c r="CD149" s="580">
        <f t="shared" si="21"/>
        <v>140</v>
      </c>
      <c r="CE149" s="580">
        <f t="shared" si="22"/>
        <v>140</v>
      </c>
      <c r="CF149" s="580">
        <f t="shared" si="23"/>
        <v>140</v>
      </c>
      <c r="CG149" s="580">
        <f t="shared" si="24"/>
        <v>140</v>
      </c>
      <c r="CH149" s="580">
        <f t="shared" si="25"/>
        <v>0</v>
      </c>
      <c r="CI149" s="580">
        <f t="shared" si="43"/>
        <v>140</v>
      </c>
      <c r="CJ149" s="580">
        <f t="shared" si="26"/>
        <v>140</v>
      </c>
      <c r="CK149" s="580">
        <f t="shared" si="27"/>
        <v>140</v>
      </c>
      <c r="CL149" s="580">
        <f t="shared" si="28"/>
        <v>0</v>
      </c>
      <c r="CM149" s="580">
        <f t="shared" si="29"/>
        <v>0</v>
      </c>
      <c r="CN149" s="580">
        <f t="shared" si="30"/>
        <v>140</v>
      </c>
      <c r="CO149" s="580">
        <f t="shared" si="31"/>
        <v>140</v>
      </c>
      <c r="CP149" s="580">
        <f t="shared" si="32"/>
        <v>0</v>
      </c>
      <c r="CQ149" s="580">
        <f t="shared" si="33"/>
        <v>140</v>
      </c>
      <c r="CR149" s="580">
        <f t="shared" si="34"/>
        <v>-140</v>
      </c>
      <c r="CS149" s="580">
        <f t="shared" si="35"/>
        <v>0</v>
      </c>
      <c r="CT149" s="580">
        <f t="shared" si="36"/>
        <v>-140</v>
      </c>
      <c r="CU149" s="580">
        <f t="shared" si="37"/>
        <v>0</v>
      </c>
      <c r="CV149" s="580">
        <f t="shared" si="38"/>
        <v>-140</v>
      </c>
      <c r="CW149" s="580">
        <f t="shared" si="39"/>
        <v>140</v>
      </c>
      <c r="CX149" s="580">
        <f t="shared" si="40"/>
        <v>140</v>
      </c>
      <c r="CY149" s="580">
        <f t="shared" si="41"/>
        <v>140</v>
      </c>
      <c r="CZ149" s="580">
        <f t="shared" si="42"/>
        <v>140</v>
      </c>
      <c r="DC149" s="156"/>
      <c r="DD149" s="137"/>
      <c r="DE149" s="156"/>
      <c r="DF149" s="156"/>
      <c r="DG149" s="156"/>
      <c r="DH149" s="156"/>
      <c r="DI149" s="156"/>
      <c r="DJ149" s="156"/>
      <c r="DK149" s="156"/>
      <c r="DL149" s="156"/>
      <c r="DM149" s="156"/>
      <c r="DN149" s="156"/>
      <c r="DO149" s="156"/>
      <c r="DP149" s="156"/>
      <c r="DQ149" s="156"/>
      <c r="DR149" s="156"/>
      <c r="DS149" s="156"/>
      <c r="DT149" s="156"/>
      <c r="DU149" s="156"/>
      <c r="DV149" s="156"/>
      <c r="DW149" s="156"/>
      <c r="DX149" s="156"/>
      <c r="DY149" s="156"/>
      <c r="DZ149" s="156"/>
      <c r="EA149" s="156"/>
      <c r="EB149" s="156"/>
      <c r="EC149" s="156"/>
      <c r="ED149" s="156"/>
      <c r="EE149" s="156"/>
      <c r="EF149" s="156"/>
      <c r="EG149" s="156"/>
      <c r="EH149" s="156"/>
      <c r="EI149" s="156"/>
      <c r="EJ149" s="156"/>
      <c r="EK149" s="156"/>
      <c r="EL149" s="156"/>
      <c r="EM149" s="156"/>
      <c r="EN149" s="156"/>
      <c r="EO149" s="156"/>
      <c r="EP149" s="156"/>
      <c r="EQ149" s="156"/>
      <c r="ER149" s="156"/>
      <c r="ES149" s="156"/>
      <c r="ET149" s="156"/>
      <c r="EU149" s="156"/>
      <c r="EV149" s="156"/>
      <c r="EW149" s="156"/>
      <c r="EX149" s="156"/>
      <c r="EY149" s="156"/>
      <c r="EZ149" s="156"/>
      <c r="FA149" s="156"/>
      <c r="FB149" s="156"/>
      <c r="FC149" s="156"/>
      <c r="FD149" s="156"/>
      <c r="FE149" s="156"/>
      <c r="FF149" s="156"/>
      <c r="FG149" s="156"/>
      <c r="FL149" s="158" t="s">
        <v>372</v>
      </c>
      <c r="FM149" s="159"/>
      <c r="FN149" s="151"/>
      <c r="FO149" s="154"/>
    </row>
    <row r="150" spans="1:171" s="1" customFormat="1" ht="11.25" customHeight="1">
      <c r="A150" s="715"/>
      <c r="B150" s="2548"/>
      <c r="C150" s="516"/>
      <c r="D150" s="516"/>
      <c r="E150" s="885" t="s">
        <v>2141</v>
      </c>
      <c r="F150" s="650"/>
      <c r="G150" s="650"/>
      <c r="H150" s="650"/>
      <c r="I150" s="650"/>
      <c r="J150" s="650"/>
      <c r="K150" s="650"/>
      <c r="L150" s="650"/>
      <c r="M150" s="650"/>
      <c r="N150" s="650"/>
      <c r="O150" s="653" t="s">
        <v>2113</v>
      </c>
      <c r="P150" s="650"/>
      <c r="Q150" s="650"/>
      <c r="R150" s="650"/>
      <c r="S150" s="650"/>
      <c r="T150" s="650"/>
      <c r="U150" s="650"/>
      <c r="V150" s="650"/>
      <c r="W150" s="650"/>
      <c r="X150" s="650"/>
      <c r="Y150" s="650"/>
      <c r="Z150" s="650"/>
      <c r="AA150" s="650"/>
      <c r="AB150" s="650"/>
      <c r="AC150" s="650"/>
      <c r="AD150" s="653"/>
      <c r="AE150" s="650"/>
      <c r="AF150" s="650"/>
      <c r="AG150" s="650"/>
      <c r="AH150" s="650"/>
      <c r="AI150" s="650"/>
      <c r="AJ150" s="650"/>
      <c r="AK150" s="650"/>
      <c r="AL150" s="650"/>
      <c r="AM150" s="650"/>
      <c r="AN150" s="650"/>
      <c r="AO150" s="653" t="s">
        <v>2114</v>
      </c>
      <c r="AP150" s="650"/>
      <c r="AQ150" s="650"/>
      <c r="AR150" s="516"/>
      <c r="AS150" s="516"/>
      <c r="AT150" s="516"/>
      <c r="AU150" s="516"/>
      <c r="AV150" s="516"/>
      <c r="AW150" s="516"/>
      <c r="AX150" s="516"/>
      <c r="AY150" s="516"/>
      <c r="AZ150" s="516"/>
      <c r="BA150" s="516"/>
      <c r="BB150" s="516"/>
      <c r="BC150" s="516"/>
      <c r="BD150" s="516"/>
      <c r="BE150" s="654" t="s">
        <v>2115</v>
      </c>
      <c r="BF150" s="516"/>
      <c r="BG150" s="516"/>
      <c r="BH150" s="516"/>
      <c r="BI150" s="516"/>
      <c r="BJ150" s="516"/>
      <c r="BK150" s="516"/>
      <c r="BL150" s="516"/>
      <c r="BM150" s="516"/>
      <c r="BN150" s="516"/>
      <c r="BO150" s="516"/>
      <c r="BP150" s="516"/>
      <c r="BQ150" s="516"/>
      <c r="BR150" s="516"/>
      <c r="BS150" s="516"/>
      <c r="BT150" s="516"/>
      <c r="BU150" s="516"/>
      <c r="BV150" s="516"/>
      <c r="BW150" s="516"/>
      <c r="BX150" s="516"/>
      <c r="BY150" s="516"/>
      <c r="BZ150" s="516"/>
      <c r="CA150" s="516"/>
      <c r="CB150" s="517"/>
      <c r="CC150" s="581">
        <v>17</v>
      </c>
      <c r="CD150" s="580">
        <f t="shared" si="21"/>
        <v>0</v>
      </c>
      <c r="CE150" s="580">
        <f t="shared" si="22"/>
        <v>0</v>
      </c>
      <c r="CF150" s="580">
        <f t="shared" si="23"/>
        <v>0</v>
      </c>
      <c r="CG150" s="580">
        <f t="shared" si="24"/>
        <v>0</v>
      </c>
      <c r="CH150" s="580">
        <f t="shared" si="25"/>
        <v>0</v>
      </c>
      <c r="CI150" s="580">
        <f t="shared" si="43"/>
        <v>0</v>
      </c>
      <c r="CJ150" s="580">
        <f t="shared" si="26"/>
        <v>0</v>
      </c>
      <c r="CK150" s="580">
        <f t="shared" si="27"/>
        <v>0</v>
      </c>
      <c r="CL150" s="580">
        <f t="shared" si="28"/>
        <v>0</v>
      </c>
      <c r="CM150" s="580">
        <f t="shared" si="29"/>
        <v>0</v>
      </c>
      <c r="CN150" s="580">
        <f t="shared" si="30"/>
        <v>0</v>
      </c>
      <c r="CO150" s="580">
        <f t="shared" si="31"/>
        <v>0</v>
      </c>
      <c r="CP150" s="580">
        <f t="shared" si="32"/>
        <v>0</v>
      </c>
      <c r="CQ150" s="580">
        <f t="shared" si="33"/>
        <v>0</v>
      </c>
      <c r="CR150" s="580">
        <f t="shared" si="34"/>
        <v>0</v>
      </c>
      <c r="CS150" s="580">
        <f t="shared" si="35"/>
        <v>0</v>
      </c>
      <c r="CT150" s="580">
        <f t="shared" si="36"/>
        <v>0</v>
      </c>
      <c r="CU150" s="580">
        <f t="shared" si="37"/>
        <v>0</v>
      </c>
      <c r="CV150" s="580">
        <f t="shared" si="38"/>
        <v>0</v>
      </c>
      <c r="CW150" s="580">
        <f t="shared" si="39"/>
        <v>0</v>
      </c>
      <c r="CX150" s="580">
        <f t="shared" si="40"/>
        <v>0</v>
      </c>
      <c r="CY150" s="580">
        <f t="shared" si="41"/>
        <v>0</v>
      </c>
      <c r="CZ150" s="580">
        <f t="shared" si="42"/>
        <v>0</v>
      </c>
      <c r="DC150" s="156"/>
      <c r="DD150" s="137"/>
      <c r="DE150" s="156"/>
      <c r="DF150" s="156"/>
      <c r="DG150" s="156"/>
      <c r="DH150" s="156"/>
      <c r="DI150" s="156"/>
      <c r="DJ150" s="156"/>
      <c r="DK150" s="156"/>
      <c r="DL150" s="156"/>
      <c r="DM150" s="156"/>
      <c r="DN150" s="156"/>
      <c r="DO150" s="156"/>
      <c r="DP150" s="156"/>
      <c r="DQ150" s="156"/>
      <c r="DR150" s="156"/>
      <c r="DS150" s="156"/>
      <c r="DT150" s="156"/>
      <c r="DU150" s="156"/>
      <c r="DV150" s="156"/>
      <c r="DW150" s="156"/>
      <c r="DX150" s="156"/>
      <c r="DY150" s="156"/>
      <c r="DZ150" s="156"/>
      <c r="EA150" s="156"/>
      <c r="EB150" s="156"/>
      <c r="EC150" s="156"/>
      <c r="ED150" s="156"/>
      <c r="EE150" s="156"/>
      <c r="EF150" s="156"/>
      <c r="EG150" s="156"/>
      <c r="EH150" s="156"/>
      <c r="EI150" s="156"/>
      <c r="EJ150" s="156"/>
      <c r="EK150" s="156"/>
      <c r="EL150" s="156"/>
      <c r="EM150" s="156"/>
      <c r="EN150" s="156"/>
      <c r="EO150" s="156"/>
      <c r="EP150" s="156"/>
      <c r="EQ150" s="156"/>
      <c r="ER150" s="156"/>
      <c r="ES150" s="156"/>
      <c r="ET150" s="156"/>
      <c r="EU150" s="156"/>
      <c r="EV150" s="156"/>
      <c r="EW150" s="156"/>
      <c r="EX150" s="156"/>
      <c r="EY150" s="156"/>
      <c r="EZ150" s="156"/>
      <c r="FA150" s="156"/>
      <c r="FB150" s="156"/>
      <c r="FC150" s="156"/>
      <c r="FD150" s="156"/>
      <c r="FE150" s="156"/>
      <c r="FF150" s="156"/>
      <c r="FG150" s="156"/>
      <c r="FL150" s="157" t="s">
        <v>373</v>
      </c>
      <c r="FM150" s="144">
        <v>9</v>
      </c>
      <c r="FN150" s="138" t="s">
        <v>318</v>
      </c>
      <c r="FO150" s="145">
        <v>4</v>
      </c>
    </row>
    <row r="151" spans="1:171" s="1" customFormat="1" ht="11.25" customHeight="1">
      <c r="A151" s="715"/>
      <c r="B151" s="2548"/>
      <c r="C151" s="516"/>
      <c r="D151" s="516"/>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c r="AB151" s="516"/>
      <c r="AC151" s="516"/>
      <c r="AD151" s="516"/>
      <c r="AE151" s="516"/>
      <c r="AF151" s="516"/>
      <c r="AG151" s="516"/>
      <c r="AH151" s="516"/>
      <c r="AI151" s="516"/>
      <c r="AJ151" s="516"/>
      <c r="AK151" s="516"/>
      <c r="AL151" s="516"/>
      <c r="AM151" s="516"/>
      <c r="AN151" s="516"/>
      <c r="AO151" s="516"/>
      <c r="AP151" s="516"/>
      <c r="AQ151" s="516"/>
      <c r="AR151" s="516"/>
      <c r="AS151" s="516"/>
      <c r="AT151" s="516"/>
      <c r="AU151" s="516"/>
      <c r="AV151" s="516"/>
      <c r="AW151" s="516"/>
      <c r="AX151" s="516"/>
      <c r="AY151" s="516"/>
      <c r="AZ151" s="516"/>
      <c r="BA151" s="516"/>
      <c r="BB151" s="516"/>
      <c r="BC151" s="516"/>
      <c r="BD151" s="516"/>
      <c r="BE151" s="516"/>
      <c r="BF151" s="516"/>
      <c r="BG151" s="516"/>
      <c r="BH151" s="516"/>
      <c r="BI151" s="516"/>
      <c r="BJ151" s="516"/>
      <c r="BK151" s="516"/>
      <c r="BL151" s="516"/>
      <c r="BM151" s="516"/>
      <c r="BN151" s="516"/>
      <c r="BO151" s="516"/>
      <c r="BP151" s="516"/>
      <c r="BQ151" s="516"/>
      <c r="BR151" s="516"/>
      <c r="BS151" s="516"/>
      <c r="BT151" s="516"/>
      <c r="BU151" s="516"/>
      <c r="BV151" s="516"/>
      <c r="BW151" s="516"/>
      <c r="BX151" s="516"/>
      <c r="BY151" s="516"/>
      <c r="BZ151" s="516"/>
      <c r="CA151" s="516"/>
      <c r="CB151" s="517"/>
      <c r="CC151" s="581">
        <v>18</v>
      </c>
      <c r="CD151" s="580">
        <f t="shared" si="21"/>
        <v>0</v>
      </c>
      <c r="CE151" s="580">
        <f t="shared" si="22"/>
        <v>0</v>
      </c>
      <c r="CF151" s="580">
        <f t="shared" si="23"/>
        <v>0</v>
      </c>
      <c r="CG151" s="580">
        <f t="shared" si="24"/>
        <v>0</v>
      </c>
      <c r="CH151" s="580">
        <f t="shared" si="25"/>
        <v>0</v>
      </c>
      <c r="CI151" s="580">
        <f t="shared" si="43"/>
        <v>0</v>
      </c>
      <c r="CJ151" s="580">
        <f t="shared" si="26"/>
        <v>0</v>
      </c>
      <c r="CK151" s="580">
        <f t="shared" si="27"/>
        <v>0</v>
      </c>
      <c r="CL151" s="580">
        <f t="shared" si="28"/>
        <v>0</v>
      </c>
      <c r="CM151" s="580">
        <f t="shared" si="29"/>
        <v>0</v>
      </c>
      <c r="CN151" s="580">
        <f t="shared" si="30"/>
        <v>0</v>
      </c>
      <c r="CO151" s="580">
        <f t="shared" si="31"/>
        <v>0</v>
      </c>
      <c r="CP151" s="580">
        <f t="shared" si="32"/>
        <v>0</v>
      </c>
      <c r="CQ151" s="580">
        <f t="shared" si="33"/>
        <v>0</v>
      </c>
      <c r="CR151" s="580">
        <f t="shared" si="34"/>
        <v>0</v>
      </c>
      <c r="CS151" s="580">
        <f t="shared" si="35"/>
        <v>0</v>
      </c>
      <c r="CT151" s="580">
        <f t="shared" si="36"/>
        <v>0</v>
      </c>
      <c r="CU151" s="580">
        <f t="shared" si="37"/>
        <v>0</v>
      </c>
      <c r="CV151" s="580">
        <f t="shared" si="38"/>
        <v>0</v>
      </c>
      <c r="CW151" s="580">
        <f t="shared" si="39"/>
        <v>0</v>
      </c>
      <c r="CX151" s="580">
        <f t="shared" si="40"/>
        <v>0</v>
      </c>
      <c r="CY151" s="580">
        <f t="shared" si="41"/>
        <v>0</v>
      </c>
      <c r="CZ151" s="580">
        <f t="shared" si="42"/>
        <v>0</v>
      </c>
      <c r="DC151" s="156"/>
      <c r="DD151" s="137"/>
      <c r="DE151" s="156"/>
      <c r="DF151" s="156"/>
      <c r="DG151" s="156"/>
      <c r="DH151" s="156"/>
      <c r="DI151" s="156"/>
      <c r="DJ151" s="156"/>
      <c r="DK151" s="156"/>
      <c r="DL151" s="156"/>
      <c r="DM151" s="156"/>
      <c r="DN151" s="156"/>
      <c r="DO151" s="156"/>
      <c r="DP151" s="156"/>
      <c r="DQ151" s="156"/>
      <c r="DR151" s="156"/>
      <c r="DS151" s="156"/>
      <c r="DT151" s="156"/>
      <c r="DU151" s="156"/>
      <c r="DV151" s="156"/>
      <c r="DW151" s="156"/>
      <c r="DX151" s="156"/>
      <c r="DY151" s="156"/>
      <c r="DZ151" s="156"/>
      <c r="EA151" s="156"/>
      <c r="EB151" s="156"/>
      <c r="EC151" s="156"/>
      <c r="ED151" s="156"/>
      <c r="EE151" s="156"/>
      <c r="EF151" s="156"/>
      <c r="EG151" s="156"/>
      <c r="EH151" s="156"/>
      <c r="EI151" s="156"/>
      <c r="EJ151" s="156"/>
      <c r="EK151" s="156"/>
      <c r="EL151" s="156"/>
      <c r="EM151" s="156"/>
      <c r="EN151" s="156"/>
      <c r="EO151" s="156"/>
      <c r="EP151" s="156"/>
      <c r="EQ151" s="156"/>
      <c r="ER151" s="156"/>
      <c r="ES151" s="156"/>
      <c r="ET151" s="156"/>
      <c r="EU151" s="156"/>
      <c r="EV151" s="156"/>
      <c r="EW151" s="156"/>
      <c r="EX151" s="156"/>
      <c r="EY151" s="156"/>
      <c r="EZ151" s="156"/>
      <c r="FA151" s="156"/>
      <c r="FB151" s="156"/>
      <c r="FC151" s="156"/>
      <c r="FD151" s="156"/>
      <c r="FE151" s="156"/>
      <c r="FF151" s="156"/>
      <c r="FG151" s="156"/>
      <c r="FL151" s="157" t="s">
        <v>374</v>
      </c>
      <c r="FM151" s="144">
        <v>9</v>
      </c>
      <c r="FN151" s="138" t="s">
        <v>318</v>
      </c>
      <c r="FO151" s="145">
        <v>5</v>
      </c>
    </row>
    <row r="152" spans="1:171" s="1" customFormat="1" ht="11.25" customHeight="1">
      <c r="A152" s="715"/>
      <c r="B152" s="2548"/>
      <c r="C152" s="516"/>
      <c r="D152" s="516"/>
      <c r="E152" s="885" t="s">
        <v>2140</v>
      </c>
      <c r="F152" s="650"/>
      <c r="G152" s="650"/>
      <c r="H152" s="650"/>
      <c r="I152" s="650"/>
      <c r="J152" s="650"/>
      <c r="K152" s="650"/>
      <c r="L152" s="650"/>
      <c r="M152" s="650"/>
      <c r="N152" s="650"/>
      <c r="O152" s="653" t="s">
        <v>2116</v>
      </c>
      <c r="P152" s="650"/>
      <c r="Q152" s="650"/>
      <c r="R152" s="650"/>
      <c r="S152" s="650"/>
      <c r="T152" s="516"/>
      <c r="U152" s="516"/>
      <c r="V152" s="516"/>
      <c r="W152" s="516"/>
      <c r="X152" s="516"/>
      <c r="Y152" s="516"/>
      <c r="Z152" s="516"/>
      <c r="AA152" s="516"/>
      <c r="AB152" s="516"/>
      <c r="AC152" s="516"/>
      <c r="AD152" s="516"/>
      <c r="AE152" s="516"/>
      <c r="AF152" s="516"/>
      <c r="AG152" s="516"/>
      <c r="AH152" s="516"/>
      <c r="AI152" s="516"/>
      <c r="AJ152" s="516"/>
      <c r="AK152" s="516"/>
      <c r="AL152" s="516"/>
      <c r="AM152" s="516"/>
      <c r="AN152" s="654"/>
      <c r="AO152" s="653" t="s">
        <v>2117</v>
      </c>
      <c r="AP152" s="516"/>
      <c r="AQ152" s="516"/>
      <c r="AR152" s="516"/>
      <c r="AS152" s="516"/>
      <c r="AT152" s="516"/>
      <c r="AU152" s="516"/>
      <c r="AV152" s="516"/>
      <c r="AW152" s="516"/>
      <c r="AX152" s="516"/>
      <c r="AY152" s="516"/>
      <c r="AZ152" s="516"/>
      <c r="BA152" s="516"/>
      <c r="BB152" s="516"/>
      <c r="BC152" s="516"/>
      <c r="BD152" s="516"/>
      <c r="BE152" s="516"/>
      <c r="BF152" s="516"/>
      <c r="BG152" s="516"/>
      <c r="BH152" s="516"/>
      <c r="BI152" s="516"/>
      <c r="BJ152" s="516"/>
      <c r="BK152" s="516"/>
      <c r="BL152" s="516"/>
      <c r="BM152" s="516"/>
      <c r="BN152" s="516"/>
      <c r="BO152" s="516"/>
      <c r="BP152" s="516"/>
      <c r="BQ152" s="516"/>
      <c r="BR152" s="516"/>
      <c r="BS152" s="516"/>
      <c r="BT152" s="516"/>
      <c r="BU152" s="516"/>
      <c r="BV152" s="516"/>
      <c r="BW152" s="516"/>
      <c r="BX152" s="516"/>
      <c r="BY152" s="516"/>
      <c r="BZ152" s="516"/>
      <c r="CA152" s="516"/>
      <c r="CB152" s="517"/>
      <c r="CC152" s="581">
        <v>19</v>
      </c>
      <c r="CD152" s="580">
        <f t="shared" si="21"/>
        <v>0</v>
      </c>
      <c r="CE152" s="580">
        <f t="shared" si="22"/>
        <v>0</v>
      </c>
      <c r="CF152" s="580">
        <f t="shared" si="23"/>
        <v>0</v>
      </c>
      <c r="CG152" s="580">
        <f t="shared" si="24"/>
        <v>0</v>
      </c>
      <c r="CH152" s="580">
        <f t="shared" si="25"/>
        <v>0</v>
      </c>
      <c r="CI152" s="580">
        <f t="shared" si="43"/>
        <v>0</v>
      </c>
      <c r="CJ152" s="580">
        <f t="shared" si="26"/>
        <v>0</v>
      </c>
      <c r="CK152" s="580">
        <f t="shared" si="27"/>
        <v>0</v>
      </c>
      <c r="CL152" s="580">
        <f t="shared" si="28"/>
        <v>0</v>
      </c>
      <c r="CM152" s="580">
        <f t="shared" si="29"/>
        <v>0</v>
      </c>
      <c r="CN152" s="580">
        <f t="shared" si="30"/>
        <v>0</v>
      </c>
      <c r="CO152" s="580">
        <f t="shared" si="31"/>
        <v>0</v>
      </c>
      <c r="CP152" s="580">
        <f t="shared" si="32"/>
        <v>0</v>
      </c>
      <c r="CQ152" s="580">
        <f t="shared" si="33"/>
        <v>0</v>
      </c>
      <c r="CR152" s="580">
        <f t="shared" si="34"/>
        <v>0</v>
      </c>
      <c r="CS152" s="580">
        <f t="shared" si="35"/>
        <v>0</v>
      </c>
      <c r="CT152" s="580">
        <f t="shared" si="36"/>
        <v>0</v>
      </c>
      <c r="CU152" s="580">
        <f t="shared" si="37"/>
        <v>0</v>
      </c>
      <c r="CV152" s="580">
        <f t="shared" si="38"/>
        <v>0</v>
      </c>
      <c r="CW152" s="580">
        <f t="shared" si="39"/>
        <v>0</v>
      </c>
      <c r="CX152" s="580">
        <f t="shared" si="40"/>
        <v>0</v>
      </c>
      <c r="CY152" s="580">
        <f t="shared" si="41"/>
        <v>0</v>
      </c>
      <c r="CZ152" s="580">
        <f t="shared" si="42"/>
        <v>0</v>
      </c>
      <c r="DC152" s="156"/>
      <c r="DD152" s="137"/>
      <c r="DE152" s="156"/>
      <c r="DF152" s="156"/>
      <c r="DG152" s="156"/>
      <c r="DH152" s="156"/>
      <c r="DI152" s="156"/>
      <c r="DJ152" s="156"/>
      <c r="DK152" s="156"/>
      <c r="DL152" s="156"/>
      <c r="DM152" s="156"/>
      <c r="DN152" s="156"/>
      <c r="DO152" s="156"/>
      <c r="DP152" s="156"/>
      <c r="DQ152" s="156"/>
      <c r="DR152" s="156"/>
      <c r="DS152" s="156"/>
      <c r="DT152" s="156"/>
      <c r="DU152" s="156"/>
      <c r="DV152" s="156"/>
      <c r="DW152" s="156"/>
      <c r="DX152" s="156"/>
      <c r="DY152" s="156"/>
      <c r="DZ152" s="156"/>
      <c r="EA152" s="156"/>
      <c r="EB152" s="156"/>
      <c r="EC152" s="156"/>
      <c r="ED152" s="156"/>
      <c r="EE152" s="156"/>
      <c r="EF152" s="156"/>
      <c r="EG152" s="156"/>
      <c r="EH152" s="156"/>
      <c r="EI152" s="156"/>
      <c r="EJ152" s="156"/>
      <c r="EK152" s="156"/>
      <c r="EL152" s="156"/>
      <c r="EM152" s="156"/>
      <c r="EN152" s="156"/>
      <c r="EO152" s="156"/>
      <c r="EP152" s="156"/>
      <c r="EQ152" s="156"/>
      <c r="ER152" s="156"/>
      <c r="ES152" s="156"/>
      <c r="ET152" s="156"/>
      <c r="EU152" s="156"/>
      <c r="EV152" s="156"/>
      <c r="EW152" s="156"/>
      <c r="EX152" s="156"/>
      <c r="EY152" s="156"/>
      <c r="EZ152" s="156"/>
      <c r="FA152" s="156"/>
      <c r="FB152" s="156"/>
      <c r="FC152" s="156"/>
      <c r="FD152" s="156"/>
      <c r="FE152" s="156"/>
      <c r="FF152" s="156"/>
      <c r="FG152" s="156"/>
      <c r="FL152" s="157" t="s">
        <v>375</v>
      </c>
      <c r="FM152" s="144">
        <v>9</v>
      </c>
      <c r="FN152" s="138" t="s">
        <v>318</v>
      </c>
      <c r="FO152" s="145">
        <v>4</v>
      </c>
    </row>
    <row r="153" spans="1:171" s="1" customFormat="1" ht="11.25" customHeight="1">
      <c r="A153" s="715"/>
      <c r="B153" s="2548"/>
      <c r="C153" s="516"/>
      <c r="D153" s="516"/>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c r="AA153" s="516"/>
      <c r="AB153" s="516"/>
      <c r="AC153" s="516"/>
      <c r="AD153" s="516"/>
      <c r="AE153" s="516"/>
      <c r="AF153" s="516"/>
      <c r="AG153" s="516"/>
      <c r="AH153" s="516"/>
      <c r="AI153" s="516"/>
      <c r="AJ153" s="516"/>
      <c r="AK153" s="516"/>
      <c r="AL153" s="516"/>
      <c r="AM153" s="516"/>
      <c r="AN153" s="516"/>
      <c r="AO153" s="516"/>
      <c r="AP153" s="516"/>
      <c r="AQ153" s="516"/>
      <c r="AR153" s="516"/>
      <c r="AS153" s="516"/>
      <c r="AT153" s="516"/>
      <c r="AU153" s="516"/>
      <c r="AV153" s="516"/>
      <c r="AW153" s="516"/>
      <c r="AX153" s="516"/>
      <c r="AY153" s="516"/>
      <c r="AZ153" s="516"/>
      <c r="BA153" s="516"/>
      <c r="BB153" s="516"/>
      <c r="BC153" s="516"/>
      <c r="BD153" s="516"/>
      <c r="BE153" s="516"/>
      <c r="BF153" s="516"/>
      <c r="BG153" s="516"/>
      <c r="BH153" s="516"/>
      <c r="BI153" s="516"/>
      <c r="BJ153" s="516"/>
      <c r="BK153" s="516"/>
      <c r="BL153" s="516"/>
      <c r="BM153" s="516"/>
      <c r="BN153" s="516"/>
      <c r="BO153" s="516"/>
      <c r="BP153" s="516"/>
      <c r="BQ153" s="516"/>
      <c r="BR153" s="516"/>
      <c r="BS153" s="516"/>
      <c r="BT153" s="516"/>
      <c r="BU153" s="516"/>
      <c r="BV153" s="516"/>
      <c r="BW153" s="516"/>
      <c r="BX153" s="516"/>
      <c r="BY153" s="516"/>
      <c r="BZ153" s="516"/>
      <c r="CA153" s="516"/>
      <c r="CB153" s="517"/>
      <c r="CC153" s="581">
        <v>20</v>
      </c>
      <c r="CD153" s="580">
        <f t="shared" si="21"/>
        <v>0</v>
      </c>
      <c r="CE153" s="580">
        <f t="shared" si="22"/>
        <v>0</v>
      </c>
      <c r="CF153" s="580">
        <f t="shared" si="23"/>
        <v>0</v>
      </c>
      <c r="CG153" s="580">
        <f t="shared" si="24"/>
        <v>0</v>
      </c>
      <c r="CH153" s="580">
        <f t="shared" si="25"/>
        <v>0</v>
      </c>
      <c r="CI153" s="580">
        <f t="shared" si="43"/>
        <v>0</v>
      </c>
      <c r="CJ153" s="580">
        <f t="shared" si="26"/>
        <v>0</v>
      </c>
      <c r="CK153" s="580">
        <f t="shared" si="27"/>
        <v>0</v>
      </c>
      <c r="CL153" s="580">
        <f t="shared" si="28"/>
        <v>0</v>
      </c>
      <c r="CM153" s="580">
        <f t="shared" si="29"/>
        <v>0</v>
      </c>
      <c r="CN153" s="580">
        <f t="shared" si="30"/>
        <v>0</v>
      </c>
      <c r="CO153" s="580">
        <f t="shared" si="31"/>
        <v>0</v>
      </c>
      <c r="CP153" s="580">
        <f t="shared" si="32"/>
        <v>0</v>
      </c>
      <c r="CQ153" s="580">
        <f t="shared" si="33"/>
        <v>0</v>
      </c>
      <c r="CR153" s="580">
        <f t="shared" si="34"/>
        <v>0</v>
      </c>
      <c r="CS153" s="580">
        <f t="shared" si="35"/>
        <v>0</v>
      </c>
      <c r="CT153" s="580">
        <f t="shared" si="36"/>
        <v>0</v>
      </c>
      <c r="CU153" s="580">
        <f t="shared" si="37"/>
        <v>0</v>
      </c>
      <c r="CV153" s="580">
        <f t="shared" si="38"/>
        <v>0</v>
      </c>
      <c r="CW153" s="580">
        <f t="shared" si="39"/>
        <v>0</v>
      </c>
      <c r="CX153" s="580">
        <f t="shared" si="40"/>
        <v>0</v>
      </c>
      <c r="CY153" s="580">
        <f t="shared" si="41"/>
        <v>0</v>
      </c>
      <c r="CZ153" s="580">
        <f t="shared" si="42"/>
        <v>0</v>
      </c>
      <c r="DC153" s="156"/>
      <c r="DD153" s="137"/>
      <c r="DE153" s="156"/>
      <c r="DF153" s="156"/>
      <c r="DG153" s="156"/>
      <c r="DH153" s="156"/>
      <c r="DI153" s="156"/>
      <c r="DJ153" s="156"/>
      <c r="DK153" s="156"/>
      <c r="DL153" s="156"/>
      <c r="DM153" s="156"/>
      <c r="DN153" s="156"/>
      <c r="DO153" s="156"/>
      <c r="DP153" s="156"/>
      <c r="DQ153" s="156"/>
      <c r="DR153" s="156"/>
      <c r="DS153" s="156"/>
      <c r="DT153" s="156"/>
      <c r="DU153" s="156"/>
      <c r="DV153" s="156"/>
      <c r="DW153" s="156"/>
      <c r="DX153" s="156"/>
      <c r="DY153" s="156"/>
      <c r="DZ153" s="156"/>
      <c r="EA153" s="156"/>
      <c r="EB153" s="156"/>
      <c r="EC153" s="156"/>
      <c r="ED153" s="156"/>
      <c r="EE153" s="156"/>
      <c r="EF153" s="156"/>
      <c r="EG153" s="156"/>
      <c r="EH153" s="156"/>
      <c r="EI153" s="156"/>
      <c r="EJ153" s="156"/>
      <c r="EK153" s="156"/>
      <c r="EL153" s="156"/>
      <c r="EM153" s="156"/>
      <c r="EN153" s="156"/>
      <c r="EO153" s="156"/>
      <c r="EP153" s="156"/>
      <c r="EQ153" s="156"/>
      <c r="ER153" s="156"/>
      <c r="ES153" s="156"/>
      <c r="ET153" s="156"/>
      <c r="EU153" s="156"/>
      <c r="EV153" s="156"/>
      <c r="EW153" s="156"/>
      <c r="EX153" s="156"/>
      <c r="EY153" s="156"/>
      <c r="EZ153" s="156"/>
      <c r="FA153" s="156"/>
      <c r="FB153" s="156"/>
      <c r="FC153" s="156"/>
      <c r="FD153" s="156"/>
      <c r="FE153" s="156"/>
      <c r="FF153" s="156"/>
      <c r="FG153" s="156"/>
      <c r="FL153" s="157" t="s">
        <v>376</v>
      </c>
      <c r="FM153" s="144">
        <v>9</v>
      </c>
      <c r="FN153" s="138" t="s">
        <v>318</v>
      </c>
      <c r="FO153" s="145">
        <v>10</v>
      </c>
    </row>
    <row r="154" spans="1:171" s="1" customFormat="1" ht="11.25" customHeight="1">
      <c r="A154" s="715"/>
      <c r="B154" s="2548"/>
      <c r="C154" s="516"/>
      <c r="D154" s="516"/>
      <c r="E154" s="885" t="s">
        <v>2146</v>
      </c>
      <c r="F154" s="650"/>
      <c r="G154" s="650"/>
      <c r="H154" s="650"/>
      <c r="I154" s="650"/>
      <c r="J154" s="650"/>
      <c r="K154" s="650"/>
      <c r="L154" s="650"/>
      <c r="M154" s="650"/>
      <c r="N154" s="650"/>
      <c r="O154" s="653" t="s">
        <v>2118</v>
      </c>
      <c r="P154" s="650"/>
      <c r="Q154" s="516"/>
      <c r="R154" s="516"/>
      <c r="S154" s="516"/>
      <c r="T154" s="516"/>
      <c r="U154" s="516"/>
      <c r="V154" s="516"/>
      <c r="W154" s="516"/>
      <c r="X154" s="516"/>
      <c r="Y154" s="516"/>
      <c r="Z154" s="516"/>
      <c r="AA154" s="516"/>
      <c r="AB154" s="516"/>
      <c r="AC154" s="516"/>
      <c r="AD154" s="516"/>
      <c r="AE154" s="516"/>
      <c r="AF154" s="516"/>
      <c r="AG154" s="516"/>
      <c r="AH154" s="516"/>
      <c r="AI154" s="516"/>
      <c r="AJ154" s="516"/>
      <c r="AK154" s="516"/>
      <c r="AL154" s="653" t="s">
        <v>2119</v>
      </c>
      <c r="AM154" s="516"/>
      <c r="AN154" s="516"/>
      <c r="AO154" s="516"/>
      <c r="AP154" s="516"/>
      <c r="AQ154" s="516"/>
      <c r="AR154" s="516"/>
      <c r="AS154" s="516"/>
      <c r="AT154" s="516"/>
      <c r="AU154" s="516"/>
      <c r="AV154" s="516"/>
      <c r="AW154" s="516"/>
      <c r="AX154" s="516"/>
      <c r="AY154" s="516"/>
      <c r="AZ154" s="516"/>
      <c r="BA154" s="516"/>
      <c r="BB154" s="653" t="s">
        <v>2120</v>
      </c>
      <c r="BC154" s="516"/>
      <c r="BD154" s="516"/>
      <c r="BE154" s="516"/>
      <c r="BF154" s="516"/>
      <c r="BG154" s="516"/>
      <c r="BH154" s="516"/>
      <c r="BI154" s="516"/>
      <c r="BJ154" s="516"/>
      <c r="BK154" s="516"/>
      <c r="BL154" s="516"/>
      <c r="BM154" s="516"/>
      <c r="BN154" s="516"/>
      <c r="BO154" s="516"/>
      <c r="BP154" s="516"/>
      <c r="BQ154" s="516"/>
      <c r="BR154" s="516"/>
      <c r="BS154" s="516"/>
      <c r="BT154" s="516"/>
      <c r="BU154" s="516"/>
      <c r="BV154" s="516"/>
      <c r="BW154" s="516"/>
      <c r="BX154" s="516"/>
      <c r="BY154" s="516"/>
      <c r="BZ154" s="516"/>
      <c r="CA154" s="516"/>
      <c r="CB154" s="517"/>
      <c r="CC154" s="580"/>
      <c r="DC154" s="156"/>
      <c r="DD154" s="137"/>
      <c r="DE154" s="156"/>
      <c r="DF154" s="156"/>
      <c r="DG154" s="156"/>
      <c r="DH154" s="156"/>
      <c r="DI154" s="156"/>
      <c r="DJ154" s="156"/>
      <c r="DK154" s="156"/>
      <c r="DL154" s="156"/>
      <c r="DM154" s="156"/>
      <c r="DN154" s="156"/>
      <c r="DO154" s="156"/>
      <c r="DP154" s="156"/>
      <c r="DQ154" s="156"/>
      <c r="DR154" s="156"/>
      <c r="DS154" s="156"/>
      <c r="DT154" s="156"/>
      <c r="DU154" s="156"/>
      <c r="DV154" s="156"/>
      <c r="DW154" s="156"/>
      <c r="DX154" s="156"/>
      <c r="DY154" s="156"/>
      <c r="DZ154" s="156"/>
      <c r="EA154" s="156"/>
      <c r="EB154" s="156"/>
      <c r="EC154" s="156"/>
      <c r="ED154" s="156"/>
      <c r="EE154" s="156"/>
      <c r="EF154" s="156"/>
      <c r="EG154" s="156"/>
      <c r="EH154" s="156"/>
      <c r="EI154" s="156"/>
      <c r="EJ154" s="156"/>
      <c r="EK154" s="156"/>
      <c r="EL154" s="156"/>
      <c r="EM154" s="156"/>
      <c r="EN154" s="156"/>
      <c r="EO154" s="156"/>
      <c r="EP154" s="156"/>
      <c r="EQ154" s="156"/>
      <c r="ER154" s="156"/>
      <c r="ES154" s="156"/>
      <c r="ET154" s="156"/>
      <c r="EU154" s="156"/>
      <c r="EV154" s="156"/>
      <c r="EW154" s="156"/>
      <c r="EX154" s="156"/>
      <c r="EY154" s="156"/>
      <c r="EZ154" s="156"/>
      <c r="FA154" s="156"/>
      <c r="FB154" s="156"/>
      <c r="FC154" s="156"/>
      <c r="FD154" s="156"/>
      <c r="FE154" s="156"/>
      <c r="FF154" s="156"/>
      <c r="FG154" s="156"/>
      <c r="FL154" s="157" t="s">
        <v>377</v>
      </c>
      <c r="FM154" s="144">
        <v>9</v>
      </c>
      <c r="FN154" s="138" t="s">
        <v>318</v>
      </c>
      <c r="FO154" s="145">
        <v>14</v>
      </c>
    </row>
    <row r="155" spans="1:171" s="1" customFormat="1" ht="11.25" customHeight="1">
      <c r="A155" s="715"/>
      <c r="B155" s="2548"/>
      <c r="C155" s="516"/>
      <c r="D155" s="516"/>
      <c r="E155" s="516"/>
      <c r="F155" s="516"/>
      <c r="G155" s="516"/>
      <c r="H155" s="516"/>
      <c r="I155" s="516"/>
      <c r="J155" s="516"/>
      <c r="K155" s="516"/>
      <c r="L155" s="516"/>
      <c r="M155" s="516"/>
      <c r="N155" s="516"/>
      <c r="O155" s="653" t="s">
        <v>2121</v>
      </c>
      <c r="P155" s="516"/>
      <c r="Q155" s="516"/>
      <c r="R155" s="516"/>
      <c r="S155" s="516"/>
      <c r="T155" s="516"/>
      <c r="U155" s="516"/>
      <c r="V155" s="516"/>
      <c r="W155" s="516"/>
      <c r="X155" s="516"/>
      <c r="Y155" s="516"/>
      <c r="Z155" s="516"/>
      <c r="AA155" s="516"/>
      <c r="AB155" s="516"/>
      <c r="AC155" s="516"/>
      <c r="AD155" s="516"/>
      <c r="AE155" s="516"/>
      <c r="AF155" s="516"/>
      <c r="AG155" s="516"/>
      <c r="AH155" s="516"/>
      <c r="AI155" s="516"/>
      <c r="AJ155" s="516"/>
      <c r="AK155" s="516"/>
      <c r="AL155" s="653" t="s">
        <v>2122</v>
      </c>
      <c r="AM155" s="516"/>
      <c r="AN155" s="516"/>
      <c r="AO155" s="516"/>
      <c r="AP155" s="516"/>
      <c r="AQ155" s="516"/>
      <c r="AR155" s="516"/>
      <c r="AS155" s="516"/>
      <c r="AT155" s="516"/>
      <c r="AU155" s="516"/>
      <c r="AV155" s="516"/>
      <c r="AW155" s="516"/>
      <c r="AX155" s="516"/>
      <c r="AY155" s="516"/>
      <c r="AZ155" s="516"/>
      <c r="BA155" s="516"/>
      <c r="BB155" s="516"/>
      <c r="BC155" s="516"/>
      <c r="BD155" s="516"/>
      <c r="BE155" s="516"/>
      <c r="BF155" s="516"/>
      <c r="BG155" s="516"/>
      <c r="BH155" s="516"/>
      <c r="BI155" s="516"/>
      <c r="BJ155" s="516"/>
      <c r="BK155" s="516"/>
      <c r="BL155" s="516"/>
      <c r="BM155" s="516"/>
      <c r="BN155" s="516"/>
      <c r="BO155" s="516"/>
      <c r="BP155" s="516"/>
      <c r="BQ155" s="516"/>
      <c r="BR155" s="516"/>
      <c r="BS155" s="516"/>
      <c r="BT155" s="516"/>
      <c r="BU155" s="516"/>
      <c r="BV155" s="516"/>
      <c r="BW155" s="516"/>
      <c r="BX155" s="516"/>
      <c r="BY155" s="516"/>
      <c r="BZ155" s="516"/>
      <c r="CA155" s="516"/>
      <c r="CB155" s="517"/>
      <c r="DC155" s="156"/>
      <c r="DD155" s="137"/>
      <c r="DE155" s="156"/>
      <c r="DF155" s="156"/>
      <c r="DG155" s="156"/>
      <c r="DH155" s="156"/>
      <c r="DI155" s="156"/>
      <c r="DJ155" s="156"/>
      <c r="DK155" s="156"/>
      <c r="DL155" s="156"/>
      <c r="DM155" s="156"/>
      <c r="DN155" s="156"/>
      <c r="DO155" s="156"/>
      <c r="DP155" s="156"/>
      <c r="DQ155" s="156"/>
      <c r="DR155" s="156"/>
      <c r="DS155" s="156"/>
      <c r="DT155" s="156"/>
      <c r="DU155" s="156"/>
      <c r="DV155" s="156"/>
      <c r="DW155" s="156"/>
      <c r="DX155" s="156"/>
      <c r="DY155" s="156"/>
      <c r="DZ155" s="156"/>
      <c r="EA155" s="156"/>
      <c r="EB155" s="156"/>
      <c r="EC155" s="156"/>
      <c r="ED155" s="156"/>
      <c r="EE155" s="156"/>
      <c r="EF155" s="156"/>
      <c r="EG155" s="156"/>
      <c r="EH155" s="156"/>
      <c r="EI155" s="156"/>
      <c r="EJ155" s="156"/>
      <c r="EK155" s="156"/>
      <c r="EL155" s="156"/>
      <c r="EM155" s="156"/>
      <c r="EN155" s="156"/>
      <c r="EO155" s="156"/>
      <c r="EP155" s="156"/>
      <c r="EQ155" s="156"/>
      <c r="ER155" s="156"/>
      <c r="ES155" s="156"/>
      <c r="ET155" s="156"/>
      <c r="EU155" s="156"/>
      <c r="EV155" s="156"/>
      <c r="EW155" s="156"/>
      <c r="EX155" s="156"/>
      <c r="EY155" s="156"/>
      <c r="EZ155" s="156"/>
      <c r="FA155" s="156"/>
      <c r="FB155" s="156"/>
      <c r="FC155" s="156"/>
      <c r="FD155" s="156"/>
      <c r="FE155" s="156"/>
      <c r="FF155" s="156"/>
      <c r="FG155" s="156"/>
      <c r="FL155" s="157" t="s">
        <v>378</v>
      </c>
      <c r="FM155" s="144">
        <v>9</v>
      </c>
      <c r="FN155" s="138" t="s">
        <v>318</v>
      </c>
      <c r="FO155" s="145">
        <v>4</v>
      </c>
    </row>
    <row r="156" spans="1:171" s="1" customFormat="1" ht="11.25" customHeight="1">
      <c r="A156" s="715"/>
      <c r="B156" s="2548"/>
      <c r="C156" s="516"/>
      <c r="D156" s="516"/>
      <c r="E156" s="516"/>
      <c r="F156" s="516"/>
      <c r="G156" s="516"/>
      <c r="H156" s="516"/>
      <c r="I156" s="516"/>
      <c r="J156" s="516"/>
      <c r="K156" s="516"/>
      <c r="L156" s="516"/>
      <c r="M156" s="516"/>
      <c r="N156" s="516"/>
      <c r="O156" s="653" t="s">
        <v>2123</v>
      </c>
      <c r="P156" s="516"/>
      <c r="Q156" s="516"/>
      <c r="R156" s="516"/>
      <c r="S156" s="516"/>
      <c r="T156" s="516"/>
      <c r="U156" s="516"/>
      <c r="V156" s="516"/>
      <c r="W156" s="516"/>
      <c r="X156" s="516"/>
      <c r="Y156" s="516"/>
      <c r="Z156" s="516"/>
      <c r="AA156" s="516"/>
      <c r="AB156" s="516"/>
      <c r="AC156" s="516"/>
      <c r="AD156" s="516"/>
      <c r="AE156" s="516"/>
      <c r="AF156" s="516"/>
      <c r="AG156" s="516"/>
      <c r="AH156" s="516"/>
      <c r="AI156" s="516"/>
      <c r="AJ156" s="516"/>
      <c r="AK156" s="516"/>
      <c r="AL156" s="516"/>
      <c r="AM156" s="516"/>
      <c r="AN156" s="516"/>
      <c r="AO156" s="516"/>
      <c r="AP156" s="516"/>
      <c r="AQ156" s="516"/>
      <c r="AR156" s="653" t="s">
        <v>2124</v>
      </c>
      <c r="AS156" s="516"/>
      <c r="AT156" s="516"/>
      <c r="AU156" s="516"/>
      <c r="AV156" s="516"/>
      <c r="AW156" s="516"/>
      <c r="AX156" s="516"/>
      <c r="AY156" s="516"/>
      <c r="AZ156" s="516"/>
      <c r="BA156" s="516"/>
      <c r="BB156" s="516"/>
      <c r="BC156" s="516"/>
      <c r="BD156" s="516"/>
      <c r="BE156" s="516"/>
      <c r="BF156" s="516"/>
      <c r="BG156" s="516"/>
      <c r="BH156" s="516"/>
      <c r="BI156" s="516"/>
      <c r="BJ156" s="516"/>
      <c r="BK156" s="516"/>
      <c r="BL156" s="516"/>
      <c r="BM156" s="516"/>
      <c r="BN156" s="516"/>
      <c r="BO156" s="516"/>
      <c r="BP156" s="516"/>
      <c r="BQ156" s="516"/>
      <c r="BR156" s="516"/>
      <c r="BS156" s="516"/>
      <c r="BT156" s="516"/>
      <c r="BU156" s="516"/>
      <c r="BV156" s="516"/>
      <c r="BW156" s="516"/>
      <c r="BX156" s="516"/>
      <c r="BY156" s="516"/>
      <c r="BZ156" s="516"/>
      <c r="CA156" s="516"/>
      <c r="CB156" s="517"/>
      <c r="CG156" s="731">
        <f>$W$63</f>
        <v>0.75</v>
      </c>
      <c r="CH156" s="152"/>
      <c r="CI156" s="99"/>
      <c r="CJ156" s="99"/>
      <c r="CK156" s="99"/>
      <c r="CL156" s="99"/>
      <c r="CM156" s="99"/>
      <c r="CN156" s="717" t="s">
        <v>1985</v>
      </c>
      <c r="CO156" s="718" t="s">
        <v>1986</v>
      </c>
      <c r="CP156" s="99"/>
      <c r="DC156" s="156"/>
      <c r="DD156" s="137"/>
      <c r="DE156" s="156"/>
      <c r="DF156" s="156"/>
      <c r="DG156" s="156"/>
      <c r="DH156" s="156"/>
      <c r="DI156" s="156"/>
      <c r="DJ156" s="156"/>
      <c r="DK156" s="156"/>
      <c r="DL156" s="156"/>
      <c r="DM156" s="156"/>
      <c r="DN156" s="156"/>
      <c r="DO156" s="156"/>
      <c r="DP156" s="156"/>
      <c r="DQ156" s="156"/>
      <c r="DR156" s="156"/>
      <c r="DS156" s="156"/>
      <c r="DT156" s="156"/>
      <c r="DU156" s="156"/>
      <c r="DV156" s="156"/>
      <c r="DW156" s="156"/>
      <c r="DX156" s="156"/>
      <c r="DY156" s="156"/>
      <c r="DZ156" s="156"/>
      <c r="EA156" s="156"/>
      <c r="EB156" s="156"/>
      <c r="EC156" s="156"/>
      <c r="ED156" s="156"/>
      <c r="EE156" s="156"/>
      <c r="EF156" s="156"/>
      <c r="EG156" s="156"/>
      <c r="EH156" s="156"/>
      <c r="EI156" s="156"/>
      <c r="EJ156" s="156"/>
      <c r="EK156" s="156"/>
      <c r="EL156" s="156"/>
      <c r="EM156" s="156"/>
      <c r="EN156" s="156"/>
      <c r="EO156" s="156"/>
      <c r="EP156" s="156"/>
      <c r="EQ156" s="156"/>
      <c r="ER156" s="156"/>
      <c r="ES156" s="156"/>
      <c r="ET156" s="156"/>
      <c r="EU156" s="156"/>
      <c r="EV156" s="156"/>
      <c r="EW156" s="156"/>
      <c r="EX156" s="156"/>
      <c r="EY156" s="156"/>
      <c r="EZ156" s="156"/>
      <c r="FA156" s="156"/>
      <c r="FB156" s="156"/>
      <c r="FC156" s="156"/>
      <c r="FD156" s="156"/>
      <c r="FE156" s="156"/>
      <c r="FF156" s="156"/>
      <c r="FG156" s="156"/>
      <c r="FL156" s="157" t="s">
        <v>379</v>
      </c>
      <c r="FM156" s="144">
        <v>9</v>
      </c>
      <c r="FN156" s="138" t="s">
        <v>318</v>
      </c>
      <c r="FO156" s="145">
        <v>5</v>
      </c>
    </row>
    <row r="157" spans="1:171" s="1" customFormat="1" ht="11.25" customHeight="1">
      <c r="A157" s="715"/>
      <c r="B157" s="2548"/>
      <c r="C157" s="516"/>
      <c r="D157" s="516"/>
      <c r="E157" s="516"/>
      <c r="F157" s="516"/>
      <c r="G157" s="516"/>
      <c r="H157" s="516"/>
      <c r="I157" s="516"/>
      <c r="J157" s="516"/>
      <c r="K157" s="516"/>
      <c r="L157" s="516"/>
      <c r="M157" s="516"/>
      <c r="N157" s="516"/>
      <c r="O157" s="516"/>
      <c r="P157" s="516"/>
      <c r="Q157" s="516"/>
      <c r="R157" s="516"/>
      <c r="S157" s="516"/>
      <c r="T157" s="516"/>
      <c r="U157" s="516"/>
      <c r="V157" s="516"/>
      <c r="W157" s="516"/>
      <c r="X157" s="516"/>
      <c r="Y157" s="516"/>
      <c r="Z157" s="516"/>
      <c r="AA157" s="516"/>
      <c r="AB157" s="516"/>
      <c r="AC157" s="516"/>
      <c r="AD157" s="516"/>
      <c r="AE157" s="516"/>
      <c r="AF157" s="516"/>
      <c r="AG157" s="516"/>
      <c r="AH157" s="516"/>
      <c r="AI157" s="516"/>
      <c r="AJ157" s="516"/>
      <c r="AK157" s="516"/>
      <c r="AL157" s="516"/>
      <c r="AM157" s="516"/>
      <c r="AN157" s="516"/>
      <c r="AO157" s="516"/>
      <c r="AP157" s="516"/>
      <c r="AQ157" s="516"/>
      <c r="AR157" s="516"/>
      <c r="AS157" s="516"/>
      <c r="AT157" s="516"/>
      <c r="AU157" s="516"/>
      <c r="AV157" s="516"/>
      <c r="AW157" s="516"/>
      <c r="AX157" s="516"/>
      <c r="AY157" s="516"/>
      <c r="AZ157" s="516"/>
      <c r="BA157" s="516"/>
      <c r="BB157" s="516"/>
      <c r="BC157" s="516"/>
      <c r="BD157" s="516"/>
      <c r="BE157" s="516"/>
      <c r="BF157" s="516"/>
      <c r="BG157" s="516"/>
      <c r="BH157" s="516"/>
      <c r="BI157" s="516"/>
      <c r="BJ157" s="516"/>
      <c r="BK157" s="516"/>
      <c r="BL157" s="516"/>
      <c r="BM157" s="516"/>
      <c r="BN157" s="516"/>
      <c r="BO157" s="516"/>
      <c r="BP157" s="516"/>
      <c r="BQ157" s="516"/>
      <c r="BR157" s="516"/>
      <c r="BS157" s="516"/>
      <c r="BT157" s="516"/>
      <c r="BU157" s="516"/>
      <c r="BV157" s="516"/>
      <c r="BW157" s="516"/>
      <c r="BX157" s="516"/>
      <c r="BY157" s="516"/>
      <c r="BZ157" s="516"/>
      <c r="CA157" s="516"/>
      <c r="CB157" s="517"/>
      <c r="CD157" s="560" t="str">
        <f>E24</f>
        <v xml:space="preserve"> B2F</v>
      </c>
      <c r="CE157" s="547" t="str">
        <f>IF(CD157=0,"  RF",IF(CZ107="  GL","  1F",CD157))</f>
        <v xml:space="preserve"> B2F</v>
      </c>
      <c r="CF157" s="548" t="str">
        <f>IF(LEFT(CE157,2)=" B","",O24)</f>
        <v/>
      </c>
      <c r="CG157" s="549">
        <f>IF(CE157="","",SUM($CF$157:CF157)+$CG$156)</f>
        <v>0.75</v>
      </c>
      <c r="CH157" s="550">
        <f>DC106</f>
        <v>0</v>
      </c>
      <c r="CI157" s="548" t="str">
        <f>IF(OR(LEFT(DA107,2)=" B",LEFT(DA107,3)="  R"),"",DB107)</f>
        <v/>
      </c>
      <c r="CJ157" s="549">
        <f>IF(DE107="",0,SUM(DE107:DE126))</f>
        <v>0</v>
      </c>
      <c r="CK157" s="551">
        <v>0</v>
      </c>
      <c r="CL157" s="546">
        <f>IF(OR(LEFT(CZ107,2)=" B",LEFT(CZ107,1)="P"),0,1)</f>
        <v>0</v>
      </c>
      <c r="CM157" s="552">
        <f>DH107</f>
        <v>0</v>
      </c>
      <c r="CN157" s="553">
        <f>SQRT(O109*L109)/2</f>
        <v>24</v>
      </c>
      <c r="CO157" s="554">
        <f>SQRT(O109/L109)/2</f>
        <v>33</v>
      </c>
      <c r="CP157" s="555" t="s">
        <v>2190</v>
      </c>
      <c r="DC157" s="156"/>
      <c r="DD157" s="137"/>
      <c r="DE157" s="156"/>
      <c r="DF157" s="156"/>
      <c r="DG157" s="156"/>
      <c r="DH157" s="156"/>
      <c r="DI157" s="156"/>
      <c r="DJ157" s="156"/>
      <c r="DK157" s="156"/>
      <c r="DL157" s="156"/>
      <c r="DM157" s="156"/>
      <c r="DN157" s="156"/>
      <c r="DO157" s="156"/>
      <c r="DP157" s="156"/>
      <c r="DQ157" s="156"/>
      <c r="DR157" s="156"/>
      <c r="DS157" s="156"/>
      <c r="DT157" s="156"/>
      <c r="DU157" s="156"/>
      <c r="DV157" s="156"/>
      <c r="DW157" s="156"/>
      <c r="DX157" s="156"/>
      <c r="DY157" s="156"/>
      <c r="DZ157" s="156"/>
      <c r="EA157" s="156"/>
      <c r="EB157" s="156"/>
      <c r="EC157" s="156"/>
      <c r="ED157" s="156"/>
      <c r="EE157" s="156"/>
      <c r="EF157" s="156"/>
      <c r="EG157" s="156"/>
      <c r="EH157" s="156"/>
      <c r="EI157" s="156"/>
      <c r="EJ157" s="156"/>
      <c r="EK157" s="156"/>
      <c r="EL157" s="156"/>
      <c r="EM157" s="156"/>
      <c r="EN157" s="156"/>
      <c r="EO157" s="156"/>
      <c r="EP157" s="156"/>
      <c r="EQ157" s="156"/>
      <c r="ER157" s="156"/>
      <c r="ES157" s="156"/>
      <c r="ET157" s="156"/>
      <c r="EU157" s="156"/>
      <c r="EV157" s="156"/>
      <c r="EW157" s="156"/>
      <c r="EX157" s="156"/>
      <c r="EY157" s="156"/>
      <c r="EZ157" s="156"/>
      <c r="FA157" s="156"/>
      <c r="FB157" s="156"/>
      <c r="FC157" s="156"/>
      <c r="FD157" s="156"/>
      <c r="FE157" s="156"/>
      <c r="FF157" s="156"/>
      <c r="FG157" s="156"/>
      <c r="FL157" s="157" t="s">
        <v>380</v>
      </c>
      <c r="FM157" s="144">
        <v>9</v>
      </c>
      <c r="FN157" s="138" t="s">
        <v>318</v>
      </c>
      <c r="FO157" s="145">
        <v>5</v>
      </c>
    </row>
    <row r="158" spans="1:171" s="1" customFormat="1" ht="11.25" customHeight="1">
      <c r="A158" s="715"/>
      <c r="B158" s="2548"/>
      <c r="C158" s="516"/>
      <c r="D158" s="516"/>
      <c r="E158" s="885" t="s">
        <v>2147</v>
      </c>
      <c r="F158" s="650"/>
      <c r="G158" s="650"/>
      <c r="H158" s="650"/>
      <c r="I158" s="650"/>
      <c r="J158" s="650"/>
      <c r="K158" s="650"/>
      <c r="L158" s="650"/>
      <c r="M158" s="650"/>
      <c r="N158" s="653"/>
      <c r="O158" s="653" t="s">
        <v>2125</v>
      </c>
      <c r="P158" s="516"/>
      <c r="Q158" s="516"/>
      <c r="R158" s="516"/>
      <c r="S158" s="516"/>
      <c r="T158" s="516"/>
      <c r="U158" s="516"/>
      <c r="V158" s="516"/>
      <c r="W158" s="516"/>
      <c r="X158" s="516"/>
      <c r="Y158" s="516"/>
      <c r="Z158" s="516"/>
      <c r="AA158" s="516"/>
      <c r="AB158" s="516"/>
      <c r="AC158" s="516"/>
      <c r="AD158" s="516"/>
      <c r="AE158" s="516"/>
      <c r="AF158" s="653" t="s">
        <v>2126</v>
      </c>
      <c r="AG158" s="516"/>
      <c r="AH158" s="516"/>
      <c r="AI158" s="516"/>
      <c r="AJ158" s="516"/>
      <c r="AK158" s="516"/>
      <c r="AL158" s="516"/>
      <c r="AM158" s="516"/>
      <c r="AN158" s="516"/>
      <c r="AO158" s="516"/>
      <c r="AP158" s="516"/>
      <c r="AQ158" s="516"/>
      <c r="AR158" s="516"/>
      <c r="AS158" s="516"/>
      <c r="AT158" s="516"/>
      <c r="AU158" s="516"/>
      <c r="AV158" s="516"/>
      <c r="AW158" s="516"/>
      <c r="AX158" s="516"/>
      <c r="AY158" s="516"/>
      <c r="AZ158" s="516"/>
      <c r="BA158" s="516"/>
      <c r="BB158" s="516"/>
      <c r="BC158" s="516"/>
      <c r="BD158" s="516"/>
      <c r="BE158" s="516"/>
      <c r="BF158" s="516"/>
      <c r="BG158" s="516"/>
      <c r="BH158" s="516"/>
      <c r="BI158" s="516"/>
      <c r="BJ158" s="516"/>
      <c r="BK158" s="516"/>
      <c r="BL158" s="516"/>
      <c r="BM158" s="516"/>
      <c r="BN158" s="516"/>
      <c r="BO158" s="516"/>
      <c r="BP158" s="516"/>
      <c r="BQ158" s="516"/>
      <c r="BR158" s="516"/>
      <c r="BS158" s="516"/>
      <c r="BT158" s="516"/>
      <c r="BU158" s="516"/>
      <c r="BV158" s="516"/>
      <c r="BW158" s="516"/>
      <c r="BX158" s="516"/>
      <c r="BY158" s="516"/>
      <c r="BZ158" s="516"/>
      <c r="CA158" s="516"/>
      <c r="CB158" s="517"/>
      <c r="CD158" s="560" t="str">
        <f>E26</f>
        <v xml:space="preserve"> B1F</v>
      </c>
      <c r="CE158" s="547" t="str">
        <f t="shared" ref="CE158:CE175" si="44">IF(CZ108=0,"  RF",IF(CZ108="  GL","  1F",CZ108))</f>
        <v xml:space="preserve"> B1F</v>
      </c>
      <c r="CF158" s="548" t="str">
        <f>IF(LEFT(CE158,2)=" B","",O26)</f>
        <v/>
      </c>
      <c r="CG158" s="549">
        <f>IF(CE158="","",SUM($CF$157:CF158)+$CG$156)</f>
        <v>0.75</v>
      </c>
      <c r="CH158" s="550">
        <f t="shared" ref="CH158:CH176" si="45">DC107</f>
        <v>0</v>
      </c>
      <c r="CI158" s="548">
        <f t="shared" ref="CI158:CI176" si="46">IF(OR(LEFT(DA108,2)=" B",LEFT(DA108,3)="  R"),"",DB108)</f>
        <v>0</v>
      </c>
      <c r="CJ158" s="549">
        <f t="shared" ref="CJ158:CJ176" si="47">IF(DE108="",0,SUM(DE108:DE127))</f>
        <v>0</v>
      </c>
      <c r="CK158" s="556">
        <f>DF107</f>
        <v>0</v>
      </c>
      <c r="CL158" s="546">
        <f t="shared" ref="CL158:CL176" si="48">IF(OR(LEFT(CZ108,2)=" B",LEFT(CZ108,1)="P"),0,1)</f>
        <v>0</v>
      </c>
      <c r="CM158" s="552">
        <f>DI107+DH108</f>
        <v>0</v>
      </c>
      <c r="CN158" s="553">
        <f t="shared" ref="CN158:CN176" si="49">SQRT(O110*L110)/2</f>
        <v>24</v>
      </c>
      <c r="CO158" s="554">
        <f>SQRT(O110/L110)/2</f>
        <v>33</v>
      </c>
      <c r="CP158" s="555" t="s">
        <v>2190</v>
      </c>
      <c r="DC158" s="156"/>
      <c r="DD158" s="137"/>
      <c r="DE158" s="156"/>
      <c r="DF158" s="156"/>
      <c r="DG158" s="156"/>
      <c r="DH158" s="156"/>
      <c r="DI158" s="156"/>
      <c r="DJ158" s="156"/>
      <c r="DK158" s="156"/>
      <c r="DL158" s="156"/>
      <c r="DM158" s="156"/>
      <c r="DN158" s="156"/>
      <c r="DO158" s="156"/>
      <c r="DP158" s="156"/>
      <c r="DQ158" s="156"/>
      <c r="DR158" s="156"/>
      <c r="DS158" s="156"/>
      <c r="DT158" s="156"/>
      <c r="DU158" s="156"/>
      <c r="DV158" s="156"/>
      <c r="DW158" s="156"/>
      <c r="DX158" s="156"/>
      <c r="DY158" s="156"/>
      <c r="DZ158" s="156"/>
      <c r="EA158" s="156"/>
      <c r="EB158" s="156"/>
      <c r="EC158" s="156"/>
      <c r="ED158" s="156"/>
      <c r="EE158" s="156"/>
      <c r="EF158" s="156"/>
      <c r="EG158" s="156"/>
      <c r="EH158" s="156"/>
      <c r="EI158" s="156"/>
      <c r="EJ158" s="156"/>
      <c r="EK158" s="156"/>
      <c r="EL158" s="156"/>
      <c r="EM158" s="156"/>
      <c r="EN158" s="156"/>
      <c r="EO158" s="156"/>
      <c r="EP158" s="156"/>
      <c r="EQ158" s="156"/>
      <c r="ER158" s="156"/>
      <c r="ES158" s="156"/>
      <c r="ET158" s="156"/>
      <c r="EU158" s="156"/>
      <c r="EV158" s="156"/>
      <c r="EW158" s="156"/>
      <c r="EX158" s="156"/>
      <c r="EY158" s="156"/>
      <c r="EZ158" s="156"/>
      <c r="FA158" s="156"/>
      <c r="FB158" s="156"/>
      <c r="FC158" s="156"/>
      <c r="FD158" s="156"/>
      <c r="FE158" s="156"/>
      <c r="FF158" s="156"/>
      <c r="FG158" s="156"/>
      <c r="FL158" s="157" t="s">
        <v>381</v>
      </c>
      <c r="FM158" s="144">
        <v>8</v>
      </c>
      <c r="FN158" s="138" t="s">
        <v>316</v>
      </c>
      <c r="FO158" s="145">
        <v>20</v>
      </c>
    </row>
    <row r="159" spans="1:171" s="1" customFormat="1" ht="11.25" customHeight="1">
      <c r="A159" s="715"/>
      <c r="B159" s="2548"/>
      <c r="C159" s="516"/>
      <c r="D159" s="516"/>
      <c r="E159" s="516"/>
      <c r="F159" s="516"/>
      <c r="G159" s="516"/>
      <c r="H159" s="516"/>
      <c r="I159" s="516"/>
      <c r="J159" s="516"/>
      <c r="K159" s="516"/>
      <c r="L159" s="516"/>
      <c r="M159" s="516"/>
      <c r="N159" s="516"/>
      <c r="O159" s="653" t="s">
        <v>2127</v>
      </c>
      <c r="P159" s="516"/>
      <c r="Q159" s="516"/>
      <c r="R159" s="516"/>
      <c r="S159" s="516"/>
      <c r="T159" s="516"/>
      <c r="U159" s="516"/>
      <c r="V159" s="516"/>
      <c r="W159" s="516"/>
      <c r="X159" s="516"/>
      <c r="Y159" s="516"/>
      <c r="Z159" s="516"/>
      <c r="AA159" s="516"/>
      <c r="AB159" s="516"/>
      <c r="AC159" s="516"/>
      <c r="AD159" s="516"/>
      <c r="AE159" s="516"/>
      <c r="AF159" s="516"/>
      <c r="AG159" s="516"/>
      <c r="AH159" s="516"/>
      <c r="AI159" s="516"/>
      <c r="AJ159" s="516"/>
      <c r="AK159" s="516"/>
      <c r="AL159" s="516"/>
      <c r="AM159" s="516"/>
      <c r="AN159" s="516"/>
      <c r="AO159" s="516"/>
      <c r="AP159" s="516"/>
      <c r="AQ159" s="516"/>
      <c r="AR159" s="516"/>
      <c r="AS159" s="516"/>
      <c r="AT159" s="516"/>
      <c r="AU159" s="516"/>
      <c r="AV159" s="516"/>
      <c r="AW159" s="516"/>
      <c r="AX159" s="516"/>
      <c r="AY159" s="516"/>
      <c r="AZ159" s="516"/>
      <c r="BA159" s="516"/>
      <c r="BB159" s="516"/>
      <c r="BC159" s="516"/>
      <c r="BD159" s="516"/>
      <c r="BE159" s="516"/>
      <c r="BF159" s="516"/>
      <c r="BG159" s="653"/>
      <c r="BH159" s="516"/>
      <c r="BI159" s="516"/>
      <c r="BJ159" s="516"/>
      <c r="BK159" s="516"/>
      <c r="BL159" s="516"/>
      <c r="BM159" s="516"/>
      <c r="BN159" s="516"/>
      <c r="BO159" s="516"/>
      <c r="BP159" s="516"/>
      <c r="BQ159" s="516"/>
      <c r="BR159" s="516"/>
      <c r="BS159" s="516"/>
      <c r="BT159" s="516"/>
      <c r="BU159" s="516"/>
      <c r="BV159" s="516"/>
      <c r="BW159" s="516"/>
      <c r="BX159" s="516"/>
      <c r="BY159" s="516"/>
      <c r="BZ159" s="516"/>
      <c r="CA159" s="516"/>
      <c r="CB159" s="517"/>
      <c r="CD159" s="560" t="str">
        <f>E28</f>
        <v xml:space="preserve">  1F</v>
      </c>
      <c r="CE159" s="547" t="str">
        <f t="shared" si="44"/>
        <v xml:space="preserve">  1F</v>
      </c>
      <c r="CF159" s="548">
        <f>IF(LEFT(CE159,2)=" B","",O28)</f>
        <v>5</v>
      </c>
      <c r="CG159" s="549">
        <f>IF(CE159="","",SUM($CF$157:CF159)+$CG$156)</f>
        <v>5.75</v>
      </c>
      <c r="CH159" s="550">
        <f t="shared" si="45"/>
        <v>0</v>
      </c>
      <c r="CI159" s="548">
        <f t="shared" si="46"/>
        <v>0</v>
      </c>
      <c r="CJ159" s="549">
        <f t="shared" si="47"/>
        <v>0</v>
      </c>
      <c r="CK159" s="556">
        <f t="shared" ref="CK159:CK176" si="50">DF108</f>
        <v>0</v>
      </c>
      <c r="CL159" s="546">
        <f t="shared" si="48"/>
        <v>1</v>
      </c>
      <c r="CM159" s="552">
        <f t="shared" ref="CM159:CM176" si="51">DI108+DH109</f>
        <v>0</v>
      </c>
      <c r="CN159" s="553">
        <f t="shared" si="49"/>
        <v>30</v>
      </c>
      <c r="CO159" s="554">
        <f t="shared" ref="CO159:CO176" si="52">SQRT(O111/L111)/2</f>
        <v>31.8</v>
      </c>
      <c r="CP159" s="555" t="s">
        <v>2190</v>
      </c>
      <c r="DC159" s="156"/>
      <c r="DD159" s="137"/>
      <c r="DE159" s="156"/>
      <c r="DF159" s="156"/>
      <c r="DG159" s="156"/>
      <c r="DH159" s="156"/>
      <c r="DI159" s="156"/>
      <c r="DJ159" s="156"/>
      <c r="DK159" s="156"/>
      <c r="DL159" s="156"/>
      <c r="DM159" s="156"/>
      <c r="DN159" s="156"/>
      <c r="DO159" s="156"/>
      <c r="DP159" s="156"/>
      <c r="DQ159" s="156"/>
      <c r="DR159" s="156"/>
      <c r="DS159" s="156"/>
      <c r="DT159" s="156"/>
      <c r="DU159" s="156"/>
      <c r="DV159" s="156"/>
      <c r="DW159" s="156"/>
      <c r="DX159" s="156"/>
      <c r="DY159" s="156"/>
      <c r="DZ159" s="156"/>
      <c r="EA159" s="156"/>
      <c r="EB159" s="156"/>
      <c r="EC159" s="156"/>
      <c r="ED159" s="156"/>
      <c r="EE159" s="156"/>
      <c r="EF159" s="156"/>
      <c r="EG159" s="156"/>
      <c r="EH159" s="156"/>
      <c r="EI159" s="156"/>
      <c r="EJ159" s="156"/>
      <c r="EK159" s="156"/>
      <c r="EL159" s="156"/>
      <c r="EM159" s="156"/>
      <c r="EN159" s="156"/>
      <c r="EO159" s="156"/>
      <c r="EP159" s="156"/>
      <c r="EQ159" s="156"/>
      <c r="ER159" s="156"/>
      <c r="ES159" s="156"/>
      <c r="ET159" s="156"/>
      <c r="EU159" s="156"/>
      <c r="EV159" s="156"/>
      <c r="EW159" s="156"/>
      <c r="EX159" s="156"/>
      <c r="EY159" s="156"/>
      <c r="EZ159" s="156"/>
      <c r="FA159" s="156"/>
      <c r="FB159" s="156"/>
      <c r="FC159" s="156"/>
      <c r="FD159" s="156"/>
      <c r="FE159" s="156"/>
      <c r="FF159" s="156"/>
      <c r="FG159" s="156"/>
      <c r="FL159" s="157" t="s">
        <v>382</v>
      </c>
      <c r="FM159" s="144">
        <v>8</v>
      </c>
      <c r="FN159" s="138" t="s">
        <v>316</v>
      </c>
      <c r="FO159" s="145">
        <v>4</v>
      </c>
    </row>
    <row r="160" spans="1:171" s="1" customFormat="1" ht="11.25" customHeight="1">
      <c r="A160" s="715"/>
      <c r="B160" s="2548"/>
      <c r="C160" s="516"/>
      <c r="D160" s="516"/>
      <c r="E160" s="516"/>
      <c r="F160" s="516"/>
      <c r="G160" s="516"/>
      <c r="H160" s="516"/>
      <c r="I160" s="516"/>
      <c r="J160" s="516"/>
      <c r="K160" s="516"/>
      <c r="L160" s="516"/>
      <c r="M160" s="516"/>
      <c r="N160" s="516"/>
      <c r="O160" s="653" t="s">
        <v>2128</v>
      </c>
      <c r="P160" s="516"/>
      <c r="Q160" s="516"/>
      <c r="R160" s="516"/>
      <c r="S160" s="516"/>
      <c r="T160" s="516"/>
      <c r="U160" s="516"/>
      <c r="V160" s="516"/>
      <c r="W160" s="516"/>
      <c r="X160" s="516"/>
      <c r="Y160" s="516"/>
      <c r="Z160" s="516"/>
      <c r="AA160" s="516"/>
      <c r="AB160" s="516"/>
      <c r="AC160" s="516"/>
      <c r="AD160" s="516"/>
      <c r="AE160" s="516"/>
      <c r="AF160" s="516"/>
      <c r="AG160" s="516"/>
      <c r="AH160" s="516"/>
      <c r="AI160" s="516"/>
      <c r="AJ160" s="516"/>
      <c r="AK160" s="516"/>
      <c r="AL160" s="516"/>
      <c r="AM160" s="516"/>
      <c r="AN160" s="516"/>
      <c r="AO160" s="516"/>
      <c r="AP160" s="516"/>
      <c r="AQ160" s="516"/>
      <c r="AR160" s="516"/>
      <c r="AS160" s="516"/>
      <c r="AT160" s="516"/>
      <c r="AU160" s="516"/>
      <c r="AV160" s="516"/>
      <c r="AW160" s="516"/>
      <c r="AX160" s="516"/>
      <c r="AY160" s="516"/>
      <c r="AZ160" s="516"/>
      <c r="BA160" s="516"/>
      <c r="BB160" s="516"/>
      <c r="BC160" s="516"/>
      <c r="BD160" s="516"/>
      <c r="BE160" s="516"/>
      <c r="BF160" s="516"/>
      <c r="BG160" s="516"/>
      <c r="BH160" s="516"/>
      <c r="BI160" s="516"/>
      <c r="BJ160" s="516"/>
      <c r="BK160" s="650"/>
      <c r="BL160" s="650"/>
      <c r="BM160" s="650"/>
      <c r="BN160" s="650"/>
      <c r="BO160" s="650"/>
      <c r="BP160" s="650"/>
      <c r="BQ160" s="516"/>
      <c r="BR160" s="516"/>
      <c r="BS160" s="516"/>
      <c r="BT160" s="516"/>
      <c r="BU160" s="516"/>
      <c r="BV160" s="516"/>
      <c r="BW160" s="516"/>
      <c r="BX160" s="516"/>
      <c r="BY160" s="516"/>
      <c r="BZ160" s="516"/>
      <c r="CA160" s="516"/>
      <c r="CB160" s="517"/>
      <c r="CD160" s="560" t="str">
        <f>E30</f>
        <v xml:space="preserve">  2F</v>
      </c>
      <c r="CE160" s="547" t="str">
        <f t="shared" si="44"/>
        <v xml:space="preserve">  2F</v>
      </c>
      <c r="CF160" s="548">
        <f>IF(LEFT(CE160,2)=" B","",O30)</f>
        <v>4</v>
      </c>
      <c r="CG160" s="549">
        <f>IF(CE160="","",SUM($CF$157:CF160)+$CG$156)</f>
        <v>9.75</v>
      </c>
      <c r="CH160" s="550">
        <f t="shared" si="45"/>
        <v>0</v>
      </c>
      <c r="CI160" s="548">
        <f t="shared" si="46"/>
        <v>0</v>
      </c>
      <c r="CJ160" s="549">
        <f t="shared" si="47"/>
        <v>0</v>
      </c>
      <c r="CK160" s="556">
        <f t="shared" si="50"/>
        <v>0</v>
      </c>
      <c r="CL160" s="546">
        <f t="shared" si="48"/>
        <v>1</v>
      </c>
      <c r="CM160" s="552">
        <f t="shared" si="51"/>
        <v>0</v>
      </c>
      <c r="CN160" s="553">
        <f t="shared" si="49"/>
        <v>30</v>
      </c>
      <c r="CO160" s="554">
        <f t="shared" si="52"/>
        <v>31.8</v>
      </c>
      <c r="CP160" s="555" t="s">
        <v>2190</v>
      </c>
      <c r="DC160" s="156"/>
      <c r="DD160" s="137"/>
      <c r="DE160" s="156"/>
      <c r="DF160" s="156"/>
      <c r="DG160" s="156"/>
      <c r="DH160" s="156"/>
      <c r="DI160" s="156"/>
      <c r="DJ160" s="156"/>
      <c r="DK160" s="156"/>
      <c r="DL160" s="156"/>
      <c r="DM160" s="156"/>
      <c r="DN160" s="156"/>
      <c r="DO160" s="156"/>
      <c r="DP160" s="156"/>
      <c r="DQ160" s="156"/>
      <c r="DR160" s="156"/>
      <c r="DS160" s="156"/>
      <c r="DT160" s="156"/>
      <c r="DU160" s="156"/>
      <c r="DV160" s="156"/>
      <c r="DW160" s="156"/>
      <c r="DX160" s="156"/>
      <c r="DY160" s="156"/>
      <c r="DZ160" s="156"/>
      <c r="EA160" s="156"/>
      <c r="EB160" s="156"/>
      <c r="EC160" s="156"/>
      <c r="ED160" s="156"/>
      <c r="EE160" s="156"/>
      <c r="EF160" s="156"/>
      <c r="EG160" s="156"/>
      <c r="EH160" s="156"/>
      <c r="EI160" s="156"/>
      <c r="EJ160" s="156"/>
      <c r="EK160" s="156"/>
      <c r="EL160" s="156"/>
      <c r="EM160" s="156"/>
      <c r="EN160" s="156"/>
      <c r="EO160" s="156"/>
      <c r="EP160" s="156"/>
      <c r="EQ160" s="156"/>
      <c r="ER160" s="156"/>
      <c r="ES160" s="156"/>
      <c r="ET160" s="156"/>
      <c r="EU160" s="156"/>
      <c r="EV160" s="156"/>
      <c r="EW160" s="156"/>
      <c r="EX160" s="156"/>
      <c r="EY160" s="156"/>
      <c r="EZ160" s="156"/>
      <c r="FA160" s="156"/>
      <c r="FB160" s="156"/>
      <c r="FC160" s="156"/>
      <c r="FD160" s="156"/>
      <c r="FE160" s="156"/>
      <c r="FF160" s="156"/>
      <c r="FG160" s="156"/>
      <c r="FL160" s="157" t="s">
        <v>383</v>
      </c>
      <c r="FM160" s="144">
        <v>8</v>
      </c>
      <c r="FN160" s="138" t="s">
        <v>316</v>
      </c>
      <c r="FO160" s="145">
        <v>3</v>
      </c>
    </row>
    <row r="161" spans="1:172" s="1" customFormat="1" ht="11.25" customHeight="1">
      <c r="A161" s="715"/>
      <c r="B161" s="2548"/>
      <c r="C161" s="516"/>
      <c r="D161" s="516"/>
      <c r="E161" s="516"/>
      <c r="F161" s="516"/>
      <c r="G161" s="516"/>
      <c r="H161" s="516"/>
      <c r="I161" s="516"/>
      <c r="J161" s="516"/>
      <c r="K161" s="516"/>
      <c r="L161" s="516"/>
      <c r="M161" s="516"/>
      <c r="N161" s="516"/>
      <c r="O161" s="653" t="s">
        <v>2129</v>
      </c>
      <c r="P161" s="516"/>
      <c r="Q161" s="516"/>
      <c r="R161" s="516"/>
      <c r="S161" s="516"/>
      <c r="T161" s="516"/>
      <c r="U161" s="516"/>
      <c r="V161" s="516"/>
      <c r="W161" s="516"/>
      <c r="X161" s="516"/>
      <c r="Y161" s="516"/>
      <c r="Z161" s="516"/>
      <c r="AA161" s="516"/>
      <c r="AB161" s="516"/>
      <c r="AC161" s="516"/>
      <c r="AD161" s="516"/>
      <c r="AE161" s="516"/>
      <c r="AF161" s="516"/>
      <c r="AG161" s="516"/>
      <c r="AH161" s="516"/>
      <c r="AI161" s="516"/>
      <c r="AJ161" s="516"/>
      <c r="AK161" s="516"/>
      <c r="AL161" s="516"/>
      <c r="AM161" s="516"/>
      <c r="AN161" s="516"/>
      <c r="AO161" s="516"/>
      <c r="AP161" s="516"/>
      <c r="AQ161" s="516"/>
      <c r="AR161" s="516"/>
      <c r="AS161" s="516"/>
      <c r="AT161" s="516"/>
      <c r="AU161" s="516"/>
      <c r="AV161" s="516"/>
      <c r="AW161" s="516"/>
      <c r="AX161" s="516"/>
      <c r="AY161" s="516"/>
      <c r="AZ161" s="516"/>
      <c r="BA161" s="516"/>
      <c r="BB161" s="516"/>
      <c r="BC161" s="516"/>
      <c r="BD161" s="516"/>
      <c r="BE161" s="516"/>
      <c r="BF161" s="516"/>
      <c r="BG161" s="653" t="s">
        <v>2130</v>
      </c>
      <c r="BH161" s="516"/>
      <c r="BI161" s="516"/>
      <c r="BJ161" s="516"/>
      <c r="BK161" s="650"/>
      <c r="BL161" s="650"/>
      <c r="BM161" s="650"/>
      <c r="BN161" s="650"/>
      <c r="BO161" s="650"/>
      <c r="BP161" s="650"/>
      <c r="BQ161" s="516"/>
      <c r="BR161" s="516"/>
      <c r="BS161" s="516"/>
      <c r="BT161" s="516"/>
      <c r="BU161" s="516"/>
      <c r="BV161" s="516"/>
      <c r="BW161" s="516"/>
      <c r="BX161" s="516"/>
      <c r="BY161" s="516"/>
      <c r="BZ161" s="516"/>
      <c r="CA161" s="516"/>
      <c r="CB161" s="517"/>
      <c r="CD161" s="560" t="str">
        <f>E32</f>
        <v xml:space="preserve">  3F</v>
      </c>
      <c r="CE161" s="547" t="str">
        <f t="shared" si="44"/>
        <v xml:space="preserve">  3F</v>
      </c>
      <c r="CF161" s="548">
        <f>IF(LEFT(CE161,2)=" B","",O32)</f>
        <v>4</v>
      </c>
      <c r="CG161" s="549">
        <f>IF(CE161="","",SUM($CF$157:CF161)+$CG$156)</f>
        <v>13.75</v>
      </c>
      <c r="CH161" s="550">
        <f t="shared" si="45"/>
        <v>0</v>
      </c>
      <c r="CI161" s="548">
        <f t="shared" si="46"/>
        <v>0</v>
      </c>
      <c r="CJ161" s="549">
        <f t="shared" si="47"/>
        <v>0</v>
      </c>
      <c r="CK161" s="556">
        <f t="shared" si="50"/>
        <v>0</v>
      </c>
      <c r="CL161" s="546">
        <f t="shared" si="48"/>
        <v>1</v>
      </c>
      <c r="CM161" s="552">
        <f t="shared" si="51"/>
        <v>0</v>
      </c>
      <c r="CN161" s="553">
        <f t="shared" si="49"/>
        <v>30</v>
      </c>
      <c r="CO161" s="554">
        <f t="shared" si="52"/>
        <v>31.8</v>
      </c>
      <c r="CP161" s="555" t="s">
        <v>2190</v>
      </c>
      <c r="DC161" s="156"/>
      <c r="DD161" s="137"/>
      <c r="DE161" s="156"/>
      <c r="DF161" s="156"/>
      <c r="DG161" s="156"/>
      <c r="DH161" s="156"/>
      <c r="DI161" s="156"/>
      <c r="DJ161" s="156"/>
      <c r="DK161" s="156"/>
      <c r="DL161" s="156"/>
      <c r="DM161" s="156"/>
      <c r="DN161" s="156"/>
      <c r="DO161" s="156"/>
      <c r="DP161" s="156"/>
      <c r="DQ161" s="156"/>
      <c r="DR161" s="156"/>
      <c r="DS161" s="156"/>
      <c r="DT161" s="156"/>
      <c r="DU161" s="156"/>
      <c r="DV161" s="156"/>
      <c r="DW161" s="156"/>
      <c r="DX161" s="156"/>
      <c r="DY161" s="156"/>
      <c r="DZ161" s="156"/>
      <c r="EA161" s="156"/>
      <c r="EB161" s="156"/>
      <c r="EC161" s="156"/>
      <c r="ED161" s="156"/>
      <c r="EE161" s="156"/>
      <c r="EF161" s="156"/>
      <c r="EG161" s="156"/>
      <c r="EH161" s="156"/>
      <c r="EI161" s="156"/>
      <c r="EJ161" s="156"/>
      <c r="EK161" s="156"/>
      <c r="EL161" s="156"/>
      <c r="EM161" s="156"/>
      <c r="EN161" s="156"/>
      <c r="EO161" s="156"/>
      <c r="EP161" s="156"/>
      <c r="EQ161" s="156"/>
      <c r="ER161" s="156"/>
      <c r="ES161" s="156"/>
      <c r="ET161" s="156"/>
      <c r="EU161" s="156"/>
      <c r="EV161" s="156"/>
      <c r="EW161" s="156"/>
      <c r="EX161" s="156"/>
      <c r="EY161" s="156"/>
      <c r="EZ161" s="156"/>
      <c r="FA161" s="156"/>
      <c r="FB161" s="156"/>
      <c r="FC161" s="156"/>
      <c r="FD161" s="156"/>
      <c r="FE161" s="156"/>
      <c r="FF161" s="156"/>
      <c r="FG161" s="156"/>
      <c r="FL161" s="157" t="s">
        <v>384</v>
      </c>
      <c r="FM161" s="144">
        <v>8</v>
      </c>
      <c r="FN161" s="138" t="s">
        <v>316</v>
      </c>
      <c r="FO161" s="145">
        <v>2</v>
      </c>
    </row>
    <row r="162" spans="1:172" s="1" customFormat="1" ht="11.25" customHeight="1">
      <c r="A162" s="715"/>
      <c r="B162" s="2548"/>
      <c r="C162" s="516"/>
      <c r="D162" s="516"/>
      <c r="E162" s="516"/>
      <c r="F162" s="516"/>
      <c r="G162" s="516"/>
      <c r="H162" s="516"/>
      <c r="I162" s="516"/>
      <c r="J162" s="516"/>
      <c r="K162" s="516"/>
      <c r="L162" s="516"/>
      <c r="M162" s="516"/>
      <c r="N162" s="516"/>
      <c r="O162" s="516"/>
      <c r="P162" s="516"/>
      <c r="Q162" s="516"/>
      <c r="R162" s="516"/>
      <c r="S162" s="516"/>
      <c r="T162" s="516"/>
      <c r="U162" s="516"/>
      <c r="V162" s="516"/>
      <c r="W162" s="516"/>
      <c r="X162" s="516"/>
      <c r="Y162" s="516"/>
      <c r="Z162" s="516"/>
      <c r="AA162" s="516"/>
      <c r="AB162" s="516"/>
      <c r="AC162" s="516"/>
      <c r="AD162" s="516"/>
      <c r="AE162" s="516"/>
      <c r="AF162" s="516"/>
      <c r="AG162" s="516"/>
      <c r="AH162" s="516"/>
      <c r="AI162" s="516"/>
      <c r="AJ162" s="516"/>
      <c r="AK162" s="516"/>
      <c r="AL162" s="516"/>
      <c r="AM162" s="516"/>
      <c r="AN162" s="516"/>
      <c r="AO162" s="516"/>
      <c r="AP162" s="516"/>
      <c r="AQ162" s="516"/>
      <c r="AR162" s="516"/>
      <c r="AS162" s="516"/>
      <c r="AT162" s="516"/>
      <c r="AU162" s="516"/>
      <c r="AV162" s="516"/>
      <c r="AW162" s="516"/>
      <c r="AX162" s="516"/>
      <c r="AY162" s="516"/>
      <c r="AZ162" s="516"/>
      <c r="BA162" s="650"/>
      <c r="BB162" s="650"/>
      <c r="BC162" s="650"/>
      <c r="BD162" s="650"/>
      <c r="BE162" s="650"/>
      <c r="BF162" s="650"/>
      <c r="BG162" s="650"/>
      <c r="BH162" s="650"/>
      <c r="BI162" s="650"/>
      <c r="BJ162" s="650"/>
      <c r="BK162" s="650"/>
      <c r="BL162" s="650"/>
      <c r="BM162" s="650"/>
      <c r="BN162" s="650"/>
      <c r="BO162" s="650"/>
      <c r="BP162" s="650"/>
      <c r="BQ162" s="516"/>
      <c r="BR162" s="516"/>
      <c r="BS162" s="516"/>
      <c r="BT162" s="516"/>
      <c r="BU162" s="516"/>
      <c r="BV162" s="516"/>
      <c r="BW162" s="516"/>
      <c r="BX162" s="516"/>
      <c r="BY162" s="516"/>
      <c r="BZ162" s="516"/>
      <c r="CA162" s="516"/>
      <c r="CB162" s="517"/>
      <c r="CD162" s="560" t="str">
        <f>E34</f>
        <v xml:space="preserve">  4F</v>
      </c>
      <c r="CE162" s="547" t="str">
        <f t="shared" si="44"/>
        <v xml:space="preserve">  4F</v>
      </c>
      <c r="CF162" s="548">
        <f>IF(LEFT(CE162,2)=" B","",O34)</f>
        <v>4</v>
      </c>
      <c r="CG162" s="549">
        <f>IF(CE162="","",SUM($CF$157:CF162)+$CG$156)</f>
        <v>17.75</v>
      </c>
      <c r="CH162" s="550">
        <f t="shared" si="45"/>
        <v>0</v>
      </c>
      <c r="CI162" s="548">
        <f t="shared" si="46"/>
        <v>0</v>
      </c>
      <c r="CJ162" s="549">
        <f t="shared" si="47"/>
        <v>0</v>
      </c>
      <c r="CK162" s="556">
        <f t="shared" si="50"/>
        <v>0</v>
      </c>
      <c r="CL162" s="546">
        <f t="shared" si="48"/>
        <v>1</v>
      </c>
      <c r="CM162" s="552">
        <f t="shared" si="51"/>
        <v>0</v>
      </c>
      <c r="CN162" s="553">
        <f t="shared" si="49"/>
        <v>12</v>
      </c>
      <c r="CO162" s="554">
        <f t="shared" si="52"/>
        <v>24</v>
      </c>
      <c r="CP162" s="555" t="s">
        <v>2190</v>
      </c>
      <c r="DC162" s="156"/>
      <c r="DD162" s="137"/>
      <c r="DE162" s="156"/>
      <c r="DF162" s="156"/>
      <c r="DG162" s="156"/>
      <c r="DH162" s="156"/>
      <c r="DI162" s="156"/>
      <c r="DJ162" s="156"/>
      <c r="DK162" s="156"/>
      <c r="DL162" s="156"/>
      <c r="DM162" s="156"/>
      <c r="DN162" s="156"/>
      <c r="DO162" s="156"/>
      <c r="DP162" s="156"/>
      <c r="DQ162" s="156"/>
      <c r="DR162" s="156"/>
      <c r="DS162" s="156"/>
      <c r="DT162" s="156"/>
      <c r="DU162" s="156"/>
      <c r="DV162" s="156"/>
      <c r="DW162" s="156"/>
      <c r="DX162" s="156"/>
      <c r="DY162" s="156"/>
      <c r="DZ162" s="156"/>
      <c r="EA162" s="156"/>
      <c r="EB162" s="156"/>
      <c r="EC162" s="156"/>
      <c r="ED162" s="156"/>
      <c r="EE162" s="156"/>
      <c r="EF162" s="156"/>
      <c r="EG162" s="156"/>
      <c r="EH162" s="156"/>
      <c r="EI162" s="156"/>
      <c r="EJ162" s="156"/>
      <c r="EK162" s="156"/>
      <c r="EL162" s="156"/>
      <c r="EM162" s="156"/>
      <c r="EN162" s="156"/>
      <c r="EO162" s="156"/>
      <c r="EP162" s="156"/>
      <c r="EQ162" s="156"/>
      <c r="ER162" s="156"/>
      <c r="ES162" s="156"/>
      <c r="ET162" s="156"/>
      <c r="EU162" s="156"/>
      <c r="EV162" s="156"/>
      <c r="EW162" s="156"/>
      <c r="EX162" s="156"/>
      <c r="EY162" s="156"/>
      <c r="EZ162" s="156"/>
      <c r="FA162" s="156"/>
      <c r="FB162" s="156"/>
      <c r="FC162" s="156"/>
      <c r="FD162" s="156"/>
      <c r="FE162" s="156"/>
      <c r="FF162" s="156"/>
      <c r="FG162" s="156"/>
      <c r="FL162" s="157" t="s">
        <v>385</v>
      </c>
      <c r="FM162" s="144">
        <v>8</v>
      </c>
      <c r="FN162" s="138" t="s">
        <v>316</v>
      </c>
      <c r="FO162" s="145">
        <v>11</v>
      </c>
    </row>
    <row r="163" spans="1:172" s="1" customFormat="1" ht="11.25" customHeight="1">
      <c r="A163" s="715"/>
      <c r="B163" s="2548"/>
      <c r="C163" s="516"/>
      <c r="D163" s="516"/>
      <c r="E163" s="885" t="s">
        <v>2148</v>
      </c>
      <c r="F163" s="516"/>
      <c r="G163" s="516"/>
      <c r="H163" s="516"/>
      <c r="I163" s="516"/>
      <c r="J163" s="516"/>
      <c r="K163" s="516"/>
      <c r="L163" s="516"/>
      <c r="M163" s="516"/>
      <c r="N163" s="516"/>
      <c r="O163" s="653" t="s">
        <v>2131</v>
      </c>
      <c r="P163" s="516"/>
      <c r="Q163" s="516"/>
      <c r="R163" s="516"/>
      <c r="S163" s="516"/>
      <c r="T163" s="516"/>
      <c r="U163" s="516"/>
      <c r="V163" s="516"/>
      <c r="W163" s="516"/>
      <c r="X163" s="516"/>
      <c r="Y163" s="516"/>
      <c r="Z163" s="516"/>
      <c r="AA163" s="516"/>
      <c r="AB163" s="516"/>
      <c r="AC163" s="516"/>
      <c r="AD163" s="516"/>
      <c r="AE163" s="516"/>
      <c r="AF163" s="516"/>
      <c r="AG163" s="516"/>
      <c r="AH163" s="516"/>
      <c r="AI163" s="516"/>
      <c r="AJ163" s="516"/>
      <c r="AK163" s="516"/>
      <c r="AL163" s="516"/>
      <c r="AM163" s="516"/>
      <c r="AN163" s="516"/>
      <c r="AO163" s="516"/>
      <c r="AP163" s="516"/>
      <c r="AQ163" s="516"/>
      <c r="AR163" s="516"/>
      <c r="AS163" s="516"/>
      <c r="AT163" s="516"/>
      <c r="AU163" s="516"/>
      <c r="AV163" s="516"/>
      <c r="AW163" s="516"/>
      <c r="AX163" s="516"/>
      <c r="AY163" s="516"/>
      <c r="AZ163" s="516"/>
      <c r="BA163" s="516"/>
      <c r="BB163" s="516"/>
      <c r="BC163" s="516"/>
      <c r="BD163" s="516"/>
      <c r="BE163" s="516"/>
      <c r="BF163" s="516"/>
      <c r="BG163" s="653"/>
      <c r="BH163" s="516"/>
      <c r="BI163" s="516"/>
      <c r="BJ163" s="653" t="s">
        <v>2132</v>
      </c>
      <c r="BK163" s="516"/>
      <c r="BL163" s="516"/>
      <c r="BM163" s="516"/>
      <c r="BN163" s="516"/>
      <c r="BO163" s="516"/>
      <c r="BP163" s="516"/>
      <c r="BQ163" s="516"/>
      <c r="BR163" s="516"/>
      <c r="BS163" s="516"/>
      <c r="BT163" s="516"/>
      <c r="BU163" s="516"/>
      <c r="BV163" s="516"/>
      <c r="BW163" s="516"/>
      <c r="BX163" s="516"/>
      <c r="BY163" s="516"/>
      <c r="BZ163" s="516"/>
      <c r="CA163" s="516"/>
      <c r="CB163" s="517"/>
      <c r="CD163" s="560" t="str">
        <f>E36</f>
        <v xml:space="preserve">  5F</v>
      </c>
      <c r="CE163" s="547" t="str">
        <f t="shared" si="44"/>
        <v xml:space="preserve">  5F</v>
      </c>
      <c r="CF163" s="548">
        <f>IF(LEFT(CE163,2)=" B","",O36)</f>
        <v>4</v>
      </c>
      <c r="CG163" s="549">
        <f>IF(CE163="","",SUM($CF$157:CF163)+$CG$156)</f>
        <v>21.75</v>
      </c>
      <c r="CH163" s="550">
        <f t="shared" si="45"/>
        <v>0</v>
      </c>
      <c r="CI163" s="548">
        <f t="shared" si="46"/>
        <v>0</v>
      </c>
      <c r="CJ163" s="549">
        <f t="shared" si="47"/>
        <v>0</v>
      </c>
      <c r="CK163" s="556">
        <f t="shared" si="50"/>
        <v>0</v>
      </c>
      <c r="CL163" s="546">
        <f t="shared" si="48"/>
        <v>1</v>
      </c>
      <c r="CM163" s="552">
        <f t="shared" si="51"/>
        <v>0</v>
      </c>
      <c r="CN163" s="553">
        <f t="shared" si="49"/>
        <v>12</v>
      </c>
      <c r="CO163" s="554">
        <f t="shared" si="52"/>
        <v>24</v>
      </c>
      <c r="CP163" s="555" t="s">
        <v>2190</v>
      </c>
      <c r="DC163" s="156"/>
      <c r="DD163" s="137"/>
      <c r="DE163" s="156"/>
      <c r="DF163" s="156"/>
      <c r="DG163" s="156"/>
      <c r="DH163" s="156"/>
      <c r="DI163" s="156"/>
      <c r="DJ163" s="156"/>
      <c r="DK163" s="156"/>
      <c r="DL163" s="156"/>
      <c r="DM163" s="156"/>
      <c r="DN163" s="156"/>
      <c r="DO163" s="156"/>
      <c r="DP163" s="156"/>
      <c r="DQ163" s="156"/>
      <c r="DR163" s="156"/>
      <c r="DS163" s="156"/>
      <c r="DT163" s="156"/>
      <c r="DU163" s="156"/>
      <c r="DV163" s="156"/>
      <c r="DW163" s="156"/>
      <c r="DX163" s="156"/>
      <c r="DY163" s="156"/>
      <c r="DZ163" s="156"/>
      <c r="EA163" s="156"/>
      <c r="EB163" s="156"/>
      <c r="EC163" s="156"/>
      <c r="ED163" s="156"/>
      <c r="EE163" s="156"/>
      <c r="EF163" s="156"/>
      <c r="EG163" s="156"/>
      <c r="EH163" s="156"/>
      <c r="EI163" s="156"/>
      <c r="EJ163" s="156"/>
      <c r="EK163" s="156"/>
      <c r="EL163" s="156"/>
      <c r="EM163" s="156"/>
      <c r="EN163" s="156"/>
      <c r="EO163" s="156"/>
      <c r="EP163" s="156"/>
      <c r="EQ163" s="156"/>
      <c r="ER163" s="156"/>
      <c r="ES163" s="156"/>
      <c r="ET163" s="156"/>
      <c r="EU163" s="156"/>
      <c r="EV163" s="156"/>
      <c r="EW163" s="156"/>
      <c r="EX163" s="156"/>
      <c r="EY163" s="156"/>
      <c r="EZ163" s="156"/>
      <c r="FA163" s="156"/>
      <c r="FB163" s="156"/>
      <c r="FC163" s="156"/>
      <c r="FD163" s="156"/>
      <c r="FE163" s="156"/>
      <c r="FF163" s="156"/>
      <c r="FG163" s="156"/>
      <c r="FL163" s="157" t="s">
        <v>386</v>
      </c>
      <c r="FM163" s="144">
        <v>8</v>
      </c>
      <c r="FN163" s="138" t="s">
        <v>316</v>
      </c>
      <c r="FO163" s="145">
        <v>6</v>
      </c>
    </row>
    <row r="164" spans="1:172" s="1" customFormat="1" ht="11.25" customHeight="1">
      <c r="A164" s="715"/>
      <c r="B164" s="2548"/>
      <c r="C164" s="516"/>
      <c r="D164" s="516"/>
      <c r="E164" s="516"/>
      <c r="F164" s="516"/>
      <c r="G164" s="516"/>
      <c r="H164" s="516"/>
      <c r="I164" s="516"/>
      <c r="J164" s="516"/>
      <c r="K164" s="516"/>
      <c r="L164" s="516"/>
      <c r="M164" s="516"/>
      <c r="N164" s="516"/>
      <c r="O164" s="653" t="s">
        <v>2133</v>
      </c>
      <c r="P164" s="516"/>
      <c r="Q164" s="516"/>
      <c r="R164" s="516"/>
      <c r="S164" s="516"/>
      <c r="T164" s="516"/>
      <c r="U164" s="516"/>
      <c r="V164" s="516"/>
      <c r="W164" s="516"/>
      <c r="X164" s="516"/>
      <c r="Y164" s="516"/>
      <c r="Z164" s="516"/>
      <c r="AA164" s="516"/>
      <c r="AB164" s="516"/>
      <c r="AC164" s="516"/>
      <c r="AD164" s="516"/>
      <c r="AE164" s="516"/>
      <c r="AF164" s="516"/>
      <c r="AG164" s="516"/>
      <c r="AH164" s="516"/>
      <c r="AI164" s="516"/>
      <c r="AJ164" s="516"/>
      <c r="AK164" s="516"/>
      <c r="AL164" s="516"/>
      <c r="AM164" s="516"/>
      <c r="AN164" s="516"/>
      <c r="AO164" s="516"/>
      <c r="AP164" s="516"/>
      <c r="AQ164" s="516"/>
      <c r="AR164" s="516"/>
      <c r="AS164" s="516"/>
      <c r="AT164" s="516"/>
      <c r="AU164" s="516"/>
      <c r="AV164" s="516"/>
      <c r="AW164" s="516"/>
      <c r="AX164" s="516"/>
      <c r="AY164" s="516"/>
      <c r="AZ164" s="516"/>
      <c r="BA164" s="516"/>
      <c r="BB164" s="516"/>
      <c r="BC164" s="516"/>
      <c r="BD164" s="516"/>
      <c r="BE164" s="516"/>
      <c r="BF164" s="516"/>
      <c r="BG164" s="516"/>
      <c r="BH164" s="516"/>
      <c r="BI164" s="516"/>
      <c r="BJ164" s="516"/>
      <c r="BK164" s="516"/>
      <c r="BL164" s="516"/>
      <c r="BM164" s="516"/>
      <c r="BN164" s="516"/>
      <c r="BO164" s="516"/>
      <c r="BP164" s="516"/>
      <c r="BQ164" s="516"/>
      <c r="BR164" s="516"/>
      <c r="BS164" s="516"/>
      <c r="BT164" s="516"/>
      <c r="BU164" s="516"/>
      <c r="BV164" s="516"/>
      <c r="BW164" s="516"/>
      <c r="BX164" s="516"/>
      <c r="BY164" s="516"/>
      <c r="BZ164" s="516"/>
      <c r="CA164" s="516"/>
      <c r="CB164" s="517"/>
      <c r="CD164" s="560" t="str">
        <f>E38</f>
        <v xml:space="preserve">  6F</v>
      </c>
      <c r="CE164" s="547" t="str">
        <f t="shared" si="44"/>
        <v xml:space="preserve">  6F</v>
      </c>
      <c r="CF164" s="548">
        <f>IF(LEFT(CE164,2)=" B","",O38)</f>
        <v>4</v>
      </c>
      <c r="CG164" s="549">
        <f>IF(CE164="","",SUM($CF$157:CF164)+$CG$156)</f>
        <v>25.75</v>
      </c>
      <c r="CH164" s="550">
        <f t="shared" si="45"/>
        <v>0</v>
      </c>
      <c r="CI164" s="548">
        <f t="shared" si="46"/>
        <v>0</v>
      </c>
      <c r="CJ164" s="549">
        <f t="shared" si="47"/>
        <v>0</v>
      </c>
      <c r="CK164" s="556">
        <f t="shared" si="50"/>
        <v>0</v>
      </c>
      <c r="CL164" s="546">
        <f t="shared" si="48"/>
        <v>1</v>
      </c>
      <c r="CM164" s="552">
        <f t="shared" si="51"/>
        <v>0</v>
      </c>
      <c r="CN164" s="553">
        <f t="shared" si="49"/>
        <v>12</v>
      </c>
      <c r="CO164" s="554">
        <f t="shared" si="52"/>
        <v>24</v>
      </c>
      <c r="CP164" s="555" t="s">
        <v>2190</v>
      </c>
      <c r="DC164" s="156"/>
      <c r="DD164" s="137"/>
      <c r="DE164" s="156"/>
      <c r="DF164" s="156"/>
      <c r="DG164" s="156"/>
      <c r="DH164" s="156"/>
      <c r="DI164" s="156"/>
      <c r="DJ164" s="156"/>
      <c r="DK164" s="156"/>
      <c r="DL164" s="156"/>
      <c r="DM164" s="156"/>
      <c r="DN164" s="156"/>
      <c r="DO164" s="156"/>
      <c r="DP164" s="156"/>
      <c r="DQ164" s="156"/>
      <c r="DR164" s="156"/>
      <c r="DS164" s="156"/>
      <c r="DT164" s="156"/>
      <c r="DU164" s="156"/>
      <c r="DV164" s="156"/>
      <c r="DW164" s="156"/>
      <c r="DX164" s="156"/>
      <c r="DY164" s="156"/>
      <c r="DZ164" s="156"/>
      <c r="EA164" s="156"/>
      <c r="EB164" s="156"/>
      <c r="EC164" s="156"/>
      <c r="ED164" s="156"/>
      <c r="EE164" s="156"/>
      <c r="EF164" s="156"/>
      <c r="EG164" s="156"/>
      <c r="EH164" s="156"/>
      <c r="EI164" s="156"/>
      <c r="EJ164" s="156"/>
      <c r="EK164" s="156"/>
      <c r="EL164" s="156"/>
      <c r="EM164" s="156"/>
      <c r="EN164" s="156"/>
      <c r="EO164" s="156"/>
      <c r="EP164" s="156"/>
      <c r="EQ164" s="156"/>
      <c r="ER164" s="156"/>
      <c r="ES164" s="156"/>
      <c r="ET164" s="156"/>
      <c r="EU164" s="156"/>
      <c r="EV164" s="156"/>
      <c r="EW164" s="156"/>
      <c r="EX164" s="156"/>
      <c r="EY164" s="156"/>
      <c r="EZ164" s="156"/>
      <c r="FA164" s="156"/>
      <c r="FB164" s="156"/>
      <c r="FC164" s="156"/>
      <c r="FD164" s="156"/>
      <c r="FE164" s="156"/>
      <c r="FF164" s="156"/>
      <c r="FG164" s="156"/>
      <c r="FL164" s="157" t="s">
        <v>1050</v>
      </c>
      <c r="FM164" s="144">
        <v>10</v>
      </c>
      <c r="FN164" s="138" t="s">
        <v>318</v>
      </c>
      <c r="FO164" s="145">
        <v>3</v>
      </c>
      <c r="FP164" s="515" t="s">
        <v>1051</v>
      </c>
    </row>
    <row r="165" spans="1:172" s="1" customFormat="1" ht="11.25" customHeight="1">
      <c r="A165" s="715"/>
      <c r="B165" s="2548"/>
      <c r="C165" s="516"/>
      <c r="D165" s="516"/>
      <c r="E165" s="516"/>
      <c r="F165" s="516"/>
      <c r="G165" s="516"/>
      <c r="H165" s="516"/>
      <c r="I165" s="516"/>
      <c r="J165" s="516"/>
      <c r="K165" s="516"/>
      <c r="L165" s="516"/>
      <c r="M165" s="516"/>
      <c r="N165" s="516"/>
      <c r="O165" s="516"/>
      <c r="P165" s="516"/>
      <c r="Q165" s="516"/>
      <c r="R165" s="516"/>
      <c r="S165" s="516"/>
      <c r="T165" s="516"/>
      <c r="U165" s="516"/>
      <c r="V165" s="516"/>
      <c r="W165" s="516"/>
      <c r="X165" s="516"/>
      <c r="Y165" s="516"/>
      <c r="Z165" s="516"/>
      <c r="AA165" s="516"/>
      <c r="AB165" s="516"/>
      <c r="AC165" s="516"/>
      <c r="AD165" s="516"/>
      <c r="AE165" s="516"/>
      <c r="AF165" s="516"/>
      <c r="AG165" s="516"/>
      <c r="AH165" s="516"/>
      <c r="AI165" s="516"/>
      <c r="AJ165" s="516"/>
      <c r="AK165" s="516"/>
      <c r="AL165" s="516"/>
      <c r="AM165" s="516"/>
      <c r="AN165" s="516"/>
      <c r="AO165" s="516"/>
      <c r="AP165" s="516"/>
      <c r="AQ165" s="516"/>
      <c r="AR165" s="516"/>
      <c r="AS165" s="516"/>
      <c r="AT165" s="516"/>
      <c r="AU165" s="516"/>
      <c r="AV165" s="516"/>
      <c r="AW165" s="516"/>
      <c r="AX165" s="516"/>
      <c r="AY165" s="516"/>
      <c r="AZ165" s="516"/>
      <c r="BA165" s="516"/>
      <c r="BB165" s="516"/>
      <c r="BC165" s="516"/>
      <c r="BD165" s="516"/>
      <c r="BE165" s="516"/>
      <c r="BF165" s="516"/>
      <c r="BG165" s="516"/>
      <c r="BH165" s="516"/>
      <c r="BI165" s="516"/>
      <c r="BJ165" s="516"/>
      <c r="BK165" s="516"/>
      <c r="BL165" s="516"/>
      <c r="BM165" s="516"/>
      <c r="BN165" s="516"/>
      <c r="BO165" s="516"/>
      <c r="BP165" s="516"/>
      <c r="BQ165" s="516"/>
      <c r="BR165" s="516"/>
      <c r="BS165" s="516"/>
      <c r="BT165" s="516"/>
      <c r="BU165" s="516"/>
      <c r="BV165" s="516"/>
      <c r="BW165" s="516"/>
      <c r="BX165" s="516"/>
      <c r="BY165" s="516"/>
      <c r="BZ165" s="516"/>
      <c r="CA165" s="516"/>
      <c r="CB165" s="517"/>
      <c r="CD165" s="560" t="str">
        <f>E40</f>
        <v xml:space="preserve">  7F</v>
      </c>
      <c r="CE165" s="547" t="str">
        <f t="shared" si="44"/>
        <v xml:space="preserve">  7F</v>
      </c>
      <c r="CF165" s="548">
        <f>IF(LEFT(CE165,2)=" B","",O40)</f>
        <v>4</v>
      </c>
      <c r="CG165" s="549">
        <f>IF(CE165="","",SUM($CF$157:CF165)+$CG$156)</f>
        <v>29.75</v>
      </c>
      <c r="CH165" s="550">
        <f t="shared" si="45"/>
        <v>0</v>
      </c>
      <c r="CI165" s="548">
        <f t="shared" si="46"/>
        <v>0</v>
      </c>
      <c r="CJ165" s="549">
        <f t="shared" si="47"/>
        <v>0</v>
      </c>
      <c r="CK165" s="556">
        <f t="shared" si="50"/>
        <v>0</v>
      </c>
      <c r="CL165" s="546">
        <f t="shared" si="48"/>
        <v>1</v>
      </c>
      <c r="CM165" s="552">
        <f t="shared" si="51"/>
        <v>0</v>
      </c>
      <c r="CN165" s="553">
        <f t="shared" si="49"/>
        <v>12</v>
      </c>
      <c r="CO165" s="554">
        <f t="shared" si="52"/>
        <v>24</v>
      </c>
      <c r="CP165" s="555" t="s">
        <v>2190</v>
      </c>
      <c r="DC165" s="156"/>
      <c r="DD165" s="137"/>
      <c r="DE165" s="156"/>
      <c r="DF165" s="156"/>
      <c r="DG165" s="156"/>
      <c r="DH165" s="156"/>
      <c r="DI165" s="156"/>
      <c r="DJ165" s="156"/>
      <c r="DK165" s="156"/>
      <c r="DL165" s="156"/>
      <c r="DM165" s="156"/>
      <c r="DN165" s="156"/>
      <c r="DO165" s="156"/>
      <c r="DP165" s="156"/>
      <c r="DQ165" s="156"/>
      <c r="DR165" s="156"/>
      <c r="DS165" s="156"/>
      <c r="DT165" s="156"/>
      <c r="DU165" s="156"/>
      <c r="DV165" s="156"/>
      <c r="DW165" s="156"/>
      <c r="DX165" s="156"/>
      <c r="DY165" s="156"/>
      <c r="DZ165" s="156"/>
      <c r="EA165" s="156"/>
      <c r="EB165" s="156"/>
      <c r="EC165" s="156"/>
      <c r="ED165" s="156"/>
      <c r="EE165" s="156"/>
      <c r="EF165" s="156"/>
      <c r="EG165" s="156"/>
      <c r="EH165" s="156"/>
      <c r="EI165" s="156"/>
      <c r="EJ165" s="156"/>
      <c r="EK165" s="156"/>
      <c r="EL165" s="156"/>
      <c r="EM165" s="156"/>
      <c r="EN165" s="156"/>
      <c r="EO165" s="156"/>
      <c r="EP165" s="156"/>
      <c r="EQ165" s="156"/>
      <c r="ER165" s="156"/>
      <c r="ES165" s="156"/>
      <c r="ET165" s="156"/>
      <c r="EU165" s="156"/>
      <c r="EV165" s="156"/>
      <c r="EW165" s="156"/>
      <c r="EX165" s="156"/>
      <c r="EY165" s="156"/>
      <c r="EZ165" s="156"/>
      <c r="FA165" s="156"/>
      <c r="FB165" s="156"/>
      <c r="FC165" s="156"/>
      <c r="FD165" s="156"/>
      <c r="FE165" s="156"/>
      <c r="FF165" s="156"/>
      <c r="FG165" s="156"/>
      <c r="FL165" s="157"/>
      <c r="FM165" s="144"/>
      <c r="FN165" s="138"/>
      <c r="FO165" s="145"/>
    </row>
    <row r="166" spans="1:172" s="1" customFormat="1" ht="11.25" customHeight="1">
      <c r="A166" s="715"/>
      <c r="B166" s="2548"/>
      <c r="C166" s="516"/>
      <c r="D166" s="516"/>
      <c r="E166" s="885" t="s">
        <v>2149</v>
      </c>
      <c r="F166" s="516"/>
      <c r="G166" s="516"/>
      <c r="H166" s="516"/>
      <c r="I166" s="516"/>
      <c r="J166" s="516"/>
      <c r="K166" s="516"/>
      <c r="L166" s="516"/>
      <c r="M166" s="516"/>
      <c r="N166" s="516"/>
      <c r="O166" s="653" t="s">
        <v>2134</v>
      </c>
      <c r="P166" s="516"/>
      <c r="Q166" s="516"/>
      <c r="R166" s="516"/>
      <c r="S166" s="516"/>
      <c r="T166" s="516"/>
      <c r="U166" s="516"/>
      <c r="V166" s="516"/>
      <c r="W166" s="516"/>
      <c r="X166" s="516"/>
      <c r="Y166" s="516"/>
      <c r="Z166" s="516"/>
      <c r="AA166" s="516"/>
      <c r="AB166" s="516"/>
      <c r="AC166" s="516"/>
      <c r="AD166" s="516"/>
      <c r="AE166" s="516"/>
      <c r="AF166" s="516"/>
      <c r="AG166" s="516"/>
      <c r="AH166" s="653" t="s">
        <v>2135</v>
      </c>
      <c r="AI166" s="516"/>
      <c r="AJ166" s="516"/>
      <c r="AK166" s="516"/>
      <c r="AL166" s="516"/>
      <c r="AM166" s="516"/>
      <c r="AN166" s="516"/>
      <c r="AO166" s="516"/>
      <c r="AP166" s="516"/>
      <c r="AQ166" s="516"/>
      <c r="AR166" s="516"/>
      <c r="AS166" s="516"/>
      <c r="AT166" s="516"/>
      <c r="AU166" s="516"/>
      <c r="AV166" s="516"/>
      <c r="AW166" s="516"/>
      <c r="AX166" s="516"/>
      <c r="AY166" s="516"/>
      <c r="AZ166" s="516"/>
      <c r="BA166" s="516"/>
      <c r="BB166" s="516"/>
      <c r="BC166" s="516"/>
      <c r="BD166" s="516"/>
      <c r="BE166" s="516"/>
      <c r="BF166" s="516"/>
      <c r="BG166" s="516"/>
      <c r="BH166" s="516"/>
      <c r="BI166" s="516"/>
      <c r="BJ166" s="516"/>
      <c r="BK166" s="516"/>
      <c r="BL166" s="516"/>
      <c r="BM166" s="516"/>
      <c r="BN166" s="516"/>
      <c r="BO166" s="516"/>
      <c r="BP166" s="516"/>
      <c r="BQ166" s="516"/>
      <c r="BR166" s="516"/>
      <c r="BS166" s="516"/>
      <c r="BT166" s="516"/>
      <c r="BU166" s="516"/>
      <c r="BV166" s="516"/>
      <c r="BW166" s="516"/>
      <c r="BX166" s="516"/>
      <c r="BY166" s="516"/>
      <c r="BZ166" s="516"/>
      <c r="CA166" s="516"/>
      <c r="CB166" s="517"/>
      <c r="CD166" s="560" t="str">
        <f>E42</f>
        <v xml:space="preserve">  8F</v>
      </c>
      <c r="CE166" s="547" t="str">
        <f t="shared" si="44"/>
        <v xml:space="preserve">  8F</v>
      </c>
      <c r="CF166" s="548">
        <f>IF(LEFT(CE166,2)=" B","",O42)</f>
        <v>4</v>
      </c>
      <c r="CG166" s="549">
        <f>IF(CE166="","",SUM($CF$157:CF166)+$CG$156)</f>
        <v>33.75</v>
      </c>
      <c r="CH166" s="550">
        <f t="shared" si="45"/>
        <v>0</v>
      </c>
      <c r="CI166" s="548">
        <f t="shared" si="46"/>
        <v>0</v>
      </c>
      <c r="CJ166" s="549">
        <f t="shared" si="47"/>
        <v>0</v>
      </c>
      <c r="CK166" s="556">
        <f t="shared" si="50"/>
        <v>0</v>
      </c>
      <c r="CL166" s="546">
        <f t="shared" si="48"/>
        <v>1</v>
      </c>
      <c r="CM166" s="552">
        <f t="shared" si="51"/>
        <v>0</v>
      </c>
      <c r="CN166" s="553">
        <f t="shared" si="49"/>
        <v>12</v>
      </c>
      <c r="CO166" s="554">
        <f t="shared" si="52"/>
        <v>24</v>
      </c>
      <c r="CP166" s="555" t="s">
        <v>2190</v>
      </c>
      <c r="DC166" s="156"/>
      <c r="DD166" s="137"/>
      <c r="DE166" s="156"/>
      <c r="DF166" s="156"/>
      <c r="DG166" s="156"/>
      <c r="DH166" s="156"/>
      <c r="DI166" s="156"/>
      <c r="DJ166" s="156"/>
      <c r="DK166" s="156"/>
      <c r="DL166" s="156"/>
      <c r="DM166" s="156"/>
      <c r="DN166" s="156"/>
      <c r="DO166" s="156"/>
      <c r="DP166" s="156"/>
      <c r="DQ166" s="156"/>
      <c r="DR166" s="156"/>
      <c r="DS166" s="156"/>
      <c r="DT166" s="156"/>
      <c r="DU166" s="156"/>
      <c r="DV166" s="156"/>
      <c r="DW166" s="156"/>
      <c r="DX166" s="156"/>
      <c r="DY166" s="156"/>
      <c r="DZ166" s="156"/>
      <c r="EA166" s="156"/>
      <c r="EB166" s="156"/>
      <c r="EC166" s="156"/>
      <c r="ED166" s="156"/>
      <c r="EE166" s="156"/>
      <c r="EF166" s="156"/>
      <c r="EG166" s="156"/>
      <c r="EH166" s="156"/>
      <c r="EI166" s="156"/>
      <c r="EJ166" s="156"/>
      <c r="EK166" s="156"/>
      <c r="EL166" s="156"/>
      <c r="EM166" s="156"/>
      <c r="EN166" s="156"/>
      <c r="EO166" s="156"/>
      <c r="EP166" s="156"/>
      <c r="EQ166" s="156"/>
      <c r="ER166" s="156"/>
      <c r="ES166" s="156"/>
      <c r="ET166" s="156"/>
      <c r="EU166" s="156"/>
      <c r="EV166" s="156"/>
      <c r="EW166" s="156"/>
      <c r="EX166" s="156"/>
      <c r="EY166" s="156"/>
      <c r="EZ166" s="156"/>
      <c r="FA166" s="156"/>
      <c r="FB166" s="156"/>
      <c r="FC166" s="156"/>
      <c r="FD166" s="156"/>
      <c r="FE166" s="156"/>
      <c r="FF166" s="156"/>
      <c r="FG166" s="156"/>
      <c r="FL166" s="157" t="s">
        <v>387</v>
      </c>
      <c r="FM166" s="144">
        <v>10</v>
      </c>
      <c r="FN166" s="138" t="s">
        <v>320</v>
      </c>
      <c r="FO166" s="145">
        <v>4</v>
      </c>
    </row>
    <row r="167" spans="1:172" s="1" customFormat="1" ht="11.25" customHeight="1">
      <c r="A167" s="715"/>
      <c r="B167" s="2548"/>
      <c r="C167" s="516"/>
      <c r="D167" s="516"/>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c r="AA167" s="516"/>
      <c r="AB167" s="516"/>
      <c r="AC167" s="516"/>
      <c r="AD167" s="516"/>
      <c r="AE167" s="516"/>
      <c r="AF167" s="516"/>
      <c r="AG167" s="516"/>
      <c r="AH167" s="516"/>
      <c r="AI167" s="516"/>
      <c r="AJ167" s="516"/>
      <c r="AK167" s="516"/>
      <c r="AL167" s="516"/>
      <c r="AM167" s="516"/>
      <c r="AN167" s="516"/>
      <c r="AO167" s="516"/>
      <c r="AP167" s="516"/>
      <c r="AQ167" s="516"/>
      <c r="AR167" s="516"/>
      <c r="AS167" s="516"/>
      <c r="AT167" s="516"/>
      <c r="AU167" s="516"/>
      <c r="AV167" s="516"/>
      <c r="AW167" s="516"/>
      <c r="AX167" s="516"/>
      <c r="AY167" s="516"/>
      <c r="AZ167" s="516"/>
      <c r="BA167" s="516"/>
      <c r="BB167" s="516"/>
      <c r="BC167" s="516"/>
      <c r="BD167" s="516"/>
      <c r="BE167" s="516"/>
      <c r="BF167" s="516"/>
      <c r="BG167" s="516"/>
      <c r="BH167" s="516"/>
      <c r="BI167" s="516"/>
      <c r="BJ167" s="516"/>
      <c r="BK167" s="516"/>
      <c r="BL167" s="516"/>
      <c r="BM167" s="516"/>
      <c r="BN167" s="516"/>
      <c r="BO167" s="516"/>
      <c r="BP167" s="516"/>
      <c r="BQ167" s="516"/>
      <c r="BR167" s="516"/>
      <c r="BS167" s="516"/>
      <c r="BT167" s="516"/>
      <c r="BU167" s="516"/>
      <c r="BV167" s="516"/>
      <c r="BW167" s="516"/>
      <c r="BX167" s="516"/>
      <c r="BY167" s="516"/>
      <c r="BZ167" s="516"/>
      <c r="CA167" s="516"/>
      <c r="CB167" s="517"/>
      <c r="CD167" s="560" t="str">
        <f>E44</f>
        <v xml:space="preserve">  9F</v>
      </c>
      <c r="CE167" s="547" t="str">
        <f t="shared" si="44"/>
        <v xml:space="preserve">  9F</v>
      </c>
      <c r="CF167" s="548">
        <f>IF(LEFT(CE167,2)=" B","",O44)</f>
        <v>4</v>
      </c>
      <c r="CG167" s="549">
        <f>IF(CE167="","",SUM($CF$157:CF167)+$CG$156)</f>
        <v>37.75</v>
      </c>
      <c r="CH167" s="550">
        <f t="shared" si="45"/>
        <v>0</v>
      </c>
      <c r="CI167" s="548">
        <f t="shared" si="46"/>
        <v>0</v>
      </c>
      <c r="CJ167" s="549">
        <f t="shared" si="47"/>
        <v>0</v>
      </c>
      <c r="CK167" s="556">
        <f t="shared" si="50"/>
        <v>0</v>
      </c>
      <c r="CL167" s="546">
        <f t="shared" si="48"/>
        <v>1</v>
      </c>
      <c r="CM167" s="552">
        <f t="shared" si="51"/>
        <v>0</v>
      </c>
      <c r="CN167" s="553">
        <f t="shared" si="49"/>
        <v>12</v>
      </c>
      <c r="CO167" s="554">
        <f t="shared" si="52"/>
        <v>24</v>
      </c>
      <c r="CP167" s="555" t="s">
        <v>2190</v>
      </c>
      <c r="DC167" s="156"/>
      <c r="DD167" s="137"/>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c r="FL167" s="157"/>
      <c r="FM167" s="13"/>
    </row>
    <row r="168" spans="1:172" s="1" customFormat="1" ht="11.25" customHeight="1">
      <c r="A168" s="715"/>
      <c r="B168" s="2548"/>
      <c r="C168" s="516"/>
      <c r="D168" s="516"/>
      <c r="E168" s="885" t="s">
        <v>2150</v>
      </c>
      <c r="F168" s="516"/>
      <c r="G168" s="516"/>
      <c r="H168" s="516"/>
      <c r="I168" s="516"/>
      <c r="J168" s="516"/>
      <c r="K168" s="516"/>
      <c r="L168" s="516"/>
      <c r="M168" s="516"/>
      <c r="N168" s="516"/>
      <c r="O168" s="653" t="s">
        <v>2107</v>
      </c>
      <c r="P168" s="516"/>
      <c r="Q168" s="516"/>
      <c r="R168" s="516"/>
      <c r="S168" s="516"/>
      <c r="T168" s="516"/>
      <c r="U168" s="516"/>
      <c r="V168" s="516"/>
      <c r="W168" s="516"/>
      <c r="X168" s="516"/>
      <c r="Y168" s="516"/>
      <c r="Z168" s="516"/>
      <c r="AA168" s="516"/>
      <c r="AB168" s="516"/>
      <c r="AC168" s="516"/>
      <c r="AD168" s="516"/>
      <c r="AE168" s="516"/>
      <c r="AF168" s="516"/>
      <c r="AG168" s="516"/>
      <c r="AH168" s="516"/>
      <c r="AI168" s="653" t="s">
        <v>2108</v>
      </c>
      <c r="AJ168" s="516"/>
      <c r="AK168" s="516"/>
      <c r="AL168" s="516"/>
      <c r="AM168" s="516"/>
      <c r="AN168" s="516"/>
      <c r="AO168" s="516"/>
      <c r="AP168" s="516"/>
      <c r="AQ168" s="516"/>
      <c r="AR168" s="516"/>
      <c r="AS168" s="516"/>
      <c r="AT168" s="516"/>
      <c r="AU168" s="516"/>
      <c r="AV168" s="516"/>
      <c r="AW168" s="516"/>
      <c r="AX168" s="516"/>
      <c r="AY168" s="516"/>
      <c r="AZ168" s="516"/>
      <c r="BA168" s="516"/>
      <c r="BB168" s="516"/>
      <c r="BC168" s="516"/>
      <c r="BD168" s="653" t="s">
        <v>2155</v>
      </c>
      <c r="BE168" s="516"/>
      <c r="BF168" s="516"/>
      <c r="BG168" s="516"/>
      <c r="BH168" s="516"/>
      <c r="BI168" s="516"/>
      <c r="BJ168" s="516"/>
      <c r="BK168" s="516"/>
      <c r="BL168" s="516"/>
      <c r="BM168" s="516"/>
      <c r="BN168" s="516"/>
      <c r="BO168" s="516"/>
      <c r="BP168" s="516"/>
      <c r="BQ168" s="516"/>
      <c r="BR168" s="516"/>
      <c r="BS168" s="516"/>
      <c r="BT168" s="516"/>
      <c r="BU168" s="516"/>
      <c r="BV168" s="516"/>
      <c r="BW168" s="516"/>
      <c r="BX168" s="516"/>
      <c r="BY168" s="516"/>
      <c r="BZ168" s="516"/>
      <c r="CA168" s="516"/>
      <c r="CB168" s="517"/>
      <c r="CD168" s="560" t="str">
        <f>E46</f>
        <v xml:space="preserve"> 10F</v>
      </c>
      <c r="CE168" s="547" t="str">
        <f t="shared" si="44"/>
        <v xml:space="preserve"> 10F</v>
      </c>
      <c r="CF168" s="548">
        <f>IF(LEFT(CE168,2)=" B","",O46)</f>
        <v>4</v>
      </c>
      <c r="CG168" s="549">
        <f>IF(CE168="","",SUM($CF$157:CF168)+$CG$156)</f>
        <v>41.75</v>
      </c>
      <c r="CH168" s="550">
        <f t="shared" si="45"/>
        <v>0</v>
      </c>
      <c r="CI168" s="548">
        <f t="shared" si="46"/>
        <v>0</v>
      </c>
      <c r="CJ168" s="549">
        <f t="shared" si="47"/>
        <v>0</v>
      </c>
      <c r="CK168" s="556">
        <f t="shared" si="50"/>
        <v>0</v>
      </c>
      <c r="CL168" s="546">
        <f t="shared" si="48"/>
        <v>1</v>
      </c>
      <c r="CM168" s="552">
        <f t="shared" si="51"/>
        <v>0</v>
      </c>
      <c r="CN168" s="553">
        <f t="shared" si="49"/>
        <v>12</v>
      </c>
      <c r="CO168" s="554">
        <f t="shared" si="52"/>
        <v>24</v>
      </c>
      <c r="CP168" s="555" t="s">
        <v>2190</v>
      </c>
      <c r="DC168" s="156"/>
      <c r="DD168" s="137"/>
      <c r="DE168" s="156"/>
      <c r="DF168" s="156"/>
      <c r="DG168" s="156"/>
      <c r="DH168" s="156"/>
      <c r="DI168" s="156"/>
      <c r="DJ168" s="156"/>
      <c r="DK168" s="156"/>
      <c r="DL168" s="156"/>
      <c r="DM168" s="156"/>
      <c r="DN168" s="156"/>
      <c r="DO168" s="156"/>
      <c r="DP168" s="156"/>
      <c r="DQ168" s="156"/>
      <c r="DR168" s="156"/>
      <c r="DS168" s="156"/>
      <c r="DT168" s="156"/>
      <c r="DU168" s="156"/>
      <c r="DV168" s="156"/>
      <c r="DW168" s="156"/>
      <c r="DX168" s="156"/>
      <c r="DY168" s="156"/>
      <c r="DZ168" s="156"/>
      <c r="EA168" s="156"/>
      <c r="EB168" s="156"/>
      <c r="EC168" s="156"/>
      <c r="ED168" s="156"/>
      <c r="EE168" s="156"/>
      <c r="EF168" s="156"/>
      <c r="EG168" s="156"/>
      <c r="EH168" s="156"/>
      <c r="EI168" s="156"/>
      <c r="EJ168" s="156"/>
      <c r="EK168" s="156"/>
      <c r="EL168" s="156"/>
      <c r="EM168" s="156"/>
      <c r="EN168" s="156"/>
      <c r="EO168" s="156"/>
      <c r="EP168" s="156"/>
      <c r="EQ168" s="156"/>
      <c r="ER168" s="156"/>
      <c r="ES168" s="156"/>
      <c r="ET168" s="156"/>
      <c r="EU168" s="156"/>
      <c r="EV168" s="156"/>
      <c r="EW168" s="156"/>
      <c r="EX168" s="156"/>
      <c r="EY168" s="156"/>
      <c r="EZ168" s="156"/>
      <c r="FA168" s="156"/>
      <c r="FB168" s="156"/>
      <c r="FC168" s="156"/>
      <c r="FD168" s="156"/>
      <c r="FE168" s="156"/>
      <c r="FF168" s="156"/>
      <c r="FG168" s="156"/>
    </row>
    <row r="169" spans="1:172" s="1" customFormat="1" ht="11.25" customHeight="1">
      <c r="A169" s="715"/>
      <c r="B169" s="2548"/>
      <c r="C169" s="516"/>
      <c r="D169" s="516"/>
      <c r="E169" s="516"/>
      <c r="F169" s="516"/>
      <c r="G169" s="516"/>
      <c r="H169" s="516"/>
      <c r="I169" s="516"/>
      <c r="J169" s="516"/>
      <c r="K169" s="516"/>
      <c r="L169" s="516"/>
      <c r="M169" s="516"/>
      <c r="N169" s="516"/>
      <c r="O169" s="653" t="s">
        <v>2156</v>
      </c>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516"/>
      <c r="AU169" s="516"/>
      <c r="AV169" s="516"/>
      <c r="AW169" s="516"/>
      <c r="AX169" s="516"/>
      <c r="AY169" s="885" t="s">
        <v>2157</v>
      </c>
      <c r="AZ169" s="516"/>
      <c r="BA169" s="516"/>
      <c r="BB169" s="516"/>
      <c r="BC169" s="516"/>
      <c r="BD169" s="516"/>
      <c r="BE169" s="516"/>
      <c r="BF169" s="516"/>
      <c r="BG169" s="516"/>
      <c r="BH169" s="516"/>
      <c r="BI169" s="516"/>
      <c r="BJ169" s="516"/>
      <c r="BK169" s="516"/>
      <c r="BL169" s="516"/>
      <c r="BM169" s="516"/>
      <c r="BN169" s="516"/>
      <c r="BO169" s="516"/>
      <c r="BP169" s="516"/>
      <c r="BQ169" s="516"/>
      <c r="BR169" s="516"/>
      <c r="BS169" s="516"/>
      <c r="BT169" s="516"/>
      <c r="BU169" s="516"/>
      <c r="BV169" s="516"/>
      <c r="BW169" s="516"/>
      <c r="BX169" s="516"/>
      <c r="BY169" s="516"/>
      <c r="BZ169" s="516"/>
      <c r="CA169" s="516"/>
      <c r="CB169" s="517"/>
      <c r="CD169" s="560" t="str">
        <f>E48</f>
        <v xml:space="preserve"> 11F</v>
      </c>
      <c r="CE169" s="547" t="str">
        <f t="shared" si="44"/>
        <v xml:space="preserve"> 11F</v>
      </c>
      <c r="CF169" s="548">
        <f>IF(LEFT(CE169,2)=" B","",O48)</f>
        <v>4</v>
      </c>
      <c r="CG169" s="549">
        <f>IF(CE169="","",SUM($CF$157:CF169)+$CG$156)</f>
        <v>45.75</v>
      </c>
      <c r="CH169" s="550">
        <f t="shared" si="45"/>
        <v>0</v>
      </c>
      <c r="CI169" s="548">
        <f t="shared" si="46"/>
        <v>0</v>
      </c>
      <c r="CJ169" s="549">
        <f t="shared" si="47"/>
        <v>0</v>
      </c>
      <c r="CK169" s="556">
        <f t="shared" si="50"/>
        <v>0</v>
      </c>
      <c r="CL169" s="546">
        <f t="shared" si="48"/>
        <v>1</v>
      </c>
      <c r="CM169" s="552">
        <f t="shared" si="51"/>
        <v>0</v>
      </c>
      <c r="CN169" s="553">
        <f t="shared" si="49"/>
        <v>12</v>
      </c>
      <c r="CO169" s="554">
        <f t="shared" si="52"/>
        <v>24</v>
      </c>
      <c r="CP169" s="555" t="s">
        <v>2190</v>
      </c>
      <c r="DC169" s="156"/>
      <c r="DD169" s="137"/>
      <c r="DE169" s="156"/>
      <c r="DF169" s="156"/>
      <c r="DG169" s="156"/>
      <c r="DH169" s="156"/>
      <c r="DI169" s="156"/>
      <c r="DJ169" s="156"/>
      <c r="DK169" s="156"/>
      <c r="DL169" s="156"/>
      <c r="DM169" s="156"/>
      <c r="DN169" s="156"/>
      <c r="DO169" s="156"/>
      <c r="DP169" s="156"/>
      <c r="DQ169" s="156"/>
      <c r="DR169" s="156"/>
      <c r="DS169" s="156"/>
      <c r="DT169" s="156"/>
      <c r="DU169" s="156"/>
      <c r="DV169" s="156"/>
      <c r="DW169" s="156"/>
      <c r="DX169" s="156"/>
      <c r="DY169" s="156"/>
      <c r="DZ169" s="156"/>
      <c r="EA169" s="156"/>
      <c r="EB169" s="156"/>
      <c r="EC169" s="156"/>
      <c r="ED169" s="156"/>
      <c r="EE169" s="156"/>
      <c r="EF169" s="156"/>
      <c r="EG169" s="156"/>
      <c r="EH169" s="156"/>
      <c r="EI169" s="156"/>
      <c r="EJ169" s="156"/>
      <c r="EK169" s="156"/>
      <c r="EL169" s="156"/>
      <c r="EM169" s="156"/>
      <c r="EN169" s="156"/>
      <c r="EO169" s="156"/>
      <c r="EP169" s="156"/>
      <c r="EQ169" s="156"/>
      <c r="ER169" s="156"/>
      <c r="ES169" s="156"/>
      <c r="ET169" s="156"/>
      <c r="EU169" s="156"/>
      <c r="EV169" s="156"/>
      <c r="EW169" s="156"/>
      <c r="EX169" s="156"/>
      <c r="EY169" s="156"/>
      <c r="EZ169" s="156"/>
      <c r="FA169" s="156"/>
      <c r="FB169" s="156"/>
      <c r="FC169" s="156"/>
      <c r="FD169" s="156"/>
      <c r="FE169" s="156"/>
      <c r="FF169" s="156"/>
      <c r="FG169" s="156"/>
    </row>
    <row r="170" spans="1:172" s="1" customFormat="1" ht="11.25" customHeight="1">
      <c r="A170" s="715"/>
      <c r="B170" s="2548"/>
      <c r="C170" s="516"/>
      <c r="D170" s="516"/>
      <c r="E170" s="516"/>
      <c r="F170" s="516"/>
      <c r="G170" s="516"/>
      <c r="H170" s="516"/>
      <c r="I170" s="516"/>
      <c r="J170" s="516"/>
      <c r="K170" s="516"/>
      <c r="L170" s="516"/>
      <c r="M170" s="516"/>
      <c r="N170" s="516"/>
      <c r="O170" s="653" t="s">
        <v>2158</v>
      </c>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516"/>
      <c r="AQ170" s="516"/>
      <c r="AR170" s="516"/>
      <c r="AS170" s="516"/>
      <c r="AT170" s="516"/>
      <c r="AU170" s="654"/>
      <c r="AV170" s="516"/>
      <c r="AW170" s="516"/>
      <c r="AX170" s="516"/>
      <c r="AY170" s="516"/>
      <c r="AZ170" s="516"/>
      <c r="BA170" s="516"/>
      <c r="BB170" s="516"/>
      <c r="BC170" s="516"/>
      <c r="BD170" s="516"/>
      <c r="BE170" s="516"/>
      <c r="BF170" s="516"/>
      <c r="BG170" s="516"/>
      <c r="BH170" s="516"/>
      <c r="BI170" s="516"/>
      <c r="BJ170" s="516"/>
      <c r="BK170" s="516"/>
      <c r="BL170" s="516"/>
      <c r="BM170" s="516"/>
      <c r="BN170" s="516"/>
      <c r="BO170" s="516"/>
      <c r="BP170" s="516"/>
      <c r="BQ170" s="516"/>
      <c r="BR170" s="516"/>
      <c r="BS170" s="516"/>
      <c r="BT170" s="516"/>
      <c r="BU170" s="516"/>
      <c r="BV170" s="516"/>
      <c r="BW170" s="516"/>
      <c r="BX170" s="516"/>
      <c r="BY170" s="516"/>
      <c r="BZ170" s="516"/>
      <c r="CA170" s="516"/>
      <c r="CB170" s="517"/>
      <c r="CD170" s="560" t="str">
        <f>E50</f>
        <v xml:space="preserve"> 12F</v>
      </c>
      <c r="CE170" s="547" t="str">
        <f t="shared" si="44"/>
        <v xml:space="preserve"> 12F</v>
      </c>
      <c r="CF170" s="548">
        <f>IF(LEFT(CE170,2)=" B","",O50)</f>
        <v>4</v>
      </c>
      <c r="CG170" s="549">
        <f>IF(CE170="","",SUM($CF$157:CF170)+$CG$156)</f>
        <v>49.75</v>
      </c>
      <c r="CH170" s="550">
        <f t="shared" si="45"/>
        <v>0</v>
      </c>
      <c r="CI170" s="548">
        <f t="shared" si="46"/>
        <v>0</v>
      </c>
      <c r="CJ170" s="549">
        <f t="shared" si="47"/>
        <v>0</v>
      </c>
      <c r="CK170" s="556">
        <f t="shared" si="50"/>
        <v>0</v>
      </c>
      <c r="CL170" s="546">
        <f t="shared" si="48"/>
        <v>1</v>
      </c>
      <c r="CM170" s="552">
        <f t="shared" si="51"/>
        <v>0</v>
      </c>
      <c r="CN170" s="553">
        <f t="shared" si="49"/>
        <v>12</v>
      </c>
      <c r="CO170" s="554">
        <f t="shared" si="52"/>
        <v>24</v>
      </c>
      <c r="CP170" s="555" t="s">
        <v>2190</v>
      </c>
      <c r="DC170" s="156"/>
      <c r="DD170" s="137"/>
      <c r="DE170" s="156"/>
      <c r="DF170" s="156"/>
      <c r="DG170" s="156"/>
      <c r="DH170" s="156"/>
      <c r="DI170" s="156"/>
      <c r="DJ170" s="156"/>
      <c r="DK170" s="156"/>
      <c r="DL170" s="156"/>
      <c r="DM170" s="156"/>
      <c r="DN170" s="156"/>
      <c r="DO170" s="156"/>
      <c r="DP170" s="156"/>
      <c r="DQ170" s="156"/>
      <c r="DR170" s="156"/>
      <c r="DS170" s="156"/>
      <c r="DT170" s="156"/>
      <c r="DU170" s="156"/>
      <c r="DV170" s="156"/>
      <c r="DW170" s="156"/>
      <c r="DX170" s="156"/>
      <c r="DY170" s="156"/>
      <c r="DZ170" s="156"/>
      <c r="EA170" s="156"/>
      <c r="EB170" s="156"/>
      <c r="EC170" s="156"/>
      <c r="ED170" s="156"/>
      <c r="EE170" s="156"/>
      <c r="EF170" s="156"/>
      <c r="EG170" s="156"/>
      <c r="EH170" s="156"/>
      <c r="EI170" s="156"/>
      <c r="EJ170" s="156"/>
      <c r="EK170" s="156"/>
      <c r="EL170" s="156"/>
      <c r="EM170" s="156"/>
      <c r="EN170" s="156"/>
      <c r="EO170" s="156"/>
      <c r="EP170" s="156"/>
      <c r="EQ170" s="156"/>
      <c r="ER170" s="156"/>
      <c r="ES170" s="156"/>
      <c r="ET170" s="156"/>
      <c r="EU170" s="156"/>
      <c r="EV170" s="156"/>
      <c r="EW170" s="156"/>
      <c r="EX170" s="156"/>
      <c r="EY170" s="156"/>
      <c r="EZ170" s="156"/>
      <c r="FA170" s="156"/>
      <c r="FB170" s="156"/>
      <c r="FC170" s="156"/>
      <c r="FD170" s="156"/>
      <c r="FE170" s="156"/>
      <c r="FF170" s="156"/>
      <c r="FG170" s="156"/>
    </row>
    <row r="171" spans="1:172" s="1" customFormat="1" ht="11.25" customHeight="1">
      <c r="A171" s="715"/>
      <c r="B171" s="2548"/>
      <c r="C171" s="516"/>
      <c r="D171" s="516"/>
      <c r="E171" s="516"/>
      <c r="F171" s="516"/>
      <c r="G171" s="516"/>
      <c r="H171" s="516"/>
      <c r="I171" s="516"/>
      <c r="J171" s="516"/>
      <c r="K171" s="516"/>
      <c r="L171" s="516"/>
      <c r="M171" s="516"/>
      <c r="N171" s="516"/>
      <c r="O171" s="70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516"/>
      <c r="AN171" s="516"/>
      <c r="AO171" s="516"/>
      <c r="AP171" s="516"/>
      <c r="AQ171" s="516"/>
      <c r="AR171" s="516"/>
      <c r="AS171" s="516"/>
      <c r="AT171" s="516"/>
      <c r="AU171" s="516"/>
      <c r="AV171" s="516"/>
      <c r="AW171" s="516"/>
      <c r="AX171" s="516"/>
      <c r="AY171" s="516"/>
      <c r="AZ171" s="516"/>
      <c r="BA171" s="516"/>
      <c r="BB171" s="516"/>
      <c r="BC171" s="516"/>
      <c r="BD171" s="516"/>
      <c r="BE171" s="516"/>
      <c r="BF171" s="516"/>
      <c r="BG171" s="516"/>
      <c r="BH171" s="516"/>
      <c r="BI171" s="516"/>
      <c r="BJ171" s="516"/>
      <c r="BK171" s="516"/>
      <c r="BL171" s="516"/>
      <c r="BM171" s="516"/>
      <c r="BN171" s="516"/>
      <c r="BO171" s="516"/>
      <c r="BP171" s="516"/>
      <c r="BQ171" s="516"/>
      <c r="BR171" s="516"/>
      <c r="BS171" s="516"/>
      <c r="BT171" s="516"/>
      <c r="BU171" s="516"/>
      <c r="BV171" s="516"/>
      <c r="BW171" s="516"/>
      <c r="BX171" s="516"/>
      <c r="BY171" s="516"/>
      <c r="BZ171" s="516"/>
      <c r="CA171" s="516"/>
      <c r="CB171" s="517"/>
      <c r="CD171" s="560" t="str">
        <f>E52</f>
        <v>PH1F</v>
      </c>
      <c r="CE171" s="547" t="str">
        <f t="shared" si="44"/>
        <v>PH1F</v>
      </c>
      <c r="CF171" s="548">
        <f>IF(LEFT(CE171,2)=" B","",O52)</f>
        <v>4</v>
      </c>
      <c r="CG171" s="549">
        <f>IF(CE171="","",SUM($CF$157:CF171)+$CG$156)</f>
        <v>53.75</v>
      </c>
      <c r="CH171" s="550">
        <f t="shared" si="45"/>
        <v>0</v>
      </c>
      <c r="CI171" s="548">
        <f t="shared" si="46"/>
        <v>0</v>
      </c>
      <c r="CJ171" s="549">
        <f t="shared" si="47"/>
        <v>0</v>
      </c>
      <c r="CK171" s="556">
        <f t="shared" si="50"/>
        <v>0</v>
      </c>
      <c r="CL171" s="546">
        <f t="shared" si="48"/>
        <v>0</v>
      </c>
      <c r="CM171" s="552">
        <f t="shared" si="51"/>
        <v>0</v>
      </c>
      <c r="CN171" s="553">
        <f t="shared" si="49"/>
        <v>5</v>
      </c>
      <c r="CO171" s="554">
        <f t="shared" si="52"/>
        <v>7</v>
      </c>
      <c r="CP171" s="555" t="s">
        <v>2190</v>
      </c>
      <c r="DC171" s="156"/>
      <c r="DD171" s="137"/>
      <c r="DE171" s="156"/>
      <c r="DF171" s="156"/>
      <c r="DG171" s="156"/>
      <c r="DH171" s="156"/>
      <c r="DI171" s="156"/>
      <c r="DJ171" s="156"/>
      <c r="DK171" s="156"/>
      <c r="DL171" s="156"/>
      <c r="DM171" s="156"/>
      <c r="DN171" s="156"/>
      <c r="DO171" s="156"/>
      <c r="DP171" s="156"/>
      <c r="DQ171" s="156"/>
      <c r="DR171" s="156"/>
      <c r="DS171" s="156"/>
      <c r="DT171" s="156"/>
      <c r="DU171" s="156"/>
      <c r="DV171" s="156"/>
      <c r="DW171" s="156"/>
      <c r="DX171" s="156"/>
      <c r="DY171" s="156"/>
      <c r="DZ171" s="156"/>
      <c r="EA171" s="156"/>
      <c r="EB171" s="156"/>
      <c r="EC171" s="156"/>
      <c r="ED171" s="156"/>
      <c r="EE171" s="156"/>
      <c r="EF171" s="156"/>
      <c r="EG171" s="156"/>
      <c r="EH171" s="156"/>
      <c r="EI171" s="156"/>
      <c r="EJ171" s="156"/>
      <c r="EK171" s="156"/>
      <c r="EL171" s="156"/>
      <c r="EM171" s="156"/>
      <c r="EN171" s="156"/>
      <c r="EO171" s="156"/>
      <c r="EP171" s="156"/>
      <c r="EQ171" s="156"/>
      <c r="ER171" s="156"/>
      <c r="ES171" s="156"/>
      <c r="ET171" s="156"/>
      <c r="EU171" s="156"/>
      <c r="EV171" s="156"/>
      <c r="EW171" s="156"/>
      <c r="EX171" s="156"/>
      <c r="EY171" s="156"/>
      <c r="EZ171" s="156"/>
      <c r="FA171" s="156"/>
      <c r="FB171" s="156"/>
      <c r="FC171" s="156"/>
      <c r="FD171" s="156"/>
      <c r="FE171" s="156"/>
      <c r="FF171" s="156"/>
      <c r="FG171" s="156"/>
    </row>
    <row r="172" spans="1:172" s="1" customFormat="1" ht="11.25" customHeight="1">
      <c r="A172" s="715"/>
      <c r="B172" s="2548"/>
      <c r="C172" s="516"/>
      <c r="D172" s="516"/>
      <c r="E172" s="885" t="s">
        <v>2151</v>
      </c>
      <c r="F172" s="516"/>
      <c r="G172" s="516"/>
      <c r="H172" s="516"/>
      <c r="I172" s="516"/>
      <c r="J172" s="516"/>
      <c r="K172" s="516"/>
      <c r="L172" s="516"/>
      <c r="M172" s="516"/>
      <c r="N172" s="516"/>
      <c r="O172" s="653" t="s">
        <v>2159</v>
      </c>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516"/>
      <c r="AQ172" s="516"/>
      <c r="AR172" s="516"/>
      <c r="AS172" s="516"/>
      <c r="AT172" s="516"/>
      <c r="AU172" s="516"/>
      <c r="AV172" s="516"/>
      <c r="AW172" s="516"/>
      <c r="AX172" s="516"/>
      <c r="AY172" s="516"/>
      <c r="AZ172" s="516"/>
      <c r="BA172" s="516"/>
      <c r="BB172" s="516"/>
      <c r="BC172" s="516"/>
      <c r="BD172" s="516"/>
      <c r="BE172" s="516"/>
      <c r="BF172" s="516"/>
      <c r="BG172" s="516"/>
      <c r="BH172" s="516"/>
      <c r="BI172" s="516"/>
      <c r="BJ172" s="516"/>
      <c r="BK172" s="516"/>
      <c r="BL172" s="516"/>
      <c r="BM172" s="516"/>
      <c r="BN172" s="516"/>
      <c r="BO172" s="516"/>
      <c r="BP172" s="516"/>
      <c r="BQ172" s="516"/>
      <c r="BR172" s="516"/>
      <c r="BS172" s="516"/>
      <c r="BT172" s="516"/>
      <c r="BU172" s="516"/>
      <c r="BV172" s="516"/>
      <c r="BW172" s="516"/>
      <c r="BX172" s="516"/>
      <c r="BY172" s="516"/>
      <c r="BZ172" s="516"/>
      <c r="CA172" s="516"/>
      <c r="CB172" s="517"/>
      <c r="CD172" s="560" t="str">
        <f>E54</f>
        <v>PH2F</v>
      </c>
      <c r="CE172" s="547" t="str">
        <f t="shared" si="44"/>
        <v>PH2F</v>
      </c>
      <c r="CF172" s="548">
        <f>IF(LEFT(CE172,2)=" B","",O54)</f>
        <v>4</v>
      </c>
      <c r="CG172" s="549">
        <f>IF(CE172="","",SUM($CF$157:CF172)+$CG$156)</f>
        <v>57.75</v>
      </c>
      <c r="CH172" s="550">
        <f t="shared" si="45"/>
        <v>0</v>
      </c>
      <c r="CI172" s="548">
        <f t="shared" si="46"/>
        <v>0</v>
      </c>
      <c r="CJ172" s="549">
        <f t="shared" si="47"/>
        <v>0</v>
      </c>
      <c r="CK172" s="556">
        <f t="shared" si="50"/>
        <v>0</v>
      </c>
      <c r="CL172" s="546">
        <f t="shared" si="48"/>
        <v>0</v>
      </c>
      <c r="CM172" s="552">
        <f t="shared" si="51"/>
        <v>0</v>
      </c>
      <c r="CN172" s="553">
        <f t="shared" si="49"/>
        <v>5</v>
      </c>
      <c r="CO172" s="554">
        <f t="shared" si="52"/>
        <v>7</v>
      </c>
      <c r="CP172" s="555" t="s">
        <v>2190</v>
      </c>
      <c r="DC172" s="156"/>
      <c r="DD172" s="137"/>
      <c r="DE172" s="156"/>
      <c r="DF172" s="156"/>
      <c r="DG172" s="156"/>
      <c r="DH172" s="156"/>
      <c r="DI172" s="156"/>
      <c r="DJ172" s="156"/>
      <c r="DK172" s="156"/>
      <c r="DL172" s="156"/>
      <c r="DM172" s="156"/>
      <c r="DN172" s="156"/>
      <c r="DO172" s="156"/>
      <c r="DP172" s="156"/>
      <c r="DQ172" s="156"/>
      <c r="DR172" s="156"/>
      <c r="DS172" s="156"/>
      <c r="DT172" s="156"/>
      <c r="DU172" s="156"/>
      <c r="DV172" s="156"/>
      <c r="DW172" s="156"/>
      <c r="DX172" s="156"/>
      <c r="DY172" s="156"/>
      <c r="DZ172" s="156"/>
      <c r="EA172" s="156"/>
      <c r="EB172" s="156"/>
      <c r="EC172" s="156"/>
      <c r="ED172" s="156"/>
      <c r="EE172" s="156"/>
      <c r="EF172" s="156"/>
      <c r="EG172" s="156"/>
      <c r="EH172" s="156"/>
      <c r="EI172" s="156"/>
      <c r="EJ172" s="156"/>
      <c r="EK172" s="156"/>
      <c r="EL172" s="156"/>
      <c r="EM172" s="156"/>
      <c r="EN172" s="156"/>
      <c r="EO172" s="156"/>
      <c r="EP172" s="156"/>
      <c r="EQ172" s="156"/>
      <c r="ER172" s="156"/>
      <c r="ES172" s="156"/>
      <c r="ET172" s="156"/>
      <c r="EU172" s="156"/>
      <c r="EV172" s="156"/>
      <c r="EW172" s="156"/>
      <c r="EX172" s="156"/>
      <c r="EY172" s="156"/>
      <c r="EZ172" s="156"/>
      <c r="FA172" s="156"/>
      <c r="FB172" s="156"/>
      <c r="FC172" s="156"/>
      <c r="FD172" s="156"/>
      <c r="FE172" s="156"/>
      <c r="FF172" s="156"/>
      <c r="FG172" s="156"/>
    </row>
    <row r="173" spans="1:172" s="1" customFormat="1" ht="11.25" customHeight="1">
      <c r="B173" s="2548"/>
      <c r="C173" s="516"/>
      <c r="D173" s="516"/>
      <c r="E173" s="516"/>
      <c r="F173" s="516"/>
      <c r="G173" s="516"/>
      <c r="H173" s="516"/>
      <c r="I173" s="516"/>
      <c r="J173" s="516"/>
      <c r="K173" s="516"/>
      <c r="L173" s="516"/>
      <c r="M173" s="516"/>
      <c r="N173" s="516"/>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6"/>
      <c r="AM173" s="516"/>
      <c r="AN173" s="516"/>
      <c r="AO173" s="516"/>
      <c r="AP173" s="516"/>
      <c r="AQ173" s="516"/>
      <c r="AR173" s="516"/>
      <c r="AS173" s="516"/>
      <c r="AT173" s="516"/>
      <c r="AU173" s="516"/>
      <c r="AV173" s="516"/>
      <c r="AW173" s="516"/>
      <c r="AX173" s="516"/>
      <c r="AY173" s="516"/>
      <c r="AZ173" s="516"/>
      <c r="BA173" s="516"/>
      <c r="BB173" s="516"/>
      <c r="BC173" s="516"/>
      <c r="BD173" s="516"/>
      <c r="BE173" s="516"/>
      <c r="BF173" s="516"/>
      <c r="BG173" s="516"/>
      <c r="BH173" s="516"/>
      <c r="BI173" s="516"/>
      <c r="BJ173" s="516"/>
      <c r="BK173" s="516"/>
      <c r="BL173" s="516"/>
      <c r="BM173" s="516"/>
      <c r="BN173" s="516"/>
      <c r="BO173" s="516"/>
      <c r="BP173" s="516"/>
      <c r="BQ173" s="516"/>
      <c r="BR173" s="516"/>
      <c r="BS173" s="516"/>
      <c r="BT173" s="516"/>
      <c r="BU173" s="516"/>
      <c r="BV173" s="516"/>
      <c r="BW173" s="516"/>
      <c r="BX173" s="516"/>
      <c r="BY173" s="516"/>
      <c r="BZ173" s="516"/>
      <c r="CA173" s="516"/>
      <c r="CB173" s="517"/>
      <c r="CD173" s="560">
        <f>E56</f>
        <v>0</v>
      </c>
      <c r="CE173" s="547" t="str">
        <f t="shared" si="44"/>
        <v xml:space="preserve">  RF</v>
      </c>
      <c r="CF173" s="548">
        <f>IF(LEFT(CE173,2)=" B","",O56)</f>
        <v>0</v>
      </c>
      <c r="CG173" s="549">
        <f>IF(CE173="","",SUM($CF$157:CF173)+$CG$156)</f>
        <v>57.75</v>
      </c>
      <c r="CH173" s="550">
        <f t="shared" si="45"/>
        <v>0</v>
      </c>
      <c r="CI173" s="548">
        <f t="shared" si="46"/>
        <v>0</v>
      </c>
      <c r="CJ173" s="549">
        <f t="shared" si="47"/>
        <v>0</v>
      </c>
      <c r="CK173" s="556">
        <f t="shared" si="50"/>
        <v>0</v>
      </c>
      <c r="CL173" s="546">
        <f t="shared" si="48"/>
        <v>1</v>
      </c>
      <c r="CM173" s="552">
        <f t="shared" si="51"/>
        <v>0</v>
      </c>
      <c r="CN173" s="553" t="e">
        <f t="shared" si="49"/>
        <v>#VALUE!</v>
      </c>
      <c r="CO173" s="554" t="e">
        <f t="shared" si="52"/>
        <v>#VALUE!</v>
      </c>
      <c r="CP173" s="555" t="s">
        <v>1992</v>
      </c>
      <c r="DC173" s="156"/>
      <c r="DD173" s="137"/>
      <c r="DE173" s="156"/>
      <c r="DF173" s="156"/>
      <c r="DG173" s="156"/>
      <c r="DH173" s="156"/>
      <c r="DI173" s="156"/>
      <c r="DJ173" s="156"/>
      <c r="DK173" s="156"/>
      <c r="DL173" s="156"/>
      <c r="DM173" s="156"/>
      <c r="DN173" s="156"/>
      <c r="DO173" s="156"/>
      <c r="DP173" s="156"/>
      <c r="DQ173" s="156"/>
      <c r="DR173" s="156"/>
      <c r="DS173" s="156"/>
      <c r="DT173" s="156"/>
      <c r="DU173" s="156"/>
      <c r="DV173" s="156"/>
      <c r="DW173" s="156"/>
      <c r="DX173" s="156"/>
      <c r="DY173" s="156"/>
      <c r="DZ173" s="156"/>
      <c r="EA173" s="156"/>
      <c r="EB173" s="156"/>
      <c r="EC173" s="156"/>
      <c r="ED173" s="156"/>
      <c r="EE173" s="156"/>
      <c r="EF173" s="156"/>
      <c r="EG173" s="156"/>
      <c r="EH173" s="156"/>
      <c r="EI173" s="156"/>
      <c r="EJ173" s="156"/>
      <c r="EK173" s="156"/>
      <c r="EL173" s="156"/>
      <c r="EM173" s="156"/>
      <c r="EN173" s="156"/>
      <c r="EO173" s="156"/>
      <c r="EP173" s="156"/>
      <c r="EQ173" s="156"/>
      <c r="ER173" s="156"/>
      <c r="ES173" s="156"/>
      <c r="ET173" s="156"/>
      <c r="EU173" s="156"/>
      <c r="EV173" s="156"/>
      <c r="EW173" s="156"/>
      <c r="EX173" s="156"/>
      <c r="EY173" s="156"/>
      <c r="EZ173" s="156"/>
      <c r="FA173" s="156"/>
      <c r="FB173" s="156"/>
      <c r="FC173" s="156"/>
      <c r="FD173" s="156"/>
      <c r="FE173" s="156"/>
      <c r="FF173" s="156"/>
      <c r="FG173" s="156"/>
    </row>
    <row r="174" spans="1:172" s="1" customFormat="1" ht="11.25" customHeight="1">
      <c r="B174" s="2548"/>
      <c r="C174" s="516"/>
      <c r="D174" s="516"/>
      <c r="E174" s="885" t="s">
        <v>2152</v>
      </c>
      <c r="F174" s="516"/>
      <c r="G174" s="516"/>
      <c r="H174" s="516"/>
      <c r="I174" s="516"/>
      <c r="J174" s="516"/>
      <c r="K174" s="516"/>
      <c r="L174" s="516"/>
      <c r="M174" s="516"/>
      <c r="N174" s="516"/>
      <c r="O174" s="653" t="s">
        <v>2136</v>
      </c>
      <c r="P174" s="516"/>
      <c r="Q174" s="516"/>
      <c r="R174" s="516"/>
      <c r="S174" s="516"/>
      <c r="T174" s="516"/>
      <c r="U174" s="516"/>
      <c r="V174" s="516"/>
      <c r="W174" s="516"/>
      <c r="X174" s="516"/>
      <c r="Y174" s="516"/>
      <c r="Z174" s="516"/>
      <c r="AA174" s="516"/>
      <c r="AB174" s="516"/>
      <c r="AC174" s="516"/>
      <c r="AD174" s="516"/>
      <c r="AE174" s="516"/>
      <c r="AF174" s="516"/>
      <c r="AG174" s="516"/>
      <c r="AH174" s="653" t="s">
        <v>2137</v>
      </c>
      <c r="AI174" s="516"/>
      <c r="AJ174" s="516"/>
      <c r="AK174" s="516"/>
      <c r="AL174" s="516"/>
      <c r="AM174" s="516"/>
      <c r="AN174" s="516"/>
      <c r="AO174" s="516"/>
      <c r="AP174" s="516"/>
      <c r="AQ174" s="516"/>
      <c r="AR174" s="516"/>
      <c r="AS174" s="516"/>
      <c r="AT174" s="516"/>
      <c r="AU174" s="516"/>
      <c r="AV174" s="516"/>
      <c r="AW174" s="516"/>
      <c r="AX174" s="516"/>
      <c r="AY174" s="516"/>
      <c r="AZ174" s="516"/>
      <c r="BA174" s="516"/>
      <c r="BB174" s="516"/>
      <c r="BC174" s="516"/>
      <c r="BD174" s="516"/>
      <c r="BE174" s="516"/>
      <c r="BF174" s="516"/>
      <c r="BG174" s="516"/>
      <c r="BH174" s="516"/>
      <c r="BI174" s="516"/>
      <c r="BJ174" s="516"/>
      <c r="BK174" s="516"/>
      <c r="BL174" s="516"/>
      <c r="BM174" s="516"/>
      <c r="BN174" s="516"/>
      <c r="BO174" s="516"/>
      <c r="BP174" s="516"/>
      <c r="BQ174" s="516"/>
      <c r="BR174" s="516"/>
      <c r="BS174" s="516"/>
      <c r="BT174" s="516"/>
      <c r="BU174" s="516"/>
      <c r="BV174" s="516"/>
      <c r="BW174" s="516"/>
      <c r="BX174" s="516"/>
      <c r="BY174" s="516"/>
      <c r="BZ174" s="516"/>
      <c r="CA174" s="516"/>
      <c r="CB174" s="517"/>
      <c r="CD174" s="560">
        <f>E58</f>
        <v>0</v>
      </c>
      <c r="CE174" s="547" t="str">
        <f t="shared" si="44"/>
        <v xml:space="preserve">  RF</v>
      </c>
      <c r="CF174" s="548">
        <f>IF(LEFT(CE174,2)=" B","",O58)</f>
        <v>0</v>
      </c>
      <c r="CG174" s="549">
        <f>IF(CE174="","",SUM($CF$157:CF174)+$CG$156)</f>
        <v>57.75</v>
      </c>
      <c r="CH174" s="550">
        <f t="shared" si="45"/>
        <v>0</v>
      </c>
      <c r="CI174" s="548">
        <f t="shared" si="46"/>
        <v>0</v>
      </c>
      <c r="CJ174" s="549">
        <f t="shared" si="47"/>
        <v>0</v>
      </c>
      <c r="CK174" s="556">
        <f t="shared" si="50"/>
        <v>0</v>
      </c>
      <c r="CL174" s="546">
        <f t="shared" si="48"/>
        <v>1</v>
      </c>
      <c r="CM174" s="552">
        <f t="shared" si="51"/>
        <v>0</v>
      </c>
      <c r="CN174" s="553" t="e">
        <f t="shared" si="49"/>
        <v>#VALUE!</v>
      </c>
      <c r="CO174" s="554" t="e">
        <f t="shared" si="52"/>
        <v>#VALUE!</v>
      </c>
      <c r="CP174" s="555" t="s">
        <v>1992</v>
      </c>
      <c r="DC174" s="156"/>
      <c r="DD174" s="137"/>
      <c r="DE174" s="156"/>
      <c r="DF174" s="156"/>
      <c r="DG174" s="156"/>
      <c r="DH174" s="156"/>
      <c r="DI174" s="156"/>
      <c r="DJ174" s="156"/>
      <c r="DK174" s="156"/>
      <c r="DL174" s="156"/>
      <c r="DM174" s="156"/>
      <c r="DN174" s="156"/>
      <c r="DO174" s="156"/>
      <c r="DP174" s="156"/>
      <c r="DQ174" s="156"/>
      <c r="DR174" s="156"/>
      <c r="DS174" s="156"/>
      <c r="DT174" s="156"/>
      <c r="DU174" s="156"/>
      <c r="DV174" s="156"/>
      <c r="DW174" s="156"/>
      <c r="DX174" s="156"/>
      <c r="DY174" s="156"/>
      <c r="DZ174" s="156"/>
      <c r="EA174" s="156"/>
      <c r="EB174" s="156"/>
      <c r="EC174" s="156"/>
      <c r="ED174" s="156"/>
      <c r="EE174" s="156"/>
      <c r="EF174" s="156"/>
      <c r="EG174" s="156"/>
      <c r="EH174" s="156"/>
      <c r="EI174" s="156"/>
      <c r="EJ174" s="156"/>
      <c r="EK174" s="156"/>
      <c r="EL174" s="156"/>
      <c r="EM174" s="156"/>
      <c r="EN174" s="156"/>
      <c r="EO174" s="156"/>
      <c r="EP174" s="156"/>
      <c r="EQ174" s="156"/>
      <c r="ER174" s="156"/>
      <c r="ES174" s="156"/>
      <c r="ET174" s="156"/>
      <c r="EU174" s="156"/>
      <c r="EV174" s="156"/>
      <c r="EW174" s="156"/>
      <c r="EX174" s="156"/>
      <c r="EY174" s="156"/>
      <c r="EZ174" s="156"/>
      <c r="FA174" s="156"/>
      <c r="FB174" s="156"/>
      <c r="FC174" s="156"/>
      <c r="FD174" s="156"/>
      <c r="FE174" s="156"/>
      <c r="FF174" s="156"/>
      <c r="FG174" s="156"/>
    </row>
    <row r="175" spans="1:172" s="1" customFormat="1" ht="11.25" customHeight="1">
      <c r="B175" s="2548"/>
      <c r="C175" s="516"/>
      <c r="D175" s="516"/>
      <c r="E175" s="516"/>
      <c r="F175" s="516"/>
      <c r="G175" s="516"/>
      <c r="H175" s="516"/>
      <c r="I175" s="516"/>
      <c r="J175" s="516"/>
      <c r="K175" s="516"/>
      <c r="L175" s="516"/>
      <c r="M175" s="516"/>
      <c r="N175" s="516"/>
      <c r="O175" s="653" t="s">
        <v>2138</v>
      </c>
      <c r="P175" s="516"/>
      <c r="Q175" s="516"/>
      <c r="R175" s="516"/>
      <c r="S175" s="516"/>
      <c r="T175" s="516"/>
      <c r="U175" s="516"/>
      <c r="V175" s="516"/>
      <c r="W175" s="516"/>
      <c r="X175" s="516"/>
      <c r="Y175" s="516"/>
      <c r="Z175" s="516"/>
      <c r="AA175" s="516"/>
      <c r="AB175" s="516"/>
      <c r="AC175" s="516"/>
      <c r="AD175" s="516"/>
      <c r="AE175" s="516"/>
      <c r="AF175" s="516"/>
      <c r="AG175" s="516"/>
      <c r="AH175" s="653" t="s">
        <v>2139</v>
      </c>
      <c r="AI175" s="516"/>
      <c r="AJ175" s="516"/>
      <c r="AK175" s="516"/>
      <c r="AL175" s="516"/>
      <c r="AM175" s="516"/>
      <c r="AN175" s="516"/>
      <c r="AO175" s="516"/>
      <c r="AP175" s="516"/>
      <c r="AQ175" s="516"/>
      <c r="AR175" s="516"/>
      <c r="AS175" s="516"/>
      <c r="AT175" s="516"/>
      <c r="AU175" s="516"/>
      <c r="AV175" s="516"/>
      <c r="AW175" s="516"/>
      <c r="AX175" s="516"/>
      <c r="AY175" s="516"/>
      <c r="AZ175" s="516"/>
      <c r="BA175" s="516"/>
      <c r="BB175" s="516"/>
      <c r="BC175" s="516"/>
      <c r="BD175" s="516"/>
      <c r="BE175" s="516"/>
      <c r="BF175" s="516"/>
      <c r="BG175" s="516"/>
      <c r="BH175" s="516"/>
      <c r="BI175" s="516"/>
      <c r="BJ175" s="516"/>
      <c r="BK175" s="516"/>
      <c r="BL175" s="516"/>
      <c r="BM175" s="516"/>
      <c r="BN175" s="516"/>
      <c r="BO175" s="516"/>
      <c r="BP175" s="516"/>
      <c r="BQ175" s="516"/>
      <c r="BR175" s="516"/>
      <c r="BS175" s="516"/>
      <c r="BT175" s="516"/>
      <c r="BU175" s="516"/>
      <c r="BV175" s="516"/>
      <c r="BW175" s="516"/>
      <c r="BX175" s="516"/>
      <c r="BY175" s="516"/>
      <c r="BZ175" s="516"/>
      <c r="CA175" s="516"/>
      <c r="CB175" s="517"/>
      <c r="CD175" s="560">
        <f>E60</f>
        <v>0</v>
      </c>
      <c r="CE175" s="547" t="str">
        <f t="shared" si="44"/>
        <v xml:space="preserve">  RF</v>
      </c>
      <c r="CF175" s="548">
        <f>IF(LEFT(CE175,2)=" B","",O60)</f>
        <v>0</v>
      </c>
      <c r="CG175" s="549">
        <f>IF(CE175="","",SUM($CF$157:CF175)+$CG$156)</f>
        <v>57.75</v>
      </c>
      <c r="CH175" s="550">
        <f t="shared" si="45"/>
        <v>0</v>
      </c>
      <c r="CI175" s="548">
        <f t="shared" si="46"/>
        <v>0</v>
      </c>
      <c r="CJ175" s="549">
        <f t="shared" si="47"/>
        <v>0</v>
      </c>
      <c r="CK175" s="556">
        <f t="shared" si="50"/>
        <v>0</v>
      </c>
      <c r="CL175" s="546">
        <f t="shared" si="48"/>
        <v>1</v>
      </c>
      <c r="CM175" s="552">
        <f t="shared" si="51"/>
        <v>0</v>
      </c>
      <c r="CN175" s="553" t="e">
        <f t="shared" si="49"/>
        <v>#VALUE!</v>
      </c>
      <c r="CO175" s="554" t="e">
        <f t="shared" si="52"/>
        <v>#VALUE!</v>
      </c>
      <c r="CP175" s="555" t="s">
        <v>1992</v>
      </c>
      <c r="DC175" s="156"/>
      <c r="DD175" s="137"/>
      <c r="DE175" s="156"/>
      <c r="DF175" s="156"/>
      <c r="DG175" s="156"/>
      <c r="DH175" s="156"/>
      <c r="DI175" s="156"/>
      <c r="DJ175" s="156"/>
      <c r="DK175" s="156"/>
      <c r="DL175" s="156"/>
      <c r="DM175" s="156"/>
      <c r="DN175" s="156"/>
      <c r="DO175" s="156"/>
      <c r="DP175" s="156"/>
      <c r="DQ175" s="156"/>
      <c r="DR175" s="156"/>
      <c r="DS175" s="156"/>
      <c r="DT175" s="156"/>
      <c r="DU175" s="156"/>
      <c r="DV175" s="156"/>
      <c r="DW175" s="156"/>
      <c r="DX175" s="156"/>
      <c r="DY175" s="156"/>
      <c r="DZ175" s="156"/>
      <c r="EA175" s="156"/>
      <c r="EB175" s="156"/>
      <c r="EC175" s="156"/>
      <c r="ED175" s="156"/>
      <c r="EE175" s="156"/>
      <c r="EF175" s="156"/>
      <c r="EG175" s="156"/>
      <c r="EH175" s="156"/>
      <c r="EI175" s="156"/>
      <c r="EJ175" s="156"/>
      <c r="EK175" s="156"/>
      <c r="EL175" s="156"/>
      <c r="EM175" s="156"/>
      <c r="EN175" s="156"/>
      <c r="EO175" s="156"/>
      <c r="EP175" s="156"/>
      <c r="EQ175" s="156"/>
      <c r="ER175" s="156"/>
      <c r="ES175" s="156"/>
      <c r="ET175" s="156"/>
      <c r="EU175" s="156"/>
      <c r="EV175" s="156"/>
      <c r="EW175" s="156"/>
      <c r="EX175" s="156"/>
      <c r="EY175" s="156"/>
      <c r="EZ175" s="156"/>
      <c r="FA175" s="156"/>
      <c r="FB175" s="156"/>
      <c r="FC175" s="156"/>
      <c r="FD175" s="156"/>
      <c r="FE175" s="156"/>
      <c r="FF175" s="156"/>
      <c r="FG175" s="156"/>
    </row>
    <row r="176" spans="1:172" s="1" customFormat="1" ht="11.25" customHeight="1">
      <c r="B176" s="2548"/>
      <c r="C176" s="516"/>
      <c r="D176" s="516"/>
      <c r="E176" s="516"/>
      <c r="F176" s="516"/>
      <c r="G176" s="516"/>
      <c r="H176" s="516"/>
      <c r="I176" s="516"/>
      <c r="J176" s="516"/>
      <c r="K176" s="516"/>
      <c r="L176" s="516"/>
      <c r="M176" s="516"/>
      <c r="N176" s="516"/>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516"/>
      <c r="AN176" s="516"/>
      <c r="AO176" s="516"/>
      <c r="AP176" s="516"/>
      <c r="AQ176" s="516"/>
      <c r="AR176" s="516"/>
      <c r="AS176" s="516"/>
      <c r="AT176" s="516"/>
      <c r="AU176" s="516"/>
      <c r="AV176" s="516"/>
      <c r="AW176" s="516"/>
      <c r="AX176" s="516"/>
      <c r="AY176" s="516"/>
      <c r="AZ176" s="516"/>
      <c r="BA176" s="516"/>
      <c r="BB176" s="516"/>
      <c r="BC176" s="516"/>
      <c r="BD176" s="516"/>
      <c r="BE176" s="516"/>
      <c r="BF176" s="516"/>
      <c r="BG176" s="516"/>
      <c r="BH176" s="516"/>
      <c r="BI176" s="516"/>
      <c r="BJ176" s="516"/>
      <c r="BK176" s="516"/>
      <c r="BL176" s="516"/>
      <c r="BM176" s="516"/>
      <c r="BN176" s="516"/>
      <c r="BO176" s="516"/>
      <c r="BP176" s="516"/>
      <c r="BQ176" s="516"/>
      <c r="BR176" s="516"/>
      <c r="BS176" s="516"/>
      <c r="BT176" s="516"/>
      <c r="BU176" s="516"/>
      <c r="BV176" s="516"/>
      <c r="BW176" s="516"/>
      <c r="BX176" s="516"/>
      <c r="BY176" s="516"/>
      <c r="BZ176" s="516"/>
      <c r="CA176" s="516"/>
      <c r="CB176" s="517"/>
      <c r="CD176" s="560">
        <f>E62</f>
        <v>0</v>
      </c>
      <c r="CE176" s="547" t="str">
        <f>IF(CZ126=0,"  RF",IF(CZ126="  GL","  1F",CZ126))</f>
        <v xml:space="preserve">  RF</v>
      </c>
      <c r="CF176" s="548">
        <f>IF(LEFT(CE176,2)=" B","",O62)</f>
        <v>0</v>
      </c>
      <c r="CG176" s="549">
        <f>IF(CE176="","",SUM($CF$157:CF176)+$CG$156)</f>
        <v>57.75</v>
      </c>
      <c r="CH176" s="550">
        <f t="shared" si="45"/>
        <v>0</v>
      </c>
      <c r="CI176" s="548">
        <f t="shared" si="46"/>
        <v>0</v>
      </c>
      <c r="CJ176" s="549">
        <f t="shared" si="47"/>
        <v>0</v>
      </c>
      <c r="CK176" s="556">
        <f t="shared" si="50"/>
        <v>0</v>
      </c>
      <c r="CL176" s="546">
        <f t="shared" si="48"/>
        <v>1</v>
      </c>
      <c r="CM176" s="552">
        <f t="shared" si="51"/>
        <v>0</v>
      </c>
      <c r="CN176" s="553" t="e">
        <f t="shared" si="49"/>
        <v>#VALUE!</v>
      </c>
      <c r="CO176" s="554" t="e">
        <f t="shared" si="52"/>
        <v>#VALUE!</v>
      </c>
      <c r="CP176" s="555" t="s">
        <v>1992</v>
      </c>
      <c r="DC176" s="156"/>
      <c r="DD176" s="137"/>
      <c r="DE176" s="156"/>
      <c r="DF176" s="156"/>
      <c r="DG176" s="156"/>
      <c r="DH176" s="156"/>
      <c r="DI176" s="156"/>
      <c r="DJ176" s="156"/>
      <c r="DK176" s="156"/>
      <c r="DL176" s="156"/>
      <c r="DM176" s="156"/>
      <c r="DN176" s="156"/>
      <c r="DO176" s="156"/>
      <c r="DP176" s="156"/>
      <c r="DQ176" s="156"/>
      <c r="DR176" s="156"/>
      <c r="DS176" s="156"/>
      <c r="DT176" s="156"/>
      <c r="DU176" s="156"/>
      <c r="DV176" s="156"/>
      <c r="DW176" s="156"/>
      <c r="DX176" s="156"/>
      <c r="DY176" s="156"/>
      <c r="DZ176" s="156"/>
      <c r="EA176" s="156"/>
      <c r="EB176" s="156"/>
      <c r="EC176" s="156"/>
      <c r="ED176" s="156"/>
      <c r="EE176" s="156"/>
      <c r="EF176" s="156"/>
      <c r="EG176" s="156"/>
      <c r="EH176" s="156"/>
      <c r="EI176" s="156"/>
      <c r="EJ176" s="156"/>
      <c r="EK176" s="156"/>
      <c r="EL176" s="156"/>
      <c r="EM176" s="156"/>
      <c r="EN176" s="156"/>
      <c r="EO176" s="156"/>
      <c r="EP176" s="156"/>
      <c r="EQ176" s="156"/>
      <c r="ER176" s="156"/>
      <c r="ES176" s="156"/>
      <c r="ET176" s="156"/>
      <c r="EU176" s="156"/>
      <c r="EV176" s="156"/>
      <c r="EW176" s="156"/>
      <c r="EX176" s="156"/>
      <c r="EY176" s="156"/>
      <c r="EZ176" s="156"/>
      <c r="FA176" s="156"/>
      <c r="FB176" s="156"/>
      <c r="FC176" s="156"/>
      <c r="FD176" s="156"/>
      <c r="FE176" s="156"/>
      <c r="FF176" s="156"/>
      <c r="FG176" s="156"/>
    </row>
    <row r="177" spans="2:163" s="1" customFormat="1" ht="11.25" customHeight="1">
      <c r="B177" s="2548"/>
      <c r="C177" s="516"/>
      <c r="D177" s="516"/>
      <c r="E177" s="516"/>
      <c r="F177" s="516"/>
      <c r="G177" s="516"/>
      <c r="H177" s="516"/>
      <c r="I177" s="516"/>
      <c r="J177" s="516"/>
      <c r="K177" s="516"/>
      <c r="L177" s="516"/>
      <c r="M177" s="516"/>
      <c r="N177" s="516"/>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516"/>
      <c r="AN177" s="516"/>
      <c r="AO177" s="516"/>
      <c r="AP177" s="516"/>
      <c r="AQ177" s="516"/>
      <c r="AR177" s="516"/>
      <c r="AS177" s="516"/>
      <c r="AT177" s="516"/>
      <c r="AU177" s="516"/>
      <c r="AV177" s="516"/>
      <c r="AW177" s="516"/>
      <c r="AX177" s="516"/>
      <c r="AY177" s="516"/>
      <c r="AZ177" s="516"/>
      <c r="BA177" s="516"/>
      <c r="BB177" s="516"/>
      <c r="BC177" s="516"/>
      <c r="BD177" s="516"/>
      <c r="BE177" s="516"/>
      <c r="BF177" s="516"/>
      <c r="BG177" s="516"/>
      <c r="BH177" s="516"/>
      <c r="BI177" s="516"/>
      <c r="BJ177" s="516"/>
      <c r="BK177" s="516"/>
      <c r="BL177" s="516"/>
      <c r="BM177" s="516"/>
      <c r="BN177" s="516"/>
      <c r="BO177" s="516"/>
      <c r="BP177" s="516"/>
      <c r="BQ177" s="516"/>
      <c r="BR177" s="516"/>
      <c r="BS177" s="516"/>
      <c r="BT177" s="516"/>
      <c r="BU177" s="516"/>
      <c r="BV177" s="516"/>
      <c r="BW177" s="516"/>
      <c r="BX177" s="516"/>
      <c r="BY177" s="516"/>
      <c r="BZ177" s="516"/>
      <c r="CA177" s="516"/>
      <c r="CB177" s="517"/>
      <c r="CD177" s="546"/>
      <c r="CE177" s="546"/>
      <c r="CF177" s="546"/>
      <c r="CG177" s="556">
        <f>MAX(CG157:CG176)</f>
        <v>57.75</v>
      </c>
      <c r="CH177" s="557"/>
      <c r="CI177" s="548">
        <f>MAX(CI157:CI176)</f>
        <v>0</v>
      </c>
      <c r="CJ177" s="558"/>
      <c r="CK177" s="559">
        <f>MAX(CK157:CK176)</f>
        <v>0</v>
      </c>
      <c r="CL177" s="716">
        <f>SUM(CL157:CL176)</f>
        <v>16</v>
      </c>
      <c r="CM177" s="552" t="str">
        <f>" "&amp;MAX(CM157:CM176)&amp;"F"</f>
        <v xml:space="preserve"> 0F</v>
      </c>
      <c r="CN177" s="546"/>
      <c r="CO177" s="546"/>
      <c r="CP177" s="546"/>
      <c r="DC177" s="156"/>
      <c r="DD177" s="137"/>
      <c r="DE177" s="156"/>
      <c r="DF177" s="156"/>
      <c r="DG177" s="156"/>
      <c r="DH177" s="156"/>
      <c r="DI177" s="156"/>
      <c r="DJ177" s="156"/>
      <c r="DK177" s="156"/>
      <c r="DL177" s="156"/>
      <c r="DM177" s="156"/>
      <c r="DN177" s="156"/>
      <c r="DO177" s="156"/>
      <c r="DP177" s="156"/>
      <c r="DQ177" s="156"/>
      <c r="DR177" s="156"/>
      <c r="DS177" s="156"/>
      <c r="DT177" s="156"/>
      <c r="DU177" s="156"/>
      <c r="DV177" s="156"/>
      <c r="DW177" s="156"/>
      <c r="DX177" s="156"/>
      <c r="DY177" s="156"/>
      <c r="DZ177" s="156"/>
      <c r="EA177" s="156"/>
      <c r="EB177" s="156"/>
      <c r="EC177" s="156"/>
      <c r="ED177" s="156"/>
      <c r="EE177" s="156"/>
      <c r="EF177" s="156"/>
      <c r="EG177" s="156"/>
      <c r="EH177" s="156"/>
      <c r="EI177" s="156"/>
      <c r="EJ177" s="156"/>
      <c r="EK177" s="156"/>
      <c r="EL177" s="156"/>
      <c r="EM177" s="156"/>
      <c r="EN177" s="156"/>
      <c r="EO177" s="156"/>
      <c r="EP177" s="156"/>
      <c r="EQ177" s="156"/>
      <c r="ER177" s="156"/>
      <c r="ES177" s="156"/>
      <c r="ET177" s="156"/>
      <c r="EU177" s="156"/>
      <c r="EV177" s="156"/>
      <c r="EW177" s="156"/>
      <c r="EX177" s="156"/>
      <c r="EY177" s="156"/>
      <c r="EZ177" s="156"/>
      <c r="FA177" s="156"/>
      <c r="FB177" s="156"/>
      <c r="FC177" s="156"/>
      <c r="FD177" s="156"/>
      <c r="FE177" s="156"/>
      <c r="FF177" s="156"/>
      <c r="FG177" s="156"/>
    </row>
    <row r="178" spans="2:163" s="1" customFormat="1" ht="11.25" customHeight="1">
      <c r="B178" s="2548"/>
      <c r="C178" s="652" t="s">
        <v>2074</v>
      </c>
      <c r="D178" s="652"/>
      <c r="E178" s="650"/>
      <c r="F178" s="650"/>
      <c r="G178" s="650"/>
      <c r="H178" s="650"/>
      <c r="I178" s="650"/>
      <c r="J178" s="650"/>
      <c r="K178" s="650"/>
      <c r="L178" s="650"/>
      <c r="M178" s="650"/>
      <c r="N178" s="650"/>
      <c r="O178" s="650"/>
      <c r="P178" s="650"/>
      <c r="Q178" s="650"/>
      <c r="R178" s="650"/>
      <c r="S178" s="650"/>
      <c r="T178" s="650"/>
      <c r="U178" s="650"/>
      <c r="V178" s="650"/>
      <c r="W178" s="650"/>
      <c r="X178" s="650"/>
      <c r="Y178" s="650"/>
      <c r="Z178" s="650"/>
      <c r="AA178" s="650"/>
      <c r="AB178" s="650"/>
      <c r="AC178" s="650"/>
      <c r="AD178" s="650"/>
      <c r="AE178" s="650"/>
      <c r="AF178" s="650"/>
      <c r="AG178" s="650"/>
      <c r="AH178" s="650"/>
      <c r="AI178" s="650"/>
      <c r="AJ178" s="650"/>
      <c r="AK178" s="650"/>
      <c r="AL178" s="650"/>
      <c r="AM178" s="650"/>
      <c r="AN178" s="650"/>
      <c r="AO178" s="650"/>
      <c r="AP178" s="650"/>
      <c r="AQ178" s="650"/>
      <c r="AR178" s="650"/>
      <c r="AS178" s="650"/>
      <c r="AT178" s="650"/>
      <c r="AU178" s="650"/>
      <c r="AV178" s="650"/>
      <c r="AW178" s="650"/>
      <c r="AX178" s="516"/>
      <c r="AY178" s="516"/>
      <c r="AZ178" s="516"/>
      <c r="BA178" s="516"/>
      <c r="BB178" s="516"/>
      <c r="BC178" s="516"/>
      <c r="BD178" s="516"/>
      <c r="BE178" s="516"/>
      <c r="BF178" s="516"/>
      <c r="BG178" s="516"/>
      <c r="BH178" s="516"/>
      <c r="BI178" s="516"/>
      <c r="BJ178" s="516"/>
      <c r="BK178" s="516"/>
      <c r="BL178" s="516"/>
      <c r="BM178" s="516"/>
      <c r="BN178" s="516"/>
      <c r="BO178" s="516"/>
      <c r="BP178" s="516"/>
      <c r="BQ178" s="516"/>
      <c r="BR178" s="516"/>
      <c r="BS178" s="516"/>
      <c r="BT178" s="516"/>
      <c r="BU178" s="516"/>
      <c r="BV178" s="516"/>
      <c r="BW178" s="516"/>
      <c r="BX178" s="516"/>
      <c r="BY178" s="516"/>
      <c r="BZ178" s="516"/>
      <c r="CA178" s="516"/>
      <c r="CB178" s="517"/>
      <c r="DC178" s="156"/>
      <c r="DD178" s="137"/>
      <c r="DE178" s="156"/>
      <c r="DF178" s="156"/>
      <c r="DG178" s="156"/>
      <c r="DH178" s="156"/>
      <c r="DI178" s="156"/>
      <c r="DJ178" s="156"/>
      <c r="DK178" s="156"/>
      <c r="DL178" s="156"/>
      <c r="DM178" s="156"/>
      <c r="DN178" s="156"/>
      <c r="DO178" s="156"/>
      <c r="DP178" s="156"/>
      <c r="DQ178" s="156"/>
      <c r="DR178" s="156"/>
      <c r="DS178" s="156"/>
      <c r="DT178" s="156"/>
      <c r="DU178" s="156"/>
      <c r="DV178" s="156"/>
      <c r="DW178" s="156"/>
      <c r="DX178" s="156"/>
      <c r="DY178" s="156"/>
      <c r="DZ178" s="156"/>
      <c r="EA178" s="156"/>
      <c r="EB178" s="156"/>
      <c r="EC178" s="156"/>
      <c r="ED178" s="156"/>
      <c r="EE178" s="156"/>
      <c r="EF178" s="156"/>
      <c r="EG178" s="156"/>
      <c r="EH178" s="156"/>
      <c r="EI178" s="156"/>
      <c r="EJ178" s="156"/>
      <c r="EK178" s="156"/>
      <c r="EL178" s="156"/>
      <c r="EM178" s="156"/>
      <c r="EN178" s="156"/>
      <c r="EO178" s="156"/>
      <c r="EP178" s="156"/>
      <c r="EQ178" s="156"/>
      <c r="ER178" s="156"/>
      <c r="ES178" s="156"/>
      <c r="ET178" s="156"/>
      <c r="EU178" s="156"/>
      <c r="EV178" s="156"/>
      <c r="EW178" s="156"/>
      <c r="EX178" s="156"/>
      <c r="EY178" s="156"/>
      <c r="EZ178" s="156"/>
      <c r="FA178" s="156"/>
      <c r="FB178" s="156"/>
      <c r="FC178" s="156"/>
      <c r="FD178" s="156"/>
      <c r="FE178" s="156"/>
      <c r="FF178" s="156"/>
      <c r="FG178" s="156"/>
    </row>
    <row r="179" spans="2:163" s="1" customFormat="1" ht="11.25" customHeight="1">
      <c r="B179" s="2548"/>
      <c r="C179" s="650"/>
      <c r="D179" s="650"/>
      <c r="E179" s="885" t="s">
        <v>2075</v>
      </c>
      <c r="F179" s="650"/>
      <c r="G179" s="650"/>
      <c r="H179" s="650"/>
      <c r="I179" s="650"/>
      <c r="J179" s="650"/>
      <c r="K179" s="650"/>
      <c r="L179" s="650"/>
      <c r="M179" s="650"/>
      <c r="N179" s="650"/>
      <c r="O179" s="650"/>
      <c r="P179" s="650"/>
      <c r="Q179" s="650"/>
      <c r="R179" s="650"/>
      <c r="S179" s="650"/>
      <c r="T179" s="650"/>
      <c r="U179" s="650"/>
      <c r="V179" s="650"/>
      <c r="W179" s="650"/>
      <c r="X179" s="650"/>
      <c r="Y179" s="650"/>
      <c r="Z179" s="650"/>
      <c r="AA179" s="650"/>
      <c r="AB179" s="650"/>
      <c r="AC179" s="650"/>
      <c r="AD179" s="650"/>
      <c r="AE179" s="650"/>
      <c r="AF179" s="650"/>
      <c r="AG179" s="650"/>
      <c r="AH179" s="650"/>
      <c r="AI179" s="650"/>
      <c r="AJ179" s="650"/>
      <c r="AK179" s="650"/>
      <c r="AL179" s="650"/>
      <c r="AM179" s="650"/>
      <c r="AN179" s="650"/>
      <c r="AO179" s="650"/>
      <c r="AP179" s="650"/>
      <c r="AQ179" s="650"/>
      <c r="AR179" s="650"/>
      <c r="AS179" s="650"/>
      <c r="AT179" s="650"/>
      <c r="AU179" s="650"/>
      <c r="AV179" s="650"/>
      <c r="AW179" s="650"/>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7"/>
      <c r="DC179" s="156"/>
      <c r="DD179" s="137"/>
      <c r="DE179" s="156"/>
      <c r="DF179" s="156"/>
      <c r="DG179" s="156"/>
      <c r="DH179" s="156"/>
      <c r="DI179" s="156"/>
      <c r="DJ179" s="156"/>
      <c r="DK179" s="156"/>
      <c r="DL179" s="156"/>
      <c r="DM179" s="156"/>
      <c r="DN179" s="156"/>
      <c r="DO179" s="156"/>
      <c r="DP179" s="156"/>
      <c r="DQ179" s="156"/>
      <c r="DR179" s="156"/>
      <c r="DS179" s="156"/>
      <c r="DT179" s="156"/>
      <c r="DU179" s="156"/>
      <c r="DV179" s="156"/>
      <c r="DW179" s="156"/>
      <c r="DX179" s="156"/>
      <c r="DY179" s="156"/>
      <c r="DZ179" s="156"/>
      <c r="EA179" s="156"/>
      <c r="EB179" s="156"/>
      <c r="EC179" s="156"/>
      <c r="ED179" s="156"/>
      <c r="EE179" s="156"/>
      <c r="EF179" s="156"/>
      <c r="EG179" s="156"/>
      <c r="EH179" s="156"/>
      <c r="EI179" s="156"/>
      <c r="EJ179" s="156"/>
      <c r="EK179" s="156"/>
      <c r="EL179" s="156"/>
      <c r="EM179" s="156"/>
      <c r="EN179" s="156"/>
      <c r="EO179" s="156"/>
      <c r="EP179" s="156"/>
      <c r="EQ179" s="156"/>
      <c r="ER179" s="156"/>
      <c r="ES179" s="156"/>
      <c r="ET179" s="156"/>
      <c r="EU179" s="156"/>
      <c r="EV179" s="156"/>
      <c r="EW179" s="156"/>
      <c r="EX179" s="156"/>
      <c r="EY179" s="156"/>
      <c r="EZ179" s="156"/>
      <c r="FA179" s="156"/>
      <c r="FB179" s="156"/>
      <c r="FC179" s="156"/>
      <c r="FD179" s="156"/>
      <c r="FE179" s="156"/>
      <c r="FF179" s="156"/>
      <c r="FG179" s="156"/>
    </row>
    <row r="180" spans="2:163" s="1" customFormat="1" ht="11.25" customHeight="1">
      <c r="B180" s="2548"/>
      <c r="C180" s="650"/>
      <c r="D180" s="650"/>
      <c r="E180" s="650"/>
      <c r="F180" s="2550" t="s">
        <v>2153</v>
      </c>
      <c r="G180" s="2551"/>
      <c r="H180" s="2551"/>
      <c r="I180" s="2552"/>
      <c r="J180" s="650"/>
      <c r="K180" s="885" t="s">
        <v>2076</v>
      </c>
      <c r="L180" s="516"/>
      <c r="M180" s="516"/>
      <c r="N180" s="516"/>
      <c r="O180" s="516"/>
      <c r="P180" s="650"/>
      <c r="Q180" s="650"/>
      <c r="R180" s="650"/>
      <c r="S180" s="650"/>
      <c r="T180" s="650"/>
      <c r="U180" s="650"/>
      <c r="V180" s="650"/>
      <c r="W180" s="650"/>
      <c r="X180" s="650"/>
      <c r="Y180" s="650"/>
      <c r="Z180" s="650"/>
      <c r="AA180" s="650"/>
      <c r="AB180" s="650"/>
      <c r="AC180" s="650"/>
      <c r="AD180" s="650"/>
      <c r="AE180" s="650"/>
      <c r="AF180" s="650"/>
      <c r="AG180" s="650"/>
      <c r="AH180" s="650"/>
      <c r="AI180" s="650"/>
      <c r="AJ180" s="650"/>
      <c r="AK180" s="650"/>
      <c r="AL180" s="516"/>
      <c r="AM180" s="2553"/>
      <c r="AN180" s="2554"/>
      <c r="AO180" s="2554"/>
      <c r="AP180" s="2555"/>
      <c r="AQ180" s="650"/>
      <c r="AR180" s="885" t="s">
        <v>2077</v>
      </c>
      <c r="AS180" s="516"/>
      <c r="AT180" s="516"/>
      <c r="AU180" s="650"/>
      <c r="AV180" s="650"/>
      <c r="AW180" s="650"/>
      <c r="AX180" s="516"/>
      <c r="AY180" s="516"/>
      <c r="AZ180" s="516"/>
      <c r="BA180" s="516"/>
      <c r="BB180" s="516"/>
      <c r="BC180" s="516"/>
      <c r="BD180" s="516"/>
      <c r="BE180" s="516"/>
      <c r="BF180" s="516"/>
      <c r="BG180" s="516"/>
      <c r="BH180" s="516"/>
      <c r="BI180" s="516"/>
      <c r="BJ180" s="516"/>
      <c r="BK180" s="516"/>
      <c r="BL180" s="516"/>
      <c r="BM180" s="516"/>
      <c r="BN180" s="516"/>
      <c r="BO180" s="516"/>
      <c r="BP180" s="516"/>
      <c r="BQ180" s="516"/>
      <c r="BR180" s="516"/>
      <c r="BS180" s="516"/>
      <c r="BT180" s="516"/>
      <c r="BU180" s="516"/>
      <c r="BV180" s="516"/>
      <c r="BW180" s="516"/>
      <c r="BX180" s="516"/>
      <c r="BY180" s="516"/>
      <c r="BZ180" s="516"/>
      <c r="CA180" s="516"/>
      <c r="CB180" s="517"/>
      <c r="DC180" s="156"/>
      <c r="DD180" s="137"/>
      <c r="DE180" s="156"/>
      <c r="DF180" s="156"/>
      <c r="DG180" s="156"/>
      <c r="DH180" s="156"/>
      <c r="DI180" s="156"/>
      <c r="DJ180" s="156"/>
      <c r="DK180" s="156"/>
      <c r="DL180" s="156"/>
      <c r="DM180" s="156"/>
      <c r="DN180" s="156"/>
      <c r="DO180" s="156"/>
      <c r="DP180" s="156"/>
      <c r="DQ180" s="156"/>
      <c r="DR180" s="156"/>
      <c r="DS180" s="156"/>
      <c r="DT180" s="156"/>
      <c r="DU180" s="156"/>
      <c r="DV180" s="156"/>
      <c r="DW180" s="156"/>
      <c r="DX180" s="156"/>
      <c r="DY180" s="156"/>
      <c r="DZ180" s="156"/>
      <c r="EA180" s="156"/>
      <c r="EB180" s="156"/>
      <c r="EC180" s="156"/>
      <c r="ED180" s="156"/>
      <c r="EE180" s="156"/>
      <c r="EF180" s="156"/>
      <c r="EG180" s="156"/>
      <c r="EH180" s="156"/>
      <c r="EI180" s="156"/>
      <c r="EJ180" s="156"/>
      <c r="EK180" s="156"/>
      <c r="EL180" s="156"/>
      <c r="EM180" s="156"/>
      <c r="EN180" s="156"/>
      <c r="EO180" s="156"/>
      <c r="EP180" s="156"/>
      <c r="EQ180" s="156"/>
      <c r="ER180" s="156"/>
      <c r="ES180" s="156"/>
      <c r="ET180" s="156"/>
      <c r="EU180" s="156"/>
      <c r="EV180" s="156"/>
      <c r="EW180" s="156"/>
      <c r="EX180" s="156"/>
      <c r="EY180" s="156"/>
      <c r="EZ180" s="156"/>
      <c r="FA180" s="156"/>
      <c r="FB180" s="156"/>
      <c r="FC180" s="156"/>
      <c r="FD180" s="156"/>
      <c r="FE180" s="156"/>
      <c r="FF180" s="156"/>
      <c r="FG180" s="156"/>
    </row>
    <row r="181" spans="2:163" s="1" customFormat="1" ht="11.25" customHeight="1">
      <c r="B181" s="2548"/>
      <c r="C181" s="516"/>
      <c r="D181" s="516"/>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516"/>
      <c r="AQ181" s="516"/>
      <c r="AR181" s="516"/>
      <c r="AS181" s="516"/>
      <c r="AT181" s="516"/>
      <c r="AU181" s="516"/>
      <c r="AV181" s="516"/>
      <c r="AW181" s="516"/>
      <c r="AX181" s="516"/>
      <c r="AY181" s="516"/>
      <c r="AZ181" s="516"/>
      <c r="BA181" s="516"/>
      <c r="BB181" s="516"/>
      <c r="BC181" s="516"/>
      <c r="BD181" s="516"/>
      <c r="BE181" s="516"/>
      <c r="BF181" s="516"/>
      <c r="BG181" s="516"/>
      <c r="BH181" s="516"/>
      <c r="BI181" s="516"/>
      <c r="BJ181" s="516"/>
      <c r="BK181" s="516"/>
      <c r="BL181" s="516"/>
      <c r="BM181" s="516"/>
      <c r="BN181" s="516"/>
      <c r="BO181" s="516"/>
      <c r="BP181" s="516"/>
      <c r="BQ181" s="516"/>
      <c r="BR181" s="516"/>
      <c r="BS181" s="516"/>
      <c r="BT181" s="516"/>
      <c r="BU181" s="516"/>
      <c r="BV181" s="516"/>
      <c r="BW181" s="516"/>
      <c r="BX181" s="516"/>
      <c r="BY181" s="516"/>
      <c r="BZ181" s="516"/>
      <c r="CA181" s="516"/>
      <c r="CB181" s="517"/>
      <c r="DC181" s="156"/>
      <c r="DD181" s="137"/>
      <c r="DE181" s="156"/>
      <c r="DF181" s="156"/>
      <c r="DG181" s="156"/>
      <c r="DH181" s="156"/>
      <c r="DI181" s="156"/>
      <c r="DJ181" s="156"/>
      <c r="DK181" s="156"/>
      <c r="DL181" s="156"/>
      <c r="DM181" s="156"/>
      <c r="DN181" s="156"/>
      <c r="DO181" s="156"/>
      <c r="DP181" s="156"/>
      <c r="DQ181" s="156"/>
      <c r="DR181" s="156"/>
      <c r="DS181" s="156"/>
      <c r="DT181" s="156"/>
      <c r="DU181" s="156"/>
      <c r="DV181" s="156"/>
      <c r="DW181" s="156"/>
      <c r="DX181" s="156"/>
      <c r="DY181" s="156"/>
      <c r="DZ181" s="156"/>
      <c r="EA181" s="156"/>
      <c r="EB181" s="156"/>
      <c r="EC181" s="156"/>
      <c r="ED181" s="156"/>
      <c r="EE181" s="156"/>
      <c r="EF181" s="156"/>
      <c r="EG181" s="156"/>
      <c r="EH181" s="156"/>
      <c r="EI181" s="156"/>
      <c r="EJ181" s="156"/>
      <c r="EK181" s="156"/>
      <c r="EL181" s="156"/>
      <c r="EM181" s="156"/>
      <c r="EN181" s="156"/>
      <c r="EO181" s="156"/>
      <c r="EP181" s="156"/>
      <c r="EQ181" s="156"/>
      <c r="ER181" s="156"/>
      <c r="ES181" s="156"/>
      <c r="ET181" s="156"/>
      <c r="EU181" s="156"/>
      <c r="EV181" s="156"/>
      <c r="EW181" s="156"/>
      <c r="EX181" s="156"/>
      <c r="EY181" s="156"/>
      <c r="EZ181" s="156"/>
      <c r="FA181" s="156"/>
      <c r="FB181" s="156"/>
      <c r="FC181" s="156"/>
      <c r="FD181" s="156"/>
      <c r="FE181" s="156"/>
      <c r="FF181" s="156"/>
      <c r="FG181" s="156"/>
    </row>
    <row r="182" spans="2:163" s="1" customFormat="1" ht="11.25" customHeight="1">
      <c r="B182" s="2548"/>
      <c r="C182" s="652" t="s">
        <v>2078</v>
      </c>
      <c r="D182" s="516"/>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516"/>
      <c r="AU182" s="516"/>
      <c r="AV182" s="516"/>
      <c r="AW182" s="516"/>
      <c r="AX182" s="516"/>
      <c r="AY182" s="516"/>
      <c r="AZ182" s="516"/>
      <c r="BA182" s="516"/>
      <c r="BB182" s="516"/>
      <c r="BC182" s="516"/>
      <c r="BD182" s="516"/>
      <c r="BE182" s="516"/>
      <c r="BF182" s="516"/>
      <c r="BG182" s="516"/>
      <c r="BH182" s="516"/>
      <c r="BI182" s="516"/>
      <c r="BJ182" s="516"/>
      <c r="BK182" s="516"/>
      <c r="BL182" s="516"/>
      <c r="BM182" s="516"/>
      <c r="BN182" s="516"/>
      <c r="BO182" s="516"/>
      <c r="BP182" s="516"/>
      <c r="BQ182" s="516"/>
      <c r="BR182" s="516"/>
      <c r="BS182" s="516"/>
      <c r="BT182" s="516"/>
      <c r="BU182" s="516"/>
      <c r="BV182" s="516"/>
      <c r="BW182" s="516"/>
      <c r="BX182" s="516"/>
      <c r="BY182" s="516"/>
      <c r="BZ182" s="516"/>
      <c r="CA182" s="516"/>
      <c r="CB182" s="517"/>
      <c r="DC182" s="156"/>
      <c r="DD182" s="137"/>
      <c r="DE182" s="156"/>
      <c r="DF182" s="156"/>
      <c r="DG182" s="156"/>
      <c r="DH182" s="156"/>
      <c r="DI182" s="156"/>
      <c r="DJ182" s="156"/>
      <c r="DK182" s="156"/>
      <c r="DL182" s="156"/>
      <c r="DM182" s="156"/>
      <c r="DN182" s="156"/>
      <c r="DO182" s="156"/>
      <c r="DP182" s="156"/>
      <c r="DQ182" s="156"/>
      <c r="DR182" s="156"/>
      <c r="DS182" s="156"/>
      <c r="DT182" s="156"/>
      <c r="DU182" s="156"/>
      <c r="DV182" s="156"/>
      <c r="DW182" s="156"/>
      <c r="DX182" s="156"/>
      <c r="DY182" s="156"/>
      <c r="DZ182" s="156"/>
      <c r="EA182" s="156"/>
      <c r="EB182" s="156"/>
      <c r="EC182" s="156"/>
      <c r="ED182" s="156"/>
      <c r="EE182" s="156"/>
      <c r="EF182" s="156"/>
      <c r="EG182" s="156"/>
      <c r="EH182" s="156"/>
      <c r="EI182" s="156"/>
      <c r="EJ182" s="156"/>
      <c r="EK182" s="156"/>
      <c r="EL182" s="156"/>
      <c r="EM182" s="156"/>
      <c r="EN182" s="156"/>
      <c r="EO182" s="156"/>
      <c r="EP182" s="156"/>
      <c r="EQ182" s="156"/>
      <c r="ER182" s="156"/>
      <c r="ES182" s="156"/>
      <c r="ET182" s="156"/>
      <c r="EU182" s="156"/>
      <c r="EV182" s="156"/>
      <c r="EW182" s="156"/>
      <c r="EX182" s="156"/>
      <c r="EY182" s="156"/>
      <c r="EZ182" s="156"/>
      <c r="FA182" s="156"/>
      <c r="FB182" s="156"/>
      <c r="FC182" s="156"/>
      <c r="FD182" s="156"/>
      <c r="FE182" s="156"/>
      <c r="FF182" s="156"/>
      <c r="FG182" s="156"/>
    </row>
    <row r="183" spans="2:163" s="1" customFormat="1" ht="11.25" customHeight="1">
      <c r="B183" s="2548"/>
      <c r="C183" s="516"/>
      <c r="D183" s="516"/>
      <c r="E183" s="885" t="s">
        <v>2079</v>
      </c>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516"/>
      <c r="AQ183" s="516"/>
      <c r="AR183" s="516"/>
      <c r="AS183" s="516"/>
      <c r="AT183" s="516"/>
      <c r="AU183" s="516"/>
      <c r="AV183" s="516"/>
      <c r="AW183" s="516"/>
      <c r="AX183" s="516"/>
      <c r="AY183" s="516"/>
      <c r="AZ183" s="516"/>
      <c r="BA183" s="516"/>
      <c r="BB183" s="516"/>
      <c r="BC183" s="516"/>
      <c r="BD183" s="516"/>
      <c r="BE183" s="516"/>
      <c r="BF183" s="516"/>
      <c r="BG183" s="516"/>
      <c r="BH183" s="516"/>
      <c r="BI183" s="516"/>
      <c r="BJ183" s="516"/>
      <c r="BK183" s="516"/>
      <c r="BL183" s="516"/>
      <c r="BM183" s="516"/>
      <c r="BN183" s="516"/>
      <c r="BO183" s="516"/>
      <c r="BP183" s="516"/>
      <c r="BQ183" s="516"/>
      <c r="BR183" s="516"/>
      <c r="BS183" s="516"/>
      <c r="BT183" s="516"/>
      <c r="BU183" s="516"/>
      <c r="BV183" s="516"/>
      <c r="BW183" s="516"/>
      <c r="BX183" s="516"/>
      <c r="BY183" s="516"/>
      <c r="BZ183" s="516"/>
      <c r="CA183" s="516"/>
      <c r="CB183" s="517"/>
      <c r="DC183" s="156"/>
      <c r="DD183" s="156"/>
      <c r="DE183" s="156"/>
      <c r="DF183" s="156"/>
      <c r="DG183" s="156"/>
      <c r="DH183" s="156"/>
      <c r="DI183" s="156"/>
      <c r="DJ183" s="156"/>
      <c r="DK183" s="156"/>
      <c r="DL183" s="156"/>
      <c r="DM183" s="156"/>
      <c r="DN183" s="156"/>
      <c r="DO183" s="156"/>
      <c r="DP183" s="156"/>
      <c r="DQ183" s="156"/>
      <c r="DR183" s="156"/>
      <c r="DS183" s="156"/>
      <c r="DT183" s="156"/>
      <c r="DU183" s="156"/>
      <c r="DV183" s="156"/>
      <c r="DW183" s="156"/>
      <c r="DX183" s="156"/>
      <c r="DY183" s="156"/>
      <c r="DZ183" s="156"/>
      <c r="EA183" s="156"/>
      <c r="EB183" s="156"/>
      <c r="EC183" s="156"/>
      <c r="ED183" s="156"/>
      <c r="EE183" s="156"/>
      <c r="EF183" s="156"/>
      <c r="EG183" s="156"/>
      <c r="EH183" s="156"/>
      <c r="EI183" s="156"/>
      <c r="EJ183" s="156"/>
      <c r="EK183" s="156"/>
      <c r="EL183" s="156"/>
      <c r="EM183" s="156"/>
      <c r="EN183" s="156"/>
      <c r="EO183" s="156"/>
      <c r="EP183" s="156"/>
      <c r="EQ183" s="156"/>
      <c r="ER183" s="156"/>
      <c r="ES183" s="156"/>
      <c r="ET183" s="156"/>
      <c r="EU183" s="156"/>
      <c r="EV183" s="156"/>
      <c r="EW183" s="156"/>
      <c r="EX183" s="156"/>
      <c r="EY183" s="156"/>
      <c r="EZ183" s="156"/>
      <c r="FA183" s="156"/>
      <c r="FB183" s="156"/>
      <c r="FC183" s="156"/>
      <c r="FD183" s="156"/>
      <c r="FE183" s="156"/>
      <c r="FF183" s="156"/>
      <c r="FG183" s="156"/>
    </row>
    <row r="184" spans="2:163" s="1" customFormat="1" ht="11.25" customHeight="1">
      <c r="B184" s="2548"/>
      <c r="C184" s="516"/>
      <c r="D184" s="516"/>
      <c r="E184" s="885" t="s">
        <v>2086</v>
      </c>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516"/>
      <c r="AQ184" s="516"/>
      <c r="AR184" s="516"/>
      <c r="AS184" s="516"/>
      <c r="AT184" s="516"/>
      <c r="AU184" s="516"/>
      <c r="AV184" s="516"/>
      <c r="AW184" s="516"/>
      <c r="AX184" s="516"/>
      <c r="AY184" s="516"/>
      <c r="AZ184" s="516"/>
      <c r="BA184" s="516"/>
      <c r="BB184" s="516"/>
      <c r="BC184" s="516"/>
      <c r="BD184" s="516"/>
      <c r="BE184" s="516"/>
      <c r="BF184" s="516"/>
      <c r="BG184" s="516"/>
      <c r="BH184" s="516"/>
      <c r="BI184" s="516"/>
      <c r="BJ184" s="516"/>
      <c r="BK184" s="516"/>
      <c r="BL184" s="516"/>
      <c r="BM184" s="516"/>
      <c r="BN184" s="516"/>
      <c r="BO184" s="516"/>
      <c r="BP184" s="516"/>
      <c r="BQ184" s="516"/>
      <c r="BR184" s="516"/>
      <c r="BS184" s="516"/>
      <c r="BT184" s="516"/>
      <c r="BU184" s="516"/>
      <c r="BV184" s="516"/>
      <c r="BW184" s="516"/>
      <c r="BX184" s="516"/>
      <c r="BY184" s="516"/>
      <c r="BZ184" s="516"/>
      <c r="CA184" s="516"/>
      <c r="CB184" s="517"/>
      <c r="DC184" s="156"/>
      <c r="DD184" s="156"/>
      <c r="DE184" s="156"/>
      <c r="DF184" s="156"/>
      <c r="DG184" s="156"/>
      <c r="DH184" s="156"/>
      <c r="DI184" s="156"/>
      <c r="DJ184" s="156"/>
      <c r="DK184" s="156"/>
      <c r="DL184" s="156"/>
      <c r="DM184" s="156"/>
      <c r="DN184" s="156"/>
      <c r="DO184" s="156"/>
      <c r="DP184" s="156"/>
      <c r="DQ184" s="156"/>
      <c r="DR184" s="156"/>
      <c r="DS184" s="156"/>
      <c r="DT184" s="156"/>
      <c r="DU184" s="156"/>
      <c r="DV184" s="156"/>
      <c r="DW184" s="156"/>
      <c r="DX184" s="156"/>
      <c r="DY184" s="156"/>
      <c r="DZ184" s="156"/>
      <c r="EA184" s="156"/>
      <c r="EB184" s="156"/>
      <c r="EC184" s="156"/>
      <c r="ED184" s="156"/>
      <c r="EE184" s="156"/>
      <c r="EF184" s="156"/>
      <c r="EG184" s="156"/>
      <c r="EH184" s="156"/>
      <c r="EI184" s="156"/>
      <c r="EJ184" s="156"/>
      <c r="EK184" s="156"/>
      <c r="EL184" s="156"/>
      <c r="EM184" s="156"/>
      <c r="EN184" s="156"/>
      <c r="EO184" s="156"/>
      <c r="EP184" s="156"/>
      <c r="EQ184" s="156"/>
      <c r="ER184" s="156"/>
      <c r="ES184" s="156"/>
      <c r="ET184" s="156"/>
      <c r="EU184" s="156"/>
      <c r="EV184" s="156"/>
      <c r="EW184" s="156"/>
      <c r="EX184" s="156"/>
      <c r="EY184" s="156"/>
      <c r="EZ184" s="156"/>
      <c r="FA184" s="156"/>
      <c r="FB184" s="156"/>
      <c r="FC184" s="156"/>
      <c r="FD184" s="156"/>
      <c r="FE184" s="156"/>
      <c r="FF184" s="156"/>
      <c r="FG184" s="156"/>
    </row>
    <row r="185" spans="2:163" s="1" customFormat="1" ht="11.25" customHeight="1">
      <c r="B185" s="2548"/>
      <c r="C185" s="516"/>
      <c r="D185" s="516"/>
      <c r="E185" s="885" t="s">
        <v>2085</v>
      </c>
      <c r="F185" s="516"/>
      <c r="G185" s="516"/>
      <c r="H185" s="516"/>
      <c r="I185" s="516"/>
      <c r="J185" s="516"/>
      <c r="K185" s="516"/>
      <c r="L185" s="516"/>
      <c r="M185" s="516"/>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516"/>
      <c r="AU185" s="516"/>
      <c r="AV185" s="516"/>
      <c r="AW185" s="516"/>
      <c r="AX185" s="516"/>
      <c r="AY185" s="516"/>
      <c r="AZ185" s="516"/>
      <c r="BA185" s="516"/>
      <c r="BB185" s="516"/>
      <c r="BC185" s="516"/>
      <c r="BD185" s="516"/>
      <c r="BE185" s="516"/>
      <c r="BF185" s="516"/>
      <c r="BG185" s="516"/>
      <c r="BH185" s="516"/>
      <c r="BI185" s="516"/>
      <c r="BJ185" s="516"/>
      <c r="BK185" s="516"/>
      <c r="BL185" s="516"/>
      <c r="BM185" s="516"/>
      <c r="BN185" s="516"/>
      <c r="BO185" s="516"/>
      <c r="BP185" s="516"/>
      <c r="BQ185" s="516"/>
      <c r="BR185" s="516"/>
      <c r="BS185" s="516"/>
      <c r="BT185" s="516"/>
      <c r="BU185" s="516"/>
      <c r="BV185" s="516"/>
      <c r="BW185" s="516"/>
      <c r="BX185" s="516"/>
      <c r="BY185" s="516"/>
      <c r="BZ185" s="516"/>
      <c r="CA185" s="516"/>
      <c r="CB185" s="517"/>
      <c r="DC185" s="156"/>
      <c r="DD185" s="156"/>
      <c r="DE185" s="156"/>
      <c r="DF185" s="156"/>
      <c r="DG185" s="156"/>
      <c r="DH185" s="156"/>
      <c r="DI185" s="156"/>
      <c r="DJ185" s="156"/>
      <c r="DK185" s="156"/>
      <c r="DL185" s="156"/>
      <c r="DM185" s="156"/>
      <c r="DN185" s="156"/>
      <c r="DO185" s="156"/>
      <c r="DP185" s="156"/>
      <c r="DQ185" s="156"/>
      <c r="DR185" s="156"/>
      <c r="DS185" s="156"/>
      <c r="DT185" s="156"/>
      <c r="DU185" s="156"/>
      <c r="DV185" s="156"/>
      <c r="DW185" s="156"/>
      <c r="DX185" s="156"/>
      <c r="DY185" s="156"/>
      <c r="DZ185" s="156"/>
      <c r="EA185" s="156"/>
      <c r="EB185" s="156"/>
      <c r="EC185" s="156"/>
      <c r="ED185" s="156"/>
      <c r="EE185" s="156"/>
      <c r="EF185" s="156"/>
      <c r="EG185" s="156"/>
      <c r="EH185" s="156"/>
      <c r="EI185" s="156"/>
      <c r="EJ185" s="156"/>
      <c r="EK185" s="156"/>
      <c r="EL185" s="156"/>
      <c r="EM185" s="156"/>
      <c r="EN185" s="156"/>
      <c r="EO185" s="156"/>
      <c r="EP185" s="156"/>
      <c r="EQ185" s="156"/>
      <c r="ER185" s="156"/>
      <c r="ES185" s="156"/>
      <c r="ET185" s="156"/>
      <c r="EU185" s="156"/>
      <c r="EV185" s="156"/>
      <c r="EW185" s="156"/>
      <c r="EX185" s="156"/>
      <c r="EY185" s="156"/>
      <c r="EZ185" s="156"/>
      <c r="FA185" s="156"/>
      <c r="FB185" s="156"/>
      <c r="FC185" s="156"/>
      <c r="FD185" s="156"/>
      <c r="FE185" s="156"/>
      <c r="FF185" s="156"/>
      <c r="FG185" s="156"/>
    </row>
    <row r="186" spans="2:163" s="1" customFormat="1" ht="11.25" customHeight="1">
      <c r="B186" s="2548"/>
      <c r="C186" s="516"/>
      <c r="D186" s="516"/>
      <c r="E186" s="885" t="s">
        <v>2084</v>
      </c>
      <c r="F186" s="516"/>
      <c r="G186" s="516"/>
      <c r="H186" s="516"/>
      <c r="I186" s="516"/>
      <c r="J186" s="516"/>
      <c r="K186" s="516"/>
      <c r="L186" s="516"/>
      <c r="M186" s="51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516"/>
      <c r="AQ186" s="516"/>
      <c r="AR186" s="516"/>
      <c r="AS186" s="516"/>
      <c r="AT186" s="516"/>
      <c r="AU186" s="516"/>
      <c r="AV186" s="516"/>
      <c r="AW186" s="516"/>
      <c r="AX186" s="516"/>
      <c r="AY186" s="516"/>
      <c r="AZ186" s="516"/>
      <c r="BA186" s="516"/>
      <c r="BB186" s="516"/>
      <c r="BC186" s="516"/>
      <c r="BD186" s="516"/>
      <c r="BE186" s="516"/>
      <c r="BF186" s="516"/>
      <c r="BG186" s="516"/>
      <c r="BH186" s="516"/>
      <c r="BI186" s="516"/>
      <c r="BJ186" s="516"/>
      <c r="BK186" s="516"/>
      <c r="BL186" s="516"/>
      <c r="BM186" s="516"/>
      <c r="BN186" s="516"/>
      <c r="BO186" s="516"/>
      <c r="BP186" s="516"/>
      <c r="BQ186" s="516"/>
      <c r="BR186" s="516"/>
      <c r="BS186" s="516"/>
      <c r="BT186" s="516"/>
      <c r="BU186" s="516"/>
      <c r="BV186" s="516"/>
      <c r="BW186" s="516"/>
      <c r="BX186" s="516"/>
      <c r="BY186" s="516"/>
      <c r="BZ186" s="516"/>
      <c r="CA186" s="516"/>
      <c r="CB186" s="517"/>
      <c r="DC186" s="156"/>
      <c r="DD186" s="156"/>
      <c r="DE186" s="156"/>
      <c r="DF186" s="156"/>
      <c r="DG186" s="156"/>
      <c r="DH186" s="156"/>
      <c r="DI186" s="156"/>
      <c r="DJ186" s="156"/>
      <c r="DK186" s="156"/>
      <c r="DL186" s="156"/>
      <c r="DM186" s="156"/>
      <c r="DN186" s="156"/>
      <c r="DO186" s="156"/>
      <c r="DP186" s="156"/>
      <c r="DQ186" s="156"/>
      <c r="DR186" s="156"/>
      <c r="DS186" s="156"/>
      <c r="DT186" s="156"/>
      <c r="DU186" s="156"/>
      <c r="DV186" s="156"/>
      <c r="DW186" s="156"/>
      <c r="DX186" s="156"/>
      <c r="DY186" s="156"/>
      <c r="DZ186" s="156"/>
      <c r="EA186" s="156"/>
      <c r="EB186" s="156"/>
      <c r="EC186" s="156"/>
      <c r="ED186" s="156"/>
      <c r="EE186" s="156"/>
      <c r="EF186" s="156"/>
      <c r="EG186" s="156"/>
      <c r="EH186" s="156"/>
      <c r="EI186" s="156"/>
      <c r="EJ186" s="156"/>
      <c r="EK186" s="156"/>
      <c r="EL186" s="156"/>
      <c r="EM186" s="156"/>
      <c r="EN186" s="156"/>
      <c r="EO186" s="156"/>
      <c r="EP186" s="156"/>
      <c r="EQ186" s="156"/>
      <c r="ER186" s="156"/>
      <c r="ES186" s="156"/>
      <c r="ET186" s="156"/>
      <c r="EU186" s="156"/>
      <c r="EV186" s="156"/>
      <c r="EW186" s="156"/>
      <c r="EX186" s="156"/>
      <c r="EY186" s="156"/>
      <c r="EZ186" s="156"/>
      <c r="FA186" s="156"/>
      <c r="FB186" s="156"/>
      <c r="FC186" s="156"/>
      <c r="FD186" s="156"/>
      <c r="FE186" s="156"/>
      <c r="FF186" s="156"/>
      <c r="FG186" s="156"/>
    </row>
    <row r="187" spans="2:163" s="1" customFormat="1" ht="11.25" customHeight="1">
      <c r="B187" s="2549"/>
      <c r="C187" s="518"/>
      <c r="D187" s="518"/>
      <c r="E187" s="655"/>
      <c r="F187" s="518"/>
      <c r="G187" s="518"/>
      <c r="H187" s="518"/>
      <c r="I187" s="518"/>
      <c r="J187" s="518"/>
      <c r="K187" s="518"/>
      <c r="L187" s="518"/>
      <c r="M187" s="518"/>
      <c r="N187" s="518"/>
      <c r="O187" s="518"/>
      <c r="P187" s="518"/>
      <c r="Q187" s="518"/>
      <c r="R187" s="518"/>
      <c r="S187" s="518"/>
      <c r="T187" s="518"/>
      <c r="U187" s="518"/>
      <c r="V187" s="518"/>
      <c r="W187" s="518"/>
      <c r="X187" s="518"/>
      <c r="Y187" s="518"/>
      <c r="Z187" s="518"/>
      <c r="AA187" s="518"/>
      <c r="AB187" s="518"/>
      <c r="AC187" s="518"/>
      <c r="AD187" s="518"/>
      <c r="AE187" s="518"/>
      <c r="AF187" s="518"/>
      <c r="AG187" s="518"/>
      <c r="AH187" s="518"/>
      <c r="AI187" s="518"/>
      <c r="AJ187" s="518"/>
      <c r="AK187" s="518"/>
      <c r="AL187" s="518"/>
      <c r="AM187" s="518"/>
      <c r="AN187" s="518"/>
      <c r="AO187" s="518"/>
      <c r="AP187" s="518"/>
      <c r="AQ187" s="518"/>
      <c r="AR187" s="518"/>
      <c r="AS187" s="518"/>
      <c r="AT187" s="518"/>
      <c r="AU187" s="518"/>
      <c r="AV187" s="518"/>
      <c r="AW187" s="518"/>
      <c r="AX187" s="518"/>
      <c r="AY187" s="518"/>
      <c r="AZ187" s="518"/>
      <c r="BA187" s="518"/>
      <c r="BB187" s="518"/>
      <c r="BC187" s="518"/>
      <c r="BD187" s="518"/>
      <c r="BE187" s="518"/>
      <c r="BF187" s="518"/>
      <c r="BG187" s="518"/>
      <c r="BH187" s="518"/>
      <c r="BI187" s="518"/>
      <c r="BJ187" s="518"/>
      <c r="BK187" s="518"/>
      <c r="BL187" s="518"/>
      <c r="BM187" s="518"/>
      <c r="BN187" s="518"/>
      <c r="BO187" s="518"/>
      <c r="BP187" s="518"/>
      <c r="BQ187" s="518"/>
      <c r="BR187" s="518"/>
      <c r="BS187" s="518"/>
      <c r="BT187" s="518"/>
      <c r="BU187" s="518"/>
      <c r="BV187" s="518"/>
      <c r="BW187" s="518"/>
      <c r="BX187" s="518"/>
      <c r="BY187" s="518"/>
      <c r="BZ187" s="518"/>
      <c r="CA187" s="518"/>
      <c r="CB187" s="519"/>
      <c r="DC187" s="156"/>
      <c r="DD187" s="156"/>
      <c r="DE187" s="156"/>
      <c r="DF187" s="156"/>
      <c r="DG187" s="156"/>
      <c r="DH187" s="156"/>
      <c r="DI187" s="156"/>
      <c r="DJ187" s="156"/>
      <c r="DK187" s="156"/>
      <c r="DL187" s="156"/>
      <c r="DM187" s="156"/>
      <c r="DN187" s="156"/>
      <c r="DO187" s="156"/>
      <c r="DP187" s="156"/>
      <c r="DQ187" s="156"/>
      <c r="DR187" s="156"/>
      <c r="DS187" s="156"/>
      <c r="DT187" s="156"/>
      <c r="DU187" s="156"/>
      <c r="DV187" s="156"/>
      <c r="DW187" s="156"/>
      <c r="DX187" s="156"/>
      <c r="DY187" s="156"/>
      <c r="DZ187" s="156"/>
      <c r="EA187" s="156"/>
      <c r="EB187" s="156"/>
      <c r="EC187" s="156"/>
      <c r="ED187" s="156"/>
      <c r="EE187" s="156"/>
      <c r="EF187" s="156"/>
      <c r="EG187" s="156"/>
      <c r="EH187" s="156"/>
      <c r="EI187" s="156"/>
      <c r="EJ187" s="156"/>
      <c r="EK187" s="156"/>
      <c r="EL187" s="156"/>
      <c r="EM187" s="156"/>
      <c r="EN187" s="156"/>
      <c r="EO187" s="156"/>
      <c r="EP187" s="156"/>
      <c r="EQ187" s="156"/>
      <c r="ER187" s="156"/>
      <c r="ES187" s="156"/>
      <c r="ET187" s="156"/>
      <c r="EU187" s="156"/>
      <c r="EV187" s="156"/>
      <c r="EW187" s="156"/>
      <c r="EX187" s="156"/>
      <c r="EY187" s="156"/>
      <c r="EZ187" s="156"/>
      <c r="FA187" s="156"/>
      <c r="FB187" s="156"/>
      <c r="FC187" s="156"/>
      <c r="FD187" s="156"/>
      <c r="FE187" s="156"/>
      <c r="FF187" s="156"/>
      <c r="FG187" s="156"/>
    </row>
    <row r="188" spans="2:163" s="1" customFormat="1" ht="10.15" customHeight="1">
      <c r="DC188" s="156"/>
      <c r="DD188" s="156"/>
      <c r="DE188" s="156"/>
      <c r="DF188" s="156"/>
      <c r="DG188" s="156"/>
      <c r="DH188" s="156"/>
      <c r="DI188" s="156"/>
      <c r="DJ188" s="156"/>
      <c r="DK188" s="156"/>
      <c r="DL188" s="156"/>
      <c r="DM188" s="156"/>
      <c r="DN188" s="156"/>
      <c r="DO188" s="156"/>
      <c r="DP188" s="156"/>
      <c r="DQ188" s="156"/>
      <c r="DR188" s="156"/>
      <c r="DS188" s="156"/>
      <c r="DT188" s="156"/>
      <c r="DU188" s="156"/>
      <c r="DV188" s="156"/>
      <c r="DW188" s="156"/>
      <c r="DX188" s="156"/>
      <c r="DY188" s="156"/>
      <c r="DZ188" s="156"/>
      <c r="EA188" s="156"/>
      <c r="EB188" s="156"/>
      <c r="EC188" s="156"/>
      <c r="ED188" s="156"/>
      <c r="EE188" s="156"/>
      <c r="EF188" s="156"/>
      <c r="EG188" s="156"/>
      <c r="EH188" s="156"/>
      <c r="EI188" s="156"/>
      <c r="EJ188" s="156"/>
      <c r="EK188" s="156"/>
      <c r="EL188" s="156"/>
      <c r="EM188" s="156"/>
      <c r="EN188" s="156"/>
      <c r="EO188" s="156"/>
      <c r="EP188" s="156"/>
      <c r="EQ188" s="156"/>
      <c r="ER188" s="156"/>
      <c r="ES188" s="156"/>
      <c r="ET188" s="156"/>
      <c r="EU188" s="156"/>
      <c r="EV188" s="156"/>
      <c r="EW188" s="156"/>
      <c r="EX188" s="156"/>
      <c r="EY188" s="156"/>
      <c r="EZ188" s="156"/>
      <c r="FA188" s="156"/>
      <c r="FB188" s="156"/>
      <c r="FC188" s="156"/>
      <c r="FD188" s="156"/>
      <c r="FE188" s="156"/>
      <c r="FF188" s="156"/>
      <c r="FG188" s="156"/>
    </row>
    <row r="189" spans="2:163" s="1" customFormat="1" ht="10.15" customHeight="1">
      <c r="DC189" s="156"/>
      <c r="DD189" s="156"/>
      <c r="DE189" s="156"/>
      <c r="DF189" s="156"/>
      <c r="DG189" s="156"/>
      <c r="DH189" s="156"/>
      <c r="DI189" s="156"/>
      <c r="DJ189" s="156"/>
      <c r="DK189" s="156"/>
      <c r="DL189" s="156"/>
      <c r="DM189" s="156"/>
      <c r="DN189" s="156"/>
      <c r="DO189" s="156"/>
      <c r="DP189" s="156"/>
      <c r="DQ189" s="156"/>
      <c r="DR189" s="156"/>
      <c r="DS189" s="156"/>
      <c r="DT189" s="156"/>
      <c r="DU189" s="156"/>
      <c r="DV189" s="156"/>
      <c r="DW189" s="156"/>
      <c r="DX189" s="156"/>
      <c r="DY189" s="156"/>
      <c r="DZ189" s="156"/>
      <c r="EA189" s="156"/>
      <c r="EB189" s="156"/>
      <c r="EC189" s="156"/>
      <c r="ED189" s="156"/>
      <c r="EE189" s="156"/>
      <c r="EF189" s="156"/>
      <c r="EG189" s="156"/>
      <c r="EH189" s="156"/>
      <c r="EI189" s="156"/>
      <c r="EJ189" s="156"/>
      <c r="EK189" s="156"/>
      <c r="EL189" s="156"/>
      <c r="EM189" s="156"/>
      <c r="EN189" s="156"/>
      <c r="EO189" s="156"/>
      <c r="EP189" s="156"/>
      <c r="EQ189" s="156"/>
      <c r="ER189" s="156"/>
      <c r="ES189" s="156"/>
      <c r="ET189" s="156"/>
      <c r="EU189" s="156"/>
      <c r="EV189" s="156"/>
      <c r="EW189" s="156"/>
      <c r="EX189" s="156"/>
      <c r="EY189" s="156"/>
      <c r="EZ189" s="156"/>
      <c r="FA189" s="156"/>
      <c r="FB189" s="156"/>
      <c r="FC189" s="156"/>
      <c r="FD189" s="156"/>
      <c r="FE189" s="156"/>
      <c r="FF189" s="156"/>
      <c r="FG189" s="156"/>
    </row>
    <row r="190" spans="2:163" s="1" customFormat="1" ht="10.15" customHeight="1">
      <c r="DC190" s="156"/>
      <c r="DD190" s="156"/>
      <c r="DE190" s="156"/>
      <c r="DF190" s="156"/>
      <c r="DG190" s="156"/>
      <c r="DH190" s="156"/>
      <c r="DI190" s="156"/>
      <c r="DJ190" s="156"/>
      <c r="DK190" s="156"/>
      <c r="DL190" s="156"/>
      <c r="DM190" s="156"/>
      <c r="DN190" s="156"/>
      <c r="DO190" s="156"/>
      <c r="DP190" s="156"/>
      <c r="DQ190" s="156"/>
      <c r="DR190" s="156"/>
      <c r="DS190" s="156"/>
      <c r="DT190" s="156"/>
      <c r="DU190" s="156"/>
      <c r="DV190" s="156"/>
      <c r="DW190" s="156"/>
      <c r="DX190" s="156"/>
      <c r="DY190" s="156"/>
      <c r="DZ190" s="156"/>
      <c r="EA190" s="156"/>
      <c r="EB190" s="156"/>
      <c r="EC190" s="156"/>
      <c r="ED190" s="156"/>
      <c r="EE190" s="156"/>
      <c r="EF190" s="156"/>
      <c r="EG190" s="156"/>
      <c r="EH190" s="156"/>
      <c r="EI190" s="156"/>
      <c r="EJ190" s="156"/>
      <c r="EK190" s="156"/>
      <c r="EL190" s="156"/>
      <c r="EM190" s="156"/>
      <c r="EN190" s="156"/>
      <c r="EO190" s="156"/>
      <c r="EP190" s="156"/>
      <c r="EQ190" s="156"/>
      <c r="ER190" s="156"/>
      <c r="ES190" s="156"/>
      <c r="ET190" s="156"/>
      <c r="EU190" s="156"/>
      <c r="EV190" s="156"/>
      <c r="EW190" s="156"/>
      <c r="EX190" s="156"/>
      <c r="EY190" s="156"/>
      <c r="EZ190" s="156"/>
      <c r="FA190" s="156"/>
      <c r="FB190" s="156"/>
      <c r="FC190" s="156"/>
      <c r="FD190" s="156"/>
      <c r="FE190" s="156"/>
      <c r="FF190" s="156"/>
      <c r="FG190" s="156"/>
    </row>
    <row r="191" spans="2:163" s="1" customFormat="1" ht="10.15" customHeight="1">
      <c r="DC191" s="156"/>
      <c r="DD191" s="156"/>
      <c r="DE191" s="156"/>
      <c r="DF191" s="156"/>
      <c r="DG191" s="156"/>
      <c r="DH191" s="156"/>
      <c r="DI191" s="156"/>
      <c r="DJ191" s="156"/>
      <c r="DK191" s="156"/>
      <c r="DL191" s="156"/>
      <c r="DM191" s="156"/>
      <c r="DN191" s="156"/>
      <c r="DO191" s="156"/>
      <c r="DP191" s="156"/>
      <c r="DQ191" s="156"/>
      <c r="DR191" s="156"/>
      <c r="DS191" s="156"/>
      <c r="DT191" s="156"/>
      <c r="DU191" s="156"/>
      <c r="DV191" s="156"/>
      <c r="DW191" s="156"/>
      <c r="DX191" s="156"/>
      <c r="DY191" s="156"/>
      <c r="DZ191" s="156"/>
      <c r="EA191" s="156"/>
      <c r="EB191" s="156"/>
      <c r="EC191" s="156"/>
      <c r="ED191" s="156"/>
      <c r="EE191" s="156"/>
      <c r="EF191" s="156"/>
      <c r="EG191" s="156"/>
      <c r="EH191" s="156"/>
      <c r="EI191" s="156"/>
      <c r="EJ191" s="156"/>
      <c r="EK191" s="156"/>
      <c r="EL191" s="156"/>
      <c r="EM191" s="156"/>
      <c r="EN191" s="156"/>
      <c r="EO191" s="156"/>
      <c r="EP191" s="156"/>
      <c r="EQ191" s="156"/>
      <c r="ER191" s="156"/>
      <c r="ES191" s="156"/>
      <c r="ET191" s="156"/>
      <c r="EU191" s="156"/>
      <c r="EV191" s="156"/>
      <c r="EW191" s="156"/>
      <c r="EX191" s="156"/>
      <c r="EY191" s="156"/>
      <c r="EZ191" s="156"/>
      <c r="FA191" s="156"/>
      <c r="FB191" s="156"/>
      <c r="FC191" s="156"/>
      <c r="FD191" s="156"/>
      <c r="FE191" s="156"/>
      <c r="FF191" s="156"/>
      <c r="FG191" s="156"/>
    </row>
    <row r="192" spans="2:163" s="1" customFormat="1" ht="10.15" customHeight="1">
      <c r="DC192" s="156"/>
      <c r="DD192" s="156"/>
      <c r="DE192" s="156"/>
      <c r="DF192" s="156"/>
      <c r="DG192" s="156"/>
      <c r="DH192" s="156"/>
      <c r="DI192" s="156"/>
      <c r="DJ192" s="156"/>
      <c r="DK192" s="156"/>
      <c r="DL192" s="156"/>
      <c r="DM192" s="156"/>
      <c r="DN192" s="156"/>
      <c r="DO192" s="156"/>
      <c r="DP192" s="156"/>
      <c r="DQ192" s="156"/>
      <c r="DR192" s="156"/>
      <c r="DS192" s="156"/>
      <c r="DT192" s="156"/>
      <c r="DU192" s="156"/>
      <c r="DV192" s="156"/>
      <c r="DW192" s="156"/>
      <c r="DX192" s="156"/>
      <c r="DY192" s="156"/>
      <c r="DZ192" s="156"/>
      <c r="EA192" s="156"/>
      <c r="EB192" s="156"/>
      <c r="EC192" s="156"/>
      <c r="ED192" s="156"/>
      <c r="EE192" s="156"/>
      <c r="EF192" s="156"/>
      <c r="EG192" s="156"/>
      <c r="EH192" s="156"/>
      <c r="EI192" s="156"/>
      <c r="EJ192" s="156"/>
      <c r="EK192" s="156"/>
      <c r="EL192" s="156"/>
      <c r="EM192" s="156"/>
      <c r="EN192" s="156"/>
      <c r="EO192" s="156"/>
      <c r="EP192" s="156"/>
      <c r="EQ192" s="156"/>
      <c r="ER192" s="156"/>
      <c r="ES192" s="156"/>
      <c r="ET192" s="156"/>
      <c r="EU192" s="156"/>
      <c r="EV192" s="156"/>
      <c r="EW192" s="156"/>
      <c r="EX192" s="156"/>
      <c r="EY192" s="156"/>
      <c r="EZ192" s="156"/>
      <c r="FA192" s="156"/>
      <c r="FB192" s="156"/>
      <c r="FC192" s="156"/>
      <c r="FD192" s="156"/>
      <c r="FE192" s="156"/>
      <c r="FF192" s="156"/>
      <c r="FG192" s="156"/>
    </row>
    <row r="193" spans="107:163" s="1" customFormat="1" ht="10.15" customHeight="1">
      <c r="DC193" s="156"/>
      <c r="DD193" s="156"/>
      <c r="DE193" s="156"/>
      <c r="DF193" s="156"/>
      <c r="DG193" s="156"/>
      <c r="DH193" s="156"/>
      <c r="DI193" s="156"/>
      <c r="DJ193" s="156"/>
      <c r="DK193" s="156"/>
      <c r="DL193" s="156"/>
      <c r="DM193" s="156"/>
      <c r="DN193" s="156"/>
      <c r="DO193" s="156"/>
      <c r="DP193" s="156"/>
      <c r="DQ193" s="156"/>
      <c r="DR193" s="156"/>
      <c r="DS193" s="156"/>
      <c r="DT193" s="156"/>
      <c r="DU193" s="156"/>
      <c r="DV193" s="156"/>
      <c r="DW193" s="156"/>
      <c r="DX193" s="156"/>
      <c r="DY193" s="156"/>
      <c r="DZ193" s="156"/>
      <c r="EA193" s="156"/>
      <c r="EB193" s="156"/>
      <c r="EC193" s="156"/>
      <c r="ED193" s="156"/>
      <c r="EE193" s="156"/>
      <c r="EF193" s="156"/>
      <c r="EG193" s="156"/>
      <c r="EH193" s="156"/>
      <c r="EI193" s="156"/>
      <c r="EJ193" s="156"/>
      <c r="EK193" s="156"/>
      <c r="EL193" s="156"/>
      <c r="EM193" s="156"/>
      <c r="EN193" s="156"/>
      <c r="EO193" s="156"/>
      <c r="EP193" s="156"/>
      <c r="EQ193" s="156"/>
      <c r="ER193" s="156"/>
      <c r="ES193" s="156"/>
      <c r="ET193" s="156"/>
      <c r="EU193" s="156"/>
      <c r="EV193" s="156"/>
      <c r="EW193" s="156"/>
      <c r="EX193" s="156"/>
      <c r="EY193" s="156"/>
      <c r="EZ193" s="156"/>
      <c r="FA193" s="156"/>
      <c r="FB193" s="156"/>
      <c r="FC193" s="156"/>
      <c r="FD193" s="156"/>
      <c r="FE193" s="156"/>
      <c r="FF193" s="156"/>
      <c r="FG193" s="156"/>
    </row>
    <row r="194" spans="107:163" s="1" customFormat="1" ht="10.15" customHeight="1">
      <c r="DC194" s="156"/>
      <c r="DD194" s="156"/>
      <c r="DE194" s="156"/>
      <c r="DF194" s="156"/>
      <c r="DG194" s="156"/>
      <c r="DH194" s="156"/>
      <c r="DI194" s="156"/>
      <c r="DJ194" s="156"/>
      <c r="DK194" s="156"/>
      <c r="DL194" s="156"/>
      <c r="DM194" s="156"/>
      <c r="DN194" s="156"/>
      <c r="DO194" s="156"/>
      <c r="DP194" s="156"/>
      <c r="DQ194" s="156"/>
      <c r="DR194" s="156"/>
      <c r="DS194" s="156"/>
      <c r="DT194" s="156"/>
      <c r="DU194" s="156"/>
      <c r="DV194" s="156"/>
      <c r="DW194" s="156"/>
      <c r="DX194" s="156"/>
      <c r="DY194" s="156"/>
      <c r="DZ194" s="156"/>
      <c r="EA194" s="156"/>
      <c r="EB194" s="156"/>
      <c r="EC194" s="156"/>
      <c r="ED194" s="156"/>
      <c r="EE194" s="156"/>
      <c r="EF194" s="156"/>
      <c r="EG194" s="156"/>
      <c r="EH194" s="156"/>
      <c r="EI194" s="156"/>
      <c r="EJ194" s="156"/>
      <c r="EK194" s="156"/>
      <c r="EL194" s="156"/>
      <c r="EM194" s="156"/>
      <c r="EN194" s="156"/>
      <c r="EO194" s="156"/>
      <c r="EP194" s="156"/>
      <c r="EQ194" s="156"/>
      <c r="ER194" s="156"/>
      <c r="ES194" s="156"/>
      <c r="ET194" s="156"/>
      <c r="EU194" s="156"/>
      <c r="EV194" s="156"/>
      <c r="EW194" s="156"/>
      <c r="EX194" s="156"/>
      <c r="EY194" s="156"/>
      <c r="EZ194" s="156"/>
      <c r="FA194" s="156"/>
      <c r="FB194" s="156"/>
      <c r="FC194" s="156"/>
      <c r="FD194" s="156"/>
      <c r="FE194" s="156"/>
      <c r="FF194" s="156"/>
      <c r="FG194" s="156"/>
    </row>
    <row r="195" spans="107:163" s="1" customFormat="1" ht="10.15" customHeight="1">
      <c r="DC195" s="156"/>
      <c r="DD195" s="156"/>
      <c r="DE195" s="156"/>
      <c r="DF195" s="156"/>
      <c r="DG195" s="156"/>
      <c r="DH195" s="156"/>
      <c r="DI195" s="156"/>
      <c r="DJ195" s="156"/>
      <c r="DK195" s="156"/>
      <c r="DL195" s="156"/>
      <c r="DM195" s="156"/>
      <c r="DN195" s="156"/>
      <c r="DO195" s="156"/>
      <c r="DP195" s="156"/>
      <c r="DQ195" s="156"/>
      <c r="DR195" s="156"/>
      <c r="DS195" s="156"/>
      <c r="DT195" s="156"/>
      <c r="DU195" s="156"/>
      <c r="DV195" s="156"/>
      <c r="DW195" s="156"/>
      <c r="DX195" s="156"/>
      <c r="DY195" s="156"/>
      <c r="DZ195" s="156"/>
      <c r="EA195" s="156"/>
      <c r="EB195" s="156"/>
      <c r="EC195" s="156"/>
      <c r="ED195" s="156"/>
      <c r="EE195" s="156"/>
      <c r="EF195" s="156"/>
      <c r="EG195" s="156"/>
      <c r="EH195" s="156"/>
      <c r="EI195" s="156"/>
      <c r="EJ195" s="156"/>
      <c r="EK195" s="156"/>
      <c r="EL195" s="156"/>
      <c r="EM195" s="156"/>
      <c r="EN195" s="156"/>
      <c r="EO195" s="156"/>
      <c r="EP195" s="156"/>
      <c r="EQ195" s="156"/>
      <c r="ER195" s="156"/>
      <c r="ES195" s="156"/>
      <c r="ET195" s="156"/>
      <c r="EU195" s="156"/>
      <c r="EV195" s="156"/>
      <c r="EW195" s="156"/>
      <c r="EX195" s="156"/>
      <c r="EY195" s="156"/>
      <c r="EZ195" s="156"/>
      <c r="FA195" s="156"/>
      <c r="FB195" s="156"/>
      <c r="FC195" s="156"/>
      <c r="FD195" s="156"/>
      <c r="FE195" s="156"/>
      <c r="FF195" s="156"/>
      <c r="FG195" s="156"/>
    </row>
    <row r="196" spans="107:163" s="1" customFormat="1" ht="10.15" customHeight="1">
      <c r="DC196" s="156"/>
      <c r="DD196" s="156"/>
      <c r="DE196" s="156"/>
      <c r="DF196" s="156"/>
      <c r="DG196" s="156"/>
      <c r="DH196" s="156"/>
      <c r="DI196" s="156"/>
      <c r="DJ196" s="156"/>
      <c r="DK196" s="156"/>
      <c r="DL196" s="156"/>
      <c r="DM196" s="156"/>
      <c r="DN196" s="156"/>
      <c r="DO196" s="156"/>
      <c r="DP196" s="156"/>
      <c r="DQ196" s="156"/>
      <c r="DR196" s="156"/>
      <c r="DS196" s="156"/>
      <c r="DT196" s="156"/>
      <c r="DU196" s="156"/>
      <c r="DV196" s="156"/>
      <c r="DW196" s="156"/>
      <c r="DX196" s="156"/>
      <c r="DY196" s="156"/>
      <c r="DZ196" s="156"/>
      <c r="EA196" s="156"/>
      <c r="EB196" s="156"/>
      <c r="EC196" s="156"/>
      <c r="ED196" s="156"/>
      <c r="EE196" s="156"/>
      <c r="EF196" s="156"/>
      <c r="EG196" s="156"/>
      <c r="EH196" s="156"/>
      <c r="EI196" s="156"/>
      <c r="EJ196" s="156"/>
      <c r="EK196" s="156"/>
      <c r="EL196" s="156"/>
      <c r="EM196" s="156"/>
      <c r="EN196" s="156"/>
      <c r="EO196" s="156"/>
      <c r="EP196" s="156"/>
      <c r="EQ196" s="156"/>
      <c r="ER196" s="156"/>
      <c r="ES196" s="156"/>
      <c r="ET196" s="156"/>
      <c r="EU196" s="156"/>
      <c r="EV196" s="156"/>
      <c r="EW196" s="156"/>
      <c r="EX196" s="156"/>
      <c r="EY196" s="156"/>
      <c r="EZ196" s="156"/>
      <c r="FA196" s="156"/>
      <c r="FB196" s="156"/>
      <c r="FC196" s="156"/>
      <c r="FD196" s="156"/>
      <c r="FE196" s="156"/>
      <c r="FF196" s="156"/>
      <c r="FG196" s="156"/>
    </row>
    <row r="197" spans="107:163" s="1" customFormat="1" ht="10.15" customHeight="1">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row>
    <row r="198" spans="107:163" s="1" customFormat="1" ht="10.15" customHeight="1">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row>
    <row r="199" spans="107:163" s="1" customFormat="1" ht="10.15" customHeight="1">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row>
    <row r="200" spans="107:163" s="1" customFormat="1" ht="10.15" customHeight="1">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row>
    <row r="201" spans="107:163" s="1" customFormat="1" ht="10.15" customHeight="1">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row>
    <row r="202" spans="107:163" s="1" customFormat="1" ht="10.15" customHeight="1">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row>
    <row r="203" spans="107:163" s="1" customFormat="1" ht="10.15" customHeight="1">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row>
    <row r="204" spans="107:163" s="1" customFormat="1" ht="10.15" customHeight="1">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row>
    <row r="205" spans="107:163" s="1" customFormat="1" ht="10.15" customHeight="1">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row>
    <row r="206" spans="107:163" s="1" customFormat="1" ht="10.15" customHeight="1">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row>
    <row r="207" spans="107:163" s="1" customFormat="1" ht="10.15" customHeight="1">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row>
    <row r="208" spans="107:163" s="1" customFormat="1" ht="10.15" customHeight="1">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row>
    <row r="209" spans="107:163" s="1" customFormat="1">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row>
    <row r="210" spans="107:163" s="1" customFormat="1">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row>
    <row r="211" spans="107:163" s="1" customFormat="1">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row>
    <row r="212" spans="107:163" s="1" customFormat="1">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row>
    <row r="213" spans="107:163" s="1" customFormat="1">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row>
    <row r="214" spans="107:163" s="1" customFormat="1">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row>
    <row r="215" spans="107:163" s="1" customFormat="1">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row>
    <row r="216" spans="107:163" s="1" customFormat="1">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row>
    <row r="217" spans="107:163" s="1" customFormat="1">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row>
    <row r="218" spans="107:163" s="1" customFormat="1">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row>
    <row r="219" spans="107:163" s="1" customFormat="1">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row>
    <row r="220" spans="107:163" s="1" customFormat="1">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row>
    <row r="221" spans="107:163" s="1" customFormat="1">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row>
    <row r="222" spans="107:163" s="1" customFormat="1">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row>
    <row r="223" spans="107:163" s="1" customFormat="1">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row>
    <row r="224" spans="107:163" s="1" customFormat="1">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row>
    <row r="225" spans="107:163" s="1" customFormat="1">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row>
    <row r="226" spans="107:163" s="1" customFormat="1">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row>
    <row r="227" spans="107:163" s="1" customFormat="1">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row>
    <row r="228" spans="107:163" s="1" customFormat="1">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row>
    <row r="229" spans="107:163" s="1" customFormat="1">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row>
    <row r="230" spans="107:163" s="1" customFormat="1">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row>
    <row r="231" spans="107:163" s="1" customFormat="1">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row>
    <row r="232" spans="107:163" s="1" customFormat="1">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row>
    <row r="233" spans="107:163" s="1" customFormat="1">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row>
    <row r="234" spans="107:163" s="1" customFormat="1">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row>
    <row r="235" spans="107:163" s="1" customFormat="1">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row>
    <row r="236" spans="107:163" s="1" customFormat="1">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row>
    <row r="237" spans="107:163" s="1" customFormat="1">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row>
    <row r="238" spans="107:163" s="1" customFormat="1">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row>
    <row r="239" spans="107:163" s="1" customFormat="1">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row>
    <row r="240" spans="107:163" s="1" customFormat="1">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row>
    <row r="241" spans="107:163" s="1" customFormat="1">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row>
    <row r="242" spans="107:163" s="1" customFormat="1">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row>
    <row r="243" spans="107:163" s="1" customFormat="1">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row>
    <row r="244" spans="107:163" s="1" customFormat="1">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row>
    <row r="245" spans="107:163" s="1" customFormat="1">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row>
    <row r="246" spans="107:163" s="1" customFormat="1">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row>
    <row r="247" spans="107:163" s="1" customFormat="1">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row>
    <row r="248" spans="107:163" s="1" customFormat="1">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row>
    <row r="249" spans="107:163" s="1" customFormat="1">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row>
    <row r="250" spans="107:163" s="1" customFormat="1">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row>
    <row r="251" spans="107:163" s="1" customFormat="1">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row>
    <row r="252" spans="107:163" s="1" customFormat="1">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row>
    <row r="253" spans="107:163" s="1" customFormat="1">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row>
    <row r="254" spans="107:163" s="1" customFormat="1">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row>
    <row r="255" spans="107:163" s="1" customFormat="1">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row>
    <row r="256" spans="107:163" s="1" customFormat="1">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row>
    <row r="257" spans="107:163" s="1" customFormat="1">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row>
    <row r="258" spans="107:163" s="1" customFormat="1">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row>
    <row r="259" spans="107:163" s="1" customFormat="1">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row>
    <row r="260" spans="107:163" s="1" customFormat="1">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row>
    <row r="261" spans="107:163" s="1" customFormat="1">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row>
    <row r="262" spans="107:163" s="1" customFormat="1">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row>
    <row r="263" spans="107:163" s="1" customFormat="1">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row>
    <row r="264" spans="107:163" s="1" customFormat="1">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row>
    <row r="265" spans="107:163" s="1" customFormat="1">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row>
    <row r="266" spans="107:163" s="1" customFormat="1">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row>
    <row r="267" spans="107:163" s="1" customFormat="1">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row>
    <row r="268" spans="107:163" s="1" customFormat="1">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row>
    <row r="269" spans="107:163" s="1" customFormat="1">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row>
    <row r="270" spans="107:163" s="1" customFormat="1">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row>
    <row r="271" spans="107:163" s="1" customFormat="1">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row>
    <row r="272" spans="107:163" s="1" customFormat="1">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row>
    <row r="273" spans="107:163" s="1" customFormat="1">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row>
    <row r="274" spans="107:163" s="1" customFormat="1">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row>
    <row r="275" spans="107:163" s="1" customFormat="1">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row>
    <row r="276" spans="107:163" s="1" customFormat="1">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row>
    <row r="277" spans="107:163" s="1" customFormat="1">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row>
    <row r="278" spans="107:163" s="1" customFormat="1">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row>
    <row r="279" spans="107:163" s="1" customFormat="1">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row>
    <row r="280" spans="107:163" s="1" customFormat="1">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row>
    <row r="281" spans="107:163" s="1" customFormat="1">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row>
    <row r="282" spans="107:163" s="1" customFormat="1">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row>
    <row r="283" spans="107:163" s="1" customFormat="1">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row>
    <row r="284" spans="107:163" s="1" customFormat="1">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row>
    <row r="285" spans="107:163" s="1" customFormat="1">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row>
    <row r="286" spans="107:163" s="1" customFormat="1">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row>
    <row r="287" spans="107:163" s="1" customFormat="1">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row>
    <row r="288" spans="107:163" s="1" customFormat="1">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row>
    <row r="289" spans="107:163" s="1" customFormat="1">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row>
    <row r="290" spans="107:163" s="1" customFormat="1">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row>
    <row r="291" spans="107:163" s="1" customFormat="1">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row>
    <row r="292" spans="107:163" s="1" customFormat="1">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row>
    <row r="293" spans="107:163" s="1" customFormat="1">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row>
    <row r="294" spans="107:163" s="1" customFormat="1">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row>
    <row r="295" spans="107:163" s="1" customFormat="1">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row>
    <row r="296" spans="107:163" s="1" customFormat="1">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row>
    <row r="297" spans="107:163" s="1" customFormat="1">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row>
    <row r="298" spans="107:163" s="1" customFormat="1">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row>
    <row r="299" spans="107:163" s="1" customFormat="1">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row>
    <row r="300" spans="107:163" s="1" customFormat="1">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row>
    <row r="301" spans="107:163" s="1" customFormat="1">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row>
    <row r="302" spans="107:163" s="1" customFormat="1">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row>
    <row r="303" spans="107:163" s="1" customFormat="1">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row>
    <row r="304" spans="107:163" s="1" customFormat="1">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row>
    <row r="305" spans="107:163" s="1" customFormat="1">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row>
    <row r="306" spans="107:163" s="1" customFormat="1">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row>
    <row r="307" spans="107:163" s="1" customFormat="1">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row>
    <row r="308" spans="107:163" s="1" customFormat="1">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row>
    <row r="309" spans="107:163" s="1" customFormat="1">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row>
    <row r="310" spans="107:163" s="1" customFormat="1">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row>
    <row r="311" spans="107:163" s="1" customFormat="1">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row>
    <row r="312" spans="107:163" s="1" customFormat="1">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row>
    <row r="313" spans="107:163" s="1" customFormat="1">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row>
    <row r="314" spans="107:163" s="1" customFormat="1">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row>
    <row r="315" spans="107:163" s="1" customFormat="1">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row>
    <row r="316" spans="107:163" s="1" customFormat="1">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row>
    <row r="317" spans="107:163" s="1" customFormat="1">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row>
    <row r="318" spans="107:163" s="1" customFormat="1">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row>
    <row r="319" spans="107:163" s="1" customFormat="1">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row>
    <row r="320" spans="107:163" s="1" customFormat="1">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row>
    <row r="321" spans="107:163" s="1" customFormat="1">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row>
    <row r="322" spans="107:163" s="1" customFormat="1">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row>
    <row r="323" spans="107:163" s="1" customFormat="1">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row>
    <row r="324" spans="107:163" s="1" customFormat="1">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row>
    <row r="325" spans="107:163" s="1" customFormat="1">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row>
    <row r="326" spans="107:163" s="1" customFormat="1">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row>
    <row r="327" spans="107:163" s="1" customFormat="1">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row>
    <row r="328" spans="107:163" s="1" customFormat="1">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row>
    <row r="329" spans="107:163" s="1" customFormat="1">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row>
    <row r="330" spans="107:163" s="1" customFormat="1">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row>
    <row r="331" spans="107:163" s="1" customFormat="1">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row>
    <row r="332" spans="107:163" s="1" customFormat="1">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row>
    <row r="333" spans="107:163" s="1" customFormat="1">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row>
    <row r="334" spans="107:163" s="1" customFormat="1">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row>
    <row r="335" spans="107:163" s="1" customFormat="1">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row>
    <row r="336" spans="107:163" s="1" customFormat="1">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row>
    <row r="337" spans="107:163" s="1" customFormat="1">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row>
    <row r="338" spans="107:163" s="1" customFormat="1">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row>
    <row r="339" spans="107:163" s="1" customFormat="1">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row>
    <row r="340" spans="107:163" s="1" customFormat="1">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row>
    <row r="341" spans="107:163" s="1" customFormat="1">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row>
    <row r="342" spans="107:163" s="1" customFormat="1">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row>
    <row r="343" spans="107:163" s="1" customFormat="1">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row>
    <row r="344" spans="107:163" s="1" customFormat="1">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row>
    <row r="345" spans="107:163" s="1" customFormat="1">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row>
    <row r="346" spans="107:163" s="1" customFormat="1">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row>
    <row r="347" spans="107:163" s="1" customFormat="1">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row>
    <row r="348" spans="107:163" s="1" customFormat="1">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row>
    <row r="349" spans="107:163" s="1" customFormat="1">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row>
    <row r="350" spans="107:163" s="1" customFormat="1">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row>
    <row r="351" spans="107:163" s="1" customFormat="1">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row>
    <row r="352" spans="107:163" s="1" customFormat="1">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row>
    <row r="353" spans="107:163" s="1" customFormat="1">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row>
    <row r="354" spans="107:163" s="1" customFormat="1">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row>
    <row r="355" spans="107:163" s="1" customFormat="1">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row>
    <row r="356" spans="107:163" s="1" customFormat="1">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row>
    <row r="357" spans="107:163" s="1" customFormat="1">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row>
    <row r="358" spans="107:163" s="1" customFormat="1">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row>
    <row r="359" spans="107:163" s="1" customFormat="1">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row>
    <row r="360" spans="107:163" s="1" customFormat="1">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row>
    <row r="361" spans="107:163" s="1" customFormat="1">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row>
    <row r="362" spans="107:163" s="1" customFormat="1">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row>
    <row r="363" spans="107:163" s="1" customFormat="1">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row>
    <row r="364" spans="107:163" s="1" customFormat="1">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row>
    <row r="365" spans="107:163" s="1" customFormat="1">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row>
    <row r="366" spans="107:163" s="1" customFormat="1">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row>
    <row r="367" spans="107:163" s="1" customFormat="1">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row>
    <row r="368" spans="107:163" s="1" customFormat="1">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row>
    <row r="369" spans="107:163" s="1" customFormat="1">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row>
    <row r="370" spans="107:163" s="1" customFormat="1">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row>
    <row r="371" spans="107:163" s="1" customFormat="1">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row>
    <row r="372" spans="107:163" s="1" customFormat="1">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row>
    <row r="373" spans="107:163" s="1" customFormat="1">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row>
    <row r="374" spans="107:163" s="1" customFormat="1">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row>
    <row r="375" spans="107:163" s="1" customFormat="1">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row>
    <row r="376" spans="107:163" s="1" customFormat="1">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row>
    <row r="377" spans="107:163" s="1" customFormat="1">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row>
    <row r="378" spans="107:163" s="1" customFormat="1">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row>
    <row r="379" spans="107:163" s="1" customFormat="1">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row>
    <row r="380" spans="107:163" s="1" customFormat="1">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row>
    <row r="381" spans="107:163" s="1" customFormat="1">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row>
    <row r="382" spans="107:163" s="1" customFormat="1">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row>
    <row r="383" spans="107:163" s="1" customFormat="1">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row>
    <row r="384" spans="107:163" s="1" customFormat="1">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row>
    <row r="385" spans="107:163" s="1" customFormat="1">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row>
    <row r="386" spans="107:163" s="1" customFormat="1">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row>
    <row r="387" spans="107:163" s="1" customFormat="1">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row>
    <row r="388" spans="107:163" s="1" customFormat="1">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row>
    <row r="389" spans="107:163" s="1" customFormat="1">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row>
    <row r="390" spans="107:163" s="1" customFormat="1">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row>
    <row r="391" spans="107:163" s="1" customFormat="1">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row>
    <row r="392" spans="107:163" s="1" customFormat="1">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row>
    <row r="393" spans="107:163" s="1" customFormat="1">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row>
    <row r="394" spans="107:163" s="1" customFormat="1">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row>
    <row r="395" spans="107:163" s="1" customFormat="1">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row>
    <row r="396" spans="107:163" s="1" customFormat="1">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row>
    <row r="397" spans="107:163" s="1" customFormat="1">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row>
    <row r="398" spans="107:163" s="1" customFormat="1">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row>
    <row r="399" spans="107:163" s="1" customFormat="1">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row>
    <row r="400" spans="107:163" s="1" customFormat="1">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row>
    <row r="401" spans="107:163" s="1" customFormat="1">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row>
    <row r="402" spans="107:163" s="1" customFormat="1">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row>
    <row r="403" spans="107:163" s="1" customFormat="1">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row>
    <row r="404" spans="107:163" s="1" customFormat="1">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row>
    <row r="405" spans="107:163" s="1" customFormat="1">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row>
    <row r="406" spans="107:163" s="1" customFormat="1">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row>
    <row r="407" spans="107:163" s="1" customFormat="1">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row>
    <row r="408" spans="107:163" s="1" customFormat="1">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row>
    <row r="409" spans="107:163" s="1" customFormat="1">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row>
    <row r="410" spans="107:163" s="1" customFormat="1">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row>
    <row r="411" spans="107:163" s="1" customFormat="1">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row>
    <row r="412" spans="107:163" s="1" customFormat="1">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row>
    <row r="413" spans="107:163" s="1" customFormat="1">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row>
    <row r="414" spans="107:163" s="1" customFormat="1">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row>
    <row r="415" spans="107:163" s="1" customFormat="1">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row>
    <row r="416" spans="107:163" s="1" customFormat="1">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row>
    <row r="417" spans="107:163" s="1" customFormat="1">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row>
    <row r="418" spans="107:163" s="1" customFormat="1">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row>
    <row r="419" spans="107:163" s="1" customFormat="1">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row>
    <row r="420" spans="107:163" s="1" customFormat="1">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row>
    <row r="421" spans="107:163" s="1" customFormat="1">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row>
    <row r="422" spans="107:163" s="1" customFormat="1">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row>
    <row r="423" spans="107:163" s="1" customFormat="1">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row>
    <row r="424" spans="107:163" s="1" customFormat="1">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row>
    <row r="425" spans="107:163" s="1" customFormat="1">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row>
    <row r="426" spans="107:163" s="1" customFormat="1">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row>
    <row r="427" spans="107:163" s="1" customFormat="1">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row>
    <row r="428" spans="107:163" s="1" customFormat="1">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row>
    <row r="429" spans="107:163" s="1" customFormat="1">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row>
    <row r="430" spans="107:163" s="1" customFormat="1">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row>
    <row r="431" spans="107:163" s="1" customFormat="1">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row>
    <row r="432" spans="107:163" s="1" customFormat="1">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row>
    <row r="433" spans="107:163" s="1" customFormat="1">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row>
    <row r="434" spans="107:163" s="1" customFormat="1">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row>
    <row r="435" spans="107:163" s="1" customFormat="1">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row>
    <row r="436" spans="107:163" s="1" customFormat="1">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row>
    <row r="437" spans="107:163" s="1" customFormat="1">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row>
    <row r="438" spans="107:163" s="1" customFormat="1">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row>
    <row r="439" spans="107:163" s="1" customFormat="1">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row>
    <row r="440" spans="107:163" s="1" customFormat="1">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row>
    <row r="441" spans="107:163" s="1" customFormat="1">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row>
    <row r="442" spans="107:163" s="1" customFormat="1">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row>
    <row r="443" spans="107:163" s="1" customFormat="1">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row>
    <row r="444" spans="107:163" s="1" customFormat="1">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row>
    <row r="445" spans="107:163" s="1" customFormat="1">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row>
    <row r="446" spans="107:163" s="1" customFormat="1">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row>
    <row r="447" spans="107:163" s="1" customFormat="1">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row>
    <row r="448" spans="107:163" s="1" customFormat="1">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row>
    <row r="449" spans="107:163" s="1" customFormat="1">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row>
    <row r="450" spans="107:163" s="1" customFormat="1">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row>
    <row r="451" spans="107:163" s="1" customFormat="1">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row>
    <row r="452" spans="107:163" s="1" customFormat="1">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row>
    <row r="453" spans="107:163" s="1" customFormat="1">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row>
    <row r="454" spans="107:163" s="1" customFormat="1">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row>
    <row r="455" spans="107:163" s="1" customFormat="1">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row>
    <row r="456" spans="107:163" s="1" customFormat="1">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row>
    <row r="457" spans="107:163" s="1" customFormat="1">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row>
    <row r="458" spans="107:163" s="1" customFormat="1">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row>
    <row r="459" spans="107:163" s="1" customFormat="1">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row>
    <row r="460" spans="107:163" s="1" customFormat="1">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row>
    <row r="461" spans="107:163" s="1" customFormat="1">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row>
    <row r="462" spans="107:163" s="1" customFormat="1">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row>
    <row r="463" spans="107:163" s="1" customFormat="1">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row>
    <row r="464" spans="107:163" s="1" customFormat="1">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row>
    <row r="465" spans="107:163" s="1" customFormat="1">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row>
    <row r="466" spans="107:163" s="1" customFormat="1">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row>
    <row r="467" spans="107:163" s="1" customFormat="1">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row>
    <row r="468" spans="107:163" s="1" customFormat="1">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row>
    <row r="469" spans="107:163" s="1" customFormat="1">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row>
    <row r="470" spans="107:163" s="1" customFormat="1">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row>
    <row r="471" spans="107:163" s="1" customFormat="1">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row>
    <row r="472" spans="107:163" s="1" customFormat="1">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row>
    <row r="473" spans="107:163" s="1" customFormat="1">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row>
    <row r="474" spans="107:163" s="1" customFormat="1">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row>
    <row r="475" spans="107:163" s="1" customFormat="1">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row>
    <row r="476" spans="107:163" s="1" customFormat="1">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row>
    <row r="477" spans="107:163" s="1" customFormat="1">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row>
    <row r="478" spans="107:163" s="1" customFormat="1">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row>
    <row r="479" spans="107:163" s="1" customFormat="1">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row>
    <row r="480" spans="107:163" s="1" customFormat="1">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row>
    <row r="481" spans="107:163" s="1" customFormat="1">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row>
    <row r="482" spans="107:163" s="1" customFormat="1">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row>
    <row r="483" spans="107:163" s="1" customFormat="1">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row>
    <row r="484" spans="107:163" s="1" customFormat="1">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row>
    <row r="485" spans="107:163" s="1" customFormat="1">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row>
    <row r="486" spans="107:163" s="1" customFormat="1">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row>
    <row r="487" spans="107:163" s="1" customFormat="1">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row>
    <row r="488" spans="107:163" s="1" customFormat="1">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row>
    <row r="489" spans="107:163" s="1" customFormat="1">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row>
    <row r="490" spans="107:163" s="1" customFormat="1">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row>
    <row r="491" spans="107:163" s="1" customFormat="1">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row>
    <row r="492" spans="107:163" s="1" customFormat="1">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row>
    <row r="493" spans="107:163" s="1" customFormat="1">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row>
    <row r="494" spans="107:163" s="1" customFormat="1">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row>
    <row r="495" spans="107:163" s="1" customFormat="1">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row>
    <row r="496" spans="107:163" s="1" customFormat="1">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row>
    <row r="497" spans="107:163" s="1" customFormat="1">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row>
    <row r="498" spans="107:163" s="1" customFormat="1">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row>
    <row r="499" spans="107:163" s="1" customFormat="1">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row>
    <row r="500" spans="107:163" s="1" customFormat="1">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row>
    <row r="501" spans="107:163" s="1" customFormat="1">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row>
    <row r="502" spans="107:163" s="1" customFormat="1">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row>
    <row r="503" spans="107:163" s="1" customFormat="1">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row>
    <row r="504" spans="107:163" s="1" customFormat="1">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row>
    <row r="505" spans="107:163" s="1" customFormat="1">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row>
    <row r="506" spans="107:163" s="1" customFormat="1">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row>
    <row r="507" spans="107:163" s="1" customFormat="1">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row>
    <row r="508" spans="107:163" s="1" customFormat="1">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row>
    <row r="509" spans="107:163" s="1" customFormat="1">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row>
    <row r="510" spans="107:163" s="1" customFormat="1">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row>
    <row r="511" spans="107:163" s="1" customFormat="1">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row>
    <row r="512" spans="107:163" s="1" customFormat="1">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row>
    <row r="513" spans="107:163" s="1" customFormat="1">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row>
    <row r="514" spans="107:163" s="1" customFormat="1">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row>
    <row r="515" spans="107:163" s="1" customFormat="1">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row>
    <row r="516" spans="107:163" s="1" customFormat="1">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row>
    <row r="517" spans="107:163" s="1" customFormat="1">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row>
    <row r="518" spans="107:163" s="1" customFormat="1">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row>
    <row r="519" spans="107:163" s="1" customFormat="1">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row>
    <row r="520" spans="107:163" s="1" customFormat="1">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row>
    <row r="521" spans="107:163" s="1" customFormat="1">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row>
    <row r="522" spans="107:163" s="1" customFormat="1">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row>
    <row r="523" spans="107:163" s="1" customFormat="1">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row>
    <row r="524" spans="107:163" s="1" customFormat="1">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row>
    <row r="525" spans="107:163" s="1" customFormat="1">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row>
    <row r="526" spans="107:163" s="1" customFormat="1">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row>
    <row r="527" spans="107:163" s="1" customFormat="1">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row>
    <row r="528" spans="107:163" s="1" customFormat="1">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row>
    <row r="529" spans="107:163" s="1" customFormat="1">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row>
    <row r="530" spans="107:163" s="1" customFormat="1">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row>
    <row r="531" spans="107:163" s="1" customFormat="1">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row>
    <row r="532" spans="107:163" s="1" customFormat="1">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row>
    <row r="533" spans="107:163" s="1" customFormat="1">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row>
    <row r="534" spans="107:163" s="1" customFormat="1">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row>
    <row r="535" spans="107:163" s="1" customFormat="1">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row>
    <row r="536" spans="107:163" s="1" customFormat="1">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row>
    <row r="537" spans="107:163" s="1" customFormat="1">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row>
    <row r="538" spans="107:163" s="1" customFormat="1">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row>
    <row r="539" spans="107:163" s="1" customFormat="1">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row>
    <row r="540" spans="107:163" s="1" customFormat="1">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row>
    <row r="541" spans="107:163" s="1" customFormat="1">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row>
    <row r="542" spans="107:163" s="1" customFormat="1">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row>
    <row r="543" spans="107:163" s="1" customFormat="1">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row>
    <row r="544" spans="107:163" s="1" customFormat="1">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row>
    <row r="545" spans="107:163" s="1" customFormat="1">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row>
    <row r="546" spans="107:163" s="1" customFormat="1">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row>
    <row r="547" spans="107:163" s="1" customFormat="1">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row>
    <row r="548" spans="107:163" s="1" customFormat="1">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row>
    <row r="549" spans="107:163" s="1" customFormat="1">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row>
    <row r="550" spans="107:163" s="1" customFormat="1">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row>
    <row r="551" spans="107:163" s="1" customFormat="1">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row>
    <row r="552" spans="107:163" s="1" customFormat="1">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row>
    <row r="553" spans="107:163" s="1" customFormat="1">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row>
    <row r="554" spans="107:163" s="1" customFormat="1">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row>
    <row r="555" spans="107:163" s="1" customFormat="1">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row>
    <row r="556" spans="107:163" s="1" customFormat="1">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row>
    <row r="557" spans="107:163" s="1" customFormat="1">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row>
  </sheetData>
  <sheetProtection password="80A0" sheet="1" objects="1" scenarios="1"/>
  <mergeCells count="1466">
    <mergeCell ref="CD107:CE107"/>
    <mergeCell ref="CD108:CE108"/>
    <mergeCell ref="CF107:CG107"/>
    <mergeCell ref="CF108:CG108"/>
    <mergeCell ref="BF65:BJ65"/>
    <mergeCell ref="AY65:BD65"/>
    <mergeCell ref="AZ66:BD66"/>
    <mergeCell ref="B133:B187"/>
    <mergeCell ref="A104:A144"/>
    <mergeCell ref="AG18:AJ18"/>
    <mergeCell ref="AG19:AJ19"/>
    <mergeCell ref="F180:I180"/>
    <mergeCell ref="AM180:AP180"/>
    <mergeCell ref="BV119:BW119"/>
    <mergeCell ref="BX119:BY119"/>
    <mergeCell ref="BV114:BW114"/>
    <mergeCell ref="BX114:BY114"/>
    <mergeCell ref="BT115:BU115"/>
    <mergeCell ref="BV115:BW115"/>
    <mergeCell ref="BX115:BY115"/>
    <mergeCell ref="BV41:BY41"/>
    <mergeCell ref="BV43:BY43"/>
    <mergeCell ref="BV45:BY45"/>
    <mergeCell ref="BX127:BY127"/>
    <mergeCell ref="BV113:BW113"/>
    <mergeCell ref="BX113:BY113"/>
    <mergeCell ref="BS90:CA90"/>
    <mergeCell ref="BS92:CA92"/>
    <mergeCell ref="BT79:BV79"/>
    <mergeCell ref="BW79:BX79"/>
    <mergeCell ref="BT80:BV80"/>
    <mergeCell ref="BW80:BX80"/>
    <mergeCell ref="BR46:BT46"/>
    <mergeCell ref="BV46:BY46"/>
    <mergeCell ref="BZ46:CA46"/>
    <mergeCell ref="BZ52:CA52"/>
    <mergeCell ref="BU105:BY105"/>
    <mergeCell ref="BI105:BJ105"/>
    <mergeCell ref="BK105:BL105"/>
    <mergeCell ref="BM105:BN105"/>
    <mergeCell ref="BO105:BP105"/>
    <mergeCell ref="BQ105:BR105"/>
    <mergeCell ref="BS105:BT105"/>
    <mergeCell ref="E130:H130"/>
    <mergeCell ref="I130:K130"/>
    <mergeCell ref="L130:N130"/>
    <mergeCell ref="BN127:BR127"/>
    <mergeCell ref="BN128:BR128"/>
    <mergeCell ref="BN110:BR110"/>
    <mergeCell ref="BN113:BR113"/>
    <mergeCell ref="BN111:BR111"/>
    <mergeCell ref="BN112:BR112"/>
    <mergeCell ref="BN114:BR114"/>
    <mergeCell ref="BN115:BR115"/>
    <mergeCell ref="BN116:BR116"/>
    <mergeCell ref="BN117:BR117"/>
    <mergeCell ref="BN118:BR118"/>
    <mergeCell ref="BN119:BR119"/>
    <mergeCell ref="BV117:BW117"/>
    <mergeCell ref="BX117:BY117"/>
    <mergeCell ref="BT118:BU118"/>
    <mergeCell ref="BV118:BW118"/>
    <mergeCell ref="BX118:BY118"/>
    <mergeCell ref="BT119:BU119"/>
    <mergeCell ref="BT116:BU116"/>
    <mergeCell ref="BV116:BW116"/>
    <mergeCell ref="BX116:BY116"/>
    <mergeCell ref="BT117:BU117"/>
    <mergeCell ref="BN120:BR120"/>
    <mergeCell ref="BN121:BR121"/>
    <mergeCell ref="BN122:BR122"/>
    <mergeCell ref="BN123:BR123"/>
    <mergeCell ref="BN124:BR124"/>
    <mergeCell ref="BN125:BR125"/>
    <mergeCell ref="BN126:BR126"/>
    <mergeCell ref="BI124:BM124"/>
    <mergeCell ref="BI125:BM125"/>
    <mergeCell ref="BI126:BM126"/>
    <mergeCell ref="BI127:BM127"/>
    <mergeCell ref="BI128:BM128"/>
    <mergeCell ref="U105:BH105"/>
    <mergeCell ref="U106:BH106"/>
    <mergeCell ref="BT123:BU123"/>
    <mergeCell ref="BV123:BW123"/>
    <mergeCell ref="BX123:BY123"/>
    <mergeCell ref="BT124:BU124"/>
    <mergeCell ref="BV124:BW124"/>
    <mergeCell ref="BX124:BY124"/>
    <mergeCell ref="BT125:BU125"/>
    <mergeCell ref="BV125:BW125"/>
    <mergeCell ref="BX125:BY125"/>
    <mergeCell ref="BT126:BU126"/>
    <mergeCell ref="BV126:BW126"/>
    <mergeCell ref="BX126:BY126"/>
    <mergeCell ref="BT127:BU127"/>
    <mergeCell ref="BV127:BW127"/>
    <mergeCell ref="BT128:BU128"/>
    <mergeCell ref="BV128:BW128"/>
    <mergeCell ref="BX128:BY128"/>
    <mergeCell ref="BT120:BU120"/>
    <mergeCell ref="BV120:BW120"/>
    <mergeCell ref="BX120:BY120"/>
    <mergeCell ref="BT121:BU121"/>
    <mergeCell ref="BV121:BW121"/>
    <mergeCell ref="BX121:BY121"/>
    <mergeCell ref="BT122:BU122"/>
    <mergeCell ref="BV122:BW122"/>
    <mergeCell ref="BX122:BY122"/>
    <mergeCell ref="BI123:BM123"/>
    <mergeCell ref="BT109:BU109"/>
    <mergeCell ref="E107:H107"/>
    <mergeCell ref="E108:H108"/>
    <mergeCell ref="BI121:BM121"/>
    <mergeCell ref="BI122:BM122"/>
    <mergeCell ref="U126:X126"/>
    <mergeCell ref="Y126:AB126"/>
    <mergeCell ref="AC126:AF126"/>
    <mergeCell ref="AG126:AJ126"/>
    <mergeCell ref="AK126:AN126"/>
    <mergeCell ref="AO126:AR126"/>
    <mergeCell ref="AS126:AV126"/>
    <mergeCell ref="AW126:AZ126"/>
    <mergeCell ref="BA126:BD126"/>
    <mergeCell ref="BE126:BH126"/>
    <mergeCell ref="U127:X127"/>
    <mergeCell ref="Y127:AB127"/>
    <mergeCell ref="AC127:AF127"/>
    <mergeCell ref="AO127:AR127"/>
    <mergeCell ref="AS127:AV127"/>
    <mergeCell ref="AW127:AZ127"/>
    <mergeCell ref="BA127:BD127"/>
    <mergeCell ref="BE127:BH127"/>
    <mergeCell ref="U124:X124"/>
    <mergeCell ref="Y124:AB124"/>
    <mergeCell ref="AC124:AF124"/>
    <mergeCell ref="AG124:AJ124"/>
    <mergeCell ref="AK124:AN124"/>
    <mergeCell ref="AO124:AR124"/>
    <mergeCell ref="AS124:AV124"/>
    <mergeCell ref="AW124:AZ124"/>
    <mergeCell ref="BA124:BD124"/>
    <mergeCell ref="BE124:BH124"/>
    <mergeCell ref="BV109:BW109"/>
    <mergeCell ref="BT108:BU108"/>
    <mergeCell ref="BT107:BU107"/>
    <mergeCell ref="BV107:BW107"/>
    <mergeCell ref="BV108:BW108"/>
    <mergeCell ref="BI110:BM110"/>
    <mergeCell ref="BI111:BM111"/>
    <mergeCell ref="BI112:BM112"/>
    <mergeCell ref="BI113:BM113"/>
    <mergeCell ref="BI114:BM114"/>
    <mergeCell ref="BI115:BM115"/>
    <mergeCell ref="BI116:BM116"/>
    <mergeCell ref="BI117:BM117"/>
    <mergeCell ref="BI118:BM118"/>
    <mergeCell ref="BI119:BM119"/>
    <mergeCell ref="BI120:BM120"/>
    <mergeCell ref="AG127:AJ127"/>
    <mergeCell ref="AK127:AN127"/>
    <mergeCell ref="BX107:BY107"/>
    <mergeCell ref="BX108:BY108"/>
    <mergeCell ref="BX109:BY109"/>
    <mergeCell ref="BT110:BU110"/>
    <mergeCell ref="BV110:BW110"/>
    <mergeCell ref="BX110:BY110"/>
    <mergeCell ref="BT111:BU111"/>
    <mergeCell ref="BV111:BW111"/>
    <mergeCell ref="BX111:BY111"/>
    <mergeCell ref="BT112:BU112"/>
    <mergeCell ref="BV112:BW112"/>
    <mergeCell ref="BX112:BY112"/>
    <mergeCell ref="BT113:BU113"/>
    <mergeCell ref="BT114:BU114"/>
    <mergeCell ref="U128:X128"/>
    <mergeCell ref="Y128:AB128"/>
    <mergeCell ref="AC128:AF128"/>
    <mergeCell ref="AG128:AJ128"/>
    <mergeCell ref="AK128:AN128"/>
    <mergeCell ref="AO128:AR128"/>
    <mergeCell ref="AS128:AV128"/>
    <mergeCell ref="AW128:AZ128"/>
    <mergeCell ref="BA128:BD128"/>
    <mergeCell ref="BE128:BH128"/>
    <mergeCell ref="U107:AN107"/>
    <mergeCell ref="AO107:BH107"/>
    <mergeCell ref="BI107:BM107"/>
    <mergeCell ref="BI108:BM108"/>
    <mergeCell ref="BI109:BM109"/>
    <mergeCell ref="BN107:BR107"/>
    <mergeCell ref="BN108:BR108"/>
    <mergeCell ref="BN109:BR109"/>
    <mergeCell ref="U125:X125"/>
    <mergeCell ref="Y125:AB125"/>
    <mergeCell ref="AC125:AF125"/>
    <mergeCell ref="AG125:AJ125"/>
    <mergeCell ref="AK125:AN125"/>
    <mergeCell ref="AO125:AR125"/>
    <mergeCell ref="AS125:AV125"/>
    <mergeCell ref="AW125:AZ125"/>
    <mergeCell ref="BA125:BD125"/>
    <mergeCell ref="BE125:BH125"/>
    <mergeCell ref="Y122:AB122"/>
    <mergeCell ref="AC122:AF122"/>
    <mergeCell ref="AG122:AJ122"/>
    <mergeCell ref="AK122:AN122"/>
    <mergeCell ref="AO122:AR122"/>
    <mergeCell ref="AS122:AV122"/>
    <mergeCell ref="AW122:AZ122"/>
    <mergeCell ref="BA122:BD122"/>
    <mergeCell ref="BE122:BH122"/>
    <mergeCell ref="U123:X123"/>
    <mergeCell ref="Y123:AB123"/>
    <mergeCell ref="AC123:AF123"/>
    <mergeCell ref="AG123:AJ123"/>
    <mergeCell ref="AK123:AN123"/>
    <mergeCell ref="AO123:AR123"/>
    <mergeCell ref="AS123:AV123"/>
    <mergeCell ref="AW123:AZ123"/>
    <mergeCell ref="BA123:BD123"/>
    <mergeCell ref="BE123:BH123"/>
    <mergeCell ref="U122:X122"/>
    <mergeCell ref="Y120:AB120"/>
    <mergeCell ref="AC120:AF120"/>
    <mergeCell ref="AG120:AJ120"/>
    <mergeCell ref="AK120:AN120"/>
    <mergeCell ref="AO120:AR120"/>
    <mergeCell ref="AS120:AV120"/>
    <mergeCell ref="AW120:AZ120"/>
    <mergeCell ref="BA120:BD120"/>
    <mergeCell ref="BE120:BH120"/>
    <mergeCell ref="U121:X121"/>
    <mergeCell ref="Y121:AB121"/>
    <mergeCell ref="AC121:AF121"/>
    <mergeCell ref="AG121:AJ121"/>
    <mergeCell ref="AK121:AN121"/>
    <mergeCell ref="AO121:AR121"/>
    <mergeCell ref="AS121:AV121"/>
    <mergeCell ref="AW121:AZ121"/>
    <mergeCell ref="BA121:BD121"/>
    <mergeCell ref="BE121:BH121"/>
    <mergeCell ref="U120:X120"/>
    <mergeCell ref="Y118:AB118"/>
    <mergeCell ref="AC118:AF118"/>
    <mergeCell ref="AG118:AJ118"/>
    <mergeCell ref="AK118:AN118"/>
    <mergeCell ref="AO118:AR118"/>
    <mergeCell ref="AS118:AV118"/>
    <mergeCell ref="AW118:AZ118"/>
    <mergeCell ref="BA118:BD118"/>
    <mergeCell ref="BE118:BH118"/>
    <mergeCell ref="U119:X119"/>
    <mergeCell ref="Y119:AB119"/>
    <mergeCell ref="AC119:AF119"/>
    <mergeCell ref="AG119:AJ119"/>
    <mergeCell ref="AK119:AN119"/>
    <mergeCell ref="AO119:AR119"/>
    <mergeCell ref="AS119:AV119"/>
    <mergeCell ref="AW119:AZ119"/>
    <mergeCell ref="BA119:BD119"/>
    <mergeCell ref="BE119:BH119"/>
    <mergeCell ref="U118:X118"/>
    <mergeCell ref="Y116:AB116"/>
    <mergeCell ref="AC116:AF116"/>
    <mergeCell ref="AG116:AJ116"/>
    <mergeCell ref="AK116:AN116"/>
    <mergeCell ref="AO116:AR116"/>
    <mergeCell ref="AS116:AV116"/>
    <mergeCell ref="AW116:AZ116"/>
    <mergeCell ref="BA116:BD116"/>
    <mergeCell ref="BE116:BH116"/>
    <mergeCell ref="U117:X117"/>
    <mergeCell ref="Y117:AB117"/>
    <mergeCell ref="AC117:AF117"/>
    <mergeCell ref="AG117:AJ117"/>
    <mergeCell ref="AK117:AN117"/>
    <mergeCell ref="AO117:AR117"/>
    <mergeCell ref="AS117:AV117"/>
    <mergeCell ref="AW117:AZ117"/>
    <mergeCell ref="BA117:BD117"/>
    <mergeCell ref="BE117:BH117"/>
    <mergeCell ref="U116:X116"/>
    <mergeCell ref="Y114:AB114"/>
    <mergeCell ref="AC114:AF114"/>
    <mergeCell ref="AG114:AJ114"/>
    <mergeCell ref="AK114:AN114"/>
    <mergeCell ref="AO114:AR114"/>
    <mergeCell ref="AS114:AV114"/>
    <mergeCell ref="AW114:AZ114"/>
    <mergeCell ref="BA114:BD114"/>
    <mergeCell ref="BE114:BH114"/>
    <mergeCell ref="U115:X115"/>
    <mergeCell ref="Y115:AB115"/>
    <mergeCell ref="AC115:AF115"/>
    <mergeCell ref="AG115:AJ115"/>
    <mergeCell ref="AK115:AN115"/>
    <mergeCell ref="AO115:AR115"/>
    <mergeCell ref="AS115:AV115"/>
    <mergeCell ref="AW115:AZ115"/>
    <mergeCell ref="BA115:BD115"/>
    <mergeCell ref="BE115:BH115"/>
    <mergeCell ref="U114:X114"/>
    <mergeCell ref="Y112:AB112"/>
    <mergeCell ref="AC112:AF112"/>
    <mergeCell ref="AG112:AJ112"/>
    <mergeCell ref="AK112:AN112"/>
    <mergeCell ref="AO112:AR112"/>
    <mergeCell ref="AS112:AV112"/>
    <mergeCell ref="AW112:AZ112"/>
    <mergeCell ref="BA112:BD112"/>
    <mergeCell ref="BE112:BH112"/>
    <mergeCell ref="U113:X113"/>
    <mergeCell ref="Y113:AB113"/>
    <mergeCell ref="AC113:AF113"/>
    <mergeCell ref="AG113:AJ113"/>
    <mergeCell ref="AK113:AN113"/>
    <mergeCell ref="AO113:AR113"/>
    <mergeCell ref="AS113:AV113"/>
    <mergeCell ref="AW113:AZ113"/>
    <mergeCell ref="BA113:BD113"/>
    <mergeCell ref="BE113:BH113"/>
    <mergeCell ref="U112:X112"/>
    <mergeCell ref="U110:X110"/>
    <mergeCell ref="Y110:AB110"/>
    <mergeCell ref="AC110:AF110"/>
    <mergeCell ref="AG110:AJ110"/>
    <mergeCell ref="AK110:AN110"/>
    <mergeCell ref="AO110:AR110"/>
    <mergeCell ref="AS110:AV110"/>
    <mergeCell ref="AW110:AZ110"/>
    <mergeCell ref="BA110:BD110"/>
    <mergeCell ref="BE110:BH110"/>
    <mergeCell ref="U111:X111"/>
    <mergeCell ref="Y111:AB111"/>
    <mergeCell ref="AC111:AF111"/>
    <mergeCell ref="AG111:AJ111"/>
    <mergeCell ref="AK111:AN111"/>
    <mergeCell ref="AO111:AR111"/>
    <mergeCell ref="AS111:AV111"/>
    <mergeCell ref="AW111:AZ111"/>
    <mergeCell ref="BA111:BD111"/>
    <mergeCell ref="BE111:BH111"/>
    <mergeCell ref="U109:X109"/>
    <mergeCell ref="Y109:AB109"/>
    <mergeCell ref="AC109:AF109"/>
    <mergeCell ref="AG109:AJ109"/>
    <mergeCell ref="AK109:AN109"/>
    <mergeCell ref="AO109:AR109"/>
    <mergeCell ref="AS109:AV109"/>
    <mergeCell ref="AW109:AZ109"/>
    <mergeCell ref="BA109:BD109"/>
    <mergeCell ref="BE109:BH109"/>
    <mergeCell ref="U108:X108"/>
    <mergeCell ref="Y108:AB108"/>
    <mergeCell ref="AC108:AF108"/>
    <mergeCell ref="AG108:AJ108"/>
    <mergeCell ref="AK108:AN108"/>
    <mergeCell ref="AO108:AR108"/>
    <mergeCell ref="AS108:AV108"/>
    <mergeCell ref="AW108:AZ108"/>
    <mergeCell ref="BA108:BD108"/>
    <mergeCell ref="BE108:BH108"/>
    <mergeCell ref="AT86:AU86"/>
    <mergeCell ref="AH78:AJ78"/>
    <mergeCell ref="AR91:AS91"/>
    <mergeCell ref="AT91:AU91"/>
    <mergeCell ref="AV91:AZ91"/>
    <mergeCell ref="AR92:AS92"/>
    <mergeCell ref="AT92:AU92"/>
    <mergeCell ref="AV92:AZ92"/>
    <mergeCell ref="AR93:AS93"/>
    <mergeCell ref="AT93:AU93"/>
    <mergeCell ref="AV93:AZ93"/>
    <mergeCell ref="AR90:AS90"/>
    <mergeCell ref="AT90:AU90"/>
    <mergeCell ref="AV90:AZ90"/>
    <mergeCell ref="AQ79:AY79"/>
    <mergeCell ref="AZ79:BA79"/>
    <mergeCell ref="AQ81:AY81"/>
    <mergeCell ref="AZ81:BA81"/>
    <mergeCell ref="C72:N72"/>
    <mergeCell ref="C73:N73"/>
    <mergeCell ref="C74:N74"/>
    <mergeCell ref="C75:N75"/>
    <mergeCell ref="C76:N76"/>
    <mergeCell ref="C77:N77"/>
    <mergeCell ref="W62:Z62"/>
    <mergeCell ref="AG62:AL62"/>
    <mergeCell ref="AM62:AP62"/>
    <mergeCell ref="AV86:AZ86"/>
    <mergeCell ref="AR87:AS87"/>
    <mergeCell ref="AT87:AU87"/>
    <mergeCell ref="AV87:AZ87"/>
    <mergeCell ref="O73:T73"/>
    <mergeCell ref="O74:T74"/>
    <mergeCell ref="O75:T75"/>
    <mergeCell ref="O76:T76"/>
    <mergeCell ref="O77:T77"/>
    <mergeCell ref="O78:T78"/>
    <mergeCell ref="O79:T79"/>
    <mergeCell ref="O80:T80"/>
    <mergeCell ref="O81:T81"/>
    <mergeCell ref="U78:V78"/>
    <mergeCell ref="W78:Z78"/>
    <mergeCell ref="AA78:AC78"/>
    <mergeCell ref="U81:V81"/>
    <mergeCell ref="W81:Z81"/>
    <mergeCell ref="AD81:AE81"/>
    <mergeCell ref="AF81:AG81"/>
    <mergeCell ref="AR85:AU85"/>
    <mergeCell ref="AV85:AZ85"/>
    <mergeCell ref="AR86:AS86"/>
    <mergeCell ref="AQ5:AT5"/>
    <mergeCell ref="AU5:BH5"/>
    <mergeCell ref="BI5:BL5"/>
    <mergeCell ref="BM5:CA5"/>
    <mergeCell ref="B2:C3"/>
    <mergeCell ref="E2:H3"/>
    <mergeCell ref="BJ2:BY2"/>
    <mergeCell ref="BJ3:BY3"/>
    <mergeCell ref="C5:J5"/>
    <mergeCell ref="K5:AP5"/>
    <mergeCell ref="Z2:BI3"/>
    <mergeCell ref="I2:Y3"/>
    <mergeCell ref="AF10:BU11"/>
    <mergeCell ref="BV10:BX11"/>
    <mergeCell ref="E13:R13"/>
    <mergeCell ref="S13:BX13"/>
    <mergeCell ref="BZ2:CB3"/>
    <mergeCell ref="EQ9:EZ9"/>
    <mergeCell ref="FA9:FB9"/>
    <mergeCell ref="BZ10:CA10"/>
    <mergeCell ref="E11:R11"/>
    <mergeCell ref="S11:AD11"/>
    <mergeCell ref="E12:R12"/>
    <mergeCell ref="S12:BX12"/>
    <mergeCell ref="DF9:DG9"/>
    <mergeCell ref="DH9:DI9"/>
    <mergeCell ref="DJ9:DK9"/>
    <mergeCell ref="DM9:DV9"/>
    <mergeCell ref="DW9:EF9"/>
    <mergeCell ref="EG9:EP9"/>
    <mergeCell ref="C9:J9"/>
    <mergeCell ref="K9:S9"/>
    <mergeCell ref="AA81:AC81"/>
    <mergeCell ref="DC7:DD8"/>
    <mergeCell ref="T9:Y9"/>
    <mergeCell ref="Z9:CA9"/>
    <mergeCell ref="DC9:DE10"/>
    <mergeCell ref="AH7:AM7"/>
    <mergeCell ref="AN7:BB7"/>
    <mergeCell ref="BC7:BH7"/>
    <mergeCell ref="BI7:CA7"/>
    <mergeCell ref="C7:J7"/>
    <mergeCell ref="K7:AG7"/>
    <mergeCell ref="E14:R14"/>
    <mergeCell ref="S14:BB14"/>
    <mergeCell ref="BC14:BE14"/>
    <mergeCell ref="BF14:BI14"/>
    <mergeCell ref="BJ80:BK80"/>
    <mergeCell ref="I62:K62"/>
    <mergeCell ref="E16:R16"/>
    <mergeCell ref="S16:AF16"/>
    <mergeCell ref="AG16:AR16"/>
    <mergeCell ref="AS16:AW16"/>
    <mergeCell ref="AX16:BL16"/>
    <mergeCell ref="BM16:BX16"/>
    <mergeCell ref="AY18:BE18"/>
    <mergeCell ref="BF18:BL18"/>
    <mergeCell ref="BM18:BS18"/>
    <mergeCell ref="BT18:CA18"/>
    <mergeCell ref="BZ16:CA16"/>
    <mergeCell ref="Q17:W17"/>
    <mergeCell ref="AV17:BP17"/>
    <mergeCell ref="C18:P19"/>
    <mergeCell ref="Q18:W19"/>
    <mergeCell ref="CD14:CE14"/>
    <mergeCell ref="BJ14:BN14"/>
    <mergeCell ref="BO14:BR14"/>
    <mergeCell ref="BT14:BX14"/>
    <mergeCell ref="E15:R15"/>
    <mergeCell ref="S15:AM15"/>
    <mergeCell ref="AN15:AW15"/>
    <mergeCell ref="AX15:BE15"/>
    <mergeCell ref="BF15:BG15"/>
    <mergeCell ref="BH15:BL15"/>
    <mergeCell ref="BN15:BP15"/>
    <mergeCell ref="BQ15:BX15"/>
    <mergeCell ref="R20:W20"/>
    <mergeCell ref="C21:D22"/>
    <mergeCell ref="E21:H22"/>
    <mergeCell ref="O21:R21"/>
    <mergeCell ref="S21:V21"/>
    <mergeCell ref="W21:Z21"/>
    <mergeCell ref="AA21:AF21"/>
    <mergeCell ref="AG21:AL21"/>
    <mergeCell ref="CD17:CE17"/>
    <mergeCell ref="X18:AA18"/>
    <mergeCell ref="AB18:AE18"/>
    <mergeCell ref="BI22:BK22"/>
    <mergeCell ref="BL22:BN22"/>
    <mergeCell ref="BO22:BQ22"/>
    <mergeCell ref="BR22:BT22"/>
    <mergeCell ref="BU22:BY22"/>
    <mergeCell ref="BZ22:CA22"/>
    <mergeCell ref="BU21:BY21"/>
    <mergeCell ref="BZ21:CA21"/>
    <mergeCell ref="CC21:CF21"/>
    <mergeCell ref="X19:AA19"/>
    <mergeCell ref="AB19:AE19"/>
    <mergeCell ref="AR18:AV19"/>
    <mergeCell ref="I21:N22"/>
    <mergeCell ref="O24:R24"/>
    <mergeCell ref="S24:V24"/>
    <mergeCell ref="W24:Z24"/>
    <mergeCell ref="I24:K24"/>
    <mergeCell ref="I26:K26"/>
    <mergeCell ref="AA23:AF24"/>
    <mergeCell ref="AA25:AF26"/>
    <mergeCell ref="AW26:AY26"/>
    <mergeCell ref="AZ26:BB26"/>
    <mergeCell ref="CG21:CX21"/>
    <mergeCell ref="O22:R22"/>
    <mergeCell ref="S22:V22"/>
    <mergeCell ref="W22:Z22"/>
    <mergeCell ref="AA22:AF22"/>
    <mergeCell ref="AG22:AL22"/>
    <mergeCell ref="AQ22:AV22"/>
    <mergeCell ref="AM21:AP22"/>
    <mergeCell ref="AQ21:AV21"/>
    <mergeCell ref="AW21:BB21"/>
    <mergeCell ref="BC21:BH21"/>
    <mergeCell ref="BI21:BN21"/>
    <mergeCell ref="BO21:BT21"/>
    <mergeCell ref="AW22:AY22"/>
    <mergeCell ref="AZ22:BB22"/>
    <mergeCell ref="BC22:BE22"/>
    <mergeCell ref="BF22:BH22"/>
    <mergeCell ref="BF26:BH26"/>
    <mergeCell ref="BI26:BK26"/>
    <mergeCell ref="BL26:BN26"/>
    <mergeCell ref="BO26:BQ26"/>
    <mergeCell ref="BR26:BT26"/>
    <mergeCell ref="BV26:BY26"/>
    <mergeCell ref="BZ28:CA28"/>
    <mergeCell ref="BF28:BH28"/>
    <mergeCell ref="BI28:BK28"/>
    <mergeCell ref="BL28:BN28"/>
    <mergeCell ref="BO28:BQ28"/>
    <mergeCell ref="BR28:BT28"/>
    <mergeCell ref="BV28:BY28"/>
    <mergeCell ref="AG28:AL28"/>
    <mergeCell ref="AA27:AF28"/>
    <mergeCell ref="BZ24:CA24"/>
    <mergeCell ref="C26:D26"/>
    <mergeCell ref="E26:H26"/>
    <mergeCell ref="O26:R26"/>
    <mergeCell ref="S26:V26"/>
    <mergeCell ref="W26:Z26"/>
    <mergeCell ref="AG26:AL26"/>
    <mergeCell ref="AM26:AP26"/>
    <mergeCell ref="AQ26:AV26"/>
    <mergeCell ref="BF24:BH24"/>
    <mergeCell ref="BI24:BK24"/>
    <mergeCell ref="BL24:BN24"/>
    <mergeCell ref="BO24:BQ24"/>
    <mergeCell ref="BR24:BT24"/>
    <mergeCell ref="BV24:BY24"/>
    <mergeCell ref="AG24:AL24"/>
    <mergeCell ref="AM24:AP24"/>
    <mergeCell ref="AQ24:AV24"/>
    <mergeCell ref="AW24:AY24"/>
    <mergeCell ref="AZ24:BB24"/>
    <mergeCell ref="BC24:BE24"/>
    <mergeCell ref="C24:D24"/>
    <mergeCell ref="E24:H24"/>
    <mergeCell ref="AQ32:AV32"/>
    <mergeCell ref="AW32:AY32"/>
    <mergeCell ref="AZ32:BB32"/>
    <mergeCell ref="BC32:BE32"/>
    <mergeCell ref="BO34:BQ34"/>
    <mergeCell ref="BR34:BT34"/>
    <mergeCell ref="C32:D32"/>
    <mergeCell ref="E32:H32"/>
    <mergeCell ref="O32:R32"/>
    <mergeCell ref="S32:V32"/>
    <mergeCell ref="W32:Z32"/>
    <mergeCell ref="I32:K32"/>
    <mergeCell ref="BV34:BY34"/>
    <mergeCell ref="BZ34:CA34"/>
    <mergeCell ref="BO30:BQ30"/>
    <mergeCell ref="BR30:BT30"/>
    <mergeCell ref="I30:K30"/>
    <mergeCell ref="BV30:BY30"/>
    <mergeCell ref="BZ30:CA30"/>
    <mergeCell ref="BF30:BH30"/>
    <mergeCell ref="BI30:BK30"/>
    <mergeCell ref="BL30:BN30"/>
    <mergeCell ref="AM30:AP30"/>
    <mergeCell ref="AQ30:AV30"/>
    <mergeCell ref="BV33:BY33"/>
    <mergeCell ref="BZ36:CA36"/>
    <mergeCell ref="BF36:BH36"/>
    <mergeCell ref="BI36:BK36"/>
    <mergeCell ref="BL36:BN36"/>
    <mergeCell ref="BO36:BQ36"/>
    <mergeCell ref="BR36:BT36"/>
    <mergeCell ref="BV36:BY36"/>
    <mergeCell ref="AG36:AL36"/>
    <mergeCell ref="AM36:AP36"/>
    <mergeCell ref="AQ36:AV36"/>
    <mergeCell ref="I34:K34"/>
    <mergeCell ref="I36:K36"/>
    <mergeCell ref="AW36:AY36"/>
    <mergeCell ref="AZ36:BB36"/>
    <mergeCell ref="BC36:BE36"/>
    <mergeCell ref="BZ32:CA32"/>
    <mergeCell ref="C34:D34"/>
    <mergeCell ref="E34:H34"/>
    <mergeCell ref="O34:R34"/>
    <mergeCell ref="S34:V34"/>
    <mergeCell ref="W34:Z34"/>
    <mergeCell ref="AG34:AL34"/>
    <mergeCell ref="AM34:AP34"/>
    <mergeCell ref="AQ34:AV34"/>
    <mergeCell ref="BF32:BH32"/>
    <mergeCell ref="BI32:BK32"/>
    <mergeCell ref="BL32:BN32"/>
    <mergeCell ref="BO32:BQ32"/>
    <mergeCell ref="BR32:BT32"/>
    <mergeCell ref="BV32:BY32"/>
    <mergeCell ref="AG32:AL32"/>
    <mergeCell ref="AM32:AP32"/>
    <mergeCell ref="W38:Z38"/>
    <mergeCell ref="BR40:BT40"/>
    <mergeCell ref="AQ38:AV38"/>
    <mergeCell ref="I38:K38"/>
    <mergeCell ref="BV40:BY40"/>
    <mergeCell ref="AG40:AL40"/>
    <mergeCell ref="AW40:AY40"/>
    <mergeCell ref="AZ40:BB40"/>
    <mergeCell ref="BC40:BE40"/>
    <mergeCell ref="C36:D36"/>
    <mergeCell ref="E36:H36"/>
    <mergeCell ref="O36:R36"/>
    <mergeCell ref="S36:V36"/>
    <mergeCell ref="W36:Z36"/>
    <mergeCell ref="AW34:AY34"/>
    <mergeCell ref="AZ34:BB34"/>
    <mergeCell ref="BC34:BE34"/>
    <mergeCell ref="BF34:BH34"/>
    <mergeCell ref="BI34:BK34"/>
    <mergeCell ref="BL34:BN34"/>
    <mergeCell ref="BV35:BY35"/>
    <mergeCell ref="BV37:BY37"/>
    <mergeCell ref="BV39:BY39"/>
    <mergeCell ref="AQ37:AV37"/>
    <mergeCell ref="AQ39:AV39"/>
    <mergeCell ref="S42:V42"/>
    <mergeCell ref="W42:Z42"/>
    <mergeCell ref="AG42:AL42"/>
    <mergeCell ref="AM42:AP42"/>
    <mergeCell ref="AQ42:AV42"/>
    <mergeCell ref="I40:K40"/>
    <mergeCell ref="I42:K42"/>
    <mergeCell ref="BO38:BQ38"/>
    <mergeCell ref="BR38:BT38"/>
    <mergeCell ref="BV38:BY38"/>
    <mergeCell ref="BZ42:CA42"/>
    <mergeCell ref="BZ38:CA38"/>
    <mergeCell ref="C40:D40"/>
    <mergeCell ref="E40:H40"/>
    <mergeCell ref="O40:R40"/>
    <mergeCell ref="S40:V40"/>
    <mergeCell ref="W40:Z40"/>
    <mergeCell ref="AW38:AY38"/>
    <mergeCell ref="AZ38:BB38"/>
    <mergeCell ref="BC38:BE38"/>
    <mergeCell ref="BF38:BH38"/>
    <mergeCell ref="BI38:BK38"/>
    <mergeCell ref="BL38:BN38"/>
    <mergeCell ref="BZ40:CA40"/>
    <mergeCell ref="BF40:BH40"/>
    <mergeCell ref="BI40:BK40"/>
    <mergeCell ref="BL40:BN40"/>
    <mergeCell ref="BO40:BQ40"/>
    <mergeCell ref="C38:D38"/>
    <mergeCell ref="E38:H38"/>
    <mergeCell ref="O38:R38"/>
    <mergeCell ref="S38:V38"/>
    <mergeCell ref="AW48:AY48"/>
    <mergeCell ref="C44:D44"/>
    <mergeCell ref="E44:H44"/>
    <mergeCell ref="O44:R44"/>
    <mergeCell ref="S44:V44"/>
    <mergeCell ref="W44:Z44"/>
    <mergeCell ref="AW42:AY42"/>
    <mergeCell ref="AZ42:BB42"/>
    <mergeCell ref="BC42:BE42"/>
    <mergeCell ref="BF42:BH42"/>
    <mergeCell ref="BI42:BK42"/>
    <mergeCell ref="BL42:BN42"/>
    <mergeCell ref="BZ44:CA44"/>
    <mergeCell ref="BF44:BH44"/>
    <mergeCell ref="BI44:BK44"/>
    <mergeCell ref="BL44:BN44"/>
    <mergeCell ref="BO44:BQ44"/>
    <mergeCell ref="BR44:BT44"/>
    <mergeCell ref="BV44:BY44"/>
    <mergeCell ref="AG44:AL44"/>
    <mergeCell ref="AM44:AP44"/>
    <mergeCell ref="AQ44:AV44"/>
    <mergeCell ref="AW44:AY44"/>
    <mergeCell ref="I44:K44"/>
    <mergeCell ref="AZ44:BB44"/>
    <mergeCell ref="BC44:BE44"/>
    <mergeCell ref="BO42:BQ42"/>
    <mergeCell ref="BR42:BT42"/>
    <mergeCell ref="BV42:BY42"/>
    <mergeCell ref="C42:D42"/>
    <mergeCell ref="E42:H42"/>
    <mergeCell ref="O42:R42"/>
    <mergeCell ref="C48:D48"/>
    <mergeCell ref="E48:H48"/>
    <mergeCell ref="O48:R48"/>
    <mergeCell ref="S48:V48"/>
    <mergeCell ref="W48:Z48"/>
    <mergeCell ref="AW46:AY46"/>
    <mergeCell ref="AZ46:BB46"/>
    <mergeCell ref="BC46:BE46"/>
    <mergeCell ref="BF46:BH46"/>
    <mergeCell ref="BI46:BK46"/>
    <mergeCell ref="BL46:BN46"/>
    <mergeCell ref="BZ48:CA48"/>
    <mergeCell ref="BF48:BH48"/>
    <mergeCell ref="BI48:BK48"/>
    <mergeCell ref="BL48:BN48"/>
    <mergeCell ref="BO48:BQ48"/>
    <mergeCell ref="BR48:BT48"/>
    <mergeCell ref="C46:D46"/>
    <mergeCell ref="E46:H46"/>
    <mergeCell ref="O46:R46"/>
    <mergeCell ref="S46:V46"/>
    <mergeCell ref="W46:Z46"/>
    <mergeCell ref="AG46:AL46"/>
    <mergeCell ref="AM46:AP46"/>
    <mergeCell ref="BV48:BY48"/>
    <mergeCell ref="AG48:AL48"/>
    <mergeCell ref="AM48:AP48"/>
    <mergeCell ref="AQ46:AV46"/>
    <mergeCell ref="I46:K46"/>
    <mergeCell ref="AZ48:BB48"/>
    <mergeCell ref="BC48:BE48"/>
    <mergeCell ref="BO46:BQ46"/>
    <mergeCell ref="BO50:BQ50"/>
    <mergeCell ref="BR50:BT50"/>
    <mergeCell ref="BV50:BY50"/>
    <mergeCell ref="C50:D50"/>
    <mergeCell ref="E50:H50"/>
    <mergeCell ref="O50:R50"/>
    <mergeCell ref="S50:V50"/>
    <mergeCell ref="W50:Z50"/>
    <mergeCell ref="AG50:AL50"/>
    <mergeCell ref="AM50:AP50"/>
    <mergeCell ref="AQ50:AV50"/>
    <mergeCell ref="I48:K48"/>
    <mergeCell ref="I50:K50"/>
    <mergeCell ref="I56:K56"/>
    <mergeCell ref="C52:D52"/>
    <mergeCell ref="E52:H52"/>
    <mergeCell ref="O52:R52"/>
    <mergeCell ref="S52:V52"/>
    <mergeCell ref="W52:Z52"/>
    <mergeCell ref="AW50:AY50"/>
    <mergeCell ref="AZ50:BB50"/>
    <mergeCell ref="BC50:BE50"/>
    <mergeCell ref="BF50:BH50"/>
    <mergeCell ref="BI50:BK50"/>
    <mergeCell ref="BL50:BN50"/>
    <mergeCell ref="C56:D56"/>
    <mergeCell ref="E56:H56"/>
    <mergeCell ref="C54:D54"/>
    <mergeCell ref="E54:H54"/>
    <mergeCell ref="O54:R54"/>
    <mergeCell ref="BF52:BH52"/>
    <mergeCell ref="BI52:BK52"/>
    <mergeCell ref="BL52:BN52"/>
    <mergeCell ref="BO52:BQ52"/>
    <mergeCell ref="BR52:BT52"/>
    <mergeCell ref="BV52:BY52"/>
    <mergeCell ref="AG52:AL52"/>
    <mergeCell ref="AM52:AP52"/>
    <mergeCell ref="AQ52:AV52"/>
    <mergeCell ref="AW52:AY52"/>
    <mergeCell ref="I52:K52"/>
    <mergeCell ref="AZ52:BB52"/>
    <mergeCell ref="BC52:BE52"/>
    <mergeCell ref="AQ51:AV51"/>
    <mergeCell ref="AW56:AY56"/>
    <mergeCell ref="BZ54:CA54"/>
    <mergeCell ref="O56:R56"/>
    <mergeCell ref="S56:V56"/>
    <mergeCell ref="W56:Z56"/>
    <mergeCell ref="AW54:AY54"/>
    <mergeCell ref="AZ54:BB54"/>
    <mergeCell ref="BC54:BE54"/>
    <mergeCell ref="BF54:BH54"/>
    <mergeCell ref="BI54:BK54"/>
    <mergeCell ref="BL54:BN54"/>
    <mergeCell ref="BZ56:CA56"/>
    <mergeCell ref="BF56:BH56"/>
    <mergeCell ref="BI56:BK56"/>
    <mergeCell ref="BL56:BN56"/>
    <mergeCell ref="BO56:BQ56"/>
    <mergeCell ref="BR56:BT56"/>
    <mergeCell ref="S54:V54"/>
    <mergeCell ref="W54:Z54"/>
    <mergeCell ref="AG54:AL54"/>
    <mergeCell ref="BV56:BY56"/>
    <mergeCell ref="AG56:AL56"/>
    <mergeCell ref="I54:K54"/>
    <mergeCell ref="AZ56:BB56"/>
    <mergeCell ref="BC56:BE56"/>
    <mergeCell ref="BR54:BT54"/>
    <mergeCell ref="C60:D60"/>
    <mergeCell ref="E60:H60"/>
    <mergeCell ref="O60:R60"/>
    <mergeCell ref="S60:V60"/>
    <mergeCell ref="W60:Z60"/>
    <mergeCell ref="AW58:AY58"/>
    <mergeCell ref="AZ58:BB58"/>
    <mergeCell ref="BC58:BE58"/>
    <mergeCell ref="BF58:BH58"/>
    <mergeCell ref="BI58:BK58"/>
    <mergeCell ref="BL58:BN58"/>
    <mergeCell ref="I58:K58"/>
    <mergeCell ref="BV54:BY54"/>
    <mergeCell ref="BO54:BQ54"/>
    <mergeCell ref="AQ56:AV56"/>
    <mergeCell ref="I60:K60"/>
    <mergeCell ref="AQ55:AV55"/>
    <mergeCell ref="AQ57:AV57"/>
    <mergeCell ref="C58:D58"/>
    <mergeCell ref="E58:H58"/>
    <mergeCell ref="BZ60:CA60"/>
    <mergeCell ref="BF60:BH60"/>
    <mergeCell ref="BI60:BK60"/>
    <mergeCell ref="BL60:BN60"/>
    <mergeCell ref="BO60:BQ60"/>
    <mergeCell ref="BR60:BT60"/>
    <mergeCell ref="BV60:BY60"/>
    <mergeCell ref="AG60:AL60"/>
    <mergeCell ref="AW60:AY60"/>
    <mergeCell ref="BO58:BQ58"/>
    <mergeCell ref="BR58:BT58"/>
    <mergeCell ref="BV58:BY58"/>
    <mergeCell ref="AZ60:BB60"/>
    <mergeCell ref="BC60:BE60"/>
    <mergeCell ref="O58:R58"/>
    <mergeCell ref="S58:V58"/>
    <mergeCell ref="W58:Z58"/>
    <mergeCell ref="AG58:AL58"/>
    <mergeCell ref="AM58:AP58"/>
    <mergeCell ref="AQ58:AV58"/>
    <mergeCell ref="AQ59:AV59"/>
    <mergeCell ref="BK65:BO65"/>
    <mergeCell ref="BR65:BT65"/>
    <mergeCell ref="BW65:CA65"/>
    <mergeCell ref="BR66:BT66"/>
    <mergeCell ref="BW66:CA66"/>
    <mergeCell ref="BG66:BI66"/>
    <mergeCell ref="BK66:BO66"/>
    <mergeCell ref="BO62:BQ62"/>
    <mergeCell ref="BR62:BT62"/>
    <mergeCell ref="BV62:BY62"/>
    <mergeCell ref="BZ62:CA62"/>
    <mergeCell ref="C63:D63"/>
    <mergeCell ref="W63:Z63"/>
    <mergeCell ref="AA63:AF63"/>
    <mergeCell ref="AG63:AL63"/>
    <mergeCell ref="AQ63:AV63"/>
    <mergeCell ref="AW63:AY63"/>
    <mergeCell ref="AW62:AY62"/>
    <mergeCell ref="AZ62:BB62"/>
    <mergeCell ref="BC62:BE62"/>
    <mergeCell ref="BF62:BH62"/>
    <mergeCell ref="BI62:BK62"/>
    <mergeCell ref="BL62:BN62"/>
    <mergeCell ref="BC63:BE63"/>
    <mergeCell ref="BZ63:CA63"/>
    <mergeCell ref="C62:D62"/>
    <mergeCell ref="E62:H62"/>
    <mergeCell ref="O62:R62"/>
    <mergeCell ref="S62:V62"/>
    <mergeCell ref="AQ62:AV62"/>
    <mergeCell ref="AI66:AN66"/>
    <mergeCell ref="AO66:AT66"/>
    <mergeCell ref="AU66:AV66"/>
    <mergeCell ref="C66:F66"/>
    <mergeCell ref="S66:T66"/>
    <mergeCell ref="U66:Z66"/>
    <mergeCell ref="AA66:AF66"/>
    <mergeCell ref="AG66:AH66"/>
    <mergeCell ref="U76:V76"/>
    <mergeCell ref="W76:Z76"/>
    <mergeCell ref="AA76:AC76"/>
    <mergeCell ref="AD76:AE76"/>
    <mergeCell ref="AQ78:AY78"/>
    <mergeCell ref="AA75:AC75"/>
    <mergeCell ref="AD75:AE75"/>
    <mergeCell ref="AD74:AE74"/>
    <mergeCell ref="AF74:AG74"/>
    <mergeCell ref="C78:N78"/>
    <mergeCell ref="O70:P70"/>
    <mergeCell ref="Q70:R70"/>
    <mergeCell ref="S70:T70"/>
    <mergeCell ref="O71:T71"/>
    <mergeCell ref="O72:T72"/>
    <mergeCell ref="AD78:AE78"/>
    <mergeCell ref="U71:V71"/>
    <mergeCell ref="W71:Z71"/>
    <mergeCell ref="AA71:AC71"/>
    <mergeCell ref="AD71:AE71"/>
    <mergeCell ref="AF71:AG71"/>
    <mergeCell ref="AH71:AJ71"/>
    <mergeCell ref="AK71:AM71"/>
    <mergeCell ref="AN70:AO70"/>
    <mergeCell ref="AP70:BG70"/>
    <mergeCell ref="C70:N71"/>
    <mergeCell ref="BH70:BI70"/>
    <mergeCell ref="BJ70:BK70"/>
    <mergeCell ref="BL70:BO70"/>
    <mergeCell ref="BP70:BS70"/>
    <mergeCell ref="A70:A102"/>
    <mergeCell ref="U70:X70"/>
    <mergeCell ref="Y70:AD70"/>
    <mergeCell ref="AE70:AG70"/>
    <mergeCell ref="AH70:AM70"/>
    <mergeCell ref="AA79:AC79"/>
    <mergeCell ref="C79:N79"/>
    <mergeCell ref="C80:N80"/>
    <mergeCell ref="L85:AD85"/>
    <mergeCell ref="AD79:AE79"/>
    <mergeCell ref="AE85:AO85"/>
    <mergeCell ref="AE86:AO86"/>
    <mergeCell ref="AE87:AO87"/>
    <mergeCell ref="AE88:AO88"/>
    <mergeCell ref="AR88:AS88"/>
    <mergeCell ref="AT88:AU88"/>
    <mergeCell ref="AV88:AZ88"/>
    <mergeCell ref="AR89:AS89"/>
    <mergeCell ref="AT89:AU89"/>
    <mergeCell ref="BH79:BI79"/>
    <mergeCell ref="BJ79:BK79"/>
    <mergeCell ref="BP79:BS79"/>
    <mergeCell ref="BB79:BC79"/>
    <mergeCell ref="BD79:BE79"/>
    <mergeCell ref="AK78:AM78"/>
    <mergeCell ref="AZ80:BA80"/>
    <mergeCell ref="AK79:AM81"/>
    <mergeCell ref="AN79:AO81"/>
    <mergeCell ref="CD74:CE74"/>
    <mergeCell ref="BT75:BV75"/>
    <mergeCell ref="BW75:BX75"/>
    <mergeCell ref="AP74:BA74"/>
    <mergeCell ref="BB74:BC74"/>
    <mergeCell ref="BD74:BE74"/>
    <mergeCell ref="BF74:BG74"/>
    <mergeCell ref="CD75:CE75"/>
    <mergeCell ref="CD72:CE72"/>
    <mergeCell ref="CD71:CE71"/>
    <mergeCell ref="U72:V72"/>
    <mergeCell ref="W72:Z72"/>
    <mergeCell ref="AA72:AC72"/>
    <mergeCell ref="AD72:AE72"/>
    <mergeCell ref="AF72:AG72"/>
    <mergeCell ref="AH72:AJ75"/>
    <mergeCell ref="AK72:AM75"/>
    <mergeCell ref="BJ71:BK71"/>
    <mergeCell ref="BL71:BO71"/>
    <mergeCell ref="BP71:BS71"/>
    <mergeCell ref="BT71:BV71"/>
    <mergeCell ref="BW71:BX71"/>
    <mergeCell ref="BY71:CA71"/>
    <mergeCell ref="AN71:AO71"/>
    <mergeCell ref="AP71:BA71"/>
    <mergeCell ref="BB71:BC71"/>
    <mergeCell ref="BD71:BE71"/>
    <mergeCell ref="BF71:BG71"/>
    <mergeCell ref="BH71:BI71"/>
    <mergeCell ref="BP72:BS72"/>
    <mergeCell ref="BT72:BX72"/>
    <mergeCell ref="BT73:BV73"/>
    <mergeCell ref="CF73:CH73"/>
    <mergeCell ref="CI73:CK73"/>
    <mergeCell ref="CL73:CN73"/>
    <mergeCell ref="CO73:CQ73"/>
    <mergeCell ref="CV73:CW73"/>
    <mergeCell ref="U74:V74"/>
    <mergeCell ref="W74:Z74"/>
    <mergeCell ref="AA74:AC74"/>
    <mergeCell ref="AF73:AG73"/>
    <mergeCell ref="AP73:BA73"/>
    <mergeCell ref="BB73:BC73"/>
    <mergeCell ref="BD73:BE73"/>
    <mergeCell ref="BF73:BG73"/>
    <mergeCell ref="BP73:BS73"/>
    <mergeCell ref="U73:V73"/>
    <mergeCell ref="W73:Z73"/>
    <mergeCell ref="AA73:AC73"/>
    <mergeCell ref="AD73:AE73"/>
    <mergeCell ref="BJ72:BK74"/>
    <mergeCell ref="BL72:BO75"/>
    <mergeCell ref="CM74:CN74"/>
    <mergeCell ref="CO74:CQ74"/>
    <mergeCell ref="U75:V75"/>
    <mergeCell ref="W75:Z75"/>
    <mergeCell ref="CD73:CE73"/>
    <mergeCell ref="BP74:BS74"/>
    <mergeCell ref="AN72:AO75"/>
    <mergeCell ref="AP72:BA72"/>
    <mergeCell ref="BB72:BC72"/>
    <mergeCell ref="BD72:BE72"/>
    <mergeCell ref="BF72:BG72"/>
    <mergeCell ref="BH72:BI74"/>
    <mergeCell ref="CM75:CN75"/>
    <mergeCell ref="CO75:CQ75"/>
    <mergeCell ref="AF75:AG75"/>
    <mergeCell ref="AP75:BA75"/>
    <mergeCell ref="BB75:BC75"/>
    <mergeCell ref="BD75:BE75"/>
    <mergeCell ref="BF75:BG75"/>
    <mergeCell ref="BH75:BK75"/>
    <mergeCell ref="BP75:BS75"/>
    <mergeCell ref="CM77:CN77"/>
    <mergeCell ref="CO77:CQ77"/>
    <mergeCell ref="BD77:BE77"/>
    <mergeCell ref="BF77:BG77"/>
    <mergeCell ref="BH77:BI77"/>
    <mergeCell ref="BJ77:BK77"/>
    <mergeCell ref="BL77:BO77"/>
    <mergeCell ref="BP77:BS77"/>
    <mergeCell ref="AP77:BA77"/>
    <mergeCell ref="BB77:BC77"/>
    <mergeCell ref="CD77:CE77"/>
    <mergeCell ref="CL78:CN78"/>
    <mergeCell ref="CO78:CQ78"/>
    <mergeCell ref="BP78:BS78"/>
    <mergeCell ref="BT78:BX78"/>
    <mergeCell ref="CD78:CE78"/>
    <mergeCell ref="BY72:CA77"/>
    <mergeCell ref="BH78:BI78"/>
    <mergeCell ref="BJ78:BK78"/>
    <mergeCell ref="CF76:CH76"/>
    <mergeCell ref="CM76:CN76"/>
    <mergeCell ref="CO76:CQ76"/>
    <mergeCell ref="U77:V77"/>
    <mergeCell ref="W77:Z77"/>
    <mergeCell ref="AA77:AC77"/>
    <mergeCell ref="AD77:AE77"/>
    <mergeCell ref="AF77:AG77"/>
    <mergeCell ref="BH76:BI76"/>
    <mergeCell ref="BJ76:BK76"/>
    <mergeCell ref="BL76:BO76"/>
    <mergeCell ref="BT77:BV77"/>
    <mergeCell ref="BP76:BS76"/>
    <mergeCell ref="BT76:BX76"/>
    <mergeCell ref="CD76:CE76"/>
    <mergeCell ref="AF76:AG76"/>
    <mergeCell ref="AN76:AO78"/>
    <mergeCell ref="AP76:BA76"/>
    <mergeCell ref="BB76:BC76"/>
    <mergeCell ref="BD76:BE76"/>
    <mergeCell ref="BF76:BG76"/>
    <mergeCell ref="AH77:AJ77"/>
    <mergeCell ref="AK77:AM77"/>
    <mergeCell ref="AF78:AG78"/>
    <mergeCell ref="CL81:CN84"/>
    <mergeCell ref="BL78:BO81"/>
    <mergeCell ref="AZ78:BA78"/>
    <mergeCell ref="CM79:CN79"/>
    <mergeCell ref="BF79:BG79"/>
    <mergeCell ref="CM85:CN85"/>
    <mergeCell ref="C81:N81"/>
    <mergeCell ref="BS86:CA86"/>
    <mergeCell ref="CJ86:CK86"/>
    <mergeCell ref="CM86:CN86"/>
    <mergeCell ref="C87:D87"/>
    <mergeCell ref="E87:F87"/>
    <mergeCell ref="BA87:BR87"/>
    <mergeCell ref="BS87:CA87"/>
    <mergeCell ref="C86:D86"/>
    <mergeCell ref="E86:F86"/>
    <mergeCell ref="BA86:BR86"/>
    <mergeCell ref="C85:F85"/>
    <mergeCell ref="BA85:BR85"/>
    <mergeCell ref="BS85:CA85"/>
    <mergeCell ref="CJ85:CK85"/>
    <mergeCell ref="BH81:BI81"/>
    <mergeCell ref="BJ81:BK81"/>
    <mergeCell ref="BP81:BS81"/>
    <mergeCell ref="BT81:BV81"/>
    <mergeCell ref="BW81:BX81"/>
    <mergeCell ref="CI81:CK84"/>
    <mergeCell ref="AF79:AG79"/>
    <mergeCell ref="AH79:AJ81"/>
    <mergeCell ref="CM80:CN80"/>
    <mergeCell ref="CD79:CE79"/>
    <mergeCell ref="BH80:BI80"/>
    <mergeCell ref="C91:D91"/>
    <mergeCell ref="E91:F91"/>
    <mergeCell ref="BA91:BR91"/>
    <mergeCell ref="BS91:CA91"/>
    <mergeCell ref="C90:D90"/>
    <mergeCell ref="E90:F90"/>
    <mergeCell ref="BA90:BR90"/>
    <mergeCell ref="G90:K90"/>
    <mergeCell ref="G91:K91"/>
    <mergeCell ref="L90:AD90"/>
    <mergeCell ref="L91:AD91"/>
    <mergeCell ref="BS88:CA88"/>
    <mergeCell ref="C89:D89"/>
    <mergeCell ref="E89:F89"/>
    <mergeCell ref="BA89:BR89"/>
    <mergeCell ref="BS89:CA89"/>
    <mergeCell ref="C88:D88"/>
    <mergeCell ref="E88:F88"/>
    <mergeCell ref="BA88:BR88"/>
    <mergeCell ref="G89:K89"/>
    <mergeCell ref="L89:AD89"/>
    <mergeCell ref="AE90:AO90"/>
    <mergeCell ref="AE91:AO91"/>
    <mergeCell ref="AE89:AO89"/>
    <mergeCell ref="G88:K88"/>
    <mergeCell ref="L88:AD88"/>
    <mergeCell ref="AV89:AZ89"/>
    <mergeCell ref="C94:D94"/>
    <mergeCell ref="E94:F94"/>
    <mergeCell ref="BA94:BR94"/>
    <mergeCell ref="G94:K94"/>
    <mergeCell ref="G95:K95"/>
    <mergeCell ref="L95:AD95"/>
    <mergeCell ref="AR94:AS94"/>
    <mergeCell ref="L94:AD94"/>
    <mergeCell ref="AE95:AO95"/>
    <mergeCell ref="AV94:AZ94"/>
    <mergeCell ref="AV95:AZ95"/>
    <mergeCell ref="C93:D93"/>
    <mergeCell ref="E93:F93"/>
    <mergeCell ref="BA93:BR93"/>
    <mergeCell ref="BS93:CA93"/>
    <mergeCell ref="C92:D92"/>
    <mergeCell ref="E92:F92"/>
    <mergeCell ref="BA92:BR92"/>
    <mergeCell ref="G92:K92"/>
    <mergeCell ref="G93:K93"/>
    <mergeCell ref="L92:AD92"/>
    <mergeCell ref="L93:AD93"/>
    <mergeCell ref="AE92:AO92"/>
    <mergeCell ref="AE93:AO93"/>
    <mergeCell ref="AE94:AO94"/>
    <mergeCell ref="BS94:CA94"/>
    <mergeCell ref="AT94:AU94"/>
    <mergeCell ref="AR95:AS95"/>
    <mergeCell ref="AT95:AU95"/>
    <mergeCell ref="C97:D97"/>
    <mergeCell ref="E97:F97"/>
    <mergeCell ref="BA97:BR97"/>
    <mergeCell ref="BS97:CA97"/>
    <mergeCell ref="C96:D96"/>
    <mergeCell ref="E96:F96"/>
    <mergeCell ref="BA96:BR96"/>
    <mergeCell ref="G96:K96"/>
    <mergeCell ref="G97:K97"/>
    <mergeCell ref="L96:AD96"/>
    <mergeCell ref="L97:AD97"/>
    <mergeCell ref="AE96:AO96"/>
    <mergeCell ref="AE97:AO97"/>
    <mergeCell ref="AV96:AZ96"/>
    <mergeCell ref="AV97:AZ97"/>
    <mergeCell ref="C95:D95"/>
    <mergeCell ref="E95:F95"/>
    <mergeCell ref="BA95:BR95"/>
    <mergeCell ref="BS95:CA95"/>
    <mergeCell ref="AT97:AU97"/>
    <mergeCell ref="AR97:AS97"/>
    <mergeCell ref="BS96:CA96"/>
    <mergeCell ref="AR96:AS96"/>
    <mergeCell ref="AT96:AU96"/>
    <mergeCell ref="C99:D99"/>
    <mergeCell ref="E99:F99"/>
    <mergeCell ref="BA99:BR99"/>
    <mergeCell ref="BS99:CA99"/>
    <mergeCell ref="C98:D98"/>
    <mergeCell ref="E98:F98"/>
    <mergeCell ref="BA98:BR98"/>
    <mergeCell ref="G98:K98"/>
    <mergeCell ref="G99:K99"/>
    <mergeCell ref="AR98:AS98"/>
    <mergeCell ref="AT98:AU98"/>
    <mergeCell ref="L98:AD98"/>
    <mergeCell ref="L99:AD99"/>
    <mergeCell ref="AE98:AO98"/>
    <mergeCell ref="AE99:AO99"/>
    <mergeCell ref="AV98:AZ98"/>
    <mergeCell ref="AV99:AZ99"/>
    <mergeCell ref="AR99:AS99"/>
    <mergeCell ref="AT99:AU99"/>
    <mergeCell ref="BS98:CA98"/>
    <mergeCell ref="C102:D102"/>
    <mergeCell ref="E102:F102"/>
    <mergeCell ref="AT102:AU102"/>
    <mergeCell ref="AV102:AZ102"/>
    <mergeCell ref="BS100:CA100"/>
    <mergeCell ref="C101:D101"/>
    <mergeCell ref="E101:F101"/>
    <mergeCell ref="BA102:BR102"/>
    <mergeCell ref="BS102:CA102"/>
    <mergeCell ref="C100:D100"/>
    <mergeCell ref="E100:F100"/>
    <mergeCell ref="BA100:BR100"/>
    <mergeCell ref="G100:K100"/>
    <mergeCell ref="G101:K101"/>
    <mergeCell ref="G102:K102"/>
    <mergeCell ref="AR102:AS102"/>
    <mergeCell ref="L100:AD100"/>
    <mergeCell ref="L101:AD101"/>
    <mergeCell ref="L102:AD102"/>
    <mergeCell ref="AE100:AO100"/>
    <mergeCell ref="AE101:AO101"/>
    <mergeCell ref="AE102:AO102"/>
    <mergeCell ref="AR100:AS100"/>
    <mergeCell ref="AT100:AU100"/>
    <mergeCell ref="AV100:AZ100"/>
    <mergeCell ref="AR101:AS101"/>
    <mergeCell ref="AT101:AU101"/>
    <mergeCell ref="AV101:AZ101"/>
    <mergeCell ref="BA101:BR101"/>
    <mergeCell ref="E109:H109"/>
    <mergeCell ref="E110:H110"/>
    <mergeCell ref="I107:N107"/>
    <mergeCell ref="I108:K108"/>
    <mergeCell ref="L108:N108"/>
    <mergeCell ref="I109:K109"/>
    <mergeCell ref="L109:N109"/>
    <mergeCell ref="I110:K110"/>
    <mergeCell ref="L110:N110"/>
    <mergeCell ref="AQ80:AY80"/>
    <mergeCell ref="AB65:AC65"/>
    <mergeCell ref="AD65:AF65"/>
    <mergeCell ref="U80:V80"/>
    <mergeCell ref="W80:Z80"/>
    <mergeCell ref="AA80:AC80"/>
    <mergeCell ref="AD80:AE80"/>
    <mergeCell ref="AF80:AG80"/>
    <mergeCell ref="G85:K85"/>
    <mergeCell ref="G86:K86"/>
    <mergeCell ref="G87:K87"/>
    <mergeCell ref="U79:V79"/>
    <mergeCell ref="W79:Z79"/>
    <mergeCell ref="AG65:AH65"/>
    <mergeCell ref="AI65:AK65"/>
    <mergeCell ref="O107:T107"/>
    <mergeCell ref="O108:T108"/>
    <mergeCell ref="O109:T109"/>
    <mergeCell ref="O110:T110"/>
    <mergeCell ref="G66:K66"/>
    <mergeCell ref="L66:M66"/>
    <mergeCell ref="L86:AD86"/>
    <mergeCell ref="L87:AD87"/>
    <mergeCell ref="E111:H111"/>
    <mergeCell ref="E112:H112"/>
    <mergeCell ref="E113:H113"/>
    <mergeCell ref="E114:H114"/>
    <mergeCell ref="E115:H115"/>
    <mergeCell ref="E116:H116"/>
    <mergeCell ref="E117:H117"/>
    <mergeCell ref="E118:H118"/>
    <mergeCell ref="E119:H119"/>
    <mergeCell ref="I111:K111"/>
    <mergeCell ref="L111:N111"/>
    <mergeCell ref="I112:K112"/>
    <mergeCell ref="L112:N112"/>
    <mergeCell ref="E120:H120"/>
    <mergeCell ref="E121:H121"/>
    <mergeCell ref="E122:H122"/>
    <mergeCell ref="E123:H123"/>
    <mergeCell ref="E125:H125"/>
    <mergeCell ref="E126:H126"/>
    <mergeCell ref="O124:T124"/>
    <mergeCell ref="I121:K121"/>
    <mergeCell ref="L121:N121"/>
    <mergeCell ref="I122:K122"/>
    <mergeCell ref="L122:N122"/>
    <mergeCell ref="I123:K123"/>
    <mergeCell ref="L123:N123"/>
    <mergeCell ref="I124:K124"/>
    <mergeCell ref="L124:N124"/>
    <mergeCell ref="I125:K125"/>
    <mergeCell ref="L125:N125"/>
    <mergeCell ref="O126:T126"/>
    <mergeCell ref="O127:T127"/>
    <mergeCell ref="O128:T128"/>
    <mergeCell ref="I126:K126"/>
    <mergeCell ref="L126:N126"/>
    <mergeCell ref="I127:K127"/>
    <mergeCell ref="L127:N127"/>
    <mergeCell ref="I128:K128"/>
    <mergeCell ref="L128:N128"/>
    <mergeCell ref="O125:T125"/>
    <mergeCell ref="E127:H127"/>
    <mergeCell ref="E128:H128"/>
    <mergeCell ref="E124:H124"/>
    <mergeCell ref="O111:T111"/>
    <mergeCell ref="O112:T112"/>
    <mergeCell ref="O113:T113"/>
    <mergeCell ref="O114:T114"/>
    <mergeCell ref="O115:T115"/>
    <mergeCell ref="O116:T116"/>
    <mergeCell ref="O117:T117"/>
    <mergeCell ref="O118:T118"/>
    <mergeCell ref="O119:T119"/>
    <mergeCell ref="O120:T120"/>
    <mergeCell ref="O121:T121"/>
    <mergeCell ref="O122:T122"/>
    <mergeCell ref="O123:T123"/>
    <mergeCell ref="I113:K113"/>
    <mergeCell ref="L113:N113"/>
    <mergeCell ref="I114:K114"/>
    <mergeCell ref="L114:N114"/>
    <mergeCell ref="I115:K115"/>
    <mergeCell ref="L115:N115"/>
    <mergeCell ref="I116:K116"/>
    <mergeCell ref="L116:N116"/>
    <mergeCell ref="I117:K117"/>
    <mergeCell ref="L117:N117"/>
    <mergeCell ref="I118:K118"/>
    <mergeCell ref="L118:N118"/>
    <mergeCell ref="I119:K119"/>
    <mergeCell ref="L119:N119"/>
    <mergeCell ref="I120:K120"/>
    <mergeCell ref="L120:N120"/>
    <mergeCell ref="BZ26:CA26"/>
    <mergeCell ref="BZ124:CA124"/>
    <mergeCell ref="BZ125:CA125"/>
    <mergeCell ref="BZ126:CA126"/>
    <mergeCell ref="BZ127:CA127"/>
    <mergeCell ref="BZ128:CA128"/>
    <mergeCell ref="BZ107:CA107"/>
    <mergeCell ref="BZ108:CA108"/>
    <mergeCell ref="BZ109:CA109"/>
    <mergeCell ref="BZ110:CA110"/>
    <mergeCell ref="BZ111:CA111"/>
    <mergeCell ref="BZ112:CA112"/>
    <mergeCell ref="BZ113:CA113"/>
    <mergeCell ref="BZ114:CA114"/>
    <mergeCell ref="BZ115:CA115"/>
    <mergeCell ref="BZ116:CA116"/>
    <mergeCell ref="BZ117:CA117"/>
    <mergeCell ref="BZ118:CA118"/>
    <mergeCell ref="BZ119:CA119"/>
    <mergeCell ref="BZ120:CA120"/>
    <mergeCell ref="BZ121:CA121"/>
    <mergeCell ref="BZ122:CA122"/>
    <mergeCell ref="BZ123:CA123"/>
    <mergeCell ref="BS101:CA101"/>
    <mergeCell ref="BP80:BS80"/>
    <mergeCell ref="BW77:BX77"/>
    <mergeCell ref="BT74:BX74"/>
    <mergeCell ref="BW73:BX73"/>
    <mergeCell ref="BT70:BX70"/>
    <mergeCell ref="BY70:CA70"/>
    <mergeCell ref="BZ58:CA58"/>
    <mergeCell ref="BZ50:CA50"/>
    <mergeCell ref="C28:D28"/>
    <mergeCell ref="E28:H28"/>
    <mergeCell ref="I28:K28"/>
    <mergeCell ref="O28:R28"/>
    <mergeCell ref="S28:V28"/>
    <mergeCell ref="W28:Z28"/>
    <mergeCell ref="AM28:AP28"/>
    <mergeCell ref="AQ28:AV28"/>
    <mergeCell ref="AW28:AY28"/>
    <mergeCell ref="AZ28:BB28"/>
    <mergeCell ref="BC28:BE28"/>
    <mergeCell ref="AA29:AF30"/>
    <mergeCell ref="AA31:AF32"/>
    <mergeCell ref="AA33:AF34"/>
    <mergeCell ref="E27:H27"/>
    <mergeCell ref="E29:H29"/>
    <mergeCell ref="E31:H31"/>
    <mergeCell ref="E33:H33"/>
    <mergeCell ref="AW30:AY30"/>
    <mergeCell ref="AZ30:BB30"/>
    <mergeCell ref="BC30:BE30"/>
    <mergeCell ref="C30:D30"/>
    <mergeCell ref="E30:H30"/>
    <mergeCell ref="O30:R30"/>
    <mergeCell ref="S30:V30"/>
    <mergeCell ref="W30:Z30"/>
    <mergeCell ref="AG30:AL30"/>
    <mergeCell ref="L24:N62"/>
    <mergeCell ref="BC26:BE26"/>
    <mergeCell ref="AM60:AP60"/>
    <mergeCell ref="AQ60:AV60"/>
    <mergeCell ref="AM56:AP56"/>
    <mergeCell ref="AQ41:AV41"/>
    <mergeCell ref="AQ43:AV43"/>
    <mergeCell ref="AQ45:AV45"/>
    <mergeCell ref="AQ47:AV47"/>
    <mergeCell ref="AQ49:AV49"/>
    <mergeCell ref="AQ53:AV53"/>
    <mergeCell ref="AQ61:AV61"/>
    <mergeCell ref="AA35:AF36"/>
    <mergeCell ref="AA37:AF38"/>
    <mergeCell ref="AA39:AF40"/>
    <mergeCell ref="AA41:AF42"/>
    <mergeCell ref="AA43:AF44"/>
    <mergeCell ref="AA45:AF46"/>
    <mergeCell ref="AA47:AF48"/>
    <mergeCell ref="AA49:AF50"/>
    <mergeCell ref="AA51:AF52"/>
    <mergeCell ref="AA53:AF54"/>
    <mergeCell ref="AA55:AF56"/>
    <mergeCell ref="AA57:AF58"/>
    <mergeCell ref="AA59:AF60"/>
    <mergeCell ref="AA61:AF62"/>
    <mergeCell ref="AQ48:AV48"/>
    <mergeCell ref="AQ54:AV54"/>
    <mergeCell ref="AM40:AP40"/>
    <mergeCell ref="AQ40:AV40"/>
    <mergeCell ref="AG38:AL38"/>
    <mergeCell ref="AM38:AP38"/>
    <mergeCell ref="AM54:AP54"/>
    <mergeCell ref="O130:T130"/>
    <mergeCell ref="CL130:CM130"/>
    <mergeCell ref="CF130:CG130"/>
    <mergeCell ref="CH130:CI130"/>
    <mergeCell ref="CH107:CI107"/>
    <mergeCell ref="CH108:CI108"/>
    <mergeCell ref="CF131:CG131"/>
    <mergeCell ref="CH131:CI131"/>
    <mergeCell ref="CV75:CW75"/>
    <mergeCell ref="E105:H105"/>
    <mergeCell ref="AN18:AQ18"/>
    <mergeCell ref="AN19:AQ19"/>
    <mergeCell ref="Y130:AB130"/>
    <mergeCell ref="Y131:AB131"/>
    <mergeCell ref="AC130:AD130"/>
    <mergeCell ref="AC131:AD131"/>
    <mergeCell ref="AE130:AH130"/>
    <mergeCell ref="AE131:AH131"/>
    <mergeCell ref="E35:H35"/>
    <mergeCell ref="E37:H37"/>
    <mergeCell ref="E39:H39"/>
    <mergeCell ref="E41:H41"/>
    <mergeCell ref="E43:H43"/>
    <mergeCell ref="E45:H45"/>
    <mergeCell ref="E47:H47"/>
    <mergeCell ref="E49:H49"/>
    <mergeCell ref="E51:H51"/>
    <mergeCell ref="E53:H53"/>
    <mergeCell ref="E55:H55"/>
    <mergeCell ref="E57:H57"/>
    <mergeCell ref="E59:H59"/>
    <mergeCell ref="E61:H61"/>
  </mergeCells>
  <phoneticPr fontId="1"/>
  <dataValidations count="23">
    <dataValidation type="list" allowBlank="1" showInputMessage="1" showErrorMessage="1" sqref="BQ15:BX15">
      <formula1>$FJ$86:$FJ$96</formula1>
    </dataValidation>
    <dataValidation type="list" errorStyle="information" allowBlank="1" showInputMessage="1" showErrorMessage="1" sqref="AN7:BB7">
      <formula1>$DM$71:$DM$89</formula1>
    </dataValidation>
    <dataValidation type="list" errorStyle="information" allowBlank="1" showInputMessage="1" showErrorMessage="1" sqref="K7">
      <formula1>$DF$71:$DF$89</formula1>
    </dataValidation>
    <dataValidation type="list" errorStyle="information" allowBlank="1" showInputMessage="1" showErrorMessage="1" sqref="BM5:CA5">
      <formula1>$DD$71:$DD$85</formula1>
    </dataValidation>
    <dataValidation type="list" errorStyle="information" allowBlank="1" showInputMessage="1" showErrorMessage="1" sqref="BI7:CA7">
      <formula1>$DS$71:$DS$89</formula1>
    </dataValidation>
    <dataValidation type="list" errorStyle="information" allowBlank="1" showInputMessage="1" showErrorMessage="1" sqref="AT86:AU104 E86:F104">
      <formula1>"要,－"</formula1>
    </dataValidation>
    <dataValidation type="list" allowBlank="1" showInputMessage="1" showErrorMessage="1" sqref="AZ78:BA81">
      <formula1>"要,不"</formula1>
    </dataValidation>
    <dataValidation type="list" showInputMessage="1" showErrorMessage="1" sqref="BL26:BN26 BL24:BN24 BL28:BN28 BL30:BN30 BL32:BN32 BL34:BN34 BL36:BN36 BL38:BN38 BL40:BN40 BL42:BN42 BL44:BN44 BL46:BN46 BL48:BN48 BL50:BN50 BL52:BN52 BL54:BN54 BL56:BN56 BL58:BN58 BL60:BN60 BL62:BN62">
      <formula1>",有窓,無窓"</formula1>
    </dataValidation>
    <dataValidation type="list" allowBlank="1" showInputMessage="1" showErrorMessage="1" sqref="BR26:BT26 BR24:BT24 BR28:BT28 BR30:BT30 BR32:BT32 BR34:BT34 BR36:BT36 BR38:BT38 BR40:BT40 BR42:BT42 BR44:BT44 BR46:BT46 BR48:BT48 BR50:BT50 BR52:BT52 BR54:BT54 BR56:BT56 BR58:BT58 BR60:BT60 BR62:BT62">
      <formula1>"有窓,無窓"</formula1>
    </dataValidation>
    <dataValidation type="whole" errorStyle="information" allowBlank="1" showInputMessage="1" showErrorMessage="1" sqref="AZ30:BB30 BF30:BH30">
      <formula1>1</formula1>
      <formula2>200</formula2>
    </dataValidation>
    <dataValidation type="list" allowBlank="1" showInputMessage="1" showErrorMessage="1" sqref="AR18">
      <formula1>"耐 火,準耐火,非耐火"</formula1>
    </dataValidation>
    <dataValidation type="list" errorStyle="information" allowBlank="1" showInputMessage="1" showErrorMessage="1" sqref="AB18">
      <formula1>"1,1.1,1.2,1.3,1.4,1.5,1.6,1.7,1.8,1.9,2,2.2,2.4,2.6,2.8,3,3.3,3.6,3.9,4.2,4.6,5,6,7,8,9,10"</formula1>
    </dataValidation>
    <dataValidation type="list" allowBlank="1" showInputMessage="1" showErrorMessage="1" sqref="S16">
      <formula1>$FI$16:$FI$18</formula1>
    </dataValidation>
    <dataValidation type="list" errorStyle="information" allowBlank="1" showInputMessage="1" showErrorMessage="1" sqref="K9">
      <formula1>$FI$9:$FI$14</formula1>
    </dataValidation>
    <dataValidation type="list" allowBlank="1" showInputMessage="1" showErrorMessage="1" sqref="I109:K128">
      <formula1>"A,B1,B2,B3,B4,C1,C2,C3,C4,D1,D2,D3,D4,E1,E2,F1,F2,F3,F4,G1,G2,H,I"</formula1>
    </dataValidation>
    <dataValidation type="list" allowBlank="1" showInputMessage="1" showErrorMessage="1" sqref="BF14:BI14">
      <formula1>$FL$86:$FL$168</formula1>
    </dataValidation>
    <dataValidation type="list" errorStyle="information" allowBlank="1" showInputMessage="1" showErrorMessage="1" sqref="S24:V24 S26:V26 S28:V28 S30:V30 S32:V32 S34:V34 S36:V36 S38:V38 S40:V40 S42:V42 S44:V44 S46:V46 S48:V48 S50:V50 S52:V52 S54:V54 S56:V56 S58:V58 S60:V60 S62:V62">
      <formula1>"直天,2.3,2.4,2.5,2.6,2.7,2.8,2.9,3.0,3.1,3.2,3.3,3.4,3.5,3.6,3.7,3.8,3.9,4.0,4.1,4.2,4.3,4.4,4.5,4.6,4.7,4.8,4.9,5.0"</formula1>
    </dataValidation>
    <dataValidation type="list" allowBlank="1" showInputMessage="1" showErrorMessage="1" sqref="O25:Z25 AG23:CA23 O29:Z29 AG25:CA25 O31:Z31 AG27:CA27 O33:Z33 AG29:CA29 O35:Z35 AG31:CA31 O37:Z37 BZ35:CA35 O39:Z39 BZ39:CA39 O41:Z41 BZ41:CA41 O43:Z43 BZ43:CA43 O45:Z45 BZ45:CA45 O47:Z47 BZ37:CA37 O49:Z49 AW47:CA47 O51:Z51 AW49:CA49 O53:Z53 AW51:CA51 O55:Z55 AW53:CA53 O57:Z57 AW55:CA55 O59:Z59 AW57:CA57 O61:Z61 AW59:CA59 O27:Z27 AW61:CA61 I23:Z23 C61:D61 C59:D59 C57:D57 C55:D55 C53:D53 C51:D51 C49:D49 C47:D47 C45:D45 C43:D43 C41:D41 C39:D39 C37:D37 C35:D35 C33:D33 C31:D31 C29:D29 C27:D27 AG61:AP61 AG59:AP59 AG57:AP57 AG55:AP55 AG53:AP53 AG51:AP51 AG49:AP49 AG47:AP47 AG45:AP45 AG43:AP43 AG41:AP41 AG39:AP39 AG37:AP37 I27:K27 I61:K61 I59:K59 I57:K57 I55:K55 I53:K53 I51:K51 I49:K49 I47:K47 I45:K45 I43:K43 I41:K41 I39:K39 I37:K37 I35:K35 I33:K33 I31:K31 I29:K29 C25:K25 C23:D23 AW37:BU37 AW45:BU45 AW43:BU43 AW41:BU41 AW39:BU39 AG35:BU35 AG33:BU33 BZ33:CA33">
      <formula1>"0"</formula1>
    </dataValidation>
    <dataValidation type="list" showInputMessage="1" showErrorMessage="1" sqref="E26:H62 E24:H24 E23">
      <formula1>$CU$95:$CU$126</formula1>
    </dataValidation>
    <dataValidation type="list" allowBlank="1" showInputMessage="1" showErrorMessage="1" sqref="BV24:BY24 BV26:BY26 AS16:AW16 BV60:BY60 BV58:BY58 BV56:BY56 BV54:BY54 BV52:BY52 BV50:BY50 BV48:BY48 BV30:BY30 BV62:BY62 BV32:BY46">
      <formula1>$CR$102:$CR$127</formula1>
    </dataValidation>
    <dataValidation type="list" errorStyle="information" allowBlank="1" showInputMessage="1" showErrorMessage="1" sqref="BV28:BY28">
      <formula1>$CR$102:$CR$127</formula1>
    </dataValidation>
    <dataValidation type="list" allowBlank="1" showInputMessage="1" showErrorMessage="1" sqref="F180:I180">
      <formula1>"　"</formula1>
    </dataValidation>
    <dataValidation type="list" allowBlank="1" showInputMessage="1" showErrorMessage="1" sqref="S15:AM15">
      <formula1>$FK$10:$FK$22</formula1>
    </dataValidation>
  </dataValidations>
  <hyperlinks>
    <hyperlink ref="BA88:BR88" location="'17'!B3" display="'17'!B3"/>
    <hyperlink ref="BA89:BR89" location="'18'!B3" display="'18'!B3"/>
    <hyperlink ref="BA96:BR96" location="'23'!B3" display="'23'!B3"/>
    <hyperlink ref="BA98:BR98" location="'25'!B3" display="'25'!B3"/>
    <hyperlink ref="BA100:BR100" location="'27'!B3" display="'27'!B3"/>
    <hyperlink ref="AG16:AR16" location="別表!B1" display="(消防法)防火対象物"/>
    <hyperlink ref="BK66:BO66" location="原価!A1" display="原価内訳"/>
    <hyperlink ref="BK65:BO65" location="提出!A1" display="提出内訳"/>
    <hyperlink ref="BW66:CA66" location="Help!A29" display="Help"/>
    <hyperlink ref="BR65:BT65" location="Help!A1751" display="建物"/>
    <hyperlink ref="BU105:BY105" location="Help!A1826" display="Help"/>
    <hyperlink ref="L89:AD89" r:id="rId1" location="低幹!A1" display="RECS-2.xlsx - 低幹!A1"/>
    <hyperlink ref="BF65:BJ65" location="Help!A1912" display="計算Help"/>
    <hyperlink ref="AY65:BD65" location="Top!A104" display="Xn・Yn入力"/>
    <hyperlink ref="AZ66:BD66" location="Top!B133" display="基本設定"/>
    <hyperlink ref="L86:AD86" r:id="rId2" location="引込!A1" display="RECS-2.xlsx - 引込!A1"/>
    <hyperlink ref="BA86:BR86" r:id="rId3" location="電話!A1" display="RECS-4.xlsx - 電話!A1"/>
    <hyperlink ref="L87:AD87" r:id="rId4" location="受変!A1" display="RECS-2.xlsx - 受変!A1"/>
    <hyperlink ref="L88:AD88" r:id="rId5" location="発電!A1" display="RECS-2.xlsx - 発電!A1"/>
    <hyperlink ref="L93:AD93" r:id="rId6" location="低幹!A1" display="RECS-3.xlsx - 低幹!A1"/>
    <hyperlink ref="L94:AD94" r:id="rId7" location="動配!A1" display="RECS-3.xlsx - 動配!A1"/>
    <hyperlink ref="L97:AD97" r:id="rId8" location="照差!A1" display="RECS-3.xlsx - 照差!A1"/>
    <hyperlink ref="L98:AD98" r:id="rId9" location="照差!A1" display="RECS-3.xlsx - 照差!A1"/>
    <hyperlink ref="L99:AD99" r:id="rId10" location="非誘!A1" display="RECS-4.xlsx - 非誘!A1"/>
    <hyperlink ref="L101:AD101" r:id="rId11" location="火煙!A1" display="RECS-4.xlsx - 火煙!A1"/>
    <hyperlink ref="L102:AD102" r:id="rId12" location="雷保!A1" display="RECS-4.xlsx - 雷保!A1"/>
    <hyperlink ref="BA87:BR87" r:id="rId13" location="放送!A1" display="RECS-4.xlsx - 放送!A1"/>
    <hyperlink ref="BA90:BR90" r:id="rId14" location="TV!A1" display="RECS-4.xlsx - TV!A1"/>
    <hyperlink ref="I107:N107" r:id="rId15" location="S1!A1" display="建物形状"/>
    <hyperlink ref="BW65:CA65" r:id="rId16" location="建物1802!A1" display="建設物価"/>
    <hyperlink ref="AG19:AJ19" r:id="rId17" location="S1!A1" display="ｎ参照"/>
    <hyperlink ref="AG18:AJ18" r:id="rId18" location="引込!A1" display="XY確認"/>
    <hyperlink ref="BG66:BI66" r:id="rId19" location="S7!A1" display="計算"/>
    <hyperlink ref="BR66:BT66" r:id="rId20" location="S2!A1" display="歩掛"/>
  </hyperlinks>
  <pageMargins left="0.78740157480314965" right="0.39370078740157483" top="0.59055118110236227" bottom="0.39370078740157483" header="0.31496062992125984" footer="0.31496062992125984"/>
  <pageSetup paperSize="9" scale="86" fitToHeight="0" orientation="portrait" r:id="rId21"/>
  <rowBreaks count="1" manualBreakCount="1">
    <brk id="103" min="1" max="79" man="1"/>
  </rowBreaks>
  <legacy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277"/>
  <sheetViews>
    <sheetView view="pageBreakPreview" zoomScale="145" zoomScaleNormal="100" zoomScaleSheetLayoutView="145" workbookViewId="0"/>
  </sheetViews>
  <sheetFormatPr defaultRowHeight="14.25"/>
  <cols>
    <col min="1" max="2" width="0.7109375" style="209" customWidth="1"/>
    <col min="3" max="3" width="5" style="209" customWidth="1"/>
    <col min="4" max="4" width="1.42578125" style="209" customWidth="1"/>
    <col min="5" max="5" width="2.85546875" style="209" customWidth="1"/>
    <col min="6" max="6" width="28.5703125" style="209" customWidth="1"/>
    <col min="7" max="7" width="4" style="209" customWidth="1"/>
    <col min="8" max="8" width="5.7109375" style="209" customWidth="1"/>
    <col min="9" max="9" width="42.85546875" style="209" customWidth="1"/>
    <col min="10" max="10" width="2.140625" style="209" customWidth="1"/>
    <col min="11" max="11" width="8.5703125" style="209" customWidth="1"/>
    <col min="12" max="12" width="1.28515625" style="209" customWidth="1"/>
    <col min="13" max="16" width="9.140625" style="209"/>
    <col min="17" max="17" width="4.7109375" style="209" customWidth="1"/>
    <col min="18" max="18" width="4.28515625" style="209" customWidth="1"/>
    <col min="19" max="25" width="4.7109375" style="209" customWidth="1"/>
    <col min="26" max="16384" width="9.140625" style="209"/>
  </cols>
  <sheetData>
    <row r="1" spans="1:16" ht="7.5" customHeight="1"/>
    <row r="2" spans="1:16" ht="12" customHeight="1">
      <c r="A2" s="3906"/>
      <c r="C2" s="758"/>
      <c r="D2" s="4001"/>
      <c r="E2" s="4001"/>
      <c r="F2" s="4001"/>
      <c r="G2" s="4001"/>
      <c r="H2" s="4001"/>
      <c r="I2" s="4001"/>
      <c r="J2" s="532"/>
      <c r="K2" s="532"/>
      <c r="L2" s="532"/>
      <c r="N2" s="212">
        <f>IF(D2="",0,1)</f>
        <v>0</v>
      </c>
      <c r="O2" s="213"/>
    </row>
    <row r="3" spans="1:16" ht="15" customHeight="1">
      <c r="A3" s="3906"/>
      <c r="C3" s="532"/>
      <c r="D3" s="532"/>
      <c r="E3" s="4000" t="s">
        <v>552</v>
      </c>
      <c r="F3" s="4000"/>
      <c r="G3" s="4000"/>
      <c r="H3" s="526"/>
      <c r="I3" s="526"/>
      <c r="J3" s="526"/>
      <c r="K3" s="526"/>
      <c r="L3" s="526"/>
      <c r="N3" s="212">
        <f>IF(E3="",0,N2+1)</f>
        <v>1</v>
      </c>
    </row>
    <row r="4" spans="1:16" ht="12" customHeight="1" thickBot="1">
      <c r="A4" s="3906"/>
      <c r="C4" s="758"/>
      <c r="D4" s="524" t="s">
        <v>553</v>
      </c>
      <c r="E4" s="527"/>
      <c r="F4" s="527"/>
      <c r="G4" s="527"/>
      <c r="H4" s="524"/>
      <c r="I4" s="524"/>
      <c r="J4" s="532"/>
      <c r="K4" s="532"/>
      <c r="L4" s="532"/>
      <c r="N4" s="212">
        <f>IF(F4="",N3,N3+1)</f>
        <v>1</v>
      </c>
    </row>
    <row r="5" spans="1:16" ht="13.5" customHeight="1" thickTop="1" thickBot="1">
      <c r="A5" s="3906"/>
      <c r="C5" s="759">
        <v>1</v>
      </c>
      <c r="D5" s="525"/>
      <c r="E5" s="528"/>
      <c r="F5" s="529" t="s">
        <v>952</v>
      </c>
      <c r="G5" s="530"/>
      <c r="H5" s="563" t="s">
        <v>551</v>
      </c>
      <c r="I5" s="3997" t="s">
        <v>554</v>
      </c>
      <c r="J5" s="3998"/>
      <c r="K5" s="522"/>
      <c r="L5" s="526"/>
      <c r="N5" s="212">
        <f>IF(F5="",N4,N4+1)</f>
        <v>2</v>
      </c>
    </row>
    <row r="6" spans="1:16" ht="13.5" customHeight="1" thickTop="1" thickBot="1">
      <c r="A6" s="3906"/>
      <c r="C6" s="759">
        <v>2</v>
      </c>
      <c r="D6" s="525"/>
      <c r="E6" s="528"/>
      <c r="F6" s="529" t="s">
        <v>555</v>
      </c>
      <c r="G6" s="530"/>
      <c r="H6" s="564" t="s">
        <v>551</v>
      </c>
      <c r="I6" s="3997" t="s">
        <v>554</v>
      </c>
      <c r="J6" s="3998"/>
      <c r="K6" s="214"/>
      <c r="L6" s="526"/>
      <c r="N6" s="212">
        <f t="shared" ref="N6:N21" si="0">IF(F6="",N5,N5+1)</f>
        <v>3</v>
      </c>
      <c r="P6" s="209" t="s">
        <v>556</v>
      </c>
    </row>
    <row r="7" spans="1:16" ht="13.5" customHeight="1" thickTop="1" thickBot="1">
      <c r="A7" s="3906"/>
      <c r="C7" s="759">
        <v>3</v>
      </c>
      <c r="D7" s="525"/>
      <c r="E7" s="528"/>
      <c r="F7" s="529" t="s">
        <v>557</v>
      </c>
      <c r="G7" s="530"/>
      <c r="H7" s="703" t="s">
        <v>551</v>
      </c>
      <c r="I7" s="3997" t="s">
        <v>558</v>
      </c>
      <c r="J7" s="3998"/>
      <c r="K7" s="215"/>
      <c r="L7" s="526"/>
      <c r="N7" s="212">
        <f t="shared" si="0"/>
        <v>4</v>
      </c>
    </row>
    <row r="8" spans="1:16" ht="13.5" customHeight="1" thickTop="1" thickBot="1">
      <c r="A8" s="3906"/>
      <c r="C8" s="759">
        <v>4</v>
      </c>
      <c r="D8" s="525"/>
      <c r="E8" s="528"/>
      <c r="F8" s="529" t="s">
        <v>559</v>
      </c>
      <c r="G8" s="530"/>
      <c r="H8" s="763" t="s">
        <v>551</v>
      </c>
      <c r="I8" s="3997" t="s">
        <v>554</v>
      </c>
      <c r="J8" s="3998"/>
      <c r="K8" s="216"/>
      <c r="L8" s="526"/>
      <c r="N8" s="212">
        <f t="shared" si="0"/>
        <v>5</v>
      </c>
    </row>
    <row r="9" spans="1:16" ht="13.5" customHeight="1" thickTop="1" thickBot="1">
      <c r="A9" s="3906"/>
      <c r="C9" s="759">
        <v>5</v>
      </c>
      <c r="D9" s="525"/>
      <c r="E9" s="528"/>
      <c r="F9" s="529" t="s">
        <v>938</v>
      </c>
      <c r="G9" s="530"/>
      <c r="H9" s="764" t="s">
        <v>551</v>
      </c>
      <c r="I9" s="3997" t="s">
        <v>554</v>
      </c>
      <c r="J9" s="3998"/>
      <c r="K9" s="217"/>
      <c r="L9" s="526"/>
      <c r="N9" s="212">
        <f t="shared" si="0"/>
        <v>6</v>
      </c>
    </row>
    <row r="10" spans="1:16" ht="13.5" customHeight="1" thickTop="1" thickBot="1">
      <c r="A10" s="3906"/>
      <c r="C10" s="759">
        <v>6</v>
      </c>
      <c r="D10" s="525"/>
      <c r="E10" s="528"/>
      <c r="F10" s="529" t="s">
        <v>940</v>
      </c>
      <c r="G10" s="530"/>
      <c r="H10" s="764" t="s">
        <v>551</v>
      </c>
      <c r="I10" s="3997" t="s">
        <v>554</v>
      </c>
      <c r="J10" s="3998"/>
      <c r="K10" s="218"/>
      <c r="L10" s="526"/>
      <c r="N10" s="212">
        <f t="shared" si="0"/>
        <v>7</v>
      </c>
    </row>
    <row r="11" spans="1:16" ht="13.5" customHeight="1" thickTop="1" thickBot="1">
      <c r="A11" s="3906"/>
      <c r="C11" s="759">
        <v>7</v>
      </c>
      <c r="D11" s="525"/>
      <c r="E11" s="528"/>
      <c r="F11" s="543" t="s">
        <v>941</v>
      </c>
      <c r="G11" s="530"/>
      <c r="H11" s="764" t="s">
        <v>551</v>
      </c>
      <c r="I11" s="3997" t="s">
        <v>554</v>
      </c>
      <c r="J11" s="3998"/>
      <c r="K11" s="219"/>
      <c r="L11" s="526"/>
      <c r="N11" s="212">
        <f t="shared" si="0"/>
        <v>8</v>
      </c>
    </row>
    <row r="12" spans="1:16" ht="13.5" customHeight="1" thickTop="1" thickBot="1">
      <c r="A12" s="3906"/>
      <c r="C12" s="759">
        <v>8</v>
      </c>
      <c r="D12" s="525"/>
      <c r="E12" s="528"/>
      <c r="F12" s="531" t="s">
        <v>560</v>
      </c>
      <c r="G12" s="530"/>
      <c r="H12" s="764" t="s">
        <v>551</v>
      </c>
      <c r="I12" s="3997" t="s">
        <v>558</v>
      </c>
      <c r="J12" s="3998"/>
      <c r="K12" s="220"/>
      <c r="L12" s="526"/>
      <c r="N12" s="212">
        <f t="shared" si="0"/>
        <v>9</v>
      </c>
    </row>
    <row r="13" spans="1:16" ht="13.5" customHeight="1" thickTop="1" thickBot="1">
      <c r="A13" s="3906"/>
      <c r="C13" s="759">
        <v>9</v>
      </c>
      <c r="D13" s="525"/>
      <c r="E13" s="528"/>
      <c r="F13" s="531" t="s">
        <v>939</v>
      </c>
      <c r="G13" s="530"/>
      <c r="H13" s="764" t="s">
        <v>551</v>
      </c>
      <c r="I13" s="3997" t="s">
        <v>554</v>
      </c>
      <c r="J13" s="3998"/>
      <c r="K13" s="221"/>
      <c r="L13" s="526"/>
      <c r="N13" s="212">
        <f t="shared" si="0"/>
        <v>10</v>
      </c>
    </row>
    <row r="14" spans="1:16" ht="13.5" customHeight="1" thickTop="1" thickBot="1">
      <c r="A14" s="3906"/>
      <c r="C14" s="759">
        <v>10</v>
      </c>
      <c r="D14" s="525"/>
      <c r="E14" s="528"/>
      <c r="F14" s="529" t="s">
        <v>942</v>
      </c>
      <c r="G14" s="530"/>
      <c r="H14" s="764" t="s">
        <v>551</v>
      </c>
      <c r="I14" s="3997" t="s">
        <v>554</v>
      </c>
      <c r="J14" s="3998"/>
      <c r="K14" s="222"/>
      <c r="L14" s="526"/>
      <c r="N14" s="212">
        <f t="shared" si="0"/>
        <v>11</v>
      </c>
    </row>
    <row r="15" spans="1:16" ht="13.5" customHeight="1" thickTop="1" thickBot="1">
      <c r="A15" s="3906"/>
      <c r="C15" s="759">
        <v>11</v>
      </c>
      <c r="D15" s="525"/>
      <c r="E15" s="528"/>
      <c r="F15" s="529" t="s">
        <v>943</v>
      </c>
      <c r="G15" s="530"/>
      <c r="H15" s="764" t="s">
        <v>551</v>
      </c>
      <c r="I15" s="3997" t="s">
        <v>554</v>
      </c>
      <c r="J15" s="3998"/>
      <c r="K15" s="223"/>
      <c r="L15" s="526"/>
      <c r="N15" s="212">
        <f t="shared" si="0"/>
        <v>12</v>
      </c>
    </row>
    <row r="16" spans="1:16" ht="13.5" customHeight="1" thickTop="1" thickBot="1">
      <c r="A16" s="3906"/>
      <c r="C16" s="759">
        <v>12</v>
      </c>
      <c r="D16" s="525"/>
      <c r="E16" s="528"/>
      <c r="F16" s="529" t="s">
        <v>944</v>
      </c>
      <c r="G16" s="530"/>
      <c r="H16" s="764" t="s">
        <v>551</v>
      </c>
      <c r="I16" s="3997" t="s">
        <v>554</v>
      </c>
      <c r="J16" s="3998"/>
      <c r="K16" s="224"/>
      <c r="L16" s="526"/>
      <c r="N16" s="212">
        <f t="shared" si="0"/>
        <v>13</v>
      </c>
    </row>
    <row r="17" spans="1:14" ht="13.5" customHeight="1" thickTop="1" thickBot="1">
      <c r="A17" s="3906"/>
      <c r="C17" s="759">
        <v>13</v>
      </c>
      <c r="D17" s="525"/>
      <c r="E17" s="528"/>
      <c r="F17" s="529" t="s">
        <v>945</v>
      </c>
      <c r="G17" s="530"/>
      <c r="H17" s="764" t="s">
        <v>551</v>
      </c>
      <c r="I17" s="3997" t="s">
        <v>554</v>
      </c>
      <c r="J17" s="3998"/>
      <c r="K17" s="225"/>
      <c r="L17" s="526"/>
      <c r="N17" s="212">
        <f t="shared" si="0"/>
        <v>14</v>
      </c>
    </row>
    <row r="18" spans="1:14" ht="13.5" customHeight="1" thickTop="1" thickBot="1">
      <c r="A18" s="3906"/>
      <c r="C18" s="759">
        <v>14</v>
      </c>
      <c r="D18" s="525"/>
      <c r="E18" s="528"/>
      <c r="F18" s="529" t="s">
        <v>946</v>
      </c>
      <c r="G18" s="530"/>
      <c r="H18" s="764" t="s">
        <v>551</v>
      </c>
      <c r="I18" s="3997" t="s">
        <v>554</v>
      </c>
      <c r="J18" s="3998"/>
      <c r="K18" s="226"/>
      <c r="L18" s="526"/>
      <c r="N18" s="212">
        <f t="shared" si="0"/>
        <v>15</v>
      </c>
    </row>
    <row r="19" spans="1:14" ht="13.5" customHeight="1" thickTop="1" thickBot="1">
      <c r="A19" s="3906"/>
      <c r="C19" s="759">
        <v>15</v>
      </c>
      <c r="D19" s="525"/>
      <c r="E19" s="528"/>
      <c r="F19" s="529" t="s">
        <v>947</v>
      </c>
      <c r="G19" s="530"/>
      <c r="H19" s="764" t="s">
        <v>551</v>
      </c>
      <c r="I19" s="3997" t="s">
        <v>554</v>
      </c>
      <c r="J19" s="3998"/>
      <c r="K19" s="227"/>
      <c r="L19" s="526"/>
      <c r="N19" s="212">
        <f t="shared" si="0"/>
        <v>16</v>
      </c>
    </row>
    <row r="20" spans="1:14" ht="13.5" customHeight="1" thickTop="1" thickBot="1">
      <c r="A20" s="3906"/>
      <c r="C20" s="759">
        <v>16</v>
      </c>
      <c r="D20" s="525"/>
      <c r="E20" s="528"/>
      <c r="F20" s="545" t="s">
        <v>985</v>
      </c>
      <c r="G20" s="530"/>
      <c r="H20" s="764" t="s">
        <v>551</v>
      </c>
      <c r="I20" s="3997" t="s">
        <v>554</v>
      </c>
      <c r="J20" s="3998"/>
      <c r="K20" s="228"/>
      <c r="L20" s="526"/>
      <c r="N20" s="212">
        <f t="shared" si="0"/>
        <v>17</v>
      </c>
    </row>
    <row r="21" spans="1:14" ht="13.5" customHeight="1" thickTop="1" thickBot="1">
      <c r="A21" s="3906"/>
      <c r="C21" s="759">
        <v>17</v>
      </c>
      <c r="D21" s="525"/>
      <c r="E21" s="528"/>
      <c r="F21" s="529" t="s">
        <v>566</v>
      </c>
      <c r="G21" s="530"/>
      <c r="H21" s="526"/>
      <c r="I21" s="3997" t="s">
        <v>554</v>
      </c>
      <c r="J21" s="3998"/>
      <c r="K21" s="229"/>
      <c r="L21" s="526"/>
      <c r="N21" s="212">
        <f t="shared" si="0"/>
        <v>18</v>
      </c>
    </row>
    <row r="22" spans="1:14" ht="13.5" customHeight="1" thickTop="1" thickBot="1">
      <c r="A22" s="3906"/>
      <c r="C22" s="759">
        <v>18</v>
      </c>
      <c r="D22" s="525"/>
      <c r="E22" s="528"/>
      <c r="F22" s="529" t="s">
        <v>984</v>
      </c>
      <c r="G22" s="530"/>
      <c r="H22" s="526"/>
      <c r="I22" s="3997" t="s">
        <v>554</v>
      </c>
      <c r="J22" s="3998"/>
      <c r="K22" s="523"/>
      <c r="L22" s="526"/>
      <c r="N22" s="212">
        <f>IF(F22="",N21,N21+1)</f>
        <v>19</v>
      </c>
    </row>
    <row r="23" spans="1:14" ht="12" customHeight="1" thickTop="1">
      <c r="A23" s="3906"/>
      <c r="C23" s="758"/>
      <c r="D23" s="524"/>
      <c r="E23" s="524"/>
      <c r="F23" s="524"/>
      <c r="G23" s="524"/>
      <c r="H23" s="524"/>
      <c r="I23" s="524"/>
      <c r="J23" s="532"/>
      <c r="K23" s="532"/>
      <c r="L23" s="532"/>
      <c r="N23" s="212">
        <f>IF(D23="",N22,N22+1)</f>
        <v>19</v>
      </c>
    </row>
    <row r="24" spans="1:14" ht="12" customHeight="1">
      <c r="A24" s="3906"/>
      <c r="C24" s="758"/>
      <c r="D24" s="524"/>
      <c r="E24" s="524"/>
      <c r="F24" s="524"/>
      <c r="G24" s="524"/>
      <c r="H24" s="524"/>
      <c r="I24" s="524"/>
      <c r="J24" s="532"/>
      <c r="K24" s="532"/>
      <c r="L24" s="532"/>
      <c r="N24" s="212">
        <f>IF(D24="",N23,N23+1)</f>
        <v>19</v>
      </c>
    </row>
    <row r="25" spans="1:14" ht="12" customHeight="1">
      <c r="A25" s="3906"/>
      <c r="C25" s="758"/>
      <c r="D25" s="533"/>
      <c r="E25" s="533"/>
      <c r="F25" s="534"/>
      <c r="G25" s="533"/>
      <c r="H25" s="533"/>
      <c r="I25" s="533"/>
      <c r="J25" s="532"/>
      <c r="K25" s="532"/>
      <c r="L25" s="532"/>
      <c r="N25" s="212">
        <f t="shared" ref="N25:N33" si="1">IF(D25="",N24,N24+1)</f>
        <v>19</v>
      </c>
    </row>
    <row r="26" spans="1:14" ht="12" customHeight="1">
      <c r="C26" s="758"/>
      <c r="D26" s="524"/>
      <c r="E26" s="524"/>
      <c r="F26" s="524"/>
      <c r="G26" s="524"/>
      <c r="H26" s="524"/>
      <c r="I26" s="524"/>
      <c r="J26" s="532"/>
      <c r="K26" s="532"/>
      <c r="L26" s="532"/>
      <c r="N26" s="212">
        <f t="shared" si="1"/>
        <v>19</v>
      </c>
    </row>
    <row r="27" spans="1:14" ht="12" customHeight="1">
      <c r="C27" s="231"/>
      <c r="D27" s="3979"/>
      <c r="E27" s="3979"/>
      <c r="F27" s="3979"/>
      <c r="G27" s="3979"/>
      <c r="H27" s="3979"/>
      <c r="I27" s="3979"/>
      <c r="J27" s="232"/>
      <c r="K27" s="232"/>
      <c r="L27" s="232"/>
      <c r="N27" s="212">
        <f t="shared" si="1"/>
        <v>19</v>
      </c>
    </row>
    <row r="28" spans="1:14" ht="12" customHeight="1">
      <c r="A28" s="3906"/>
      <c r="C28" s="231"/>
      <c r="D28" s="3979"/>
      <c r="E28" s="3979"/>
      <c r="F28" s="3979"/>
      <c r="G28" s="3979"/>
      <c r="H28" s="3979"/>
      <c r="I28" s="3979"/>
      <c r="J28" s="232"/>
      <c r="K28" s="232"/>
      <c r="L28" s="232"/>
      <c r="N28" s="212">
        <f>IF(D28="",N27,N27+1)</f>
        <v>19</v>
      </c>
    </row>
    <row r="29" spans="1:14" ht="15" customHeight="1">
      <c r="A29" s="3906"/>
      <c r="C29" s="760"/>
      <c r="D29" s="3947" t="s">
        <v>951</v>
      </c>
      <c r="E29" s="3947"/>
      <c r="F29" s="3947"/>
      <c r="G29" s="3947"/>
      <c r="H29" s="3947"/>
      <c r="I29" s="3947"/>
      <c r="J29" s="232"/>
      <c r="K29" s="232"/>
      <c r="L29" s="231"/>
      <c r="N29" s="212">
        <f t="shared" si="1"/>
        <v>20</v>
      </c>
    </row>
    <row r="30" spans="1:14" ht="12" customHeight="1" thickBot="1">
      <c r="A30" s="3906"/>
      <c r="C30" s="761" t="s">
        <v>567</v>
      </c>
      <c r="D30" s="3960" t="s">
        <v>568</v>
      </c>
      <c r="E30" s="3960"/>
      <c r="F30" s="3960"/>
      <c r="G30" s="3960"/>
      <c r="H30" s="3960"/>
      <c r="I30" s="3960"/>
      <c r="J30" s="232"/>
      <c r="K30" s="232"/>
      <c r="L30" s="231"/>
      <c r="N30" s="212">
        <f t="shared" si="1"/>
        <v>21</v>
      </c>
    </row>
    <row r="31" spans="1:14" ht="15" customHeight="1" thickTop="1">
      <c r="A31" s="3906"/>
      <c r="C31" s="231"/>
      <c r="D31" s="3994" t="s">
        <v>954</v>
      </c>
      <c r="E31" s="3995"/>
      <c r="F31" s="3995"/>
      <c r="G31" s="3996"/>
      <c r="H31" s="232"/>
      <c r="I31" s="232"/>
      <c r="J31" s="232"/>
      <c r="K31" s="232"/>
      <c r="L31" s="231"/>
      <c r="M31" s="212"/>
      <c r="N31" s="212">
        <f t="shared" si="1"/>
        <v>22</v>
      </c>
    </row>
    <row r="32" spans="1:14" ht="15" customHeight="1">
      <c r="A32" s="3906"/>
      <c r="C32" s="231"/>
      <c r="D32" s="3986" t="s">
        <v>955</v>
      </c>
      <c r="E32" s="3987"/>
      <c r="F32" s="3987"/>
      <c r="G32" s="3988"/>
      <c r="H32" s="232"/>
      <c r="I32" s="232"/>
      <c r="J32" s="232"/>
      <c r="K32" s="232"/>
      <c r="L32" s="231"/>
      <c r="M32" s="212"/>
      <c r="N32" s="212">
        <f t="shared" si="1"/>
        <v>23</v>
      </c>
    </row>
    <row r="33" spans="1:14" ht="15" customHeight="1">
      <c r="A33" s="3906"/>
      <c r="C33" s="231"/>
      <c r="D33" s="3986" t="s">
        <v>956</v>
      </c>
      <c r="E33" s="3987"/>
      <c r="F33" s="3987"/>
      <c r="G33" s="3988"/>
      <c r="H33" s="232"/>
      <c r="I33" s="232"/>
      <c r="J33" s="232"/>
      <c r="K33" s="232"/>
      <c r="L33" s="231"/>
      <c r="M33" s="212"/>
      <c r="N33" s="212">
        <f t="shared" si="1"/>
        <v>24</v>
      </c>
    </row>
    <row r="34" spans="1:14" ht="15" customHeight="1">
      <c r="A34" s="3906"/>
      <c r="C34" s="231"/>
      <c r="D34" s="3986" t="s">
        <v>957</v>
      </c>
      <c r="E34" s="3987"/>
      <c r="F34" s="3987"/>
      <c r="G34" s="3988"/>
      <c r="H34" s="232"/>
      <c r="I34" s="232"/>
      <c r="J34" s="232"/>
      <c r="K34" s="232"/>
      <c r="L34" s="231"/>
      <c r="M34" s="212"/>
      <c r="N34" s="212">
        <f>IF(D34="",N33,N33+1)</f>
        <v>25</v>
      </c>
    </row>
    <row r="35" spans="1:14" ht="15" customHeight="1" thickBot="1">
      <c r="A35" s="3906"/>
      <c r="C35" s="231"/>
      <c r="D35" s="3986" t="s">
        <v>958</v>
      </c>
      <c r="E35" s="3987"/>
      <c r="F35" s="3987"/>
      <c r="G35" s="3988"/>
      <c r="H35" s="232"/>
      <c r="I35" s="232"/>
      <c r="J35" s="232"/>
      <c r="K35" s="232"/>
      <c r="L35" s="231"/>
      <c r="M35" s="212"/>
      <c r="N35" s="212">
        <f>IF(D35="",N34,N34+1)</f>
        <v>26</v>
      </c>
    </row>
    <row r="36" spans="1:14" ht="15" customHeight="1" thickBot="1">
      <c r="A36" s="3906"/>
      <c r="C36" s="231"/>
      <c r="D36" s="3989" t="s">
        <v>959</v>
      </c>
      <c r="E36" s="3990"/>
      <c r="F36" s="3987" t="s">
        <v>569</v>
      </c>
      <c r="G36" s="3988"/>
      <c r="H36" s="232"/>
      <c r="I36" s="232"/>
      <c r="J36" s="232"/>
      <c r="K36" s="232"/>
      <c r="L36" s="231"/>
      <c r="M36" s="212"/>
      <c r="N36" s="212">
        <f>IF(D36="",N35,N35+1)</f>
        <v>27</v>
      </c>
    </row>
    <row r="37" spans="1:14" ht="15" customHeight="1" thickBot="1">
      <c r="A37" s="3906"/>
      <c r="C37" s="231"/>
      <c r="D37" s="3991" t="s">
        <v>960</v>
      </c>
      <c r="E37" s="3992"/>
      <c r="F37" s="3992"/>
      <c r="G37" s="3993"/>
      <c r="H37" s="232"/>
      <c r="I37" s="232"/>
      <c r="J37" s="232"/>
      <c r="K37" s="232"/>
      <c r="L37" s="231"/>
      <c r="M37" s="212"/>
      <c r="N37" s="212">
        <f>IF(D37="",N36,N36+1)</f>
        <v>28</v>
      </c>
    </row>
    <row r="38" spans="1:14" ht="12" customHeight="1" thickTop="1" thickBot="1">
      <c r="A38" s="3906"/>
      <c r="B38" s="3999"/>
      <c r="C38" s="231"/>
      <c r="D38" s="3979"/>
      <c r="E38" s="3979"/>
      <c r="F38" s="3979"/>
      <c r="G38" s="3979"/>
      <c r="H38" s="3979"/>
      <c r="I38" s="3979"/>
      <c r="J38" s="232"/>
      <c r="K38" s="232"/>
      <c r="L38" s="231"/>
      <c r="M38" s="212"/>
      <c r="N38" s="212">
        <f>IF(D38="",N37,N37+1)</f>
        <v>28</v>
      </c>
    </row>
    <row r="39" spans="1:14" ht="12" customHeight="1" thickBot="1">
      <c r="A39" s="3906"/>
      <c r="B39" s="3999"/>
      <c r="C39" s="761" t="s">
        <v>567</v>
      </c>
      <c r="D39" s="3980" t="s">
        <v>1979</v>
      </c>
      <c r="E39" s="3980"/>
      <c r="F39" s="3980"/>
      <c r="G39" s="3980"/>
      <c r="H39" s="3980"/>
      <c r="I39" s="3980"/>
      <c r="J39" s="232"/>
      <c r="K39" s="194" t="s">
        <v>570</v>
      </c>
      <c r="L39" s="231"/>
      <c r="N39" s="212">
        <f t="shared" ref="N39:N72" si="2">IF(D39="",N38,N38+1)</f>
        <v>29</v>
      </c>
    </row>
    <row r="40" spans="1:14" ht="12" customHeight="1" thickBot="1">
      <c r="A40" s="3906"/>
      <c r="B40" s="3999"/>
      <c r="C40" s="231"/>
      <c r="D40" s="3983" t="s">
        <v>571</v>
      </c>
      <c r="E40" s="3983"/>
      <c r="F40" s="3983"/>
      <c r="G40" s="3983"/>
      <c r="H40" s="3983"/>
      <c r="I40" s="3983"/>
      <c r="J40" s="232"/>
      <c r="K40" s="194" t="s">
        <v>572</v>
      </c>
      <c r="L40" s="231"/>
      <c r="N40" s="212">
        <f t="shared" si="2"/>
        <v>30</v>
      </c>
    </row>
    <row r="41" spans="1:14" ht="12" customHeight="1" thickBot="1">
      <c r="A41" s="3906"/>
      <c r="B41" s="3999"/>
      <c r="C41" s="231"/>
      <c r="D41" s="3984" t="s">
        <v>1116</v>
      </c>
      <c r="E41" s="3984"/>
      <c r="F41" s="3984"/>
      <c r="G41" s="3984"/>
      <c r="H41" s="3984"/>
      <c r="I41" s="3984"/>
      <c r="J41" s="232"/>
      <c r="K41" s="194" t="s">
        <v>573</v>
      </c>
      <c r="L41" s="231"/>
      <c r="N41" s="212">
        <f t="shared" si="2"/>
        <v>31</v>
      </c>
    </row>
    <row r="42" spans="1:14" ht="12" customHeight="1" thickBot="1">
      <c r="A42" s="3906"/>
      <c r="B42" s="3999"/>
      <c r="C42" s="231"/>
      <c r="D42" s="3917" t="s">
        <v>1117</v>
      </c>
      <c r="E42" s="3917"/>
      <c r="F42" s="3917"/>
      <c r="G42" s="3917"/>
      <c r="H42" s="3917"/>
      <c r="I42" s="3917"/>
      <c r="J42" s="232"/>
      <c r="K42" s="194" t="s">
        <v>574</v>
      </c>
      <c r="L42" s="231"/>
      <c r="N42" s="212">
        <f t="shared" si="2"/>
        <v>32</v>
      </c>
    </row>
    <row r="43" spans="1:14" ht="12" customHeight="1" thickBot="1">
      <c r="A43" s="3906"/>
      <c r="B43" s="3999"/>
      <c r="C43" s="231"/>
      <c r="D43" s="3979"/>
      <c r="E43" s="3979"/>
      <c r="F43" s="3979"/>
      <c r="G43" s="3979"/>
      <c r="H43" s="3979"/>
      <c r="I43" s="3979"/>
      <c r="J43" s="232"/>
      <c r="K43" s="232"/>
      <c r="L43" s="231"/>
      <c r="N43" s="212">
        <f t="shared" si="2"/>
        <v>32</v>
      </c>
    </row>
    <row r="44" spans="1:14" ht="12" customHeight="1" thickBot="1">
      <c r="A44" s="3906"/>
      <c r="B44" s="3999"/>
      <c r="C44" s="231"/>
      <c r="D44" s="3968" t="s">
        <v>575</v>
      </c>
      <c r="E44" s="3968"/>
      <c r="F44" s="3968"/>
      <c r="G44" s="3968"/>
      <c r="H44" s="3968"/>
      <c r="I44" s="3968"/>
      <c r="J44" s="232"/>
      <c r="K44" s="194" t="s">
        <v>576</v>
      </c>
      <c r="L44" s="231"/>
      <c r="N44" s="212">
        <f t="shared" si="2"/>
        <v>33</v>
      </c>
    </row>
    <row r="45" spans="1:14" ht="12" customHeight="1" thickBot="1">
      <c r="A45" s="3906"/>
      <c r="B45" s="3999"/>
      <c r="C45" s="231"/>
      <c r="D45" s="3985" t="s">
        <v>1114</v>
      </c>
      <c r="E45" s="3985"/>
      <c r="F45" s="3985"/>
      <c r="G45" s="3985"/>
      <c r="H45" s="3985"/>
      <c r="I45" s="3985"/>
      <c r="J45" s="232"/>
      <c r="K45" s="195" t="s">
        <v>551</v>
      </c>
      <c r="L45" s="231"/>
      <c r="N45" s="212">
        <f t="shared" si="2"/>
        <v>34</v>
      </c>
    </row>
    <row r="46" spans="1:14" ht="12" customHeight="1">
      <c r="A46" s="3906"/>
      <c r="B46" s="3999"/>
      <c r="C46" s="231"/>
      <c r="D46" s="3985" t="s">
        <v>1115</v>
      </c>
      <c r="E46" s="3985"/>
      <c r="F46" s="3985"/>
      <c r="G46" s="3985"/>
      <c r="H46" s="3985"/>
      <c r="I46" s="3985"/>
      <c r="J46" s="232"/>
      <c r="K46" s="232"/>
      <c r="L46" s="231"/>
      <c r="N46" s="212">
        <f t="shared" si="2"/>
        <v>35</v>
      </c>
    </row>
    <row r="47" spans="1:14" ht="12" customHeight="1">
      <c r="A47" s="3906"/>
      <c r="B47" s="3999"/>
      <c r="C47" s="231"/>
      <c r="D47" s="3985" t="s">
        <v>1102</v>
      </c>
      <c r="E47" s="3985"/>
      <c r="F47" s="3985"/>
      <c r="G47" s="3985"/>
      <c r="H47" s="3985"/>
      <c r="I47" s="3985"/>
      <c r="J47" s="232"/>
      <c r="K47" s="232"/>
      <c r="L47" s="231"/>
      <c r="N47" s="212">
        <f t="shared" si="2"/>
        <v>36</v>
      </c>
    </row>
    <row r="48" spans="1:14" ht="12" customHeight="1">
      <c r="A48" s="3906"/>
      <c r="B48" s="3999"/>
      <c r="C48" s="231"/>
      <c r="D48" s="3985" t="s">
        <v>2184</v>
      </c>
      <c r="E48" s="3985"/>
      <c r="F48" s="3985"/>
      <c r="G48" s="3985"/>
      <c r="H48" s="3985"/>
      <c r="I48" s="3985"/>
      <c r="J48" s="232"/>
      <c r="K48" s="232"/>
      <c r="L48" s="231"/>
      <c r="N48" s="212">
        <f t="shared" si="2"/>
        <v>37</v>
      </c>
    </row>
    <row r="49" spans="1:14" ht="12" customHeight="1">
      <c r="A49" s="3906"/>
      <c r="B49" s="3999"/>
      <c r="C49" s="231"/>
      <c r="D49" s="3985" t="s">
        <v>2069</v>
      </c>
      <c r="E49" s="3985"/>
      <c r="F49" s="3985"/>
      <c r="G49" s="3985"/>
      <c r="H49" s="3985"/>
      <c r="I49" s="3985"/>
      <c r="J49" s="232"/>
      <c r="K49" s="232"/>
      <c r="L49" s="231"/>
      <c r="N49" s="212">
        <f t="shared" si="2"/>
        <v>38</v>
      </c>
    </row>
    <row r="50" spans="1:14" ht="12" customHeight="1">
      <c r="A50" s="3906"/>
      <c r="B50" s="3999"/>
      <c r="C50" s="231"/>
      <c r="D50" s="3985" t="s">
        <v>1103</v>
      </c>
      <c r="E50" s="3985"/>
      <c r="F50" s="3985"/>
      <c r="G50" s="3985"/>
      <c r="H50" s="3985"/>
      <c r="I50" s="3985"/>
      <c r="J50" s="232"/>
      <c r="K50" s="232"/>
      <c r="L50" s="231"/>
      <c r="N50" s="212">
        <f>IF(D50="",N49,N49+1)</f>
        <v>39</v>
      </c>
    </row>
    <row r="51" spans="1:14" ht="12" customHeight="1">
      <c r="B51" s="3999"/>
      <c r="C51" s="231"/>
      <c r="D51" s="3985" t="s">
        <v>1104</v>
      </c>
      <c r="E51" s="3985"/>
      <c r="F51" s="3985"/>
      <c r="G51" s="3985"/>
      <c r="H51" s="3985"/>
      <c r="I51" s="3985"/>
      <c r="J51" s="232"/>
      <c r="K51" s="232"/>
      <c r="L51" s="231"/>
      <c r="N51" s="212">
        <f>IF(D51="",N50,N50+1)</f>
        <v>40</v>
      </c>
    </row>
    <row r="52" spans="1:14" ht="12" customHeight="1">
      <c r="B52" s="3999"/>
      <c r="C52" s="231"/>
      <c r="D52" s="3979"/>
      <c r="E52" s="3979"/>
      <c r="F52" s="3979"/>
      <c r="G52" s="3979"/>
      <c r="H52" s="3979"/>
      <c r="I52" s="3979"/>
      <c r="J52" s="232"/>
      <c r="K52" s="232"/>
      <c r="L52" s="231"/>
      <c r="N52" s="212">
        <f t="shared" si="2"/>
        <v>40</v>
      </c>
    </row>
    <row r="53" spans="1:14" ht="12" customHeight="1">
      <c r="B53" s="3999"/>
      <c r="C53" s="231"/>
      <c r="D53" s="3968" t="s">
        <v>577</v>
      </c>
      <c r="E53" s="3968"/>
      <c r="F53" s="3968"/>
      <c r="G53" s="3968"/>
      <c r="H53" s="3968"/>
      <c r="I53" s="3968"/>
      <c r="J53" s="232"/>
      <c r="K53" s="232"/>
      <c r="L53" s="231"/>
      <c r="N53" s="212">
        <f t="shared" si="2"/>
        <v>41</v>
      </c>
    </row>
    <row r="54" spans="1:14" ht="12" customHeight="1">
      <c r="B54" s="3999"/>
      <c r="C54" s="231"/>
      <c r="D54" s="3901" t="s">
        <v>1105</v>
      </c>
      <c r="E54" s="3901"/>
      <c r="F54" s="3901"/>
      <c r="G54" s="3901"/>
      <c r="H54" s="3901"/>
      <c r="I54" s="3901"/>
      <c r="J54" s="3901"/>
      <c r="K54" s="3901"/>
      <c r="L54" s="231"/>
      <c r="N54" s="212">
        <f t="shared" si="2"/>
        <v>42</v>
      </c>
    </row>
    <row r="55" spans="1:14" ht="12" customHeight="1">
      <c r="B55" s="3999"/>
      <c r="C55" s="231"/>
      <c r="D55" s="3901" t="s">
        <v>1106</v>
      </c>
      <c r="E55" s="3901"/>
      <c r="F55" s="3901"/>
      <c r="G55" s="3901"/>
      <c r="H55" s="3901"/>
      <c r="I55" s="3901"/>
      <c r="J55" s="232"/>
      <c r="K55" s="232"/>
      <c r="L55" s="231"/>
      <c r="N55" s="212">
        <f t="shared" si="2"/>
        <v>43</v>
      </c>
    </row>
    <row r="56" spans="1:14" ht="12" customHeight="1">
      <c r="B56" s="3999"/>
      <c r="C56" s="231"/>
      <c r="D56" s="3979"/>
      <c r="E56" s="3979"/>
      <c r="F56" s="3979"/>
      <c r="G56" s="3979"/>
      <c r="H56" s="3979"/>
      <c r="I56" s="3979"/>
      <c r="J56" s="232"/>
      <c r="K56" s="232"/>
      <c r="L56" s="231"/>
      <c r="N56" s="212">
        <f t="shared" si="2"/>
        <v>43</v>
      </c>
    </row>
    <row r="57" spans="1:14" ht="12" customHeight="1">
      <c r="B57" s="3999"/>
      <c r="C57" s="231"/>
      <c r="D57" s="3968" t="s">
        <v>578</v>
      </c>
      <c r="E57" s="3968"/>
      <c r="F57" s="3968"/>
      <c r="G57" s="3968"/>
      <c r="H57" s="3968"/>
      <c r="I57" s="3968"/>
      <c r="J57" s="232"/>
      <c r="K57" s="232"/>
      <c r="L57" s="231"/>
      <c r="N57" s="212">
        <f t="shared" si="2"/>
        <v>44</v>
      </c>
    </row>
    <row r="58" spans="1:14" ht="11.25" customHeight="1">
      <c r="B58" s="3999"/>
      <c r="C58" s="231"/>
      <c r="D58" s="3901" t="s">
        <v>1094</v>
      </c>
      <c r="E58" s="3901"/>
      <c r="F58" s="3901"/>
      <c r="G58" s="3901"/>
      <c r="H58" s="3901"/>
      <c r="I58" s="3901"/>
      <c r="J58" s="232"/>
      <c r="K58" s="232"/>
      <c r="L58" s="231"/>
      <c r="N58" s="212">
        <f t="shared" si="2"/>
        <v>45</v>
      </c>
    </row>
    <row r="59" spans="1:14" ht="12" customHeight="1">
      <c r="B59" s="3999"/>
      <c r="C59" s="231"/>
      <c r="D59" s="3979"/>
      <c r="E59" s="3979"/>
      <c r="F59" s="3979"/>
      <c r="G59" s="3979"/>
      <c r="H59" s="3979"/>
      <c r="I59" s="3979"/>
      <c r="J59" s="232"/>
      <c r="K59" s="232"/>
      <c r="L59" s="231"/>
      <c r="N59" s="212">
        <f t="shared" si="2"/>
        <v>45</v>
      </c>
    </row>
    <row r="60" spans="1:14" ht="12" customHeight="1">
      <c r="B60" s="3999"/>
      <c r="C60" s="231"/>
      <c r="D60" s="3968" t="s">
        <v>579</v>
      </c>
      <c r="E60" s="3968"/>
      <c r="F60" s="3968"/>
      <c r="G60" s="3968"/>
      <c r="H60" s="3968"/>
      <c r="I60" s="3968"/>
      <c r="J60" s="232"/>
      <c r="K60" s="232"/>
      <c r="L60" s="231"/>
      <c r="N60" s="212">
        <f t="shared" si="2"/>
        <v>46</v>
      </c>
    </row>
    <row r="61" spans="1:14" ht="12" customHeight="1">
      <c r="B61" s="3999"/>
      <c r="C61" s="231"/>
      <c r="D61" s="3901" t="s">
        <v>1095</v>
      </c>
      <c r="E61" s="3901"/>
      <c r="F61" s="3901"/>
      <c r="G61" s="3901"/>
      <c r="H61" s="3901"/>
      <c r="I61" s="3901"/>
      <c r="J61" s="232"/>
      <c r="K61" s="232"/>
      <c r="L61" s="231"/>
      <c r="N61" s="212">
        <f t="shared" si="2"/>
        <v>47</v>
      </c>
    </row>
    <row r="62" spans="1:14" ht="12" customHeight="1">
      <c r="B62" s="3999"/>
      <c r="C62" s="231"/>
      <c r="D62" s="3901" t="s">
        <v>1096</v>
      </c>
      <c r="E62" s="3901"/>
      <c r="F62" s="3901"/>
      <c r="G62" s="3901"/>
      <c r="H62" s="3901"/>
      <c r="I62" s="3901"/>
      <c r="J62" s="232"/>
      <c r="K62" s="232"/>
      <c r="L62" s="231"/>
      <c r="N62" s="212">
        <f t="shared" si="2"/>
        <v>48</v>
      </c>
    </row>
    <row r="63" spans="1:14" ht="12" customHeight="1">
      <c r="B63" s="3999"/>
      <c r="C63" s="231"/>
      <c r="D63" s="3979"/>
      <c r="E63" s="3979"/>
      <c r="F63" s="3979"/>
      <c r="G63" s="3979"/>
      <c r="H63" s="3979"/>
      <c r="I63" s="3979"/>
      <c r="J63" s="232"/>
      <c r="K63" s="232"/>
      <c r="L63" s="231"/>
      <c r="N63" s="212">
        <f t="shared" si="2"/>
        <v>48</v>
      </c>
    </row>
    <row r="64" spans="1:14" ht="12" customHeight="1">
      <c r="B64" s="3999"/>
      <c r="C64" s="231"/>
      <c r="D64" s="755"/>
      <c r="E64" s="755"/>
      <c r="F64" s="1725"/>
      <c r="G64" s="755"/>
      <c r="H64" s="755"/>
      <c r="I64" s="755"/>
      <c r="J64" s="232"/>
      <c r="K64" s="232"/>
      <c r="L64" s="231"/>
      <c r="N64" s="212">
        <f t="shared" si="2"/>
        <v>48</v>
      </c>
    </row>
    <row r="65" spans="2:14" ht="12" customHeight="1">
      <c r="B65" s="3999"/>
      <c r="C65" s="231"/>
      <c r="D65" s="3968" t="s">
        <v>580</v>
      </c>
      <c r="E65" s="3968"/>
      <c r="F65" s="3968"/>
      <c r="G65" s="3968"/>
      <c r="H65" s="3968"/>
      <c r="I65" s="3968"/>
      <c r="J65" s="232"/>
      <c r="K65" s="232"/>
      <c r="L65" s="231"/>
      <c r="N65" s="212">
        <f t="shared" si="2"/>
        <v>49</v>
      </c>
    </row>
    <row r="66" spans="2:14" ht="12" customHeight="1">
      <c r="B66" s="3999"/>
      <c r="C66" s="231"/>
      <c r="D66" s="3901" t="s">
        <v>1107</v>
      </c>
      <c r="E66" s="3901"/>
      <c r="F66" s="3901"/>
      <c r="G66" s="3901"/>
      <c r="H66" s="3901"/>
      <c r="I66" s="3901"/>
      <c r="J66" s="3901"/>
      <c r="K66" s="232"/>
      <c r="L66" s="231"/>
      <c r="N66" s="212">
        <f t="shared" si="2"/>
        <v>50</v>
      </c>
    </row>
    <row r="67" spans="2:14" ht="12" customHeight="1">
      <c r="C67" s="231"/>
      <c r="D67" s="3979"/>
      <c r="E67" s="3979"/>
      <c r="F67" s="3979"/>
      <c r="G67" s="3979"/>
      <c r="H67" s="3979"/>
      <c r="I67" s="3979"/>
      <c r="J67" s="232"/>
      <c r="K67" s="232"/>
      <c r="L67" s="231"/>
      <c r="N67" s="212">
        <f t="shared" si="2"/>
        <v>50</v>
      </c>
    </row>
    <row r="68" spans="2:14" ht="12" customHeight="1">
      <c r="C68" s="231"/>
      <c r="D68" s="3968" t="s">
        <v>581</v>
      </c>
      <c r="E68" s="3968"/>
      <c r="F68" s="3968"/>
      <c r="G68" s="3968"/>
      <c r="H68" s="3968"/>
      <c r="I68" s="3968"/>
      <c r="J68" s="232"/>
      <c r="K68" s="232"/>
      <c r="L68" s="231"/>
      <c r="N68" s="212">
        <f t="shared" si="2"/>
        <v>51</v>
      </c>
    </row>
    <row r="69" spans="2:14" ht="12" customHeight="1">
      <c r="C69" s="231"/>
      <c r="D69" s="3901" t="s">
        <v>1118</v>
      </c>
      <c r="E69" s="3901"/>
      <c r="F69" s="3901"/>
      <c r="G69" s="3901"/>
      <c r="H69" s="3901"/>
      <c r="I69" s="3901"/>
      <c r="J69" s="3901"/>
      <c r="K69" s="3901"/>
      <c r="L69" s="231"/>
      <c r="N69" s="212">
        <f t="shared" si="2"/>
        <v>52</v>
      </c>
    </row>
    <row r="70" spans="2:14" ht="12" customHeight="1">
      <c r="C70" s="231"/>
      <c r="D70" s="3901" t="s">
        <v>1108</v>
      </c>
      <c r="E70" s="3901"/>
      <c r="F70" s="3901"/>
      <c r="G70" s="3901"/>
      <c r="H70" s="3901"/>
      <c r="I70" s="3901"/>
      <c r="J70" s="232"/>
      <c r="K70" s="232"/>
      <c r="L70" s="232"/>
      <c r="N70" s="212">
        <f t="shared" si="2"/>
        <v>53</v>
      </c>
    </row>
    <row r="71" spans="2:14" ht="12" customHeight="1">
      <c r="C71" s="231"/>
      <c r="D71" s="3901" t="s">
        <v>1109</v>
      </c>
      <c r="E71" s="3901"/>
      <c r="F71" s="3901"/>
      <c r="G71" s="3901"/>
      <c r="H71" s="3901"/>
      <c r="I71" s="3901"/>
      <c r="J71" s="232"/>
      <c r="K71" s="232"/>
      <c r="L71" s="232"/>
      <c r="N71" s="212">
        <f t="shared" si="2"/>
        <v>54</v>
      </c>
    </row>
    <row r="72" spans="2:14" ht="12" customHeight="1">
      <c r="C72" s="231"/>
      <c r="D72" s="3901" t="s">
        <v>1110</v>
      </c>
      <c r="E72" s="3901"/>
      <c r="F72" s="3901"/>
      <c r="G72" s="3901"/>
      <c r="H72" s="3901"/>
      <c r="I72" s="3901"/>
      <c r="J72" s="232"/>
      <c r="K72" s="232"/>
      <c r="L72" s="232"/>
      <c r="N72" s="212">
        <f t="shared" si="2"/>
        <v>55</v>
      </c>
    </row>
    <row r="73" spans="2:14" ht="12" customHeight="1">
      <c r="C73" s="231"/>
      <c r="D73" s="3901" t="s">
        <v>1111</v>
      </c>
      <c r="E73" s="3901"/>
      <c r="F73" s="3901"/>
      <c r="G73" s="3901"/>
      <c r="H73" s="3901"/>
      <c r="I73" s="3901"/>
      <c r="J73" s="232"/>
      <c r="K73" s="232"/>
      <c r="L73" s="232"/>
      <c r="N73" s="212">
        <f>IF(D73="",N72,N72+1)</f>
        <v>56</v>
      </c>
    </row>
    <row r="74" spans="2:14" ht="12" customHeight="1">
      <c r="C74" s="231"/>
      <c r="D74" s="3901" t="s">
        <v>1112</v>
      </c>
      <c r="E74" s="3901"/>
      <c r="F74" s="3901"/>
      <c r="G74" s="3901"/>
      <c r="H74" s="3901"/>
      <c r="I74" s="3901"/>
      <c r="J74" s="232"/>
      <c r="K74" s="232"/>
      <c r="L74" s="232"/>
      <c r="N74" s="212">
        <f t="shared" ref="N74:N138" si="3">IF(D74="",N73,N73+1)</f>
        <v>57</v>
      </c>
    </row>
    <row r="75" spans="2:14" ht="12" customHeight="1">
      <c r="C75" s="231"/>
      <c r="D75" s="3901" t="s">
        <v>1113</v>
      </c>
      <c r="E75" s="3901"/>
      <c r="F75" s="3901"/>
      <c r="G75" s="3901"/>
      <c r="H75" s="3901"/>
      <c r="I75" s="3901"/>
      <c r="J75" s="232"/>
      <c r="K75" s="232"/>
      <c r="L75" s="232"/>
      <c r="N75" s="212">
        <f t="shared" si="3"/>
        <v>58</v>
      </c>
    </row>
    <row r="76" spans="2:14" ht="12" customHeight="1">
      <c r="C76" s="231"/>
      <c r="D76" s="3979"/>
      <c r="E76" s="3979"/>
      <c r="F76" s="3979"/>
      <c r="G76" s="3979"/>
      <c r="H76" s="3979"/>
      <c r="I76" s="3979"/>
      <c r="J76" s="232"/>
      <c r="K76" s="232"/>
      <c r="L76" s="232"/>
      <c r="N76" s="212">
        <f t="shared" si="3"/>
        <v>58</v>
      </c>
    </row>
    <row r="77" spans="2:14" ht="12" customHeight="1">
      <c r="C77" s="231"/>
      <c r="D77" s="3968" t="s">
        <v>1097</v>
      </c>
      <c r="E77" s="3968"/>
      <c r="F77" s="3968"/>
      <c r="G77" s="3968"/>
      <c r="H77" s="3968"/>
      <c r="I77" s="3968"/>
      <c r="J77" s="232"/>
      <c r="K77" s="232"/>
      <c r="L77" s="232"/>
      <c r="N77" s="212">
        <f t="shared" si="3"/>
        <v>59</v>
      </c>
    </row>
    <row r="78" spans="2:14" ht="12" customHeight="1">
      <c r="C78" s="231"/>
      <c r="D78" s="3917" t="s">
        <v>582</v>
      </c>
      <c r="E78" s="3917"/>
      <c r="F78" s="3917"/>
      <c r="G78" s="3917"/>
      <c r="H78" s="3917"/>
      <c r="I78" s="3917"/>
      <c r="J78" s="232"/>
      <c r="K78" s="232"/>
      <c r="L78" s="232"/>
      <c r="N78" s="212">
        <f t="shared" si="3"/>
        <v>60</v>
      </c>
    </row>
    <row r="79" spans="2:14" ht="12" customHeight="1">
      <c r="C79" s="231"/>
      <c r="D79" s="3917" t="s">
        <v>583</v>
      </c>
      <c r="E79" s="3917"/>
      <c r="F79" s="3917"/>
      <c r="G79" s="3917"/>
      <c r="H79" s="3917"/>
      <c r="I79" s="3917"/>
      <c r="J79" s="232"/>
      <c r="K79" s="232"/>
      <c r="L79" s="232"/>
      <c r="N79" s="212">
        <f t="shared" si="3"/>
        <v>61</v>
      </c>
    </row>
    <row r="80" spans="2:14" ht="12" customHeight="1">
      <c r="C80" s="231"/>
      <c r="D80" s="3917" t="s">
        <v>1098</v>
      </c>
      <c r="E80" s="3917"/>
      <c r="F80" s="3917"/>
      <c r="G80" s="3917"/>
      <c r="H80" s="3917"/>
      <c r="I80" s="3917"/>
      <c r="J80" s="232"/>
      <c r="K80" s="232"/>
      <c r="L80" s="232"/>
      <c r="N80" s="212">
        <f t="shared" si="3"/>
        <v>62</v>
      </c>
    </row>
    <row r="81" spans="1:14" ht="12" customHeight="1" thickBot="1">
      <c r="A81" s="3906"/>
      <c r="C81" s="231"/>
      <c r="D81" s="3979"/>
      <c r="E81" s="3979"/>
      <c r="F81" s="3979"/>
      <c r="G81" s="3979"/>
      <c r="H81" s="3979"/>
      <c r="I81" s="3979"/>
      <c r="J81" s="232"/>
      <c r="K81" s="232"/>
      <c r="L81" s="232"/>
      <c r="N81" s="212">
        <f>IF(D81="",N80,N80+1)</f>
        <v>62</v>
      </c>
    </row>
    <row r="82" spans="1:14" ht="12" customHeight="1" thickBot="1">
      <c r="A82" s="3906"/>
      <c r="C82" s="762" t="s">
        <v>567</v>
      </c>
      <c r="D82" s="756" t="s">
        <v>584</v>
      </c>
      <c r="E82" s="756"/>
      <c r="F82" s="232"/>
      <c r="G82" s="232"/>
      <c r="H82" s="232"/>
      <c r="I82" s="232"/>
      <c r="J82" s="232"/>
      <c r="K82" s="194" t="s">
        <v>585</v>
      </c>
      <c r="L82" s="232"/>
      <c r="N82" s="212">
        <f t="shared" si="3"/>
        <v>63</v>
      </c>
    </row>
    <row r="83" spans="1:14" ht="12" customHeight="1" thickBot="1">
      <c r="A83" s="3906"/>
      <c r="C83" s="231"/>
      <c r="D83" s="3900" t="s">
        <v>1101</v>
      </c>
      <c r="E83" s="3901"/>
      <c r="F83" s="3901"/>
      <c r="G83" s="3901"/>
      <c r="H83" s="3901"/>
      <c r="I83" s="3901"/>
      <c r="J83" s="232"/>
      <c r="K83" s="195" t="s">
        <v>576</v>
      </c>
      <c r="L83" s="232"/>
      <c r="N83" s="212">
        <f t="shared" si="3"/>
        <v>64</v>
      </c>
    </row>
    <row r="84" spans="1:14" ht="12" customHeight="1">
      <c r="A84" s="3906"/>
      <c r="C84" s="231"/>
      <c r="D84" s="3901" t="s">
        <v>1100</v>
      </c>
      <c r="E84" s="3901"/>
      <c r="F84" s="3901"/>
      <c r="G84" s="3901"/>
      <c r="H84" s="3901"/>
      <c r="I84" s="3901"/>
      <c r="J84" s="232"/>
      <c r="K84" s="232"/>
      <c r="L84" s="232"/>
      <c r="N84" s="212">
        <f t="shared" si="3"/>
        <v>65</v>
      </c>
    </row>
    <row r="85" spans="1:14" ht="12" customHeight="1">
      <c r="A85" s="3906"/>
      <c r="C85" s="231"/>
      <c r="D85" s="3901" t="s">
        <v>1099</v>
      </c>
      <c r="E85" s="3901"/>
      <c r="F85" s="3901"/>
      <c r="G85" s="3901"/>
      <c r="H85" s="3901"/>
      <c r="I85" s="3901"/>
      <c r="J85" s="232"/>
      <c r="K85" s="232"/>
      <c r="L85" s="232"/>
      <c r="N85" s="212">
        <f t="shared" si="3"/>
        <v>66</v>
      </c>
    </row>
    <row r="86" spans="1:14" ht="12" customHeight="1">
      <c r="A86" s="3906"/>
      <c r="C86" s="231"/>
      <c r="D86" s="3901" t="s">
        <v>1119</v>
      </c>
      <c r="E86" s="3901"/>
      <c r="F86" s="3901"/>
      <c r="G86" s="3901"/>
      <c r="H86" s="3901"/>
      <c r="I86" s="3901"/>
      <c r="J86" s="232"/>
      <c r="K86" s="232"/>
      <c r="L86" s="232"/>
      <c r="N86" s="212">
        <f t="shared" si="3"/>
        <v>67</v>
      </c>
    </row>
    <row r="87" spans="1:14" ht="12" customHeight="1">
      <c r="A87" s="3906"/>
      <c r="C87" s="231"/>
      <c r="D87" s="3979"/>
      <c r="E87" s="3979"/>
      <c r="F87" s="3979"/>
      <c r="G87" s="3979"/>
      <c r="H87" s="3979"/>
      <c r="I87" s="3979"/>
      <c r="J87" s="232"/>
      <c r="K87" s="232"/>
      <c r="L87" s="232"/>
      <c r="N87" s="212">
        <f t="shared" si="3"/>
        <v>67</v>
      </c>
    </row>
    <row r="88" spans="1:14" ht="12" customHeight="1">
      <c r="A88" s="3906"/>
      <c r="C88" s="762"/>
      <c r="D88" s="3967" t="s">
        <v>586</v>
      </c>
      <c r="E88" s="3968"/>
      <c r="F88" s="3968"/>
      <c r="G88" s="3968"/>
      <c r="H88" s="3968"/>
      <c r="I88" s="3968"/>
      <c r="J88" s="232"/>
      <c r="K88" s="232"/>
      <c r="L88" s="232"/>
      <c r="N88" s="212">
        <f t="shared" si="3"/>
        <v>68</v>
      </c>
    </row>
    <row r="89" spans="1:14" ht="12" customHeight="1">
      <c r="A89" s="3906"/>
      <c r="C89" s="231"/>
      <c r="D89" s="3901" t="s">
        <v>1120</v>
      </c>
      <c r="E89" s="3901"/>
      <c r="F89" s="3901"/>
      <c r="G89" s="3901"/>
      <c r="H89" s="3901"/>
      <c r="I89" s="3901"/>
      <c r="J89" s="232"/>
      <c r="K89" s="232"/>
      <c r="L89" s="232"/>
      <c r="N89" s="212">
        <f t="shared" si="3"/>
        <v>69</v>
      </c>
    </row>
    <row r="90" spans="1:14" ht="12" customHeight="1">
      <c r="A90" s="3906"/>
      <c r="C90" s="231"/>
      <c r="D90" s="3901" t="s">
        <v>1121</v>
      </c>
      <c r="E90" s="3901"/>
      <c r="F90" s="3901"/>
      <c r="G90" s="3901"/>
      <c r="H90" s="3901"/>
      <c r="I90" s="3901"/>
      <c r="J90" s="232"/>
      <c r="K90" s="232"/>
      <c r="L90" s="232"/>
      <c r="N90" s="212">
        <f t="shared" si="3"/>
        <v>70</v>
      </c>
    </row>
    <row r="91" spans="1:14" ht="12" customHeight="1">
      <c r="A91" s="3906"/>
      <c r="C91" s="231"/>
      <c r="D91" s="3901" t="s">
        <v>1122</v>
      </c>
      <c r="E91" s="3901"/>
      <c r="F91" s="3901"/>
      <c r="G91" s="3901"/>
      <c r="H91" s="3901"/>
      <c r="I91" s="3901"/>
      <c r="J91" s="232"/>
      <c r="K91" s="232"/>
      <c r="L91" s="232"/>
      <c r="N91" s="212">
        <f t="shared" si="3"/>
        <v>71</v>
      </c>
    </row>
    <row r="92" spans="1:14" ht="12" customHeight="1">
      <c r="A92" s="3906"/>
      <c r="C92" s="231"/>
      <c r="D92" s="3901" t="s">
        <v>1123</v>
      </c>
      <c r="E92" s="3901"/>
      <c r="F92" s="3901"/>
      <c r="G92" s="3901"/>
      <c r="H92" s="3901"/>
      <c r="I92" s="3901"/>
      <c r="J92" s="232"/>
      <c r="K92" s="232"/>
      <c r="L92" s="232"/>
      <c r="N92" s="212">
        <f t="shared" si="3"/>
        <v>72</v>
      </c>
    </row>
    <row r="93" spans="1:14" ht="12" customHeight="1">
      <c r="A93" s="3906"/>
      <c r="C93" s="231"/>
      <c r="D93" s="3949" t="s">
        <v>1124</v>
      </c>
      <c r="E93" s="3949"/>
      <c r="F93" s="3949"/>
      <c r="G93" s="3949"/>
      <c r="H93" s="3949"/>
      <c r="I93" s="3949"/>
      <c r="J93" s="3949"/>
      <c r="K93" s="3949"/>
      <c r="L93" s="232"/>
      <c r="N93" s="212">
        <f t="shared" si="3"/>
        <v>73</v>
      </c>
    </row>
    <row r="94" spans="1:14" ht="12" customHeight="1">
      <c r="A94" s="3906"/>
      <c r="C94" s="231"/>
      <c r="D94" s="3949" t="s">
        <v>1125</v>
      </c>
      <c r="E94" s="3949"/>
      <c r="F94" s="3949"/>
      <c r="G94" s="3949"/>
      <c r="H94" s="3949"/>
      <c r="I94" s="3949"/>
      <c r="J94" s="232"/>
      <c r="K94" s="232"/>
      <c r="L94" s="232"/>
      <c r="N94" s="212">
        <f t="shared" si="3"/>
        <v>74</v>
      </c>
    </row>
    <row r="95" spans="1:14" ht="12" customHeight="1">
      <c r="A95" s="3906"/>
      <c r="C95" s="231"/>
      <c r="D95" s="752"/>
      <c r="E95" s="752"/>
      <c r="F95" s="1723"/>
      <c r="G95" s="752"/>
      <c r="H95" s="752"/>
      <c r="I95" s="752"/>
      <c r="J95" s="232"/>
      <c r="K95" s="232"/>
      <c r="L95" s="232"/>
      <c r="N95" s="212">
        <f t="shared" si="3"/>
        <v>74</v>
      </c>
    </row>
    <row r="96" spans="1:14" ht="12" customHeight="1">
      <c r="A96" s="3906"/>
      <c r="C96" s="231"/>
      <c r="D96" s="3979"/>
      <c r="E96" s="3979"/>
      <c r="F96" s="3979"/>
      <c r="G96" s="3979"/>
      <c r="H96" s="3979"/>
      <c r="I96" s="3979"/>
      <c r="J96" s="232"/>
      <c r="K96" s="232"/>
      <c r="L96" s="232"/>
      <c r="N96" s="212">
        <f>IF(D96="",N94,N94+1)</f>
        <v>74</v>
      </c>
    </row>
    <row r="97" spans="1:14" ht="12" customHeight="1">
      <c r="A97" s="3906"/>
      <c r="C97" s="762"/>
      <c r="D97" s="3967" t="s">
        <v>587</v>
      </c>
      <c r="E97" s="3968"/>
      <c r="F97" s="3968"/>
      <c r="G97" s="3968"/>
      <c r="H97" s="3968"/>
      <c r="I97" s="3968"/>
      <c r="J97" s="232"/>
      <c r="K97" s="232"/>
      <c r="L97" s="232"/>
      <c r="N97" s="212">
        <f t="shared" si="3"/>
        <v>75</v>
      </c>
    </row>
    <row r="98" spans="1:14" ht="12" customHeight="1">
      <c r="A98" s="3906"/>
      <c r="C98" s="231"/>
      <c r="D98" s="3900" t="s">
        <v>1126</v>
      </c>
      <c r="E98" s="3900"/>
      <c r="F98" s="3900"/>
      <c r="G98" s="3900"/>
      <c r="H98" s="3900"/>
      <c r="I98" s="3900"/>
      <c r="J98" s="3900"/>
      <c r="K98" s="3900"/>
      <c r="L98" s="232"/>
      <c r="N98" s="212">
        <f t="shared" si="3"/>
        <v>76</v>
      </c>
    </row>
    <row r="99" spans="1:14" ht="12" customHeight="1">
      <c r="A99" s="3906"/>
      <c r="C99" s="231"/>
      <c r="D99" s="3900" t="s">
        <v>1131</v>
      </c>
      <c r="E99" s="3900"/>
      <c r="F99" s="3900"/>
      <c r="G99" s="3900"/>
      <c r="H99" s="3900"/>
      <c r="I99" s="3900"/>
      <c r="J99" s="3900"/>
      <c r="K99" s="3900"/>
      <c r="L99" s="232"/>
      <c r="N99" s="212">
        <f t="shared" si="3"/>
        <v>77</v>
      </c>
    </row>
    <row r="100" spans="1:14" ht="12" customHeight="1">
      <c r="A100" s="3906"/>
      <c r="C100" s="231"/>
      <c r="D100" s="3900" t="s">
        <v>1127</v>
      </c>
      <c r="E100" s="3900"/>
      <c r="F100" s="3900"/>
      <c r="G100" s="3900"/>
      <c r="H100" s="3900"/>
      <c r="I100" s="3900"/>
      <c r="J100" s="3900"/>
      <c r="K100" s="3900"/>
      <c r="L100" s="232"/>
      <c r="N100" s="212">
        <f t="shared" si="3"/>
        <v>78</v>
      </c>
    </row>
    <row r="101" spans="1:14" ht="12" customHeight="1">
      <c r="A101" s="3906"/>
      <c r="C101" s="231"/>
      <c r="D101" s="3900" t="s">
        <v>1128</v>
      </c>
      <c r="E101" s="3901"/>
      <c r="F101" s="3901"/>
      <c r="G101" s="3901"/>
      <c r="H101" s="3901"/>
      <c r="I101" s="3901"/>
      <c r="J101" s="232"/>
      <c r="K101" s="232"/>
      <c r="L101" s="232"/>
      <c r="N101" s="212">
        <f t="shared" si="3"/>
        <v>79</v>
      </c>
    </row>
    <row r="102" spans="1:14" ht="12" customHeight="1">
      <c r="A102" s="3906"/>
      <c r="C102" s="231"/>
      <c r="D102" s="3979"/>
      <c r="E102" s="3979"/>
      <c r="F102" s="3979"/>
      <c r="G102" s="3979"/>
      <c r="H102" s="3979"/>
      <c r="I102" s="3979"/>
      <c r="J102" s="232"/>
      <c r="K102" s="232"/>
      <c r="L102" s="232"/>
      <c r="N102" s="212">
        <f>IF(D102="",N101,N101+1)</f>
        <v>79</v>
      </c>
    </row>
    <row r="103" spans="1:14" ht="12" customHeight="1">
      <c r="A103" s="3906"/>
      <c r="C103" s="762"/>
      <c r="D103" s="3980" t="s">
        <v>588</v>
      </c>
      <c r="E103" s="3980"/>
      <c r="F103" s="3980"/>
      <c r="G103" s="3980"/>
      <c r="H103" s="3980"/>
      <c r="I103" s="3980"/>
      <c r="J103" s="232"/>
      <c r="K103" s="232"/>
      <c r="L103" s="232"/>
      <c r="N103" s="212">
        <f t="shared" si="3"/>
        <v>80</v>
      </c>
    </row>
    <row r="104" spans="1:14" ht="12" customHeight="1">
      <c r="A104" s="3906"/>
      <c r="C104" s="231"/>
      <c r="D104" s="3900" t="s">
        <v>1129</v>
      </c>
      <c r="E104" s="3900"/>
      <c r="F104" s="3900"/>
      <c r="G104" s="3900"/>
      <c r="H104" s="3900"/>
      <c r="I104" s="3900"/>
      <c r="J104" s="3900"/>
      <c r="K104" s="3900"/>
      <c r="L104" s="232"/>
      <c r="N104" s="212">
        <f t="shared" si="3"/>
        <v>81</v>
      </c>
    </row>
    <row r="105" spans="1:14" ht="12" customHeight="1">
      <c r="A105" s="3906"/>
      <c r="C105" s="231"/>
      <c r="D105" s="3900" t="s">
        <v>1130</v>
      </c>
      <c r="E105" s="3901"/>
      <c r="F105" s="3901"/>
      <c r="G105" s="3901"/>
      <c r="H105" s="3901"/>
      <c r="I105" s="3901"/>
      <c r="J105" s="232"/>
      <c r="K105" s="232"/>
      <c r="L105" s="232"/>
      <c r="N105" s="212">
        <f t="shared" si="3"/>
        <v>82</v>
      </c>
    </row>
    <row r="106" spans="1:14" ht="12" customHeight="1">
      <c r="A106" s="3906"/>
      <c r="C106" s="231"/>
      <c r="D106" s="3979"/>
      <c r="E106" s="3979"/>
      <c r="F106" s="3979"/>
      <c r="G106" s="3979"/>
      <c r="H106" s="3979"/>
      <c r="I106" s="3979"/>
      <c r="J106" s="232"/>
      <c r="K106" s="232"/>
      <c r="L106" s="232"/>
      <c r="N106" s="212">
        <f>IF(D106="",N105,N105+1)</f>
        <v>82</v>
      </c>
    </row>
    <row r="107" spans="1:14" ht="12" customHeight="1">
      <c r="A107" s="3906"/>
      <c r="C107" s="762"/>
      <c r="D107" s="3980" t="s">
        <v>589</v>
      </c>
      <c r="E107" s="3980"/>
      <c r="F107" s="3980"/>
      <c r="G107" s="3980"/>
      <c r="H107" s="3980"/>
      <c r="I107" s="3980"/>
      <c r="J107" s="232"/>
      <c r="K107" s="232"/>
      <c r="L107" s="232"/>
      <c r="N107" s="212">
        <f t="shared" si="3"/>
        <v>83</v>
      </c>
    </row>
    <row r="108" spans="1:14" ht="12" customHeight="1">
      <c r="C108" s="231"/>
      <c r="D108" s="3900" t="s">
        <v>1132</v>
      </c>
      <c r="E108" s="3901"/>
      <c r="F108" s="3901"/>
      <c r="G108" s="3901"/>
      <c r="H108" s="3901"/>
      <c r="I108" s="3901"/>
      <c r="J108" s="232"/>
      <c r="K108" s="232"/>
      <c r="L108" s="232"/>
      <c r="N108" s="212">
        <f t="shared" si="3"/>
        <v>84</v>
      </c>
    </row>
    <row r="109" spans="1:14" ht="12" customHeight="1">
      <c r="C109" s="232"/>
      <c r="D109" s="3900" t="s">
        <v>590</v>
      </c>
      <c r="E109" s="3901"/>
      <c r="F109" s="3901"/>
      <c r="G109" s="3901"/>
      <c r="H109" s="3901"/>
      <c r="I109" s="3901"/>
      <c r="J109" s="232"/>
      <c r="K109" s="232"/>
      <c r="L109" s="232"/>
      <c r="N109" s="212">
        <f t="shared" si="3"/>
        <v>85</v>
      </c>
    </row>
    <row r="110" spans="1:14" ht="12" customHeight="1">
      <c r="C110" s="232"/>
      <c r="D110" s="744"/>
      <c r="E110" s="745"/>
      <c r="F110" s="1719"/>
      <c r="G110" s="745"/>
      <c r="H110" s="745"/>
      <c r="I110" s="745"/>
      <c r="J110" s="232"/>
      <c r="K110" s="232"/>
      <c r="L110" s="232"/>
      <c r="N110" s="212">
        <f t="shared" si="3"/>
        <v>85</v>
      </c>
    </row>
    <row r="111" spans="1:14" ht="12" customHeight="1">
      <c r="C111" s="231"/>
      <c r="D111" s="3979"/>
      <c r="E111" s="3979"/>
      <c r="F111" s="3979"/>
      <c r="G111" s="3979"/>
      <c r="H111" s="3979"/>
      <c r="I111" s="3979"/>
      <c r="J111" s="232"/>
      <c r="K111" s="232"/>
      <c r="L111" s="232"/>
      <c r="N111" s="212">
        <f>IF(D111="",N109,N109+1)</f>
        <v>85</v>
      </c>
    </row>
    <row r="112" spans="1:14" ht="14.25" customHeight="1">
      <c r="C112" s="762"/>
      <c r="D112" s="3980" t="s">
        <v>961</v>
      </c>
      <c r="E112" s="3980"/>
      <c r="F112" s="3980"/>
      <c r="G112" s="3980"/>
      <c r="H112" s="3980"/>
      <c r="I112" s="3980"/>
      <c r="J112" s="232"/>
      <c r="K112" s="232"/>
      <c r="L112" s="232"/>
      <c r="N112" s="212">
        <f t="shared" si="3"/>
        <v>86</v>
      </c>
    </row>
    <row r="113" spans="3:14" ht="12" customHeight="1">
      <c r="C113" s="231"/>
      <c r="D113" s="3900" t="s">
        <v>591</v>
      </c>
      <c r="E113" s="3901"/>
      <c r="F113" s="3901"/>
      <c r="G113" s="3901"/>
      <c r="H113" s="3901"/>
      <c r="I113" s="3901"/>
      <c r="J113" s="232"/>
      <c r="K113" s="232"/>
      <c r="L113" s="232"/>
      <c r="N113" s="212">
        <f t="shared" si="3"/>
        <v>87</v>
      </c>
    </row>
    <row r="114" spans="3:14" ht="12" customHeight="1">
      <c r="C114" s="231"/>
      <c r="D114" s="3900" t="s">
        <v>1133</v>
      </c>
      <c r="E114" s="3900"/>
      <c r="F114" s="3900"/>
      <c r="G114" s="3900"/>
      <c r="H114" s="3900"/>
      <c r="I114" s="3900"/>
      <c r="J114" s="3900"/>
      <c r="K114" s="3900"/>
      <c r="L114" s="232"/>
      <c r="N114" s="212">
        <f t="shared" si="3"/>
        <v>88</v>
      </c>
    </row>
    <row r="115" spans="3:14" ht="12" customHeight="1">
      <c r="C115" s="231"/>
      <c r="D115" s="3900" t="s">
        <v>1134</v>
      </c>
      <c r="E115" s="3901"/>
      <c r="F115" s="3901"/>
      <c r="G115" s="3901"/>
      <c r="H115" s="3901"/>
      <c r="I115" s="3901"/>
      <c r="J115" s="232"/>
      <c r="K115" s="232"/>
      <c r="L115" s="232"/>
      <c r="N115" s="212">
        <f t="shared" si="3"/>
        <v>89</v>
      </c>
    </row>
    <row r="116" spans="3:14" ht="12" customHeight="1">
      <c r="C116" s="231"/>
      <c r="D116" s="3900" t="s">
        <v>1135</v>
      </c>
      <c r="E116" s="3901"/>
      <c r="F116" s="3901"/>
      <c r="G116" s="3901"/>
      <c r="H116" s="3901"/>
      <c r="I116" s="3901"/>
      <c r="J116" s="232"/>
      <c r="K116" s="232"/>
      <c r="L116" s="232"/>
      <c r="N116" s="212">
        <f t="shared" si="3"/>
        <v>90</v>
      </c>
    </row>
    <row r="117" spans="3:14" ht="12" customHeight="1">
      <c r="C117" s="231"/>
      <c r="D117" s="744"/>
      <c r="E117" s="745"/>
      <c r="F117" s="1719"/>
      <c r="G117" s="745"/>
      <c r="H117" s="745"/>
      <c r="I117" s="745"/>
      <c r="J117" s="232"/>
      <c r="K117" s="232"/>
      <c r="L117" s="232"/>
      <c r="N117" s="212">
        <f t="shared" si="3"/>
        <v>90</v>
      </c>
    </row>
    <row r="118" spans="3:14" ht="12" customHeight="1">
      <c r="C118" s="231"/>
      <c r="D118" s="3979"/>
      <c r="E118" s="3979"/>
      <c r="F118" s="3979"/>
      <c r="G118" s="3979"/>
      <c r="H118" s="3979"/>
      <c r="I118" s="3979"/>
      <c r="J118" s="232"/>
      <c r="K118" s="232"/>
      <c r="L118" s="232"/>
      <c r="N118" s="212">
        <f>IF(D118="",N116,N116+1)</f>
        <v>90</v>
      </c>
    </row>
    <row r="119" spans="3:14" ht="13.5" customHeight="1">
      <c r="C119" s="762"/>
      <c r="D119" s="3980" t="s">
        <v>962</v>
      </c>
      <c r="E119" s="3980"/>
      <c r="F119" s="3980"/>
      <c r="G119" s="3980"/>
      <c r="H119" s="3980"/>
      <c r="I119" s="3980"/>
      <c r="J119" s="232"/>
      <c r="K119" s="232"/>
      <c r="L119" s="232"/>
      <c r="N119" s="212">
        <f t="shared" si="3"/>
        <v>91</v>
      </c>
    </row>
    <row r="120" spans="3:14" ht="12" customHeight="1">
      <c r="C120" s="231"/>
      <c r="D120" s="3900" t="s">
        <v>1038</v>
      </c>
      <c r="E120" s="3901"/>
      <c r="F120" s="3901"/>
      <c r="G120" s="3901"/>
      <c r="H120" s="3901"/>
      <c r="I120" s="3901"/>
      <c r="J120" s="232"/>
      <c r="K120" s="232"/>
      <c r="L120" s="232"/>
      <c r="N120" s="212">
        <f t="shared" si="3"/>
        <v>92</v>
      </c>
    </row>
    <row r="121" spans="3:14" ht="12" customHeight="1">
      <c r="C121" s="231"/>
      <c r="D121" s="3900" t="s">
        <v>592</v>
      </c>
      <c r="E121" s="3901"/>
      <c r="F121" s="3901"/>
      <c r="G121" s="3901"/>
      <c r="H121" s="3901"/>
      <c r="I121" s="3901"/>
      <c r="J121" s="232"/>
      <c r="K121" s="232"/>
      <c r="L121" s="232"/>
      <c r="N121" s="212">
        <f t="shared" si="3"/>
        <v>93</v>
      </c>
    </row>
    <row r="122" spans="3:14" ht="12" customHeight="1">
      <c r="C122" s="231"/>
      <c r="D122" s="744"/>
      <c r="E122" s="745"/>
      <c r="F122" s="1719"/>
      <c r="G122" s="745"/>
      <c r="H122" s="745"/>
      <c r="I122" s="745"/>
      <c r="J122" s="232"/>
      <c r="K122" s="232"/>
      <c r="L122" s="232"/>
      <c r="N122" s="212">
        <f t="shared" si="3"/>
        <v>93</v>
      </c>
    </row>
    <row r="123" spans="3:14" ht="12" customHeight="1">
      <c r="C123" s="231"/>
      <c r="D123" s="3979"/>
      <c r="E123" s="3979"/>
      <c r="F123" s="3979"/>
      <c r="G123" s="3979"/>
      <c r="H123" s="3979"/>
      <c r="I123" s="3979"/>
      <c r="J123" s="232"/>
      <c r="K123" s="232"/>
      <c r="L123" s="232"/>
      <c r="N123" s="212">
        <f>IF(D123="",N121,N121+1)</f>
        <v>93</v>
      </c>
    </row>
    <row r="124" spans="3:14" ht="12" customHeight="1">
      <c r="C124" s="762"/>
      <c r="D124" s="3980" t="s">
        <v>593</v>
      </c>
      <c r="E124" s="3980"/>
      <c r="F124" s="3980"/>
      <c r="G124" s="3980"/>
      <c r="H124" s="3980"/>
      <c r="I124" s="3980"/>
      <c r="J124" s="232"/>
      <c r="K124" s="232"/>
      <c r="L124" s="232"/>
      <c r="N124" s="212">
        <f t="shared" si="3"/>
        <v>94</v>
      </c>
    </row>
    <row r="125" spans="3:14" ht="12" customHeight="1">
      <c r="C125" s="231"/>
      <c r="D125" s="3900" t="s">
        <v>594</v>
      </c>
      <c r="E125" s="3901"/>
      <c r="F125" s="3901"/>
      <c r="G125" s="3901"/>
      <c r="H125" s="3901"/>
      <c r="I125" s="3901"/>
      <c r="J125" s="232"/>
      <c r="K125" s="232"/>
      <c r="L125" s="232"/>
      <c r="N125" s="212">
        <f t="shared" si="3"/>
        <v>95</v>
      </c>
    </row>
    <row r="126" spans="3:14" ht="12" customHeight="1">
      <c r="C126" s="231"/>
      <c r="D126" s="3900" t="s">
        <v>1136</v>
      </c>
      <c r="E126" s="3901"/>
      <c r="F126" s="3901"/>
      <c r="G126" s="3901"/>
      <c r="H126" s="3901"/>
      <c r="I126" s="3901"/>
      <c r="J126" s="232"/>
      <c r="K126" s="232"/>
      <c r="L126" s="232"/>
      <c r="N126" s="212">
        <f t="shared" si="3"/>
        <v>96</v>
      </c>
    </row>
    <row r="127" spans="3:14" ht="12" customHeight="1">
      <c r="C127" s="231"/>
      <c r="D127" s="738"/>
      <c r="E127" s="739"/>
      <c r="F127" s="1712"/>
      <c r="G127" s="739"/>
      <c r="H127" s="739"/>
      <c r="I127" s="739"/>
      <c r="J127" s="232"/>
      <c r="K127" s="232"/>
      <c r="L127" s="232"/>
      <c r="N127" s="212"/>
    </row>
    <row r="128" spans="3:14" ht="12" customHeight="1">
      <c r="C128" s="231"/>
      <c r="D128" s="738"/>
      <c r="E128" s="739"/>
      <c r="F128" s="1712"/>
      <c r="G128" s="739"/>
      <c r="H128" s="739"/>
      <c r="I128" s="739"/>
      <c r="J128" s="232"/>
      <c r="K128" s="232"/>
      <c r="L128" s="232"/>
      <c r="N128" s="212"/>
    </row>
    <row r="129" spans="3:14" ht="12" customHeight="1">
      <c r="C129" s="231"/>
      <c r="D129" s="744"/>
      <c r="E129" s="745"/>
      <c r="F129" s="1719"/>
      <c r="G129" s="745"/>
      <c r="H129" s="745"/>
      <c r="I129" s="745"/>
      <c r="J129" s="232"/>
      <c r="K129" s="232"/>
      <c r="L129" s="232"/>
      <c r="N129" s="212">
        <f>IF(D129="",N126,N126+1)</f>
        <v>96</v>
      </c>
    </row>
    <row r="130" spans="3:14" ht="12" customHeight="1">
      <c r="C130" s="231"/>
      <c r="D130" s="3979"/>
      <c r="E130" s="3979"/>
      <c r="F130" s="3979"/>
      <c r="G130" s="3979"/>
      <c r="H130" s="3979"/>
      <c r="I130" s="3979"/>
      <c r="J130" s="232"/>
      <c r="K130" s="232"/>
      <c r="L130" s="232"/>
      <c r="N130" s="212">
        <f>IF(D130="",N126,N126+1)</f>
        <v>96</v>
      </c>
    </row>
    <row r="131" spans="3:14" ht="13.5" customHeight="1">
      <c r="C131" s="762"/>
      <c r="D131" s="3980" t="s">
        <v>963</v>
      </c>
      <c r="E131" s="3980"/>
      <c r="F131" s="3980"/>
      <c r="G131" s="3980"/>
      <c r="H131" s="3980"/>
      <c r="I131" s="3980"/>
      <c r="J131" s="232"/>
      <c r="K131" s="232"/>
      <c r="L131" s="232"/>
      <c r="N131" s="212">
        <f t="shared" si="3"/>
        <v>97</v>
      </c>
    </row>
    <row r="132" spans="3:14" ht="12" customHeight="1">
      <c r="C132" s="231"/>
      <c r="D132" s="3900" t="s">
        <v>1138</v>
      </c>
      <c r="E132" s="3900"/>
      <c r="F132" s="3900"/>
      <c r="G132" s="3900"/>
      <c r="H132" s="3900"/>
      <c r="I132" s="3900"/>
      <c r="J132" s="3900"/>
      <c r="K132" s="3900"/>
      <c r="L132" s="232"/>
      <c r="N132" s="212">
        <f t="shared" si="3"/>
        <v>98</v>
      </c>
    </row>
    <row r="133" spans="3:14" ht="12" customHeight="1">
      <c r="C133" s="232"/>
      <c r="D133" s="3900" t="s">
        <v>1137</v>
      </c>
      <c r="E133" s="3901"/>
      <c r="F133" s="3901"/>
      <c r="G133" s="3901"/>
      <c r="H133" s="3901"/>
      <c r="I133" s="3901"/>
      <c r="J133" s="232"/>
      <c r="K133" s="232"/>
      <c r="L133" s="232"/>
      <c r="N133" s="212">
        <f t="shared" si="3"/>
        <v>99</v>
      </c>
    </row>
    <row r="134" spans="3:14" ht="12" customHeight="1">
      <c r="C134" s="232"/>
      <c r="D134" s="3900" t="s">
        <v>1139</v>
      </c>
      <c r="E134" s="3901"/>
      <c r="F134" s="3901"/>
      <c r="G134" s="3901"/>
      <c r="H134" s="3901"/>
      <c r="I134" s="3901"/>
      <c r="J134" s="232"/>
      <c r="K134" s="232"/>
      <c r="L134" s="232"/>
      <c r="N134" s="212">
        <f t="shared" si="3"/>
        <v>100</v>
      </c>
    </row>
    <row r="135" spans="3:14" ht="12" customHeight="1">
      <c r="C135" s="232"/>
      <c r="D135" s="3900" t="s">
        <v>595</v>
      </c>
      <c r="E135" s="3901"/>
      <c r="F135" s="3901"/>
      <c r="G135" s="3901"/>
      <c r="H135" s="3901"/>
      <c r="I135" s="3901"/>
      <c r="J135" s="232"/>
      <c r="K135" s="232"/>
      <c r="L135" s="232"/>
      <c r="N135" s="212">
        <f t="shared" si="3"/>
        <v>101</v>
      </c>
    </row>
    <row r="136" spans="3:14" ht="12" customHeight="1">
      <c r="C136" s="232"/>
      <c r="D136" s="3900" t="s">
        <v>1140</v>
      </c>
      <c r="E136" s="3900"/>
      <c r="F136" s="3900"/>
      <c r="G136" s="3900"/>
      <c r="H136" s="3900"/>
      <c r="I136" s="3900"/>
      <c r="J136" s="3900"/>
      <c r="K136" s="3900"/>
      <c r="L136" s="232"/>
      <c r="N136" s="212">
        <f t="shared" si="3"/>
        <v>102</v>
      </c>
    </row>
    <row r="137" spans="3:14" ht="12" customHeight="1">
      <c r="C137" s="232"/>
      <c r="D137" s="3981" t="s">
        <v>1141</v>
      </c>
      <c r="E137" s="3981"/>
      <c r="F137" s="3981"/>
      <c r="G137" s="3981"/>
      <c r="H137" s="3981"/>
      <c r="I137" s="3981"/>
      <c r="J137" s="232"/>
      <c r="K137" s="232"/>
      <c r="L137" s="232"/>
      <c r="N137" s="212">
        <f t="shared" si="3"/>
        <v>103</v>
      </c>
    </row>
    <row r="138" spans="3:14" ht="12" customHeight="1">
      <c r="C138" s="232"/>
      <c r="D138" s="535"/>
      <c r="E138" s="535"/>
      <c r="F138" s="535"/>
      <c r="G138" s="535"/>
      <c r="H138" s="535"/>
      <c r="I138" s="535"/>
      <c r="J138" s="232"/>
      <c r="K138" s="232"/>
      <c r="L138" s="232"/>
      <c r="N138" s="212">
        <f t="shared" si="3"/>
        <v>103</v>
      </c>
    </row>
    <row r="139" spans="3:14" ht="12" customHeight="1">
      <c r="C139" s="231"/>
      <c r="D139" s="3979"/>
      <c r="E139" s="3979"/>
      <c r="F139" s="3979"/>
      <c r="G139" s="3979"/>
      <c r="H139" s="3979"/>
      <c r="I139" s="3979"/>
      <c r="J139" s="232"/>
      <c r="K139" s="232"/>
      <c r="L139" s="232"/>
      <c r="N139" s="212">
        <f>IF(D139="",N137,N137+1)</f>
        <v>103</v>
      </c>
    </row>
    <row r="140" spans="3:14" ht="12" customHeight="1">
      <c r="C140" s="762"/>
      <c r="D140" s="3980" t="s">
        <v>596</v>
      </c>
      <c r="E140" s="3980"/>
      <c r="F140" s="3980"/>
      <c r="G140" s="3980"/>
      <c r="H140" s="3980"/>
      <c r="I140" s="3980"/>
      <c r="J140" s="232"/>
      <c r="K140" s="232"/>
      <c r="L140" s="232"/>
      <c r="N140" s="212">
        <f t="shared" ref="N140:N205" si="4">IF(D140="",N139,N139+1)</f>
        <v>104</v>
      </c>
    </row>
    <row r="141" spans="3:14" ht="12" customHeight="1">
      <c r="C141" s="231"/>
      <c r="D141" s="3977" t="s">
        <v>597</v>
      </c>
      <c r="E141" s="3978"/>
      <c r="F141" s="3978"/>
      <c r="G141" s="3978"/>
      <c r="H141" s="3978"/>
      <c r="I141" s="3978"/>
      <c r="J141" s="232"/>
      <c r="K141" s="232"/>
      <c r="L141" s="232"/>
      <c r="N141" s="212">
        <f t="shared" si="4"/>
        <v>105</v>
      </c>
    </row>
    <row r="142" spans="3:14" ht="12" customHeight="1">
      <c r="C142" s="231"/>
      <c r="D142" s="3900" t="s">
        <v>1142</v>
      </c>
      <c r="E142" s="3901"/>
      <c r="F142" s="3901"/>
      <c r="G142" s="3901"/>
      <c r="H142" s="3901"/>
      <c r="I142" s="3901"/>
      <c r="J142" s="232"/>
      <c r="K142" s="232"/>
      <c r="L142" s="232"/>
      <c r="N142" s="212">
        <f t="shared" si="4"/>
        <v>106</v>
      </c>
    </row>
    <row r="143" spans="3:14" ht="12" customHeight="1">
      <c r="C143" s="232"/>
      <c r="D143" s="3900" t="s">
        <v>1143</v>
      </c>
      <c r="E143" s="3901"/>
      <c r="F143" s="3901"/>
      <c r="G143" s="3901"/>
      <c r="H143" s="3901"/>
      <c r="I143" s="3901"/>
      <c r="J143" s="232"/>
      <c r="K143" s="232"/>
      <c r="L143" s="232"/>
      <c r="N143" s="212">
        <f t="shared" si="4"/>
        <v>107</v>
      </c>
    </row>
    <row r="144" spans="3:14" ht="12" customHeight="1">
      <c r="C144" s="232"/>
      <c r="D144" s="3900" t="s">
        <v>1144</v>
      </c>
      <c r="E144" s="3900"/>
      <c r="F144" s="3900"/>
      <c r="G144" s="3900"/>
      <c r="H144" s="3900"/>
      <c r="I144" s="3900"/>
      <c r="J144" s="3900"/>
      <c r="K144" s="3900"/>
      <c r="L144" s="232"/>
      <c r="N144" s="212">
        <f t="shared" si="4"/>
        <v>108</v>
      </c>
    </row>
    <row r="145" spans="3:14" ht="12" customHeight="1">
      <c r="C145" s="232"/>
      <c r="D145" s="3900" t="s">
        <v>598</v>
      </c>
      <c r="E145" s="3901"/>
      <c r="F145" s="3901"/>
      <c r="G145" s="3901"/>
      <c r="H145" s="3901"/>
      <c r="I145" s="3901"/>
      <c r="J145" s="232"/>
      <c r="K145" s="232"/>
      <c r="L145" s="232"/>
      <c r="N145" s="212">
        <f t="shared" si="4"/>
        <v>109</v>
      </c>
    </row>
    <row r="146" spans="3:14" ht="12" customHeight="1">
      <c r="C146" s="232"/>
      <c r="D146" s="3977" t="s">
        <v>599</v>
      </c>
      <c r="E146" s="3978"/>
      <c r="F146" s="3978"/>
      <c r="G146" s="3978"/>
      <c r="H146" s="3978"/>
      <c r="I146" s="3978"/>
      <c r="J146" s="232"/>
      <c r="K146" s="232"/>
      <c r="L146" s="232"/>
      <c r="N146" s="212">
        <f t="shared" si="4"/>
        <v>110</v>
      </c>
    </row>
    <row r="147" spans="3:14" ht="12" customHeight="1">
      <c r="C147" s="231"/>
      <c r="D147" s="3982"/>
      <c r="E147" s="3982"/>
      <c r="F147" s="3982"/>
      <c r="G147" s="3982"/>
      <c r="H147" s="3982"/>
      <c r="I147" s="3982"/>
      <c r="J147" s="232"/>
      <c r="K147" s="232"/>
      <c r="L147" s="232"/>
      <c r="N147" s="212">
        <f t="shared" si="4"/>
        <v>110</v>
      </c>
    </row>
    <row r="148" spans="3:14" ht="12" customHeight="1">
      <c r="C148" s="231"/>
      <c r="D148" s="3977" t="s">
        <v>600</v>
      </c>
      <c r="E148" s="3978"/>
      <c r="F148" s="3978"/>
      <c r="G148" s="3978"/>
      <c r="H148" s="3978"/>
      <c r="I148" s="3978"/>
      <c r="J148" s="232"/>
      <c r="K148" s="232"/>
      <c r="L148" s="232"/>
      <c r="N148" s="212">
        <f t="shared" si="4"/>
        <v>111</v>
      </c>
    </row>
    <row r="149" spans="3:14" ht="12" customHeight="1">
      <c r="C149" s="231"/>
      <c r="D149" s="3900" t="s">
        <v>601</v>
      </c>
      <c r="E149" s="3901"/>
      <c r="F149" s="3901"/>
      <c r="G149" s="3901"/>
      <c r="H149" s="3901"/>
      <c r="I149" s="3901"/>
      <c r="J149" s="232"/>
      <c r="K149" s="232"/>
      <c r="L149" s="232"/>
      <c r="N149" s="212">
        <f t="shared" si="4"/>
        <v>112</v>
      </c>
    </row>
    <row r="150" spans="3:14" ht="12" customHeight="1">
      <c r="C150" s="232"/>
      <c r="D150" s="3900" t="s">
        <v>1145</v>
      </c>
      <c r="E150" s="3901"/>
      <c r="F150" s="3901"/>
      <c r="G150" s="3901"/>
      <c r="H150" s="3901"/>
      <c r="I150" s="3901"/>
      <c r="J150" s="232"/>
      <c r="K150" s="232"/>
      <c r="L150" s="232"/>
      <c r="N150" s="212">
        <f t="shared" si="4"/>
        <v>113</v>
      </c>
    </row>
    <row r="151" spans="3:14" ht="12" customHeight="1">
      <c r="C151" s="232"/>
      <c r="D151" s="3900" t="s">
        <v>1146</v>
      </c>
      <c r="E151" s="3900"/>
      <c r="F151" s="3900"/>
      <c r="G151" s="3900"/>
      <c r="H151" s="3900"/>
      <c r="I151" s="3900"/>
      <c r="J151" s="3900"/>
      <c r="K151" s="3900"/>
      <c r="L151" s="232"/>
      <c r="N151" s="212">
        <f t="shared" si="4"/>
        <v>114</v>
      </c>
    </row>
    <row r="152" spans="3:14" ht="12" customHeight="1">
      <c r="C152" s="232"/>
      <c r="D152" s="3900" t="s">
        <v>1147</v>
      </c>
      <c r="E152" s="3901"/>
      <c r="F152" s="3901"/>
      <c r="G152" s="3901"/>
      <c r="H152" s="3901"/>
      <c r="I152" s="3901"/>
      <c r="J152" s="232"/>
      <c r="K152" s="232"/>
      <c r="L152" s="232"/>
      <c r="N152" s="212">
        <f t="shared" si="4"/>
        <v>115</v>
      </c>
    </row>
    <row r="153" spans="3:14" ht="12" customHeight="1">
      <c r="C153" s="232"/>
      <c r="D153" s="3900" t="s">
        <v>1148</v>
      </c>
      <c r="E153" s="3900"/>
      <c r="F153" s="3900"/>
      <c r="G153" s="3900"/>
      <c r="H153" s="3900"/>
      <c r="I153" s="3900"/>
      <c r="J153" s="3900"/>
      <c r="K153" s="3900"/>
      <c r="L153" s="232"/>
      <c r="N153" s="212">
        <f t="shared" si="4"/>
        <v>116</v>
      </c>
    </row>
    <row r="154" spans="3:14" ht="12" customHeight="1">
      <c r="C154" s="232"/>
      <c r="D154" s="3900" t="s">
        <v>1149</v>
      </c>
      <c r="E154" s="3901"/>
      <c r="F154" s="3901"/>
      <c r="G154" s="3901"/>
      <c r="H154" s="3901"/>
      <c r="I154" s="3901"/>
      <c r="J154" s="232"/>
      <c r="K154" s="232"/>
      <c r="L154" s="232"/>
      <c r="N154" s="212">
        <f>IF(D154="",N153,N153+1)</f>
        <v>117</v>
      </c>
    </row>
    <row r="155" spans="3:14" ht="12" customHeight="1">
      <c r="C155" s="232"/>
      <c r="D155" s="3900" t="s">
        <v>1150</v>
      </c>
      <c r="E155" s="3901"/>
      <c r="F155" s="3901"/>
      <c r="G155" s="3901"/>
      <c r="H155" s="3901"/>
      <c r="I155" s="3901"/>
      <c r="J155" s="232"/>
      <c r="K155" s="232"/>
      <c r="L155" s="232"/>
      <c r="N155" s="212">
        <f t="shared" si="4"/>
        <v>118</v>
      </c>
    </row>
    <row r="156" spans="3:14" ht="12" customHeight="1">
      <c r="C156" s="232"/>
      <c r="D156" s="3900" t="s">
        <v>1151</v>
      </c>
      <c r="E156" s="3900"/>
      <c r="F156" s="3900"/>
      <c r="G156" s="3900"/>
      <c r="H156" s="3900"/>
      <c r="I156" s="3900"/>
      <c r="J156" s="3900"/>
      <c r="K156" s="3900"/>
      <c r="L156" s="232"/>
      <c r="N156" s="212">
        <f t="shared" si="4"/>
        <v>119</v>
      </c>
    </row>
    <row r="157" spans="3:14" ht="12" customHeight="1">
      <c r="C157" s="232"/>
      <c r="D157" s="3900" t="s">
        <v>1152</v>
      </c>
      <c r="E157" s="3900"/>
      <c r="F157" s="3900"/>
      <c r="G157" s="3900"/>
      <c r="H157" s="3900"/>
      <c r="I157" s="3900"/>
      <c r="J157" s="3900"/>
      <c r="K157" s="3900"/>
      <c r="L157" s="232"/>
      <c r="N157" s="212">
        <f t="shared" si="4"/>
        <v>120</v>
      </c>
    </row>
    <row r="158" spans="3:14" ht="12" customHeight="1" thickBot="1">
      <c r="C158" s="232"/>
      <c r="D158" s="3900" t="s">
        <v>1153</v>
      </c>
      <c r="E158" s="3900"/>
      <c r="F158" s="3900"/>
      <c r="G158" s="3900"/>
      <c r="H158" s="3900"/>
      <c r="I158" s="3900"/>
      <c r="J158" s="232"/>
      <c r="K158" s="232"/>
      <c r="L158" s="232"/>
      <c r="N158" s="212">
        <f t="shared" si="4"/>
        <v>121</v>
      </c>
    </row>
    <row r="159" spans="3:14" ht="12" customHeight="1" thickBot="1">
      <c r="C159" s="232"/>
      <c r="D159" s="3977" t="s">
        <v>602</v>
      </c>
      <c r="E159" s="3978"/>
      <c r="F159" s="3978"/>
      <c r="G159" s="3978"/>
      <c r="H159" s="3978"/>
      <c r="I159" s="3978"/>
      <c r="J159" s="232"/>
      <c r="K159" s="194" t="s">
        <v>585</v>
      </c>
      <c r="L159" s="232"/>
      <c r="N159" s="212">
        <f>IF(D159="",N158,N158+1)</f>
        <v>122</v>
      </c>
    </row>
    <row r="160" spans="3:14" ht="12" customHeight="1">
      <c r="C160" s="231"/>
      <c r="D160" s="3979"/>
      <c r="E160" s="3979"/>
      <c r="F160" s="3979"/>
      <c r="G160" s="3979"/>
      <c r="H160" s="3979"/>
      <c r="I160" s="3979"/>
      <c r="J160" s="232"/>
      <c r="K160" s="232"/>
      <c r="L160" s="232"/>
      <c r="N160" s="212">
        <f t="shared" si="4"/>
        <v>122</v>
      </c>
    </row>
    <row r="161" spans="1:14" ht="12" customHeight="1" thickBot="1">
      <c r="A161" s="3906"/>
      <c r="C161" s="231"/>
      <c r="D161" s="3979"/>
      <c r="E161" s="3979"/>
      <c r="F161" s="3979"/>
      <c r="G161" s="3979"/>
      <c r="H161" s="3979"/>
      <c r="I161" s="3979"/>
      <c r="J161" s="232"/>
      <c r="K161" s="232"/>
      <c r="L161" s="232"/>
      <c r="N161" s="212">
        <f>IF(D161="",N160,N160+1)</f>
        <v>122</v>
      </c>
    </row>
    <row r="162" spans="1:14" ht="12" customHeight="1" thickBot="1">
      <c r="A162" s="3906"/>
      <c r="C162" s="762" t="s">
        <v>567</v>
      </c>
      <c r="D162" s="756" t="s">
        <v>603</v>
      </c>
      <c r="E162" s="756"/>
      <c r="F162" s="232"/>
      <c r="G162" s="232"/>
      <c r="H162" s="232"/>
      <c r="I162" s="232"/>
      <c r="J162" s="232"/>
      <c r="K162" s="196" t="s">
        <v>550</v>
      </c>
      <c r="L162" s="232"/>
      <c r="N162" s="212">
        <f t="shared" si="4"/>
        <v>123</v>
      </c>
    </row>
    <row r="163" spans="1:14" ht="12" customHeight="1" thickBot="1">
      <c r="A163" s="3906"/>
      <c r="C163" s="231"/>
      <c r="D163" s="3967" t="s">
        <v>604</v>
      </c>
      <c r="E163" s="3968"/>
      <c r="F163" s="3968"/>
      <c r="G163" s="3968"/>
      <c r="H163" s="3968"/>
      <c r="I163" s="3968"/>
      <c r="J163" s="232"/>
      <c r="K163" s="194" t="s">
        <v>605</v>
      </c>
      <c r="L163" s="232"/>
      <c r="N163" s="212">
        <f t="shared" si="4"/>
        <v>124</v>
      </c>
    </row>
    <row r="164" spans="1:14" ht="12" customHeight="1" thickBot="1">
      <c r="A164" s="3906"/>
      <c r="C164" s="231"/>
      <c r="D164" s="3969" t="s">
        <v>606</v>
      </c>
      <c r="E164" s="3970"/>
      <c r="F164" s="3970"/>
      <c r="G164" s="3970"/>
      <c r="H164" s="3970"/>
      <c r="I164" s="3970"/>
      <c r="J164" s="232"/>
      <c r="K164" s="194" t="s">
        <v>607</v>
      </c>
      <c r="L164" s="232"/>
      <c r="N164" s="212">
        <f t="shared" si="4"/>
        <v>125</v>
      </c>
    </row>
    <row r="165" spans="1:14" ht="12" customHeight="1" thickBot="1">
      <c r="A165" s="3906"/>
      <c r="C165" s="231"/>
      <c r="D165" s="3969" t="s">
        <v>1154</v>
      </c>
      <c r="E165" s="3970"/>
      <c r="F165" s="3970"/>
      <c r="G165" s="3970"/>
      <c r="H165" s="3970"/>
      <c r="I165" s="3970"/>
      <c r="J165" s="232"/>
      <c r="K165" s="194" t="s">
        <v>608</v>
      </c>
      <c r="L165" s="232"/>
      <c r="N165" s="212">
        <f t="shared" si="4"/>
        <v>126</v>
      </c>
    </row>
    <row r="166" spans="1:14" ht="12" customHeight="1" thickBot="1">
      <c r="A166" s="3906"/>
      <c r="C166" s="231"/>
      <c r="D166" s="3969" t="s">
        <v>1155</v>
      </c>
      <c r="E166" s="3970"/>
      <c r="F166" s="3970"/>
      <c r="G166" s="3970"/>
      <c r="H166" s="3970"/>
      <c r="I166" s="3970"/>
      <c r="J166" s="232"/>
      <c r="K166" s="194" t="s">
        <v>609</v>
      </c>
      <c r="L166" s="232"/>
      <c r="N166" s="212">
        <f t="shared" si="4"/>
        <v>127</v>
      </c>
    </row>
    <row r="167" spans="1:14" ht="12" customHeight="1" thickBot="1">
      <c r="A167" s="3906"/>
      <c r="C167" s="231"/>
      <c r="D167" s="3969" t="s">
        <v>1156</v>
      </c>
      <c r="E167" s="3970"/>
      <c r="F167" s="3970"/>
      <c r="G167" s="3970"/>
      <c r="H167" s="3970"/>
      <c r="I167" s="3970"/>
      <c r="J167" s="232"/>
      <c r="K167" s="194" t="s">
        <v>264</v>
      </c>
      <c r="L167" s="232"/>
      <c r="N167" s="212">
        <f t="shared" si="4"/>
        <v>128</v>
      </c>
    </row>
    <row r="168" spans="1:14" ht="12" customHeight="1" thickBot="1">
      <c r="A168" s="3906"/>
      <c r="C168" s="231"/>
      <c r="D168" s="3969" t="s">
        <v>610</v>
      </c>
      <c r="E168" s="3970"/>
      <c r="F168" s="3970"/>
      <c r="G168" s="3970"/>
      <c r="H168" s="3970"/>
      <c r="I168" s="3970"/>
      <c r="J168" s="232"/>
      <c r="K168" s="194" t="s">
        <v>271</v>
      </c>
      <c r="L168" s="232"/>
      <c r="N168" s="212">
        <f t="shared" si="4"/>
        <v>129</v>
      </c>
    </row>
    <row r="169" spans="1:14" ht="12" customHeight="1" thickBot="1">
      <c r="A169" s="3906"/>
      <c r="C169" s="231"/>
      <c r="D169" s="3969" t="s">
        <v>1157</v>
      </c>
      <c r="E169" s="3970"/>
      <c r="F169" s="3970"/>
      <c r="G169" s="3970"/>
      <c r="H169" s="3970"/>
      <c r="I169" s="3970"/>
      <c r="J169" s="232"/>
      <c r="K169" s="194" t="s">
        <v>611</v>
      </c>
      <c r="L169" s="232"/>
      <c r="N169" s="212">
        <f t="shared" si="4"/>
        <v>130</v>
      </c>
    </row>
    <row r="170" spans="1:14" ht="12" customHeight="1" thickBot="1">
      <c r="A170" s="3906"/>
      <c r="C170" s="231"/>
      <c r="D170" s="3969" t="s">
        <v>1158</v>
      </c>
      <c r="E170" s="3970"/>
      <c r="F170" s="3970"/>
      <c r="G170" s="3970"/>
      <c r="H170" s="3970"/>
      <c r="I170" s="3970"/>
      <c r="J170" s="232"/>
      <c r="K170" s="194" t="s">
        <v>612</v>
      </c>
      <c r="L170" s="232"/>
      <c r="N170" s="212">
        <f t="shared" si="4"/>
        <v>131</v>
      </c>
    </row>
    <row r="171" spans="1:14" ht="12" customHeight="1" thickBot="1">
      <c r="A171" s="3906"/>
      <c r="C171" s="231"/>
      <c r="D171" s="3969" t="s">
        <v>1159</v>
      </c>
      <c r="E171" s="3970"/>
      <c r="F171" s="3970"/>
      <c r="G171" s="3970"/>
      <c r="H171" s="3970"/>
      <c r="I171" s="3970"/>
      <c r="J171" s="232"/>
      <c r="K171" s="194" t="s">
        <v>261</v>
      </c>
      <c r="L171" s="232"/>
      <c r="N171" s="212">
        <f t="shared" si="4"/>
        <v>132</v>
      </c>
    </row>
    <row r="172" spans="1:14" ht="12" customHeight="1" thickBot="1">
      <c r="A172" s="3906"/>
      <c r="C172" s="231"/>
      <c r="D172" s="3969" t="s">
        <v>1160</v>
      </c>
      <c r="E172" s="3970"/>
      <c r="F172" s="3970"/>
      <c r="G172" s="3970"/>
      <c r="H172" s="3970"/>
      <c r="I172" s="3970"/>
      <c r="J172" s="232"/>
      <c r="K172" s="232"/>
      <c r="L172" s="232"/>
      <c r="N172" s="212">
        <f t="shared" si="4"/>
        <v>133</v>
      </c>
    </row>
    <row r="173" spans="1:14" ht="12" customHeight="1" thickBot="1">
      <c r="A173" s="3906"/>
      <c r="C173" s="231"/>
      <c r="D173" s="3969" t="s">
        <v>613</v>
      </c>
      <c r="E173" s="3970"/>
      <c r="F173" s="3970"/>
      <c r="G173" s="3970"/>
      <c r="H173" s="3970"/>
      <c r="I173" s="3970"/>
      <c r="J173" s="232"/>
      <c r="K173" s="194" t="s">
        <v>585</v>
      </c>
      <c r="L173" s="232"/>
      <c r="N173" s="212">
        <f t="shared" si="4"/>
        <v>134</v>
      </c>
    </row>
    <row r="174" spans="1:14" ht="12" customHeight="1" thickBot="1">
      <c r="A174" s="3906"/>
      <c r="C174" s="231"/>
      <c r="D174" s="3975" t="s">
        <v>1161</v>
      </c>
      <c r="E174" s="3976"/>
      <c r="F174" s="3976"/>
      <c r="G174" s="3976"/>
      <c r="H174" s="3976"/>
      <c r="I174" s="3976"/>
      <c r="J174" s="232"/>
      <c r="K174" s="195" t="s">
        <v>576</v>
      </c>
      <c r="L174" s="232"/>
      <c r="N174" s="212">
        <f t="shared" si="4"/>
        <v>135</v>
      </c>
    </row>
    <row r="175" spans="1:14" ht="12" customHeight="1">
      <c r="A175" s="3906"/>
      <c r="C175" s="231"/>
      <c r="D175" s="3975" t="s">
        <v>1162</v>
      </c>
      <c r="E175" s="3976"/>
      <c r="F175" s="3976"/>
      <c r="G175" s="3976"/>
      <c r="H175" s="3976"/>
      <c r="I175" s="3976"/>
      <c r="J175" s="232"/>
      <c r="K175" s="232"/>
      <c r="L175" s="232"/>
      <c r="N175" s="212">
        <f t="shared" si="4"/>
        <v>136</v>
      </c>
    </row>
    <row r="176" spans="1:14" ht="12" customHeight="1">
      <c r="A176" s="3906"/>
      <c r="C176" s="231"/>
      <c r="D176" s="3916"/>
      <c r="E176" s="3917"/>
      <c r="F176" s="3917"/>
      <c r="G176" s="3917"/>
      <c r="H176" s="3917"/>
      <c r="I176" s="3917"/>
      <c r="J176" s="232"/>
      <c r="K176" s="232"/>
      <c r="L176" s="232"/>
      <c r="N176" s="212">
        <f t="shared" si="4"/>
        <v>136</v>
      </c>
    </row>
    <row r="177" spans="1:14" ht="12" customHeight="1">
      <c r="A177" s="3906"/>
      <c r="C177" s="231"/>
      <c r="D177" s="3967" t="s">
        <v>614</v>
      </c>
      <c r="E177" s="3968"/>
      <c r="F177" s="3968"/>
      <c r="G177" s="3968"/>
      <c r="H177" s="3968"/>
      <c r="I177" s="3968"/>
      <c r="J177" s="232"/>
      <c r="K177" s="232"/>
      <c r="L177" s="232"/>
      <c r="N177" s="212">
        <f t="shared" si="4"/>
        <v>137</v>
      </c>
    </row>
    <row r="178" spans="1:14" ht="12" customHeight="1">
      <c r="A178" s="3906"/>
      <c r="C178" s="231"/>
      <c r="D178" s="3900" t="s">
        <v>615</v>
      </c>
      <c r="E178" s="3901"/>
      <c r="F178" s="3901"/>
      <c r="G178" s="3901"/>
      <c r="H178" s="3901"/>
      <c r="I178" s="3901"/>
      <c r="J178" s="232"/>
      <c r="K178" s="232"/>
      <c r="L178" s="232"/>
      <c r="N178" s="212">
        <f t="shared" si="4"/>
        <v>138</v>
      </c>
    </row>
    <row r="179" spans="1:14" ht="12" customHeight="1">
      <c r="A179" s="3906"/>
      <c r="C179" s="231"/>
      <c r="D179" s="3900" t="s">
        <v>1163</v>
      </c>
      <c r="E179" s="3901"/>
      <c r="F179" s="3901"/>
      <c r="G179" s="3901"/>
      <c r="H179" s="3901"/>
      <c r="I179" s="3901"/>
      <c r="J179" s="232"/>
      <c r="K179" s="232"/>
      <c r="L179" s="232"/>
      <c r="N179" s="212">
        <f t="shared" si="4"/>
        <v>139</v>
      </c>
    </row>
    <row r="180" spans="1:14" ht="12" customHeight="1">
      <c r="A180" s="3906"/>
      <c r="C180" s="231"/>
      <c r="D180" s="3900" t="s">
        <v>616</v>
      </c>
      <c r="E180" s="3901"/>
      <c r="F180" s="3901"/>
      <c r="G180" s="3901"/>
      <c r="H180" s="3901"/>
      <c r="I180" s="3901"/>
      <c r="J180" s="232"/>
      <c r="K180" s="232"/>
      <c r="L180" s="232"/>
      <c r="N180" s="212">
        <f t="shared" si="4"/>
        <v>140</v>
      </c>
    </row>
    <row r="181" spans="1:14" ht="12" customHeight="1">
      <c r="A181" s="3906"/>
      <c r="C181" s="231"/>
      <c r="D181" s="3900" t="s">
        <v>617</v>
      </c>
      <c r="E181" s="3900"/>
      <c r="F181" s="3900"/>
      <c r="G181" s="3900"/>
      <c r="H181" s="3900"/>
      <c r="I181" s="3900"/>
      <c r="J181" s="3900"/>
      <c r="K181" s="3900"/>
      <c r="L181" s="232"/>
      <c r="N181" s="212">
        <f t="shared" si="4"/>
        <v>141</v>
      </c>
    </row>
    <row r="182" spans="1:14" ht="12" customHeight="1">
      <c r="A182" s="3906"/>
      <c r="C182" s="231"/>
      <c r="D182" s="3900" t="s">
        <v>618</v>
      </c>
      <c r="E182" s="3901"/>
      <c r="F182" s="3901"/>
      <c r="G182" s="3901"/>
      <c r="H182" s="3901"/>
      <c r="I182" s="3901"/>
      <c r="J182" s="232"/>
      <c r="K182" s="232"/>
      <c r="L182" s="232"/>
      <c r="N182" s="212">
        <f t="shared" si="4"/>
        <v>142</v>
      </c>
    </row>
    <row r="183" spans="1:14" ht="12" customHeight="1">
      <c r="A183" s="3906"/>
      <c r="C183" s="231"/>
      <c r="D183" s="3900" t="s">
        <v>1164</v>
      </c>
      <c r="E183" s="3901"/>
      <c r="F183" s="3901"/>
      <c r="G183" s="3901"/>
      <c r="H183" s="3901"/>
      <c r="I183" s="3901"/>
      <c r="J183" s="232"/>
      <c r="K183" s="232"/>
      <c r="L183" s="232"/>
      <c r="N183" s="212">
        <f t="shared" si="4"/>
        <v>143</v>
      </c>
    </row>
    <row r="184" spans="1:14" ht="12" customHeight="1">
      <c r="A184" s="3906"/>
      <c r="C184" s="231"/>
      <c r="D184" s="3900" t="s">
        <v>1165</v>
      </c>
      <c r="E184" s="3901"/>
      <c r="F184" s="3901"/>
      <c r="G184" s="3901"/>
      <c r="H184" s="3901"/>
      <c r="I184" s="3901"/>
      <c r="J184" s="232"/>
      <c r="K184" s="232"/>
      <c r="L184" s="232"/>
      <c r="N184" s="212">
        <f t="shared" si="4"/>
        <v>144</v>
      </c>
    </row>
    <row r="185" spans="1:14" ht="12" customHeight="1">
      <c r="A185" s="3906"/>
      <c r="C185" s="231"/>
      <c r="D185" s="3900" t="s">
        <v>619</v>
      </c>
      <c r="E185" s="3901"/>
      <c r="F185" s="3901"/>
      <c r="G185" s="3901"/>
      <c r="H185" s="3901"/>
      <c r="I185" s="3901"/>
      <c r="J185" s="232"/>
      <c r="K185" s="232"/>
      <c r="L185" s="232"/>
      <c r="N185" s="212">
        <f t="shared" si="4"/>
        <v>145</v>
      </c>
    </row>
    <row r="186" spans="1:14" ht="12" customHeight="1">
      <c r="A186" s="3906"/>
      <c r="C186" s="231"/>
      <c r="D186" s="3900" t="s">
        <v>620</v>
      </c>
      <c r="E186" s="3901"/>
      <c r="F186" s="3901"/>
      <c r="G186" s="3901"/>
      <c r="H186" s="3901"/>
      <c r="I186" s="3901"/>
      <c r="J186" s="232"/>
      <c r="K186" s="232"/>
      <c r="L186" s="232"/>
      <c r="N186" s="212">
        <f t="shared" si="4"/>
        <v>146</v>
      </c>
    </row>
    <row r="187" spans="1:14" ht="12" customHeight="1">
      <c r="A187" s="3906"/>
      <c r="C187" s="231"/>
      <c r="D187" s="3900" t="s">
        <v>1166</v>
      </c>
      <c r="E187" s="3900"/>
      <c r="F187" s="3900"/>
      <c r="G187" s="3900"/>
      <c r="H187" s="3900"/>
      <c r="I187" s="3900"/>
      <c r="J187" s="3900"/>
      <c r="K187" s="3900"/>
      <c r="L187" s="232"/>
      <c r="N187" s="212">
        <f t="shared" si="4"/>
        <v>147</v>
      </c>
    </row>
    <row r="188" spans="1:14" ht="12" customHeight="1">
      <c r="C188" s="231"/>
      <c r="D188" s="3900" t="s">
        <v>1167</v>
      </c>
      <c r="E188" s="3901"/>
      <c r="F188" s="3901"/>
      <c r="G188" s="3901"/>
      <c r="H188" s="3901"/>
      <c r="I188" s="3901"/>
      <c r="J188" s="232"/>
      <c r="K188" s="232"/>
      <c r="L188" s="232"/>
      <c r="N188" s="212">
        <f t="shared" si="4"/>
        <v>148</v>
      </c>
    </row>
    <row r="189" spans="1:14" ht="12" customHeight="1">
      <c r="C189" s="231"/>
      <c r="D189" s="3973" t="s">
        <v>1168</v>
      </c>
      <c r="E189" s="3973"/>
      <c r="F189" s="3973"/>
      <c r="G189" s="3973"/>
      <c r="H189" s="3973"/>
      <c r="I189" s="3973"/>
      <c r="J189" s="3973"/>
      <c r="K189" s="3973"/>
      <c r="L189" s="232"/>
      <c r="N189" s="212">
        <f t="shared" si="4"/>
        <v>149</v>
      </c>
    </row>
    <row r="190" spans="1:14" ht="12" customHeight="1">
      <c r="C190" s="231"/>
      <c r="D190" s="3973" t="s">
        <v>1169</v>
      </c>
      <c r="E190" s="3973"/>
      <c r="F190" s="3973"/>
      <c r="G190" s="3973"/>
      <c r="H190" s="3973"/>
      <c r="I190" s="3973"/>
      <c r="J190" s="3973"/>
      <c r="K190" s="3973"/>
      <c r="L190" s="232"/>
      <c r="N190" s="212">
        <f t="shared" si="4"/>
        <v>150</v>
      </c>
    </row>
    <row r="191" spans="1:14" ht="12" customHeight="1">
      <c r="C191" s="231"/>
      <c r="D191" s="3973" t="s">
        <v>1170</v>
      </c>
      <c r="E191" s="3974"/>
      <c r="F191" s="3974"/>
      <c r="G191" s="3974"/>
      <c r="H191" s="3974"/>
      <c r="I191" s="3974"/>
      <c r="J191" s="232"/>
      <c r="K191" s="232"/>
      <c r="L191" s="232"/>
      <c r="N191" s="212">
        <f t="shared" si="4"/>
        <v>151</v>
      </c>
    </row>
    <row r="192" spans="1:14" ht="12" customHeight="1">
      <c r="C192" s="231"/>
      <c r="D192" s="3916"/>
      <c r="E192" s="3917"/>
      <c r="F192" s="3917"/>
      <c r="G192" s="3917"/>
      <c r="H192" s="3917"/>
      <c r="I192" s="3917"/>
      <c r="J192" s="232"/>
      <c r="K192" s="232"/>
      <c r="L192" s="232"/>
      <c r="N192" s="212">
        <f t="shared" si="4"/>
        <v>151</v>
      </c>
    </row>
    <row r="193" spans="3:14" ht="12" customHeight="1">
      <c r="C193" s="231"/>
      <c r="D193" s="3967" t="s">
        <v>621</v>
      </c>
      <c r="E193" s="3968"/>
      <c r="F193" s="3968"/>
      <c r="G193" s="3968"/>
      <c r="H193" s="3968"/>
      <c r="I193" s="3968"/>
      <c r="J193" s="232"/>
      <c r="K193" s="232"/>
      <c r="L193" s="232"/>
      <c r="N193" s="212">
        <f t="shared" si="4"/>
        <v>152</v>
      </c>
    </row>
    <row r="194" spans="3:14" ht="12" customHeight="1">
      <c r="C194" s="231"/>
      <c r="D194" s="3900" t="s">
        <v>622</v>
      </c>
      <c r="E194" s="3901"/>
      <c r="F194" s="3901"/>
      <c r="G194" s="3901"/>
      <c r="H194" s="3901"/>
      <c r="I194" s="3901"/>
      <c r="J194" s="232"/>
      <c r="K194" s="232"/>
      <c r="L194" s="232"/>
      <c r="N194" s="212">
        <f t="shared" si="4"/>
        <v>153</v>
      </c>
    </row>
    <row r="195" spans="3:14" ht="12" customHeight="1">
      <c r="C195" s="231"/>
      <c r="D195" s="3900" t="s">
        <v>1171</v>
      </c>
      <c r="E195" s="3900"/>
      <c r="F195" s="3900"/>
      <c r="G195" s="3900"/>
      <c r="H195" s="3900"/>
      <c r="I195" s="3900"/>
      <c r="J195" s="3900"/>
      <c r="K195" s="3900"/>
      <c r="L195" s="232"/>
      <c r="N195" s="212">
        <f t="shared" si="4"/>
        <v>154</v>
      </c>
    </row>
    <row r="196" spans="3:14" ht="12" customHeight="1">
      <c r="C196" s="231"/>
      <c r="D196" s="3900" t="s">
        <v>623</v>
      </c>
      <c r="E196" s="3901"/>
      <c r="F196" s="3901"/>
      <c r="G196" s="3901"/>
      <c r="H196" s="3901"/>
      <c r="I196" s="3901"/>
      <c r="J196" s="232"/>
      <c r="K196" s="232"/>
      <c r="L196" s="232"/>
      <c r="N196" s="212">
        <f t="shared" si="4"/>
        <v>155</v>
      </c>
    </row>
    <row r="197" spans="3:14" ht="12" customHeight="1">
      <c r="C197" s="231"/>
      <c r="D197" s="738"/>
      <c r="E197" s="739"/>
      <c r="F197" s="1712"/>
      <c r="G197" s="739"/>
      <c r="H197" s="739"/>
      <c r="I197" s="739"/>
      <c r="J197" s="232"/>
      <c r="K197" s="232"/>
      <c r="L197" s="232"/>
      <c r="N197" s="212"/>
    </row>
    <row r="198" spans="3:14" ht="12" customHeight="1">
      <c r="C198" s="231"/>
      <c r="D198" s="3900" t="s">
        <v>624</v>
      </c>
      <c r="E198" s="3901"/>
      <c r="F198" s="3901"/>
      <c r="G198" s="3901"/>
      <c r="H198" s="3901"/>
      <c r="I198" s="3901"/>
      <c r="J198" s="232"/>
      <c r="K198" s="232"/>
      <c r="L198" s="232"/>
      <c r="N198" s="212">
        <f>IF(D198="",N196,N196+1)</f>
        <v>156</v>
      </c>
    </row>
    <row r="199" spans="3:14" ht="12" customHeight="1">
      <c r="C199" s="231"/>
      <c r="D199" s="3900" t="s">
        <v>625</v>
      </c>
      <c r="E199" s="3901"/>
      <c r="F199" s="3901"/>
      <c r="G199" s="3901"/>
      <c r="H199" s="3901"/>
      <c r="I199" s="3901"/>
      <c r="J199" s="232"/>
      <c r="K199" s="232"/>
      <c r="L199" s="232"/>
      <c r="N199" s="212">
        <f t="shared" si="4"/>
        <v>157</v>
      </c>
    </row>
    <row r="200" spans="3:14" ht="12" customHeight="1">
      <c r="C200" s="231"/>
      <c r="D200" s="3900" t="s">
        <v>626</v>
      </c>
      <c r="E200" s="3901"/>
      <c r="F200" s="3901"/>
      <c r="G200" s="3901"/>
      <c r="H200" s="3901"/>
      <c r="I200" s="3901"/>
      <c r="J200" s="232"/>
      <c r="K200" s="232"/>
      <c r="L200" s="232"/>
      <c r="N200" s="212">
        <f t="shared" si="4"/>
        <v>158</v>
      </c>
    </row>
    <row r="201" spans="3:14" ht="12" customHeight="1">
      <c r="C201" s="231"/>
      <c r="D201" s="3973" t="s">
        <v>1172</v>
      </c>
      <c r="E201" s="3973"/>
      <c r="F201" s="3973"/>
      <c r="G201" s="3973"/>
      <c r="H201" s="3973"/>
      <c r="I201" s="3973"/>
      <c r="J201" s="3973"/>
      <c r="K201" s="3973"/>
      <c r="L201" s="232"/>
      <c r="N201" s="212">
        <f t="shared" si="4"/>
        <v>159</v>
      </c>
    </row>
    <row r="202" spans="3:14" ht="12" customHeight="1">
      <c r="C202" s="231"/>
      <c r="D202" s="3973" t="s">
        <v>1173</v>
      </c>
      <c r="E202" s="3974"/>
      <c r="F202" s="3974"/>
      <c r="G202" s="3974"/>
      <c r="H202" s="3974"/>
      <c r="I202" s="3974"/>
      <c r="J202" s="232"/>
      <c r="K202" s="232"/>
      <c r="L202" s="232"/>
      <c r="N202" s="212">
        <f t="shared" si="4"/>
        <v>160</v>
      </c>
    </row>
    <row r="203" spans="3:14" ht="12" customHeight="1">
      <c r="C203" s="231"/>
      <c r="D203" s="3973" t="s">
        <v>627</v>
      </c>
      <c r="E203" s="3974"/>
      <c r="F203" s="3974"/>
      <c r="G203" s="3974"/>
      <c r="H203" s="3974"/>
      <c r="I203" s="3974"/>
      <c r="J203" s="232"/>
      <c r="K203" s="232"/>
      <c r="L203" s="232"/>
      <c r="N203" s="212">
        <f t="shared" si="4"/>
        <v>161</v>
      </c>
    </row>
    <row r="204" spans="3:14" ht="12" customHeight="1">
      <c r="C204" s="231"/>
      <c r="D204" s="3973" t="s">
        <v>1174</v>
      </c>
      <c r="E204" s="3973"/>
      <c r="F204" s="3973"/>
      <c r="G204" s="3973"/>
      <c r="H204" s="3973"/>
      <c r="I204" s="3973"/>
      <c r="J204" s="3973"/>
      <c r="K204" s="3973"/>
      <c r="L204" s="232"/>
      <c r="N204" s="212">
        <f t="shared" si="4"/>
        <v>162</v>
      </c>
    </row>
    <row r="205" spans="3:14" ht="12" customHeight="1">
      <c r="C205" s="231"/>
      <c r="D205" s="3973" t="s">
        <v>1175</v>
      </c>
      <c r="E205" s="3974"/>
      <c r="F205" s="3974"/>
      <c r="G205" s="3974"/>
      <c r="H205" s="3974"/>
      <c r="I205" s="3974"/>
      <c r="J205" s="232"/>
      <c r="K205" s="232"/>
      <c r="L205" s="232"/>
      <c r="N205" s="212">
        <f t="shared" si="4"/>
        <v>163</v>
      </c>
    </row>
    <row r="206" spans="3:14" ht="12" customHeight="1">
      <c r="C206" s="231"/>
      <c r="D206" s="3973" t="s">
        <v>628</v>
      </c>
      <c r="E206" s="3974"/>
      <c r="F206" s="3974"/>
      <c r="G206" s="3974"/>
      <c r="H206" s="3974"/>
      <c r="I206" s="3974"/>
      <c r="J206" s="232"/>
      <c r="K206" s="232"/>
      <c r="L206" s="232"/>
      <c r="N206" s="212">
        <f t="shared" ref="N206:N270" si="5">IF(D206="",N205,N205+1)</f>
        <v>164</v>
      </c>
    </row>
    <row r="207" spans="3:14" ht="12" customHeight="1">
      <c r="C207" s="231"/>
      <c r="D207" s="3973" t="s">
        <v>1176</v>
      </c>
      <c r="E207" s="3973"/>
      <c r="F207" s="3973"/>
      <c r="G207" s="3973"/>
      <c r="H207" s="3973"/>
      <c r="I207" s="3973"/>
      <c r="J207" s="3973"/>
      <c r="K207" s="3973"/>
      <c r="L207" s="232"/>
      <c r="N207" s="212">
        <f t="shared" si="5"/>
        <v>165</v>
      </c>
    </row>
    <row r="208" spans="3:14" ht="12" customHeight="1" thickBot="1">
      <c r="C208" s="231"/>
      <c r="D208" s="3973" t="s">
        <v>1177</v>
      </c>
      <c r="E208" s="3973"/>
      <c r="F208" s="3973"/>
      <c r="G208" s="3973"/>
      <c r="H208" s="3973"/>
      <c r="I208" s="3973"/>
      <c r="J208" s="3973"/>
      <c r="K208" s="3973"/>
      <c r="L208" s="232"/>
      <c r="N208" s="212">
        <f t="shared" si="5"/>
        <v>166</v>
      </c>
    </row>
    <row r="209" spans="1:14" ht="12" customHeight="1" thickBot="1">
      <c r="C209" s="231"/>
      <c r="D209" s="3973" t="s">
        <v>1178</v>
      </c>
      <c r="E209" s="3974"/>
      <c r="F209" s="3974"/>
      <c r="G209" s="3974"/>
      <c r="H209" s="3974"/>
      <c r="I209" s="3974"/>
      <c r="J209" s="232"/>
      <c r="K209" s="194" t="s">
        <v>585</v>
      </c>
      <c r="L209" s="232"/>
      <c r="N209" s="212">
        <f t="shared" si="5"/>
        <v>167</v>
      </c>
    </row>
    <row r="210" spans="1:14" ht="12" customHeight="1">
      <c r="C210" s="231"/>
      <c r="D210" s="536"/>
      <c r="E210" s="537"/>
      <c r="F210" s="537"/>
      <c r="G210" s="537"/>
      <c r="H210" s="537"/>
      <c r="I210" s="537"/>
      <c r="J210" s="232"/>
      <c r="K210" s="232"/>
      <c r="L210" s="232"/>
      <c r="N210" s="212">
        <f t="shared" si="5"/>
        <v>167</v>
      </c>
    </row>
    <row r="211" spans="1:14" ht="12" customHeight="1">
      <c r="A211" s="3906"/>
      <c r="B211" s="230"/>
      <c r="C211" s="231"/>
      <c r="D211" s="536"/>
      <c r="E211" s="537"/>
      <c r="F211" s="537"/>
      <c r="G211" s="537"/>
      <c r="H211" s="537"/>
      <c r="I211" s="537"/>
      <c r="J211" s="232"/>
      <c r="K211" s="232"/>
      <c r="L211" s="232"/>
      <c r="N211" s="212">
        <f t="shared" si="5"/>
        <v>167</v>
      </c>
    </row>
    <row r="212" spans="1:14" ht="12" customHeight="1">
      <c r="A212" s="3906"/>
      <c r="B212" s="230"/>
      <c r="C212" s="231"/>
      <c r="D212" s="3967" t="s">
        <v>629</v>
      </c>
      <c r="E212" s="3968"/>
      <c r="F212" s="3968"/>
      <c r="G212" s="3968"/>
      <c r="H212" s="3968"/>
      <c r="I212" s="3968"/>
      <c r="J212" s="232"/>
      <c r="K212" s="232"/>
      <c r="L212" s="232"/>
      <c r="N212" s="212">
        <f t="shared" si="5"/>
        <v>168</v>
      </c>
    </row>
    <row r="213" spans="1:14" ht="12" customHeight="1">
      <c r="A213" s="3906"/>
      <c r="B213" s="230"/>
      <c r="C213" s="231"/>
      <c r="D213" s="3900" t="s">
        <v>1179</v>
      </c>
      <c r="E213" s="3901"/>
      <c r="F213" s="3901"/>
      <c r="G213" s="3901"/>
      <c r="H213" s="3901"/>
      <c r="I213" s="3901"/>
      <c r="J213" s="232"/>
      <c r="K213" s="232"/>
      <c r="L213" s="232"/>
      <c r="N213" s="212">
        <f t="shared" si="5"/>
        <v>169</v>
      </c>
    </row>
    <row r="214" spans="1:14" ht="12" customHeight="1" thickBot="1">
      <c r="A214" s="3906"/>
      <c r="B214" s="230"/>
      <c r="C214" s="231"/>
      <c r="D214" s="3916"/>
      <c r="E214" s="3917"/>
      <c r="F214" s="3917"/>
      <c r="G214" s="3917"/>
      <c r="H214" s="3917"/>
      <c r="I214" s="3917"/>
      <c r="J214" s="232"/>
      <c r="K214" s="232"/>
      <c r="L214" s="232"/>
      <c r="N214" s="212">
        <f t="shared" si="5"/>
        <v>169</v>
      </c>
    </row>
    <row r="215" spans="1:14" ht="12" customHeight="1" thickBot="1">
      <c r="A215" s="3906"/>
      <c r="B215" s="230"/>
      <c r="C215" s="231"/>
      <c r="D215" s="3967" t="s">
        <v>630</v>
      </c>
      <c r="E215" s="3968"/>
      <c r="F215" s="3968"/>
      <c r="G215" s="3968"/>
      <c r="H215" s="3968"/>
      <c r="I215" s="3968"/>
      <c r="J215" s="232"/>
      <c r="K215" s="194" t="s">
        <v>585</v>
      </c>
      <c r="L215" s="232"/>
      <c r="N215" s="212">
        <f t="shared" si="5"/>
        <v>170</v>
      </c>
    </row>
    <row r="216" spans="1:14" ht="12" customHeight="1">
      <c r="A216" s="3906"/>
      <c r="B216" s="230"/>
      <c r="C216" s="231"/>
      <c r="D216" s="3900" t="s">
        <v>1181</v>
      </c>
      <c r="E216" s="3900"/>
      <c r="F216" s="3900"/>
      <c r="G216" s="3900"/>
      <c r="H216" s="3900"/>
      <c r="I216" s="3900"/>
      <c r="J216" s="3900"/>
      <c r="K216" s="3900"/>
      <c r="L216" s="232"/>
      <c r="N216" s="212">
        <f t="shared" si="5"/>
        <v>171</v>
      </c>
    </row>
    <row r="217" spans="1:14" ht="12" customHeight="1">
      <c r="A217" s="3906"/>
      <c r="B217" s="230"/>
      <c r="C217" s="231"/>
      <c r="D217" s="3900" t="s">
        <v>1182</v>
      </c>
      <c r="E217" s="3901"/>
      <c r="F217" s="3901"/>
      <c r="G217" s="3901"/>
      <c r="H217" s="3901"/>
      <c r="I217" s="3901"/>
      <c r="J217" s="232"/>
      <c r="K217" s="232"/>
      <c r="L217" s="232"/>
      <c r="N217" s="212">
        <f t="shared" si="5"/>
        <v>172</v>
      </c>
    </row>
    <row r="218" spans="1:14" ht="12" customHeight="1">
      <c r="A218" s="3906"/>
      <c r="B218" s="230"/>
      <c r="C218" s="231"/>
      <c r="D218" s="3900" t="s">
        <v>1183</v>
      </c>
      <c r="E218" s="3901"/>
      <c r="F218" s="3901"/>
      <c r="G218" s="3901"/>
      <c r="H218" s="3901"/>
      <c r="I218" s="3901"/>
      <c r="J218" s="232"/>
      <c r="K218" s="232"/>
      <c r="L218" s="232"/>
      <c r="N218" s="212">
        <f t="shared" si="5"/>
        <v>173</v>
      </c>
    </row>
    <row r="219" spans="1:14" ht="12" customHeight="1">
      <c r="A219" s="3906"/>
      <c r="B219" s="230"/>
      <c r="C219" s="231"/>
      <c r="D219" s="3900" t="s">
        <v>1184</v>
      </c>
      <c r="E219" s="3901"/>
      <c r="F219" s="3901"/>
      <c r="G219" s="3901"/>
      <c r="H219" s="3901"/>
      <c r="I219" s="3901"/>
      <c r="J219" s="232"/>
      <c r="K219" s="232"/>
      <c r="L219" s="232"/>
      <c r="N219" s="212">
        <f t="shared" si="5"/>
        <v>174</v>
      </c>
    </row>
    <row r="220" spans="1:14" ht="12" customHeight="1">
      <c r="A220" s="3906"/>
      <c r="B220" s="230"/>
      <c r="C220" s="231"/>
      <c r="D220" s="3900" t="s">
        <v>1180</v>
      </c>
      <c r="E220" s="3901"/>
      <c r="F220" s="3901"/>
      <c r="G220" s="3901"/>
      <c r="H220" s="3901"/>
      <c r="I220" s="3901"/>
      <c r="J220" s="232"/>
      <c r="K220" s="232"/>
      <c r="L220" s="232"/>
      <c r="N220" s="212">
        <f t="shared" si="5"/>
        <v>175</v>
      </c>
    </row>
    <row r="221" spans="1:14" ht="12" customHeight="1">
      <c r="A221" s="3906"/>
      <c r="B221" s="230"/>
      <c r="C221" s="231"/>
      <c r="D221" s="3900" t="s">
        <v>1185</v>
      </c>
      <c r="E221" s="3901"/>
      <c r="F221" s="3901"/>
      <c r="G221" s="3901"/>
      <c r="H221" s="3901"/>
      <c r="I221" s="3901"/>
      <c r="J221" s="232"/>
      <c r="K221" s="232"/>
      <c r="L221" s="232"/>
      <c r="N221" s="212">
        <f t="shared" si="5"/>
        <v>176</v>
      </c>
    </row>
    <row r="222" spans="1:14" ht="12" customHeight="1">
      <c r="A222" s="3906"/>
      <c r="B222" s="230"/>
      <c r="C222" s="231"/>
      <c r="D222" s="3916"/>
      <c r="E222" s="3917"/>
      <c r="F222" s="3917"/>
      <c r="G222" s="3917"/>
      <c r="H222" s="3917"/>
      <c r="I222" s="3917"/>
      <c r="J222" s="232"/>
      <c r="K222" s="232"/>
      <c r="L222" s="232"/>
      <c r="N222" s="212">
        <f t="shared" si="5"/>
        <v>176</v>
      </c>
    </row>
    <row r="223" spans="1:14" ht="12" customHeight="1">
      <c r="A223" s="3906"/>
      <c r="B223" s="230"/>
      <c r="C223" s="231"/>
      <c r="D223" s="3912" t="s">
        <v>1186</v>
      </c>
      <c r="E223" s="3912"/>
      <c r="F223" s="3912"/>
      <c r="G223" s="3912"/>
      <c r="H223" s="3912"/>
      <c r="I223" s="3912"/>
      <c r="J223" s="3912"/>
      <c r="K223" s="3912"/>
      <c r="L223" s="232"/>
      <c r="N223" s="212">
        <f t="shared" si="5"/>
        <v>177</v>
      </c>
    </row>
    <row r="224" spans="1:14" ht="12" customHeight="1">
      <c r="A224" s="3906"/>
      <c r="B224" s="230"/>
      <c r="C224" s="231"/>
      <c r="D224" s="3912" t="s">
        <v>631</v>
      </c>
      <c r="E224" s="3913"/>
      <c r="F224" s="3913"/>
      <c r="G224" s="3913"/>
      <c r="H224" s="3913"/>
      <c r="I224" s="3913"/>
      <c r="J224" s="232"/>
      <c r="K224" s="232"/>
      <c r="L224" s="232"/>
      <c r="N224" s="212">
        <f t="shared" si="5"/>
        <v>178</v>
      </c>
    </row>
    <row r="225" spans="1:14" ht="12" customHeight="1">
      <c r="A225" s="3906"/>
      <c r="B225" s="230"/>
      <c r="C225" s="231"/>
      <c r="D225" s="3912" t="s">
        <v>632</v>
      </c>
      <c r="E225" s="3913"/>
      <c r="F225" s="3913"/>
      <c r="G225" s="3913"/>
      <c r="H225" s="3913"/>
      <c r="I225" s="3913"/>
      <c r="J225" s="232"/>
      <c r="K225" s="232"/>
      <c r="L225" s="232"/>
      <c r="N225" s="212">
        <f t="shared" si="5"/>
        <v>179</v>
      </c>
    </row>
    <row r="226" spans="1:14" ht="12" customHeight="1">
      <c r="A226" s="3906"/>
      <c r="B226" s="230"/>
      <c r="C226" s="231"/>
      <c r="D226" s="3912" t="s">
        <v>633</v>
      </c>
      <c r="E226" s="3913"/>
      <c r="F226" s="3913"/>
      <c r="G226" s="3913"/>
      <c r="H226" s="3913"/>
      <c r="I226" s="3913"/>
      <c r="J226" s="232"/>
      <c r="K226" s="232"/>
      <c r="L226" s="232"/>
      <c r="N226" s="212">
        <f t="shared" si="5"/>
        <v>180</v>
      </c>
    </row>
    <row r="227" spans="1:14" ht="12" customHeight="1">
      <c r="A227" s="3906"/>
      <c r="B227" s="230"/>
      <c r="C227" s="231"/>
      <c r="D227" s="3912" t="s">
        <v>634</v>
      </c>
      <c r="E227" s="3913"/>
      <c r="F227" s="3913"/>
      <c r="G227" s="3913"/>
      <c r="H227" s="3913"/>
      <c r="I227" s="3913"/>
      <c r="J227" s="232"/>
      <c r="K227" s="232"/>
      <c r="L227" s="232"/>
      <c r="N227" s="212">
        <f t="shared" si="5"/>
        <v>181</v>
      </c>
    </row>
    <row r="228" spans="1:14" ht="12" customHeight="1">
      <c r="A228" s="3906"/>
      <c r="B228" s="230"/>
      <c r="C228" s="231"/>
      <c r="D228" s="3912" t="s">
        <v>635</v>
      </c>
      <c r="E228" s="3912"/>
      <c r="F228" s="3912"/>
      <c r="G228" s="3912"/>
      <c r="H228" s="3912"/>
      <c r="I228" s="3912"/>
      <c r="J228" s="3912"/>
      <c r="K228" s="3912"/>
      <c r="L228" s="232"/>
      <c r="N228" s="212">
        <f t="shared" si="5"/>
        <v>182</v>
      </c>
    </row>
    <row r="229" spans="1:14" ht="12" customHeight="1">
      <c r="A229" s="3906"/>
      <c r="B229" s="230"/>
      <c r="C229" s="231"/>
      <c r="D229" s="3900" t="s">
        <v>1187</v>
      </c>
      <c r="E229" s="3900"/>
      <c r="F229" s="3900"/>
      <c r="G229" s="3900"/>
      <c r="H229" s="3900"/>
      <c r="I229" s="3900"/>
      <c r="J229" s="3900"/>
      <c r="K229" s="232"/>
      <c r="L229" s="232"/>
      <c r="N229" s="212">
        <f t="shared" si="5"/>
        <v>183</v>
      </c>
    </row>
    <row r="230" spans="1:14" ht="12" customHeight="1" thickBot="1">
      <c r="A230" s="3906"/>
      <c r="B230" s="3906"/>
      <c r="C230" s="231"/>
      <c r="D230" s="3916"/>
      <c r="E230" s="3917"/>
      <c r="F230" s="3917"/>
      <c r="G230" s="3917"/>
      <c r="H230" s="3917"/>
      <c r="I230" s="3917"/>
      <c r="J230" s="232"/>
      <c r="K230" s="232"/>
      <c r="L230" s="232"/>
      <c r="N230" s="212">
        <f t="shared" si="5"/>
        <v>183</v>
      </c>
    </row>
    <row r="231" spans="1:14" ht="12" customHeight="1" thickBot="1">
      <c r="A231" s="3906"/>
      <c r="B231" s="3906"/>
      <c r="C231" s="231"/>
      <c r="D231" s="3967" t="s">
        <v>636</v>
      </c>
      <c r="E231" s="3968"/>
      <c r="F231" s="3968"/>
      <c r="G231" s="3968"/>
      <c r="H231" s="3968"/>
      <c r="I231" s="3968"/>
      <c r="J231" s="232"/>
      <c r="K231" s="194" t="s">
        <v>585</v>
      </c>
      <c r="L231" s="232"/>
      <c r="N231" s="212">
        <f t="shared" si="5"/>
        <v>184</v>
      </c>
    </row>
    <row r="232" spans="1:14" ht="12" customHeight="1">
      <c r="A232" s="3906"/>
      <c r="B232" s="3906"/>
      <c r="C232" s="231"/>
      <c r="D232" s="3900" t="s">
        <v>637</v>
      </c>
      <c r="E232" s="3901"/>
      <c r="F232" s="3901"/>
      <c r="G232" s="3901"/>
      <c r="H232" s="3901"/>
      <c r="I232" s="3901"/>
      <c r="J232" s="232"/>
      <c r="K232" s="232"/>
      <c r="L232" s="232"/>
      <c r="N232" s="212">
        <f t="shared" si="5"/>
        <v>185</v>
      </c>
    </row>
    <row r="233" spans="1:14" ht="12" customHeight="1">
      <c r="A233" s="3906"/>
      <c r="B233" s="3906"/>
      <c r="C233" s="231"/>
      <c r="D233" s="3900" t="s">
        <v>638</v>
      </c>
      <c r="E233" s="3901"/>
      <c r="F233" s="3901"/>
      <c r="G233" s="3901"/>
      <c r="H233" s="3901"/>
      <c r="I233" s="3901"/>
      <c r="J233" s="232"/>
      <c r="K233" s="232"/>
      <c r="L233" s="232"/>
      <c r="N233" s="212">
        <f t="shared" si="5"/>
        <v>186</v>
      </c>
    </row>
    <row r="234" spans="1:14" ht="12" customHeight="1">
      <c r="A234" s="3906"/>
      <c r="B234" s="3906"/>
      <c r="C234" s="231"/>
      <c r="D234" s="3900" t="s">
        <v>639</v>
      </c>
      <c r="E234" s="3901"/>
      <c r="F234" s="3901"/>
      <c r="G234" s="3901"/>
      <c r="H234" s="3901"/>
      <c r="I234" s="3901"/>
      <c r="J234" s="232"/>
      <c r="K234" s="232"/>
      <c r="L234" s="232"/>
      <c r="N234" s="212">
        <f t="shared" si="5"/>
        <v>187</v>
      </c>
    </row>
    <row r="235" spans="1:14" ht="12" customHeight="1">
      <c r="A235" s="3906"/>
      <c r="B235" s="3906"/>
      <c r="C235" s="231"/>
      <c r="D235" s="3900"/>
      <c r="E235" s="3901"/>
      <c r="F235" s="3901"/>
      <c r="G235" s="3901"/>
      <c r="H235" s="3901"/>
      <c r="I235" s="3901"/>
      <c r="J235" s="232"/>
      <c r="K235" s="232"/>
      <c r="L235" s="232"/>
      <c r="N235" s="212">
        <f t="shared" si="5"/>
        <v>187</v>
      </c>
    </row>
    <row r="236" spans="1:14" ht="12" customHeight="1">
      <c r="A236" s="230"/>
      <c r="B236" s="3906"/>
      <c r="C236" s="231"/>
      <c r="D236" s="3900" t="s">
        <v>1188</v>
      </c>
      <c r="E236" s="3901"/>
      <c r="F236" s="3901"/>
      <c r="G236" s="3901"/>
      <c r="H236" s="3901"/>
      <c r="I236" s="3901"/>
      <c r="J236" s="232"/>
      <c r="K236" s="232"/>
      <c r="L236" s="232"/>
      <c r="N236" s="212">
        <f t="shared" si="5"/>
        <v>188</v>
      </c>
    </row>
    <row r="237" spans="1:14" ht="12" customHeight="1">
      <c r="A237" s="230"/>
      <c r="B237" s="3906"/>
      <c r="C237" s="231"/>
      <c r="D237" s="3900" t="s">
        <v>1189</v>
      </c>
      <c r="E237" s="3900"/>
      <c r="F237" s="3900"/>
      <c r="G237" s="3900"/>
      <c r="H237" s="3900"/>
      <c r="I237" s="3900"/>
      <c r="J237" s="3900"/>
      <c r="K237" s="3900"/>
      <c r="L237" s="232"/>
      <c r="N237" s="212">
        <f t="shared" si="5"/>
        <v>189</v>
      </c>
    </row>
    <row r="238" spans="1:14" ht="12" customHeight="1" thickBot="1">
      <c r="A238" s="3906"/>
      <c r="B238" s="3906"/>
      <c r="C238" s="231"/>
      <c r="D238" s="3916"/>
      <c r="E238" s="3917"/>
      <c r="F238" s="3917"/>
      <c r="G238" s="3917"/>
      <c r="H238" s="3917"/>
      <c r="I238" s="3917"/>
      <c r="J238" s="232"/>
      <c r="K238" s="232"/>
      <c r="L238" s="232"/>
      <c r="N238" s="212">
        <f t="shared" si="5"/>
        <v>189</v>
      </c>
    </row>
    <row r="239" spans="1:14" ht="12" customHeight="1" thickBot="1">
      <c r="A239" s="3906"/>
      <c r="B239" s="3906"/>
      <c r="C239" s="231"/>
      <c r="D239" s="3967" t="s">
        <v>640</v>
      </c>
      <c r="E239" s="3968"/>
      <c r="F239" s="3968"/>
      <c r="G239" s="3968"/>
      <c r="H239" s="3968"/>
      <c r="I239" s="3968"/>
      <c r="J239" s="232"/>
      <c r="K239" s="194" t="s">
        <v>585</v>
      </c>
      <c r="L239" s="232"/>
      <c r="N239" s="212">
        <f t="shared" si="5"/>
        <v>190</v>
      </c>
    </row>
    <row r="240" spans="1:14" ht="12" customHeight="1">
      <c r="A240" s="3906"/>
      <c r="B240" s="3906"/>
      <c r="C240" s="231"/>
      <c r="D240" s="3900" t="s">
        <v>641</v>
      </c>
      <c r="E240" s="3901"/>
      <c r="F240" s="3901"/>
      <c r="G240" s="3901"/>
      <c r="H240" s="3901"/>
      <c r="I240" s="3901"/>
      <c r="J240" s="232"/>
      <c r="K240" s="232"/>
      <c r="L240" s="232"/>
      <c r="N240" s="212">
        <f t="shared" si="5"/>
        <v>191</v>
      </c>
    </row>
    <row r="241" spans="1:14" ht="12" customHeight="1">
      <c r="A241" s="3906"/>
      <c r="B241" s="3906"/>
      <c r="C241" s="231"/>
      <c r="D241" s="3900" t="s">
        <v>1190</v>
      </c>
      <c r="E241" s="3901"/>
      <c r="F241" s="3901"/>
      <c r="G241" s="3901"/>
      <c r="H241" s="3901"/>
      <c r="I241" s="3901"/>
      <c r="J241" s="232"/>
      <c r="K241" s="232"/>
      <c r="L241" s="232"/>
      <c r="N241" s="212">
        <f t="shared" si="5"/>
        <v>192</v>
      </c>
    </row>
    <row r="242" spans="1:14" ht="12" customHeight="1">
      <c r="A242" s="3906"/>
      <c r="B242" s="3906"/>
      <c r="C242" s="231"/>
      <c r="D242" s="3900" t="s">
        <v>1191</v>
      </c>
      <c r="E242" s="3901"/>
      <c r="F242" s="3901"/>
      <c r="G242" s="3901"/>
      <c r="H242" s="3901"/>
      <c r="I242" s="3901"/>
      <c r="J242" s="232"/>
      <c r="K242" s="232"/>
      <c r="L242" s="232"/>
      <c r="N242" s="212">
        <f t="shared" si="5"/>
        <v>193</v>
      </c>
    </row>
    <row r="243" spans="1:14" ht="12" customHeight="1">
      <c r="A243" s="3906"/>
      <c r="B243" s="3906"/>
      <c r="C243" s="231"/>
      <c r="D243" s="3900" t="s">
        <v>642</v>
      </c>
      <c r="E243" s="3901"/>
      <c r="F243" s="3901"/>
      <c r="G243" s="3901"/>
      <c r="H243" s="3901"/>
      <c r="I243" s="3901"/>
      <c r="J243" s="232"/>
      <c r="K243" s="232"/>
      <c r="L243" s="232"/>
      <c r="N243" s="212">
        <f t="shared" si="5"/>
        <v>194</v>
      </c>
    </row>
    <row r="244" spans="1:14" ht="12" customHeight="1">
      <c r="A244" s="3906"/>
      <c r="B244" s="3906"/>
      <c r="C244" s="231"/>
      <c r="D244" s="3900" t="s">
        <v>1192</v>
      </c>
      <c r="E244" s="3901"/>
      <c r="F244" s="3901"/>
      <c r="G244" s="3901"/>
      <c r="H244" s="3901"/>
      <c r="I244" s="3901"/>
      <c r="J244" s="232"/>
      <c r="K244" s="232"/>
      <c r="L244" s="232"/>
      <c r="N244" s="212">
        <f t="shared" si="5"/>
        <v>195</v>
      </c>
    </row>
    <row r="245" spans="1:14" ht="12" customHeight="1">
      <c r="A245" s="3906"/>
      <c r="B245" s="3906"/>
      <c r="C245" s="231"/>
      <c r="D245" s="3900" t="s">
        <v>1193</v>
      </c>
      <c r="E245" s="3901"/>
      <c r="F245" s="3901"/>
      <c r="G245" s="3901"/>
      <c r="H245" s="3901"/>
      <c r="I245" s="3901"/>
      <c r="J245" s="232"/>
      <c r="K245" s="232"/>
      <c r="L245" s="232"/>
      <c r="N245" s="212">
        <f t="shared" si="5"/>
        <v>196</v>
      </c>
    </row>
    <row r="246" spans="1:14" ht="12" customHeight="1">
      <c r="A246" s="3906"/>
      <c r="B246" s="3906"/>
      <c r="C246" s="231"/>
      <c r="D246" s="3900" t="s">
        <v>1194</v>
      </c>
      <c r="E246" s="3901"/>
      <c r="F246" s="3901"/>
      <c r="G246" s="3901"/>
      <c r="H246" s="3901"/>
      <c r="I246" s="3901"/>
      <c r="J246" s="232"/>
      <c r="K246" s="232"/>
      <c r="L246" s="232"/>
      <c r="N246" s="212">
        <f t="shared" si="5"/>
        <v>197</v>
      </c>
    </row>
    <row r="247" spans="1:14" ht="12" customHeight="1">
      <c r="A247" s="3906"/>
      <c r="B247" s="3906"/>
      <c r="C247" s="231"/>
      <c r="D247" s="3900" t="s">
        <v>1195</v>
      </c>
      <c r="E247" s="3901"/>
      <c r="F247" s="3901"/>
      <c r="G247" s="3901"/>
      <c r="H247" s="3901"/>
      <c r="I247" s="3901"/>
      <c r="J247" s="232"/>
      <c r="K247" s="232"/>
      <c r="L247" s="232"/>
      <c r="N247" s="212">
        <f t="shared" si="5"/>
        <v>198</v>
      </c>
    </row>
    <row r="248" spans="1:14" ht="12" customHeight="1">
      <c r="A248" s="3906"/>
      <c r="B248" s="3906"/>
      <c r="C248" s="231"/>
      <c r="D248" s="3900" t="s">
        <v>643</v>
      </c>
      <c r="E248" s="3901"/>
      <c r="F248" s="3901"/>
      <c r="G248" s="3901"/>
      <c r="H248" s="3901"/>
      <c r="I248" s="3901"/>
      <c r="J248" s="232"/>
      <c r="K248" s="232"/>
      <c r="L248" s="232"/>
      <c r="N248" s="212">
        <f t="shared" si="5"/>
        <v>199</v>
      </c>
    </row>
    <row r="249" spans="1:14" ht="12" customHeight="1">
      <c r="A249" s="3906"/>
      <c r="B249" s="3906"/>
      <c r="C249" s="231"/>
      <c r="D249" s="3916"/>
      <c r="E249" s="3917"/>
      <c r="F249" s="3917"/>
      <c r="G249" s="3917"/>
      <c r="H249" s="3917"/>
      <c r="I249" s="3917"/>
      <c r="J249" s="232"/>
      <c r="K249" s="232"/>
      <c r="L249" s="232"/>
      <c r="N249" s="212">
        <f t="shared" si="5"/>
        <v>199</v>
      </c>
    </row>
    <row r="250" spans="1:14" ht="12" customHeight="1">
      <c r="A250" s="3906"/>
      <c r="B250" s="3906"/>
      <c r="C250" s="231"/>
      <c r="D250" s="3912" t="s">
        <v>1196</v>
      </c>
      <c r="E250" s="3912"/>
      <c r="F250" s="3912"/>
      <c r="G250" s="3912"/>
      <c r="H250" s="3912"/>
      <c r="I250" s="3912"/>
      <c r="J250" s="3912"/>
      <c r="K250" s="3912"/>
      <c r="L250" s="232"/>
      <c r="N250" s="212">
        <f t="shared" si="5"/>
        <v>200</v>
      </c>
    </row>
    <row r="251" spans="1:14" ht="12" customHeight="1">
      <c r="A251" s="3906"/>
      <c r="B251" s="3906"/>
      <c r="C251" s="231"/>
      <c r="D251" s="3912" t="s">
        <v>1197</v>
      </c>
      <c r="E251" s="3912"/>
      <c r="F251" s="3912"/>
      <c r="G251" s="3912"/>
      <c r="H251" s="3912"/>
      <c r="I251" s="3912"/>
      <c r="J251" s="3912"/>
      <c r="K251" s="3912"/>
      <c r="L251" s="232"/>
      <c r="N251" s="212">
        <f t="shared" si="5"/>
        <v>201</v>
      </c>
    </row>
    <row r="252" spans="1:14" ht="12" customHeight="1">
      <c r="A252" s="3906"/>
      <c r="B252" s="3906"/>
      <c r="C252" s="231"/>
      <c r="D252" s="738"/>
      <c r="E252" s="3913" t="s">
        <v>1198</v>
      </c>
      <c r="F252" s="3913"/>
      <c r="G252" s="3913"/>
      <c r="H252" s="3913"/>
      <c r="I252" s="3913"/>
      <c r="J252" s="232"/>
      <c r="K252" s="232"/>
      <c r="L252" s="232"/>
      <c r="N252" s="212">
        <f t="shared" si="5"/>
        <v>201</v>
      </c>
    </row>
    <row r="253" spans="1:14" ht="12" customHeight="1">
      <c r="A253" s="3906"/>
      <c r="B253" s="3906"/>
      <c r="C253" s="231"/>
      <c r="D253" s="3916"/>
      <c r="E253" s="3917"/>
      <c r="F253" s="3917"/>
      <c r="G253" s="3917"/>
      <c r="H253" s="3917"/>
      <c r="I253" s="3917"/>
      <c r="J253" s="232"/>
      <c r="K253" s="232"/>
      <c r="L253" s="232"/>
      <c r="N253" s="212">
        <f t="shared" si="5"/>
        <v>201</v>
      </c>
    </row>
    <row r="254" spans="1:14" ht="12" customHeight="1">
      <c r="A254" s="3906"/>
      <c r="B254" s="3906"/>
      <c r="C254" s="231"/>
      <c r="D254" s="3967" t="s">
        <v>644</v>
      </c>
      <c r="E254" s="3968"/>
      <c r="F254" s="3968"/>
      <c r="G254" s="3968"/>
      <c r="H254" s="3968"/>
      <c r="I254" s="3968"/>
      <c r="J254" s="232"/>
      <c r="K254" s="232"/>
      <c r="L254" s="232"/>
      <c r="N254" s="212">
        <f t="shared" si="5"/>
        <v>202</v>
      </c>
    </row>
    <row r="255" spans="1:14" ht="12" customHeight="1">
      <c r="A255" s="3906"/>
      <c r="C255" s="231"/>
      <c r="D255" s="3900" t="s">
        <v>1199</v>
      </c>
      <c r="E255" s="3901"/>
      <c r="F255" s="3901"/>
      <c r="G255" s="3901"/>
      <c r="H255" s="3901"/>
      <c r="I255" s="3901"/>
      <c r="J255" s="232"/>
      <c r="K255" s="232"/>
      <c r="L255" s="232"/>
      <c r="N255" s="212">
        <f t="shared" si="5"/>
        <v>203</v>
      </c>
    </row>
    <row r="256" spans="1:14" ht="12" customHeight="1">
      <c r="A256" s="3906"/>
      <c r="C256" s="231"/>
      <c r="D256" s="3900" t="s">
        <v>1200</v>
      </c>
      <c r="E256" s="3901"/>
      <c r="F256" s="3901"/>
      <c r="G256" s="3901"/>
      <c r="H256" s="3901"/>
      <c r="I256" s="3901"/>
      <c r="J256" s="232"/>
      <c r="K256" s="232"/>
      <c r="L256" s="232"/>
      <c r="N256" s="212">
        <f t="shared" si="5"/>
        <v>204</v>
      </c>
    </row>
    <row r="257" spans="1:14" ht="12" customHeight="1">
      <c r="A257" s="3906"/>
      <c r="C257" s="231"/>
      <c r="D257" s="3900" t="s">
        <v>645</v>
      </c>
      <c r="E257" s="3901"/>
      <c r="F257" s="3901"/>
      <c r="G257" s="3901"/>
      <c r="H257" s="3901"/>
      <c r="I257" s="3901"/>
      <c r="J257" s="232"/>
      <c r="K257" s="232"/>
      <c r="L257" s="232"/>
      <c r="N257" s="212">
        <f t="shared" si="5"/>
        <v>205</v>
      </c>
    </row>
    <row r="258" spans="1:14" ht="12" customHeight="1">
      <c r="A258" s="3906"/>
      <c r="C258" s="231"/>
      <c r="D258" s="3900" t="s">
        <v>646</v>
      </c>
      <c r="E258" s="3901"/>
      <c r="F258" s="3901"/>
      <c r="G258" s="3901"/>
      <c r="H258" s="3901"/>
      <c r="I258" s="3901"/>
      <c r="J258" s="232"/>
      <c r="K258" s="232"/>
      <c r="L258" s="232"/>
      <c r="N258" s="212">
        <f t="shared" si="5"/>
        <v>206</v>
      </c>
    </row>
    <row r="259" spans="1:14" ht="12" customHeight="1">
      <c r="A259" s="3906"/>
      <c r="C259" s="231"/>
      <c r="D259" s="3916"/>
      <c r="E259" s="3917"/>
      <c r="F259" s="3917"/>
      <c r="G259" s="3917"/>
      <c r="H259" s="3917"/>
      <c r="I259" s="3917"/>
      <c r="J259" s="232"/>
      <c r="K259" s="232"/>
      <c r="L259" s="232"/>
      <c r="N259" s="212">
        <f t="shared" si="5"/>
        <v>206</v>
      </c>
    </row>
    <row r="260" spans="1:14" ht="12" customHeight="1">
      <c r="A260" s="3906"/>
      <c r="C260" s="231"/>
      <c r="D260" s="3912" t="s">
        <v>647</v>
      </c>
      <c r="E260" s="3913"/>
      <c r="F260" s="3913"/>
      <c r="G260" s="3913"/>
      <c r="H260" s="3913"/>
      <c r="I260" s="3913"/>
      <c r="J260" s="232"/>
      <c r="K260" s="232"/>
      <c r="L260" s="232"/>
      <c r="N260" s="212">
        <f t="shared" si="5"/>
        <v>207</v>
      </c>
    </row>
    <row r="261" spans="1:14" ht="12" customHeight="1">
      <c r="A261" s="3906"/>
      <c r="C261" s="231"/>
      <c r="D261" s="3912" t="s">
        <v>1201</v>
      </c>
      <c r="E261" s="3913"/>
      <c r="F261" s="3913"/>
      <c r="G261" s="3913"/>
      <c r="H261" s="3913"/>
      <c r="I261" s="3913"/>
      <c r="J261" s="232"/>
      <c r="K261" s="232"/>
      <c r="L261" s="232"/>
      <c r="N261" s="212">
        <f t="shared" si="5"/>
        <v>208</v>
      </c>
    </row>
    <row r="262" spans="1:14" ht="12" customHeight="1">
      <c r="A262" s="3906"/>
      <c r="C262" s="231"/>
      <c r="D262" s="738"/>
      <c r="E262" s="3913" t="s">
        <v>1202</v>
      </c>
      <c r="F262" s="3913"/>
      <c r="G262" s="3913"/>
      <c r="H262" s="3913"/>
      <c r="I262" s="3913"/>
      <c r="J262" s="232"/>
      <c r="K262" s="232"/>
      <c r="L262" s="232"/>
      <c r="N262" s="212">
        <f t="shared" si="5"/>
        <v>208</v>
      </c>
    </row>
    <row r="263" spans="1:14" ht="12" customHeight="1">
      <c r="A263" s="3906"/>
      <c r="C263" s="231"/>
      <c r="D263" s="738"/>
      <c r="E263" s="741"/>
      <c r="F263" s="1716"/>
      <c r="G263" s="741"/>
      <c r="H263" s="741"/>
      <c r="I263" s="741"/>
      <c r="J263" s="232"/>
      <c r="K263" s="232"/>
      <c r="L263" s="232"/>
      <c r="N263" s="212">
        <f t="shared" si="5"/>
        <v>208</v>
      </c>
    </row>
    <row r="264" spans="1:14" ht="12" customHeight="1" thickBot="1">
      <c r="A264" s="3906"/>
      <c r="B264" s="3906"/>
      <c r="C264" s="231"/>
      <c r="D264" s="3916"/>
      <c r="E264" s="3917"/>
      <c r="F264" s="3917"/>
      <c r="G264" s="3917"/>
      <c r="H264" s="3917"/>
      <c r="I264" s="3917"/>
      <c r="J264" s="232"/>
      <c r="K264" s="232"/>
      <c r="L264" s="232"/>
      <c r="N264" s="212">
        <f>IF(D264="",N262,N262+1)</f>
        <v>208</v>
      </c>
    </row>
    <row r="265" spans="1:14" ht="12" customHeight="1" thickBot="1">
      <c r="A265" s="3906"/>
      <c r="B265" s="3906"/>
      <c r="C265" s="231"/>
      <c r="D265" s="3967" t="s">
        <v>648</v>
      </c>
      <c r="E265" s="3968"/>
      <c r="F265" s="3968"/>
      <c r="G265" s="3968"/>
      <c r="H265" s="3968"/>
      <c r="I265" s="3968"/>
      <c r="J265" s="232"/>
      <c r="K265" s="194" t="s">
        <v>585</v>
      </c>
      <c r="L265" s="232"/>
      <c r="N265" s="212">
        <f t="shared" si="5"/>
        <v>209</v>
      </c>
    </row>
    <row r="266" spans="1:14" ht="12" customHeight="1">
      <c r="A266" s="3906"/>
      <c r="B266" s="3906"/>
      <c r="C266" s="231"/>
      <c r="D266" s="3900" t="s">
        <v>1203</v>
      </c>
      <c r="E266" s="3901"/>
      <c r="F266" s="3901"/>
      <c r="G266" s="3901"/>
      <c r="H266" s="3901"/>
      <c r="I266" s="3901"/>
      <c r="J266" s="232"/>
      <c r="K266" s="232"/>
      <c r="L266" s="232"/>
      <c r="N266" s="212">
        <f t="shared" si="5"/>
        <v>210</v>
      </c>
    </row>
    <row r="267" spans="1:14" ht="12" customHeight="1">
      <c r="B267" s="3906"/>
      <c r="C267" s="231"/>
      <c r="D267" s="3900" t="s">
        <v>1206</v>
      </c>
      <c r="E267" s="3901"/>
      <c r="F267" s="3901"/>
      <c r="G267" s="3901"/>
      <c r="H267" s="3901"/>
      <c r="I267" s="3901"/>
      <c r="J267" s="232"/>
      <c r="K267" s="232"/>
      <c r="L267" s="232"/>
      <c r="N267" s="212">
        <f t="shared" si="5"/>
        <v>211</v>
      </c>
    </row>
    <row r="268" spans="1:14" ht="12" customHeight="1">
      <c r="B268" s="3906"/>
      <c r="C268" s="231"/>
      <c r="D268" s="3900" t="s">
        <v>1207</v>
      </c>
      <c r="E268" s="3900"/>
      <c r="F268" s="3900"/>
      <c r="G268" s="3900"/>
      <c r="H268" s="3900"/>
      <c r="I268" s="3900"/>
      <c r="J268" s="3900"/>
      <c r="K268" s="3900"/>
      <c r="L268" s="232"/>
      <c r="N268" s="212">
        <f t="shared" si="5"/>
        <v>212</v>
      </c>
    </row>
    <row r="269" spans="1:14" ht="12" customHeight="1">
      <c r="B269" s="3906"/>
      <c r="C269" s="231"/>
      <c r="D269" s="3900" t="s">
        <v>649</v>
      </c>
      <c r="E269" s="3901"/>
      <c r="F269" s="3901"/>
      <c r="G269" s="3901"/>
      <c r="H269" s="3901"/>
      <c r="I269" s="3901"/>
      <c r="J269" s="232"/>
      <c r="K269" s="232"/>
      <c r="L269" s="232"/>
      <c r="N269" s="212">
        <f t="shared" si="5"/>
        <v>213</v>
      </c>
    </row>
    <row r="270" spans="1:14" ht="12" customHeight="1">
      <c r="B270" s="3906"/>
      <c r="C270" s="231"/>
      <c r="D270" s="3900" t="s">
        <v>1208</v>
      </c>
      <c r="E270" s="3900"/>
      <c r="F270" s="3900"/>
      <c r="G270" s="3900"/>
      <c r="H270" s="3900"/>
      <c r="I270" s="3900"/>
      <c r="J270" s="3900"/>
      <c r="K270" s="3900"/>
      <c r="L270" s="232"/>
      <c r="N270" s="212">
        <f t="shared" si="5"/>
        <v>214</v>
      </c>
    </row>
    <row r="271" spans="1:14" ht="12" customHeight="1">
      <c r="B271" s="3906"/>
      <c r="C271" s="231"/>
      <c r="D271" s="3900" t="s">
        <v>1209</v>
      </c>
      <c r="E271" s="3901"/>
      <c r="F271" s="3901"/>
      <c r="G271" s="3901"/>
      <c r="H271" s="3901"/>
      <c r="I271" s="3901"/>
      <c r="J271" s="232"/>
      <c r="K271" s="232"/>
      <c r="L271" s="232"/>
      <c r="N271" s="212">
        <f t="shared" ref="N271:N337" si="6">IF(D271="",N270,N270+1)</f>
        <v>215</v>
      </c>
    </row>
    <row r="272" spans="1:14" ht="12" customHeight="1">
      <c r="B272" s="3906"/>
      <c r="C272" s="231"/>
      <c r="D272" s="3900" t="s">
        <v>1204</v>
      </c>
      <c r="E272" s="3901"/>
      <c r="F272" s="3901"/>
      <c r="G272" s="3901"/>
      <c r="H272" s="3901"/>
      <c r="I272" s="3901"/>
      <c r="J272" s="232"/>
      <c r="K272" s="232"/>
      <c r="L272" s="232"/>
      <c r="N272" s="212">
        <f t="shared" si="6"/>
        <v>216</v>
      </c>
    </row>
    <row r="273" spans="2:14" ht="12" customHeight="1">
      <c r="B273" s="3906"/>
      <c r="C273" s="231"/>
      <c r="D273" s="3900" t="s">
        <v>650</v>
      </c>
      <c r="E273" s="3901"/>
      <c r="F273" s="3901"/>
      <c r="G273" s="3901"/>
      <c r="H273" s="3901"/>
      <c r="I273" s="3901"/>
      <c r="J273" s="232"/>
      <c r="K273" s="232"/>
      <c r="L273" s="232"/>
      <c r="N273" s="212">
        <f t="shared" si="6"/>
        <v>217</v>
      </c>
    </row>
    <row r="274" spans="2:14" ht="12" customHeight="1">
      <c r="B274" s="3906"/>
      <c r="C274" s="231"/>
      <c r="D274" s="3900" t="s">
        <v>1210</v>
      </c>
      <c r="E274" s="3901"/>
      <c r="F274" s="3901"/>
      <c r="G274" s="3901"/>
      <c r="H274" s="3901"/>
      <c r="I274" s="3901"/>
      <c r="J274" s="232"/>
      <c r="K274" s="232"/>
      <c r="L274" s="232"/>
      <c r="N274" s="212">
        <f t="shared" si="6"/>
        <v>218</v>
      </c>
    </row>
    <row r="275" spans="2:14" ht="12" customHeight="1">
      <c r="B275" s="3906"/>
      <c r="C275" s="231"/>
      <c r="D275" s="3900" t="s">
        <v>1211</v>
      </c>
      <c r="E275" s="3901"/>
      <c r="F275" s="3901"/>
      <c r="G275" s="3901"/>
      <c r="H275" s="3901"/>
      <c r="I275" s="3901"/>
      <c r="J275" s="232"/>
      <c r="K275" s="232"/>
      <c r="L275" s="232"/>
      <c r="N275" s="212">
        <f t="shared" si="6"/>
        <v>219</v>
      </c>
    </row>
    <row r="276" spans="2:14" ht="12" customHeight="1">
      <c r="B276" s="3906"/>
      <c r="C276" s="231"/>
      <c r="D276" s="3900" t="s">
        <v>1212</v>
      </c>
      <c r="E276" s="3901"/>
      <c r="F276" s="3901"/>
      <c r="G276" s="3901"/>
      <c r="H276" s="3901"/>
      <c r="I276" s="3901"/>
      <c r="J276" s="232"/>
      <c r="K276" s="232"/>
      <c r="L276" s="232"/>
      <c r="N276" s="212">
        <f t="shared" si="6"/>
        <v>220</v>
      </c>
    </row>
    <row r="277" spans="2:14" ht="12" customHeight="1">
      <c r="B277" s="3906"/>
      <c r="C277" s="231"/>
      <c r="D277" s="3900" t="s">
        <v>1210</v>
      </c>
      <c r="E277" s="3901"/>
      <c r="F277" s="3901"/>
      <c r="G277" s="3901"/>
      <c r="H277" s="3901"/>
      <c r="I277" s="3901"/>
      <c r="J277" s="232"/>
      <c r="K277" s="232"/>
      <c r="L277" s="232"/>
      <c r="N277" s="212">
        <f t="shared" si="6"/>
        <v>221</v>
      </c>
    </row>
    <row r="278" spans="2:14" ht="12" customHeight="1">
      <c r="B278" s="3906"/>
      <c r="C278" s="231"/>
      <c r="D278" s="3900" t="s">
        <v>1210</v>
      </c>
      <c r="E278" s="3901"/>
      <c r="F278" s="3901"/>
      <c r="G278" s="3901"/>
      <c r="H278" s="3901"/>
      <c r="I278" s="3901"/>
      <c r="J278" s="232"/>
      <c r="K278" s="232"/>
      <c r="L278" s="232"/>
      <c r="N278" s="212">
        <f t="shared" si="6"/>
        <v>222</v>
      </c>
    </row>
    <row r="279" spans="2:14" ht="12" customHeight="1">
      <c r="B279" s="3906"/>
      <c r="C279" s="231"/>
      <c r="D279" s="3900" t="s">
        <v>1205</v>
      </c>
      <c r="E279" s="3901"/>
      <c r="F279" s="3901"/>
      <c r="G279" s="3901"/>
      <c r="H279" s="3901"/>
      <c r="I279" s="3901"/>
      <c r="J279" s="232"/>
      <c r="K279" s="232"/>
      <c r="L279" s="232"/>
      <c r="N279" s="212">
        <f t="shared" si="6"/>
        <v>223</v>
      </c>
    </row>
    <row r="280" spans="2:14" ht="12" customHeight="1">
      <c r="B280" s="3906"/>
      <c r="C280" s="231"/>
      <c r="D280" s="3900" t="s">
        <v>1213</v>
      </c>
      <c r="E280" s="3901"/>
      <c r="F280" s="3901"/>
      <c r="G280" s="3901"/>
      <c r="H280" s="3901"/>
      <c r="I280" s="3901"/>
      <c r="J280" s="232"/>
      <c r="K280" s="232"/>
      <c r="L280" s="232"/>
      <c r="N280" s="212">
        <f t="shared" si="6"/>
        <v>224</v>
      </c>
    </row>
    <row r="281" spans="2:14" ht="12" customHeight="1">
      <c r="B281" s="3906"/>
      <c r="C281" s="231"/>
      <c r="D281" s="744"/>
      <c r="E281" s="745"/>
      <c r="F281" s="1719"/>
      <c r="G281" s="745"/>
      <c r="H281" s="745"/>
      <c r="I281" s="745"/>
      <c r="J281" s="232"/>
      <c r="K281" s="232"/>
      <c r="L281" s="232"/>
      <c r="N281" s="212">
        <f t="shared" si="6"/>
        <v>224</v>
      </c>
    </row>
    <row r="282" spans="2:14" ht="12" customHeight="1">
      <c r="B282" s="3906"/>
      <c r="C282" s="231"/>
      <c r="D282" s="744"/>
      <c r="E282" s="745"/>
      <c r="F282" s="1719"/>
      <c r="G282" s="745"/>
      <c r="H282" s="745"/>
      <c r="I282" s="745"/>
      <c r="J282" s="232"/>
      <c r="K282" s="232"/>
      <c r="L282" s="232"/>
      <c r="N282" s="212">
        <f t="shared" si="6"/>
        <v>224</v>
      </c>
    </row>
    <row r="283" spans="2:14" ht="12" customHeight="1">
      <c r="B283" s="3906"/>
      <c r="C283" s="231"/>
      <c r="D283" s="3916" t="s">
        <v>964</v>
      </c>
      <c r="E283" s="3917"/>
      <c r="F283" s="3917"/>
      <c r="G283" s="3917"/>
      <c r="H283" s="3917"/>
      <c r="I283" s="3917"/>
      <c r="J283" s="232"/>
      <c r="K283" s="232"/>
      <c r="L283" s="232"/>
      <c r="N283" s="212">
        <f>IF(D283="",N280,N280+1)</f>
        <v>225</v>
      </c>
    </row>
    <row r="284" spans="2:14" ht="12" customHeight="1">
      <c r="B284" s="3906"/>
      <c r="C284" s="231"/>
      <c r="D284" s="3900" t="s">
        <v>651</v>
      </c>
      <c r="E284" s="3901"/>
      <c r="F284" s="3901"/>
      <c r="G284" s="3901"/>
      <c r="H284" s="3901"/>
      <c r="I284" s="3901"/>
      <c r="J284" s="232"/>
      <c r="K284" s="232"/>
      <c r="L284" s="232"/>
      <c r="N284" s="212">
        <f t="shared" si="6"/>
        <v>226</v>
      </c>
    </row>
    <row r="285" spans="2:14" ht="12" customHeight="1">
      <c r="B285" s="3906"/>
      <c r="C285" s="231"/>
      <c r="D285" s="3916" t="s">
        <v>965</v>
      </c>
      <c r="E285" s="3917"/>
      <c r="F285" s="3917"/>
      <c r="G285" s="3917"/>
      <c r="H285" s="3917"/>
      <c r="I285" s="3917"/>
      <c r="J285" s="232"/>
      <c r="K285" s="232"/>
      <c r="L285" s="232"/>
      <c r="N285" s="212">
        <f t="shared" si="6"/>
        <v>227</v>
      </c>
    </row>
    <row r="286" spans="2:14" ht="12" customHeight="1">
      <c r="B286" s="3906"/>
      <c r="C286" s="231"/>
      <c r="D286" s="3900" t="s">
        <v>652</v>
      </c>
      <c r="E286" s="3901"/>
      <c r="F286" s="3901"/>
      <c r="G286" s="3901"/>
      <c r="H286" s="3901"/>
      <c r="I286" s="3901"/>
      <c r="J286" s="232"/>
      <c r="K286" s="232"/>
      <c r="L286" s="232"/>
      <c r="N286" s="212">
        <f t="shared" si="6"/>
        <v>228</v>
      </c>
    </row>
    <row r="287" spans="2:14" ht="12" customHeight="1">
      <c r="B287" s="3906"/>
      <c r="C287" s="231"/>
      <c r="D287" s="3900" t="s">
        <v>653</v>
      </c>
      <c r="E287" s="3900"/>
      <c r="F287" s="3900"/>
      <c r="G287" s="3900"/>
      <c r="H287" s="3900"/>
      <c r="I287" s="3900"/>
      <c r="J287" s="3900"/>
      <c r="K287" s="3900"/>
      <c r="L287" s="232"/>
      <c r="N287" s="212">
        <f t="shared" si="6"/>
        <v>229</v>
      </c>
    </row>
    <row r="288" spans="2:14" ht="12" customHeight="1">
      <c r="B288" s="3906"/>
      <c r="C288" s="231"/>
      <c r="D288" s="3900" t="s">
        <v>654</v>
      </c>
      <c r="E288" s="3900"/>
      <c r="F288" s="3900"/>
      <c r="G288" s="3900"/>
      <c r="H288" s="3900"/>
      <c r="I288" s="3900"/>
      <c r="J288" s="3900"/>
      <c r="K288" s="3900"/>
      <c r="L288" s="232"/>
      <c r="N288" s="212">
        <f t="shared" si="6"/>
        <v>230</v>
      </c>
    </row>
    <row r="289" spans="2:14" ht="12" customHeight="1">
      <c r="B289" s="3906"/>
      <c r="C289" s="231"/>
      <c r="D289" s="3900" t="s">
        <v>655</v>
      </c>
      <c r="E289" s="3901"/>
      <c r="F289" s="3901"/>
      <c r="G289" s="3901"/>
      <c r="H289" s="3901"/>
      <c r="I289" s="3901"/>
      <c r="J289" s="232"/>
      <c r="K289" s="232"/>
      <c r="L289" s="232"/>
      <c r="N289" s="212">
        <f t="shared" si="6"/>
        <v>231</v>
      </c>
    </row>
    <row r="290" spans="2:14" ht="12" customHeight="1">
      <c r="B290" s="3906"/>
      <c r="C290" s="231"/>
      <c r="D290" s="3916" t="s">
        <v>966</v>
      </c>
      <c r="E290" s="3917"/>
      <c r="F290" s="3917"/>
      <c r="G290" s="3917"/>
      <c r="H290" s="3917"/>
      <c r="I290" s="3917"/>
      <c r="J290" s="232"/>
      <c r="K290" s="232"/>
      <c r="L290" s="232"/>
      <c r="N290" s="212">
        <f t="shared" si="6"/>
        <v>232</v>
      </c>
    </row>
    <row r="291" spans="2:14" ht="12" customHeight="1">
      <c r="B291" s="3906"/>
      <c r="C291" s="231"/>
      <c r="D291" s="3900" t="s">
        <v>656</v>
      </c>
      <c r="E291" s="3901"/>
      <c r="F291" s="3901"/>
      <c r="G291" s="3901"/>
      <c r="H291" s="3901"/>
      <c r="I291" s="3901"/>
      <c r="J291" s="232"/>
      <c r="K291" s="232"/>
      <c r="L291" s="232"/>
      <c r="N291" s="212">
        <f t="shared" si="6"/>
        <v>233</v>
      </c>
    </row>
    <row r="292" spans="2:14" ht="12" customHeight="1">
      <c r="B292" s="3906"/>
      <c r="C292" s="231"/>
      <c r="D292" s="3916"/>
      <c r="E292" s="3917"/>
      <c r="F292" s="3917"/>
      <c r="G292" s="3917"/>
      <c r="H292" s="3917"/>
      <c r="I292" s="3917"/>
      <c r="J292" s="232"/>
      <c r="K292" s="232"/>
      <c r="L292" s="232"/>
      <c r="N292" s="212">
        <f t="shared" si="6"/>
        <v>233</v>
      </c>
    </row>
    <row r="293" spans="2:14" ht="12" customHeight="1">
      <c r="B293" s="3906"/>
      <c r="C293" s="231"/>
      <c r="D293" s="3912" t="s">
        <v>1214</v>
      </c>
      <c r="E293" s="3912"/>
      <c r="F293" s="3912"/>
      <c r="G293" s="3912"/>
      <c r="H293" s="3912"/>
      <c r="I293" s="3912"/>
      <c r="J293" s="3912"/>
      <c r="K293" s="3912"/>
      <c r="L293" s="232"/>
      <c r="N293" s="212">
        <f t="shared" si="6"/>
        <v>234</v>
      </c>
    </row>
    <row r="294" spans="2:14" ht="12" customHeight="1">
      <c r="C294" s="231"/>
      <c r="D294" s="3912" t="s">
        <v>1215</v>
      </c>
      <c r="E294" s="3912"/>
      <c r="F294" s="3912"/>
      <c r="G294" s="3912"/>
      <c r="H294" s="3912"/>
      <c r="I294" s="3912"/>
      <c r="J294" s="3912"/>
      <c r="K294" s="3912"/>
      <c r="L294" s="232"/>
      <c r="N294" s="212">
        <f t="shared" si="6"/>
        <v>235</v>
      </c>
    </row>
    <row r="295" spans="2:14" ht="12" customHeight="1">
      <c r="C295" s="231"/>
      <c r="D295" s="738"/>
      <c r="E295" s="3913" t="s">
        <v>1216</v>
      </c>
      <c r="F295" s="3913"/>
      <c r="G295" s="3913"/>
      <c r="H295" s="3913"/>
      <c r="I295" s="3913"/>
      <c r="J295" s="232"/>
      <c r="K295" s="232"/>
      <c r="L295" s="232"/>
      <c r="N295" s="212">
        <f t="shared" si="6"/>
        <v>235</v>
      </c>
    </row>
    <row r="296" spans="2:14" ht="12" customHeight="1">
      <c r="C296" s="231"/>
      <c r="D296" s="3912" t="s">
        <v>1217</v>
      </c>
      <c r="E296" s="3913"/>
      <c r="F296" s="3913"/>
      <c r="G296" s="3913"/>
      <c r="H296" s="3913"/>
      <c r="I296" s="3913"/>
      <c r="J296" s="232"/>
      <c r="K296" s="232"/>
      <c r="L296" s="232"/>
      <c r="N296" s="212">
        <f t="shared" si="6"/>
        <v>236</v>
      </c>
    </row>
    <row r="297" spans="2:14" ht="12" customHeight="1">
      <c r="C297" s="231"/>
      <c r="D297" s="3912" t="s">
        <v>1218</v>
      </c>
      <c r="E297" s="3913"/>
      <c r="F297" s="3913"/>
      <c r="G297" s="3913"/>
      <c r="H297" s="3913"/>
      <c r="I297" s="3913"/>
      <c r="J297" s="232"/>
      <c r="K297" s="232"/>
      <c r="L297" s="232"/>
      <c r="N297" s="212">
        <f t="shared" si="6"/>
        <v>237</v>
      </c>
    </row>
    <row r="298" spans="2:14" ht="12" customHeight="1">
      <c r="C298" s="231"/>
      <c r="D298" s="3912" t="s">
        <v>1219</v>
      </c>
      <c r="E298" s="3913"/>
      <c r="F298" s="3913"/>
      <c r="G298" s="3913"/>
      <c r="H298" s="3913"/>
      <c r="I298" s="3913"/>
      <c r="J298" s="232"/>
      <c r="K298" s="232"/>
      <c r="L298" s="232"/>
      <c r="N298" s="212">
        <f t="shared" si="6"/>
        <v>238</v>
      </c>
    </row>
    <row r="299" spans="2:14" ht="12" customHeight="1">
      <c r="C299" s="231"/>
      <c r="D299" s="3912" t="s">
        <v>1220</v>
      </c>
      <c r="E299" s="3913"/>
      <c r="F299" s="3913"/>
      <c r="G299" s="3913"/>
      <c r="H299" s="3913"/>
      <c r="I299" s="3913"/>
      <c r="J299" s="232"/>
      <c r="K299" s="232"/>
      <c r="L299" s="232"/>
      <c r="N299" s="212">
        <f t="shared" si="6"/>
        <v>239</v>
      </c>
    </row>
    <row r="300" spans="2:14" ht="12" customHeight="1">
      <c r="C300" s="231"/>
      <c r="D300" s="3912" t="s">
        <v>1221</v>
      </c>
      <c r="E300" s="3913"/>
      <c r="F300" s="3913"/>
      <c r="G300" s="3913"/>
      <c r="H300" s="3913"/>
      <c r="I300" s="3913"/>
      <c r="J300" s="232"/>
      <c r="K300" s="232"/>
      <c r="L300" s="232"/>
      <c r="N300" s="212">
        <f t="shared" si="6"/>
        <v>240</v>
      </c>
    </row>
    <row r="301" spans="2:14" ht="12" customHeight="1">
      <c r="C301" s="231"/>
      <c r="D301" s="3912" t="s">
        <v>1222</v>
      </c>
      <c r="E301" s="3913"/>
      <c r="F301" s="3913"/>
      <c r="G301" s="3913"/>
      <c r="H301" s="3913"/>
      <c r="I301" s="3913"/>
      <c r="J301" s="232"/>
      <c r="K301" s="232"/>
      <c r="L301" s="232"/>
      <c r="N301" s="212">
        <f t="shared" si="6"/>
        <v>241</v>
      </c>
    </row>
    <row r="302" spans="2:14" ht="12" customHeight="1">
      <c r="C302" s="231"/>
      <c r="D302" s="3912" t="s">
        <v>657</v>
      </c>
      <c r="E302" s="3913"/>
      <c r="F302" s="3913"/>
      <c r="G302" s="3913"/>
      <c r="H302" s="3913"/>
      <c r="I302" s="3913"/>
      <c r="J302" s="232"/>
      <c r="K302" s="232"/>
      <c r="L302" s="232"/>
      <c r="N302" s="212">
        <f t="shared" si="6"/>
        <v>242</v>
      </c>
    </row>
    <row r="303" spans="2:14" ht="12" customHeight="1">
      <c r="C303" s="231"/>
      <c r="D303" s="3912" t="s">
        <v>1223</v>
      </c>
      <c r="E303" s="3913"/>
      <c r="F303" s="3913"/>
      <c r="G303" s="3913"/>
      <c r="H303" s="3913"/>
      <c r="I303" s="3913"/>
      <c r="J303" s="232"/>
      <c r="K303" s="232"/>
      <c r="L303" s="232"/>
      <c r="N303" s="212">
        <f t="shared" si="6"/>
        <v>243</v>
      </c>
    </row>
    <row r="304" spans="2:14" ht="12" customHeight="1">
      <c r="C304" s="231"/>
      <c r="D304" s="3912" t="s">
        <v>1224</v>
      </c>
      <c r="E304" s="3913"/>
      <c r="F304" s="3913"/>
      <c r="G304" s="3913"/>
      <c r="H304" s="3913"/>
      <c r="I304" s="3913"/>
      <c r="J304" s="232"/>
      <c r="K304" s="232"/>
      <c r="L304" s="232"/>
      <c r="N304" s="212">
        <f t="shared" si="6"/>
        <v>244</v>
      </c>
    </row>
    <row r="305" spans="1:14" ht="12" customHeight="1">
      <c r="C305" s="231"/>
      <c r="D305" s="3912" t="s">
        <v>658</v>
      </c>
      <c r="E305" s="3913"/>
      <c r="F305" s="3913"/>
      <c r="G305" s="3913"/>
      <c r="H305" s="3913"/>
      <c r="I305" s="3913"/>
      <c r="J305" s="232"/>
      <c r="K305" s="232"/>
      <c r="L305" s="232"/>
      <c r="N305" s="212">
        <f t="shared" si="6"/>
        <v>245</v>
      </c>
    </row>
    <row r="306" spans="1:14" ht="12" customHeight="1">
      <c r="C306" s="231"/>
      <c r="D306" s="3912" t="s">
        <v>659</v>
      </c>
      <c r="E306" s="3913"/>
      <c r="F306" s="3913"/>
      <c r="G306" s="3913"/>
      <c r="H306" s="3913"/>
      <c r="I306" s="3913"/>
      <c r="J306" s="232"/>
      <c r="K306" s="232"/>
      <c r="L306" s="232"/>
      <c r="N306" s="212">
        <f t="shared" si="6"/>
        <v>246</v>
      </c>
    </row>
    <row r="307" spans="1:14" ht="12" customHeight="1">
      <c r="C307" s="231"/>
      <c r="D307" s="3912" t="s">
        <v>660</v>
      </c>
      <c r="E307" s="3913"/>
      <c r="F307" s="3913"/>
      <c r="G307" s="3913"/>
      <c r="H307" s="3913"/>
      <c r="I307" s="3913"/>
      <c r="J307" s="232"/>
      <c r="K307" s="232"/>
      <c r="L307" s="232"/>
      <c r="N307" s="212">
        <f t="shared" si="6"/>
        <v>247</v>
      </c>
    </row>
    <row r="308" spans="1:14" ht="12" customHeight="1">
      <c r="C308" s="231"/>
      <c r="D308" s="3912" t="s">
        <v>661</v>
      </c>
      <c r="E308" s="3913"/>
      <c r="F308" s="3913"/>
      <c r="G308" s="3913"/>
      <c r="H308" s="3913"/>
      <c r="I308" s="3913"/>
      <c r="J308" s="232"/>
      <c r="K308" s="232"/>
      <c r="L308" s="232"/>
      <c r="N308" s="212">
        <f t="shared" si="6"/>
        <v>248</v>
      </c>
    </row>
    <row r="309" spans="1:14" ht="12" customHeight="1">
      <c r="C309" s="231"/>
      <c r="D309" s="3912" t="s">
        <v>662</v>
      </c>
      <c r="E309" s="3913"/>
      <c r="F309" s="3913"/>
      <c r="G309" s="3913"/>
      <c r="H309" s="3913"/>
      <c r="I309" s="3913"/>
      <c r="J309" s="232"/>
      <c r="K309" s="232"/>
      <c r="L309" s="232"/>
      <c r="N309" s="212">
        <f t="shared" si="6"/>
        <v>249</v>
      </c>
    </row>
    <row r="310" spans="1:14" ht="12" customHeight="1">
      <c r="C310" s="231"/>
      <c r="D310" s="3912" t="s">
        <v>663</v>
      </c>
      <c r="E310" s="3913"/>
      <c r="F310" s="3913"/>
      <c r="G310" s="3913"/>
      <c r="H310" s="3913"/>
      <c r="I310" s="3913"/>
      <c r="J310" s="232"/>
      <c r="K310" s="232"/>
      <c r="L310" s="232"/>
      <c r="N310" s="212">
        <f t="shared" si="6"/>
        <v>250</v>
      </c>
    </row>
    <row r="311" spans="1:14" ht="12" customHeight="1">
      <c r="C311" s="231"/>
      <c r="D311" s="3912" t="s">
        <v>664</v>
      </c>
      <c r="E311" s="3913"/>
      <c r="F311" s="3913"/>
      <c r="G311" s="3913"/>
      <c r="H311" s="3913"/>
      <c r="I311" s="3913"/>
      <c r="J311" s="232"/>
      <c r="K311" s="232"/>
      <c r="L311" s="232"/>
      <c r="N311" s="212">
        <f t="shared" si="6"/>
        <v>251</v>
      </c>
    </row>
    <row r="312" spans="1:14" ht="12" customHeight="1">
      <c r="C312" s="231"/>
      <c r="D312" s="3912" t="s">
        <v>665</v>
      </c>
      <c r="E312" s="3913"/>
      <c r="F312" s="3913"/>
      <c r="G312" s="3913"/>
      <c r="H312" s="3913"/>
      <c r="I312" s="3913"/>
      <c r="J312" s="232"/>
      <c r="K312" s="232"/>
      <c r="L312" s="232"/>
      <c r="N312" s="212">
        <f t="shared" si="6"/>
        <v>252</v>
      </c>
    </row>
    <row r="313" spans="1:14" ht="12" customHeight="1">
      <c r="C313" s="231"/>
      <c r="D313" s="742"/>
      <c r="E313" s="743"/>
      <c r="F313" s="1714"/>
      <c r="G313" s="743"/>
      <c r="H313" s="743"/>
      <c r="I313" s="743"/>
      <c r="J313" s="232"/>
      <c r="K313" s="232"/>
      <c r="L313" s="232"/>
      <c r="N313" s="212">
        <f t="shared" si="6"/>
        <v>252</v>
      </c>
    </row>
    <row r="314" spans="1:14" ht="12" customHeight="1" thickBot="1">
      <c r="A314" s="3906"/>
      <c r="C314" s="231"/>
      <c r="D314" s="3916"/>
      <c r="E314" s="3917"/>
      <c r="F314" s="3917"/>
      <c r="G314" s="3917"/>
      <c r="H314" s="3917"/>
      <c r="I314" s="3917"/>
      <c r="J314" s="232"/>
      <c r="K314" s="232"/>
      <c r="L314" s="232"/>
      <c r="N314" s="212">
        <f>IF(D314="",N312,N312+1)</f>
        <v>252</v>
      </c>
    </row>
    <row r="315" spans="1:14" ht="12" customHeight="1" thickBot="1">
      <c r="A315" s="3906"/>
      <c r="C315" s="231"/>
      <c r="D315" s="3967" t="s">
        <v>666</v>
      </c>
      <c r="E315" s="3968"/>
      <c r="F315" s="3968"/>
      <c r="G315" s="3968"/>
      <c r="H315" s="3968"/>
      <c r="I315" s="3968"/>
      <c r="J315" s="232"/>
      <c r="K315" s="194" t="s">
        <v>585</v>
      </c>
      <c r="L315" s="232"/>
      <c r="N315" s="212">
        <f t="shared" si="6"/>
        <v>253</v>
      </c>
    </row>
    <row r="316" spans="1:14" ht="12" customHeight="1">
      <c r="A316" s="3906"/>
      <c r="C316" s="231"/>
      <c r="D316" s="3900" t="s">
        <v>667</v>
      </c>
      <c r="E316" s="3901"/>
      <c r="F316" s="3901"/>
      <c r="G316" s="3901"/>
      <c r="H316" s="3901"/>
      <c r="I316" s="3901"/>
      <c r="J316" s="232"/>
      <c r="K316" s="232"/>
      <c r="L316" s="232"/>
      <c r="N316" s="212">
        <f t="shared" si="6"/>
        <v>254</v>
      </c>
    </row>
    <row r="317" spans="1:14" ht="12" customHeight="1">
      <c r="A317" s="3906"/>
      <c r="C317" s="231"/>
      <c r="D317" s="3900" t="s">
        <v>1225</v>
      </c>
      <c r="E317" s="3900"/>
      <c r="F317" s="3900"/>
      <c r="G317" s="3900"/>
      <c r="H317" s="3900"/>
      <c r="I317" s="3900"/>
      <c r="J317" s="3900"/>
      <c r="K317" s="3900"/>
      <c r="L317" s="232"/>
      <c r="N317" s="212">
        <f t="shared" si="6"/>
        <v>255</v>
      </c>
    </row>
    <row r="318" spans="1:14" ht="12" customHeight="1">
      <c r="A318" s="3906"/>
      <c r="C318" s="231"/>
      <c r="D318" s="3900" t="s">
        <v>1226</v>
      </c>
      <c r="E318" s="3901"/>
      <c r="F318" s="3901"/>
      <c r="G318" s="3901"/>
      <c r="H318" s="3901"/>
      <c r="I318" s="3901"/>
      <c r="J318" s="232"/>
      <c r="K318" s="232"/>
      <c r="L318" s="232"/>
      <c r="N318" s="212">
        <f t="shared" si="6"/>
        <v>256</v>
      </c>
    </row>
    <row r="319" spans="1:14" ht="12" customHeight="1">
      <c r="A319" s="3906"/>
      <c r="C319" s="231"/>
      <c r="D319" s="3900" t="s">
        <v>668</v>
      </c>
      <c r="E319" s="3901"/>
      <c r="F319" s="3901"/>
      <c r="G319" s="3901"/>
      <c r="H319" s="3901"/>
      <c r="I319" s="3901"/>
      <c r="J319" s="232"/>
      <c r="K319" s="232"/>
      <c r="L319" s="232"/>
      <c r="N319" s="212">
        <f t="shared" si="6"/>
        <v>257</v>
      </c>
    </row>
    <row r="320" spans="1:14" ht="12" customHeight="1">
      <c r="A320" s="3906"/>
      <c r="C320" s="231"/>
      <c r="D320" s="3900" t="s">
        <v>669</v>
      </c>
      <c r="E320" s="3901"/>
      <c r="F320" s="3901"/>
      <c r="G320" s="3901"/>
      <c r="H320" s="3901"/>
      <c r="I320" s="3901"/>
      <c r="J320" s="232"/>
      <c r="K320" s="232"/>
      <c r="L320" s="232"/>
      <c r="N320" s="212">
        <f t="shared" si="6"/>
        <v>258</v>
      </c>
    </row>
    <row r="321" spans="1:14" ht="12" customHeight="1">
      <c r="A321" s="3906"/>
      <c r="C321" s="231"/>
      <c r="D321" s="3900" t="s">
        <v>1227</v>
      </c>
      <c r="E321" s="3901"/>
      <c r="F321" s="3901"/>
      <c r="G321" s="3901"/>
      <c r="H321" s="3901"/>
      <c r="I321" s="3901"/>
      <c r="J321" s="232"/>
      <c r="K321" s="232"/>
      <c r="L321" s="232"/>
      <c r="N321" s="212">
        <f t="shared" si="6"/>
        <v>259</v>
      </c>
    </row>
    <row r="322" spans="1:14" ht="12" customHeight="1">
      <c r="A322" s="3906"/>
      <c r="C322" s="231"/>
      <c r="D322" s="3900" t="s">
        <v>670</v>
      </c>
      <c r="E322" s="3901"/>
      <c r="F322" s="3901"/>
      <c r="G322" s="3901"/>
      <c r="H322" s="3901"/>
      <c r="I322" s="3901"/>
      <c r="J322" s="232"/>
      <c r="K322" s="232"/>
      <c r="L322" s="232"/>
      <c r="N322" s="212">
        <f t="shared" si="6"/>
        <v>260</v>
      </c>
    </row>
    <row r="323" spans="1:14" ht="12" customHeight="1">
      <c r="A323" s="3906"/>
      <c r="C323" s="231"/>
      <c r="D323" s="3900" t="s">
        <v>1228</v>
      </c>
      <c r="E323" s="3901"/>
      <c r="F323" s="3901"/>
      <c r="G323" s="3901"/>
      <c r="H323" s="3901"/>
      <c r="I323" s="3901"/>
      <c r="J323" s="232"/>
      <c r="K323" s="232"/>
      <c r="L323" s="232"/>
      <c r="N323" s="212">
        <f t="shared" si="6"/>
        <v>261</v>
      </c>
    </row>
    <row r="324" spans="1:14" ht="12" customHeight="1">
      <c r="A324" s="3906"/>
      <c r="C324" s="231"/>
      <c r="D324" s="3900" t="s">
        <v>1229</v>
      </c>
      <c r="E324" s="3901"/>
      <c r="F324" s="3901"/>
      <c r="G324" s="3901"/>
      <c r="H324" s="3901"/>
      <c r="I324" s="3901"/>
      <c r="J324" s="232"/>
      <c r="K324" s="232"/>
      <c r="L324" s="232"/>
      <c r="N324" s="212">
        <f t="shared" si="6"/>
        <v>262</v>
      </c>
    </row>
    <row r="325" spans="1:14" ht="12" customHeight="1">
      <c r="A325" s="3906"/>
      <c r="C325" s="231"/>
      <c r="D325" s="3900" t="s">
        <v>671</v>
      </c>
      <c r="E325" s="3901"/>
      <c r="F325" s="3901"/>
      <c r="G325" s="3901"/>
      <c r="H325" s="3901"/>
      <c r="I325" s="3901"/>
      <c r="J325" s="232"/>
      <c r="K325" s="232"/>
      <c r="L325" s="232"/>
      <c r="N325" s="212">
        <f t="shared" si="6"/>
        <v>263</v>
      </c>
    </row>
    <row r="326" spans="1:14" ht="12" customHeight="1">
      <c r="A326" s="3906"/>
      <c r="C326" s="231"/>
      <c r="D326" s="3900" t="s">
        <v>672</v>
      </c>
      <c r="E326" s="3901"/>
      <c r="F326" s="3901"/>
      <c r="G326" s="3901"/>
      <c r="H326" s="3901"/>
      <c r="I326" s="3901"/>
      <c r="J326" s="232"/>
      <c r="K326" s="232"/>
      <c r="L326" s="232"/>
      <c r="N326" s="212">
        <f t="shared" si="6"/>
        <v>264</v>
      </c>
    </row>
    <row r="327" spans="1:14" ht="12" customHeight="1">
      <c r="A327" s="3906"/>
      <c r="C327" s="231"/>
      <c r="D327" s="3900" t="s">
        <v>1230</v>
      </c>
      <c r="E327" s="3901"/>
      <c r="F327" s="3901"/>
      <c r="G327" s="3901"/>
      <c r="H327" s="3901"/>
      <c r="I327" s="3901"/>
      <c r="J327" s="232"/>
      <c r="K327" s="232"/>
      <c r="L327" s="232"/>
      <c r="N327" s="212">
        <f t="shared" si="6"/>
        <v>265</v>
      </c>
    </row>
    <row r="328" spans="1:14" ht="12" customHeight="1">
      <c r="A328" s="3906"/>
      <c r="C328" s="231"/>
      <c r="D328" s="3900" t="s">
        <v>1231</v>
      </c>
      <c r="E328" s="3901"/>
      <c r="F328" s="3901"/>
      <c r="G328" s="3901"/>
      <c r="H328" s="3901"/>
      <c r="I328" s="3901"/>
      <c r="J328" s="232"/>
      <c r="K328" s="232"/>
      <c r="L328" s="232"/>
      <c r="N328" s="212">
        <f t="shared" si="6"/>
        <v>266</v>
      </c>
    </row>
    <row r="329" spans="1:14" ht="12" customHeight="1">
      <c r="A329" s="3906"/>
      <c r="C329" s="231"/>
      <c r="D329" s="738"/>
      <c r="E329" s="739"/>
      <c r="F329" s="1712"/>
      <c r="G329" s="739"/>
      <c r="H329" s="739"/>
      <c r="I329" s="739"/>
      <c r="J329" s="232"/>
      <c r="K329" s="232"/>
      <c r="L329" s="232"/>
      <c r="N329" s="212">
        <f t="shared" si="6"/>
        <v>266</v>
      </c>
    </row>
    <row r="330" spans="1:14" ht="12" customHeight="1">
      <c r="A330" s="3906"/>
      <c r="C330" s="231"/>
      <c r="D330" s="738"/>
      <c r="E330" s="739"/>
      <c r="F330" s="1712"/>
      <c r="G330" s="739"/>
      <c r="H330" s="739"/>
      <c r="I330" s="739"/>
      <c r="J330" s="232"/>
      <c r="K330" s="232"/>
      <c r="L330" s="232"/>
      <c r="N330" s="212">
        <f t="shared" si="6"/>
        <v>266</v>
      </c>
    </row>
    <row r="331" spans="1:14" ht="12" customHeight="1">
      <c r="A331" s="3906"/>
      <c r="C331" s="231"/>
      <c r="D331" s="738"/>
      <c r="E331" s="739"/>
      <c r="F331" s="1712"/>
      <c r="G331" s="739"/>
      <c r="H331" s="739"/>
      <c r="I331" s="739"/>
      <c r="J331" s="232"/>
      <c r="K331" s="232"/>
      <c r="L331" s="232"/>
      <c r="N331" s="212">
        <f t="shared" si="6"/>
        <v>266</v>
      </c>
    </row>
    <row r="332" spans="1:14" ht="12" customHeight="1">
      <c r="A332" s="3906"/>
      <c r="C332" s="231"/>
      <c r="D332" s="3900" t="s">
        <v>673</v>
      </c>
      <c r="E332" s="3900"/>
      <c r="F332" s="3900"/>
      <c r="G332" s="3900"/>
      <c r="H332" s="3900"/>
      <c r="I332" s="3900"/>
      <c r="J332" s="232"/>
      <c r="K332" s="232"/>
      <c r="L332" s="232"/>
      <c r="N332" s="212">
        <f>IF(D332="",N328,N328+1)</f>
        <v>267</v>
      </c>
    </row>
    <row r="333" spans="1:14" ht="12" customHeight="1">
      <c r="A333" s="3906"/>
      <c r="C333" s="231"/>
      <c r="D333" s="3900" t="s">
        <v>1232</v>
      </c>
      <c r="E333" s="3901"/>
      <c r="F333" s="3901"/>
      <c r="G333" s="3901"/>
      <c r="H333" s="3901"/>
      <c r="I333" s="3901"/>
      <c r="J333" s="232"/>
      <c r="K333" s="232"/>
      <c r="L333" s="232"/>
      <c r="N333" s="212">
        <f t="shared" si="6"/>
        <v>268</v>
      </c>
    </row>
    <row r="334" spans="1:14" ht="12" customHeight="1">
      <c r="A334" s="3906"/>
      <c r="C334" s="231"/>
      <c r="D334" s="3900" t="s">
        <v>1234</v>
      </c>
      <c r="E334" s="3901"/>
      <c r="F334" s="3901"/>
      <c r="G334" s="3901"/>
      <c r="H334" s="3901"/>
      <c r="I334" s="3901"/>
      <c r="J334" s="232"/>
      <c r="K334" s="232"/>
      <c r="L334" s="232"/>
      <c r="N334" s="212">
        <f t="shared" si="6"/>
        <v>269</v>
      </c>
    </row>
    <row r="335" spans="1:14" ht="12" customHeight="1">
      <c r="A335" s="3906"/>
      <c r="C335" s="231"/>
      <c r="D335" s="3900" t="s">
        <v>1233</v>
      </c>
      <c r="E335" s="3901"/>
      <c r="F335" s="3901"/>
      <c r="G335" s="3901"/>
      <c r="H335" s="3901"/>
      <c r="I335" s="3901"/>
      <c r="J335" s="232"/>
      <c r="K335" s="232"/>
      <c r="L335" s="232"/>
      <c r="N335" s="212">
        <f t="shared" si="6"/>
        <v>270</v>
      </c>
    </row>
    <row r="336" spans="1:14" ht="12" customHeight="1">
      <c r="A336" s="3906"/>
      <c r="C336" s="231"/>
      <c r="D336" s="3900" t="s">
        <v>1235</v>
      </c>
      <c r="E336" s="3900"/>
      <c r="F336" s="3900"/>
      <c r="G336" s="3900"/>
      <c r="H336" s="3900"/>
      <c r="I336" s="3900"/>
      <c r="J336" s="3900"/>
      <c r="K336" s="3900"/>
      <c r="L336" s="232"/>
      <c r="N336" s="212">
        <f t="shared" si="6"/>
        <v>271</v>
      </c>
    </row>
    <row r="337" spans="1:14" ht="12" customHeight="1">
      <c r="A337" s="3906"/>
      <c r="C337" s="231"/>
      <c r="D337" s="3900" t="s">
        <v>674</v>
      </c>
      <c r="E337" s="3901"/>
      <c r="F337" s="3901"/>
      <c r="G337" s="3901"/>
      <c r="H337" s="3901"/>
      <c r="I337" s="3901"/>
      <c r="J337" s="232"/>
      <c r="K337" s="232"/>
      <c r="L337" s="232"/>
      <c r="N337" s="212">
        <f t="shared" si="6"/>
        <v>272</v>
      </c>
    </row>
    <row r="338" spans="1:14" ht="12" customHeight="1">
      <c r="A338" s="3906"/>
      <c r="C338" s="231"/>
      <c r="D338" s="3900" t="s">
        <v>1236</v>
      </c>
      <c r="E338" s="3901"/>
      <c r="F338" s="3901"/>
      <c r="G338" s="3901"/>
      <c r="H338" s="3901"/>
      <c r="I338" s="3901"/>
      <c r="J338" s="232"/>
      <c r="K338" s="232"/>
      <c r="L338" s="232"/>
      <c r="N338" s="212">
        <f t="shared" ref="N338:N396" si="7">IF(D338="",N337,N337+1)</f>
        <v>273</v>
      </c>
    </row>
    <row r="339" spans="1:14" ht="12" customHeight="1">
      <c r="A339" s="3906"/>
      <c r="C339" s="231"/>
      <c r="D339" s="3900" t="s">
        <v>1237</v>
      </c>
      <c r="E339" s="3901"/>
      <c r="F339" s="3901"/>
      <c r="G339" s="3901"/>
      <c r="H339" s="3901"/>
      <c r="I339" s="3901"/>
      <c r="J339" s="232"/>
      <c r="K339" s="232"/>
      <c r="L339" s="232"/>
      <c r="N339" s="212">
        <f t="shared" si="7"/>
        <v>274</v>
      </c>
    </row>
    <row r="340" spans="1:14" ht="12" customHeight="1">
      <c r="A340" s="3906"/>
      <c r="C340" s="231"/>
      <c r="D340" s="3900" t="s">
        <v>1238</v>
      </c>
      <c r="E340" s="3901"/>
      <c r="F340" s="3901"/>
      <c r="G340" s="3901"/>
      <c r="H340" s="3901"/>
      <c r="I340" s="3901"/>
      <c r="J340" s="232"/>
      <c r="K340" s="232"/>
      <c r="L340" s="232"/>
      <c r="N340" s="212">
        <f t="shared" si="7"/>
        <v>275</v>
      </c>
    </row>
    <row r="341" spans="1:14" ht="12" customHeight="1">
      <c r="A341" s="3906"/>
      <c r="C341" s="231"/>
      <c r="D341" s="3900" t="s">
        <v>675</v>
      </c>
      <c r="E341" s="3901"/>
      <c r="F341" s="3901"/>
      <c r="G341" s="3901"/>
      <c r="H341" s="3901"/>
      <c r="I341" s="3901"/>
      <c r="J341" s="232"/>
      <c r="K341" s="232"/>
      <c r="L341" s="232"/>
      <c r="N341" s="212">
        <f t="shared" si="7"/>
        <v>276</v>
      </c>
    </row>
    <row r="342" spans="1:14" ht="12" customHeight="1">
      <c r="A342" s="3906"/>
      <c r="C342" s="231"/>
      <c r="D342" s="3900" t="s">
        <v>676</v>
      </c>
      <c r="E342" s="3901"/>
      <c r="F342" s="3901"/>
      <c r="G342" s="3901"/>
      <c r="H342" s="3901"/>
      <c r="I342" s="3901"/>
      <c r="J342" s="232"/>
      <c r="K342" s="232"/>
      <c r="L342" s="232"/>
      <c r="N342" s="212">
        <f t="shared" si="7"/>
        <v>277</v>
      </c>
    </row>
    <row r="343" spans="1:14" ht="12" customHeight="1">
      <c r="C343" s="231"/>
      <c r="D343" s="3900" t="s">
        <v>677</v>
      </c>
      <c r="E343" s="3901"/>
      <c r="F343" s="3901"/>
      <c r="G343" s="3901"/>
      <c r="H343" s="3901"/>
      <c r="I343" s="3901"/>
      <c r="J343" s="232"/>
      <c r="K343" s="232"/>
      <c r="L343" s="232"/>
      <c r="N343" s="212">
        <f t="shared" si="7"/>
        <v>278</v>
      </c>
    </row>
    <row r="344" spans="1:14" ht="12" customHeight="1">
      <c r="C344" s="231"/>
      <c r="D344" s="3900" t="s">
        <v>1239</v>
      </c>
      <c r="E344" s="3901"/>
      <c r="F344" s="3901"/>
      <c r="G344" s="3901"/>
      <c r="H344" s="3901"/>
      <c r="I344" s="3901"/>
      <c r="J344" s="232"/>
      <c r="K344" s="232"/>
      <c r="L344" s="232"/>
      <c r="N344" s="212">
        <f t="shared" si="7"/>
        <v>279</v>
      </c>
    </row>
    <row r="345" spans="1:14" ht="12" customHeight="1">
      <c r="C345" s="231"/>
      <c r="D345" s="3900" t="s">
        <v>678</v>
      </c>
      <c r="E345" s="3901"/>
      <c r="F345" s="3901"/>
      <c r="G345" s="3901"/>
      <c r="H345" s="3901"/>
      <c r="I345" s="3901"/>
      <c r="J345" s="232"/>
      <c r="K345" s="232"/>
      <c r="L345" s="232"/>
      <c r="N345" s="212">
        <f t="shared" si="7"/>
        <v>280</v>
      </c>
    </row>
    <row r="346" spans="1:14" ht="12" customHeight="1">
      <c r="C346" s="231"/>
      <c r="D346" s="3900" t="s">
        <v>1240</v>
      </c>
      <c r="E346" s="3901"/>
      <c r="F346" s="3901"/>
      <c r="G346" s="3901"/>
      <c r="H346" s="3901"/>
      <c r="I346" s="3901"/>
      <c r="J346" s="232"/>
      <c r="K346" s="232"/>
      <c r="L346" s="232"/>
      <c r="N346" s="212">
        <f t="shared" si="7"/>
        <v>281</v>
      </c>
    </row>
    <row r="347" spans="1:14" ht="12" customHeight="1">
      <c r="C347" s="231"/>
      <c r="D347" s="3900" t="s">
        <v>679</v>
      </c>
      <c r="E347" s="3901"/>
      <c r="F347" s="3901"/>
      <c r="G347" s="3901"/>
      <c r="H347" s="3901"/>
      <c r="I347" s="3901"/>
      <c r="J347" s="232"/>
      <c r="K347" s="232"/>
      <c r="L347" s="232"/>
      <c r="N347" s="212">
        <f t="shared" si="7"/>
        <v>282</v>
      </c>
    </row>
    <row r="348" spans="1:14" ht="12" customHeight="1">
      <c r="C348" s="231"/>
      <c r="D348" s="3900" t="s">
        <v>1241</v>
      </c>
      <c r="E348" s="3901"/>
      <c r="F348" s="3901"/>
      <c r="G348" s="3901"/>
      <c r="H348" s="3901"/>
      <c r="I348" s="3901"/>
      <c r="J348" s="232"/>
      <c r="K348" s="232"/>
      <c r="L348" s="232"/>
      <c r="N348" s="212">
        <f t="shared" si="7"/>
        <v>283</v>
      </c>
    </row>
    <row r="349" spans="1:14" ht="12" customHeight="1">
      <c r="C349" s="231"/>
      <c r="D349" s="3900" t="s">
        <v>680</v>
      </c>
      <c r="E349" s="3901"/>
      <c r="F349" s="3901"/>
      <c r="G349" s="3901"/>
      <c r="H349" s="3901"/>
      <c r="I349" s="3901"/>
      <c r="J349" s="232"/>
      <c r="K349" s="232"/>
      <c r="L349" s="232"/>
      <c r="N349" s="212">
        <f t="shared" si="7"/>
        <v>284</v>
      </c>
    </row>
    <row r="350" spans="1:14" ht="12" customHeight="1">
      <c r="C350" s="231"/>
      <c r="D350" s="3900" t="s">
        <v>1242</v>
      </c>
      <c r="E350" s="3901"/>
      <c r="F350" s="3901"/>
      <c r="G350" s="3901"/>
      <c r="H350" s="3901"/>
      <c r="I350" s="3901"/>
      <c r="J350" s="232"/>
      <c r="K350" s="232"/>
      <c r="L350" s="232"/>
      <c r="N350" s="212">
        <f t="shared" si="7"/>
        <v>285</v>
      </c>
    </row>
    <row r="351" spans="1:14" ht="12" customHeight="1">
      <c r="C351" s="231"/>
      <c r="D351" s="3900" t="s">
        <v>681</v>
      </c>
      <c r="E351" s="3901"/>
      <c r="F351" s="3901"/>
      <c r="G351" s="3901"/>
      <c r="H351" s="3901"/>
      <c r="I351" s="3901"/>
      <c r="J351" s="232"/>
      <c r="K351" s="232"/>
      <c r="L351" s="232"/>
      <c r="N351" s="212">
        <f t="shared" si="7"/>
        <v>286</v>
      </c>
    </row>
    <row r="352" spans="1:14" ht="12" customHeight="1">
      <c r="C352" s="231"/>
      <c r="D352" s="3900" t="s">
        <v>1244</v>
      </c>
      <c r="E352" s="3901"/>
      <c r="F352" s="3901"/>
      <c r="G352" s="3901"/>
      <c r="H352" s="3901"/>
      <c r="I352" s="3901"/>
      <c r="J352" s="232"/>
      <c r="K352" s="232"/>
      <c r="L352" s="232"/>
      <c r="N352" s="212">
        <f t="shared" si="7"/>
        <v>287</v>
      </c>
    </row>
    <row r="353" spans="1:14" ht="12" customHeight="1">
      <c r="C353" s="231"/>
      <c r="D353" s="3900" t="s">
        <v>1243</v>
      </c>
      <c r="E353" s="3901"/>
      <c r="F353" s="3901"/>
      <c r="G353" s="3901"/>
      <c r="H353" s="3901"/>
      <c r="I353" s="3901"/>
      <c r="J353" s="232"/>
      <c r="K353" s="232"/>
      <c r="L353" s="232"/>
      <c r="N353" s="212">
        <f t="shared" si="7"/>
        <v>288</v>
      </c>
    </row>
    <row r="354" spans="1:14" ht="12" customHeight="1">
      <c r="C354" s="231"/>
      <c r="D354" s="3916"/>
      <c r="E354" s="3916"/>
      <c r="F354" s="3916"/>
      <c r="G354" s="3916"/>
      <c r="H354" s="3916"/>
      <c r="I354" s="3916"/>
      <c r="J354" s="232"/>
      <c r="K354" s="232"/>
      <c r="L354" s="232"/>
      <c r="N354" s="212">
        <f>IF(D354="",N353,N353+1)</f>
        <v>288</v>
      </c>
    </row>
    <row r="355" spans="1:14" ht="12" customHeight="1">
      <c r="A355" s="3906"/>
      <c r="C355" s="231"/>
      <c r="D355" s="744"/>
      <c r="E355" s="744"/>
      <c r="F355" s="1718"/>
      <c r="G355" s="744"/>
      <c r="H355" s="744"/>
      <c r="I355" s="744"/>
      <c r="J355" s="232"/>
      <c r="K355" s="232"/>
      <c r="L355" s="232"/>
      <c r="N355" s="212">
        <f>IF(D355="",N354,N354+1)</f>
        <v>288</v>
      </c>
    </row>
    <row r="356" spans="1:14" ht="12" customHeight="1">
      <c r="A356" s="3906"/>
      <c r="C356" s="231"/>
      <c r="D356" s="3967" t="s">
        <v>682</v>
      </c>
      <c r="E356" s="3968"/>
      <c r="F356" s="3968"/>
      <c r="G356" s="3968"/>
      <c r="H356" s="3968"/>
      <c r="I356" s="3968"/>
      <c r="J356" s="232"/>
      <c r="K356" s="232"/>
      <c r="L356" s="232"/>
      <c r="N356" s="212">
        <f>IF(D356="",N354,N354+1)</f>
        <v>289</v>
      </c>
    </row>
    <row r="357" spans="1:14" ht="12" customHeight="1">
      <c r="A357" s="3906"/>
      <c r="C357" s="231"/>
      <c r="D357" s="3900" t="s">
        <v>1247</v>
      </c>
      <c r="E357" s="3901"/>
      <c r="F357" s="3901"/>
      <c r="G357" s="3901"/>
      <c r="H357" s="3901"/>
      <c r="I357" s="3901"/>
      <c r="J357" s="232"/>
      <c r="K357" s="232"/>
      <c r="L357" s="232"/>
      <c r="N357" s="212">
        <f t="shared" si="7"/>
        <v>290</v>
      </c>
    </row>
    <row r="358" spans="1:14" ht="12" customHeight="1">
      <c r="A358" s="3906"/>
      <c r="C358" s="231"/>
      <c r="D358" s="3900" t="s">
        <v>1248</v>
      </c>
      <c r="E358" s="3900"/>
      <c r="F358" s="3900"/>
      <c r="G358" s="3900"/>
      <c r="H358" s="3900"/>
      <c r="I358" s="3900"/>
      <c r="J358" s="3900"/>
      <c r="K358" s="3900"/>
      <c r="L358" s="232"/>
      <c r="N358" s="212">
        <f t="shared" si="7"/>
        <v>291</v>
      </c>
    </row>
    <row r="359" spans="1:14" ht="12" customHeight="1">
      <c r="A359" s="3906"/>
      <c r="C359" s="231"/>
      <c r="D359" s="3900"/>
      <c r="E359" s="3900"/>
      <c r="F359" s="3900"/>
      <c r="G359" s="3900"/>
      <c r="H359" s="3900"/>
      <c r="I359" s="3900"/>
      <c r="J359" s="232"/>
      <c r="K359" s="232"/>
      <c r="L359" s="232"/>
      <c r="N359" s="212">
        <f t="shared" si="7"/>
        <v>291</v>
      </c>
    </row>
    <row r="360" spans="1:14" ht="12" customHeight="1">
      <c r="A360" s="3906"/>
      <c r="C360" s="231"/>
      <c r="D360" s="3912" t="s">
        <v>683</v>
      </c>
      <c r="E360" s="3913"/>
      <c r="F360" s="3913"/>
      <c r="G360" s="3913"/>
      <c r="H360" s="3913"/>
      <c r="I360" s="3913"/>
      <c r="J360" s="232"/>
      <c r="K360" s="232"/>
      <c r="L360" s="232"/>
      <c r="N360" s="212">
        <f t="shared" si="7"/>
        <v>292</v>
      </c>
    </row>
    <row r="361" spans="1:14" ht="12" customHeight="1">
      <c r="A361" s="3906"/>
      <c r="C361" s="231"/>
      <c r="D361" s="3912" t="s">
        <v>684</v>
      </c>
      <c r="E361" s="3913"/>
      <c r="F361" s="3913"/>
      <c r="G361" s="3913"/>
      <c r="H361" s="3913"/>
      <c r="I361" s="3913"/>
      <c r="J361" s="232"/>
      <c r="K361" s="232"/>
      <c r="L361" s="232"/>
      <c r="N361" s="212">
        <f t="shared" si="7"/>
        <v>293</v>
      </c>
    </row>
    <row r="362" spans="1:14" ht="12" customHeight="1" thickBot="1">
      <c r="A362" s="3906"/>
      <c r="C362" s="231"/>
      <c r="D362" s="3912" t="s">
        <v>1249</v>
      </c>
      <c r="E362" s="3913"/>
      <c r="F362" s="3913"/>
      <c r="G362" s="3913"/>
      <c r="H362" s="3913"/>
      <c r="I362" s="3913"/>
      <c r="J362" s="232"/>
      <c r="K362" s="232"/>
      <c r="L362" s="232"/>
      <c r="N362" s="212">
        <f t="shared" si="7"/>
        <v>294</v>
      </c>
    </row>
    <row r="363" spans="1:14" ht="12" customHeight="1" thickBot="1">
      <c r="A363" s="3906"/>
      <c r="C363" s="231"/>
      <c r="D363" s="3912" t="s">
        <v>685</v>
      </c>
      <c r="E363" s="3913"/>
      <c r="F363" s="3913"/>
      <c r="G363" s="3913"/>
      <c r="H363" s="3913"/>
      <c r="I363" s="3913"/>
      <c r="J363" s="232"/>
      <c r="K363" s="194" t="s">
        <v>585</v>
      </c>
      <c r="L363" s="232"/>
      <c r="N363" s="212">
        <f t="shared" si="7"/>
        <v>295</v>
      </c>
    </row>
    <row r="364" spans="1:14" ht="12" customHeight="1">
      <c r="A364" s="3906"/>
      <c r="B364" s="230"/>
      <c r="C364" s="3925"/>
      <c r="D364" s="3904"/>
      <c r="E364" s="3905"/>
      <c r="F364" s="3905"/>
      <c r="G364" s="3905"/>
      <c r="H364" s="3905"/>
      <c r="I364" s="3905"/>
      <c r="J364" s="232"/>
      <c r="K364" s="232"/>
      <c r="L364" s="3925"/>
      <c r="N364" s="212">
        <f t="shared" si="7"/>
        <v>295</v>
      </c>
    </row>
    <row r="365" spans="1:14" ht="12" customHeight="1">
      <c r="A365" s="3906"/>
      <c r="B365" s="230"/>
      <c r="C365" s="3925"/>
      <c r="D365" s="3967" t="s">
        <v>686</v>
      </c>
      <c r="E365" s="3968"/>
      <c r="F365" s="3968"/>
      <c r="G365" s="3968"/>
      <c r="H365" s="3968"/>
      <c r="I365" s="3968"/>
      <c r="J365" s="232"/>
      <c r="K365" s="232"/>
      <c r="L365" s="3925"/>
      <c r="N365" s="212">
        <f t="shared" si="7"/>
        <v>296</v>
      </c>
    </row>
    <row r="366" spans="1:14" ht="12" customHeight="1">
      <c r="A366" s="3906"/>
      <c r="B366" s="230"/>
      <c r="C366" s="3925"/>
      <c r="D366" s="3900" t="s">
        <v>687</v>
      </c>
      <c r="E366" s="3901"/>
      <c r="F366" s="3901"/>
      <c r="G366" s="3901"/>
      <c r="H366" s="3901"/>
      <c r="I366" s="3901"/>
      <c r="J366" s="232"/>
      <c r="K366" s="232"/>
      <c r="L366" s="3925"/>
      <c r="N366" s="212">
        <f t="shared" si="7"/>
        <v>297</v>
      </c>
    </row>
    <row r="367" spans="1:14" ht="12" customHeight="1">
      <c r="A367" s="3906"/>
      <c r="B367" s="230"/>
      <c r="C367" s="3925"/>
      <c r="D367" s="3900" t="s">
        <v>1250</v>
      </c>
      <c r="E367" s="3901"/>
      <c r="F367" s="3901"/>
      <c r="G367" s="3901"/>
      <c r="H367" s="3901"/>
      <c r="I367" s="3901"/>
      <c r="J367" s="232"/>
      <c r="K367" s="232"/>
      <c r="L367" s="3925"/>
      <c r="N367" s="212">
        <f t="shared" si="7"/>
        <v>298</v>
      </c>
    </row>
    <row r="368" spans="1:14" ht="12" customHeight="1" thickBot="1">
      <c r="A368" s="3906"/>
      <c r="B368" s="3906"/>
      <c r="C368" s="3925"/>
      <c r="D368" s="3904"/>
      <c r="E368" s="3905"/>
      <c r="F368" s="3905"/>
      <c r="G368" s="3905"/>
      <c r="H368" s="3905"/>
      <c r="I368" s="3905"/>
      <c r="J368" s="232"/>
      <c r="K368" s="232"/>
      <c r="L368" s="3925"/>
      <c r="N368" s="212">
        <f t="shared" si="7"/>
        <v>298</v>
      </c>
    </row>
    <row r="369" spans="1:14" ht="12" customHeight="1" thickBot="1">
      <c r="A369" s="3906"/>
      <c r="B369" s="3906"/>
      <c r="C369" s="3925"/>
      <c r="D369" s="3967" t="s">
        <v>688</v>
      </c>
      <c r="E369" s="3968"/>
      <c r="F369" s="3968"/>
      <c r="G369" s="3968"/>
      <c r="H369" s="3968"/>
      <c r="I369" s="3968"/>
      <c r="J369" s="232"/>
      <c r="K369" s="194" t="s">
        <v>585</v>
      </c>
      <c r="L369" s="3925"/>
      <c r="N369" s="212">
        <f t="shared" si="7"/>
        <v>299</v>
      </c>
    </row>
    <row r="370" spans="1:14" ht="12" customHeight="1">
      <c r="A370" s="3906"/>
      <c r="B370" s="3906"/>
      <c r="C370" s="3925"/>
      <c r="D370" s="3900" t="s">
        <v>1245</v>
      </c>
      <c r="E370" s="3901"/>
      <c r="F370" s="3901"/>
      <c r="G370" s="3901"/>
      <c r="H370" s="3901"/>
      <c r="I370" s="3901"/>
      <c r="J370" s="232"/>
      <c r="K370" s="232"/>
      <c r="L370" s="3925"/>
      <c r="N370" s="212">
        <f t="shared" si="7"/>
        <v>300</v>
      </c>
    </row>
    <row r="371" spans="1:14" ht="12" customHeight="1">
      <c r="A371" s="3906"/>
      <c r="B371" s="3906"/>
      <c r="C371" s="3925"/>
      <c r="D371" s="3900" t="s">
        <v>689</v>
      </c>
      <c r="E371" s="3901"/>
      <c r="F371" s="3901"/>
      <c r="G371" s="3901"/>
      <c r="H371" s="3901"/>
      <c r="I371" s="3901"/>
      <c r="J371" s="232"/>
      <c r="K371" s="232"/>
      <c r="L371" s="3925"/>
      <c r="N371" s="212">
        <f t="shared" si="7"/>
        <v>301</v>
      </c>
    </row>
    <row r="372" spans="1:14" ht="12" customHeight="1">
      <c r="A372" s="3906"/>
      <c r="B372" s="3906"/>
      <c r="C372" s="3925"/>
      <c r="D372" s="3900" t="s">
        <v>1251</v>
      </c>
      <c r="E372" s="3900"/>
      <c r="F372" s="3900"/>
      <c r="G372" s="3900"/>
      <c r="H372" s="3900"/>
      <c r="I372" s="3900"/>
      <c r="J372" s="3900"/>
      <c r="K372" s="3900"/>
      <c r="L372" s="3925"/>
      <c r="N372" s="212">
        <f t="shared" si="7"/>
        <v>302</v>
      </c>
    </row>
    <row r="373" spans="1:14" ht="12" customHeight="1">
      <c r="A373" s="3906"/>
      <c r="B373" s="3906"/>
      <c r="C373" s="3925"/>
      <c r="D373" s="3900" t="s">
        <v>1252</v>
      </c>
      <c r="E373" s="3901"/>
      <c r="F373" s="3901"/>
      <c r="G373" s="3901"/>
      <c r="H373" s="3901"/>
      <c r="I373" s="3901"/>
      <c r="J373" s="232"/>
      <c r="K373" s="232"/>
      <c r="L373" s="3925"/>
      <c r="N373" s="212">
        <f t="shared" si="7"/>
        <v>303</v>
      </c>
    </row>
    <row r="374" spans="1:14" ht="12" customHeight="1">
      <c r="A374" s="3906"/>
      <c r="B374" s="3906"/>
      <c r="C374" s="3925"/>
      <c r="D374" s="3900" t="s">
        <v>1253</v>
      </c>
      <c r="E374" s="3901"/>
      <c r="F374" s="3901"/>
      <c r="G374" s="3901"/>
      <c r="H374" s="3901"/>
      <c r="I374" s="3901"/>
      <c r="J374" s="232"/>
      <c r="K374" s="232"/>
      <c r="L374" s="3925"/>
      <c r="N374" s="212">
        <f t="shared" si="7"/>
        <v>304</v>
      </c>
    </row>
    <row r="375" spans="1:14" ht="12" customHeight="1">
      <c r="A375" s="3906"/>
      <c r="B375" s="3906"/>
      <c r="C375" s="3925"/>
      <c r="D375" s="3912"/>
      <c r="E375" s="3913"/>
      <c r="F375" s="3913"/>
      <c r="G375" s="3913"/>
      <c r="H375" s="3913"/>
      <c r="I375" s="3913"/>
      <c r="J375" s="232"/>
      <c r="K375" s="232"/>
      <c r="L375" s="3925"/>
      <c r="N375" s="212">
        <f t="shared" si="7"/>
        <v>304</v>
      </c>
    </row>
    <row r="376" spans="1:14" ht="12" customHeight="1">
      <c r="A376" s="3906"/>
      <c r="B376" s="3906"/>
      <c r="C376" s="3925"/>
      <c r="D376" s="3912" t="s">
        <v>1254</v>
      </c>
      <c r="E376" s="3912"/>
      <c r="F376" s="3912"/>
      <c r="G376" s="3912"/>
      <c r="H376" s="3912"/>
      <c r="I376" s="3912"/>
      <c r="J376" s="3912"/>
      <c r="K376" s="3912"/>
      <c r="L376" s="3925"/>
      <c r="N376" s="212">
        <f t="shared" si="7"/>
        <v>305</v>
      </c>
    </row>
    <row r="377" spans="1:14" ht="12" customHeight="1">
      <c r="A377" s="3906"/>
      <c r="B377" s="3906"/>
      <c r="C377" s="3925"/>
      <c r="D377" s="3912" t="s">
        <v>690</v>
      </c>
      <c r="E377" s="3913"/>
      <c r="F377" s="3913"/>
      <c r="G377" s="3913"/>
      <c r="H377" s="3913"/>
      <c r="I377" s="3913"/>
      <c r="J377" s="232"/>
      <c r="K377" s="232"/>
      <c r="L377" s="3925"/>
      <c r="N377" s="212">
        <f t="shared" si="7"/>
        <v>306</v>
      </c>
    </row>
    <row r="378" spans="1:14" ht="12" customHeight="1">
      <c r="A378" s="3906"/>
      <c r="B378" s="3906"/>
      <c r="C378" s="3925"/>
      <c r="D378" s="3904"/>
      <c r="E378" s="3905"/>
      <c r="F378" s="3905"/>
      <c r="G378" s="3905"/>
      <c r="H378" s="3905"/>
      <c r="I378" s="3905"/>
      <c r="J378" s="232"/>
      <c r="K378" s="232"/>
      <c r="L378" s="3925"/>
      <c r="N378" s="212">
        <f t="shared" si="7"/>
        <v>306</v>
      </c>
    </row>
    <row r="379" spans="1:14" ht="12" customHeight="1">
      <c r="A379" s="3906"/>
      <c r="B379" s="3906"/>
      <c r="C379" s="3925"/>
      <c r="D379" s="3900" t="s">
        <v>1246</v>
      </c>
      <c r="E379" s="3901"/>
      <c r="F379" s="3901"/>
      <c r="G379" s="3901"/>
      <c r="H379" s="3901"/>
      <c r="I379" s="3901"/>
      <c r="J379" s="232"/>
      <c r="K379" s="232"/>
      <c r="L379" s="3925"/>
      <c r="N379" s="212">
        <f t="shared" si="7"/>
        <v>307</v>
      </c>
    </row>
    <row r="380" spans="1:14" ht="12" customHeight="1">
      <c r="B380" s="3906"/>
      <c r="C380" s="3925"/>
      <c r="D380" s="3900" t="s">
        <v>691</v>
      </c>
      <c r="E380" s="3901"/>
      <c r="F380" s="3901"/>
      <c r="G380" s="3901"/>
      <c r="H380" s="3901"/>
      <c r="I380" s="3901"/>
      <c r="J380" s="232"/>
      <c r="K380" s="232"/>
      <c r="L380" s="3925"/>
      <c r="N380" s="212">
        <f t="shared" si="7"/>
        <v>308</v>
      </c>
    </row>
    <row r="381" spans="1:14" ht="12" customHeight="1">
      <c r="B381" s="3906"/>
      <c r="C381" s="3925"/>
      <c r="D381" s="3900" t="s">
        <v>1255</v>
      </c>
      <c r="E381" s="3900"/>
      <c r="F381" s="3900"/>
      <c r="G381" s="3900"/>
      <c r="H381" s="3900"/>
      <c r="I381" s="3900"/>
      <c r="J381" s="3900"/>
      <c r="K381" s="3900"/>
      <c r="L381" s="3925"/>
      <c r="N381" s="212">
        <f t="shared" si="7"/>
        <v>309</v>
      </c>
    </row>
    <row r="382" spans="1:14" ht="12" customHeight="1">
      <c r="B382" s="3906"/>
      <c r="C382" s="3925"/>
      <c r="D382" s="3900" t="s">
        <v>1256</v>
      </c>
      <c r="E382" s="3901"/>
      <c r="F382" s="3901"/>
      <c r="G382" s="3901"/>
      <c r="H382" s="3901"/>
      <c r="I382" s="3901"/>
      <c r="J382" s="232"/>
      <c r="K382" s="232"/>
      <c r="L382" s="3925"/>
      <c r="N382" s="212">
        <f t="shared" si="7"/>
        <v>310</v>
      </c>
    </row>
    <row r="383" spans="1:14" ht="12" customHeight="1">
      <c r="B383" s="3906"/>
      <c r="C383" s="3925"/>
      <c r="D383" s="3900" t="s">
        <v>1257</v>
      </c>
      <c r="E383" s="3901"/>
      <c r="F383" s="3901"/>
      <c r="G383" s="3901"/>
      <c r="H383" s="3901"/>
      <c r="I383" s="3901"/>
      <c r="J383" s="232"/>
      <c r="K383" s="232"/>
      <c r="L383" s="3925"/>
      <c r="N383" s="212">
        <f t="shared" si="7"/>
        <v>311</v>
      </c>
    </row>
    <row r="384" spans="1:14" ht="12" customHeight="1">
      <c r="B384" s="3906"/>
      <c r="C384" s="3925"/>
      <c r="D384" s="3900" t="s">
        <v>692</v>
      </c>
      <c r="E384" s="3901"/>
      <c r="F384" s="3901"/>
      <c r="G384" s="3901"/>
      <c r="H384" s="3901"/>
      <c r="I384" s="3901"/>
      <c r="J384" s="232"/>
      <c r="K384" s="232"/>
      <c r="L384" s="3925"/>
      <c r="N384" s="212">
        <f t="shared" si="7"/>
        <v>312</v>
      </c>
    </row>
    <row r="385" spans="2:14" ht="12" customHeight="1">
      <c r="B385" s="3906"/>
      <c r="C385" s="3925"/>
      <c r="D385" s="3900" t="s">
        <v>1258</v>
      </c>
      <c r="E385" s="3901"/>
      <c r="F385" s="3901"/>
      <c r="G385" s="3901"/>
      <c r="H385" s="3901"/>
      <c r="I385" s="3901"/>
      <c r="J385" s="232"/>
      <c r="K385" s="232"/>
      <c r="L385" s="3925"/>
      <c r="N385" s="212">
        <f t="shared" si="7"/>
        <v>313</v>
      </c>
    </row>
    <row r="386" spans="2:14" ht="12" customHeight="1">
      <c r="B386" s="3906"/>
      <c r="C386" s="3925"/>
      <c r="D386" s="3901" t="s">
        <v>1259</v>
      </c>
      <c r="E386" s="3901"/>
      <c r="F386" s="3901"/>
      <c r="G386" s="3901"/>
      <c r="H386" s="3901"/>
      <c r="I386" s="3901"/>
      <c r="J386" s="232"/>
      <c r="K386" s="232"/>
      <c r="L386" s="3925"/>
      <c r="N386" s="212">
        <f t="shared" si="7"/>
        <v>314</v>
      </c>
    </row>
    <row r="387" spans="2:14" ht="12" customHeight="1">
      <c r="B387" s="3906"/>
      <c r="C387" s="3925"/>
      <c r="D387" s="3912"/>
      <c r="E387" s="3913"/>
      <c r="F387" s="3913"/>
      <c r="G387" s="3913"/>
      <c r="H387" s="3913"/>
      <c r="I387" s="3913"/>
      <c r="J387" s="232"/>
      <c r="K387" s="232"/>
      <c r="L387" s="3925"/>
      <c r="N387" s="212">
        <f t="shared" si="7"/>
        <v>314</v>
      </c>
    </row>
    <row r="388" spans="2:14" ht="12" customHeight="1">
      <c r="B388" s="3906"/>
      <c r="C388" s="3925"/>
      <c r="D388" s="3912" t="s">
        <v>693</v>
      </c>
      <c r="E388" s="3912"/>
      <c r="F388" s="3912"/>
      <c r="G388" s="3912"/>
      <c r="H388" s="3912"/>
      <c r="I388" s="3912"/>
      <c r="J388" s="3912"/>
      <c r="K388" s="3912"/>
      <c r="L388" s="3925"/>
      <c r="N388" s="212">
        <f t="shared" si="7"/>
        <v>315</v>
      </c>
    </row>
    <row r="389" spans="2:14" ht="12" customHeight="1">
      <c r="B389" s="3906"/>
      <c r="C389" s="3925"/>
      <c r="D389" s="3912" t="s">
        <v>1260</v>
      </c>
      <c r="E389" s="3912"/>
      <c r="F389" s="3912"/>
      <c r="G389" s="3912"/>
      <c r="H389" s="3912"/>
      <c r="I389" s="3912"/>
      <c r="J389" s="3912"/>
      <c r="K389" s="3912"/>
      <c r="L389" s="3925"/>
      <c r="N389" s="212">
        <f t="shared" si="7"/>
        <v>316</v>
      </c>
    </row>
    <row r="390" spans="2:14" ht="12" customHeight="1">
      <c r="B390" s="3906"/>
      <c r="C390" s="3925"/>
      <c r="D390" s="3949" t="s">
        <v>1261</v>
      </c>
      <c r="E390" s="3949"/>
      <c r="F390" s="3949"/>
      <c r="G390" s="3949"/>
      <c r="H390" s="3949"/>
      <c r="I390" s="3949"/>
      <c r="J390" s="232"/>
      <c r="K390" s="232"/>
      <c r="L390" s="3925"/>
      <c r="N390" s="212">
        <f t="shared" si="7"/>
        <v>317</v>
      </c>
    </row>
    <row r="391" spans="2:14" ht="12" customHeight="1">
      <c r="B391" s="3906"/>
      <c r="C391" s="3925"/>
      <c r="D391" s="3949" t="s">
        <v>1262</v>
      </c>
      <c r="E391" s="3949"/>
      <c r="F391" s="3949"/>
      <c r="G391" s="3949"/>
      <c r="H391" s="3949"/>
      <c r="I391" s="3949"/>
      <c r="J391" s="232"/>
      <c r="K391" s="232"/>
      <c r="L391" s="232"/>
      <c r="N391" s="212">
        <f t="shared" si="7"/>
        <v>318</v>
      </c>
    </row>
    <row r="392" spans="2:14" ht="12" customHeight="1">
      <c r="B392" s="3906"/>
      <c r="C392" s="231"/>
      <c r="D392" s="742"/>
      <c r="E392" s="3917"/>
      <c r="F392" s="3917"/>
      <c r="G392" s="3917"/>
      <c r="H392" s="3917"/>
      <c r="I392" s="3917"/>
      <c r="J392" s="232"/>
      <c r="K392" s="232"/>
      <c r="L392" s="232"/>
      <c r="N392" s="212">
        <f t="shared" si="7"/>
        <v>318</v>
      </c>
    </row>
    <row r="393" spans="2:14" ht="12" customHeight="1">
      <c r="B393" s="3906"/>
      <c r="C393" s="231"/>
      <c r="D393" s="3900" t="s">
        <v>1263</v>
      </c>
      <c r="E393" s="3901"/>
      <c r="F393" s="3901"/>
      <c r="G393" s="3901"/>
      <c r="H393" s="3901"/>
      <c r="I393" s="3901"/>
      <c r="J393" s="232"/>
      <c r="K393" s="232"/>
      <c r="L393" s="232"/>
      <c r="N393" s="212">
        <f t="shared" si="7"/>
        <v>319</v>
      </c>
    </row>
    <row r="394" spans="2:14" ht="12" customHeight="1">
      <c r="B394" s="3906"/>
      <c r="C394" s="231"/>
      <c r="D394" s="3900" t="s">
        <v>1265</v>
      </c>
      <c r="E394" s="3901"/>
      <c r="F394" s="3901"/>
      <c r="G394" s="3901"/>
      <c r="H394" s="3901"/>
      <c r="I394" s="3901"/>
      <c r="J394" s="232"/>
      <c r="K394" s="232"/>
      <c r="L394" s="232"/>
      <c r="N394" s="212">
        <f t="shared" si="7"/>
        <v>320</v>
      </c>
    </row>
    <row r="395" spans="2:14" ht="12" customHeight="1">
      <c r="B395" s="3906"/>
      <c r="C395" s="231"/>
      <c r="D395" s="3900" t="s">
        <v>1266</v>
      </c>
      <c r="E395" s="3901"/>
      <c r="F395" s="3901"/>
      <c r="G395" s="3901"/>
      <c r="H395" s="3901"/>
      <c r="I395" s="3901"/>
      <c r="J395" s="232"/>
      <c r="K395" s="232"/>
      <c r="L395" s="232"/>
      <c r="N395" s="212">
        <f t="shared" si="7"/>
        <v>321</v>
      </c>
    </row>
    <row r="396" spans="2:14" ht="12" customHeight="1">
      <c r="C396" s="231"/>
      <c r="D396" s="3900" t="s">
        <v>1267</v>
      </c>
      <c r="E396" s="3901"/>
      <c r="F396" s="3901"/>
      <c r="G396" s="3901"/>
      <c r="H396" s="3901"/>
      <c r="I396" s="3901"/>
      <c r="J396" s="232"/>
      <c r="K396" s="232"/>
      <c r="L396" s="232"/>
      <c r="N396" s="212">
        <f t="shared" si="7"/>
        <v>322</v>
      </c>
    </row>
    <row r="397" spans="2:14" ht="12" customHeight="1">
      <c r="C397" s="231"/>
      <c r="D397" s="3949" t="s">
        <v>1268</v>
      </c>
      <c r="E397" s="3949"/>
      <c r="F397" s="3949"/>
      <c r="G397" s="3949"/>
      <c r="H397" s="3949"/>
      <c r="I397" s="3949"/>
      <c r="J397" s="3949"/>
      <c r="K397" s="3949"/>
      <c r="L397" s="232"/>
      <c r="N397" s="212">
        <f>IF(D397="",N396,N396+1)</f>
        <v>323</v>
      </c>
    </row>
    <row r="398" spans="2:14" ht="12" customHeight="1">
      <c r="C398" s="231"/>
      <c r="D398" s="3949" t="s">
        <v>1269</v>
      </c>
      <c r="E398" s="3949"/>
      <c r="F398" s="3949"/>
      <c r="G398" s="3949"/>
      <c r="H398" s="3949"/>
      <c r="I398" s="3949"/>
      <c r="J398" s="232"/>
      <c r="K398" s="232"/>
      <c r="L398" s="232"/>
      <c r="N398" s="212">
        <f t="shared" ref="N398:N458" si="8">IF(D398="",N397,N397+1)</f>
        <v>324</v>
      </c>
    </row>
    <row r="399" spans="2:14" ht="12" customHeight="1">
      <c r="C399" s="231"/>
      <c r="D399" s="740"/>
      <c r="E399" s="3901"/>
      <c r="F399" s="3901"/>
      <c r="G399" s="3901"/>
      <c r="H399" s="3901"/>
      <c r="I399" s="3901"/>
      <c r="J399" s="232"/>
      <c r="K399" s="232"/>
      <c r="L399" s="232"/>
      <c r="N399" s="212">
        <f t="shared" si="8"/>
        <v>324</v>
      </c>
    </row>
    <row r="400" spans="2:14" ht="12" customHeight="1">
      <c r="C400" s="231"/>
      <c r="D400" s="3912" t="s">
        <v>694</v>
      </c>
      <c r="E400" s="3913"/>
      <c r="F400" s="3913"/>
      <c r="G400" s="3913"/>
      <c r="H400" s="3913"/>
      <c r="I400" s="3913"/>
      <c r="J400" s="232"/>
      <c r="K400" s="232"/>
      <c r="L400" s="232"/>
      <c r="N400" s="212">
        <f t="shared" si="8"/>
        <v>325</v>
      </c>
    </row>
    <row r="401" spans="3:14" ht="12" customHeight="1">
      <c r="C401" s="231"/>
      <c r="D401" s="3912" t="s">
        <v>695</v>
      </c>
      <c r="E401" s="3913"/>
      <c r="F401" s="3913"/>
      <c r="G401" s="3913"/>
      <c r="H401" s="3913"/>
      <c r="I401" s="3913"/>
      <c r="J401" s="232"/>
      <c r="K401" s="232"/>
      <c r="L401" s="232"/>
      <c r="N401" s="212">
        <f t="shared" si="8"/>
        <v>326</v>
      </c>
    </row>
    <row r="402" spans="3:14" ht="12" customHeight="1">
      <c r="C402" s="231"/>
      <c r="D402" s="3912"/>
      <c r="E402" s="3912"/>
      <c r="F402" s="3912"/>
      <c r="G402" s="3912"/>
      <c r="H402" s="3912"/>
      <c r="I402" s="3912"/>
      <c r="J402" s="232"/>
      <c r="K402" s="232"/>
      <c r="L402" s="232"/>
      <c r="N402" s="212">
        <f t="shared" si="8"/>
        <v>326</v>
      </c>
    </row>
    <row r="403" spans="3:14" ht="12" customHeight="1">
      <c r="C403" s="231"/>
      <c r="D403" s="3900" t="s">
        <v>1264</v>
      </c>
      <c r="E403" s="3901"/>
      <c r="F403" s="3901"/>
      <c r="G403" s="3901"/>
      <c r="H403" s="3901"/>
      <c r="I403" s="3901"/>
      <c r="J403" s="232"/>
      <c r="K403" s="232"/>
      <c r="L403" s="232"/>
      <c r="N403" s="212">
        <f t="shared" si="8"/>
        <v>327</v>
      </c>
    </row>
    <row r="404" spans="3:14" ht="12" customHeight="1">
      <c r="C404" s="231"/>
      <c r="D404" s="3900" t="s">
        <v>696</v>
      </c>
      <c r="E404" s="3901"/>
      <c r="F404" s="3901"/>
      <c r="G404" s="3901"/>
      <c r="H404" s="3901"/>
      <c r="I404" s="3901"/>
      <c r="J404" s="232"/>
      <c r="K404" s="232"/>
      <c r="L404" s="232"/>
      <c r="N404" s="212">
        <f t="shared" si="8"/>
        <v>328</v>
      </c>
    </row>
    <row r="405" spans="3:14" ht="12" customHeight="1">
      <c r="C405" s="231"/>
      <c r="D405" s="3900" t="s">
        <v>1270</v>
      </c>
      <c r="E405" s="3901"/>
      <c r="F405" s="3901"/>
      <c r="G405" s="3901"/>
      <c r="H405" s="3901"/>
      <c r="I405" s="3901"/>
      <c r="J405" s="232"/>
      <c r="K405" s="232"/>
      <c r="L405" s="232"/>
      <c r="N405" s="212">
        <f t="shared" si="8"/>
        <v>329</v>
      </c>
    </row>
    <row r="406" spans="3:14" ht="12" customHeight="1">
      <c r="C406" s="231"/>
      <c r="D406" s="738"/>
      <c r="E406" s="739"/>
      <c r="F406" s="1712"/>
      <c r="G406" s="739"/>
      <c r="H406" s="739"/>
      <c r="I406" s="739"/>
      <c r="J406" s="232"/>
      <c r="K406" s="232"/>
      <c r="L406" s="232"/>
      <c r="N406" s="212">
        <f t="shared" si="8"/>
        <v>329</v>
      </c>
    </row>
    <row r="407" spans="3:14" ht="12" customHeight="1">
      <c r="C407" s="231"/>
      <c r="D407" s="3901" t="s">
        <v>1271</v>
      </c>
      <c r="E407" s="3901"/>
      <c r="F407" s="3901"/>
      <c r="G407" s="3901"/>
      <c r="H407" s="3901"/>
      <c r="I407" s="3901"/>
      <c r="J407" s="232"/>
      <c r="K407" s="232"/>
      <c r="L407" s="232"/>
      <c r="N407" s="212">
        <f t="shared" si="8"/>
        <v>330</v>
      </c>
    </row>
    <row r="408" spans="3:14" ht="12" customHeight="1">
      <c r="C408" s="231"/>
      <c r="D408" s="3901" t="s">
        <v>1272</v>
      </c>
      <c r="E408" s="3901"/>
      <c r="F408" s="3901"/>
      <c r="G408" s="3901"/>
      <c r="H408" s="3901"/>
      <c r="I408" s="3901"/>
      <c r="J408" s="232"/>
      <c r="K408" s="232"/>
      <c r="L408" s="232"/>
      <c r="N408" s="212">
        <f t="shared" si="8"/>
        <v>331</v>
      </c>
    </row>
    <row r="409" spans="3:14" ht="12" customHeight="1">
      <c r="C409" s="231"/>
      <c r="D409" s="3901" t="s">
        <v>1273</v>
      </c>
      <c r="E409" s="3901"/>
      <c r="F409" s="3901"/>
      <c r="G409" s="3901"/>
      <c r="H409" s="3901"/>
      <c r="I409" s="3901"/>
      <c r="J409" s="232"/>
      <c r="K409" s="232"/>
      <c r="L409" s="232"/>
      <c r="N409" s="212">
        <f t="shared" si="8"/>
        <v>332</v>
      </c>
    </row>
    <row r="410" spans="3:14" ht="12" customHeight="1">
      <c r="C410" s="231"/>
      <c r="D410" s="3901" t="s">
        <v>1274</v>
      </c>
      <c r="E410" s="3901"/>
      <c r="F410" s="3901"/>
      <c r="G410" s="3901"/>
      <c r="H410" s="3901"/>
      <c r="I410" s="3901"/>
      <c r="J410" s="232"/>
      <c r="K410" s="232"/>
      <c r="L410" s="232"/>
      <c r="N410" s="212">
        <f t="shared" si="8"/>
        <v>333</v>
      </c>
    </row>
    <row r="411" spans="3:14" ht="12" customHeight="1">
      <c r="C411" s="231"/>
      <c r="D411" s="3901" t="s">
        <v>1276</v>
      </c>
      <c r="E411" s="3901"/>
      <c r="F411" s="3901"/>
      <c r="G411" s="3901"/>
      <c r="H411" s="3901"/>
      <c r="I411" s="3901"/>
      <c r="J411" s="232"/>
      <c r="K411" s="232"/>
      <c r="L411" s="232"/>
      <c r="N411" s="212">
        <f t="shared" si="8"/>
        <v>334</v>
      </c>
    </row>
    <row r="412" spans="3:14" ht="12" customHeight="1">
      <c r="C412" s="231"/>
      <c r="D412" s="3900" t="s">
        <v>1275</v>
      </c>
      <c r="E412" s="3900"/>
      <c r="F412" s="3900"/>
      <c r="G412" s="3900"/>
      <c r="H412" s="3900"/>
      <c r="I412" s="3900"/>
      <c r="J412" s="3900"/>
      <c r="K412" s="3900"/>
      <c r="L412" s="232"/>
      <c r="N412" s="212">
        <f t="shared" si="8"/>
        <v>335</v>
      </c>
    </row>
    <row r="413" spans="3:14" ht="12" customHeight="1">
      <c r="C413" s="231"/>
      <c r="D413" s="3901" t="s">
        <v>1277</v>
      </c>
      <c r="E413" s="3901"/>
      <c r="F413" s="3901"/>
      <c r="G413" s="3901"/>
      <c r="H413" s="3901"/>
      <c r="I413" s="3901"/>
      <c r="J413" s="232"/>
      <c r="K413" s="232"/>
      <c r="L413" s="232"/>
      <c r="N413" s="212">
        <f t="shared" si="8"/>
        <v>336</v>
      </c>
    </row>
    <row r="414" spans="3:14" ht="12" customHeight="1">
      <c r="C414" s="231"/>
      <c r="D414" s="3900" t="s">
        <v>1278</v>
      </c>
      <c r="E414" s="3901"/>
      <c r="F414" s="3901"/>
      <c r="G414" s="3901"/>
      <c r="H414" s="3901"/>
      <c r="I414" s="3901"/>
      <c r="J414" s="232"/>
      <c r="K414" s="232"/>
      <c r="L414" s="232"/>
      <c r="N414" s="212">
        <f t="shared" si="8"/>
        <v>337</v>
      </c>
    </row>
    <row r="415" spans="3:14" ht="12" customHeight="1">
      <c r="C415" s="231"/>
      <c r="D415" s="3900" t="s">
        <v>1279</v>
      </c>
      <c r="E415" s="3901"/>
      <c r="F415" s="3901"/>
      <c r="G415" s="3901"/>
      <c r="H415" s="3901"/>
      <c r="I415" s="3901"/>
      <c r="J415" s="232"/>
      <c r="K415" s="232"/>
      <c r="L415" s="232"/>
      <c r="N415" s="212">
        <f t="shared" si="8"/>
        <v>338</v>
      </c>
    </row>
    <row r="416" spans="3:14" ht="12" customHeight="1">
      <c r="C416" s="231"/>
      <c r="D416" s="3901" t="s">
        <v>697</v>
      </c>
      <c r="E416" s="3901"/>
      <c r="F416" s="3901"/>
      <c r="G416" s="3901"/>
      <c r="H416" s="3901"/>
      <c r="I416" s="3901"/>
      <c r="J416" s="232"/>
      <c r="K416" s="232"/>
      <c r="L416" s="232"/>
      <c r="N416" s="212">
        <f t="shared" si="8"/>
        <v>339</v>
      </c>
    </row>
    <row r="417" spans="3:14" ht="12" customHeight="1">
      <c r="C417" s="231"/>
      <c r="D417" s="3900" t="s">
        <v>698</v>
      </c>
      <c r="E417" s="3901"/>
      <c r="F417" s="3901"/>
      <c r="G417" s="3901"/>
      <c r="H417" s="3901"/>
      <c r="I417" s="3901"/>
      <c r="J417" s="232"/>
      <c r="K417" s="232"/>
      <c r="L417" s="232"/>
      <c r="N417" s="212">
        <f t="shared" si="8"/>
        <v>340</v>
      </c>
    </row>
    <row r="418" spans="3:14" ht="12" customHeight="1">
      <c r="C418" s="231"/>
      <c r="D418" s="3901" t="s">
        <v>1280</v>
      </c>
      <c r="E418" s="3901"/>
      <c r="F418" s="3901"/>
      <c r="G418" s="3901"/>
      <c r="H418" s="3901"/>
      <c r="I418" s="3901"/>
      <c r="J418" s="232"/>
      <c r="K418" s="232"/>
      <c r="L418" s="232"/>
      <c r="N418" s="212">
        <f t="shared" si="8"/>
        <v>341</v>
      </c>
    </row>
    <row r="419" spans="3:14" ht="12" customHeight="1">
      <c r="C419" s="231"/>
      <c r="D419" s="3900"/>
      <c r="E419" s="3901"/>
      <c r="F419" s="3901"/>
      <c r="G419" s="3901"/>
      <c r="H419" s="3901"/>
      <c r="I419" s="3901"/>
      <c r="J419" s="232"/>
      <c r="K419" s="232"/>
      <c r="L419" s="232"/>
      <c r="N419" s="212">
        <f t="shared" si="8"/>
        <v>341</v>
      </c>
    </row>
    <row r="420" spans="3:14" ht="12" customHeight="1">
      <c r="C420" s="231"/>
      <c r="D420" s="3912" t="s">
        <v>699</v>
      </c>
      <c r="E420" s="3913"/>
      <c r="F420" s="3913"/>
      <c r="G420" s="3913"/>
      <c r="H420" s="3913"/>
      <c r="I420" s="3913"/>
      <c r="J420" s="232"/>
      <c r="K420" s="232"/>
      <c r="L420" s="232"/>
      <c r="N420" s="212">
        <f t="shared" si="8"/>
        <v>342</v>
      </c>
    </row>
    <row r="421" spans="3:14" ht="12" customHeight="1">
      <c r="C421" s="231"/>
      <c r="D421" s="3900" t="s">
        <v>1281</v>
      </c>
      <c r="E421" s="3900"/>
      <c r="F421" s="3900"/>
      <c r="G421" s="3900"/>
      <c r="H421" s="3900"/>
      <c r="I421" s="3900"/>
      <c r="J421" s="3900"/>
      <c r="K421" s="3900"/>
      <c r="L421" s="232"/>
      <c r="N421" s="212">
        <f t="shared" si="8"/>
        <v>343</v>
      </c>
    </row>
    <row r="422" spans="3:14" ht="12" customHeight="1">
      <c r="C422" s="231"/>
      <c r="D422" s="3900" t="s">
        <v>700</v>
      </c>
      <c r="E422" s="3901"/>
      <c r="F422" s="3901"/>
      <c r="G422" s="3901"/>
      <c r="H422" s="3901"/>
      <c r="I422" s="3901"/>
      <c r="J422" s="232"/>
      <c r="K422" s="232"/>
      <c r="L422" s="232"/>
      <c r="N422" s="212">
        <f t="shared" si="8"/>
        <v>344</v>
      </c>
    </row>
    <row r="423" spans="3:14" ht="12" customHeight="1">
      <c r="C423" s="231"/>
      <c r="D423" s="738"/>
      <c r="E423" s="739"/>
      <c r="F423" s="1712"/>
      <c r="G423" s="739"/>
      <c r="H423" s="739"/>
      <c r="I423" s="739"/>
      <c r="J423" s="232"/>
      <c r="K423" s="232"/>
      <c r="L423" s="232"/>
      <c r="N423" s="212" t="e">
        <f>IF(D423="",#REF!,#REF!+1)</f>
        <v>#REF!</v>
      </c>
    </row>
    <row r="424" spans="3:14" ht="12" customHeight="1">
      <c r="C424" s="231"/>
      <c r="D424" s="3900" t="s">
        <v>701</v>
      </c>
      <c r="E424" s="3901"/>
      <c r="F424" s="3901"/>
      <c r="G424" s="3901"/>
      <c r="H424" s="3901"/>
      <c r="I424" s="3901"/>
      <c r="J424" s="232"/>
      <c r="K424" s="232"/>
      <c r="L424" s="232"/>
      <c r="N424" s="212">
        <f>IF(D424="",N422,N422+1)</f>
        <v>345</v>
      </c>
    </row>
    <row r="425" spans="3:14" ht="12" customHeight="1">
      <c r="C425" s="231"/>
      <c r="D425" s="3900" t="s">
        <v>1282</v>
      </c>
      <c r="E425" s="3901"/>
      <c r="F425" s="3901"/>
      <c r="G425" s="3901"/>
      <c r="H425" s="3901"/>
      <c r="I425" s="3901"/>
      <c r="J425" s="232"/>
      <c r="K425" s="232"/>
      <c r="L425" s="232"/>
      <c r="N425" s="212">
        <f t="shared" si="8"/>
        <v>346</v>
      </c>
    </row>
    <row r="426" spans="3:14" ht="12" customHeight="1">
      <c r="C426" s="231"/>
      <c r="D426" s="3900" t="s">
        <v>1283</v>
      </c>
      <c r="E426" s="3901"/>
      <c r="F426" s="3901"/>
      <c r="G426" s="3901"/>
      <c r="H426" s="3901"/>
      <c r="I426" s="3901"/>
      <c r="J426" s="232"/>
      <c r="K426" s="232"/>
      <c r="L426" s="232"/>
      <c r="N426" s="212">
        <f t="shared" si="8"/>
        <v>347</v>
      </c>
    </row>
    <row r="427" spans="3:14" ht="12" customHeight="1">
      <c r="C427" s="231"/>
      <c r="D427" s="3900" t="s">
        <v>702</v>
      </c>
      <c r="E427" s="3901"/>
      <c r="F427" s="3901"/>
      <c r="G427" s="3901"/>
      <c r="H427" s="3901"/>
      <c r="I427" s="3901"/>
      <c r="J427" s="232"/>
      <c r="K427" s="232"/>
      <c r="L427" s="232"/>
      <c r="N427" s="212">
        <f t="shared" si="8"/>
        <v>348</v>
      </c>
    </row>
    <row r="428" spans="3:14" ht="12" customHeight="1">
      <c r="C428" s="231"/>
      <c r="D428" s="3900" t="s">
        <v>1284</v>
      </c>
      <c r="E428" s="3901"/>
      <c r="F428" s="3901"/>
      <c r="G428" s="3901"/>
      <c r="H428" s="3901"/>
      <c r="I428" s="3901"/>
      <c r="J428" s="232"/>
      <c r="K428" s="232"/>
      <c r="L428" s="232"/>
      <c r="N428" s="212">
        <f t="shared" si="8"/>
        <v>349</v>
      </c>
    </row>
    <row r="429" spans="3:14" ht="12" customHeight="1">
      <c r="C429" s="231"/>
      <c r="D429" s="3900" t="s">
        <v>1285</v>
      </c>
      <c r="E429" s="3900"/>
      <c r="F429" s="3900"/>
      <c r="G429" s="3900"/>
      <c r="H429" s="3900"/>
      <c r="I429" s="3900"/>
      <c r="J429" s="3900"/>
      <c r="K429" s="3900"/>
      <c r="L429" s="232"/>
      <c r="N429" s="212">
        <f t="shared" si="8"/>
        <v>350</v>
      </c>
    </row>
    <row r="430" spans="3:14" ht="12" customHeight="1">
      <c r="C430" s="231"/>
      <c r="D430" s="3900" t="s">
        <v>703</v>
      </c>
      <c r="E430" s="3901"/>
      <c r="F430" s="3901"/>
      <c r="G430" s="3901"/>
      <c r="H430" s="3901"/>
      <c r="I430" s="3901"/>
      <c r="J430" s="232"/>
      <c r="K430" s="232"/>
      <c r="L430" s="232"/>
      <c r="N430" s="212">
        <f t="shared" si="8"/>
        <v>351</v>
      </c>
    </row>
    <row r="431" spans="3:14" ht="12" customHeight="1">
      <c r="C431" s="231"/>
      <c r="D431" s="3900" t="s">
        <v>704</v>
      </c>
      <c r="E431" s="3901"/>
      <c r="F431" s="3901"/>
      <c r="G431" s="3901"/>
      <c r="H431" s="3901"/>
      <c r="I431" s="3901"/>
      <c r="J431" s="232"/>
      <c r="K431" s="232"/>
      <c r="L431" s="232"/>
      <c r="N431" s="212">
        <f t="shared" si="8"/>
        <v>352</v>
      </c>
    </row>
    <row r="432" spans="3:14" ht="12" customHeight="1">
      <c r="C432" s="231"/>
      <c r="D432" s="3900" t="s">
        <v>1286</v>
      </c>
      <c r="E432" s="3900"/>
      <c r="F432" s="3900"/>
      <c r="G432" s="3900"/>
      <c r="H432" s="3900"/>
      <c r="I432" s="3900"/>
      <c r="J432" s="3900"/>
      <c r="K432" s="3900"/>
      <c r="L432" s="232"/>
      <c r="N432" s="212">
        <f t="shared" si="8"/>
        <v>353</v>
      </c>
    </row>
    <row r="433" spans="1:14" ht="12" customHeight="1">
      <c r="C433" s="231"/>
      <c r="D433" s="3900" t="s">
        <v>1287</v>
      </c>
      <c r="E433" s="3901"/>
      <c r="F433" s="3901"/>
      <c r="G433" s="3901"/>
      <c r="H433" s="3901"/>
      <c r="I433" s="3901"/>
      <c r="J433" s="232"/>
      <c r="K433" s="232"/>
      <c r="L433" s="232"/>
      <c r="N433" s="212">
        <f t="shared" si="8"/>
        <v>354</v>
      </c>
    </row>
    <row r="434" spans="1:14" ht="12" customHeight="1">
      <c r="C434" s="231"/>
      <c r="D434" s="3900" t="s">
        <v>705</v>
      </c>
      <c r="E434" s="3901"/>
      <c r="F434" s="3901"/>
      <c r="G434" s="3901"/>
      <c r="H434" s="3901"/>
      <c r="I434" s="3901"/>
      <c r="J434" s="232"/>
      <c r="K434" s="232"/>
      <c r="L434" s="232"/>
      <c r="N434" s="212">
        <f t="shared" si="8"/>
        <v>355</v>
      </c>
    </row>
    <row r="435" spans="1:14" ht="12" customHeight="1">
      <c r="C435" s="231"/>
      <c r="D435" s="3900" t="s">
        <v>1288</v>
      </c>
      <c r="E435" s="3901"/>
      <c r="F435" s="3901"/>
      <c r="G435" s="3901"/>
      <c r="H435" s="3901"/>
      <c r="I435" s="3901"/>
      <c r="J435" s="232"/>
      <c r="K435" s="232"/>
      <c r="L435" s="232"/>
      <c r="N435" s="212">
        <f t="shared" si="8"/>
        <v>356</v>
      </c>
    </row>
    <row r="436" spans="1:14" ht="12" customHeight="1">
      <c r="C436" s="231"/>
      <c r="D436" s="3900" t="s">
        <v>1289</v>
      </c>
      <c r="E436" s="3901"/>
      <c r="F436" s="3901"/>
      <c r="G436" s="3901"/>
      <c r="H436" s="3901"/>
      <c r="I436" s="3901"/>
      <c r="J436" s="232"/>
      <c r="K436" s="232"/>
      <c r="L436" s="232"/>
      <c r="N436" s="212">
        <f t="shared" si="8"/>
        <v>357</v>
      </c>
    </row>
    <row r="437" spans="1:14" ht="12" customHeight="1">
      <c r="C437" s="231"/>
      <c r="D437" s="3900" t="s">
        <v>1290</v>
      </c>
      <c r="E437" s="3901"/>
      <c r="F437" s="3901"/>
      <c r="G437" s="3901"/>
      <c r="H437" s="3901"/>
      <c r="I437" s="3901"/>
      <c r="J437" s="232"/>
      <c r="K437" s="232"/>
      <c r="L437" s="232"/>
      <c r="N437" s="212">
        <f t="shared" si="8"/>
        <v>358</v>
      </c>
    </row>
    <row r="438" spans="1:14" ht="12" customHeight="1">
      <c r="C438" s="231"/>
      <c r="D438" s="3904"/>
      <c r="E438" s="3905"/>
      <c r="F438" s="3905"/>
      <c r="G438" s="3905"/>
      <c r="H438" s="3905"/>
      <c r="I438" s="3905"/>
      <c r="J438" s="232"/>
      <c r="K438" s="232"/>
      <c r="L438" s="232"/>
      <c r="N438" s="212">
        <f t="shared" si="8"/>
        <v>358</v>
      </c>
    </row>
    <row r="439" spans="1:14" ht="12" customHeight="1" thickBot="1">
      <c r="C439" s="231"/>
      <c r="D439" s="3900" t="s">
        <v>1291</v>
      </c>
      <c r="E439" s="3901"/>
      <c r="F439" s="3901"/>
      <c r="G439" s="3901"/>
      <c r="H439" s="3901"/>
      <c r="I439" s="3901"/>
      <c r="J439" s="232"/>
      <c r="K439" s="232"/>
      <c r="L439" s="232"/>
      <c r="N439" s="212">
        <f t="shared" si="8"/>
        <v>359</v>
      </c>
    </row>
    <row r="440" spans="1:14" ht="12" customHeight="1" thickBot="1">
      <c r="C440" s="231"/>
      <c r="D440" s="3901" t="s">
        <v>706</v>
      </c>
      <c r="E440" s="3901"/>
      <c r="F440" s="3901"/>
      <c r="G440" s="3901"/>
      <c r="H440" s="3901"/>
      <c r="I440" s="3901"/>
      <c r="J440" s="232"/>
      <c r="K440" s="194" t="s">
        <v>585</v>
      </c>
      <c r="L440" s="232"/>
      <c r="N440" s="212">
        <f t="shared" si="8"/>
        <v>360</v>
      </c>
    </row>
    <row r="441" spans="1:14" ht="12" customHeight="1">
      <c r="A441" s="3906"/>
      <c r="C441" s="231"/>
      <c r="D441" s="3904"/>
      <c r="E441" s="3905"/>
      <c r="F441" s="3905"/>
      <c r="G441" s="3905"/>
      <c r="H441" s="3905"/>
      <c r="I441" s="3905"/>
      <c r="J441" s="232"/>
      <c r="K441" s="232"/>
      <c r="L441" s="232"/>
      <c r="N441" s="212">
        <f t="shared" si="8"/>
        <v>360</v>
      </c>
    </row>
    <row r="442" spans="1:14" ht="12" customHeight="1">
      <c r="A442" s="3906"/>
      <c r="C442" s="231"/>
      <c r="D442" s="3967" t="s">
        <v>707</v>
      </c>
      <c r="E442" s="3968"/>
      <c r="F442" s="3968"/>
      <c r="G442" s="3968"/>
      <c r="H442" s="3968"/>
      <c r="I442" s="3968"/>
      <c r="J442" s="232"/>
      <c r="K442" s="232"/>
      <c r="L442" s="232"/>
      <c r="N442" s="212">
        <f t="shared" si="8"/>
        <v>361</v>
      </c>
    </row>
    <row r="443" spans="1:14" ht="12" customHeight="1">
      <c r="A443" s="3906"/>
      <c r="C443" s="231"/>
      <c r="D443" s="3900" t="s">
        <v>1292</v>
      </c>
      <c r="E443" s="3901"/>
      <c r="F443" s="3901"/>
      <c r="G443" s="3901"/>
      <c r="H443" s="3901"/>
      <c r="I443" s="3901"/>
      <c r="J443" s="232"/>
      <c r="K443" s="232"/>
      <c r="L443" s="232"/>
      <c r="N443" s="212">
        <f t="shared" si="8"/>
        <v>362</v>
      </c>
    </row>
    <row r="444" spans="1:14" ht="12" customHeight="1">
      <c r="A444" s="3906"/>
      <c r="C444" s="231"/>
      <c r="D444" s="3900" t="s">
        <v>708</v>
      </c>
      <c r="E444" s="3901"/>
      <c r="F444" s="3901"/>
      <c r="G444" s="3901"/>
      <c r="H444" s="3901"/>
      <c r="I444" s="3901"/>
      <c r="J444" s="232"/>
      <c r="K444" s="232"/>
      <c r="L444" s="232"/>
      <c r="N444" s="212">
        <f t="shared" si="8"/>
        <v>363</v>
      </c>
    </row>
    <row r="445" spans="1:14" ht="12" customHeight="1">
      <c r="A445" s="3906"/>
      <c r="C445" s="231"/>
      <c r="D445" s="3900" t="s">
        <v>1293</v>
      </c>
      <c r="E445" s="3901"/>
      <c r="F445" s="3901"/>
      <c r="G445" s="3901"/>
      <c r="H445" s="3901"/>
      <c r="I445" s="3901"/>
      <c r="J445" s="232"/>
      <c r="K445" s="232"/>
      <c r="L445" s="232"/>
      <c r="N445" s="212">
        <f t="shared" si="8"/>
        <v>364</v>
      </c>
    </row>
    <row r="446" spans="1:14" ht="12" customHeight="1">
      <c r="A446" s="3906"/>
      <c r="C446" s="231"/>
      <c r="D446" s="3900" t="s">
        <v>708</v>
      </c>
      <c r="E446" s="3901"/>
      <c r="F446" s="3901"/>
      <c r="G446" s="3901"/>
      <c r="H446" s="3901"/>
      <c r="I446" s="3901"/>
      <c r="J446" s="232"/>
      <c r="K446" s="232"/>
      <c r="L446" s="232"/>
      <c r="N446" s="212">
        <f t="shared" si="8"/>
        <v>365</v>
      </c>
    </row>
    <row r="447" spans="1:14" ht="12" customHeight="1">
      <c r="A447" s="3906"/>
      <c r="C447" s="231"/>
      <c r="D447" s="3900" t="s">
        <v>709</v>
      </c>
      <c r="E447" s="3901"/>
      <c r="F447" s="3901"/>
      <c r="G447" s="3901"/>
      <c r="H447" s="3901"/>
      <c r="I447" s="3901"/>
      <c r="J447" s="232"/>
      <c r="K447" s="232"/>
      <c r="L447" s="232"/>
      <c r="N447" s="212">
        <f t="shared" si="8"/>
        <v>366</v>
      </c>
    </row>
    <row r="448" spans="1:14" ht="12" customHeight="1">
      <c r="A448" s="3906"/>
      <c r="C448" s="231"/>
      <c r="D448" s="3900" t="s">
        <v>710</v>
      </c>
      <c r="E448" s="3901"/>
      <c r="F448" s="3901"/>
      <c r="G448" s="3901"/>
      <c r="H448" s="3901"/>
      <c r="I448" s="3901"/>
      <c r="J448" s="232"/>
      <c r="K448" s="232"/>
      <c r="L448" s="232"/>
      <c r="N448" s="212">
        <f t="shared" si="8"/>
        <v>367</v>
      </c>
    </row>
    <row r="449" spans="1:14" ht="12" customHeight="1">
      <c r="A449" s="3906"/>
      <c r="C449" s="231"/>
      <c r="D449" s="3900" t="s">
        <v>711</v>
      </c>
      <c r="E449" s="3901"/>
      <c r="F449" s="3901"/>
      <c r="G449" s="3901"/>
      <c r="H449" s="3901"/>
      <c r="I449" s="3901"/>
      <c r="J449" s="232"/>
      <c r="K449" s="232"/>
      <c r="L449" s="232"/>
      <c r="N449" s="212">
        <f t="shared" si="8"/>
        <v>368</v>
      </c>
    </row>
    <row r="450" spans="1:14" ht="12" customHeight="1">
      <c r="A450" s="3906"/>
      <c r="C450" s="231"/>
      <c r="D450" s="3900" t="s">
        <v>1294</v>
      </c>
      <c r="E450" s="3901"/>
      <c r="F450" s="3901"/>
      <c r="G450" s="3901"/>
      <c r="H450" s="3901"/>
      <c r="I450" s="3901"/>
      <c r="J450" s="232"/>
      <c r="K450" s="232"/>
      <c r="L450" s="232"/>
      <c r="N450" s="212">
        <f t="shared" si="8"/>
        <v>369</v>
      </c>
    </row>
    <row r="451" spans="1:14" ht="12" customHeight="1">
      <c r="A451" s="3906"/>
      <c r="C451" s="231"/>
      <c r="D451" s="3900" t="s">
        <v>712</v>
      </c>
      <c r="E451" s="3901"/>
      <c r="F451" s="3901"/>
      <c r="G451" s="3901"/>
      <c r="H451" s="3901"/>
      <c r="I451" s="3901"/>
      <c r="J451" s="232"/>
      <c r="K451" s="232"/>
      <c r="L451" s="232"/>
      <c r="N451" s="212">
        <f t="shared" si="8"/>
        <v>370</v>
      </c>
    </row>
    <row r="452" spans="1:14" ht="12" customHeight="1">
      <c r="A452" s="3906"/>
      <c r="C452" s="231"/>
      <c r="D452" s="3900" t="s">
        <v>713</v>
      </c>
      <c r="E452" s="3901"/>
      <c r="F452" s="3901"/>
      <c r="G452" s="3901"/>
      <c r="H452" s="3901"/>
      <c r="I452" s="3901"/>
      <c r="J452" s="232"/>
      <c r="K452" s="232"/>
      <c r="L452" s="232"/>
      <c r="N452" s="212">
        <f t="shared" si="8"/>
        <v>371</v>
      </c>
    </row>
    <row r="453" spans="1:14" ht="12" customHeight="1">
      <c r="A453" s="3906"/>
      <c r="C453" s="231"/>
      <c r="D453" s="3900" t="s">
        <v>714</v>
      </c>
      <c r="E453" s="3901"/>
      <c r="F453" s="3901"/>
      <c r="G453" s="3901"/>
      <c r="H453" s="3901"/>
      <c r="I453" s="3901"/>
      <c r="J453" s="232"/>
      <c r="K453" s="232"/>
      <c r="L453" s="232"/>
      <c r="N453" s="212">
        <f t="shared" si="8"/>
        <v>372</v>
      </c>
    </row>
    <row r="454" spans="1:14" ht="12" customHeight="1">
      <c r="A454" s="3906"/>
      <c r="C454" s="231"/>
      <c r="D454" s="3900" t="s">
        <v>715</v>
      </c>
      <c r="E454" s="3901"/>
      <c r="F454" s="3901"/>
      <c r="G454" s="3901"/>
      <c r="H454" s="3901"/>
      <c r="I454" s="3901"/>
      <c r="J454" s="232"/>
      <c r="K454" s="232"/>
      <c r="L454" s="232"/>
      <c r="N454" s="212">
        <f t="shared" si="8"/>
        <v>373</v>
      </c>
    </row>
    <row r="455" spans="1:14" ht="12" customHeight="1">
      <c r="A455" s="3906"/>
      <c r="C455" s="231"/>
      <c r="D455" s="3912"/>
      <c r="E455" s="3913"/>
      <c r="F455" s="3913"/>
      <c r="G455" s="3913"/>
      <c r="H455" s="3913"/>
      <c r="I455" s="3913"/>
      <c r="J455" s="232"/>
      <c r="K455" s="232"/>
      <c r="L455" s="232"/>
      <c r="N455" s="212">
        <f t="shared" si="8"/>
        <v>373</v>
      </c>
    </row>
    <row r="456" spans="1:14" ht="12" customHeight="1">
      <c r="A456" s="3906"/>
      <c r="C456" s="231"/>
      <c r="D456" s="3912" t="s">
        <v>716</v>
      </c>
      <c r="E456" s="3913"/>
      <c r="F456" s="3913"/>
      <c r="G456" s="3913"/>
      <c r="H456" s="3913"/>
      <c r="I456" s="3913"/>
      <c r="J456" s="232"/>
      <c r="K456" s="232"/>
      <c r="L456" s="232"/>
      <c r="N456" s="212">
        <f t="shared" si="8"/>
        <v>374</v>
      </c>
    </row>
    <row r="457" spans="1:14" ht="12" customHeight="1" thickBot="1">
      <c r="A457" s="3906"/>
      <c r="B457" s="3920"/>
      <c r="C457" s="231"/>
      <c r="D457" s="3904"/>
      <c r="E457" s="3905"/>
      <c r="F457" s="3905"/>
      <c r="G457" s="3905"/>
      <c r="H457" s="3905"/>
      <c r="I457" s="3905"/>
      <c r="J457" s="232"/>
      <c r="K457" s="232"/>
      <c r="L457" s="232"/>
      <c r="N457" s="212">
        <f t="shared" si="8"/>
        <v>374</v>
      </c>
    </row>
    <row r="458" spans="1:14" ht="12" customHeight="1" thickBot="1">
      <c r="A458" s="3906"/>
      <c r="B458" s="3920"/>
      <c r="C458" s="231"/>
      <c r="D458" s="3967" t="s">
        <v>717</v>
      </c>
      <c r="E458" s="3968"/>
      <c r="F458" s="3968"/>
      <c r="G458" s="3968"/>
      <c r="H458" s="3968"/>
      <c r="I458" s="3968"/>
      <c r="J458" s="232"/>
      <c r="K458" s="194" t="s">
        <v>585</v>
      </c>
      <c r="L458" s="232"/>
      <c r="N458" s="212">
        <f t="shared" si="8"/>
        <v>375</v>
      </c>
    </row>
    <row r="459" spans="1:14" ht="12" customHeight="1">
      <c r="A459" s="3906"/>
      <c r="B459" s="3920"/>
      <c r="C459" s="231"/>
      <c r="D459" s="3972" t="s">
        <v>2280</v>
      </c>
      <c r="E459" s="3972"/>
      <c r="F459" s="3972"/>
      <c r="G459" s="3972"/>
      <c r="H459" s="3972"/>
      <c r="I459" s="3972"/>
      <c r="J459" s="232"/>
      <c r="K459" s="232"/>
      <c r="L459" s="232"/>
      <c r="N459" s="212">
        <f t="shared" ref="N459:N524" si="9">IF(D459="",N458,N458+1)</f>
        <v>376</v>
      </c>
    </row>
    <row r="460" spans="1:14" ht="12" customHeight="1">
      <c r="A460" s="3906"/>
      <c r="B460" s="3920"/>
      <c r="C460" s="231"/>
      <c r="D460" s="3972" t="s">
        <v>2154</v>
      </c>
      <c r="E460" s="3972"/>
      <c r="F460" s="3972"/>
      <c r="G460" s="3972"/>
      <c r="H460" s="3972"/>
      <c r="I460" s="3972"/>
      <c r="J460" s="232"/>
      <c r="K460" s="232"/>
      <c r="L460" s="232"/>
      <c r="N460" s="212">
        <f t="shared" si="9"/>
        <v>377</v>
      </c>
    </row>
    <row r="461" spans="1:14" ht="12" customHeight="1">
      <c r="A461" s="3906"/>
      <c r="B461" s="3920"/>
      <c r="C461" s="231"/>
      <c r="D461" s="3948" t="s">
        <v>718</v>
      </c>
      <c r="E461" s="3949"/>
      <c r="F461" s="3949"/>
      <c r="G461" s="3949"/>
      <c r="H461" s="3949"/>
      <c r="I461" s="3949"/>
      <c r="J461" s="232"/>
      <c r="K461" s="232"/>
      <c r="L461" s="232"/>
      <c r="N461" s="212">
        <f t="shared" si="9"/>
        <v>378</v>
      </c>
    </row>
    <row r="462" spans="1:14" ht="12" customHeight="1">
      <c r="A462" s="3906"/>
      <c r="B462" s="3920"/>
      <c r="C462" s="231"/>
      <c r="D462" s="3904"/>
      <c r="E462" s="3905"/>
      <c r="F462" s="3905"/>
      <c r="G462" s="3905"/>
      <c r="H462" s="3905"/>
      <c r="I462" s="3905"/>
      <c r="J462" s="232"/>
      <c r="K462" s="232"/>
      <c r="L462" s="232"/>
      <c r="N462" s="212">
        <f t="shared" si="9"/>
        <v>378</v>
      </c>
    </row>
    <row r="463" spans="1:14" ht="12" customHeight="1">
      <c r="A463" s="3906"/>
      <c r="B463" s="3920"/>
      <c r="C463" s="231"/>
      <c r="D463" s="3900" t="s">
        <v>2281</v>
      </c>
      <c r="E463" s="3901"/>
      <c r="F463" s="3901"/>
      <c r="G463" s="3901"/>
      <c r="H463" s="3901"/>
      <c r="I463" s="3901"/>
      <c r="J463" s="232"/>
      <c r="K463" s="232"/>
      <c r="L463" s="232"/>
      <c r="N463" s="212">
        <f t="shared" si="9"/>
        <v>379</v>
      </c>
    </row>
    <row r="464" spans="1:14" ht="12" customHeight="1">
      <c r="A464" s="230"/>
      <c r="B464" s="3920"/>
      <c r="C464" s="231"/>
      <c r="D464" s="3900" t="s">
        <v>2282</v>
      </c>
      <c r="E464" s="3900"/>
      <c r="F464" s="3900"/>
      <c r="G464" s="3900"/>
      <c r="H464" s="3900"/>
      <c r="I464" s="3900"/>
      <c r="J464" s="3900"/>
      <c r="K464" s="3900"/>
      <c r="L464" s="232"/>
      <c r="N464" s="212">
        <f t="shared" si="9"/>
        <v>380</v>
      </c>
    </row>
    <row r="465" spans="1:14" ht="12" customHeight="1">
      <c r="A465" s="230"/>
      <c r="B465" s="3920"/>
      <c r="C465" s="231"/>
      <c r="D465" s="3912"/>
      <c r="E465" s="3913"/>
      <c r="F465" s="3913"/>
      <c r="G465" s="3913"/>
      <c r="H465" s="3913"/>
      <c r="I465" s="3913"/>
      <c r="J465" s="232"/>
      <c r="K465" s="232"/>
      <c r="L465" s="232"/>
      <c r="N465" s="212">
        <f t="shared" si="9"/>
        <v>380</v>
      </c>
    </row>
    <row r="466" spans="1:14" ht="12" customHeight="1">
      <c r="A466" s="230"/>
      <c r="B466" s="3920"/>
      <c r="C466" s="231"/>
      <c r="D466" s="3900" t="s">
        <v>1295</v>
      </c>
      <c r="E466" s="3900"/>
      <c r="F466" s="3900"/>
      <c r="G466" s="3900"/>
      <c r="H466" s="3900"/>
      <c r="I466" s="3900"/>
      <c r="J466" s="232"/>
      <c r="K466" s="232"/>
      <c r="L466" s="232"/>
      <c r="N466" s="212">
        <f>IF(D466="",N464,N464+1)</f>
        <v>381</v>
      </c>
    </row>
    <row r="467" spans="1:14" ht="12" customHeight="1">
      <c r="A467" s="230"/>
      <c r="B467" s="3920"/>
      <c r="C467" s="231"/>
      <c r="D467" s="3900" t="s">
        <v>1296</v>
      </c>
      <c r="E467" s="3900"/>
      <c r="F467" s="3900"/>
      <c r="G467" s="3900"/>
      <c r="H467" s="3900"/>
      <c r="I467" s="3900"/>
      <c r="J467" s="232"/>
      <c r="K467" s="232"/>
      <c r="L467" s="232"/>
      <c r="N467" s="212">
        <f>IF(D467="",N466,N466+1)</f>
        <v>382</v>
      </c>
    </row>
    <row r="468" spans="1:14" ht="12" customHeight="1">
      <c r="A468" s="230"/>
      <c r="B468" s="3920"/>
      <c r="C468" s="231"/>
      <c r="D468" s="3912" t="s">
        <v>1297</v>
      </c>
      <c r="E468" s="3912"/>
      <c r="F468" s="3912"/>
      <c r="G468" s="3912"/>
      <c r="H468" s="3912"/>
      <c r="I468" s="3912"/>
      <c r="J468" s="3912"/>
      <c r="K468" s="3912"/>
      <c r="L468" s="232"/>
      <c r="N468" s="212">
        <f t="shared" si="9"/>
        <v>383</v>
      </c>
    </row>
    <row r="469" spans="1:14" ht="12" customHeight="1">
      <c r="A469" s="230"/>
      <c r="B469" s="3920"/>
      <c r="C469" s="231"/>
      <c r="D469" s="3912" t="s">
        <v>1299</v>
      </c>
      <c r="E469" s="3912"/>
      <c r="F469" s="3912"/>
      <c r="G469" s="3912"/>
      <c r="H469" s="3912"/>
      <c r="I469" s="3912"/>
      <c r="J469" s="232"/>
      <c r="K469" s="232"/>
      <c r="L469" s="232"/>
      <c r="N469" s="212">
        <f>IF(D469="",N468,N468+1)</f>
        <v>384</v>
      </c>
    </row>
    <row r="470" spans="1:14" ht="12" customHeight="1">
      <c r="A470" s="230"/>
      <c r="B470" s="3920"/>
      <c r="C470" s="231"/>
      <c r="D470" s="3912" t="s">
        <v>1300</v>
      </c>
      <c r="E470" s="3912"/>
      <c r="F470" s="3912"/>
      <c r="G470" s="3912"/>
      <c r="H470" s="3912"/>
      <c r="I470" s="3912"/>
      <c r="J470" s="232"/>
      <c r="K470" s="232"/>
      <c r="L470" s="232"/>
      <c r="N470" s="212">
        <f>IF(D470="",N469,N469+1)</f>
        <v>385</v>
      </c>
    </row>
    <row r="471" spans="1:14" ht="12" customHeight="1" thickBot="1">
      <c r="A471" s="230"/>
      <c r="B471" s="3920"/>
      <c r="C471" s="231"/>
      <c r="D471" s="3912"/>
      <c r="E471" s="3912"/>
      <c r="F471" s="3912"/>
      <c r="G471" s="3912"/>
      <c r="H471" s="3912"/>
      <c r="I471" s="3912"/>
      <c r="J471" s="232"/>
      <c r="K471" s="232"/>
      <c r="L471" s="232"/>
      <c r="N471" s="212">
        <f>IF(D471="",N470,N470+1)</f>
        <v>385</v>
      </c>
    </row>
    <row r="472" spans="1:14" ht="12" customHeight="1" thickBot="1">
      <c r="A472" s="230"/>
      <c r="B472" s="3920"/>
      <c r="C472" s="231"/>
      <c r="D472" s="3959" t="s">
        <v>1298</v>
      </c>
      <c r="E472" s="3959"/>
      <c r="F472" s="3959"/>
      <c r="G472" s="3959"/>
      <c r="H472" s="3959"/>
      <c r="I472" s="3959"/>
      <c r="J472" s="232"/>
      <c r="K472" s="194" t="s">
        <v>585</v>
      </c>
      <c r="L472" s="232"/>
      <c r="N472" s="212">
        <f>IF(D472="",N471,N471+1)</f>
        <v>386</v>
      </c>
    </row>
    <row r="473" spans="1:14" ht="12" customHeight="1">
      <c r="A473" s="230"/>
      <c r="B473" s="3920"/>
      <c r="C473" s="231"/>
      <c r="D473" s="753"/>
      <c r="E473" s="754"/>
      <c r="F473" s="1724"/>
      <c r="G473" s="754"/>
      <c r="H473" s="754"/>
      <c r="I473" s="754"/>
      <c r="J473" s="232"/>
      <c r="K473" s="232"/>
      <c r="L473" s="232"/>
      <c r="N473" s="212">
        <f>IF(D473="",N471,N471+1)</f>
        <v>385</v>
      </c>
    </row>
    <row r="474" spans="1:14" ht="12" customHeight="1">
      <c r="A474" s="230"/>
      <c r="B474" s="3920"/>
      <c r="C474" s="231"/>
      <c r="D474" s="753"/>
      <c r="E474" s="754"/>
      <c r="F474" s="1724"/>
      <c r="G474" s="754"/>
      <c r="H474" s="754"/>
      <c r="I474" s="754"/>
      <c r="J474" s="232"/>
      <c r="K474" s="232"/>
      <c r="L474" s="232"/>
      <c r="N474" s="212">
        <f>IF(D474="",N472,N472+1)</f>
        <v>386</v>
      </c>
    </row>
    <row r="475" spans="1:14" ht="12" customHeight="1">
      <c r="A475" s="230"/>
      <c r="B475" s="3920"/>
      <c r="C475" s="231"/>
      <c r="D475" s="3904"/>
      <c r="E475" s="3904"/>
      <c r="F475" s="3904"/>
      <c r="G475" s="3904"/>
      <c r="H475" s="3904"/>
      <c r="I475" s="3904"/>
      <c r="J475" s="232"/>
      <c r="K475" s="232"/>
      <c r="L475" s="232"/>
      <c r="N475" s="212">
        <f>IF(D475="",N472,N472+1)</f>
        <v>386</v>
      </c>
    </row>
    <row r="476" spans="1:14" ht="12" customHeight="1">
      <c r="A476" s="230"/>
      <c r="B476" s="3920"/>
      <c r="C476" s="231"/>
      <c r="D476" s="3904"/>
      <c r="E476" s="3904"/>
      <c r="F476" s="3904"/>
      <c r="G476" s="3904"/>
      <c r="H476" s="3904"/>
      <c r="I476" s="3904"/>
      <c r="J476" s="232"/>
      <c r="K476" s="232"/>
      <c r="L476" s="232"/>
      <c r="N476" s="212">
        <f t="shared" si="9"/>
        <v>386</v>
      </c>
    </row>
    <row r="477" spans="1:14" ht="12" customHeight="1" thickBot="1">
      <c r="A477" s="3906"/>
      <c r="B477" s="3920"/>
      <c r="C477" s="231"/>
      <c r="D477" s="744"/>
      <c r="E477" s="745"/>
      <c r="F477" s="1719"/>
      <c r="G477" s="745"/>
      <c r="H477" s="745"/>
      <c r="I477" s="745"/>
      <c r="J477" s="232"/>
      <c r="K477" s="232"/>
      <c r="L477" s="231"/>
      <c r="N477" s="212">
        <f t="shared" si="9"/>
        <v>386</v>
      </c>
    </row>
    <row r="478" spans="1:14" ht="15" customHeight="1" thickBot="1">
      <c r="A478" s="3906"/>
      <c r="B478" s="3920"/>
      <c r="C478" s="760"/>
      <c r="D478" s="3947" t="s">
        <v>719</v>
      </c>
      <c r="E478" s="3947"/>
      <c r="F478" s="3947"/>
      <c r="G478" s="3947"/>
      <c r="H478" s="3947"/>
      <c r="I478" s="3947"/>
      <c r="J478" s="232"/>
      <c r="K478" s="197" t="s">
        <v>576</v>
      </c>
      <c r="L478" s="231"/>
      <c r="N478" s="212">
        <f t="shared" si="9"/>
        <v>387</v>
      </c>
    </row>
    <row r="479" spans="1:14" ht="12" customHeight="1" thickBot="1">
      <c r="A479" s="3906"/>
      <c r="B479" s="3920"/>
      <c r="C479" s="231"/>
      <c r="D479" s="3904"/>
      <c r="E479" s="3904"/>
      <c r="F479" s="3904"/>
      <c r="G479" s="3904"/>
      <c r="H479" s="3904"/>
      <c r="I479" s="3904"/>
      <c r="J479" s="232"/>
      <c r="K479" s="197" t="s">
        <v>551</v>
      </c>
      <c r="L479" s="231"/>
      <c r="N479" s="212">
        <f t="shared" si="9"/>
        <v>387</v>
      </c>
    </row>
    <row r="480" spans="1:14" ht="12" customHeight="1">
      <c r="A480" s="3906"/>
      <c r="B480" s="3920"/>
      <c r="C480" s="231"/>
      <c r="D480" s="3901" t="s">
        <v>720</v>
      </c>
      <c r="E480" s="3901"/>
      <c r="F480" s="3901"/>
      <c r="G480" s="3901"/>
      <c r="H480" s="3901"/>
      <c r="I480" s="3901"/>
      <c r="J480" s="232"/>
      <c r="K480" s="232"/>
      <c r="L480" s="231"/>
      <c r="N480" s="212">
        <f t="shared" si="9"/>
        <v>388</v>
      </c>
    </row>
    <row r="481" spans="1:14" ht="12" customHeight="1">
      <c r="A481" s="3906"/>
      <c r="B481" s="3920"/>
      <c r="C481" s="231"/>
      <c r="D481" s="3901" t="s">
        <v>721</v>
      </c>
      <c r="E481" s="3901"/>
      <c r="F481" s="3901"/>
      <c r="G481" s="3901"/>
      <c r="H481" s="3901"/>
      <c r="I481" s="3901"/>
      <c r="J481" s="232"/>
      <c r="K481" s="232"/>
      <c r="L481" s="231"/>
      <c r="N481" s="212">
        <f t="shared" si="9"/>
        <v>389</v>
      </c>
    </row>
    <row r="482" spans="1:14" ht="12" customHeight="1">
      <c r="A482" s="3906"/>
      <c r="C482" s="231"/>
      <c r="D482" s="3901"/>
      <c r="E482" s="3901"/>
      <c r="F482" s="3901"/>
      <c r="G482" s="3901"/>
      <c r="H482" s="3901"/>
      <c r="I482" s="3901"/>
      <c r="J482" s="232"/>
      <c r="K482" s="232"/>
      <c r="L482" s="231"/>
      <c r="N482" s="212">
        <f t="shared" si="9"/>
        <v>389</v>
      </c>
    </row>
    <row r="483" spans="1:14" ht="12" customHeight="1">
      <c r="A483" s="3906"/>
      <c r="C483" s="231"/>
      <c r="D483" s="3912" t="s">
        <v>1301</v>
      </c>
      <c r="E483" s="3912"/>
      <c r="F483" s="3912"/>
      <c r="G483" s="3912"/>
      <c r="H483" s="3912"/>
      <c r="I483" s="3912"/>
      <c r="J483" s="232"/>
      <c r="K483" s="232"/>
      <c r="L483" s="231"/>
      <c r="N483" s="212">
        <f t="shared" si="9"/>
        <v>390</v>
      </c>
    </row>
    <row r="484" spans="1:14" ht="12" customHeight="1">
      <c r="A484" s="3906"/>
      <c r="C484" s="231"/>
      <c r="D484" s="3901"/>
      <c r="E484" s="3901"/>
      <c r="F484" s="3901"/>
      <c r="G484" s="3901"/>
      <c r="H484" s="3901"/>
      <c r="I484" s="3901"/>
      <c r="J484" s="232"/>
      <c r="K484" s="232"/>
      <c r="L484" s="231"/>
      <c r="N484" s="212">
        <f t="shared" si="9"/>
        <v>390</v>
      </c>
    </row>
    <row r="485" spans="1:14" ht="12" customHeight="1">
      <c r="A485" s="3906"/>
      <c r="C485" s="231"/>
      <c r="D485" s="3901" t="s">
        <v>1302</v>
      </c>
      <c r="E485" s="3901"/>
      <c r="F485" s="3901"/>
      <c r="G485" s="3901"/>
      <c r="H485" s="3901"/>
      <c r="I485" s="3901"/>
      <c r="J485" s="232"/>
      <c r="K485" s="232"/>
      <c r="L485" s="231"/>
      <c r="N485" s="212">
        <f t="shared" si="9"/>
        <v>391</v>
      </c>
    </row>
    <row r="486" spans="1:14" ht="12" customHeight="1">
      <c r="A486" s="3906"/>
      <c r="C486" s="231"/>
      <c r="D486" s="3901" t="s">
        <v>1303</v>
      </c>
      <c r="E486" s="3901"/>
      <c r="F486" s="3901"/>
      <c r="G486" s="3901"/>
      <c r="H486" s="3901"/>
      <c r="I486" s="3901"/>
      <c r="J486" s="232"/>
      <c r="K486" s="232"/>
      <c r="L486" s="231"/>
      <c r="N486" s="212">
        <f t="shared" si="9"/>
        <v>392</v>
      </c>
    </row>
    <row r="487" spans="1:14" ht="12" customHeight="1">
      <c r="A487" s="3906"/>
      <c r="C487" s="231"/>
      <c r="D487" s="3912"/>
      <c r="E487" s="3912"/>
      <c r="F487" s="3912"/>
      <c r="G487" s="3912"/>
      <c r="H487" s="3912"/>
      <c r="I487" s="3912"/>
      <c r="J487" s="232"/>
      <c r="K487" s="232"/>
      <c r="L487" s="231"/>
      <c r="N487" s="212">
        <f t="shared" si="9"/>
        <v>392</v>
      </c>
    </row>
    <row r="488" spans="1:14" ht="12" customHeight="1">
      <c r="A488" s="3906"/>
      <c r="C488" s="231"/>
      <c r="D488" s="3901" t="s">
        <v>1304</v>
      </c>
      <c r="E488" s="3901"/>
      <c r="F488" s="3901"/>
      <c r="G488" s="3901"/>
      <c r="H488" s="3901"/>
      <c r="I488" s="3901"/>
      <c r="J488" s="3901"/>
      <c r="K488" s="3901"/>
      <c r="L488" s="231"/>
      <c r="N488" s="212">
        <f t="shared" si="9"/>
        <v>393</v>
      </c>
    </row>
    <row r="489" spans="1:14" ht="12" customHeight="1">
      <c r="A489" s="3906"/>
      <c r="C489" s="231"/>
      <c r="D489" s="3901" t="s">
        <v>1305</v>
      </c>
      <c r="E489" s="3901"/>
      <c r="F489" s="3901"/>
      <c r="G489" s="3901"/>
      <c r="H489" s="3901"/>
      <c r="I489" s="3901"/>
      <c r="J489" s="3901"/>
      <c r="K489" s="3901"/>
      <c r="L489" s="231"/>
      <c r="N489" s="212">
        <f t="shared" si="9"/>
        <v>394</v>
      </c>
    </row>
    <row r="490" spans="1:14" ht="12" customHeight="1">
      <c r="A490" s="3906"/>
      <c r="C490" s="231"/>
      <c r="D490" s="3912"/>
      <c r="E490" s="3912"/>
      <c r="F490" s="3912"/>
      <c r="G490" s="3912"/>
      <c r="H490" s="3912"/>
      <c r="I490" s="3912"/>
      <c r="J490" s="232"/>
      <c r="K490" s="232"/>
      <c r="L490" s="231"/>
      <c r="N490" s="212">
        <f t="shared" si="9"/>
        <v>394</v>
      </c>
    </row>
    <row r="491" spans="1:14" ht="12" customHeight="1">
      <c r="A491" s="3906"/>
      <c r="C491" s="231"/>
      <c r="D491" s="740"/>
      <c r="E491" s="741"/>
      <c r="F491" s="1716"/>
      <c r="G491" s="741"/>
      <c r="H491" s="741"/>
      <c r="I491" s="741"/>
      <c r="J491" s="232"/>
      <c r="K491" s="232"/>
      <c r="L491" s="231"/>
      <c r="N491" s="212">
        <f t="shared" si="9"/>
        <v>394</v>
      </c>
    </row>
    <row r="492" spans="1:14" ht="12" customHeight="1">
      <c r="A492" s="3906"/>
      <c r="C492" s="231"/>
      <c r="D492" s="3901" t="s">
        <v>1307</v>
      </c>
      <c r="E492" s="3901"/>
      <c r="F492" s="3901"/>
      <c r="G492" s="3901"/>
      <c r="H492" s="3901"/>
      <c r="I492" s="3901"/>
      <c r="J492" s="232"/>
      <c r="K492" s="232"/>
      <c r="L492" s="231"/>
      <c r="N492" s="212">
        <f>IF(D492="",N490,N490+1)</f>
        <v>395</v>
      </c>
    </row>
    <row r="493" spans="1:14" ht="12" customHeight="1">
      <c r="A493" s="3906"/>
      <c r="C493" s="231"/>
      <c r="D493" s="3901" t="s">
        <v>1306</v>
      </c>
      <c r="E493" s="3901"/>
      <c r="F493" s="3901"/>
      <c r="G493" s="3901"/>
      <c r="H493" s="3901"/>
      <c r="I493" s="3901"/>
      <c r="J493" s="232"/>
      <c r="K493" s="232"/>
      <c r="L493" s="231"/>
      <c r="N493" s="212">
        <f t="shared" si="9"/>
        <v>396</v>
      </c>
    </row>
    <row r="494" spans="1:14" ht="12" customHeight="1">
      <c r="A494" s="3906"/>
      <c r="C494" s="231"/>
      <c r="D494" s="3912"/>
      <c r="E494" s="3912"/>
      <c r="F494" s="3912"/>
      <c r="G494" s="3912"/>
      <c r="H494" s="3912"/>
      <c r="I494" s="3912"/>
      <c r="J494" s="232"/>
      <c r="K494" s="232"/>
      <c r="L494" s="231"/>
      <c r="N494" s="212">
        <f t="shared" si="9"/>
        <v>396</v>
      </c>
    </row>
    <row r="495" spans="1:14" ht="12" customHeight="1">
      <c r="A495" s="3906"/>
      <c r="C495" s="231"/>
      <c r="D495" s="3901" t="s">
        <v>1308</v>
      </c>
      <c r="E495" s="3901"/>
      <c r="F495" s="3901"/>
      <c r="G495" s="3901"/>
      <c r="H495" s="3901"/>
      <c r="I495" s="3901"/>
      <c r="J495" s="232"/>
      <c r="K495" s="232"/>
      <c r="L495" s="231"/>
      <c r="N495" s="212">
        <f t="shared" si="9"/>
        <v>397</v>
      </c>
    </row>
    <row r="496" spans="1:14" ht="12" customHeight="1">
      <c r="A496" s="3906"/>
      <c r="C496" s="231"/>
      <c r="D496" s="3912"/>
      <c r="E496" s="3912"/>
      <c r="F496" s="3912"/>
      <c r="G496" s="3912"/>
      <c r="H496" s="3912"/>
      <c r="I496" s="3912"/>
      <c r="J496" s="232"/>
      <c r="K496" s="232"/>
      <c r="L496" s="231"/>
      <c r="N496" s="212">
        <f t="shared" si="9"/>
        <v>397</v>
      </c>
    </row>
    <row r="497" spans="1:14" ht="12" customHeight="1">
      <c r="A497" s="3906"/>
      <c r="C497" s="231"/>
      <c r="D497" s="3901" t="s">
        <v>1084</v>
      </c>
      <c r="E497" s="3901"/>
      <c r="F497" s="3901"/>
      <c r="G497" s="3901"/>
      <c r="H497" s="3901"/>
      <c r="I497" s="3901"/>
      <c r="J497" s="232"/>
      <c r="K497" s="232"/>
      <c r="L497" s="231"/>
      <c r="N497" s="212">
        <f t="shared" si="9"/>
        <v>398</v>
      </c>
    </row>
    <row r="498" spans="1:14" ht="12" customHeight="1">
      <c r="A498" s="3906"/>
      <c r="C498" s="231"/>
      <c r="D498" s="3904"/>
      <c r="E498" s="3904"/>
      <c r="F498" s="3904"/>
      <c r="G498" s="3904"/>
      <c r="H498" s="3904"/>
      <c r="I498" s="3904"/>
      <c r="J498" s="232"/>
      <c r="K498" s="232"/>
      <c r="L498" s="231"/>
      <c r="N498" s="212">
        <f t="shared" si="9"/>
        <v>398</v>
      </c>
    </row>
    <row r="499" spans="1:14" ht="12" customHeight="1">
      <c r="A499" s="3906"/>
      <c r="C499" s="231"/>
      <c r="D499" s="3904"/>
      <c r="E499" s="3904"/>
      <c r="F499" s="3904"/>
      <c r="G499" s="3904"/>
      <c r="H499" s="3904"/>
      <c r="I499" s="3904"/>
      <c r="J499" s="232"/>
      <c r="K499" s="232"/>
      <c r="L499" s="231"/>
      <c r="N499" s="212">
        <f t="shared" si="9"/>
        <v>398</v>
      </c>
    </row>
    <row r="500" spans="1:14" ht="12" customHeight="1">
      <c r="A500" s="3906"/>
      <c r="C500" s="231"/>
      <c r="D500" s="742"/>
      <c r="E500" s="743"/>
      <c r="F500" s="1714"/>
      <c r="G500" s="743"/>
      <c r="H500" s="743"/>
      <c r="I500" s="743"/>
      <c r="J500" s="232"/>
      <c r="K500" s="232"/>
      <c r="L500" s="231"/>
      <c r="N500" s="212">
        <f t="shared" si="9"/>
        <v>398</v>
      </c>
    </row>
    <row r="501" spans="1:14" ht="12" customHeight="1">
      <c r="A501" s="3906"/>
      <c r="C501" s="231"/>
      <c r="D501" s="3904"/>
      <c r="E501" s="3904"/>
      <c r="F501" s="3904"/>
      <c r="G501" s="3904"/>
      <c r="H501" s="3904"/>
      <c r="I501" s="3904"/>
      <c r="J501" s="232"/>
      <c r="K501" s="232"/>
      <c r="L501" s="231"/>
      <c r="N501" s="212">
        <f>IF(D501="",N499,N499+1)</f>
        <v>398</v>
      </c>
    </row>
    <row r="502" spans="1:14" ht="12" customHeight="1" thickBot="1">
      <c r="A502" s="3906"/>
      <c r="B502" s="3906"/>
      <c r="C502" s="231"/>
      <c r="D502" s="3904"/>
      <c r="E502" s="3904"/>
      <c r="F502" s="3904"/>
      <c r="G502" s="3904"/>
      <c r="H502" s="3904"/>
      <c r="I502" s="3904"/>
      <c r="J502" s="232"/>
      <c r="K502" s="232"/>
      <c r="L502" s="231"/>
      <c r="N502" s="212">
        <f t="shared" si="9"/>
        <v>398</v>
      </c>
    </row>
    <row r="503" spans="1:14" ht="15" customHeight="1" thickBot="1">
      <c r="A503" s="3906"/>
      <c r="B503" s="3906"/>
      <c r="C503" s="760"/>
      <c r="D503" s="3947" t="s">
        <v>722</v>
      </c>
      <c r="E503" s="3947"/>
      <c r="F503" s="3947"/>
      <c r="G503" s="3947"/>
      <c r="H503" s="3947"/>
      <c r="I503" s="3947"/>
      <c r="J503" s="232"/>
      <c r="K503" s="197" t="s">
        <v>576</v>
      </c>
      <c r="L503" s="231"/>
      <c r="N503" s="212">
        <f t="shared" si="9"/>
        <v>399</v>
      </c>
    </row>
    <row r="504" spans="1:14" ht="12" customHeight="1" thickBot="1">
      <c r="A504" s="3906"/>
      <c r="B504" s="3906"/>
      <c r="C504" s="231"/>
      <c r="D504" s="3904"/>
      <c r="E504" s="3904"/>
      <c r="F504" s="3904"/>
      <c r="G504" s="3904"/>
      <c r="H504" s="3904"/>
      <c r="I504" s="3904"/>
      <c r="J504" s="232"/>
      <c r="K504" s="198" t="s">
        <v>551</v>
      </c>
      <c r="L504" s="231"/>
      <c r="N504" s="212">
        <f t="shared" si="9"/>
        <v>399</v>
      </c>
    </row>
    <row r="505" spans="1:14" ht="12" customHeight="1">
      <c r="A505" s="3906"/>
      <c r="B505" s="3906"/>
      <c r="C505" s="231"/>
      <c r="D505" s="3901" t="s">
        <v>1309</v>
      </c>
      <c r="E505" s="3901"/>
      <c r="F505" s="3901"/>
      <c r="G505" s="3901"/>
      <c r="H505" s="3901"/>
      <c r="I505" s="3901"/>
      <c r="J505" s="232"/>
      <c r="K505" s="232"/>
      <c r="L505" s="231"/>
      <c r="N505" s="212">
        <f t="shared" si="9"/>
        <v>400</v>
      </c>
    </row>
    <row r="506" spans="1:14" ht="12" customHeight="1">
      <c r="A506" s="3906"/>
      <c r="B506" s="3906"/>
      <c r="C506" s="231"/>
      <c r="D506" s="3912"/>
      <c r="E506" s="3912"/>
      <c r="F506" s="3912"/>
      <c r="G506" s="3912"/>
      <c r="H506" s="3912"/>
      <c r="I506" s="3912"/>
      <c r="J506" s="232"/>
      <c r="K506" s="232"/>
      <c r="L506" s="231"/>
      <c r="N506" s="212">
        <f t="shared" si="9"/>
        <v>400</v>
      </c>
    </row>
    <row r="507" spans="1:14" ht="12" customHeight="1">
      <c r="A507" s="3906"/>
      <c r="B507" s="3906"/>
      <c r="C507" s="231"/>
      <c r="D507" s="3901" t="s">
        <v>1310</v>
      </c>
      <c r="E507" s="3901"/>
      <c r="F507" s="3901"/>
      <c r="G507" s="3901"/>
      <c r="H507" s="3901"/>
      <c r="I507" s="3901"/>
      <c r="J507" s="232"/>
      <c r="K507" s="232"/>
      <c r="L507" s="231"/>
      <c r="N507" s="212">
        <f t="shared" si="9"/>
        <v>401</v>
      </c>
    </row>
    <row r="508" spans="1:14" ht="12" customHeight="1">
      <c r="B508" s="3906"/>
      <c r="C508" s="231"/>
      <c r="D508" s="3912"/>
      <c r="E508" s="3912"/>
      <c r="F508" s="3912"/>
      <c r="G508" s="3912"/>
      <c r="H508" s="3912"/>
      <c r="I508" s="3912"/>
      <c r="J508" s="232"/>
      <c r="K508" s="232"/>
      <c r="L508" s="232"/>
      <c r="N508" s="212">
        <f t="shared" si="9"/>
        <v>401</v>
      </c>
    </row>
    <row r="509" spans="1:14" ht="12" customHeight="1">
      <c r="B509" s="3906"/>
      <c r="C509" s="231"/>
      <c r="D509" s="3901" t="s">
        <v>1311</v>
      </c>
      <c r="E509" s="3901"/>
      <c r="F509" s="3901"/>
      <c r="G509" s="3901"/>
      <c r="H509" s="3901"/>
      <c r="I509" s="3901"/>
      <c r="J509" s="232"/>
      <c r="K509" s="232"/>
      <c r="L509" s="232"/>
      <c r="N509" s="212">
        <f t="shared" si="9"/>
        <v>402</v>
      </c>
    </row>
    <row r="510" spans="1:14" ht="12" customHeight="1">
      <c r="B510" s="3906"/>
      <c r="C510" s="231"/>
      <c r="D510" s="3912"/>
      <c r="E510" s="3912"/>
      <c r="F510" s="3912"/>
      <c r="G510" s="3912"/>
      <c r="H510" s="3912"/>
      <c r="I510" s="3912"/>
      <c r="J510" s="232"/>
      <c r="K510" s="232"/>
      <c r="L510" s="232"/>
      <c r="N510" s="212">
        <f t="shared" si="9"/>
        <v>402</v>
      </c>
    </row>
    <row r="511" spans="1:14" ht="12" customHeight="1">
      <c r="B511" s="3906"/>
      <c r="C511" s="231"/>
      <c r="D511" s="3901" t="s">
        <v>1303</v>
      </c>
      <c r="E511" s="3901"/>
      <c r="F511" s="3901"/>
      <c r="G511" s="3901"/>
      <c r="H511" s="3901"/>
      <c r="I511" s="3901"/>
      <c r="J511" s="232"/>
      <c r="K511" s="232"/>
      <c r="L511" s="232"/>
      <c r="N511" s="212">
        <f t="shared" si="9"/>
        <v>403</v>
      </c>
    </row>
    <row r="512" spans="1:14" ht="12" customHeight="1">
      <c r="B512" s="3906"/>
      <c r="C512" s="231"/>
      <c r="D512" s="3912"/>
      <c r="E512" s="3912"/>
      <c r="F512" s="3912"/>
      <c r="G512" s="3912"/>
      <c r="H512" s="3912"/>
      <c r="I512" s="3912"/>
      <c r="J512" s="232"/>
      <c r="K512" s="232"/>
      <c r="L512" s="232"/>
      <c r="N512" s="212">
        <f t="shared" si="9"/>
        <v>403</v>
      </c>
    </row>
    <row r="513" spans="2:14" ht="12" customHeight="1">
      <c r="B513" s="3906"/>
      <c r="C513" s="231"/>
      <c r="D513" s="3901" t="s">
        <v>1304</v>
      </c>
      <c r="E513" s="3901"/>
      <c r="F513" s="3901"/>
      <c r="G513" s="3901"/>
      <c r="H513" s="3901"/>
      <c r="I513" s="3901"/>
      <c r="J513" s="3901"/>
      <c r="K513" s="3901"/>
      <c r="L513" s="232"/>
      <c r="N513" s="212">
        <f t="shared" si="9"/>
        <v>404</v>
      </c>
    </row>
    <row r="514" spans="2:14" ht="12" customHeight="1">
      <c r="B514" s="3906"/>
      <c r="C514" s="231"/>
      <c r="D514" s="3901" t="s">
        <v>1305</v>
      </c>
      <c r="E514" s="3901"/>
      <c r="F514" s="3901"/>
      <c r="G514" s="3901"/>
      <c r="H514" s="3901"/>
      <c r="I514" s="3901"/>
      <c r="J514" s="3901"/>
      <c r="K514" s="3901"/>
      <c r="L514" s="232"/>
      <c r="N514" s="212">
        <f t="shared" si="9"/>
        <v>405</v>
      </c>
    </row>
    <row r="515" spans="2:14" ht="12" customHeight="1">
      <c r="B515" s="3906"/>
      <c r="C515" s="231"/>
      <c r="D515" s="3912"/>
      <c r="E515" s="3912"/>
      <c r="F515" s="3912"/>
      <c r="G515" s="3912"/>
      <c r="H515" s="3912"/>
      <c r="I515" s="3912"/>
      <c r="J515" s="232"/>
      <c r="K515" s="232"/>
      <c r="L515" s="232"/>
      <c r="N515" s="212">
        <f t="shared" si="9"/>
        <v>405</v>
      </c>
    </row>
    <row r="516" spans="2:14" ht="15" customHeight="1">
      <c r="B516" s="3906"/>
      <c r="C516" s="231"/>
      <c r="D516" s="3901" t="s">
        <v>1312</v>
      </c>
      <c r="E516" s="3901"/>
      <c r="F516" s="3901"/>
      <c r="G516" s="3901"/>
      <c r="H516" s="3901"/>
      <c r="I516" s="3901"/>
      <c r="J516" s="232"/>
      <c r="K516" s="232"/>
      <c r="L516" s="232"/>
      <c r="N516" s="212">
        <f t="shared" si="9"/>
        <v>406</v>
      </c>
    </row>
    <row r="517" spans="2:14" ht="12" customHeight="1">
      <c r="B517" s="3906"/>
      <c r="C517" s="231"/>
      <c r="D517" s="3900" t="s">
        <v>1313</v>
      </c>
      <c r="E517" s="3900"/>
      <c r="F517" s="3900"/>
      <c r="G517" s="3900"/>
      <c r="H517" s="3900"/>
      <c r="I517" s="3900"/>
      <c r="J517" s="3900"/>
      <c r="K517" s="3900"/>
      <c r="L517" s="232"/>
      <c r="N517" s="212">
        <f t="shared" si="9"/>
        <v>407</v>
      </c>
    </row>
    <row r="518" spans="2:14" ht="12" customHeight="1">
      <c r="B518" s="3906"/>
      <c r="C518" s="231"/>
      <c r="D518" s="3900" t="s">
        <v>1314</v>
      </c>
      <c r="E518" s="3900"/>
      <c r="F518" s="3900"/>
      <c r="G518" s="3900"/>
      <c r="H518" s="3900"/>
      <c r="I518" s="3900"/>
      <c r="J518" s="3900"/>
      <c r="K518" s="3900"/>
      <c r="L518" s="232"/>
      <c r="N518" s="212">
        <f t="shared" si="9"/>
        <v>408</v>
      </c>
    </row>
    <row r="519" spans="2:14" ht="12" customHeight="1">
      <c r="B519" s="3906"/>
      <c r="C519" s="231"/>
      <c r="D519" s="3912"/>
      <c r="E519" s="3912"/>
      <c r="F519" s="3912"/>
      <c r="G519" s="3912"/>
      <c r="H519" s="3912"/>
      <c r="I519" s="3912"/>
      <c r="J519" s="232"/>
      <c r="K519" s="232"/>
      <c r="L519" s="232"/>
      <c r="N519" s="212">
        <f t="shared" si="9"/>
        <v>408</v>
      </c>
    </row>
    <row r="520" spans="2:14" ht="12" customHeight="1">
      <c r="B520" s="3906"/>
      <c r="C520" s="231"/>
      <c r="D520" s="3901" t="s">
        <v>1315</v>
      </c>
      <c r="E520" s="3901"/>
      <c r="F520" s="3901"/>
      <c r="G520" s="3901"/>
      <c r="H520" s="3901"/>
      <c r="I520" s="3901"/>
      <c r="J520" s="232"/>
      <c r="K520" s="232"/>
      <c r="L520" s="232"/>
      <c r="N520" s="212">
        <f t="shared" si="9"/>
        <v>409</v>
      </c>
    </row>
    <row r="521" spans="2:14" ht="12" customHeight="1">
      <c r="B521" s="3906"/>
      <c r="C521" s="231"/>
      <c r="D521" s="3912" t="s">
        <v>1316</v>
      </c>
      <c r="E521" s="3912"/>
      <c r="F521" s="3912"/>
      <c r="G521" s="3912"/>
      <c r="H521" s="3912"/>
      <c r="I521" s="3912"/>
      <c r="J521" s="3912"/>
      <c r="K521" s="3912"/>
      <c r="L521" s="232"/>
      <c r="N521" s="212">
        <f t="shared" si="9"/>
        <v>410</v>
      </c>
    </row>
    <row r="522" spans="2:14" ht="12" customHeight="1">
      <c r="B522" s="3906"/>
      <c r="C522" s="231"/>
      <c r="D522" s="3912" t="s">
        <v>1317</v>
      </c>
      <c r="E522" s="3912"/>
      <c r="F522" s="3912"/>
      <c r="G522" s="3912"/>
      <c r="H522" s="3912"/>
      <c r="I522" s="3912"/>
      <c r="J522" s="232"/>
      <c r="K522" s="232"/>
      <c r="L522" s="232"/>
      <c r="N522" s="212">
        <f t="shared" si="9"/>
        <v>411</v>
      </c>
    </row>
    <row r="523" spans="2:14" ht="12" customHeight="1">
      <c r="B523" s="3906"/>
      <c r="C523" s="231"/>
      <c r="D523" s="3904"/>
      <c r="E523" s="3904"/>
      <c r="F523" s="3904"/>
      <c r="G523" s="3904"/>
      <c r="H523" s="3904"/>
      <c r="I523" s="3904"/>
      <c r="J523" s="232"/>
      <c r="K523" s="232"/>
      <c r="L523" s="232"/>
      <c r="N523" s="212">
        <f t="shared" si="9"/>
        <v>411</v>
      </c>
    </row>
    <row r="524" spans="2:14" ht="12" customHeight="1">
      <c r="B524" s="3906"/>
      <c r="C524" s="231"/>
      <c r="D524" s="3901" t="s">
        <v>1318</v>
      </c>
      <c r="E524" s="3901"/>
      <c r="F524" s="3901"/>
      <c r="G524" s="3901"/>
      <c r="H524" s="3901"/>
      <c r="I524" s="3901"/>
      <c r="J524" s="232"/>
      <c r="K524" s="232"/>
      <c r="L524" s="232"/>
      <c r="N524" s="212">
        <f t="shared" si="9"/>
        <v>412</v>
      </c>
    </row>
    <row r="525" spans="2:14" ht="12" customHeight="1">
      <c r="B525" s="3906"/>
      <c r="C525" s="231"/>
      <c r="D525" s="3901" t="s">
        <v>1321</v>
      </c>
      <c r="E525" s="3901"/>
      <c r="F525" s="3901"/>
      <c r="G525" s="3901"/>
      <c r="H525" s="3901"/>
      <c r="I525" s="3901"/>
      <c r="J525" s="232"/>
      <c r="K525" s="232"/>
      <c r="L525" s="232"/>
      <c r="N525" s="212">
        <f t="shared" ref="N525:N582" si="10">IF(D525="",N524,N524+1)</f>
        <v>413</v>
      </c>
    </row>
    <row r="526" spans="2:14" ht="12" customHeight="1">
      <c r="B526" s="3906"/>
      <c r="C526" s="231"/>
      <c r="D526" s="3901" t="s">
        <v>1319</v>
      </c>
      <c r="E526" s="3901"/>
      <c r="F526" s="3901"/>
      <c r="G526" s="3901"/>
      <c r="H526" s="3901"/>
      <c r="I526" s="3901"/>
      <c r="J526" s="232"/>
      <c r="K526" s="232"/>
      <c r="L526" s="232"/>
      <c r="N526" s="212">
        <f t="shared" si="10"/>
        <v>414</v>
      </c>
    </row>
    <row r="527" spans="2:14" ht="12" customHeight="1">
      <c r="B527" s="3906"/>
      <c r="C527" s="231"/>
      <c r="D527" s="3901" t="s">
        <v>1322</v>
      </c>
      <c r="E527" s="3901"/>
      <c r="F527" s="3901"/>
      <c r="G527" s="3901"/>
      <c r="H527" s="3901"/>
      <c r="I527" s="3901"/>
      <c r="J527" s="232"/>
      <c r="K527" s="232"/>
      <c r="L527" s="232"/>
      <c r="N527" s="212">
        <f t="shared" si="10"/>
        <v>415</v>
      </c>
    </row>
    <row r="528" spans="2:14" ht="12" customHeight="1">
      <c r="C528" s="231"/>
      <c r="D528" s="3912"/>
      <c r="E528" s="3912"/>
      <c r="F528" s="3912"/>
      <c r="G528" s="3912"/>
      <c r="H528" s="3912"/>
      <c r="I528" s="3912"/>
      <c r="J528" s="232"/>
      <c r="K528" s="232"/>
      <c r="L528" s="232"/>
      <c r="N528" s="212">
        <f t="shared" si="10"/>
        <v>415</v>
      </c>
    </row>
    <row r="529" spans="3:14" ht="12" customHeight="1">
      <c r="C529" s="231"/>
      <c r="D529" s="3901" t="s">
        <v>1320</v>
      </c>
      <c r="E529" s="3901"/>
      <c r="F529" s="3901"/>
      <c r="G529" s="3901"/>
      <c r="H529" s="3901"/>
      <c r="I529" s="3901"/>
      <c r="J529" s="232"/>
      <c r="K529" s="232"/>
      <c r="L529" s="232"/>
      <c r="N529" s="212">
        <f t="shared" si="10"/>
        <v>416</v>
      </c>
    </row>
    <row r="530" spans="3:14" ht="12" customHeight="1">
      <c r="C530" s="231"/>
      <c r="D530" s="3900" t="s">
        <v>1323</v>
      </c>
      <c r="E530" s="3900"/>
      <c r="F530" s="3900"/>
      <c r="G530" s="3900"/>
      <c r="H530" s="3900"/>
      <c r="I530" s="3900"/>
      <c r="J530" s="232"/>
      <c r="K530" s="232"/>
      <c r="L530" s="232"/>
      <c r="N530" s="212">
        <f t="shared" si="10"/>
        <v>417</v>
      </c>
    </row>
    <row r="531" spans="3:14" ht="12" customHeight="1">
      <c r="C531" s="231"/>
      <c r="D531" s="3971" t="s">
        <v>1324</v>
      </c>
      <c r="E531" s="3971"/>
      <c r="F531" s="3971"/>
      <c r="G531" s="3971"/>
      <c r="H531" s="3971"/>
      <c r="I531" s="3971"/>
      <c r="J531" s="3971"/>
      <c r="K531" s="3971"/>
      <c r="L531" s="232"/>
      <c r="N531" s="212">
        <f t="shared" si="10"/>
        <v>418</v>
      </c>
    </row>
    <row r="532" spans="3:14" ht="12" customHeight="1">
      <c r="C532" s="231"/>
      <c r="D532" s="3900" t="s">
        <v>1325</v>
      </c>
      <c r="E532" s="3900"/>
      <c r="F532" s="3900"/>
      <c r="G532" s="3900"/>
      <c r="H532" s="3900"/>
      <c r="I532" s="3900"/>
      <c r="J532" s="232"/>
      <c r="K532" s="232"/>
      <c r="L532" s="232"/>
      <c r="N532" s="212">
        <f t="shared" si="10"/>
        <v>419</v>
      </c>
    </row>
    <row r="533" spans="3:14" ht="12" customHeight="1">
      <c r="C533" s="231"/>
      <c r="D533" s="3916"/>
      <c r="E533" s="3917"/>
      <c r="F533" s="3917"/>
      <c r="G533" s="3917"/>
      <c r="H533" s="3917"/>
      <c r="I533" s="3917"/>
      <c r="J533" s="232"/>
      <c r="K533" s="232"/>
      <c r="L533" s="232"/>
      <c r="N533" s="212">
        <f t="shared" si="10"/>
        <v>419</v>
      </c>
    </row>
    <row r="534" spans="3:14" ht="12" customHeight="1">
      <c r="C534" s="231"/>
      <c r="D534" s="3948" t="s">
        <v>724</v>
      </c>
      <c r="E534" s="3949"/>
      <c r="F534" s="3949"/>
      <c r="G534" s="3949"/>
      <c r="H534" s="3949"/>
      <c r="I534" s="3949"/>
      <c r="J534" s="232"/>
      <c r="K534" s="232"/>
      <c r="L534" s="232"/>
      <c r="N534" s="212">
        <f t="shared" si="10"/>
        <v>420</v>
      </c>
    </row>
    <row r="535" spans="3:14" ht="12" customHeight="1">
      <c r="C535" s="231"/>
      <c r="D535" s="3948" t="s">
        <v>1326</v>
      </c>
      <c r="E535" s="3949"/>
      <c r="F535" s="3949"/>
      <c r="G535" s="3949"/>
      <c r="H535" s="3949"/>
      <c r="I535" s="3949"/>
      <c r="J535" s="232"/>
      <c r="K535" s="232"/>
      <c r="L535" s="232"/>
      <c r="N535" s="212">
        <f t="shared" si="10"/>
        <v>421</v>
      </c>
    </row>
    <row r="536" spans="3:14" ht="12" customHeight="1">
      <c r="C536" s="231"/>
      <c r="D536" s="3948" t="s">
        <v>1327</v>
      </c>
      <c r="E536" s="3949"/>
      <c r="F536" s="3949"/>
      <c r="G536" s="3949"/>
      <c r="H536" s="3949"/>
      <c r="I536" s="3949"/>
      <c r="J536" s="232"/>
      <c r="K536" s="232"/>
      <c r="L536" s="232"/>
      <c r="N536" s="212">
        <f t="shared" si="10"/>
        <v>422</v>
      </c>
    </row>
    <row r="537" spans="3:14" ht="12" customHeight="1">
      <c r="C537" s="231"/>
      <c r="D537" s="3948" t="s">
        <v>1328</v>
      </c>
      <c r="E537" s="3949"/>
      <c r="F537" s="3949"/>
      <c r="G537" s="3949"/>
      <c r="H537" s="3949"/>
      <c r="I537" s="3949"/>
      <c r="J537" s="232"/>
      <c r="K537" s="232"/>
      <c r="L537" s="232"/>
      <c r="N537" s="212">
        <f t="shared" si="10"/>
        <v>423</v>
      </c>
    </row>
    <row r="538" spans="3:14" ht="12" customHeight="1">
      <c r="C538" s="231"/>
      <c r="D538" s="3900"/>
      <c r="E538" s="3901"/>
      <c r="F538" s="3901"/>
      <c r="G538" s="3901"/>
      <c r="H538" s="3901"/>
      <c r="I538" s="3901"/>
      <c r="J538" s="232"/>
      <c r="K538" s="232"/>
      <c r="L538" s="232"/>
      <c r="N538" s="212">
        <f t="shared" si="10"/>
        <v>423</v>
      </c>
    </row>
    <row r="539" spans="3:14" ht="12" customHeight="1">
      <c r="C539" s="231"/>
      <c r="D539" s="3948" t="s">
        <v>1329</v>
      </c>
      <c r="E539" s="3948"/>
      <c r="F539" s="3948"/>
      <c r="G539" s="3948"/>
      <c r="H539" s="3948"/>
      <c r="I539" s="3948"/>
      <c r="J539" s="3948"/>
      <c r="K539" s="3948"/>
      <c r="L539" s="232"/>
      <c r="N539" s="212">
        <f t="shared" si="10"/>
        <v>424</v>
      </c>
    </row>
    <row r="540" spans="3:14" ht="12" customHeight="1">
      <c r="C540" s="231"/>
      <c r="D540" s="3948" t="s">
        <v>1330</v>
      </c>
      <c r="E540" s="3948"/>
      <c r="F540" s="3948"/>
      <c r="G540" s="3948"/>
      <c r="H540" s="3948"/>
      <c r="I540" s="3948"/>
      <c r="J540" s="3948"/>
      <c r="K540" s="3948"/>
      <c r="L540" s="232"/>
      <c r="N540" s="212">
        <f t="shared" si="10"/>
        <v>425</v>
      </c>
    </row>
    <row r="541" spans="3:14" ht="12" customHeight="1">
      <c r="C541" s="231"/>
      <c r="D541" s="3948" t="s">
        <v>1331</v>
      </c>
      <c r="E541" s="3948"/>
      <c r="F541" s="3948"/>
      <c r="G541" s="3948"/>
      <c r="H541" s="3948"/>
      <c r="I541" s="3948"/>
      <c r="J541" s="3948"/>
      <c r="K541" s="3948"/>
      <c r="L541" s="232"/>
      <c r="N541" s="212">
        <f t="shared" si="10"/>
        <v>426</v>
      </c>
    </row>
    <row r="542" spans="3:14" ht="12" customHeight="1">
      <c r="C542" s="231"/>
      <c r="D542" s="751"/>
      <c r="E542" s="752"/>
      <c r="F542" s="1723"/>
      <c r="G542" s="752"/>
      <c r="H542" s="752"/>
      <c r="I542" s="752"/>
      <c r="J542" s="232"/>
      <c r="K542" s="232"/>
      <c r="L542" s="232"/>
      <c r="N542" s="212">
        <f t="shared" si="10"/>
        <v>426</v>
      </c>
    </row>
    <row r="543" spans="3:14" ht="12" customHeight="1">
      <c r="C543" s="231"/>
      <c r="D543" s="751"/>
      <c r="E543" s="752"/>
      <c r="F543" s="1723"/>
      <c r="G543" s="752"/>
      <c r="H543" s="752"/>
      <c r="I543" s="752"/>
      <c r="J543" s="232"/>
      <c r="K543" s="232"/>
      <c r="L543" s="232"/>
      <c r="N543" s="212">
        <f t="shared" si="10"/>
        <v>426</v>
      </c>
    </row>
    <row r="544" spans="3:14" ht="12" customHeight="1">
      <c r="C544" s="231"/>
      <c r="D544" s="751"/>
      <c r="E544" s="752"/>
      <c r="F544" s="1723"/>
      <c r="G544" s="752"/>
      <c r="H544" s="752"/>
      <c r="I544" s="752"/>
      <c r="J544" s="232"/>
      <c r="K544" s="232"/>
      <c r="L544" s="232"/>
      <c r="N544" s="212">
        <f t="shared" si="10"/>
        <v>426</v>
      </c>
    </row>
    <row r="545" spans="1:14" ht="12" customHeight="1">
      <c r="C545" s="231"/>
      <c r="D545" s="751"/>
      <c r="E545" s="752"/>
      <c r="F545" s="1723"/>
      <c r="G545" s="752"/>
      <c r="H545" s="752"/>
      <c r="I545" s="752"/>
      <c r="J545" s="232"/>
      <c r="K545" s="232"/>
      <c r="L545" s="232"/>
      <c r="N545" s="212">
        <f t="shared" si="10"/>
        <v>426</v>
      </c>
    </row>
    <row r="546" spans="1:14" ht="12" customHeight="1">
      <c r="C546" s="231"/>
      <c r="D546" s="751"/>
      <c r="E546" s="752"/>
      <c r="F546" s="1723"/>
      <c r="G546" s="752"/>
      <c r="H546" s="752"/>
      <c r="I546" s="752"/>
      <c r="J546" s="232"/>
      <c r="K546" s="232"/>
      <c r="L546" s="232"/>
      <c r="N546" s="212">
        <f t="shared" si="10"/>
        <v>426</v>
      </c>
    </row>
    <row r="547" spans="1:14" ht="12" customHeight="1">
      <c r="C547" s="231"/>
      <c r="D547" s="751"/>
      <c r="E547" s="752"/>
      <c r="F547" s="1723"/>
      <c r="G547" s="752"/>
      <c r="H547" s="752"/>
      <c r="I547" s="752"/>
      <c r="J547" s="232"/>
      <c r="K547" s="232"/>
      <c r="L547" s="232"/>
      <c r="N547" s="212">
        <f t="shared" si="10"/>
        <v>426</v>
      </c>
    </row>
    <row r="548" spans="1:14" ht="12" customHeight="1">
      <c r="C548" s="231"/>
      <c r="D548" s="751"/>
      <c r="E548" s="752"/>
      <c r="F548" s="1723"/>
      <c r="G548" s="752"/>
      <c r="H548" s="752"/>
      <c r="I548" s="752"/>
      <c r="J548" s="232"/>
      <c r="K548" s="232"/>
      <c r="L548" s="232"/>
      <c r="N548" s="212">
        <f t="shared" si="10"/>
        <v>426</v>
      </c>
    </row>
    <row r="549" spans="1:14" ht="12" customHeight="1">
      <c r="C549" s="231"/>
      <c r="D549" s="751"/>
      <c r="E549" s="752"/>
      <c r="F549" s="1723"/>
      <c r="G549" s="752"/>
      <c r="H549" s="752"/>
      <c r="I549" s="752"/>
      <c r="J549" s="232"/>
      <c r="K549" s="232"/>
      <c r="L549" s="232"/>
      <c r="N549" s="212">
        <f t="shared" si="10"/>
        <v>426</v>
      </c>
    </row>
    <row r="550" spans="1:14" ht="12" customHeight="1">
      <c r="C550" s="231"/>
      <c r="D550" s="751"/>
      <c r="E550" s="752"/>
      <c r="F550" s="1723"/>
      <c r="G550" s="752"/>
      <c r="H550" s="752"/>
      <c r="I550" s="752"/>
      <c r="J550" s="232"/>
      <c r="K550" s="232"/>
      <c r="L550" s="232"/>
      <c r="N550" s="212">
        <f t="shared" si="10"/>
        <v>426</v>
      </c>
    </row>
    <row r="551" spans="1:14" ht="12" customHeight="1">
      <c r="C551" s="231"/>
      <c r="D551" s="751"/>
      <c r="E551" s="752"/>
      <c r="F551" s="1723"/>
      <c r="G551" s="752"/>
      <c r="H551" s="752"/>
      <c r="I551" s="752"/>
      <c r="J551" s="232"/>
      <c r="K551" s="232"/>
      <c r="L551" s="232"/>
      <c r="N551" s="212">
        <f t="shared" si="10"/>
        <v>426</v>
      </c>
    </row>
    <row r="552" spans="1:14" ht="12" customHeight="1">
      <c r="C552" s="231"/>
      <c r="D552" s="751"/>
      <c r="E552" s="752"/>
      <c r="F552" s="1723"/>
      <c r="G552" s="752"/>
      <c r="H552" s="752"/>
      <c r="I552" s="752"/>
      <c r="J552" s="232"/>
      <c r="K552" s="232"/>
      <c r="L552" s="232"/>
      <c r="N552" s="212">
        <f t="shared" si="10"/>
        <v>426</v>
      </c>
    </row>
    <row r="553" spans="1:14" ht="12" customHeight="1">
      <c r="C553" s="231"/>
      <c r="D553" s="751"/>
      <c r="E553" s="752"/>
      <c r="F553" s="1723"/>
      <c r="G553" s="752"/>
      <c r="H553" s="752"/>
      <c r="I553" s="752"/>
      <c r="J553" s="232"/>
      <c r="K553" s="232"/>
      <c r="L553" s="232"/>
      <c r="N553" s="212">
        <f t="shared" si="10"/>
        <v>426</v>
      </c>
    </row>
    <row r="554" spans="1:14" ht="12" customHeight="1">
      <c r="C554" s="231"/>
      <c r="D554" s="751"/>
      <c r="E554" s="752"/>
      <c r="F554" s="1723"/>
      <c r="G554" s="752"/>
      <c r="H554" s="752"/>
      <c r="I554" s="752"/>
      <c r="J554" s="232"/>
      <c r="K554" s="232"/>
      <c r="L554" s="232"/>
      <c r="N554" s="212">
        <f t="shared" si="10"/>
        <v>426</v>
      </c>
    </row>
    <row r="555" spans="1:14" ht="12" customHeight="1" thickBot="1">
      <c r="A555" s="3906"/>
      <c r="C555" s="231"/>
      <c r="D555" s="3916"/>
      <c r="E555" s="3917"/>
      <c r="F555" s="3917"/>
      <c r="G555" s="3917"/>
      <c r="H555" s="3917"/>
      <c r="I555" s="3917"/>
      <c r="J555" s="232"/>
      <c r="K555" s="232"/>
      <c r="L555" s="232"/>
      <c r="N555" s="212">
        <f t="shared" si="10"/>
        <v>426</v>
      </c>
    </row>
    <row r="556" spans="1:14" ht="15" customHeight="1" thickBot="1">
      <c r="A556" s="3906"/>
      <c r="C556" s="760"/>
      <c r="D556" s="3947" t="s">
        <v>725</v>
      </c>
      <c r="E556" s="3947"/>
      <c r="F556" s="3947"/>
      <c r="G556" s="3947"/>
      <c r="H556" s="3947"/>
      <c r="I556" s="3947"/>
      <c r="J556" s="232"/>
      <c r="K556" s="197" t="s">
        <v>576</v>
      </c>
      <c r="L556" s="232"/>
      <c r="N556" s="212">
        <f t="shared" si="10"/>
        <v>427</v>
      </c>
    </row>
    <row r="557" spans="1:14" ht="12" customHeight="1" thickBot="1">
      <c r="A557" s="3906"/>
      <c r="C557" s="231"/>
      <c r="D557" s="3904"/>
      <c r="E557" s="3905"/>
      <c r="F557" s="3905"/>
      <c r="G557" s="3905"/>
      <c r="H557" s="3905"/>
      <c r="I557" s="3905"/>
      <c r="J557" s="232"/>
      <c r="K557" s="1726" t="s">
        <v>551</v>
      </c>
      <c r="L557" s="232"/>
      <c r="N557" s="212">
        <f t="shared" si="10"/>
        <v>427</v>
      </c>
    </row>
    <row r="558" spans="1:14" ht="12" customHeight="1">
      <c r="A558" s="3906"/>
      <c r="C558" s="231"/>
      <c r="D558" s="3901" t="s">
        <v>1333</v>
      </c>
      <c r="E558" s="3901"/>
      <c r="F558" s="3901"/>
      <c r="G558" s="3901"/>
      <c r="H558" s="3901"/>
      <c r="I558" s="3901"/>
      <c r="J558" s="232"/>
      <c r="K558" s="232"/>
      <c r="L558" s="232"/>
      <c r="N558" s="212">
        <f t="shared" si="10"/>
        <v>428</v>
      </c>
    </row>
    <row r="559" spans="1:14" ht="12" customHeight="1">
      <c r="A559" s="3906"/>
      <c r="C559" s="231"/>
      <c r="D559" s="3900" t="s">
        <v>726</v>
      </c>
      <c r="E559" s="3901"/>
      <c r="F559" s="3901"/>
      <c r="G559" s="3901"/>
      <c r="H559" s="3901"/>
      <c r="I559" s="3901"/>
      <c r="J559" s="232"/>
      <c r="K559" s="232"/>
      <c r="L559" s="232"/>
      <c r="N559" s="212">
        <f t="shared" si="10"/>
        <v>429</v>
      </c>
    </row>
    <row r="560" spans="1:14" ht="12" customHeight="1">
      <c r="A560" s="3906"/>
      <c r="C560" s="231"/>
      <c r="D560" s="3900" t="s">
        <v>1332</v>
      </c>
      <c r="E560" s="3901"/>
      <c r="F560" s="3901"/>
      <c r="G560" s="3901"/>
      <c r="H560" s="3901"/>
      <c r="I560" s="3901"/>
      <c r="J560" s="232"/>
      <c r="K560" s="232"/>
      <c r="L560" s="232"/>
      <c r="N560" s="212">
        <f t="shared" si="10"/>
        <v>430</v>
      </c>
    </row>
    <row r="561" spans="1:14" ht="12" customHeight="1">
      <c r="A561" s="3906"/>
      <c r="C561" s="231"/>
      <c r="D561" s="3904"/>
      <c r="E561" s="3905"/>
      <c r="F561" s="3905"/>
      <c r="G561" s="3905"/>
      <c r="H561" s="3905"/>
      <c r="I561" s="3905"/>
      <c r="J561" s="232"/>
      <c r="K561" s="232"/>
      <c r="L561" s="232"/>
      <c r="N561" s="212">
        <f>IF(D561="",N560,N560+1)</f>
        <v>430</v>
      </c>
    </row>
    <row r="562" spans="1:14" ht="12" customHeight="1">
      <c r="A562" s="3906"/>
      <c r="C562" s="231"/>
      <c r="D562" s="3953" t="s">
        <v>2283</v>
      </c>
      <c r="E562" s="3954"/>
      <c r="F562" s="3954"/>
      <c r="G562" s="3954"/>
      <c r="H562" s="3954"/>
      <c r="I562" s="3954"/>
      <c r="J562" s="232"/>
      <c r="K562" s="232"/>
      <c r="L562" s="232"/>
      <c r="N562" s="212">
        <f>IF(D562="",N560,N560+1)</f>
        <v>431</v>
      </c>
    </row>
    <row r="563" spans="1:14" ht="12" customHeight="1">
      <c r="A563" s="3906"/>
      <c r="C563" s="231"/>
      <c r="D563" s="3902" t="s">
        <v>1085</v>
      </c>
      <c r="E563" s="3903"/>
      <c r="F563" s="3903"/>
      <c r="G563" s="3903"/>
      <c r="H563" s="3903"/>
      <c r="I563" s="3903"/>
      <c r="J563" s="232"/>
      <c r="K563" s="232"/>
      <c r="L563" s="232"/>
      <c r="N563" s="212">
        <f t="shared" si="10"/>
        <v>432</v>
      </c>
    </row>
    <row r="564" spans="1:14" ht="12" customHeight="1">
      <c r="A564" s="3906"/>
      <c r="C564" s="231"/>
      <c r="D564" s="3902" t="s">
        <v>1086</v>
      </c>
      <c r="E564" s="3903"/>
      <c r="F564" s="3903"/>
      <c r="G564" s="3903"/>
      <c r="H564" s="3903"/>
      <c r="I564" s="3903"/>
      <c r="J564" s="232"/>
      <c r="K564" s="232"/>
      <c r="L564" s="232"/>
      <c r="N564" s="212">
        <f t="shared" si="10"/>
        <v>433</v>
      </c>
    </row>
    <row r="565" spans="1:14" ht="12" customHeight="1">
      <c r="A565" s="3906"/>
      <c r="C565" s="231"/>
      <c r="D565" s="3902" t="s">
        <v>1086</v>
      </c>
      <c r="E565" s="3903"/>
      <c r="F565" s="3903"/>
      <c r="G565" s="3903"/>
      <c r="H565" s="3903"/>
      <c r="I565" s="3903"/>
      <c r="J565" s="232"/>
      <c r="K565" s="232"/>
      <c r="L565" s="232"/>
      <c r="N565" s="212">
        <f t="shared" si="10"/>
        <v>434</v>
      </c>
    </row>
    <row r="566" spans="1:14" ht="12" customHeight="1">
      <c r="A566" s="3906"/>
      <c r="C566" s="231"/>
      <c r="D566" s="3902" t="s">
        <v>1087</v>
      </c>
      <c r="E566" s="3903"/>
      <c r="F566" s="3903"/>
      <c r="G566" s="3903"/>
      <c r="H566" s="3903"/>
      <c r="I566" s="3903"/>
      <c r="J566" s="232"/>
      <c r="K566" s="232"/>
      <c r="L566" s="232"/>
      <c r="N566" s="212">
        <f t="shared" si="10"/>
        <v>435</v>
      </c>
    </row>
    <row r="567" spans="1:14" ht="12" customHeight="1">
      <c r="A567" s="3906"/>
      <c r="C567" s="231"/>
      <c r="D567" s="3902" t="s">
        <v>1086</v>
      </c>
      <c r="E567" s="3903"/>
      <c r="F567" s="3903"/>
      <c r="G567" s="3903"/>
      <c r="H567" s="3903"/>
      <c r="I567" s="3903"/>
      <c r="J567" s="232"/>
      <c r="K567" s="232"/>
      <c r="L567" s="232"/>
      <c r="N567" s="212">
        <f t="shared" si="10"/>
        <v>436</v>
      </c>
    </row>
    <row r="568" spans="1:14" ht="12" customHeight="1">
      <c r="A568" s="3906"/>
      <c r="C568" s="231"/>
      <c r="D568" s="3902" t="s">
        <v>1086</v>
      </c>
      <c r="E568" s="3903"/>
      <c r="F568" s="3903"/>
      <c r="G568" s="3903"/>
      <c r="H568" s="3903"/>
      <c r="I568" s="3903"/>
      <c r="J568" s="232"/>
      <c r="K568" s="232"/>
      <c r="L568" s="232"/>
      <c r="N568" s="212">
        <f t="shared" si="10"/>
        <v>437</v>
      </c>
    </row>
    <row r="569" spans="1:14" ht="12" customHeight="1">
      <c r="A569" s="3906"/>
      <c r="C569" s="231"/>
      <c r="D569" s="3902" t="s">
        <v>1088</v>
      </c>
      <c r="E569" s="3903"/>
      <c r="F569" s="3903"/>
      <c r="G569" s="3903"/>
      <c r="H569" s="3903"/>
      <c r="I569" s="3903"/>
      <c r="J569" s="232"/>
      <c r="K569" s="232"/>
      <c r="L569" s="232"/>
      <c r="N569" s="212">
        <f t="shared" si="10"/>
        <v>438</v>
      </c>
    </row>
    <row r="570" spans="1:14" ht="12" customHeight="1">
      <c r="A570" s="3906"/>
      <c r="C570" s="231"/>
      <c r="D570" s="3902" t="s">
        <v>1089</v>
      </c>
      <c r="E570" s="3903"/>
      <c r="F570" s="3903"/>
      <c r="G570" s="3903"/>
      <c r="H570" s="3903"/>
      <c r="I570" s="3903"/>
      <c r="J570" s="232"/>
      <c r="K570" s="232"/>
      <c r="L570" s="232"/>
      <c r="N570" s="212">
        <f t="shared" si="10"/>
        <v>439</v>
      </c>
    </row>
    <row r="571" spans="1:14" ht="12" customHeight="1">
      <c r="A571" s="3906"/>
      <c r="C571" s="231"/>
      <c r="D571" s="3902" t="s">
        <v>1089</v>
      </c>
      <c r="E571" s="3903"/>
      <c r="F571" s="3903"/>
      <c r="G571" s="3903"/>
      <c r="H571" s="3903"/>
      <c r="I571" s="3903"/>
      <c r="J571" s="232"/>
      <c r="K571" s="232"/>
      <c r="L571" s="232"/>
      <c r="N571" s="212">
        <f t="shared" si="10"/>
        <v>440</v>
      </c>
    </row>
    <row r="572" spans="1:14" ht="12" customHeight="1">
      <c r="A572" s="3906"/>
      <c r="C572" s="231"/>
      <c r="D572" s="3902" t="s">
        <v>727</v>
      </c>
      <c r="E572" s="3903"/>
      <c r="F572" s="3903"/>
      <c r="G572" s="3903"/>
      <c r="H572" s="3903"/>
      <c r="I572" s="3903"/>
      <c r="J572" s="232"/>
      <c r="K572" s="232"/>
      <c r="L572" s="232"/>
      <c r="N572" s="212">
        <f t="shared" si="10"/>
        <v>441</v>
      </c>
    </row>
    <row r="573" spans="1:14" ht="12" customHeight="1">
      <c r="A573" s="3906"/>
      <c r="C573" s="231"/>
      <c r="D573" s="3902" t="s">
        <v>1089</v>
      </c>
      <c r="E573" s="3903"/>
      <c r="F573" s="3903"/>
      <c r="G573" s="3903"/>
      <c r="H573" s="3903"/>
      <c r="I573" s="3903"/>
      <c r="J573" s="232"/>
      <c r="K573" s="232"/>
      <c r="L573" s="232"/>
      <c r="N573" s="212">
        <f t="shared" si="10"/>
        <v>442</v>
      </c>
    </row>
    <row r="574" spans="1:14" ht="12" customHeight="1">
      <c r="A574" s="3906"/>
      <c r="C574" s="231"/>
      <c r="D574" s="3902" t="s">
        <v>1089</v>
      </c>
      <c r="E574" s="3903"/>
      <c r="F574" s="3903"/>
      <c r="G574" s="3903"/>
      <c r="H574" s="3903"/>
      <c r="I574" s="3903"/>
      <c r="J574" s="232"/>
      <c r="K574" s="232"/>
      <c r="L574" s="232"/>
      <c r="N574" s="212">
        <f t="shared" si="10"/>
        <v>443</v>
      </c>
    </row>
    <row r="575" spans="1:14" ht="12" customHeight="1">
      <c r="A575" s="3906"/>
      <c r="C575" s="231"/>
      <c r="D575" s="3902" t="s">
        <v>728</v>
      </c>
      <c r="E575" s="3903"/>
      <c r="F575" s="3903"/>
      <c r="G575" s="3903"/>
      <c r="H575" s="3903"/>
      <c r="I575" s="3903"/>
      <c r="J575" s="232"/>
      <c r="K575" s="232"/>
      <c r="L575" s="232"/>
      <c r="N575" s="212">
        <f t="shared" si="10"/>
        <v>444</v>
      </c>
    </row>
    <row r="576" spans="1:14" ht="12" customHeight="1">
      <c r="A576" s="3906"/>
      <c r="C576" s="231"/>
      <c r="D576" s="3914" t="s">
        <v>967</v>
      </c>
      <c r="E576" s="3915"/>
      <c r="F576" s="3915"/>
      <c r="G576" s="3915"/>
      <c r="H576" s="3915"/>
      <c r="I576" s="3915"/>
      <c r="J576" s="232"/>
      <c r="K576" s="232"/>
      <c r="L576" s="232"/>
      <c r="N576" s="212">
        <f t="shared" si="10"/>
        <v>445</v>
      </c>
    </row>
    <row r="577" spans="1:14" ht="12" customHeight="1">
      <c r="A577" s="3906"/>
      <c r="C577" s="231"/>
      <c r="D577" s="3904"/>
      <c r="E577" s="3905"/>
      <c r="F577" s="3905"/>
      <c r="G577" s="3905"/>
      <c r="H577" s="3905"/>
      <c r="I577" s="3905"/>
      <c r="J577" s="232"/>
      <c r="K577" s="232"/>
      <c r="L577" s="232"/>
      <c r="N577" s="212">
        <f t="shared" si="10"/>
        <v>445</v>
      </c>
    </row>
    <row r="578" spans="1:14" ht="12" customHeight="1">
      <c r="A578" s="3906"/>
      <c r="C578" s="231"/>
      <c r="D578" s="3901" t="s">
        <v>1334</v>
      </c>
      <c r="E578" s="3901"/>
      <c r="F578" s="3901"/>
      <c r="G578" s="3901"/>
      <c r="H578" s="3901"/>
      <c r="I578" s="3901"/>
      <c r="J578" s="232"/>
      <c r="K578" s="232"/>
      <c r="L578" s="232"/>
      <c r="N578" s="212">
        <f t="shared" si="10"/>
        <v>446</v>
      </c>
    </row>
    <row r="579" spans="1:14" ht="12" customHeight="1">
      <c r="A579" s="3906"/>
      <c r="C579" s="231"/>
      <c r="D579" s="3900" t="s">
        <v>1339</v>
      </c>
      <c r="E579" s="3901"/>
      <c r="F579" s="3901"/>
      <c r="G579" s="3901"/>
      <c r="H579" s="3901"/>
      <c r="I579" s="3901"/>
      <c r="J579" s="232"/>
      <c r="K579" s="232"/>
      <c r="L579" s="232"/>
      <c r="N579" s="212">
        <f t="shared" si="10"/>
        <v>447</v>
      </c>
    </row>
    <row r="580" spans="1:14" ht="12" customHeight="1">
      <c r="A580" s="3906"/>
      <c r="C580" s="231"/>
      <c r="D580" s="3912"/>
      <c r="E580" s="3913"/>
      <c r="F580" s="3913"/>
      <c r="G580" s="3913"/>
      <c r="H580" s="3913"/>
      <c r="I580" s="3913"/>
      <c r="J580" s="232"/>
      <c r="K580" s="232"/>
      <c r="L580" s="232"/>
      <c r="N580" s="212">
        <f t="shared" si="10"/>
        <v>447</v>
      </c>
    </row>
    <row r="581" spans="1:14" ht="12" customHeight="1">
      <c r="A581" s="3906"/>
      <c r="C581" s="231"/>
      <c r="D581" s="3901" t="s">
        <v>1335</v>
      </c>
      <c r="E581" s="3901"/>
      <c r="F581" s="3901"/>
      <c r="G581" s="3901"/>
      <c r="H581" s="3901"/>
      <c r="I581" s="3901"/>
      <c r="J581" s="232"/>
      <c r="K581" s="232"/>
      <c r="L581" s="232"/>
      <c r="N581" s="212">
        <f t="shared" si="10"/>
        <v>448</v>
      </c>
    </row>
    <row r="582" spans="1:14" ht="12" customHeight="1">
      <c r="C582" s="231"/>
      <c r="D582" s="3900" t="s">
        <v>1340</v>
      </c>
      <c r="E582" s="3901"/>
      <c r="F582" s="3901"/>
      <c r="G582" s="3901"/>
      <c r="H582" s="3901"/>
      <c r="I582" s="3901"/>
      <c r="J582" s="232"/>
      <c r="K582" s="232"/>
      <c r="L582" s="232"/>
      <c r="N582" s="212">
        <f t="shared" si="10"/>
        <v>449</v>
      </c>
    </row>
    <row r="583" spans="1:14" ht="12" customHeight="1">
      <c r="C583" s="231"/>
      <c r="D583" s="3912"/>
      <c r="E583" s="3913"/>
      <c r="F583" s="3913"/>
      <c r="G583" s="3913"/>
      <c r="H583" s="3913"/>
      <c r="I583" s="3913"/>
      <c r="J583" s="232"/>
      <c r="K583" s="232"/>
      <c r="L583" s="232"/>
      <c r="N583" s="212">
        <f t="shared" ref="N583:N626" si="11">IF(D583="",N582,N582+1)</f>
        <v>449</v>
      </c>
    </row>
    <row r="584" spans="1:14" ht="12" customHeight="1">
      <c r="C584" s="231"/>
      <c r="D584" s="3901" t="s">
        <v>1341</v>
      </c>
      <c r="E584" s="3901"/>
      <c r="F584" s="3901"/>
      <c r="G584" s="3901"/>
      <c r="H584" s="3901"/>
      <c r="I584" s="3901"/>
      <c r="J584" s="232"/>
      <c r="K584" s="232"/>
      <c r="L584" s="232"/>
      <c r="N584" s="212">
        <f t="shared" si="11"/>
        <v>450</v>
      </c>
    </row>
    <row r="585" spans="1:14" ht="12" customHeight="1">
      <c r="C585" s="231"/>
      <c r="D585" s="3900" t="s">
        <v>1342</v>
      </c>
      <c r="E585" s="3901"/>
      <c r="F585" s="3901"/>
      <c r="G585" s="3901"/>
      <c r="H585" s="3901"/>
      <c r="I585" s="3901"/>
      <c r="J585" s="232"/>
      <c r="K585" s="232"/>
      <c r="L585" s="232"/>
      <c r="N585" s="212">
        <f t="shared" si="11"/>
        <v>451</v>
      </c>
    </row>
    <row r="586" spans="1:14" ht="12" customHeight="1">
      <c r="C586" s="231"/>
      <c r="D586" s="3912"/>
      <c r="E586" s="3913"/>
      <c r="F586" s="3913"/>
      <c r="G586" s="3913"/>
      <c r="H586" s="3913"/>
      <c r="I586" s="3913"/>
      <c r="J586" s="232"/>
      <c r="K586" s="232"/>
      <c r="L586" s="232"/>
      <c r="N586" s="212">
        <f t="shared" si="11"/>
        <v>451</v>
      </c>
    </row>
    <row r="587" spans="1:14" ht="12" customHeight="1">
      <c r="C587" s="231"/>
      <c r="D587" s="3900" t="s">
        <v>1336</v>
      </c>
      <c r="E587" s="3901"/>
      <c r="F587" s="3901"/>
      <c r="G587" s="3901"/>
      <c r="H587" s="3901"/>
      <c r="I587" s="3901"/>
      <c r="J587" s="232"/>
      <c r="K587" s="232"/>
      <c r="L587" s="232"/>
      <c r="N587" s="212">
        <f t="shared" si="11"/>
        <v>452</v>
      </c>
    </row>
    <row r="588" spans="1:14" ht="12" customHeight="1">
      <c r="C588" s="231"/>
      <c r="D588" s="3912"/>
      <c r="E588" s="3913"/>
      <c r="F588" s="3913"/>
      <c r="G588" s="3913"/>
      <c r="H588" s="3913"/>
      <c r="I588" s="3913"/>
      <c r="J588" s="232"/>
      <c r="K588" s="232"/>
      <c r="L588" s="232"/>
      <c r="N588" s="212">
        <f t="shared" si="11"/>
        <v>452</v>
      </c>
    </row>
    <row r="589" spans="1:14" ht="12" customHeight="1">
      <c r="C589" s="231"/>
      <c r="D589" s="3901" t="s">
        <v>1337</v>
      </c>
      <c r="E589" s="3901"/>
      <c r="F589" s="3901"/>
      <c r="G589" s="3901"/>
      <c r="H589" s="3901"/>
      <c r="I589" s="3901"/>
      <c r="J589" s="232"/>
      <c r="K589" s="232"/>
      <c r="L589" s="232"/>
      <c r="N589" s="212">
        <f t="shared" si="11"/>
        <v>453</v>
      </c>
    </row>
    <row r="590" spans="1:14" ht="12" customHeight="1">
      <c r="C590" s="231"/>
      <c r="D590" s="3900" t="s">
        <v>1338</v>
      </c>
      <c r="E590" s="3901"/>
      <c r="F590" s="3901"/>
      <c r="G590" s="3901"/>
      <c r="H590" s="3901"/>
      <c r="I590" s="3901"/>
      <c r="J590" s="232"/>
      <c r="K590" s="232"/>
      <c r="L590" s="232"/>
      <c r="N590" s="212">
        <f t="shared" si="11"/>
        <v>454</v>
      </c>
    </row>
    <row r="591" spans="1:14" ht="12" customHeight="1">
      <c r="C591" s="231"/>
      <c r="D591" s="3912"/>
      <c r="E591" s="3913"/>
      <c r="F591" s="3913"/>
      <c r="G591" s="3913"/>
      <c r="H591" s="3913"/>
      <c r="I591" s="3913"/>
      <c r="J591" s="232"/>
      <c r="K591" s="232"/>
      <c r="L591" s="232"/>
      <c r="N591" s="212">
        <f t="shared" si="11"/>
        <v>454</v>
      </c>
    </row>
    <row r="592" spans="1:14" ht="12" customHeight="1">
      <c r="C592" s="231"/>
      <c r="D592" s="3901" t="s">
        <v>729</v>
      </c>
      <c r="E592" s="3901"/>
      <c r="F592" s="3901"/>
      <c r="G592" s="3901"/>
      <c r="H592" s="3901"/>
      <c r="I592" s="3901"/>
      <c r="J592" s="232"/>
      <c r="K592" s="232"/>
      <c r="L592" s="232"/>
      <c r="N592" s="212">
        <f t="shared" si="11"/>
        <v>455</v>
      </c>
    </row>
    <row r="593" spans="3:14" ht="12" customHeight="1">
      <c r="C593" s="231"/>
      <c r="D593" s="3900" t="s">
        <v>1343</v>
      </c>
      <c r="E593" s="3901"/>
      <c r="F593" s="3901"/>
      <c r="G593" s="3901"/>
      <c r="H593" s="3901"/>
      <c r="I593" s="3901"/>
      <c r="J593" s="232"/>
      <c r="K593" s="232"/>
      <c r="L593" s="232"/>
      <c r="N593" s="212">
        <f t="shared" si="11"/>
        <v>456</v>
      </c>
    </row>
    <row r="594" spans="3:14" ht="12" customHeight="1">
      <c r="C594" s="231"/>
      <c r="D594" s="3904"/>
      <c r="E594" s="3905"/>
      <c r="F594" s="3905"/>
      <c r="G594" s="3905"/>
      <c r="H594" s="3905"/>
      <c r="I594" s="3905"/>
      <c r="J594" s="232"/>
      <c r="K594" s="232"/>
      <c r="L594" s="232"/>
      <c r="N594" s="212">
        <f t="shared" si="11"/>
        <v>456</v>
      </c>
    </row>
    <row r="595" spans="3:14" ht="12" customHeight="1">
      <c r="C595" s="231"/>
      <c r="D595" s="3901" t="s">
        <v>1347</v>
      </c>
      <c r="E595" s="3901"/>
      <c r="F595" s="3901"/>
      <c r="G595" s="3901"/>
      <c r="H595" s="3901"/>
      <c r="I595" s="3901"/>
      <c r="J595" s="232"/>
      <c r="K595" s="232"/>
      <c r="L595" s="232"/>
      <c r="N595" s="212">
        <f t="shared" si="11"/>
        <v>457</v>
      </c>
    </row>
    <row r="596" spans="3:14" ht="12" customHeight="1">
      <c r="C596" s="231"/>
      <c r="D596" s="3900" t="s">
        <v>1348</v>
      </c>
      <c r="E596" s="3900"/>
      <c r="F596" s="3900"/>
      <c r="G596" s="3900"/>
      <c r="H596" s="3900"/>
      <c r="I596" s="3900"/>
      <c r="J596" s="3900"/>
      <c r="K596" s="3900"/>
      <c r="L596" s="232"/>
      <c r="N596" s="212">
        <f t="shared" si="11"/>
        <v>458</v>
      </c>
    </row>
    <row r="597" spans="3:14" ht="12" customHeight="1">
      <c r="C597" s="231"/>
      <c r="D597" s="3901" t="s">
        <v>730</v>
      </c>
      <c r="E597" s="3901"/>
      <c r="F597" s="3901"/>
      <c r="G597" s="3901"/>
      <c r="H597" s="3901"/>
      <c r="I597" s="3901"/>
      <c r="J597" s="232"/>
      <c r="K597" s="232"/>
      <c r="L597" s="232"/>
      <c r="N597" s="212">
        <f t="shared" si="11"/>
        <v>459</v>
      </c>
    </row>
    <row r="598" spans="3:14" ht="12" customHeight="1">
      <c r="C598" s="231"/>
      <c r="D598" s="3901" t="s">
        <v>731</v>
      </c>
      <c r="E598" s="3901"/>
      <c r="F598" s="3901"/>
      <c r="G598" s="3901"/>
      <c r="H598" s="3901"/>
      <c r="I598" s="3901"/>
      <c r="J598" s="232"/>
      <c r="K598" s="232"/>
      <c r="L598" s="232"/>
      <c r="N598" s="212">
        <f t="shared" si="11"/>
        <v>460</v>
      </c>
    </row>
    <row r="599" spans="3:14" ht="12" customHeight="1">
      <c r="C599" s="231"/>
      <c r="D599" s="3948" t="s">
        <v>732</v>
      </c>
      <c r="E599" s="3949"/>
      <c r="F599" s="3949"/>
      <c r="G599" s="3949"/>
      <c r="H599" s="3949"/>
      <c r="I599" s="3949"/>
      <c r="J599" s="232"/>
      <c r="K599" s="232"/>
      <c r="L599" s="232"/>
      <c r="N599" s="212">
        <f t="shared" si="11"/>
        <v>461</v>
      </c>
    </row>
    <row r="600" spans="3:14" ht="12" customHeight="1">
      <c r="C600" s="231"/>
      <c r="D600" s="3912"/>
      <c r="E600" s="3913"/>
      <c r="F600" s="3913"/>
      <c r="G600" s="3913"/>
      <c r="H600" s="3913"/>
      <c r="I600" s="3913"/>
      <c r="J600" s="232"/>
      <c r="K600" s="232"/>
      <c r="L600" s="232"/>
      <c r="N600" s="212">
        <f t="shared" si="11"/>
        <v>461</v>
      </c>
    </row>
    <row r="601" spans="3:14" ht="12" customHeight="1">
      <c r="C601" s="231"/>
      <c r="D601" s="3901" t="s">
        <v>1349</v>
      </c>
      <c r="E601" s="3901"/>
      <c r="F601" s="3901"/>
      <c r="G601" s="3901"/>
      <c r="H601" s="3901"/>
      <c r="I601" s="3901"/>
      <c r="J601" s="3901"/>
      <c r="K601" s="3901"/>
      <c r="L601" s="232"/>
      <c r="N601" s="212">
        <f t="shared" si="11"/>
        <v>462</v>
      </c>
    </row>
    <row r="602" spans="3:14" ht="12" customHeight="1">
      <c r="C602" s="231"/>
      <c r="D602" s="3900" t="s">
        <v>1350</v>
      </c>
      <c r="E602" s="3900"/>
      <c r="F602" s="3900"/>
      <c r="G602" s="3900"/>
      <c r="H602" s="3900"/>
      <c r="I602" s="3900"/>
      <c r="J602" s="3900"/>
      <c r="K602" s="3900"/>
      <c r="L602" s="232"/>
      <c r="N602" s="212">
        <f t="shared" si="11"/>
        <v>463</v>
      </c>
    </row>
    <row r="603" spans="3:14" ht="12" customHeight="1">
      <c r="C603" s="231"/>
      <c r="D603" s="3949" t="s">
        <v>1351</v>
      </c>
      <c r="E603" s="3949"/>
      <c r="F603" s="3949"/>
      <c r="G603" s="3949"/>
      <c r="H603" s="3949"/>
      <c r="I603" s="3949"/>
      <c r="J603" s="232"/>
      <c r="K603" s="232"/>
      <c r="L603" s="232"/>
      <c r="N603" s="212">
        <f t="shared" si="11"/>
        <v>464</v>
      </c>
    </row>
    <row r="604" spans="3:14" ht="12" customHeight="1">
      <c r="C604" s="231"/>
      <c r="D604" s="3912"/>
      <c r="E604" s="3913"/>
      <c r="F604" s="3913"/>
      <c r="G604" s="3913"/>
      <c r="H604" s="3913"/>
      <c r="I604" s="3913"/>
      <c r="J604" s="232"/>
      <c r="K604" s="232"/>
      <c r="L604" s="232"/>
      <c r="N604" s="212">
        <f t="shared" si="11"/>
        <v>464</v>
      </c>
    </row>
    <row r="605" spans="3:14" ht="12" customHeight="1">
      <c r="C605" s="231"/>
      <c r="D605" s="3900" t="s">
        <v>733</v>
      </c>
      <c r="E605" s="3901"/>
      <c r="F605" s="3901"/>
      <c r="G605" s="3901"/>
      <c r="H605" s="3901"/>
      <c r="I605" s="3901"/>
      <c r="J605" s="232"/>
      <c r="K605" s="232"/>
      <c r="L605" s="232"/>
      <c r="N605" s="212">
        <f t="shared" si="11"/>
        <v>465</v>
      </c>
    </row>
    <row r="606" spans="3:14" ht="12" customHeight="1">
      <c r="C606" s="231"/>
      <c r="D606" s="3900" t="s">
        <v>1344</v>
      </c>
      <c r="E606" s="3901"/>
      <c r="F606" s="3901"/>
      <c r="G606" s="3901"/>
      <c r="H606" s="3901"/>
      <c r="I606" s="3901"/>
      <c r="J606" s="232"/>
      <c r="K606" s="232"/>
      <c r="L606" s="232"/>
      <c r="N606" s="212">
        <f t="shared" si="11"/>
        <v>466</v>
      </c>
    </row>
    <row r="607" spans="3:14" ht="12" customHeight="1">
      <c r="C607" s="231"/>
      <c r="D607" s="3900" t="s">
        <v>1352</v>
      </c>
      <c r="E607" s="3901"/>
      <c r="F607" s="3901"/>
      <c r="G607" s="3901"/>
      <c r="H607" s="3901"/>
      <c r="I607" s="3901"/>
      <c r="J607" s="232"/>
      <c r="K607" s="232"/>
      <c r="L607" s="232"/>
      <c r="N607" s="212">
        <f t="shared" si="11"/>
        <v>467</v>
      </c>
    </row>
    <row r="608" spans="3:14" ht="12" customHeight="1">
      <c r="C608" s="231"/>
      <c r="D608" s="3900" t="s">
        <v>1353</v>
      </c>
      <c r="E608" s="3901"/>
      <c r="F608" s="3901"/>
      <c r="G608" s="3901"/>
      <c r="H608" s="3901"/>
      <c r="I608" s="3901"/>
      <c r="J608" s="232"/>
      <c r="K608" s="232"/>
      <c r="L608" s="232"/>
      <c r="N608" s="212">
        <f t="shared" si="11"/>
        <v>468</v>
      </c>
    </row>
    <row r="609" spans="3:14" ht="12" customHeight="1">
      <c r="C609" s="231"/>
      <c r="D609" s="3900" t="s">
        <v>1345</v>
      </c>
      <c r="E609" s="3901"/>
      <c r="F609" s="3901"/>
      <c r="G609" s="3901"/>
      <c r="H609" s="3901"/>
      <c r="I609" s="3901"/>
      <c r="J609" s="232"/>
      <c r="K609" s="232"/>
      <c r="L609" s="232"/>
      <c r="N609" s="212">
        <f t="shared" si="11"/>
        <v>469</v>
      </c>
    </row>
    <row r="610" spans="3:14" ht="12" customHeight="1">
      <c r="C610" s="231"/>
      <c r="D610" s="3900"/>
      <c r="E610" s="3901"/>
      <c r="F610" s="3901"/>
      <c r="G610" s="3901"/>
      <c r="H610" s="3901"/>
      <c r="I610" s="3901"/>
      <c r="J610" s="232"/>
      <c r="K610" s="232"/>
      <c r="L610" s="232"/>
      <c r="N610" s="212">
        <f t="shared" si="11"/>
        <v>469</v>
      </c>
    </row>
    <row r="611" spans="3:14" ht="12" customHeight="1">
      <c r="C611" s="231"/>
      <c r="D611" s="3901" t="s">
        <v>734</v>
      </c>
      <c r="E611" s="3901"/>
      <c r="F611" s="3901"/>
      <c r="G611" s="3901"/>
      <c r="H611" s="3901"/>
      <c r="I611" s="3901"/>
      <c r="J611" s="3901"/>
      <c r="K611" s="3901"/>
      <c r="L611" s="232"/>
      <c r="N611" s="212">
        <f t="shared" si="11"/>
        <v>470</v>
      </c>
    </row>
    <row r="612" spans="3:14" ht="12" customHeight="1">
      <c r="C612" s="231"/>
      <c r="D612" s="3912"/>
      <c r="E612" s="3913"/>
      <c r="F612" s="3913"/>
      <c r="G612" s="3913"/>
      <c r="H612" s="3913"/>
      <c r="I612" s="3913"/>
      <c r="J612" s="232"/>
      <c r="K612" s="232"/>
      <c r="L612" s="232"/>
      <c r="N612" s="212">
        <f t="shared" si="11"/>
        <v>470</v>
      </c>
    </row>
    <row r="613" spans="3:14" ht="12" customHeight="1">
      <c r="C613" s="231"/>
      <c r="D613" s="3900" t="s">
        <v>1355</v>
      </c>
      <c r="E613" s="3901"/>
      <c r="F613" s="3901"/>
      <c r="G613" s="3901"/>
      <c r="H613" s="3901"/>
      <c r="I613" s="3901"/>
      <c r="J613" s="232"/>
      <c r="K613" s="232"/>
      <c r="L613" s="232"/>
      <c r="N613" s="212">
        <f t="shared" si="11"/>
        <v>471</v>
      </c>
    </row>
    <row r="614" spans="3:14" ht="12" customHeight="1">
      <c r="C614" s="231"/>
      <c r="D614" s="3900" t="s">
        <v>1354</v>
      </c>
      <c r="E614" s="3901"/>
      <c r="F614" s="3901"/>
      <c r="G614" s="3901"/>
      <c r="H614" s="3901"/>
      <c r="I614" s="3901"/>
      <c r="J614" s="232"/>
      <c r="K614" s="232"/>
      <c r="L614" s="232"/>
      <c r="N614" s="212">
        <f t="shared" si="11"/>
        <v>472</v>
      </c>
    </row>
    <row r="615" spans="3:14" ht="12" customHeight="1">
      <c r="C615" s="231"/>
      <c r="D615" s="3901" t="s">
        <v>1346</v>
      </c>
      <c r="E615" s="3901"/>
      <c r="F615" s="3901"/>
      <c r="G615" s="3901"/>
      <c r="H615" s="3901"/>
      <c r="I615" s="3901"/>
      <c r="J615" s="232"/>
      <c r="K615" s="232"/>
      <c r="L615" s="232"/>
      <c r="N615" s="212">
        <f t="shared" si="11"/>
        <v>473</v>
      </c>
    </row>
    <row r="616" spans="3:14" ht="12" customHeight="1">
      <c r="C616" s="231"/>
      <c r="D616" s="3917" t="s">
        <v>1356</v>
      </c>
      <c r="E616" s="3917"/>
      <c r="F616" s="3917"/>
      <c r="G616" s="3917"/>
      <c r="H616" s="3917"/>
      <c r="I616" s="3917"/>
      <c r="J616" s="232"/>
      <c r="K616" s="232"/>
      <c r="L616" s="232"/>
      <c r="N616" s="212">
        <f t="shared" si="11"/>
        <v>474</v>
      </c>
    </row>
    <row r="617" spans="3:14" ht="12" customHeight="1">
      <c r="C617" s="231"/>
      <c r="D617" s="3901" t="s">
        <v>1357</v>
      </c>
      <c r="E617" s="3901"/>
      <c r="F617" s="3901"/>
      <c r="G617" s="3901"/>
      <c r="H617" s="3901"/>
      <c r="I617" s="3901"/>
      <c r="J617" s="232"/>
      <c r="K617" s="232"/>
      <c r="L617" s="232"/>
      <c r="N617" s="212">
        <f t="shared" si="11"/>
        <v>475</v>
      </c>
    </row>
    <row r="618" spans="3:14" ht="12" customHeight="1">
      <c r="C618" s="231"/>
      <c r="D618" s="3901" t="s">
        <v>1358</v>
      </c>
      <c r="E618" s="3901"/>
      <c r="F618" s="3901"/>
      <c r="G618" s="3901"/>
      <c r="H618" s="3901"/>
      <c r="I618" s="3901"/>
      <c r="J618" s="232"/>
      <c r="K618" s="232"/>
      <c r="L618" s="232"/>
      <c r="N618" s="212">
        <f t="shared" si="11"/>
        <v>476</v>
      </c>
    </row>
    <row r="619" spans="3:14" ht="12" customHeight="1">
      <c r="C619" s="231"/>
      <c r="D619" s="3900" t="s">
        <v>1359</v>
      </c>
      <c r="E619" s="3901"/>
      <c r="F619" s="3901"/>
      <c r="G619" s="3901"/>
      <c r="H619" s="3901"/>
      <c r="I619" s="3901"/>
      <c r="J619" s="232"/>
      <c r="K619" s="232"/>
      <c r="L619" s="232"/>
      <c r="N619" s="212">
        <f t="shared" si="11"/>
        <v>477</v>
      </c>
    </row>
    <row r="620" spans="3:14" ht="12" customHeight="1">
      <c r="C620" s="231"/>
      <c r="D620" s="3900" t="s">
        <v>1360</v>
      </c>
      <c r="E620" s="3901"/>
      <c r="F620" s="3901"/>
      <c r="G620" s="3901"/>
      <c r="H620" s="3901"/>
      <c r="I620" s="3901"/>
      <c r="J620" s="232"/>
      <c r="K620" s="232"/>
      <c r="L620" s="232"/>
      <c r="N620" s="212">
        <f t="shared" si="11"/>
        <v>478</v>
      </c>
    </row>
    <row r="621" spans="3:14" ht="12" customHeight="1">
      <c r="C621" s="231"/>
      <c r="D621" s="3904"/>
      <c r="E621" s="3905"/>
      <c r="F621" s="3905"/>
      <c r="G621" s="3905"/>
      <c r="H621" s="3905"/>
      <c r="I621" s="3905"/>
      <c r="J621" s="232"/>
      <c r="K621" s="232"/>
      <c r="L621" s="232"/>
      <c r="N621" s="212">
        <f t="shared" si="11"/>
        <v>478</v>
      </c>
    </row>
    <row r="622" spans="3:14" ht="12" customHeight="1">
      <c r="C622" s="231"/>
      <c r="D622" s="742"/>
      <c r="E622" s="743"/>
      <c r="F622" s="1714"/>
      <c r="G622" s="743"/>
      <c r="H622" s="743"/>
      <c r="I622" s="743"/>
      <c r="J622" s="232"/>
      <c r="K622" s="232"/>
      <c r="L622" s="232"/>
      <c r="N622" s="212">
        <f t="shared" si="11"/>
        <v>478</v>
      </c>
    </row>
    <row r="623" spans="3:14" ht="12" customHeight="1">
      <c r="C623" s="231"/>
      <c r="D623" s="742"/>
      <c r="E623" s="743"/>
      <c r="F623" s="1714"/>
      <c r="G623" s="743"/>
      <c r="H623" s="743"/>
      <c r="I623" s="743"/>
      <c r="J623" s="232"/>
      <c r="K623" s="232"/>
      <c r="L623" s="232"/>
      <c r="N623" s="212">
        <f t="shared" si="11"/>
        <v>478</v>
      </c>
    </row>
    <row r="624" spans="3:14" ht="12" customHeight="1">
      <c r="C624" s="231"/>
      <c r="D624" s="742"/>
      <c r="E624" s="743"/>
      <c r="F624" s="1714"/>
      <c r="G624" s="743"/>
      <c r="H624" s="743"/>
      <c r="I624" s="743"/>
      <c r="J624" s="232"/>
      <c r="K624" s="232"/>
      <c r="L624" s="232"/>
      <c r="N624" s="212">
        <f>IF(D624="",N622,N622+1)</f>
        <v>478</v>
      </c>
    </row>
    <row r="625" spans="1:14" ht="12" customHeight="1">
      <c r="C625" s="231"/>
      <c r="D625" s="742"/>
      <c r="E625" s="743"/>
      <c r="F625" s="1714"/>
      <c r="G625" s="743"/>
      <c r="H625" s="743"/>
      <c r="I625" s="743"/>
      <c r="J625" s="232"/>
      <c r="K625" s="232"/>
      <c r="L625" s="232"/>
      <c r="N625" s="212">
        <f t="shared" si="11"/>
        <v>478</v>
      </c>
    </row>
    <row r="626" spans="1:14" ht="12" customHeight="1" thickBot="1">
      <c r="A626" s="3906"/>
      <c r="C626" s="231"/>
      <c r="D626" s="3904"/>
      <c r="E626" s="3904"/>
      <c r="F626" s="3904"/>
      <c r="G626" s="3904"/>
      <c r="H626" s="3904"/>
      <c r="I626" s="3904"/>
      <c r="J626" s="232"/>
      <c r="K626" s="232"/>
      <c r="L626" s="232"/>
      <c r="N626" s="212">
        <f t="shared" si="11"/>
        <v>478</v>
      </c>
    </row>
    <row r="627" spans="1:14" ht="15" customHeight="1" thickBot="1">
      <c r="A627" s="3906"/>
      <c r="B627" s="230"/>
      <c r="C627" s="760"/>
      <c r="D627" s="3947" t="s">
        <v>735</v>
      </c>
      <c r="E627" s="3947"/>
      <c r="F627" s="3947"/>
      <c r="G627" s="3947"/>
      <c r="H627" s="3947"/>
      <c r="I627" s="3947"/>
      <c r="J627" s="232"/>
      <c r="K627" s="197" t="s">
        <v>576</v>
      </c>
      <c r="L627" s="232"/>
      <c r="N627" s="212">
        <f>IF(D627="",N626,N626+1)</f>
        <v>479</v>
      </c>
    </row>
    <row r="628" spans="1:14" ht="12" customHeight="1" thickBot="1">
      <c r="A628" s="3906"/>
      <c r="B628" s="230"/>
      <c r="C628" s="231"/>
      <c r="D628" s="3904"/>
      <c r="E628" s="3905"/>
      <c r="F628" s="3905"/>
      <c r="G628" s="3905"/>
      <c r="H628" s="3905"/>
      <c r="I628" s="3905"/>
      <c r="J628" s="232"/>
      <c r="K628" s="1726" t="s">
        <v>551</v>
      </c>
      <c r="L628" s="232"/>
      <c r="N628" s="212">
        <f>IF(D628="",N627,N627+1)</f>
        <v>479</v>
      </c>
    </row>
    <row r="629" spans="1:14" ht="12" customHeight="1">
      <c r="A629" s="3906"/>
      <c r="B629" s="230"/>
      <c r="C629" s="231"/>
      <c r="D629" s="3901" t="s">
        <v>1361</v>
      </c>
      <c r="E629" s="3901"/>
      <c r="F629" s="3901"/>
      <c r="G629" s="3901"/>
      <c r="H629" s="3901"/>
      <c r="I629" s="3901"/>
      <c r="J629" s="232"/>
      <c r="K629" s="232"/>
      <c r="L629" s="232"/>
      <c r="N629" s="212">
        <f t="shared" ref="N629:N690" si="12">IF(D629="",N628,N628+1)</f>
        <v>480</v>
      </c>
    </row>
    <row r="630" spans="1:14" ht="12" customHeight="1">
      <c r="A630" s="3906"/>
      <c r="B630" s="230"/>
      <c r="C630" s="231"/>
      <c r="D630" s="3912" t="s">
        <v>1362</v>
      </c>
      <c r="E630" s="3913"/>
      <c r="F630" s="3913"/>
      <c r="G630" s="3913"/>
      <c r="H630" s="3913"/>
      <c r="I630" s="3913"/>
      <c r="J630" s="232"/>
      <c r="K630" s="232"/>
      <c r="L630" s="232"/>
      <c r="N630" s="212">
        <f t="shared" si="12"/>
        <v>481</v>
      </c>
    </row>
    <row r="631" spans="1:14" ht="12" customHeight="1">
      <c r="A631" s="3906"/>
      <c r="B631" s="230"/>
      <c r="C631" s="231"/>
      <c r="D631" s="3900" t="s">
        <v>1363</v>
      </c>
      <c r="E631" s="3901"/>
      <c r="F631" s="3901"/>
      <c r="G631" s="3901"/>
      <c r="H631" s="3901"/>
      <c r="I631" s="3901"/>
      <c r="J631" s="232"/>
      <c r="K631" s="232"/>
      <c r="L631" s="232"/>
      <c r="N631" s="212">
        <f t="shared" si="12"/>
        <v>482</v>
      </c>
    </row>
    <row r="632" spans="1:14" ht="12" customHeight="1">
      <c r="A632" s="3906"/>
      <c r="B632" s="230"/>
      <c r="C632" s="231"/>
      <c r="D632" s="3900" t="s">
        <v>1364</v>
      </c>
      <c r="E632" s="3901"/>
      <c r="F632" s="3901"/>
      <c r="G632" s="3901"/>
      <c r="H632" s="3901"/>
      <c r="I632" s="3901"/>
      <c r="J632" s="232"/>
      <c r="K632" s="232"/>
      <c r="L632" s="232"/>
      <c r="N632" s="212">
        <f t="shared" si="12"/>
        <v>483</v>
      </c>
    </row>
    <row r="633" spans="1:14" ht="12" customHeight="1">
      <c r="A633" s="3906"/>
      <c r="B633" s="230"/>
      <c r="C633" s="231"/>
      <c r="D633" s="3912" t="s">
        <v>1365</v>
      </c>
      <c r="E633" s="3913"/>
      <c r="F633" s="3913"/>
      <c r="G633" s="3913"/>
      <c r="H633" s="3913"/>
      <c r="I633" s="3913"/>
      <c r="J633" s="232"/>
      <c r="K633" s="232"/>
      <c r="L633" s="232"/>
      <c r="N633" s="212">
        <f t="shared" si="12"/>
        <v>484</v>
      </c>
    </row>
    <row r="634" spans="1:14" ht="12" customHeight="1">
      <c r="A634" s="3906"/>
      <c r="B634" s="230"/>
      <c r="C634" s="231"/>
      <c r="D634" s="3900" t="s">
        <v>1366</v>
      </c>
      <c r="E634" s="3901"/>
      <c r="F634" s="3901"/>
      <c r="G634" s="3901"/>
      <c r="H634" s="3901"/>
      <c r="I634" s="3901"/>
      <c r="J634" s="232"/>
      <c r="K634" s="232"/>
      <c r="L634" s="232"/>
      <c r="N634" s="212">
        <f t="shared" si="12"/>
        <v>485</v>
      </c>
    </row>
    <row r="635" spans="1:14" ht="12" customHeight="1">
      <c r="A635" s="3906"/>
      <c r="B635" s="230"/>
      <c r="C635" s="231"/>
      <c r="D635" s="3912" t="s">
        <v>1367</v>
      </c>
      <c r="E635" s="3913"/>
      <c r="F635" s="3913"/>
      <c r="G635" s="3913"/>
      <c r="H635" s="3913"/>
      <c r="I635" s="3913"/>
      <c r="J635" s="232"/>
      <c r="K635" s="232"/>
      <c r="L635" s="232"/>
      <c r="N635" s="212">
        <f t="shared" si="12"/>
        <v>486</v>
      </c>
    </row>
    <row r="636" spans="1:14" ht="12" customHeight="1">
      <c r="A636" s="3906"/>
      <c r="B636" s="230"/>
      <c r="C636" s="231"/>
      <c r="D636" s="3912"/>
      <c r="E636" s="3913"/>
      <c r="F636" s="3913"/>
      <c r="G636" s="3913"/>
      <c r="H636" s="3913"/>
      <c r="I636" s="3913"/>
      <c r="J636" s="232"/>
      <c r="K636" s="232"/>
      <c r="L636" s="232"/>
      <c r="N636" s="212">
        <f t="shared" si="12"/>
        <v>486</v>
      </c>
    </row>
    <row r="637" spans="1:14" ht="12" customHeight="1">
      <c r="A637" s="3906"/>
      <c r="B637" s="230"/>
      <c r="C637" s="231"/>
      <c r="D637" s="3900" t="s">
        <v>1368</v>
      </c>
      <c r="E637" s="3901"/>
      <c r="F637" s="3901"/>
      <c r="G637" s="3901"/>
      <c r="H637" s="3901"/>
      <c r="I637" s="3901"/>
      <c r="J637" s="232"/>
      <c r="K637" s="232"/>
      <c r="L637" s="232"/>
      <c r="N637" s="212">
        <f t="shared" si="12"/>
        <v>487</v>
      </c>
    </row>
    <row r="638" spans="1:14" ht="14.25" customHeight="1">
      <c r="A638" s="3906"/>
      <c r="B638" s="230"/>
      <c r="C638" s="231"/>
      <c r="D638" s="3912" t="s">
        <v>1371</v>
      </c>
      <c r="E638" s="3913"/>
      <c r="F638" s="3913"/>
      <c r="G638" s="3913"/>
      <c r="H638" s="3913"/>
      <c r="I638" s="3913"/>
      <c r="J638" s="232"/>
      <c r="K638" s="232"/>
      <c r="L638" s="232"/>
      <c r="N638" s="212">
        <f t="shared" si="12"/>
        <v>488</v>
      </c>
    </row>
    <row r="639" spans="1:14" ht="12" customHeight="1">
      <c r="A639" s="3906"/>
      <c r="B639" s="230"/>
      <c r="C639" s="231"/>
      <c r="D639" s="3912" t="s">
        <v>1370</v>
      </c>
      <c r="E639" s="3913"/>
      <c r="F639" s="3913"/>
      <c r="G639" s="3913"/>
      <c r="H639" s="3913"/>
      <c r="I639" s="3913"/>
      <c r="J639" s="232"/>
      <c r="K639" s="232"/>
      <c r="L639" s="232"/>
      <c r="N639" s="212">
        <f t="shared" si="12"/>
        <v>489</v>
      </c>
    </row>
    <row r="640" spans="1:14" ht="12" customHeight="1">
      <c r="A640" s="3906"/>
      <c r="B640" s="230"/>
      <c r="C640" s="231"/>
      <c r="D640" s="3912" t="s">
        <v>1369</v>
      </c>
      <c r="E640" s="3913"/>
      <c r="F640" s="3913"/>
      <c r="G640" s="3913"/>
      <c r="H640" s="3913"/>
      <c r="I640" s="3913"/>
      <c r="J640" s="232"/>
      <c r="K640" s="232"/>
      <c r="L640" s="232"/>
      <c r="N640" s="212">
        <f t="shared" si="12"/>
        <v>490</v>
      </c>
    </row>
    <row r="641" spans="1:14" ht="12" customHeight="1">
      <c r="A641" s="3906"/>
      <c r="B641" s="230"/>
      <c r="C641" s="231"/>
      <c r="D641" s="3912" t="s">
        <v>1372</v>
      </c>
      <c r="E641" s="3913"/>
      <c r="F641" s="3913"/>
      <c r="G641" s="3913"/>
      <c r="H641" s="3913"/>
      <c r="I641" s="3913"/>
      <c r="J641" s="232"/>
      <c r="K641" s="232"/>
      <c r="L641" s="232"/>
      <c r="N641" s="212">
        <f t="shared" si="12"/>
        <v>491</v>
      </c>
    </row>
    <row r="642" spans="1:14" ht="12" customHeight="1">
      <c r="A642" s="3906"/>
      <c r="B642" s="230"/>
      <c r="C642" s="231"/>
      <c r="D642" s="3912" t="s">
        <v>1373</v>
      </c>
      <c r="E642" s="3913"/>
      <c r="F642" s="3913"/>
      <c r="G642" s="3913"/>
      <c r="H642" s="3913"/>
      <c r="I642" s="3913"/>
      <c r="J642" s="232"/>
      <c r="K642" s="232"/>
      <c r="L642" s="232"/>
      <c r="N642" s="212">
        <f t="shared" si="12"/>
        <v>492</v>
      </c>
    </row>
    <row r="643" spans="1:14" ht="12" customHeight="1">
      <c r="A643" s="3906"/>
      <c r="B643" s="230"/>
      <c r="C643" s="231"/>
      <c r="D643" s="3904"/>
      <c r="E643" s="3905"/>
      <c r="F643" s="3905"/>
      <c r="G643" s="3905"/>
      <c r="H643" s="3905"/>
      <c r="I643" s="3905"/>
      <c r="J643" s="232"/>
      <c r="K643" s="232"/>
      <c r="L643" s="232"/>
      <c r="N643" s="212">
        <f t="shared" si="12"/>
        <v>492</v>
      </c>
    </row>
    <row r="644" spans="1:14" ht="12" customHeight="1">
      <c r="A644" s="3906"/>
      <c r="B644" s="230"/>
      <c r="C644" s="231"/>
      <c r="D644" s="3900" t="s">
        <v>2185</v>
      </c>
      <c r="E644" s="3900"/>
      <c r="F644" s="3900"/>
      <c r="G644" s="3900"/>
      <c r="H644" s="3900"/>
      <c r="I644" s="3900"/>
      <c r="J644" s="3900"/>
      <c r="K644" s="3900"/>
      <c r="L644" s="232"/>
      <c r="N644" s="212">
        <f t="shared" si="12"/>
        <v>493</v>
      </c>
    </row>
    <row r="645" spans="1:14" ht="14.25" customHeight="1">
      <c r="A645" s="3906"/>
      <c r="B645" s="230"/>
      <c r="C645" s="231"/>
      <c r="D645" s="3912" t="s">
        <v>1377</v>
      </c>
      <c r="E645" s="3912"/>
      <c r="F645" s="3912"/>
      <c r="G645" s="3912"/>
      <c r="H645" s="3912"/>
      <c r="I645" s="3912"/>
      <c r="J645" s="3912"/>
      <c r="K645" s="3912"/>
      <c r="L645" s="232"/>
      <c r="N645" s="212">
        <f t="shared" si="12"/>
        <v>494</v>
      </c>
    </row>
    <row r="646" spans="1:14" ht="12" customHeight="1">
      <c r="A646" s="3906"/>
      <c r="B646" s="230"/>
      <c r="C646" s="231"/>
      <c r="D646" s="3912" t="s">
        <v>1375</v>
      </c>
      <c r="E646" s="3913"/>
      <c r="F646" s="3913"/>
      <c r="G646" s="3913"/>
      <c r="H646" s="3913"/>
      <c r="I646" s="3913"/>
      <c r="J646" s="232"/>
      <c r="K646" s="232"/>
      <c r="L646" s="232"/>
      <c r="N646" s="212">
        <f t="shared" si="12"/>
        <v>495</v>
      </c>
    </row>
    <row r="647" spans="1:14" ht="12" customHeight="1">
      <c r="A647" s="3906"/>
      <c r="B647" s="230"/>
      <c r="C647" s="231"/>
      <c r="D647" s="3912" t="s">
        <v>1374</v>
      </c>
      <c r="E647" s="3913"/>
      <c r="F647" s="3913"/>
      <c r="G647" s="3913"/>
      <c r="H647" s="3913"/>
      <c r="I647" s="3913"/>
      <c r="J647" s="232"/>
      <c r="K647" s="232"/>
      <c r="L647" s="232"/>
      <c r="N647" s="212">
        <f t="shared" si="12"/>
        <v>496</v>
      </c>
    </row>
    <row r="648" spans="1:14" ht="12" customHeight="1">
      <c r="A648" s="3906"/>
      <c r="B648" s="230"/>
      <c r="C648" s="231"/>
      <c r="D648" s="3912" t="s">
        <v>1376</v>
      </c>
      <c r="E648" s="3913"/>
      <c r="F648" s="3913"/>
      <c r="G648" s="3913"/>
      <c r="H648" s="3913"/>
      <c r="I648" s="3913"/>
      <c r="J648" s="232"/>
      <c r="K648" s="232"/>
      <c r="L648" s="232"/>
      <c r="N648" s="212">
        <f t="shared" si="12"/>
        <v>497</v>
      </c>
    </row>
    <row r="649" spans="1:14" ht="12" customHeight="1">
      <c r="A649" s="3906"/>
      <c r="B649" s="230"/>
      <c r="C649" s="231"/>
      <c r="D649" s="3912"/>
      <c r="E649" s="3913"/>
      <c r="F649" s="3913"/>
      <c r="G649" s="3913"/>
      <c r="H649" s="3913"/>
      <c r="I649" s="3913"/>
      <c r="J649" s="232"/>
      <c r="K649" s="232"/>
      <c r="L649" s="232"/>
      <c r="N649" s="212">
        <f t="shared" si="12"/>
        <v>497</v>
      </c>
    </row>
    <row r="650" spans="1:14" ht="12" customHeight="1">
      <c r="A650" s="3906"/>
      <c r="B650" s="230"/>
      <c r="C650" s="231"/>
      <c r="D650" s="3900" t="s">
        <v>1378</v>
      </c>
      <c r="E650" s="3900"/>
      <c r="F650" s="3900"/>
      <c r="G650" s="3900"/>
      <c r="H650" s="3900"/>
      <c r="I650" s="3900"/>
      <c r="J650" s="3900"/>
      <c r="K650" s="3900"/>
      <c r="L650" s="232"/>
      <c r="N650" s="212">
        <f t="shared" si="12"/>
        <v>498</v>
      </c>
    </row>
    <row r="651" spans="1:14" ht="12" customHeight="1">
      <c r="A651" s="3906"/>
      <c r="B651" s="230"/>
      <c r="C651" s="231"/>
      <c r="D651" s="3900" t="s">
        <v>1379</v>
      </c>
      <c r="E651" s="3900"/>
      <c r="F651" s="3900"/>
      <c r="G651" s="3900"/>
      <c r="H651" s="3900"/>
      <c r="I651" s="3900"/>
      <c r="J651" s="3900"/>
      <c r="K651" s="3900"/>
      <c r="L651" s="232"/>
      <c r="N651" s="212">
        <f t="shared" si="12"/>
        <v>499</v>
      </c>
    </row>
    <row r="652" spans="1:14" ht="12" customHeight="1">
      <c r="A652" s="230"/>
      <c r="B652" s="230"/>
      <c r="C652" s="231"/>
      <c r="D652" s="3900" t="s">
        <v>1380</v>
      </c>
      <c r="E652" s="3901"/>
      <c r="F652" s="3901"/>
      <c r="G652" s="3901"/>
      <c r="H652" s="3901"/>
      <c r="I652" s="3901"/>
      <c r="J652" s="232"/>
      <c r="K652" s="232"/>
      <c r="L652" s="232"/>
      <c r="N652" s="212">
        <f t="shared" si="12"/>
        <v>500</v>
      </c>
    </row>
    <row r="653" spans="1:14" ht="12" customHeight="1">
      <c r="A653" s="230"/>
      <c r="B653" s="230"/>
      <c r="C653" s="231"/>
      <c r="D653" s="3900" t="s">
        <v>1381</v>
      </c>
      <c r="E653" s="3900"/>
      <c r="F653" s="3900"/>
      <c r="G653" s="3900"/>
      <c r="H653" s="3900"/>
      <c r="I653" s="3900"/>
      <c r="J653" s="3900"/>
      <c r="K653" s="3900"/>
      <c r="L653" s="232"/>
      <c r="N653" s="212">
        <f t="shared" si="12"/>
        <v>501</v>
      </c>
    </row>
    <row r="654" spans="1:14" ht="12" customHeight="1">
      <c r="A654" s="230"/>
      <c r="B654" s="230"/>
      <c r="C654" s="231"/>
      <c r="D654" s="3900" t="s">
        <v>1382</v>
      </c>
      <c r="E654" s="3901"/>
      <c r="F654" s="3901"/>
      <c r="G654" s="3901"/>
      <c r="H654" s="3901"/>
      <c r="I654" s="3901"/>
      <c r="J654" s="232"/>
      <c r="K654" s="232"/>
      <c r="L654" s="232"/>
      <c r="N654" s="212">
        <f t="shared" si="12"/>
        <v>502</v>
      </c>
    </row>
    <row r="655" spans="1:14" ht="12" customHeight="1">
      <c r="A655" s="230"/>
      <c r="B655" s="230"/>
      <c r="C655" s="231"/>
      <c r="D655" s="3912"/>
      <c r="E655" s="3913"/>
      <c r="F655" s="3913"/>
      <c r="G655" s="3913"/>
      <c r="H655" s="3913"/>
      <c r="I655" s="3913"/>
      <c r="J655" s="232"/>
      <c r="K655" s="232"/>
      <c r="L655" s="232"/>
      <c r="N655" s="212">
        <f t="shared" si="12"/>
        <v>502</v>
      </c>
    </row>
    <row r="656" spans="1:14" ht="12" customHeight="1">
      <c r="C656" s="231"/>
      <c r="D656" s="3900" t="s">
        <v>1383</v>
      </c>
      <c r="E656" s="3901"/>
      <c r="F656" s="3901"/>
      <c r="G656" s="3901"/>
      <c r="H656" s="3901"/>
      <c r="I656" s="3901"/>
      <c r="J656" s="232"/>
      <c r="K656" s="232"/>
      <c r="L656" s="232"/>
      <c r="N656" s="212">
        <f t="shared" si="12"/>
        <v>503</v>
      </c>
    </row>
    <row r="657" spans="3:14" ht="15" customHeight="1">
      <c r="C657" s="231"/>
      <c r="D657" s="3900" t="s">
        <v>1384</v>
      </c>
      <c r="E657" s="3900"/>
      <c r="F657" s="3900"/>
      <c r="G657" s="3900"/>
      <c r="H657" s="3900"/>
      <c r="I657" s="3900"/>
      <c r="J657" s="3900"/>
      <c r="K657" s="3900"/>
      <c r="L657" s="232"/>
      <c r="N657" s="212">
        <f t="shared" si="12"/>
        <v>504</v>
      </c>
    </row>
    <row r="658" spans="3:14" ht="12" customHeight="1">
      <c r="C658" s="231"/>
      <c r="D658" s="3900" t="s">
        <v>1385</v>
      </c>
      <c r="E658" s="3913"/>
      <c r="F658" s="3913"/>
      <c r="G658" s="3913"/>
      <c r="H658" s="3913"/>
      <c r="I658" s="3913"/>
      <c r="J658" s="232"/>
      <c r="K658" s="232"/>
      <c r="L658" s="232"/>
      <c r="N658" s="212">
        <f t="shared" si="12"/>
        <v>505</v>
      </c>
    </row>
    <row r="659" spans="3:14" ht="12" customHeight="1">
      <c r="C659" s="231"/>
      <c r="D659" s="3904"/>
      <c r="E659" s="3905"/>
      <c r="F659" s="3905"/>
      <c r="G659" s="3905"/>
      <c r="H659" s="3905"/>
      <c r="I659" s="3905"/>
      <c r="J659" s="232"/>
      <c r="K659" s="232"/>
      <c r="L659" s="232"/>
      <c r="N659" s="212">
        <f t="shared" si="12"/>
        <v>505</v>
      </c>
    </row>
    <row r="660" spans="3:14" ht="12" customHeight="1">
      <c r="C660" s="231"/>
      <c r="D660" s="3900" t="s">
        <v>1386</v>
      </c>
      <c r="E660" s="3900"/>
      <c r="F660" s="3900"/>
      <c r="G660" s="3900"/>
      <c r="H660" s="3900"/>
      <c r="I660" s="3900"/>
      <c r="J660" s="3900"/>
      <c r="K660" s="3900"/>
      <c r="L660" s="232"/>
      <c r="N660" s="212">
        <f t="shared" si="12"/>
        <v>506</v>
      </c>
    </row>
    <row r="661" spans="3:14" ht="12" customHeight="1">
      <c r="C661" s="231"/>
      <c r="D661" s="3900" t="s">
        <v>1388</v>
      </c>
      <c r="E661" s="3900"/>
      <c r="F661" s="3900"/>
      <c r="G661" s="3900"/>
      <c r="H661" s="3900"/>
      <c r="I661" s="3900"/>
      <c r="J661" s="3900"/>
      <c r="K661" s="3900"/>
      <c r="L661" s="232"/>
      <c r="N661" s="212">
        <f t="shared" si="12"/>
        <v>507</v>
      </c>
    </row>
    <row r="662" spans="3:14" ht="12" customHeight="1">
      <c r="C662" s="231"/>
      <c r="D662" s="3900" t="s">
        <v>1389</v>
      </c>
      <c r="E662" s="3900"/>
      <c r="F662" s="3900"/>
      <c r="G662" s="3900"/>
      <c r="H662" s="3900"/>
      <c r="I662" s="3900"/>
      <c r="J662" s="3900"/>
      <c r="K662" s="3900"/>
      <c r="L662" s="232"/>
      <c r="N662" s="212">
        <f t="shared" si="12"/>
        <v>508</v>
      </c>
    </row>
    <row r="663" spans="3:14" ht="12" customHeight="1">
      <c r="C663" s="231"/>
      <c r="D663" s="3900" t="s">
        <v>1390</v>
      </c>
      <c r="E663" s="3900"/>
      <c r="F663" s="3900"/>
      <c r="G663" s="3900"/>
      <c r="H663" s="3900"/>
      <c r="I663" s="3900"/>
      <c r="J663" s="3900"/>
      <c r="K663" s="3900"/>
      <c r="L663" s="232"/>
      <c r="N663" s="212">
        <f t="shared" si="12"/>
        <v>509</v>
      </c>
    </row>
    <row r="664" spans="3:14" ht="12" customHeight="1">
      <c r="C664" s="231"/>
      <c r="D664" s="3900" t="s">
        <v>736</v>
      </c>
      <c r="E664" s="3901"/>
      <c r="F664" s="3901"/>
      <c r="G664" s="3901"/>
      <c r="H664" s="3901"/>
      <c r="I664" s="3901"/>
      <c r="J664" s="538"/>
      <c r="K664" s="232"/>
      <c r="L664" s="232"/>
      <c r="N664" s="212">
        <f t="shared" si="12"/>
        <v>510</v>
      </c>
    </row>
    <row r="665" spans="3:14" ht="12" customHeight="1">
      <c r="C665" s="231"/>
      <c r="D665" s="738"/>
      <c r="E665" s="739"/>
      <c r="F665" s="1712"/>
      <c r="G665" s="739"/>
      <c r="H665" s="739"/>
      <c r="I665" s="739"/>
      <c r="J665" s="538"/>
      <c r="K665" s="232"/>
      <c r="L665" s="232"/>
      <c r="N665" s="212">
        <f t="shared" si="12"/>
        <v>510</v>
      </c>
    </row>
    <row r="666" spans="3:14" ht="12" customHeight="1">
      <c r="C666" s="231"/>
      <c r="D666" s="3901" t="s">
        <v>1391</v>
      </c>
      <c r="E666" s="3901"/>
      <c r="F666" s="3901"/>
      <c r="G666" s="3901"/>
      <c r="H666" s="3901"/>
      <c r="I666" s="3901"/>
      <c r="J666" s="538"/>
      <c r="K666" s="232"/>
      <c r="L666" s="232"/>
      <c r="N666" s="212">
        <f t="shared" si="12"/>
        <v>511</v>
      </c>
    </row>
    <row r="667" spans="3:14" ht="12" customHeight="1">
      <c r="C667" s="231"/>
      <c r="D667" s="3900" t="s">
        <v>1392</v>
      </c>
      <c r="E667" s="3901"/>
      <c r="F667" s="3901"/>
      <c r="G667" s="3901"/>
      <c r="H667" s="3901"/>
      <c r="I667" s="3901"/>
      <c r="J667" s="538"/>
      <c r="K667" s="232"/>
      <c r="L667" s="232"/>
      <c r="N667" s="212">
        <f t="shared" si="12"/>
        <v>512</v>
      </c>
    </row>
    <row r="668" spans="3:14" ht="12" customHeight="1">
      <c r="C668" s="231"/>
      <c r="D668" s="3900" t="s">
        <v>1393</v>
      </c>
      <c r="E668" s="3901"/>
      <c r="F668" s="3901"/>
      <c r="G668" s="3901"/>
      <c r="H668" s="3901"/>
      <c r="I668" s="3901"/>
      <c r="J668" s="538"/>
      <c r="K668" s="232"/>
      <c r="L668" s="232"/>
      <c r="N668" s="212">
        <f t="shared" si="12"/>
        <v>513</v>
      </c>
    </row>
    <row r="669" spans="3:14" ht="12" customHeight="1">
      <c r="C669" s="231"/>
      <c r="D669" s="3900" t="s">
        <v>1387</v>
      </c>
      <c r="E669" s="3900"/>
      <c r="F669" s="3900"/>
      <c r="G669" s="3900"/>
      <c r="H669" s="3900"/>
      <c r="I669" s="3900"/>
      <c r="J669" s="3900"/>
      <c r="K669" s="3900"/>
      <c r="L669" s="232"/>
      <c r="N669" s="212">
        <f t="shared" si="12"/>
        <v>514</v>
      </c>
    </row>
    <row r="670" spans="3:14" ht="12" customHeight="1">
      <c r="C670" s="231"/>
      <c r="D670" s="3900" t="s">
        <v>1394</v>
      </c>
      <c r="E670" s="3901"/>
      <c r="F670" s="3901"/>
      <c r="G670" s="3901"/>
      <c r="H670" s="3901"/>
      <c r="I670" s="3901"/>
      <c r="J670" s="538"/>
      <c r="K670" s="232"/>
      <c r="L670" s="232"/>
      <c r="N670" s="212">
        <f t="shared" si="12"/>
        <v>515</v>
      </c>
    </row>
    <row r="671" spans="3:14" ht="12" customHeight="1">
      <c r="C671" s="231"/>
      <c r="D671" s="3904"/>
      <c r="E671" s="3905"/>
      <c r="F671" s="3905"/>
      <c r="G671" s="3905"/>
      <c r="H671" s="3905"/>
      <c r="I671" s="3905"/>
      <c r="J671" s="232"/>
      <c r="K671" s="232"/>
      <c r="L671" s="232"/>
      <c r="N671" s="212">
        <f t="shared" si="12"/>
        <v>515</v>
      </c>
    </row>
    <row r="672" spans="3:14" ht="12" customHeight="1">
      <c r="C672" s="231"/>
      <c r="D672" s="3900" t="s">
        <v>1397</v>
      </c>
      <c r="E672" s="3900"/>
      <c r="F672" s="3900"/>
      <c r="G672" s="3900"/>
      <c r="H672" s="3900"/>
      <c r="I672" s="3900"/>
      <c r="J672" s="3900"/>
      <c r="K672" s="3900"/>
      <c r="L672" s="232"/>
      <c r="N672" s="212">
        <f t="shared" si="12"/>
        <v>516</v>
      </c>
    </row>
    <row r="673" spans="3:14" ht="12" customHeight="1">
      <c r="C673" s="231"/>
      <c r="D673" s="3900" t="s">
        <v>1398</v>
      </c>
      <c r="E673" s="3900"/>
      <c r="F673" s="3900"/>
      <c r="G673" s="3900"/>
      <c r="H673" s="3900"/>
      <c r="I673" s="3900"/>
      <c r="J673" s="3900"/>
      <c r="K673" s="3900"/>
      <c r="L673" s="232"/>
      <c r="N673" s="212">
        <f t="shared" si="12"/>
        <v>517</v>
      </c>
    </row>
    <row r="674" spans="3:14" ht="12" customHeight="1">
      <c r="C674" s="231"/>
      <c r="D674" s="3900" t="s">
        <v>1399</v>
      </c>
      <c r="E674" s="3901"/>
      <c r="F674" s="3901"/>
      <c r="G674" s="3901"/>
      <c r="H674" s="3901"/>
      <c r="I674" s="3901"/>
      <c r="J674" s="232"/>
      <c r="K674" s="232"/>
      <c r="L674" s="232"/>
      <c r="N674" s="212">
        <f t="shared" si="12"/>
        <v>518</v>
      </c>
    </row>
    <row r="675" spans="3:14" ht="12" customHeight="1">
      <c r="C675" s="231"/>
      <c r="D675" s="3912" t="s">
        <v>1090</v>
      </c>
      <c r="E675" s="3913"/>
      <c r="F675" s="3913"/>
      <c r="G675" s="3913"/>
      <c r="H675" s="3913"/>
      <c r="I675" s="3913"/>
      <c r="J675" s="232"/>
      <c r="K675" s="232"/>
      <c r="L675" s="232"/>
      <c r="N675" s="212">
        <f t="shared" si="12"/>
        <v>519</v>
      </c>
    </row>
    <row r="676" spans="3:14" ht="12" customHeight="1">
      <c r="C676" s="231"/>
      <c r="D676" s="3912" t="s">
        <v>1091</v>
      </c>
      <c r="E676" s="3913"/>
      <c r="F676" s="3913"/>
      <c r="G676" s="3913"/>
      <c r="H676" s="3913"/>
      <c r="I676" s="3913"/>
      <c r="J676" s="232"/>
      <c r="K676" s="232"/>
      <c r="L676" s="232"/>
      <c r="N676" s="212">
        <f t="shared" si="12"/>
        <v>520</v>
      </c>
    </row>
    <row r="677" spans="3:14" ht="12" customHeight="1">
      <c r="C677" s="231"/>
      <c r="D677" s="3912" t="s">
        <v>1092</v>
      </c>
      <c r="E677" s="3913"/>
      <c r="F677" s="3913"/>
      <c r="G677" s="3913"/>
      <c r="H677" s="3913"/>
      <c r="I677" s="3913"/>
      <c r="J677" s="232"/>
      <c r="K677" s="232"/>
      <c r="L677" s="232"/>
      <c r="N677" s="212">
        <f t="shared" si="12"/>
        <v>521</v>
      </c>
    </row>
    <row r="678" spans="3:14" ht="12" customHeight="1">
      <c r="C678" s="231"/>
      <c r="D678" s="3900" t="s">
        <v>1400</v>
      </c>
      <c r="E678" s="3901"/>
      <c r="F678" s="3901"/>
      <c r="G678" s="3901"/>
      <c r="H678" s="3901"/>
      <c r="I678" s="3901"/>
      <c r="J678" s="232"/>
      <c r="K678" s="232"/>
      <c r="L678" s="232"/>
      <c r="N678" s="212">
        <f t="shared" si="12"/>
        <v>522</v>
      </c>
    </row>
    <row r="679" spans="3:14" ht="12" customHeight="1">
      <c r="C679" s="231"/>
      <c r="D679" s="3900" t="s">
        <v>1395</v>
      </c>
      <c r="E679" s="3900"/>
      <c r="F679" s="3900"/>
      <c r="G679" s="3900"/>
      <c r="H679" s="3900"/>
      <c r="I679" s="3900"/>
      <c r="J679" s="3900"/>
      <c r="K679" s="3900"/>
      <c r="L679" s="232"/>
      <c r="N679" s="212">
        <f t="shared" si="12"/>
        <v>523</v>
      </c>
    </row>
    <row r="680" spans="3:14" ht="12" customHeight="1">
      <c r="C680" s="231"/>
      <c r="D680" s="3900" t="s">
        <v>1401</v>
      </c>
      <c r="E680" s="3901"/>
      <c r="F680" s="3901"/>
      <c r="G680" s="3901"/>
      <c r="H680" s="3901"/>
      <c r="I680" s="3901"/>
      <c r="J680" s="232"/>
      <c r="K680" s="232"/>
      <c r="L680" s="232"/>
      <c r="N680" s="212">
        <f t="shared" si="12"/>
        <v>524</v>
      </c>
    </row>
    <row r="681" spans="3:14" ht="12" customHeight="1">
      <c r="C681" s="231"/>
      <c r="D681" s="738"/>
      <c r="E681" s="739"/>
      <c r="F681" s="1712"/>
      <c r="G681" s="739"/>
      <c r="H681" s="739"/>
      <c r="I681" s="739"/>
      <c r="J681" s="232"/>
      <c r="K681" s="232"/>
      <c r="L681" s="232"/>
      <c r="N681" s="212">
        <f t="shared" si="12"/>
        <v>524</v>
      </c>
    </row>
    <row r="682" spans="3:14" ht="12" customHeight="1">
      <c r="C682" s="231"/>
      <c r="D682" s="3900" t="s">
        <v>1396</v>
      </c>
      <c r="E682" s="3900"/>
      <c r="F682" s="3900"/>
      <c r="G682" s="3900"/>
      <c r="H682" s="3900"/>
      <c r="I682" s="3900"/>
      <c r="J682" s="3900"/>
      <c r="K682" s="3900"/>
      <c r="L682" s="232"/>
      <c r="N682" s="212">
        <f t="shared" si="12"/>
        <v>525</v>
      </c>
    </row>
    <row r="683" spans="3:14" ht="12" customHeight="1">
      <c r="C683" s="231"/>
      <c r="D683" s="3912" t="s">
        <v>737</v>
      </c>
      <c r="E683" s="3913"/>
      <c r="F683" s="3913"/>
      <c r="G683" s="3913"/>
      <c r="H683" s="3913"/>
      <c r="I683" s="3913"/>
      <c r="J683" s="232"/>
      <c r="K683" s="232"/>
      <c r="L683" s="232"/>
      <c r="N683" s="212">
        <f t="shared" si="12"/>
        <v>526</v>
      </c>
    </row>
    <row r="684" spans="3:14" ht="12" customHeight="1">
      <c r="C684" s="231"/>
      <c r="D684" s="3912" t="s">
        <v>1402</v>
      </c>
      <c r="E684" s="3913"/>
      <c r="F684" s="3913"/>
      <c r="G684" s="3913"/>
      <c r="H684" s="3913"/>
      <c r="I684" s="3913"/>
      <c r="J684" s="232"/>
      <c r="K684" s="232"/>
      <c r="L684" s="232"/>
      <c r="N684" s="212">
        <f t="shared" si="12"/>
        <v>527</v>
      </c>
    </row>
    <row r="685" spans="3:14" ht="12" customHeight="1">
      <c r="C685" s="231"/>
      <c r="D685" s="740"/>
      <c r="E685" s="741"/>
      <c r="F685" s="1716"/>
      <c r="G685" s="741"/>
      <c r="H685" s="741"/>
      <c r="I685" s="741"/>
      <c r="J685" s="232"/>
      <c r="K685" s="232"/>
      <c r="L685" s="232"/>
      <c r="N685" s="212">
        <f t="shared" si="12"/>
        <v>527</v>
      </c>
    </row>
    <row r="686" spans="3:14" ht="12" customHeight="1">
      <c r="C686" s="231"/>
      <c r="D686" s="3948" t="s">
        <v>1404</v>
      </c>
      <c r="E686" s="3949"/>
      <c r="F686" s="3949"/>
      <c r="G686" s="3949"/>
      <c r="H686" s="3949"/>
      <c r="I686" s="3949"/>
      <c r="J686" s="232"/>
      <c r="K686" s="232"/>
      <c r="L686" s="232"/>
      <c r="N686" s="212">
        <f t="shared" si="12"/>
        <v>528</v>
      </c>
    </row>
    <row r="687" spans="3:14" ht="12" customHeight="1">
      <c r="C687" s="231"/>
      <c r="D687" s="749"/>
      <c r="E687" s="750"/>
      <c r="F687" s="1722"/>
      <c r="G687" s="750"/>
      <c r="H687" s="750"/>
      <c r="I687" s="750"/>
      <c r="J687" s="232"/>
      <c r="K687" s="232"/>
      <c r="L687" s="232"/>
      <c r="N687" s="212">
        <f t="shared" si="12"/>
        <v>528</v>
      </c>
    </row>
    <row r="688" spans="3:14" ht="12" customHeight="1">
      <c r="C688" s="231"/>
      <c r="D688" s="749"/>
      <c r="E688" s="750"/>
      <c r="F688" s="1722"/>
      <c r="G688" s="750"/>
      <c r="H688" s="750"/>
      <c r="I688" s="750"/>
      <c r="J688" s="232"/>
      <c r="K688" s="232"/>
      <c r="L688" s="232"/>
      <c r="N688" s="212">
        <f t="shared" si="12"/>
        <v>528</v>
      </c>
    </row>
    <row r="689" spans="3:14" ht="12" customHeight="1">
      <c r="C689" s="231"/>
      <c r="D689" s="738"/>
      <c r="E689" s="739"/>
      <c r="F689" s="1712"/>
      <c r="G689" s="739"/>
      <c r="H689" s="739"/>
      <c r="I689" s="739"/>
      <c r="J689" s="232"/>
      <c r="K689" s="232"/>
      <c r="L689" s="232"/>
      <c r="N689" s="212">
        <f t="shared" si="12"/>
        <v>528</v>
      </c>
    </row>
    <row r="690" spans="3:14" ht="12" customHeight="1">
      <c r="C690" s="231"/>
      <c r="D690" s="3900" t="s">
        <v>1407</v>
      </c>
      <c r="E690" s="3901"/>
      <c r="F690" s="3901"/>
      <c r="G690" s="3901"/>
      <c r="H690" s="3901"/>
      <c r="I690" s="3901"/>
      <c r="J690" s="232"/>
      <c r="K690" s="232"/>
      <c r="L690" s="232"/>
      <c r="N690" s="212">
        <f t="shared" si="12"/>
        <v>529</v>
      </c>
    </row>
    <row r="691" spans="3:14" ht="12" customHeight="1">
      <c r="C691" s="231"/>
      <c r="D691" s="3900" t="s">
        <v>1405</v>
      </c>
      <c r="E691" s="3900"/>
      <c r="F691" s="3900"/>
      <c r="G691" s="3900"/>
      <c r="H691" s="3900"/>
      <c r="I691" s="3900"/>
      <c r="J691" s="3900"/>
      <c r="K691" s="3900"/>
      <c r="L691" s="232"/>
      <c r="N691" s="212">
        <f t="shared" ref="N691:N754" si="13">IF(D691="",N690,N690+1)</f>
        <v>530</v>
      </c>
    </row>
    <row r="692" spans="3:14" ht="12" customHeight="1">
      <c r="C692" s="231"/>
      <c r="D692" s="3900" t="s">
        <v>1406</v>
      </c>
      <c r="E692" s="3901"/>
      <c r="F692" s="3901"/>
      <c r="G692" s="3901"/>
      <c r="H692" s="3901"/>
      <c r="I692" s="3901"/>
      <c r="J692" s="232"/>
      <c r="K692" s="232"/>
      <c r="L692" s="232"/>
      <c r="N692" s="212">
        <f t="shared" si="13"/>
        <v>531</v>
      </c>
    </row>
    <row r="693" spans="3:14" ht="12" customHeight="1">
      <c r="C693" s="231"/>
      <c r="D693" s="744"/>
      <c r="E693" s="745"/>
      <c r="F693" s="1719"/>
      <c r="G693" s="745"/>
      <c r="H693" s="745"/>
      <c r="I693" s="745"/>
      <c r="J693" s="232"/>
      <c r="K693" s="232"/>
      <c r="L693" s="232"/>
      <c r="N693" s="212">
        <f t="shared" si="13"/>
        <v>531</v>
      </c>
    </row>
    <row r="694" spans="3:14" ht="12" customHeight="1">
      <c r="C694" s="231"/>
      <c r="D694" s="3900" t="s">
        <v>1408</v>
      </c>
      <c r="E694" s="3900"/>
      <c r="F694" s="3900"/>
      <c r="G694" s="3900"/>
      <c r="H694" s="3900"/>
      <c r="I694" s="3900"/>
      <c r="J694" s="3900"/>
      <c r="K694" s="3900"/>
      <c r="L694" s="232"/>
      <c r="N694" s="212">
        <f t="shared" si="13"/>
        <v>532</v>
      </c>
    </row>
    <row r="695" spans="3:14" ht="12" customHeight="1">
      <c r="C695" s="231"/>
      <c r="D695" s="3900" t="s">
        <v>1409</v>
      </c>
      <c r="E695" s="3900"/>
      <c r="F695" s="3900"/>
      <c r="G695" s="3900"/>
      <c r="H695" s="3900"/>
      <c r="I695" s="3900"/>
      <c r="J695" s="3900"/>
      <c r="K695" s="3900"/>
      <c r="L695" s="232"/>
      <c r="N695" s="212">
        <f t="shared" si="13"/>
        <v>533</v>
      </c>
    </row>
    <row r="696" spans="3:14" ht="12" customHeight="1">
      <c r="C696" s="231"/>
      <c r="D696" s="3900" t="s">
        <v>1410</v>
      </c>
      <c r="E696" s="3901"/>
      <c r="F696" s="3901"/>
      <c r="G696" s="3901"/>
      <c r="H696" s="3901"/>
      <c r="I696" s="3901"/>
      <c r="J696" s="232"/>
      <c r="K696" s="232"/>
      <c r="L696" s="232"/>
      <c r="N696" s="212">
        <f t="shared" si="13"/>
        <v>534</v>
      </c>
    </row>
    <row r="697" spans="3:14" ht="12" customHeight="1">
      <c r="C697" s="231"/>
      <c r="D697" s="3912"/>
      <c r="E697" s="3913"/>
      <c r="F697" s="3913"/>
      <c r="G697" s="3913"/>
      <c r="H697" s="3913"/>
      <c r="I697" s="3913"/>
      <c r="J697" s="232"/>
      <c r="K697" s="232"/>
      <c r="L697" s="232"/>
      <c r="N697" s="212">
        <f t="shared" si="13"/>
        <v>534</v>
      </c>
    </row>
    <row r="698" spans="3:14" ht="12" customHeight="1">
      <c r="C698" s="231"/>
      <c r="D698" s="3900" t="s">
        <v>1403</v>
      </c>
      <c r="E698" s="3901"/>
      <c r="F698" s="3901"/>
      <c r="G698" s="3901"/>
      <c r="H698" s="3901"/>
      <c r="I698" s="3901"/>
      <c r="J698" s="232"/>
      <c r="K698" s="232"/>
      <c r="L698" s="232"/>
      <c r="N698" s="212">
        <f t="shared" si="13"/>
        <v>535</v>
      </c>
    </row>
    <row r="699" spans="3:14" ht="12" customHeight="1">
      <c r="C699" s="231"/>
      <c r="D699" s="3900" t="s">
        <v>1411</v>
      </c>
      <c r="E699" s="3901"/>
      <c r="F699" s="3901"/>
      <c r="G699" s="3901"/>
      <c r="H699" s="3901"/>
      <c r="I699" s="3901"/>
      <c r="J699" s="232"/>
      <c r="K699" s="232"/>
      <c r="L699" s="232"/>
      <c r="N699" s="212">
        <f t="shared" si="13"/>
        <v>536</v>
      </c>
    </row>
    <row r="700" spans="3:14" ht="12" customHeight="1">
      <c r="C700" s="231"/>
      <c r="D700" s="3900" t="s">
        <v>1412</v>
      </c>
      <c r="E700" s="3901"/>
      <c r="F700" s="3901"/>
      <c r="G700" s="3901"/>
      <c r="H700" s="3901"/>
      <c r="I700" s="3901"/>
      <c r="J700" s="232"/>
      <c r="K700" s="232"/>
      <c r="L700" s="232"/>
      <c r="N700" s="212">
        <f t="shared" si="13"/>
        <v>537</v>
      </c>
    </row>
    <row r="701" spans="3:14" ht="12" customHeight="1">
      <c r="C701" s="231"/>
      <c r="D701" s="3900" t="s">
        <v>1413</v>
      </c>
      <c r="E701" s="3901"/>
      <c r="F701" s="3901"/>
      <c r="G701" s="3901"/>
      <c r="H701" s="3901"/>
      <c r="I701" s="3901"/>
      <c r="J701" s="232"/>
      <c r="K701" s="232"/>
      <c r="L701" s="232"/>
      <c r="N701" s="212">
        <f t="shared" si="13"/>
        <v>538</v>
      </c>
    </row>
    <row r="702" spans="3:14" ht="12" customHeight="1">
      <c r="C702" s="231"/>
      <c r="D702" s="3900" t="s">
        <v>1414</v>
      </c>
      <c r="E702" s="3901"/>
      <c r="F702" s="3901"/>
      <c r="G702" s="3901"/>
      <c r="H702" s="3901"/>
      <c r="I702" s="3901"/>
      <c r="J702" s="232"/>
      <c r="K702" s="232"/>
      <c r="L702" s="232"/>
      <c r="N702" s="212">
        <f t="shared" si="13"/>
        <v>539</v>
      </c>
    </row>
    <row r="703" spans="3:14" ht="12" customHeight="1">
      <c r="C703" s="231"/>
      <c r="D703" s="3900" t="s">
        <v>1415</v>
      </c>
      <c r="E703" s="3901"/>
      <c r="F703" s="3901"/>
      <c r="G703" s="3901"/>
      <c r="H703" s="3901"/>
      <c r="I703" s="3901"/>
      <c r="J703" s="232"/>
      <c r="K703" s="232"/>
      <c r="L703" s="232"/>
      <c r="N703" s="212">
        <f t="shared" si="13"/>
        <v>540</v>
      </c>
    </row>
    <row r="704" spans="3:14" ht="12" customHeight="1">
      <c r="C704" s="231"/>
      <c r="D704" s="3900" t="s">
        <v>1416</v>
      </c>
      <c r="E704" s="3901"/>
      <c r="F704" s="3901"/>
      <c r="G704" s="3901"/>
      <c r="H704" s="3901"/>
      <c r="I704" s="3901"/>
      <c r="J704" s="232"/>
      <c r="K704" s="232"/>
      <c r="L704" s="232"/>
      <c r="N704" s="212">
        <f t="shared" si="13"/>
        <v>541</v>
      </c>
    </row>
    <row r="705" spans="3:14" ht="12" customHeight="1">
      <c r="C705" s="231"/>
      <c r="D705" s="3948" t="s">
        <v>738</v>
      </c>
      <c r="E705" s="3949"/>
      <c r="F705" s="3949"/>
      <c r="G705" s="3949"/>
      <c r="H705" s="3949"/>
      <c r="I705" s="3949"/>
      <c r="J705" s="232"/>
      <c r="K705" s="232"/>
      <c r="L705" s="232"/>
      <c r="N705" s="212">
        <f t="shared" si="13"/>
        <v>542</v>
      </c>
    </row>
    <row r="706" spans="3:14" ht="12" customHeight="1">
      <c r="C706" s="231"/>
      <c r="D706" s="3900" t="s">
        <v>1417</v>
      </c>
      <c r="E706" s="3900"/>
      <c r="F706" s="3900"/>
      <c r="G706" s="3900"/>
      <c r="H706" s="3900"/>
      <c r="I706" s="3900"/>
      <c r="J706" s="3900"/>
      <c r="K706" s="3900"/>
      <c r="L706" s="232"/>
      <c r="N706" s="212">
        <f t="shared" si="13"/>
        <v>543</v>
      </c>
    </row>
    <row r="707" spans="3:14" ht="12" customHeight="1">
      <c r="C707" s="231"/>
      <c r="D707" s="3900" t="s">
        <v>739</v>
      </c>
      <c r="E707" s="3901"/>
      <c r="F707" s="3901"/>
      <c r="G707" s="3901"/>
      <c r="H707" s="3901"/>
      <c r="I707" s="3901"/>
      <c r="J707" s="232"/>
      <c r="K707" s="232"/>
      <c r="L707" s="232"/>
      <c r="N707" s="212">
        <f t="shared" si="13"/>
        <v>544</v>
      </c>
    </row>
    <row r="708" spans="3:14" ht="12" customHeight="1">
      <c r="C708" s="231"/>
      <c r="D708" s="3900" t="s">
        <v>1418</v>
      </c>
      <c r="E708" s="3900"/>
      <c r="F708" s="3900"/>
      <c r="G708" s="3900"/>
      <c r="H708" s="3900"/>
      <c r="I708" s="3900"/>
      <c r="J708" s="3900"/>
      <c r="K708" s="3900"/>
      <c r="L708" s="232"/>
      <c r="N708" s="212">
        <f t="shared" si="13"/>
        <v>545</v>
      </c>
    </row>
    <row r="709" spans="3:14" ht="12" customHeight="1">
      <c r="C709" s="231"/>
      <c r="D709" s="3900" t="s">
        <v>740</v>
      </c>
      <c r="E709" s="3901"/>
      <c r="F709" s="3901"/>
      <c r="G709" s="3901"/>
      <c r="H709" s="3901"/>
      <c r="I709" s="3901"/>
      <c r="J709" s="232"/>
      <c r="K709" s="232"/>
      <c r="L709" s="232"/>
      <c r="N709" s="212">
        <f t="shared" si="13"/>
        <v>546</v>
      </c>
    </row>
    <row r="710" spans="3:14" ht="12" customHeight="1">
      <c r="C710" s="231"/>
      <c r="D710" s="3948" t="s">
        <v>1420</v>
      </c>
      <c r="E710" s="3949"/>
      <c r="F710" s="3949"/>
      <c r="G710" s="3949"/>
      <c r="H710" s="3949"/>
      <c r="I710" s="3949"/>
      <c r="J710" s="232"/>
      <c r="K710" s="232"/>
      <c r="L710" s="232"/>
      <c r="N710" s="212">
        <f t="shared" si="13"/>
        <v>547</v>
      </c>
    </row>
    <row r="711" spans="3:14" ht="12" customHeight="1">
      <c r="C711" s="231"/>
      <c r="D711" s="3900" t="s">
        <v>1419</v>
      </c>
      <c r="E711" s="3900"/>
      <c r="F711" s="3900"/>
      <c r="G711" s="3900"/>
      <c r="H711" s="3900"/>
      <c r="I711" s="3900"/>
      <c r="J711" s="3900"/>
      <c r="K711" s="3900"/>
      <c r="L711" s="232"/>
      <c r="N711" s="212">
        <f t="shared" si="13"/>
        <v>548</v>
      </c>
    </row>
    <row r="712" spans="3:14" ht="12" customHeight="1">
      <c r="C712" s="231"/>
      <c r="D712" s="3900" t="s">
        <v>1421</v>
      </c>
      <c r="E712" s="3901"/>
      <c r="F712" s="3901"/>
      <c r="G712" s="3901"/>
      <c r="H712" s="3901"/>
      <c r="I712" s="3901"/>
      <c r="J712" s="232"/>
      <c r="K712" s="232"/>
      <c r="L712" s="232"/>
      <c r="N712" s="212">
        <f t="shared" si="13"/>
        <v>549</v>
      </c>
    </row>
    <row r="713" spans="3:14" ht="12" customHeight="1">
      <c r="C713" s="231"/>
      <c r="D713" s="3912" t="s">
        <v>1422</v>
      </c>
      <c r="E713" s="3913"/>
      <c r="F713" s="3913"/>
      <c r="G713" s="3913"/>
      <c r="H713" s="3913"/>
      <c r="I713" s="3913"/>
      <c r="J713" s="232"/>
      <c r="K713" s="232"/>
      <c r="L713" s="232"/>
      <c r="N713" s="212">
        <f t="shared" si="13"/>
        <v>550</v>
      </c>
    </row>
    <row r="714" spans="3:14" ht="12" customHeight="1">
      <c r="C714" s="231"/>
      <c r="D714" s="3900" t="s">
        <v>1423</v>
      </c>
      <c r="E714" s="3901"/>
      <c r="F714" s="3901"/>
      <c r="G714" s="3901"/>
      <c r="H714" s="3901"/>
      <c r="I714" s="3901"/>
      <c r="J714" s="232"/>
      <c r="K714" s="232"/>
      <c r="L714" s="232"/>
      <c r="N714" s="212">
        <f t="shared" si="13"/>
        <v>551</v>
      </c>
    </row>
    <row r="715" spans="3:14" ht="12" customHeight="1">
      <c r="C715" s="231"/>
      <c r="D715" s="3904"/>
      <c r="E715" s="3905"/>
      <c r="F715" s="3905"/>
      <c r="G715" s="3905"/>
      <c r="H715" s="3905"/>
      <c r="I715" s="3905"/>
      <c r="J715" s="232"/>
      <c r="K715" s="232"/>
      <c r="L715" s="232"/>
      <c r="N715" s="212">
        <f t="shared" si="13"/>
        <v>551</v>
      </c>
    </row>
    <row r="716" spans="3:14" ht="12" customHeight="1">
      <c r="C716" s="231"/>
      <c r="D716" s="3948" t="s">
        <v>1426</v>
      </c>
      <c r="E716" s="3949"/>
      <c r="F716" s="3949"/>
      <c r="G716" s="3949"/>
      <c r="H716" s="3949"/>
      <c r="I716" s="3949"/>
      <c r="J716" s="232"/>
      <c r="K716" s="232"/>
      <c r="L716" s="232"/>
      <c r="N716" s="212">
        <f t="shared" si="13"/>
        <v>552</v>
      </c>
    </row>
    <row r="717" spans="3:14" ht="12" customHeight="1">
      <c r="C717" s="231"/>
      <c r="D717" s="3900" t="s">
        <v>1427</v>
      </c>
      <c r="E717" s="3900"/>
      <c r="F717" s="3900"/>
      <c r="G717" s="3900"/>
      <c r="H717" s="3900"/>
      <c r="I717" s="3900"/>
      <c r="J717" s="3900"/>
      <c r="K717" s="3900"/>
      <c r="L717" s="232"/>
      <c r="N717" s="212">
        <f t="shared" si="13"/>
        <v>553</v>
      </c>
    </row>
    <row r="718" spans="3:14" ht="12" customHeight="1">
      <c r="C718" s="231"/>
      <c r="D718" s="3900" t="s">
        <v>1429</v>
      </c>
      <c r="E718" s="3901"/>
      <c r="F718" s="3901"/>
      <c r="G718" s="3901"/>
      <c r="H718" s="3901"/>
      <c r="I718" s="3901"/>
      <c r="J718" s="232"/>
      <c r="K718" s="232"/>
      <c r="L718" s="232"/>
      <c r="N718" s="212">
        <f t="shared" si="13"/>
        <v>554</v>
      </c>
    </row>
    <row r="719" spans="3:14" ht="12" customHeight="1">
      <c r="C719" s="231"/>
      <c r="D719" s="3900" t="s">
        <v>1428</v>
      </c>
      <c r="E719" s="3901"/>
      <c r="F719" s="3901"/>
      <c r="G719" s="3901"/>
      <c r="H719" s="3901"/>
      <c r="I719" s="3901"/>
      <c r="J719" s="232"/>
      <c r="K719" s="232"/>
      <c r="L719" s="232"/>
      <c r="N719" s="212">
        <f t="shared" si="13"/>
        <v>555</v>
      </c>
    </row>
    <row r="720" spans="3:14" ht="12" customHeight="1">
      <c r="C720" s="231"/>
      <c r="D720" s="3900" t="s">
        <v>1430</v>
      </c>
      <c r="E720" s="3901"/>
      <c r="F720" s="3901"/>
      <c r="G720" s="3901"/>
      <c r="H720" s="3901"/>
      <c r="I720" s="3901"/>
      <c r="J720" s="232"/>
      <c r="K720" s="232"/>
      <c r="L720" s="232"/>
      <c r="N720" s="212">
        <f t="shared" si="13"/>
        <v>556</v>
      </c>
    </row>
    <row r="721" spans="3:14" ht="12" customHeight="1">
      <c r="C721" s="231"/>
      <c r="D721" s="3900" t="s">
        <v>1431</v>
      </c>
      <c r="E721" s="3901"/>
      <c r="F721" s="3901"/>
      <c r="G721" s="3901"/>
      <c r="H721" s="3901"/>
      <c r="I721" s="3901"/>
      <c r="J721" s="232"/>
      <c r="K721" s="232"/>
      <c r="L721" s="232"/>
      <c r="N721" s="212">
        <f t="shared" si="13"/>
        <v>557</v>
      </c>
    </row>
    <row r="722" spans="3:14" ht="12" customHeight="1">
      <c r="C722" s="231"/>
      <c r="D722" s="3900" t="s">
        <v>1432</v>
      </c>
      <c r="E722" s="3901"/>
      <c r="F722" s="3901"/>
      <c r="G722" s="3901"/>
      <c r="H722" s="3901"/>
      <c r="I722" s="3901"/>
      <c r="J722" s="232"/>
      <c r="K722" s="232"/>
      <c r="L722" s="232"/>
      <c r="N722" s="212">
        <f t="shared" si="13"/>
        <v>558</v>
      </c>
    </row>
    <row r="723" spans="3:14" ht="12" customHeight="1">
      <c r="C723" s="231"/>
      <c r="D723" s="3900" t="s">
        <v>1433</v>
      </c>
      <c r="E723" s="3901"/>
      <c r="F723" s="3901"/>
      <c r="G723" s="3901"/>
      <c r="H723" s="3901"/>
      <c r="I723" s="3901"/>
      <c r="J723" s="232"/>
      <c r="K723" s="232"/>
      <c r="L723" s="232"/>
      <c r="N723" s="212">
        <f t="shared" si="13"/>
        <v>559</v>
      </c>
    </row>
    <row r="724" spans="3:14" ht="12" customHeight="1">
      <c r="C724" s="231"/>
      <c r="D724" s="3900" t="s">
        <v>1434</v>
      </c>
      <c r="E724" s="3901"/>
      <c r="F724" s="3901"/>
      <c r="G724" s="3901"/>
      <c r="H724" s="3901"/>
      <c r="I724" s="3901"/>
      <c r="J724" s="232"/>
      <c r="K724" s="232"/>
      <c r="L724" s="232"/>
      <c r="N724" s="212">
        <f t="shared" si="13"/>
        <v>560</v>
      </c>
    </row>
    <row r="725" spans="3:14" ht="12" customHeight="1">
      <c r="C725" s="231"/>
      <c r="D725" s="3900" t="s">
        <v>1435</v>
      </c>
      <c r="E725" s="3901"/>
      <c r="F725" s="3901"/>
      <c r="G725" s="3901"/>
      <c r="H725" s="3901"/>
      <c r="I725" s="3901"/>
      <c r="J725" s="232"/>
      <c r="K725" s="232"/>
      <c r="L725" s="232"/>
      <c r="N725" s="212">
        <f t="shared" si="13"/>
        <v>561</v>
      </c>
    </row>
    <row r="726" spans="3:14" ht="12" customHeight="1">
      <c r="C726" s="231"/>
      <c r="D726" s="3900" t="s">
        <v>1424</v>
      </c>
      <c r="E726" s="3901"/>
      <c r="F726" s="3901"/>
      <c r="G726" s="3901"/>
      <c r="H726" s="3901"/>
      <c r="I726" s="3901"/>
      <c r="J726" s="232"/>
      <c r="K726" s="232"/>
      <c r="L726" s="232"/>
      <c r="N726" s="212">
        <f t="shared" si="13"/>
        <v>562</v>
      </c>
    </row>
    <row r="727" spans="3:14" ht="12" customHeight="1">
      <c r="C727" s="231"/>
      <c r="D727" s="3900" t="s">
        <v>1436</v>
      </c>
      <c r="E727" s="3901"/>
      <c r="F727" s="3901"/>
      <c r="G727" s="3901"/>
      <c r="H727" s="3901"/>
      <c r="I727" s="3901"/>
      <c r="J727" s="232"/>
      <c r="K727" s="232"/>
      <c r="L727" s="232"/>
      <c r="N727" s="212">
        <f t="shared" si="13"/>
        <v>563</v>
      </c>
    </row>
    <row r="728" spans="3:14" ht="12" customHeight="1">
      <c r="C728" s="231"/>
      <c r="D728" s="3900" t="s">
        <v>1438</v>
      </c>
      <c r="E728" s="3901"/>
      <c r="F728" s="3901"/>
      <c r="G728" s="3901"/>
      <c r="H728" s="3901"/>
      <c r="I728" s="3901"/>
      <c r="J728" s="232"/>
      <c r="K728" s="232"/>
      <c r="L728" s="232"/>
      <c r="N728" s="212">
        <f t="shared" si="13"/>
        <v>564</v>
      </c>
    </row>
    <row r="729" spans="3:14" ht="12" customHeight="1">
      <c r="C729" s="231"/>
      <c r="D729" s="3900" t="s">
        <v>1437</v>
      </c>
      <c r="E729" s="3901"/>
      <c r="F729" s="3901"/>
      <c r="G729" s="3901"/>
      <c r="H729" s="3901"/>
      <c r="I729" s="3901"/>
      <c r="J729" s="232"/>
      <c r="K729" s="232"/>
      <c r="L729" s="232"/>
      <c r="N729" s="212">
        <f t="shared" si="13"/>
        <v>565</v>
      </c>
    </row>
    <row r="730" spans="3:14" ht="12" customHeight="1">
      <c r="C730" s="231"/>
      <c r="D730" s="3900" t="s">
        <v>1439</v>
      </c>
      <c r="E730" s="3901"/>
      <c r="F730" s="3901"/>
      <c r="G730" s="3901"/>
      <c r="H730" s="3901"/>
      <c r="I730" s="3901"/>
      <c r="J730" s="232"/>
      <c r="K730" s="232"/>
      <c r="L730" s="232"/>
      <c r="N730" s="212">
        <f t="shared" si="13"/>
        <v>566</v>
      </c>
    </row>
    <row r="731" spans="3:14" ht="12" customHeight="1">
      <c r="C731" s="231"/>
      <c r="D731" s="3900" t="s">
        <v>1425</v>
      </c>
      <c r="E731" s="3901"/>
      <c r="F731" s="3901"/>
      <c r="G731" s="3901"/>
      <c r="H731" s="3901"/>
      <c r="I731" s="3901"/>
      <c r="J731" s="232"/>
      <c r="K731" s="232"/>
      <c r="L731" s="232"/>
      <c r="N731" s="212">
        <f t="shared" si="13"/>
        <v>567</v>
      </c>
    </row>
    <row r="732" spans="3:14" ht="12" customHeight="1">
      <c r="C732" s="231"/>
      <c r="D732" s="3916"/>
      <c r="E732" s="3917"/>
      <c r="F732" s="3917"/>
      <c r="G732" s="3917"/>
      <c r="H732" s="3917"/>
      <c r="I732" s="3917"/>
      <c r="J732" s="232"/>
      <c r="K732" s="232"/>
      <c r="L732" s="232"/>
      <c r="N732" s="212">
        <f t="shared" si="13"/>
        <v>567</v>
      </c>
    </row>
    <row r="733" spans="3:14" ht="12" customHeight="1">
      <c r="C733" s="231"/>
      <c r="D733" s="3901" t="s">
        <v>1440</v>
      </c>
      <c r="E733" s="3901"/>
      <c r="F733" s="3901"/>
      <c r="G733" s="3901"/>
      <c r="H733" s="3901"/>
      <c r="I733" s="3901"/>
      <c r="J733" s="232"/>
      <c r="K733" s="232"/>
      <c r="L733" s="232"/>
      <c r="N733" s="212">
        <f t="shared" si="13"/>
        <v>568</v>
      </c>
    </row>
    <row r="734" spans="3:14" ht="12" customHeight="1">
      <c r="C734" s="231"/>
      <c r="D734" s="3900"/>
      <c r="E734" s="3901"/>
      <c r="F734" s="3901"/>
      <c r="G734" s="3901"/>
      <c r="H734" s="3901"/>
      <c r="I734" s="3901"/>
      <c r="J734" s="232"/>
      <c r="K734" s="232"/>
      <c r="L734" s="232"/>
      <c r="N734" s="212">
        <f t="shared" si="13"/>
        <v>568</v>
      </c>
    </row>
    <row r="735" spans="3:14" ht="12" customHeight="1">
      <c r="C735" s="231"/>
      <c r="D735" s="3901" t="s">
        <v>1441</v>
      </c>
      <c r="E735" s="3901"/>
      <c r="F735" s="3901"/>
      <c r="G735" s="3901"/>
      <c r="H735" s="3901"/>
      <c r="I735" s="3901"/>
      <c r="J735" s="232"/>
      <c r="K735" s="232"/>
      <c r="L735" s="232"/>
      <c r="N735" s="212">
        <f t="shared" si="13"/>
        <v>569</v>
      </c>
    </row>
    <row r="736" spans="3:14" ht="12" customHeight="1">
      <c r="C736" s="231"/>
      <c r="D736" s="3901" t="s">
        <v>1442</v>
      </c>
      <c r="E736" s="3901"/>
      <c r="F736" s="3901"/>
      <c r="G736" s="3901"/>
      <c r="H736" s="3901"/>
      <c r="I736" s="3901"/>
      <c r="J736" s="232"/>
      <c r="K736" s="232"/>
      <c r="L736" s="232"/>
      <c r="N736" s="212">
        <f t="shared" si="13"/>
        <v>570</v>
      </c>
    </row>
    <row r="737" spans="1:14" ht="12" customHeight="1">
      <c r="C737" s="231"/>
      <c r="D737" s="3900" t="s">
        <v>1445</v>
      </c>
      <c r="E737" s="3901"/>
      <c r="F737" s="3901"/>
      <c r="G737" s="3901"/>
      <c r="H737" s="3901"/>
      <c r="I737" s="3901"/>
      <c r="J737" s="232"/>
      <c r="K737" s="232"/>
      <c r="L737" s="232"/>
      <c r="N737" s="212">
        <f t="shared" si="13"/>
        <v>571</v>
      </c>
    </row>
    <row r="738" spans="1:14" ht="12" customHeight="1">
      <c r="C738" s="231"/>
      <c r="D738" s="3900" t="s">
        <v>1446</v>
      </c>
      <c r="E738" s="3901"/>
      <c r="F738" s="3901"/>
      <c r="G738" s="3901"/>
      <c r="H738" s="3901"/>
      <c r="I738" s="3901"/>
      <c r="J738" s="232"/>
      <c r="K738" s="232"/>
      <c r="L738" s="232"/>
      <c r="N738" s="212">
        <f t="shared" si="13"/>
        <v>572</v>
      </c>
    </row>
    <row r="739" spans="1:14" ht="12" customHeight="1">
      <c r="C739" s="231"/>
      <c r="D739" s="3901" t="s">
        <v>1443</v>
      </c>
      <c r="E739" s="3901"/>
      <c r="F739" s="3901"/>
      <c r="G739" s="3901"/>
      <c r="H739" s="3901"/>
      <c r="I739" s="3901"/>
      <c r="J739" s="232"/>
      <c r="K739" s="232"/>
      <c r="L739" s="232"/>
      <c r="N739" s="212">
        <f t="shared" si="13"/>
        <v>573</v>
      </c>
    </row>
    <row r="740" spans="1:14" ht="12" customHeight="1">
      <c r="C740" s="231"/>
      <c r="D740" s="3901" t="s">
        <v>822</v>
      </c>
      <c r="E740" s="3901"/>
      <c r="F740" s="3901"/>
      <c r="G740" s="3901"/>
      <c r="H740" s="3901"/>
      <c r="I740" s="3901"/>
      <c r="J740" s="232"/>
      <c r="K740" s="232"/>
      <c r="L740" s="232"/>
      <c r="N740" s="212">
        <f t="shared" si="13"/>
        <v>574</v>
      </c>
    </row>
    <row r="741" spans="1:14" ht="12" customHeight="1">
      <c r="C741" s="231"/>
      <c r="D741" s="3900" t="s">
        <v>1444</v>
      </c>
      <c r="E741" s="3901"/>
      <c r="F741" s="3901"/>
      <c r="G741" s="3901"/>
      <c r="H741" s="3901"/>
      <c r="I741" s="3901"/>
      <c r="J741" s="232"/>
      <c r="K741" s="232"/>
      <c r="L741" s="232"/>
      <c r="N741" s="212">
        <f t="shared" si="13"/>
        <v>575</v>
      </c>
    </row>
    <row r="742" spans="1:14" ht="12" customHeight="1">
      <c r="C742" s="231"/>
      <c r="D742" s="3900" t="s">
        <v>1447</v>
      </c>
      <c r="E742" s="3901"/>
      <c r="F742" s="3901"/>
      <c r="G742" s="3901"/>
      <c r="H742" s="3901"/>
      <c r="I742" s="3901"/>
      <c r="J742" s="232"/>
      <c r="K742" s="232"/>
      <c r="L742" s="232"/>
      <c r="N742" s="212">
        <f t="shared" si="13"/>
        <v>576</v>
      </c>
    </row>
    <row r="743" spans="1:14" ht="12" customHeight="1">
      <c r="C743" s="231"/>
      <c r="D743" s="3904"/>
      <c r="E743" s="3905"/>
      <c r="F743" s="3905"/>
      <c r="G743" s="3905"/>
      <c r="H743" s="3905"/>
      <c r="I743" s="3905"/>
      <c r="J743" s="232"/>
      <c r="K743" s="232"/>
      <c r="L743" s="232"/>
      <c r="N743" s="212">
        <f t="shared" si="13"/>
        <v>576</v>
      </c>
    </row>
    <row r="744" spans="1:14" ht="12" customHeight="1">
      <c r="C744" s="231"/>
      <c r="D744" s="3904"/>
      <c r="E744" s="3905"/>
      <c r="F744" s="3905"/>
      <c r="G744" s="3905"/>
      <c r="H744" s="3905"/>
      <c r="I744" s="3905"/>
      <c r="J744" s="232"/>
      <c r="K744" s="232"/>
      <c r="L744" s="232"/>
      <c r="N744" s="212">
        <f t="shared" si="13"/>
        <v>576</v>
      </c>
    </row>
    <row r="745" spans="1:14" ht="12" customHeight="1">
      <c r="C745" s="231"/>
      <c r="D745" s="3904"/>
      <c r="E745" s="3905"/>
      <c r="F745" s="3905"/>
      <c r="G745" s="3905"/>
      <c r="H745" s="3905"/>
      <c r="I745" s="3905"/>
      <c r="J745" s="232"/>
      <c r="K745" s="232"/>
      <c r="L745" s="232"/>
      <c r="N745" s="212">
        <f t="shared" si="13"/>
        <v>576</v>
      </c>
    </row>
    <row r="746" spans="1:14" ht="12" customHeight="1">
      <c r="C746" s="231"/>
      <c r="D746" s="3904"/>
      <c r="E746" s="3905"/>
      <c r="F746" s="3905"/>
      <c r="G746" s="3905"/>
      <c r="H746" s="3905"/>
      <c r="I746" s="3905"/>
      <c r="J746" s="232"/>
      <c r="K746" s="232"/>
      <c r="L746" s="232"/>
      <c r="N746" s="212">
        <f t="shared" si="13"/>
        <v>576</v>
      </c>
    </row>
    <row r="747" spans="1:14" ht="12" customHeight="1">
      <c r="C747" s="231"/>
      <c r="D747" s="3904"/>
      <c r="E747" s="3905"/>
      <c r="F747" s="3905"/>
      <c r="G747" s="3905"/>
      <c r="H747" s="3905"/>
      <c r="I747" s="3905"/>
      <c r="J747" s="232"/>
      <c r="K747" s="232"/>
      <c r="L747" s="232"/>
      <c r="N747" s="212">
        <f t="shared" si="13"/>
        <v>576</v>
      </c>
    </row>
    <row r="748" spans="1:14" ht="12" customHeight="1" thickBot="1">
      <c r="A748" s="3906"/>
      <c r="B748" s="230"/>
      <c r="C748" s="231"/>
      <c r="D748" s="3904"/>
      <c r="E748" s="3905"/>
      <c r="F748" s="3905"/>
      <c r="G748" s="3905"/>
      <c r="H748" s="3905"/>
      <c r="I748" s="3905"/>
      <c r="J748" s="232"/>
      <c r="K748" s="232"/>
      <c r="L748" s="232"/>
      <c r="N748" s="212">
        <f t="shared" si="13"/>
        <v>576</v>
      </c>
    </row>
    <row r="749" spans="1:14" ht="15" customHeight="1" thickBot="1">
      <c r="A749" s="3906"/>
      <c r="B749" s="230"/>
      <c r="C749" s="760"/>
      <c r="D749" s="3947" t="s">
        <v>741</v>
      </c>
      <c r="E749" s="3947"/>
      <c r="F749" s="3947"/>
      <c r="G749" s="3947"/>
      <c r="H749" s="3947"/>
      <c r="I749" s="3947"/>
      <c r="J749" s="232"/>
      <c r="K749" s="1710" t="s">
        <v>576</v>
      </c>
      <c r="L749" s="232"/>
      <c r="N749" s="212">
        <f t="shared" si="13"/>
        <v>577</v>
      </c>
    </row>
    <row r="750" spans="1:14" ht="12" customHeight="1" thickBot="1">
      <c r="A750" s="3906"/>
      <c r="B750" s="230"/>
      <c r="C750" s="231"/>
      <c r="D750" s="3904"/>
      <c r="E750" s="3905"/>
      <c r="F750" s="3905"/>
      <c r="G750" s="3905"/>
      <c r="H750" s="3905"/>
      <c r="I750" s="3905"/>
      <c r="J750" s="232"/>
      <c r="K750" s="1726" t="s">
        <v>551</v>
      </c>
      <c r="L750" s="232"/>
      <c r="N750" s="212">
        <f t="shared" si="13"/>
        <v>577</v>
      </c>
    </row>
    <row r="751" spans="1:14" ht="12" customHeight="1">
      <c r="A751" s="3906"/>
      <c r="B751" s="230"/>
      <c r="C751" s="231"/>
      <c r="D751" s="3900" t="s">
        <v>1450</v>
      </c>
      <c r="E751" s="3901"/>
      <c r="F751" s="3901"/>
      <c r="G751" s="3901"/>
      <c r="H751" s="3901"/>
      <c r="I751" s="3901"/>
      <c r="J751" s="232"/>
      <c r="K751" s="232"/>
      <c r="L751" s="232"/>
      <c r="N751" s="212">
        <f t="shared" si="13"/>
        <v>578</v>
      </c>
    </row>
    <row r="752" spans="1:14" ht="12" customHeight="1">
      <c r="A752" s="3906"/>
      <c r="B752" s="230"/>
      <c r="C752" s="231"/>
      <c r="D752" s="3900" t="s">
        <v>1449</v>
      </c>
      <c r="E752" s="3901"/>
      <c r="F752" s="3901"/>
      <c r="G752" s="3901"/>
      <c r="H752" s="3901"/>
      <c r="I752" s="3901"/>
      <c r="J752" s="232"/>
      <c r="K752" s="232"/>
      <c r="L752" s="232"/>
      <c r="N752" s="212">
        <f t="shared" si="13"/>
        <v>579</v>
      </c>
    </row>
    <row r="753" spans="1:14" ht="12" customHeight="1">
      <c r="A753" s="3906"/>
      <c r="B753" s="230"/>
      <c r="C753" s="231"/>
      <c r="D753" s="3900" t="s">
        <v>1448</v>
      </c>
      <c r="E753" s="3901"/>
      <c r="F753" s="3901"/>
      <c r="G753" s="3901"/>
      <c r="H753" s="3901"/>
      <c r="I753" s="3901"/>
      <c r="J753" s="232"/>
      <c r="K753" s="232"/>
      <c r="L753" s="232"/>
      <c r="N753" s="212">
        <f t="shared" si="13"/>
        <v>580</v>
      </c>
    </row>
    <row r="754" spans="1:14" ht="12" customHeight="1">
      <c r="A754" s="3906"/>
      <c r="B754" s="230"/>
      <c r="C754" s="231"/>
      <c r="D754" s="3900" t="s">
        <v>1451</v>
      </c>
      <c r="E754" s="3901"/>
      <c r="F754" s="3901"/>
      <c r="G754" s="3901"/>
      <c r="H754" s="3901"/>
      <c r="I754" s="3901"/>
      <c r="J754" s="232"/>
      <c r="K754" s="232"/>
      <c r="L754" s="232"/>
      <c r="N754" s="212">
        <f t="shared" si="13"/>
        <v>581</v>
      </c>
    </row>
    <row r="755" spans="1:14" ht="12" customHeight="1">
      <c r="A755" s="3906"/>
      <c r="B755" s="230"/>
      <c r="C755" s="231"/>
      <c r="D755" s="3912"/>
      <c r="E755" s="3913"/>
      <c r="F755" s="3913"/>
      <c r="G755" s="3913"/>
      <c r="H755" s="3913"/>
      <c r="I755" s="3913"/>
      <c r="J755" s="232"/>
      <c r="K755" s="232"/>
      <c r="L755" s="232"/>
      <c r="N755" s="212">
        <f t="shared" ref="N755:N814" si="14">IF(D755="",N754,N754+1)</f>
        <v>581</v>
      </c>
    </row>
    <row r="756" spans="1:14" ht="12" customHeight="1">
      <c r="A756" s="3906"/>
      <c r="B756" s="230"/>
      <c r="C756" s="231"/>
      <c r="D756" s="3900" t="s">
        <v>1453</v>
      </c>
      <c r="E756" s="3901"/>
      <c r="F756" s="3901"/>
      <c r="G756" s="3901"/>
      <c r="H756" s="3901"/>
      <c r="I756" s="3901"/>
      <c r="J756" s="232"/>
      <c r="K756" s="232"/>
      <c r="L756" s="232"/>
      <c r="N756" s="212">
        <f t="shared" si="14"/>
        <v>582</v>
      </c>
    </row>
    <row r="757" spans="1:14" ht="12" customHeight="1">
      <c r="A757" s="3906"/>
      <c r="B757" s="230"/>
      <c r="C757" s="231"/>
      <c r="D757" s="3900" t="s">
        <v>1452</v>
      </c>
      <c r="E757" s="3901"/>
      <c r="F757" s="3901"/>
      <c r="G757" s="3901"/>
      <c r="H757" s="3901"/>
      <c r="I757" s="3901"/>
      <c r="J757" s="232"/>
      <c r="K757" s="232"/>
      <c r="L757" s="232"/>
      <c r="N757" s="212">
        <f t="shared" si="14"/>
        <v>583</v>
      </c>
    </row>
    <row r="758" spans="1:14" ht="12" customHeight="1">
      <c r="A758" s="3906"/>
      <c r="B758" s="230"/>
      <c r="C758" s="231"/>
      <c r="D758" s="3900" t="s">
        <v>1454</v>
      </c>
      <c r="E758" s="3901"/>
      <c r="F758" s="3901"/>
      <c r="G758" s="3901"/>
      <c r="H758" s="3901"/>
      <c r="I758" s="3901"/>
      <c r="J758" s="232"/>
      <c r="K758" s="232"/>
      <c r="L758" s="232"/>
      <c r="N758" s="212">
        <f t="shared" si="14"/>
        <v>584</v>
      </c>
    </row>
    <row r="759" spans="1:14" ht="12" customHeight="1">
      <c r="A759" s="3906"/>
      <c r="B759" s="230"/>
      <c r="C759" s="231"/>
      <c r="D759" s="3948" t="s">
        <v>1455</v>
      </c>
      <c r="E759" s="3948"/>
      <c r="F759" s="3948"/>
      <c r="G759" s="3948"/>
      <c r="H759" s="3948"/>
      <c r="I759" s="3948"/>
      <c r="J759" s="3948"/>
      <c r="K759" s="3948"/>
      <c r="L759" s="232"/>
      <c r="N759" s="212">
        <f t="shared" si="14"/>
        <v>585</v>
      </c>
    </row>
    <row r="760" spans="1:14" ht="12" customHeight="1">
      <c r="A760" s="3906"/>
      <c r="B760" s="230"/>
      <c r="C760" s="231"/>
      <c r="D760" s="3900"/>
      <c r="E760" s="3901"/>
      <c r="F760" s="3901"/>
      <c r="G760" s="3901"/>
      <c r="H760" s="3901"/>
      <c r="I760" s="3901"/>
      <c r="J760" s="232"/>
      <c r="K760" s="232"/>
      <c r="L760" s="232"/>
      <c r="N760" s="212">
        <f t="shared" si="14"/>
        <v>585</v>
      </c>
    </row>
    <row r="761" spans="1:14" ht="12" customHeight="1">
      <c r="A761" s="3906"/>
      <c r="B761" s="230"/>
      <c r="C761" s="231"/>
      <c r="D761" s="3900" t="s">
        <v>1456</v>
      </c>
      <c r="E761" s="3901"/>
      <c r="F761" s="3901"/>
      <c r="G761" s="3901"/>
      <c r="H761" s="3901"/>
      <c r="I761" s="3901"/>
      <c r="J761" s="232"/>
      <c r="K761" s="232"/>
      <c r="L761" s="232"/>
      <c r="N761" s="212">
        <f t="shared" si="14"/>
        <v>586</v>
      </c>
    </row>
    <row r="762" spans="1:14" ht="12" customHeight="1">
      <c r="A762" s="3906"/>
      <c r="B762" s="230"/>
      <c r="C762" s="231"/>
      <c r="D762" s="3900" t="s">
        <v>1457</v>
      </c>
      <c r="E762" s="3901"/>
      <c r="F762" s="3901"/>
      <c r="G762" s="3901"/>
      <c r="H762" s="3901"/>
      <c r="I762" s="3901"/>
      <c r="J762" s="232"/>
      <c r="K762" s="232"/>
      <c r="L762" s="232"/>
      <c r="N762" s="212">
        <f t="shared" si="14"/>
        <v>587</v>
      </c>
    </row>
    <row r="763" spans="1:14" ht="12" customHeight="1">
      <c r="A763" s="3906"/>
      <c r="B763" s="230"/>
      <c r="C763" s="231"/>
      <c r="D763" s="3900" t="s">
        <v>1458</v>
      </c>
      <c r="E763" s="3901"/>
      <c r="F763" s="3901"/>
      <c r="G763" s="3901"/>
      <c r="H763" s="3901"/>
      <c r="I763" s="3901"/>
      <c r="J763" s="232"/>
      <c r="K763" s="232"/>
      <c r="L763" s="232"/>
      <c r="N763" s="212">
        <f t="shared" si="14"/>
        <v>588</v>
      </c>
    </row>
    <row r="764" spans="1:14" ht="12" customHeight="1">
      <c r="A764" s="3906"/>
      <c r="B764" s="230"/>
      <c r="C764" s="231"/>
      <c r="D764" s="3900" t="s">
        <v>1459</v>
      </c>
      <c r="E764" s="3901"/>
      <c r="F764" s="3901"/>
      <c r="G764" s="3901"/>
      <c r="H764" s="3901"/>
      <c r="I764" s="3901"/>
      <c r="J764" s="232"/>
      <c r="K764" s="232"/>
      <c r="L764" s="232"/>
      <c r="N764" s="212">
        <f t="shared" si="14"/>
        <v>589</v>
      </c>
    </row>
    <row r="765" spans="1:14" ht="12" customHeight="1">
      <c r="A765" s="3906"/>
      <c r="B765" s="230"/>
      <c r="C765" s="231"/>
      <c r="D765" s="744"/>
      <c r="E765" s="745"/>
      <c r="F765" s="1719"/>
      <c r="G765" s="745"/>
      <c r="H765" s="745"/>
      <c r="I765" s="745"/>
      <c r="J765" s="232"/>
      <c r="K765" s="232"/>
      <c r="L765" s="232"/>
      <c r="N765" s="212">
        <f t="shared" si="14"/>
        <v>589</v>
      </c>
    </row>
    <row r="766" spans="1:14" ht="12" customHeight="1">
      <c r="A766" s="3906"/>
      <c r="C766" s="231"/>
      <c r="D766" s="744"/>
      <c r="E766" s="745"/>
      <c r="F766" s="1719"/>
      <c r="G766" s="745"/>
      <c r="H766" s="745"/>
      <c r="I766" s="745"/>
      <c r="J766" s="232"/>
      <c r="K766" s="232"/>
      <c r="L766" s="232"/>
      <c r="N766" s="212">
        <f t="shared" si="14"/>
        <v>589</v>
      </c>
    </row>
    <row r="767" spans="1:14" ht="12" customHeight="1">
      <c r="A767" s="3906"/>
      <c r="C767" s="231"/>
      <c r="D767" s="3969" t="s">
        <v>2188</v>
      </c>
      <c r="E767" s="3970"/>
      <c r="F767" s="3970"/>
      <c r="G767" s="3970"/>
      <c r="H767" s="3970"/>
      <c r="I767" s="3970"/>
      <c r="J767" s="232"/>
      <c r="K767" s="232"/>
      <c r="L767" s="232"/>
      <c r="N767" s="212">
        <f t="shared" si="14"/>
        <v>590</v>
      </c>
    </row>
    <row r="768" spans="1:14" ht="12" customHeight="1">
      <c r="A768" s="3906"/>
      <c r="C768" s="231"/>
      <c r="D768" s="3969" t="s">
        <v>2189</v>
      </c>
      <c r="E768" s="3970"/>
      <c r="F768" s="3970"/>
      <c r="G768" s="3970"/>
      <c r="H768" s="3970"/>
      <c r="I768" s="3970"/>
      <c r="J768" s="232"/>
      <c r="K768" s="232"/>
      <c r="L768" s="232"/>
      <c r="N768" s="212">
        <f t="shared" si="14"/>
        <v>591</v>
      </c>
    </row>
    <row r="769" spans="1:14" ht="12" customHeight="1">
      <c r="A769" s="3906"/>
      <c r="C769" s="231"/>
      <c r="D769" s="3969"/>
      <c r="E769" s="3970"/>
      <c r="F769" s="3970"/>
      <c r="G769" s="3970"/>
      <c r="H769" s="3970"/>
      <c r="I769" s="3970"/>
      <c r="J769" s="232"/>
      <c r="K769" s="232"/>
      <c r="L769" s="232"/>
      <c r="N769" s="212">
        <f t="shared" si="14"/>
        <v>591</v>
      </c>
    </row>
    <row r="770" spans="1:14" ht="12" customHeight="1">
      <c r="A770" s="3906"/>
      <c r="C770" s="231"/>
      <c r="D770" s="3969" t="s">
        <v>742</v>
      </c>
      <c r="E770" s="3970"/>
      <c r="F770" s="3970"/>
      <c r="G770" s="3970"/>
      <c r="H770" s="3970"/>
      <c r="I770" s="3970"/>
      <c r="J770" s="232"/>
      <c r="K770" s="232"/>
      <c r="L770" s="232"/>
      <c r="N770" s="212">
        <f t="shared" si="14"/>
        <v>592</v>
      </c>
    </row>
    <row r="771" spans="1:14" ht="12" customHeight="1">
      <c r="A771" s="3906"/>
      <c r="C771" s="231"/>
      <c r="D771" s="3970" t="s">
        <v>1461</v>
      </c>
      <c r="E771" s="3970"/>
      <c r="F771" s="3970"/>
      <c r="G771" s="3970"/>
      <c r="H771" s="3970"/>
      <c r="I771" s="3970"/>
      <c r="J771" s="232"/>
      <c r="K771" s="232"/>
      <c r="L771" s="232"/>
      <c r="N771" s="212">
        <f t="shared" si="14"/>
        <v>593</v>
      </c>
    </row>
    <row r="772" spans="1:14" ht="12" customHeight="1">
      <c r="A772" s="3906"/>
      <c r="C772" s="231"/>
      <c r="D772" s="3969" t="s">
        <v>1465</v>
      </c>
      <c r="E772" s="3970"/>
      <c r="F772" s="3970"/>
      <c r="G772" s="3970"/>
      <c r="H772" s="3970"/>
      <c r="I772" s="3970"/>
      <c r="J772" s="232"/>
      <c r="K772" s="232"/>
      <c r="L772" s="232"/>
      <c r="N772" s="212">
        <f t="shared" si="14"/>
        <v>594</v>
      </c>
    </row>
    <row r="773" spans="1:14" ht="12" customHeight="1">
      <c r="A773" s="3906"/>
      <c r="C773" s="231"/>
      <c r="D773" s="3969" t="s">
        <v>1466</v>
      </c>
      <c r="E773" s="3970"/>
      <c r="F773" s="3970"/>
      <c r="G773" s="3970"/>
      <c r="H773" s="3970"/>
      <c r="I773" s="3970"/>
      <c r="J773" s="232"/>
      <c r="K773" s="232"/>
      <c r="L773" s="232"/>
      <c r="N773" s="212">
        <f t="shared" si="14"/>
        <v>595</v>
      </c>
    </row>
    <row r="774" spans="1:14" ht="12" customHeight="1">
      <c r="A774" s="3906"/>
      <c r="C774" s="231"/>
      <c r="D774" s="3969" t="s">
        <v>1462</v>
      </c>
      <c r="E774" s="3970"/>
      <c r="F774" s="3970"/>
      <c r="G774" s="3970"/>
      <c r="H774" s="3970"/>
      <c r="I774" s="3970"/>
      <c r="J774" s="232"/>
      <c r="K774" s="232"/>
      <c r="L774" s="232"/>
      <c r="N774" s="212">
        <f t="shared" si="14"/>
        <v>596</v>
      </c>
    </row>
    <row r="775" spans="1:14" ht="12" customHeight="1">
      <c r="C775" s="231"/>
      <c r="D775" s="3969" t="s">
        <v>1464</v>
      </c>
      <c r="E775" s="3970"/>
      <c r="F775" s="3970"/>
      <c r="G775" s="3970"/>
      <c r="H775" s="3970"/>
      <c r="I775" s="3970"/>
      <c r="J775" s="232"/>
      <c r="K775" s="232"/>
      <c r="L775" s="232"/>
      <c r="N775" s="212">
        <f t="shared" si="14"/>
        <v>597</v>
      </c>
    </row>
    <row r="776" spans="1:14" ht="12" customHeight="1">
      <c r="C776" s="231"/>
      <c r="D776" s="3969" t="s">
        <v>1463</v>
      </c>
      <c r="E776" s="3970"/>
      <c r="F776" s="3970"/>
      <c r="G776" s="3970"/>
      <c r="H776" s="3970"/>
      <c r="I776" s="3970"/>
      <c r="J776" s="232"/>
      <c r="K776" s="232"/>
      <c r="L776" s="232"/>
      <c r="N776" s="212">
        <f t="shared" si="14"/>
        <v>598</v>
      </c>
    </row>
    <row r="777" spans="1:14" ht="12" customHeight="1">
      <c r="C777" s="231"/>
      <c r="D777" s="3969"/>
      <c r="E777" s="3970"/>
      <c r="F777" s="3970"/>
      <c r="G777" s="3970"/>
      <c r="H777" s="3970"/>
      <c r="I777" s="3970"/>
      <c r="J777" s="232"/>
      <c r="K777" s="232"/>
      <c r="L777" s="232"/>
      <c r="N777" s="212">
        <f t="shared" si="14"/>
        <v>598</v>
      </c>
    </row>
    <row r="778" spans="1:14" ht="12" customHeight="1">
      <c r="C778" s="231"/>
      <c r="D778" s="3969" t="s">
        <v>743</v>
      </c>
      <c r="E778" s="3970"/>
      <c r="F778" s="3970"/>
      <c r="G778" s="3970"/>
      <c r="H778" s="3970"/>
      <c r="I778" s="3970"/>
      <c r="J778" s="232"/>
      <c r="K778" s="232"/>
      <c r="L778" s="232"/>
      <c r="N778" s="212">
        <f t="shared" si="14"/>
        <v>599</v>
      </c>
    </row>
    <row r="779" spans="1:14" ht="12" customHeight="1">
      <c r="C779" s="231"/>
      <c r="D779" s="3969" t="s">
        <v>1460</v>
      </c>
      <c r="E779" s="3970"/>
      <c r="F779" s="3970"/>
      <c r="G779" s="3970"/>
      <c r="H779" s="3970"/>
      <c r="I779" s="3970"/>
      <c r="J779" s="232"/>
      <c r="K779" s="232"/>
      <c r="L779" s="232"/>
      <c r="N779" s="212">
        <f t="shared" si="14"/>
        <v>600</v>
      </c>
    </row>
    <row r="780" spans="1:14" ht="12" customHeight="1">
      <c r="C780" s="231"/>
      <c r="D780" s="3969" t="s">
        <v>1467</v>
      </c>
      <c r="E780" s="3970"/>
      <c r="F780" s="3970"/>
      <c r="G780" s="3970"/>
      <c r="H780" s="3970"/>
      <c r="I780" s="3970"/>
      <c r="J780" s="232"/>
      <c r="K780" s="232"/>
      <c r="L780" s="232"/>
      <c r="N780" s="212">
        <f t="shared" si="14"/>
        <v>601</v>
      </c>
    </row>
    <row r="781" spans="1:14" ht="12" customHeight="1">
      <c r="C781" s="231"/>
      <c r="D781" s="3969" t="s">
        <v>1468</v>
      </c>
      <c r="E781" s="3970"/>
      <c r="F781" s="3970"/>
      <c r="G781" s="3970"/>
      <c r="H781" s="3970"/>
      <c r="I781" s="3970"/>
      <c r="J781" s="232"/>
      <c r="K781" s="232"/>
      <c r="L781" s="232"/>
      <c r="N781" s="212">
        <f t="shared" si="14"/>
        <v>602</v>
      </c>
    </row>
    <row r="782" spans="1:14" ht="12" customHeight="1">
      <c r="C782" s="231"/>
      <c r="D782" s="3969" t="s">
        <v>1469</v>
      </c>
      <c r="E782" s="3970"/>
      <c r="F782" s="3970"/>
      <c r="G782" s="3970"/>
      <c r="H782" s="3970"/>
      <c r="I782" s="3970"/>
      <c r="J782" s="232"/>
      <c r="K782" s="232"/>
      <c r="L782" s="232"/>
      <c r="N782" s="212">
        <f t="shared" si="14"/>
        <v>603</v>
      </c>
    </row>
    <row r="783" spans="1:14" ht="12" customHeight="1">
      <c r="C783" s="231"/>
      <c r="D783" s="3969"/>
      <c r="E783" s="3970"/>
      <c r="F783" s="3970"/>
      <c r="G783" s="3970"/>
      <c r="H783" s="3970"/>
      <c r="I783" s="3970"/>
      <c r="J783" s="232"/>
      <c r="K783" s="232"/>
      <c r="L783" s="232"/>
      <c r="N783" s="212">
        <f t="shared" si="14"/>
        <v>603</v>
      </c>
    </row>
    <row r="784" spans="1:14" ht="12" customHeight="1">
      <c r="C784" s="231"/>
      <c r="D784" s="3969" t="s">
        <v>744</v>
      </c>
      <c r="E784" s="3970"/>
      <c r="F784" s="3970"/>
      <c r="G784" s="3970"/>
      <c r="H784" s="3970"/>
      <c r="I784" s="3970"/>
      <c r="J784" s="232"/>
      <c r="K784" s="232"/>
      <c r="L784" s="232"/>
      <c r="N784" s="212">
        <f t="shared" si="14"/>
        <v>604</v>
      </c>
    </row>
    <row r="785" spans="1:14" ht="12" customHeight="1">
      <c r="C785" s="231"/>
      <c r="D785" s="3969" t="s">
        <v>1473</v>
      </c>
      <c r="E785" s="3970"/>
      <c r="F785" s="3970"/>
      <c r="G785" s="3970"/>
      <c r="H785" s="3970"/>
      <c r="I785" s="3970"/>
      <c r="J785" s="232"/>
      <c r="K785" s="232"/>
      <c r="L785" s="232"/>
      <c r="N785" s="212">
        <f t="shared" si="14"/>
        <v>605</v>
      </c>
    </row>
    <row r="786" spans="1:14" ht="12" customHeight="1">
      <c r="C786" s="231"/>
      <c r="D786" s="3969" t="s">
        <v>1474</v>
      </c>
      <c r="E786" s="3970"/>
      <c r="F786" s="3970"/>
      <c r="G786" s="3970"/>
      <c r="H786" s="3970"/>
      <c r="I786" s="3970"/>
      <c r="J786" s="232"/>
      <c r="K786" s="232"/>
      <c r="L786" s="232"/>
      <c r="N786" s="212">
        <f t="shared" si="14"/>
        <v>606</v>
      </c>
    </row>
    <row r="787" spans="1:14" ht="12" customHeight="1">
      <c r="C787" s="231"/>
      <c r="D787" s="3969" t="s">
        <v>745</v>
      </c>
      <c r="E787" s="3970"/>
      <c r="F787" s="3970"/>
      <c r="G787" s="3970"/>
      <c r="H787" s="3970"/>
      <c r="I787" s="3970"/>
      <c r="J787" s="232"/>
      <c r="K787" s="232"/>
      <c r="L787" s="232"/>
      <c r="N787" s="212">
        <f t="shared" si="14"/>
        <v>607</v>
      </c>
    </row>
    <row r="788" spans="1:14" ht="12" customHeight="1">
      <c r="C788" s="231"/>
      <c r="D788" s="3969" t="s">
        <v>746</v>
      </c>
      <c r="E788" s="3970"/>
      <c r="F788" s="3970"/>
      <c r="G788" s="3970"/>
      <c r="H788" s="3970"/>
      <c r="I788" s="3970"/>
      <c r="J788" s="232"/>
      <c r="K788" s="232"/>
      <c r="L788" s="232"/>
      <c r="N788" s="212">
        <f t="shared" si="14"/>
        <v>608</v>
      </c>
    </row>
    <row r="789" spans="1:14" ht="12" customHeight="1">
      <c r="C789" s="231"/>
      <c r="D789" s="3969" t="s">
        <v>1470</v>
      </c>
      <c r="E789" s="3970"/>
      <c r="F789" s="3970"/>
      <c r="G789" s="3970"/>
      <c r="H789" s="3970"/>
      <c r="I789" s="3970"/>
      <c r="J789" s="232"/>
      <c r="K789" s="232"/>
      <c r="L789" s="232"/>
      <c r="N789" s="212">
        <f t="shared" si="14"/>
        <v>609</v>
      </c>
    </row>
    <row r="790" spans="1:14" ht="12" customHeight="1">
      <c r="C790" s="231"/>
      <c r="D790" s="3969" t="s">
        <v>1471</v>
      </c>
      <c r="E790" s="3970"/>
      <c r="F790" s="3970"/>
      <c r="G790" s="3970"/>
      <c r="H790" s="3970"/>
      <c r="I790" s="3970"/>
      <c r="J790" s="232"/>
      <c r="K790" s="232"/>
      <c r="L790" s="232"/>
      <c r="N790" s="212">
        <f t="shared" si="14"/>
        <v>610</v>
      </c>
    </row>
    <row r="791" spans="1:14" ht="12" customHeight="1">
      <c r="C791" s="231"/>
      <c r="D791" s="3969" t="s">
        <v>1472</v>
      </c>
      <c r="E791" s="3970"/>
      <c r="F791" s="3970"/>
      <c r="G791" s="3970"/>
      <c r="H791" s="3970"/>
      <c r="I791" s="3970"/>
      <c r="J791" s="232"/>
      <c r="K791" s="232"/>
      <c r="L791" s="232"/>
      <c r="N791" s="212">
        <f t="shared" si="14"/>
        <v>611</v>
      </c>
    </row>
    <row r="792" spans="1:14" ht="12" customHeight="1">
      <c r="C792" s="231"/>
      <c r="D792" s="3969"/>
      <c r="E792" s="3970"/>
      <c r="F792" s="3970"/>
      <c r="G792" s="3970"/>
      <c r="H792" s="3970"/>
      <c r="I792" s="3970"/>
      <c r="J792" s="232"/>
      <c r="K792" s="232"/>
      <c r="L792" s="232"/>
      <c r="N792" s="212">
        <f t="shared" si="14"/>
        <v>611</v>
      </c>
    </row>
    <row r="793" spans="1:14" ht="12" customHeight="1">
      <c r="C793" s="231"/>
      <c r="D793" s="3969" t="s">
        <v>1475</v>
      </c>
      <c r="E793" s="3970"/>
      <c r="F793" s="3970"/>
      <c r="G793" s="3970"/>
      <c r="H793" s="3970"/>
      <c r="I793" s="3970"/>
      <c r="J793" s="232"/>
      <c r="K793" s="232"/>
      <c r="L793" s="232"/>
      <c r="N793" s="212">
        <f t="shared" si="14"/>
        <v>612</v>
      </c>
    </row>
    <row r="794" spans="1:14" ht="12" customHeight="1">
      <c r="C794" s="231"/>
      <c r="D794" s="3904"/>
      <c r="E794" s="3905"/>
      <c r="F794" s="3905"/>
      <c r="G794" s="3905"/>
      <c r="H794" s="3905"/>
      <c r="I794" s="3905"/>
      <c r="J794" s="232"/>
      <c r="K794" s="232"/>
      <c r="L794" s="232"/>
      <c r="N794" s="212">
        <f t="shared" si="14"/>
        <v>612</v>
      </c>
    </row>
    <row r="795" spans="1:14" ht="12" customHeight="1">
      <c r="C795" s="231"/>
      <c r="D795" s="3900" t="s">
        <v>1476</v>
      </c>
      <c r="E795" s="3901"/>
      <c r="F795" s="3901"/>
      <c r="G795" s="3901"/>
      <c r="H795" s="3901"/>
      <c r="I795" s="3901"/>
      <c r="J795" s="232"/>
      <c r="K795" s="232"/>
      <c r="L795" s="232"/>
      <c r="N795" s="212">
        <f t="shared" si="14"/>
        <v>613</v>
      </c>
    </row>
    <row r="796" spans="1:14" ht="12" customHeight="1">
      <c r="C796" s="231"/>
      <c r="D796" s="3900" t="s">
        <v>747</v>
      </c>
      <c r="E796" s="3901"/>
      <c r="F796" s="3901"/>
      <c r="G796" s="3901"/>
      <c r="H796" s="3901"/>
      <c r="I796" s="3901"/>
      <c r="J796" s="232"/>
      <c r="K796" s="232"/>
      <c r="L796" s="232"/>
      <c r="N796" s="212">
        <f t="shared" si="14"/>
        <v>614</v>
      </c>
    </row>
    <row r="797" spans="1:14" ht="12" customHeight="1">
      <c r="C797" s="231"/>
      <c r="D797" s="3904"/>
      <c r="E797" s="3905"/>
      <c r="F797" s="3905"/>
      <c r="G797" s="3905"/>
      <c r="H797" s="3905"/>
      <c r="I797" s="3905"/>
      <c r="J797" s="232"/>
      <c r="K797" s="232"/>
      <c r="L797" s="232"/>
      <c r="N797" s="212">
        <f t="shared" si="14"/>
        <v>614</v>
      </c>
    </row>
    <row r="798" spans="1:14" ht="12" customHeight="1">
      <c r="C798" s="231"/>
      <c r="D798" s="3904"/>
      <c r="E798" s="3905"/>
      <c r="F798" s="3905"/>
      <c r="G798" s="3905"/>
      <c r="H798" s="3905"/>
      <c r="I798" s="3905"/>
      <c r="J798" s="232"/>
      <c r="K798" s="232"/>
      <c r="L798" s="232"/>
      <c r="N798" s="212">
        <f t="shared" si="14"/>
        <v>614</v>
      </c>
    </row>
    <row r="799" spans="1:14" ht="12" customHeight="1">
      <c r="C799" s="231"/>
      <c r="D799" s="3904"/>
      <c r="E799" s="3905"/>
      <c r="F799" s="3905"/>
      <c r="G799" s="3905"/>
      <c r="H799" s="3905"/>
      <c r="I799" s="3905"/>
      <c r="J799" s="232"/>
      <c r="K799" s="232"/>
      <c r="L799" s="232"/>
      <c r="N799" s="212">
        <f t="shared" si="14"/>
        <v>614</v>
      </c>
    </row>
    <row r="800" spans="1:14" ht="12" customHeight="1" thickBot="1">
      <c r="A800" s="3906"/>
      <c r="C800" s="231"/>
      <c r="D800" s="3904"/>
      <c r="E800" s="3905"/>
      <c r="F800" s="3905"/>
      <c r="G800" s="3905"/>
      <c r="H800" s="3905"/>
      <c r="I800" s="3905"/>
      <c r="J800" s="232"/>
      <c r="K800" s="232"/>
      <c r="L800" s="232"/>
      <c r="N800" s="212">
        <f t="shared" si="14"/>
        <v>614</v>
      </c>
    </row>
    <row r="801" spans="1:14" ht="15" customHeight="1" thickBot="1">
      <c r="A801" s="3906"/>
      <c r="C801" s="760"/>
      <c r="D801" s="3947" t="s">
        <v>748</v>
      </c>
      <c r="E801" s="3947"/>
      <c r="F801" s="3947"/>
      <c r="G801" s="3947"/>
      <c r="H801" s="3947"/>
      <c r="I801" s="3947"/>
      <c r="J801" s="232"/>
      <c r="K801" s="197" t="s">
        <v>576</v>
      </c>
      <c r="L801" s="232"/>
      <c r="N801" s="212">
        <f t="shared" si="14"/>
        <v>615</v>
      </c>
    </row>
    <row r="802" spans="1:14" ht="12" customHeight="1" thickBot="1">
      <c r="A802" s="3906"/>
      <c r="C802" s="231"/>
      <c r="D802" s="3916"/>
      <c r="E802" s="3917"/>
      <c r="F802" s="3917"/>
      <c r="G802" s="3917"/>
      <c r="H802" s="3917"/>
      <c r="I802" s="3917"/>
      <c r="J802" s="232"/>
      <c r="K802" s="1726" t="s">
        <v>551</v>
      </c>
      <c r="L802" s="232"/>
      <c r="N802" s="212">
        <f t="shared" si="14"/>
        <v>615</v>
      </c>
    </row>
    <row r="803" spans="1:14" ht="12" customHeight="1">
      <c r="A803" s="3906"/>
      <c r="C803" s="231"/>
      <c r="D803" s="3912" t="s">
        <v>1477</v>
      </c>
      <c r="E803" s="3913"/>
      <c r="F803" s="3913"/>
      <c r="G803" s="3913"/>
      <c r="H803" s="3913"/>
      <c r="I803" s="3913"/>
      <c r="J803" s="232"/>
      <c r="K803" s="232"/>
      <c r="L803" s="232"/>
      <c r="N803" s="212">
        <f t="shared" si="14"/>
        <v>616</v>
      </c>
    </row>
    <row r="804" spans="1:14" ht="12" customHeight="1">
      <c r="A804" s="3906"/>
      <c r="C804" s="231"/>
      <c r="D804" s="3900" t="s">
        <v>1479</v>
      </c>
      <c r="E804" s="3901"/>
      <c r="F804" s="3901"/>
      <c r="G804" s="3901"/>
      <c r="H804" s="3901"/>
      <c r="I804" s="3901"/>
      <c r="J804" s="232"/>
      <c r="K804" s="232"/>
      <c r="L804" s="232"/>
      <c r="N804" s="212">
        <f t="shared" si="14"/>
        <v>617</v>
      </c>
    </row>
    <row r="805" spans="1:14" ht="12" customHeight="1">
      <c r="A805" s="3906"/>
      <c r="C805" s="231"/>
      <c r="D805" s="3912" t="s">
        <v>1478</v>
      </c>
      <c r="E805" s="3913"/>
      <c r="F805" s="3913"/>
      <c r="G805" s="3913"/>
      <c r="H805" s="3913"/>
      <c r="I805" s="3913"/>
      <c r="J805" s="232"/>
      <c r="K805" s="232"/>
      <c r="L805" s="232"/>
      <c r="N805" s="212">
        <f t="shared" si="14"/>
        <v>618</v>
      </c>
    </row>
    <row r="806" spans="1:14" ht="12" customHeight="1">
      <c r="A806" s="3906"/>
      <c r="C806" s="231"/>
      <c r="D806" s="3900" t="s">
        <v>1480</v>
      </c>
      <c r="E806" s="3901"/>
      <c r="F806" s="3901"/>
      <c r="G806" s="3901"/>
      <c r="H806" s="3901"/>
      <c r="I806" s="3901"/>
      <c r="J806" s="232"/>
      <c r="K806" s="232"/>
      <c r="L806" s="232"/>
      <c r="N806" s="212">
        <f t="shared" si="14"/>
        <v>619</v>
      </c>
    </row>
    <row r="807" spans="1:14" ht="12" customHeight="1">
      <c r="A807" s="3906"/>
      <c r="C807" s="231"/>
      <c r="D807" s="3900"/>
      <c r="E807" s="3901"/>
      <c r="F807" s="3901"/>
      <c r="G807" s="3901"/>
      <c r="H807" s="3901"/>
      <c r="I807" s="3901"/>
      <c r="J807" s="232"/>
      <c r="K807" s="232"/>
      <c r="L807" s="232"/>
      <c r="N807" s="212">
        <f t="shared" si="14"/>
        <v>619</v>
      </c>
    </row>
    <row r="808" spans="1:14" ht="12" customHeight="1">
      <c r="A808" s="3906"/>
      <c r="C808" s="231"/>
      <c r="D808" s="3948" t="s">
        <v>1481</v>
      </c>
      <c r="E808" s="3949"/>
      <c r="F808" s="3949"/>
      <c r="G808" s="3949"/>
      <c r="H808" s="3949"/>
      <c r="I808" s="3949"/>
      <c r="J808" s="232"/>
      <c r="K808" s="232"/>
      <c r="L808" s="232"/>
      <c r="N808" s="212">
        <f t="shared" si="14"/>
        <v>620</v>
      </c>
    </row>
    <row r="809" spans="1:14" ht="12" customHeight="1">
      <c r="A809" s="3906"/>
      <c r="C809" s="231"/>
      <c r="D809" s="3900"/>
      <c r="E809" s="3901"/>
      <c r="F809" s="3901"/>
      <c r="G809" s="3901"/>
      <c r="H809" s="3901"/>
      <c r="I809" s="3901"/>
      <c r="J809" s="232"/>
      <c r="K809" s="232"/>
      <c r="L809" s="232"/>
      <c r="N809" s="212">
        <f t="shared" si="14"/>
        <v>620</v>
      </c>
    </row>
    <row r="810" spans="1:14" ht="12" customHeight="1">
      <c r="A810" s="3906"/>
      <c r="C810" s="231"/>
      <c r="D810" s="3948" t="s">
        <v>1482</v>
      </c>
      <c r="E810" s="3948"/>
      <c r="F810" s="3948"/>
      <c r="G810" s="3948"/>
      <c r="H810" s="3948"/>
      <c r="I810" s="3948"/>
      <c r="J810" s="3948"/>
      <c r="K810" s="3948"/>
      <c r="L810" s="232"/>
      <c r="N810" s="212">
        <f t="shared" si="14"/>
        <v>621</v>
      </c>
    </row>
    <row r="811" spans="1:14" ht="12" customHeight="1">
      <c r="A811" s="3906"/>
      <c r="C811" s="231"/>
      <c r="D811" s="3900" t="s">
        <v>749</v>
      </c>
      <c r="E811" s="3901"/>
      <c r="F811" s="3901"/>
      <c r="G811" s="3901"/>
      <c r="H811" s="3901"/>
      <c r="I811" s="3901"/>
      <c r="J811" s="232"/>
      <c r="K811" s="232"/>
      <c r="L811" s="232"/>
      <c r="N811" s="212">
        <f t="shared" si="14"/>
        <v>622</v>
      </c>
    </row>
    <row r="812" spans="1:14" ht="12" customHeight="1">
      <c r="A812" s="3906"/>
      <c r="C812" s="231"/>
      <c r="D812" s="3900"/>
      <c r="E812" s="3901"/>
      <c r="F812" s="3901"/>
      <c r="G812" s="3901"/>
      <c r="H812" s="3901"/>
      <c r="I812" s="3901"/>
      <c r="J812" s="232"/>
      <c r="K812" s="232"/>
      <c r="L812" s="232"/>
      <c r="N812" s="212">
        <f t="shared" si="14"/>
        <v>622</v>
      </c>
    </row>
    <row r="813" spans="1:14" ht="12" customHeight="1">
      <c r="A813" s="3906"/>
      <c r="C813" s="231"/>
      <c r="D813" s="3948" t="s">
        <v>750</v>
      </c>
      <c r="E813" s="3949"/>
      <c r="F813" s="3949"/>
      <c r="G813" s="3949"/>
      <c r="H813" s="3949"/>
      <c r="I813" s="3949"/>
      <c r="J813" s="232"/>
      <c r="K813" s="232"/>
      <c r="L813" s="232"/>
      <c r="N813" s="212">
        <f t="shared" si="14"/>
        <v>623</v>
      </c>
    </row>
    <row r="814" spans="1:14" ht="12" customHeight="1">
      <c r="A814" s="3906"/>
      <c r="C814" s="231"/>
      <c r="D814" s="3900" t="s">
        <v>1483</v>
      </c>
      <c r="E814" s="3900"/>
      <c r="F814" s="3900"/>
      <c r="G814" s="3900"/>
      <c r="H814" s="3900"/>
      <c r="I814" s="3900"/>
      <c r="J814" s="3900"/>
      <c r="K814" s="3900"/>
      <c r="L814" s="232"/>
      <c r="N814" s="212">
        <f t="shared" si="14"/>
        <v>624</v>
      </c>
    </row>
    <row r="815" spans="1:14" ht="12" customHeight="1">
      <c r="A815" s="3906"/>
      <c r="C815" s="231"/>
      <c r="D815" s="3900" t="s">
        <v>751</v>
      </c>
      <c r="E815" s="3901"/>
      <c r="F815" s="3901"/>
      <c r="G815" s="3901"/>
      <c r="H815" s="3901"/>
      <c r="I815" s="3901"/>
      <c r="J815" s="232"/>
      <c r="K815" s="232"/>
      <c r="L815" s="232"/>
      <c r="N815" s="212">
        <f t="shared" ref="N815:N884" si="15">IF(D815="",N814,N814+1)</f>
        <v>625</v>
      </c>
    </row>
    <row r="816" spans="1:14" ht="12" customHeight="1">
      <c r="A816" s="3906"/>
      <c r="C816" s="231"/>
      <c r="D816" s="3900" t="s">
        <v>1484</v>
      </c>
      <c r="E816" s="3900"/>
      <c r="F816" s="3900"/>
      <c r="G816" s="3900"/>
      <c r="H816" s="3900"/>
      <c r="I816" s="3900"/>
      <c r="J816" s="3900"/>
      <c r="K816" s="3900"/>
      <c r="L816" s="232"/>
      <c r="N816" s="212">
        <f t="shared" si="15"/>
        <v>626</v>
      </c>
    </row>
    <row r="817" spans="1:14" ht="12" customHeight="1">
      <c r="A817" s="3906"/>
      <c r="C817" s="231"/>
      <c r="D817" s="3900" t="s">
        <v>1485</v>
      </c>
      <c r="E817" s="3900"/>
      <c r="F817" s="3900"/>
      <c r="G817" s="3900"/>
      <c r="H817" s="3900"/>
      <c r="I817" s="3900"/>
      <c r="J817" s="3900"/>
      <c r="K817" s="3900"/>
      <c r="L817" s="232"/>
      <c r="N817" s="212">
        <f t="shared" si="15"/>
        <v>627</v>
      </c>
    </row>
    <row r="818" spans="1:14" ht="12" customHeight="1">
      <c r="A818" s="3906"/>
      <c r="C818" s="231"/>
      <c r="D818" s="3900" t="s">
        <v>1486</v>
      </c>
      <c r="E818" s="3900"/>
      <c r="F818" s="3900"/>
      <c r="G818" s="3900"/>
      <c r="H818" s="3900"/>
      <c r="I818" s="3900"/>
      <c r="J818" s="3900"/>
      <c r="K818" s="3900"/>
      <c r="L818" s="232"/>
      <c r="N818" s="212">
        <f t="shared" si="15"/>
        <v>628</v>
      </c>
    </row>
    <row r="819" spans="1:14" ht="12" customHeight="1">
      <c r="A819" s="3906"/>
      <c r="C819" s="231"/>
      <c r="D819" s="3900" t="s">
        <v>1487</v>
      </c>
      <c r="E819" s="3901"/>
      <c r="F819" s="3901"/>
      <c r="G819" s="3901"/>
      <c r="H819" s="3901"/>
      <c r="I819" s="3901"/>
      <c r="J819" s="232"/>
      <c r="K819" s="232"/>
      <c r="L819" s="232"/>
      <c r="N819" s="212">
        <f t="shared" si="15"/>
        <v>629</v>
      </c>
    </row>
    <row r="820" spans="1:14" ht="12" customHeight="1">
      <c r="A820" s="3906"/>
      <c r="C820" s="231"/>
      <c r="D820" s="3900"/>
      <c r="E820" s="3901"/>
      <c r="F820" s="3901"/>
      <c r="G820" s="3901"/>
      <c r="H820" s="3901"/>
      <c r="I820" s="3901"/>
      <c r="J820" s="232"/>
      <c r="K820" s="232"/>
      <c r="L820" s="232"/>
      <c r="N820" s="212">
        <f t="shared" si="15"/>
        <v>629</v>
      </c>
    </row>
    <row r="821" spans="1:14" ht="12" customHeight="1">
      <c r="A821" s="3906"/>
      <c r="C821" s="231"/>
      <c r="D821" s="3948" t="s">
        <v>752</v>
      </c>
      <c r="E821" s="3949"/>
      <c r="F821" s="3949"/>
      <c r="G821" s="3949"/>
      <c r="H821" s="3949"/>
      <c r="I821" s="3949"/>
      <c r="J821" s="232"/>
      <c r="K821" s="232"/>
      <c r="L821" s="232"/>
      <c r="N821" s="212">
        <f t="shared" si="15"/>
        <v>630</v>
      </c>
    </row>
    <row r="822" spans="1:14" ht="12" customHeight="1">
      <c r="A822" s="3906"/>
      <c r="C822" s="231"/>
      <c r="D822" s="3900" t="s">
        <v>1488</v>
      </c>
      <c r="E822" s="3901"/>
      <c r="F822" s="3901"/>
      <c r="G822" s="3901"/>
      <c r="H822" s="3901"/>
      <c r="I822" s="3901"/>
      <c r="J822" s="232"/>
      <c r="K822" s="232"/>
      <c r="L822" s="232"/>
      <c r="N822" s="212">
        <f t="shared" si="15"/>
        <v>631</v>
      </c>
    </row>
    <row r="823" spans="1:14" ht="12" customHeight="1">
      <c r="A823" s="3906"/>
      <c r="C823" s="231"/>
      <c r="D823" s="3900" t="s">
        <v>1489</v>
      </c>
      <c r="E823" s="3900"/>
      <c r="F823" s="3900"/>
      <c r="G823" s="3900"/>
      <c r="H823" s="3900"/>
      <c r="I823" s="3900"/>
      <c r="J823" s="3900"/>
      <c r="K823" s="3900"/>
      <c r="L823" s="232"/>
      <c r="N823" s="212">
        <f t="shared" si="15"/>
        <v>632</v>
      </c>
    </row>
    <row r="824" spans="1:14" ht="12" customHeight="1">
      <c r="A824" s="3906"/>
      <c r="C824" s="231"/>
      <c r="D824" s="3900" t="s">
        <v>1490</v>
      </c>
      <c r="E824" s="3901"/>
      <c r="F824" s="3901"/>
      <c r="G824" s="3901"/>
      <c r="H824" s="3901"/>
      <c r="I824" s="3901"/>
      <c r="J824" s="232"/>
      <c r="K824" s="232"/>
      <c r="L824" s="232"/>
      <c r="N824" s="212">
        <f t="shared" si="15"/>
        <v>633</v>
      </c>
    </row>
    <row r="825" spans="1:14" ht="12" customHeight="1">
      <c r="A825" s="3906"/>
      <c r="C825" s="231"/>
      <c r="D825" s="3900" t="s">
        <v>1491</v>
      </c>
      <c r="E825" s="3900"/>
      <c r="F825" s="3900"/>
      <c r="G825" s="3900"/>
      <c r="H825" s="3900"/>
      <c r="I825" s="3900"/>
      <c r="J825" s="3900"/>
      <c r="K825" s="3900"/>
      <c r="L825" s="232"/>
      <c r="N825" s="212">
        <f t="shared" si="15"/>
        <v>634</v>
      </c>
    </row>
    <row r="826" spans="1:14" ht="12" customHeight="1">
      <c r="A826" s="3906"/>
      <c r="C826" s="231"/>
      <c r="D826" s="3900" t="s">
        <v>1492</v>
      </c>
      <c r="E826" s="3901"/>
      <c r="F826" s="3901"/>
      <c r="G826" s="3901"/>
      <c r="H826" s="3901"/>
      <c r="I826" s="3901"/>
      <c r="J826" s="232"/>
      <c r="K826" s="232"/>
      <c r="L826" s="232"/>
      <c r="N826" s="212">
        <f t="shared" si="15"/>
        <v>635</v>
      </c>
    </row>
    <row r="827" spans="1:14" ht="12" customHeight="1">
      <c r="C827" s="231"/>
      <c r="D827" s="3900"/>
      <c r="E827" s="3901"/>
      <c r="F827" s="3901"/>
      <c r="G827" s="3901"/>
      <c r="H827" s="3901"/>
      <c r="I827" s="3901"/>
      <c r="J827" s="232"/>
      <c r="K827" s="232"/>
      <c r="L827" s="232"/>
      <c r="N827" s="212">
        <f t="shared" si="15"/>
        <v>635</v>
      </c>
    </row>
    <row r="828" spans="1:14" ht="12" customHeight="1">
      <c r="C828" s="231"/>
      <c r="D828" s="3948" t="s">
        <v>753</v>
      </c>
      <c r="E828" s="3949"/>
      <c r="F828" s="3949"/>
      <c r="G828" s="3949"/>
      <c r="H828" s="3949"/>
      <c r="I828" s="3949"/>
      <c r="J828" s="232"/>
      <c r="K828" s="232"/>
      <c r="L828" s="232"/>
      <c r="N828" s="212">
        <f t="shared" si="15"/>
        <v>636</v>
      </c>
    </row>
    <row r="829" spans="1:14" ht="12" customHeight="1">
      <c r="C829" s="231"/>
      <c r="D829" s="3900" t="s">
        <v>754</v>
      </c>
      <c r="E829" s="3901"/>
      <c r="F829" s="3901"/>
      <c r="G829" s="3901"/>
      <c r="H829" s="3901"/>
      <c r="I829" s="3901"/>
      <c r="J829" s="232"/>
      <c r="K829" s="232"/>
      <c r="L829" s="232"/>
      <c r="N829" s="212">
        <f t="shared" si="15"/>
        <v>637</v>
      </c>
    </row>
    <row r="830" spans="1:14" ht="12" customHeight="1">
      <c r="C830" s="231"/>
      <c r="D830" s="738"/>
      <c r="E830" s="739"/>
      <c r="F830" s="1712"/>
      <c r="G830" s="739"/>
      <c r="H830" s="739"/>
      <c r="I830" s="739"/>
      <c r="J830" s="232"/>
      <c r="K830" s="232"/>
      <c r="L830" s="232"/>
      <c r="N830" s="212">
        <f t="shared" si="15"/>
        <v>637</v>
      </c>
    </row>
    <row r="831" spans="1:14" ht="12" customHeight="1">
      <c r="C831" s="231"/>
      <c r="D831" s="3901" t="s">
        <v>1581</v>
      </c>
      <c r="E831" s="3901"/>
      <c r="F831" s="3901"/>
      <c r="G831" s="3901"/>
      <c r="H831" s="3901"/>
      <c r="I831" s="3901"/>
      <c r="J831" s="232"/>
      <c r="K831" s="232"/>
      <c r="L831" s="232"/>
      <c r="N831" s="212">
        <f t="shared" si="15"/>
        <v>638</v>
      </c>
    </row>
    <row r="832" spans="1:14" ht="12" customHeight="1">
      <c r="C832" s="231"/>
      <c r="D832" s="3901" t="s">
        <v>1579</v>
      </c>
      <c r="E832" s="3901"/>
      <c r="F832" s="3901"/>
      <c r="G832" s="3901"/>
      <c r="H832" s="3901"/>
      <c r="I832" s="3901"/>
      <c r="J832" s="232"/>
      <c r="K832" s="232"/>
      <c r="L832" s="232"/>
      <c r="N832" s="212">
        <f t="shared" si="15"/>
        <v>639</v>
      </c>
    </row>
    <row r="833" spans="3:14" ht="12" customHeight="1">
      <c r="C833" s="231"/>
      <c r="D833" s="3900" t="s">
        <v>1582</v>
      </c>
      <c r="E833" s="3901"/>
      <c r="F833" s="3901"/>
      <c r="G833" s="3901"/>
      <c r="H833" s="3901"/>
      <c r="I833" s="3901"/>
      <c r="J833" s="232"/>
      <c r="K833" s="232"/>
      <c r="L833" s="232"/>
      <c r="N833" s="212">
        <f>IF(D833="",N832,N832+1)</f>
        <v>640</v>
      </c>
    </row>
    <row r="834" spans="3:14" ht="12" customHeight="1">
      <c r="C834" s="231"/>
      <c r="D834" s="3901" t="s">
        <v>1583</v>
      </c>
      <c r="E834" s="3901"/>
      <c r="F834" s="3901"/>
      <c r="G834" s="3901"/>
      <c r="H834" s="3901"/>
      <c r="I834" s="3901"/>
      <c r="J834" s="232"/>
      <c r="K834" s="232"/>
      <c r="L834" s="232"/>
      <c r="N834" s="212">
        <f>IF(D834="",N833,N833+1)</f>
        <v>641</v>
      </c>
    </row>
    <row r="835" spans="3:14" ht="12" customHeight="1">
      <c r="C835" s="231"/>
      <c r="D835" s="3901" t="s">
        <v>1580</v>
      </c>
      <c r="E835" s="3901"/>
      <c r="F835" s="3901"/>
      <c r="G835" s="3901"/>
      <c r="H835" s="3901"/>
      <c r="I835" s="3901"/>
      <c r="J835" s="232"/>
      <c r="K835" s="232"/>
      <c r="L835" s="232"/>
      <c r="N835" s="212">
        <f>IF(D835="",N834,N834+1)</f>
        <v>642</v>
      </c>
    </row>
    <row r="836" spans="3:14" ht="12" customHeight="1">
      <c r="C836" s="231"/>
      <c r="D836" s="3900" t="s">
        <v>1584</v>
      </c>
      <c r="E836" s="3901"/>
      <c r="F836" s="3901"/>
      <c r="G836" s="3901"/>
      <c r="H836" s="3901"/>
      <c r="I836" s="3901"/>
      <c r="J836" s="232"/>
      <c r="K836" s="232"/>
      <c r="L836" s="232"/>
      <c r="N836" s="212">
        <f>IF(D836="",N835,N835+1)</f>
        <v>643</v>
      </c>
    </row>
    <row r="837" spans="3:14" ht="12" customHeight="1">
      <c r="C837" s="231"/>
      <c r="D837" s="3900" t="s">
        <v>1585</v>
      </c>
      <c r="E837" s="3901"/>
      <c r="F837" s="3901"/>
      <c r="G837" s="3901"/>
      <c r="H837" s="3901"/>
      <c r="I837" s="3901"/>
      <c r="J837" s="232"/>
      <c r="K837" s="232"/>
      <c r="L837" s="232"/>
      <c r="N837" s="212">
        <f>IF(D837="",N836,N836+1)</f>
        <v>644</v>
      </c>
    </row>
    <row r="838" spans="3:14" ht="12" customHeight="1">
      <c r="C838" s="231"/>
      <c r="D838" s="744"/>
      <c r="E838" s="745"/>
      <c r="F838" s="1719"/>
      <c r="G838" s="745"/>
      <c r="H838" s="745"/>
      <c r="I838" s="745"/>
      <c r="J838" s="232"/>
      <c r="K838" s="232"/>
      <c r="L838" s="232"/>
      <c r="N838" s="212">
        <f>IF(D838="",N829,N829+1)</f>
        <v>637</v>
      </c>
    </row>
    <row r="839" spans="3:14" ht="12" customHeight="1">
      <c r="C839" s="231"/>
      <c r="D839" s="3967" t="s">
        <v>755</v>
      </c>
      <c r="E839" s="3968"/>
      <c r="F839" s="3968"/>
      <c r="G839" s="3968"/>
      <c r="H839" s="3968"/>
      <c r="I839" s="3968"/>
      <c r="J839" s="232"/>
      <c r="K839" s="232"/>
      <c r="L839" s="232"/>
      <c r="N839" s="212">
        <f t="shared" ref="N839:N849" si="16">IF(D839="",N830,N830+1)</f>
        <v>638</v>
      </c>
    </row>
    <row r="840" spans="3:14" ht="12" customHeight="1">
      <c r="C840" s="231"/>
      <c r="D840" s="3955" t="s">
        <v>756</v>
      </c>
      <c r="E840" s="3956"/>
      <c r="F840" s="3956"/>
      <c r="G840" s="3956"/>
      <c r="H840" s="3956"/>
      <c r="I840" s="3956"/>
      <c r="J840" s="232"/>
      <c r="K840" s="232"/>
      <c r="L840" s="232"/>
      <c r="N840" s="212">
        <f t="shared" si="16"/>
        <v>639</v>
      </c>
    </row>
    <row r="841" spans="3:14" ht="12" customHeight="1">
      <c r="C841" s="231"/>
      <c r="D841" s="3900" t="s">
        <v>757</v>
      </c>
      <c r="E841" s="3901"/>
      <c r="F841" s="3901"/>
      <c r="G841" s="3901"/>
      <c r="H841" s="3901"/>
      <c r="I841" s="3901"/>
      <c r="J841" s="232"/>
      <c r="K841" s="232"/>
      <c r="L841" s="232"/>
      <c r="N841" s="212">
        <f t="shared" si="16"/>
        <v>640</v>
      </c>
    </row>
    <row r="842" spans="3:14" ht="12" customHeight="1">
      <c r="C842" s="231"/>
      <c r="D842" s="3900" t="s">
        <v>758</v>
      </c>
      <c r="E842" s="3901"/>
      <c r="F842" s="3901"/>
      <c r="G842" s="3901"/>
      <c r="H842" s="3901"/>
      <c r="I842" s="3901"/>
      <c r="J842" s="232"/>
      <c r="K842" s="232"/>
      <c r="L842" s="232"/>
      <c r="N842" s="212">
        <f t="shared" si="16"/>
        <v>641</v>
      </c>
    </row>
    <row r="843" spans="3:14" ht="12" customHeight="1">
      <c r="C843" s="231"/>
      <c r="D843" s="3900" t="s">
        <v>1494</v>
      </c>
      <c r="E843" s="3900"/>
      <c r="F843" s="3900"/>
      <c r="G843" s="3900"/>
      <c r="H843" s="3900"/>
      <c r="I843" s="3900"/>
      <c r="J843" s="3900"/>
      <c r="K843" s="3900"/>
      <c r="L843" s="232"/>
      <c r="N843" s="212">
        <f t="shared" si="16"/>
        <v>642</v>
      </c>
    </row>
    <row r="844" spans="3:14" ht="12" customHeight="1">
      <c r="C844" s="231"/>
      <c r="D844" s="3900" t="s">
        <v>1493</v>
      </c>
      <c r="E844" s="3900"/>
      <c r="F844" s="3900"/>
      <c r="G844" s="3900"/>
      <c r="H844" s="3900"/>
      <c r="I844" s="3900"/>
      <c r="J844" s="3900"/>
      <c r="K844" s="3900"/>
      <c r="L844" s="232"/>
      <c r="N844" s="212">
        <f t="shared" si="16"/>
        <v>643</v>
      </c>
    </row>
    <row r="845" spans="3:14" ht="12" customHeight="1">
      <c r="C845" s="231"/>
      <c r="D845" s="3900" t="s">
        <v>759</v>
      </c>
      <c r="E845" s="3901"/>
      <c r="F845" s="3901"/>
      <c r="G845" s="3901"/>
      <c r="H845" s="3901"/>
      <c r="I845" s="3901"/>
      <c r="J845" s="232"/>
      <c r="K845" s="232"/>
      <c r="L845" s="232"/>
      <c r="N845" s="212">
        <f t="shared" si="16"/>
        <v>644</v>
      </c>
    </row>
    <row r="846" spans="3:14" ht="12" customHeight="1">
      <c r="C846" s="231"/>
      <c r="D846" s="744"/>
      <c r="E846" s="745"/>
      <c r="F846" s="1719"/>
      <c r="G846" s="745"/>
      <c r="H846" s="745"/>
      <c r="I846" s="745"/>
      <c r="J846" s="232"/>
      <c r="K846" s="232"/>
      <c r="L846" s="232"/>
      <c r="N846" s="212">
        <f t="shared" si="16"/>
        <v>644</v>
      </c>
    </row>
    <row r="847" spans="3:14" ht="12" customHeight="1">
      <c r="C847" s="231"/>
      <c r="D847" s="3955" t="s">
        <v>760</v>
      </c>
      <c r="E847" s="3956"/>
      <c r="F847" s="3956"/>
      <c r="G847" s="3956"/>
      <c r="H847" s="3956"/>
      <c r="I847" s="3956"/>
      <c r="J847" s="232"/>
      <c r="K847" s="232"/>
      <c r="L847" s="232"/>
      <c r="N847" s="212">
        <f t="shared" si="16"/>
        <v>638</v>
      </c>
    </row>
    <row r="848" spans="3:14" ht="12" customHeight="1">
      <c r="C848" s="231"/>
      <c r="D848" s="3900" t="s">
        <v>761</v>
      </c>
      <c r="E848" s="3900"/>
      <c r="F848" s="3900"/>
      <c r="G848" s="3900"/>
      <c r="H848" s="3900"/>
      <c r="I848" s="3900"/>
      <c r="J848" s="3900"/>
      <c r="K848" s="3900"/>
      <c r="L848" s="232"/>
      <c r="N848" s="212">
        <f t="shared" si="16"/>
        <v>639</v>
      </c>
    </row>
    <row r="849" spans="3:14" ht="12" customHeight="1">
      <c r="C849" s="231"/>
      <c r="D849" s="3900" t="s">
        <v>1495</v>
      </c>
      <c r="E849" s="3900"/>
      <c r="F849" s="3900"/>
      <c r="G849" s="3900"/>
      <c r="H849" s="3900"/>
      <c r="I849" s="3900"/>
      <c r="J849" s="3900"/>
      <c r="K849" s="3900"/>
      <c r="L849" s="232"/>
      <c r="N849" s="212">
        <f t="shared" si="16"/>
        <v>640</v>
      </c>
    </row>
    <row r="850" spans="3:14" ht="12" customHeight="1">
      <c r="C850" s="231"/>
      <c r="D850" s="3900" t="s">
        <v>1496</v>
      </c>
      <c r="E850" s="3900"/>
      <c r="F850" s="3900"/>
      <c r="G850" s="3900"/>
      <c r="H850" s="3900"/>
      <c r="I850" s="3900"/>
      <c r="J850" s="3900"/>
      <c r="K850" s="3900"/>
      <c r="L850" s="232"/>
      <c r="N850" s="212">
        <f t="shared" si="15"/>
        <v>641</v>
      </c>
    </row>
    <row r="851" spans="3:14" ht="12" customHeight="1">
      <c r="C851" s="231"/>
      <c r="D851" s="3900" t="s">
        <v>1497</v>
      </c>
      <c r="E851" s="3900"/>
      <c r="F851" s="3900"/>
      <c r="G851" s="3900"/>
      <c r="H851" s="3900"/>
      <c r="I851" s="3900"/>
      <c r="J851" s="3900"/>
      <c r="K851" s="3900"/>
      <c r="L851" s="232"/>
      <c r="N851" s="212">
        <f t="shared" si="15"/>
        <v>642</v>
      </c>
    </row>
    <row r="852" spans="3:14" ht="12" customHeight="1">
      <c r="C852" s="231"/>
      <c r="D852" s="3900" t="s">
        <v>1498</v>
      </c>
      <c r="E852" s="3901"/>
      <c r="F852" s="3901"/>
      <c r="G852" s="3901"/>
      <c r="H852" s="3901"/>
      <c r="I852" s="3901"/>
      <c r="J852" s="232"/>
      <c r="K852" s="232"/>
      <c r="L852" s="232"/>
      <c r="N852" s="212">
        <f t="shared" si="15"/>
        <v>643</v>
      </c>
    </row>
    <row r="853" spans="3:14" ht="12" customHeight="1">
      <c r="C853" s="231"/>
      <c r="D853" s="744"/>
      <c r="E853" s="745"/>
      <c r="F853" s="1719"/>
      <c r="G853" s="745"/>
      <c r="H853" s="745"/>
      <c r="I853" s="745"/>
      <c r="J853" s="232"/>
      <c r="K853" s="232"/>
      <c r="L853" s="232"/>
      <c r="N853" s="212">
        <f t="shared" si="15"/>
        <v>643</v>
      </c>
    </row>
    <row r="854" spans="3:14" ht="12" customHeight="1">
      <c r="C854" s="231"/>
      <c r="D854" s="3916"/>
      <c r="E854" s="3917"/>
      <c r="F854" s="3917"/>
      <c r="G854" s="3917"/>
      <c r="H854" s="3917"/>
      <c r="I854" s="3917"/>
      <c r="J854" s="232"/>
      <c r="K854" s="232"/>
      <c r="L854" s="232"/>
      <c r="N854" s="212">
        <f t="shared" si="15"/>
        <v>643</v>
      </c>
    </row>
    <row r="855" spans="3:14" ht="12" customHeight="1">
      <c r="C855" s="231"/>
      <c r="D855" s="3955" t="s">
        <v>762</v>
      </c>
      <c r="E855" s="3956"/>
      <c r="F855" s="3956"/>
      <c r="G855" s="3956"/>
      <c r="H855" s="3956"/>
      <c r="I855" s="3956"/>
      <c r="J855" s="232"/>
      <c r="K855" s="232"/>
      <c r="L855" s="232"/>
      <c r="N855" s="212">
        <f t="shared" si="15"/>
        <v>644</v>
      </c>
    </row>
    <row r="856" spans="3:14" ht="12" customHeight="1">
      <c r="C856" s="231"/>
      <c r="D856" s="3900" t="s">
        <v>763</v>
      </c>
      <c r="E856" s="3901"/>
      <c r="F856" s="3901"/>
      <c r="G856" s="3901"/>
      <c r="H856" s="3901"/>
      <c r="I856" s="3901"/>
      <c r="J856" s="232"/>
      <c r="K856" s="232"/>
      <c r="L856" s="232"/>
      <c r="N856" s="212">
        <f t="shared" si="15"/>
        <v>645</v>
      </c>
    </row>
    <row r="857" spans="3:14" ht="12" customHeight="1">
      <c r="C857" s="231"/>
      <c r="D857" s="3900"/>
      <c r="E857" s="3901"/>
      <c r="F857" s="3901"/>
      <c r="G857" s="3901"/>
      <c r="H857" s="3901"/>
      <c r="I857" s="3901"/>
      <c r="J857" s="232"/>
      <c r="K857" s="232"/>
      <c r="L857" s="232"/>
      <c r="N857" s="212">
        <f t="shared" si="15"/>
        <v>645</v>
      </c>
    </row>
    <row r="858" spans="3:14" ht="12" customHeight="1">
      <c r="C858" s="231"/>
      <c r="D858" s="3900" t="s">
        <v>1499</v>
      </c>
      <c r="E858" s="3901"/>
      <c r="F858" s="3901"/>
      <c r="G858" s="3901"/>
      <c r="H858" s="3901"/>
      <c r="I858" s="3901"/>
      <c r="J858" s="232"/>
      <c r="K858" s="232"/>
      <c r="L858" s="232"/>
      <c r="N858" s="212">
        <f t="shared" si="15"/>
        <v>646</v>
      </c>
    </row>
    <row r="859" spans="3:14" ht="12" customHeight="1">
      <c r="C859" s="231"/>
      <c r="D859" s="3900" t="s">
        <v>1500</v>
      </c>
      <c r="E859" s="3901"/>
      <c r="F859" s="3901"/>
      <c r="G859" s="3901"/>
      <c r="H859" s="3901"/>
      <c r="I859" s="3901"/>
      <c r="J859" s="232"/>
      <c r="K859" s="232"/>
      <c r="L859" s="232"/>
      <c r="N859" s="212">
        <f t="shared" si="15"/>
        <v>647</v>
      </c>
    </row>
    <row r="860" spans="3:14" ht="12" customHeight="1">
      <c r="C860" s="231"/>
      <c r="D860" s="3900" t="s">
        <v>1501</v>
      </c>
      <c r="E860" s="3901"/>
      <c r="F860" s="3901"/>
      <c r="G860" s="3901"/>
      <c r="H860" s="3901"/>
      <c r="I860" s="3901"/>
      <c r="J860" s="232"/>
      <c r="K860" s="232"/>
      <c r="L860" s="232"/>
      <c r="N860" s="212">
        <f t="shared" si="15"/>
        <v>648</v>
      </c>
    </row>
    <row r="861" spans="3:14" ht="12" customHeight="1">
      <c r="C861" s="231"/>
      <c r="D861" s="3900" t="s">
        <v>1502</v>
      </c>
      <c r="E861" s="3901"/>
      <c r="F861" s="3901"/>
      <c r="G861" s="3901"/>
      <c r="H861" s="3901"/>
      <c r="I861" s="3901"/>
      <c r="J861" s="232"/>
      <c r="K861" s="232"/>
      <c r="L861" s="232"/>
      <c r="N861" s="212">
        <f t="shared" si="15"/>
        <v>649</v>
      </c>
    </row>
    <row r="862" spans="3:14" ht="12" customHeight="1">
      <c r="C862" s="231"/>
      <c r="D862" s="3900"/>
      <c r="E862" s="3901"/>
      <c r="F862" s="3901"/>
      <c r="G862" s="3901"/>
      <c r="H862" s="3901"/>
      <c r="I862" s="3901"/>
      <c r="J862" s="232"/>
      <c r="K862" s="232"/>
      <c r="L862" s="232"/>
      <c r="N862" s="212">
        <f t="shared" si="15"/>
        <v>649</v>
      </c>
    </row>
    <row r="863" spans="3:14" ht="12" customHeight="1">
      <c r="C863" s="231"/>
      <c r="D863" s="3900" t="s">
        <v>1503</v>
      </c>
      <c r="E863" s="3901"/>
      <c r="F863" s="3901"/>
      <c r="G863" s="3901"/>
      <c r="H863" s="3901"/>
      <c r="I863" s="3901"/>
      <c r="J863" s="232"/>
      <c r="K863" s="232"/>
      <c r="L863" s="232"/>
      <c r="N863" s="212">
        <f t="shared" si="15"/>
        <v>650</v>
      </c>
    </row>
    <row r="864" spans="3:14" ht="12" customHeight="1">
      <c r="C864" s="231"/>
      <c r="D864" s="3900" t="s">
        <v>1504</v>
      </c>
      <c r="E864" s="3900"/>
      <c r="F864" s="3900"/>
      <c r="G864" s="3900"/>
      <c r="H864" s="3900"/>
      <c r="I864" s="3900"/>
      <c r="J864" s="3900"/>
      <c r="K864" s="3900"/>
      <c r="L864" s="232"/>
      <c r="N864" s="212">
        <f t="shared" si="15"/>
        <v>651</v>
      </c>
    </row>
    <row r="865" spans="3:27" ht="12" customHeight="1">
      <c r="C865" s="231"/>
      <c r="D865" s="3900" t="s">
        <v>1505</v>
      </c>
      <c r="E865" s="3900"/>
      <c r="F865" s="3900"/>
      <c r="G865" s="3900"/>
      <c r="H865" s="3900"/>
      <c r="I865" s="3900"/>
      <c r="J865" s="3900"/>
      <c r="K865" s="3900"/>
      <c r="L865" s="232"/>
      <c r="N865" s="212">
        <f t="shared" si="15"/>
        <v>652</v>
      </c>
    </row>
    <row r="866" spans="3:27" ht="12" customHeight="1">
      <c r="C866" s="231"/>
      <c r="D866" s="3900" t="s">
        <v>1506</v>
      </c>
      <c r="E866" s="3901"/>
      <c r="F866" s="3901"/>
      <c r="G866" s="3901"/>
      <c r="H866" s="3901"/>
      <c r="I866" s="3901"/>
      <c r="J866" s="232"/>
      <c r="K866" s="232"/>
      <c r="L866" s="232"/>
      <c r="N866" s="212">
        <f t="shared" si="15"/>
        <v>653</v>
      </c>
    </row>
    <row r="867" spans="3:27" ht="12" customHeight="1">
      <c r="C867" s="231"/>
      <c r="D867" s="3900"/>
      <c r="E867" s="3901"/>
      <c r="F867" s="3901"/>
      <c r="G867" s="3901"/>
      <c r="H867" s="3901"/>
      <c r="I867" s="3901"/>
      <c r="J867" s="232"/>
      <c r="K867" s="232"/>
      <c r="L867" s="232"/>
      <c r="N867" s="212">
        <f t="shared" si="15"/>
        <v>653</v>
      </c>
    </row>
    <row r="868" spans="3:27" ht="12" customHeight="1">
      <c r="C868" s="231"/>
      <c r="D868" s="3900" t="s">
        <v>1507</v>
      </c>
      <c r="E868" s="3900"/>
      <c r="F868" s="3900"/>
      <c r="G868" s="3900"/>
      <c r="H868" s="3900"/>
      <c r="I868" s="3900"/>
      <c r="J868" s="3900"/>
      <c r="K868" s="3900"/>
      <c r="L868" s="232"/>
      <c r="N868" s="212">
        <f t="shared" si="15"/>
        <v>654</v>
      </c>
    </row>
    <row r="869" spans="3:27" ht="12" customHeight="1">
      <c r="C869" s="231"/>
      <c r="D869" s="3900" t="s">
        <v>764</v>
      </c>
      <c r="E869" s="3901"/>
      <c r="F869" s="3901"/>
      <c r="G869" s="3901"/>
      <c r="H869" s="3901"/>
      <c r="I869" s="3901"/>
      <c r="J869" s="232"/>
      <c r="K869" s="232"/>
      <c r="L869" s="232"/>
      <c r="N869" s="212">
        <f t="shared" si="15"/>
        <v>655</v>
      </c>
    </row>
    <row r="870" spans="3:27" ht="12" customHeight="1">
      <c r="C870" s="231"/>
      <c r="D870" s="3916"/>
      <c r="E870" s="3917"/>
      <c r="F870" s="3917"/>
      <c r="G870" s="3917"/>
      <c r="H870" s="3917"/>
      <c r="I870" s="3917"/>
      <c r="J870" s="232"/>
      <c r="K870" s="232"/>
      <c r="L870" s="232"/>
      <c r="N870" s="212">
        <f t="shared" si="15"/>
        <v>655</v>
      </c>
    </row>
    <row r="871" spans="3:27" s="235" customFormat="1" ht="18" customHeight="1">
      <c r="C871" s="231"/>
      <c r="D871" s="539"/>
      <c r="E871" s="540"/>
      <c r="F871" s="233"/>
      <c r="G871" s="234"/>
      <c r="H871" s="234"/>
      <c r="I871" s="234"/>
      <c r="J871" s="232"/>
      <c r="K871" s="232"/>
      <c r="L871" s="232"/>
      <c r="M871" s="209"/>
      <c r="N871" s="212">
        <f t="shared" si="15"/>
        <v>655</v>
      </c>
      <c r="O871" s="209"/>
      <c r="P871" s="209"/>
      <c r="Q871" s="209"/>
      <c r="R871" s="209"/>
      <c r="S871" s="209"/>
      <c r="T871" s="209"/>
      <c r="U871" s="209"/>
      <c r="V871" s="209"/>
      <c r="W871" s="209"/>
      <c r="X871" s="209"/>
      <c r="Y871" s="209"/>
      <c r="Z871" s="209"/>
      <c r="AA871" s="209"/>
    </row>
    <row r="872" spans="3:27" s="235" customFormat="1" ht="18" customHeight="1">
      <c r="C872" s="231"/>
      <c r="D872" s="539"/>
      <c r="E872" s="540"/>
      <c r="F872" s="234"/>
      <c r="G872" s="234"/>
      <c r="H872" s="234"/>
      <c r="I872" s="234"/>
      <c r="J872" s="232"/>
      <c r="K872" s="232"/>
      <c r="L872" s="232"/>
      <c r="M872" s="209"/>
      <c r="N872" s="212">
        <f t="shared" si="15"/>
        <v>655</v>
      </c>
      <c r="O872" s="209"/>
      <c r="P872" s="209"/>
      <c r="Q872" s="209"/>
      <c r="R872" s="209"/>
      <c r="S872" s="209"/>
      <c r="T872" s="209"/>
      <c r="U872" s="209"/>
      <c r="V872" s="209"/>
      <c r="W872" s="209"/>
      <c r="X872" s="209"/>
      <c r="Y872" s="209"/>
      <c r="Z872" s="209"/>
      <c r="AA872" s="209"/>
    </row>
    <row r="873" spans="3:27" s="235" customFormat="1" ht="18" customHeight="1">
      <c r="C873" s="231"/>
      <c r="D873" s="539"/>
      <c r="E873" s="540"/>
      <c r="F873" s="234"/>
      <c r="G873" s="234"/>
      <c r="H873" s="233"/>
      <c r="I873" s="233"/>
      <c r="J873" s="232"/>
      <c r="K873" s="232"/>
      <c r="L873" s="232"/>
      <c r="M873" s="209"/>
      <c r="N873" s="212">
        <f t="shared" si="15"/>
        <v>655</v>
      </c>
      <c r="O873" s="209"/>
      <c r="P873" s="209"/>
      <c r="Q873" s="209"/>
      <c r="R873" s="209"/>
      <c r="S873" s="209"/>
      <c r="T873" s="209"/>
      <c r="U873" s="209"/>
      <c r="V873" s="209"/>
      <c r="W873" s="209"/>
      <c r="X873" s="209"/>
      <c r="Y873" s="209"/>
      <c r="Z873" s="209"/>
      <c r="AA873" s="209"/>
    </row>
    <row r="874" spans="3:27" s="235" customFormat="1" ht="18" customHeight="1">
      <c r="C874" s="231"/>
      <c r="D874" s="539"/>
      <c r="E874" s="540"/>
      <c r="F874" s="234"/>
      <c r="G874" s="234"/>
      <c r="H874" s="234"/>
      <c r="I874" s="236"/>
      <c r="J874" s="232"/>
      <c r="K874" s="232"/>
      <c r="L874" s="232"/>
      <c r="M874" s="209"/>
      <c r="N874" s="212">
        <f t="shared" si="15"/>
        <v>655</v>
      </c>
      <c r="O874" s="209"/>
      <c r="P874" s="209"/>
      <c r="Q874" s="209"/>
      <c r="R874" s="209"/>
      <c r="S874" s="209"/>
      <c r="T874" s="209"/>
      <c r="U874" s="209"/>
      <c r="V874" s="209"/>
      <c r="W874" s="209"/>
      <c r="X874" s="209"/>
      <c r="Y874" s="209"/>
      <c r="Z874" s="209"/>
      <c r="AA874" s="209"/>
    </row>
    <row r="875" spans="3:27" s="235" customFormat="1" ht="18" customHeight="1">
      <c r="C875" s="231"/>
      <c r="D875" s="539"/>
      <c r="E875" s="540"/>
      <c r="F875" s="234"/>
      <c r="G875" s="234"/>
      <c r="H875" s="234"/>
      <c r="I875" s="234"/>
      <c r="J875" s="232"/>
      <c r="K875" s="232"/>
      <c r="L875" s="232"/>
      <c r="M875" s="209"/>
      <c r="N875" s="212">
        <f t="shared" si="15"/>
        <v>655</v>
      </c>
      <c r="O875" s="209"/>
      <c r="P875" s="209"/>
      <c r="Q875" s="209"/>
      <c r="R875" s="209"/>
      <c r="S875" s="209"/>
      <c r="T875" s="209"/>
      <c r="U875" s="209"/>
      <c r="V875" s="209"/>
      <c r="W875" s="209"/>
      <c r="X875" s="209"/>
      <c r="Y875" s="209"/>
      <c r="Z875" s="209"/>
      <c r="AA875" s="209"/>
    </row>
    <row r="876" spans="3:27" s="235" customFormat="1" ht="18" customHeight="1">
      <c r="C876" s="231"/>
      <c r="D876" s="539"/>
      <c r="E876" s="540"/>
      <c r="F876" s="234"/>
      <c r="G876" s="234"/>
      <c r="H876" s="234"/>
      <c r="I876" s="234"/>
      <c r="J876" s="232"/>
      <c r="K876" s="232"/>
      <c r="L876" s="232"/>
      <c r="M876" s="209"/>
      <c r="N876" s="212">
        <f t="shared" si="15"/>
        <v>655</v>
      </c>
      <c r="O876" s="209"/>
      <c r="P876" s="209"/>
      <c r="Q876" s="209"/>
      <c r="R876" s="209"/>
      <c r="S876" s="209"/>
      <c r="T876" s="209"/>
      <c r="U876" s="209"/>
      <c r="V876" s="209"/>
      <c r="W876" s="209"/>
      <c r="X876" s="209"/>
      <c r="Y876" s="209"/>
      <c r="Z876" s="209"/>
      <c r="AA876" s="209"/>
    </row>
    <row r="877" spans="3:27" s="235" customFormat="1" ht="18" customHeight="1">
      <c r="C877" s="231"/>
      <c r="D877" s="539"/>
      <c r="E877" s="540"/>
      <c r="F877" s="233"/>
      <c r="G877" s="237"/>
      <c r="H877" s="237"/>
      <c r="I877" s="234"/>
      <c r="J877" s="232"/>
      <c r="K877" s="232"/>
      <c r="L877" s="232"/>
      <c r="M877" s="209"/>
      <c r="N877" s="212">
        <f t="shared" si="15"/>
        <v>655</v>
      </c>
      <c r="O877" s="209"/>
      <c r="P877" s="209"/>
      <c r="Q877" s="209"/>
      <c r="R877" s="209"/>
      <c r="S877" s="209"/>
      <c r="T877" s="209"/>
      <c r="U877" s="209"/>
      <c r="V877" s="209"/>
      <c r="W877" s="209"/>
      <c r="X877" s="209"/>
      <c r="Y877" s="209"/>
      <c r="Z877" s="209"/>
      <c r="AA877" s="209"/>
    </row>
    <row r="878" spans="3:27" s="235" customFormat="1" ht="18" customHeight="1">
      <c r="C878" s="231"/>
      <c r="D878" s="539"/>
      <c r="E878" s="540"/>
      <c r="F878" s="234"/>
      <c r="G878" s="238"/>
      <c r="H878" s="234"/>
      <c r="I878" s="234"/>
      <c r="J878" s="232"/>
      <c r="K878" s="232"/>
      <c r="L878" s="232"/>
      <c r="M878" s="209"/>
      <c r="N878" s="212">
        <f t="shared" si="15"/>
        <v>655</v>
      </c>
      <c r="O878" s="209"/>
      <c r="P878" s="209"/>
      <c r="Q878" s="209"/>
      <c r="R878" s="209"/>
      <c r="S878" s="209"/>
      <c r="T878" s="209"/>
      <c r="U878" s="209"/>
      <c r="V878" s="209"/>
      <c r="W878" s="209"/>
      <c r="X878" s="209"/>
      <c r="Y878" s="209"/>
      <c r="Z878" s="209"/>
      <c r="AA878" s="209"/>
    </row>
    <row r="879" spans="3:27" s="235" customFormat="1" ht="18" customHeight="1">
      <c r="C879" s="231"/>
      <c r="D879" s="539"/>
      <c r="E879" s="540"/>
      <c r="F879" s="234"/>
      <c r="G879" s="238"/>
      <c r="H879" s="234"/>
      <c r="I879" s="234"/>
      <c r="J879" s="232"/>
      <c r="K879" s="232"/>
      <c r="L879" s="232"/>
      <c r="M879" s="209"/>
      <c r="N879" s="212">
        <f t="shared" si="15"/>
        <v>655</v>
      </c>
      <c r="O879" s="209"/>
      <c r="P879" s="209"/>
      <c r="Q879" s="209"/>
      <c r="R879" s="209"/>
      <c r="S879" s="209"/>
      <c r="T879" s="209"/>
      <c r="U879" s="209"/>
      <c r="V879" s="209"/>
      <c r="W879" s="209"/>
      <c r="X879" s="209"/>
      <c r="Y879" s="209"/>
      <c r="Z879" s="209"/>
      <c r="AA879" s="209"/>
    </row>
    <row r="880" spans="3:27" s="235" customFormat="1" ht="18" customHeight="1">
      <c r="C880" s="231"/>
      <c r="D880" s="539"/>
      <c r="E880" s="540"/>
      <c r="F880" s="234"/>
      <c r="G880" s="238" t="s">
        <v>765</v>
      </c>
      <c r="H880" s="234"/>
      <c r="I880" s="234"/>
      <c r="J880" s="232"/>
      <c r="K880" s="232"/>
      <c r="L880" s="232"/>
      <c r="M880" s="209"/>
      <c r="N880" s="212">
        <f t="shared" si="15"/>
        <v>655</v>
      </c>
      <c r="O880" s="209"/>
      <c r="P880" s="209"/>
      <c r="Q880" s="209"/>
      <c r="R880" s="209"/>
      <c r="S880" s="209"/>
      <c r="T880" s="209"/>
      <c r="U880" s="209"/>
      <c r="V880" s="209"/>
      <c r="W880" s="209"/>
      <c r="X880" s="209"/>
      <c r="Y880" s="209"/>
      <c r="Z880" s="209"/>
      <c r="AA880" s="209"/>
    </row>
    <row r="881" spans="3:14" ht="12" customHeight="1">
      <c r="C881" s="231"/>
      <c r="D881" s="3916"/>
      <c r="E881" s="3917"/>
      <c r="F881" s="3917"/>
      <c r="G881" s="3917"/>
      <c r="H881" s="3917"/>
      <c r="I881" s="3917"/>
      <c r="J881" s="232"/>
      <c r="K881" s="232"/>
      <c r="L881" s="232"/>
      <c r="N881" s="212">
        <f t="shared" si="15"/>
        <v>655</v>
      </c>
    </row>
    <row r="882" spans="3:14" ht="12" customHeight="1">
      <c r="C882" s="231"/>
      <c r="D882" s="3900" t="s">
        <v>1508</v>
      </c>
      <c r="E882" s="3900"/>
      <c r="F882" s="3900"/>
      <c r="G882" s="3900"/>
      <c r="H882" s="3900"/>
      <c r="I882" s="3900"/>
      <c r="J882" s="3900"/>
      <c r="K882" s="3900"/>
      <c r="L882" s="232"/>
      <c r="N882" s="212">
        <f t="shared" si="15"/>
        <v>656</v>
      </c>
    </row>
    <row r="883" spans="3:14" ht="12" customHeight="1">
      <c r="C883" s="231"/>
      <c r="D883" s="3900" t="s">
        <v>1509</v>
      </c>
      <c r="E883" s="3900"/>
      <c r="F883" s="3900"/>
      <c r="G883" s="3900"/>
      <c r="H883" s="3900"/>
      <c r="I883" s="3900"/>
      <c r="J883" s="3900"/>
      <c r="K883" s="3900"/>
      <c r="L883" s="232"/>
      <c r="N883" s="212">
        <f t="shared" si="15"/>
        <v>657</v>
      </c>
    </row>
    <row r="884" spans="3:14" ht="12" customHeight="1">
      <c r="C884" s="231"/>
      <c r="D884" s="3900" t="s">
        <v>1510</v>
      </c>
      <c r="E884" s="3900"/>
      <c r="F884" s="3900"/>
      <c r="G884" s="3900"/>
      <c r="H884" s="3900"/>
      <c r="I884" s="3900"/>
      <c r="J884" s="3900"/>
      <c r="K884" s="3900"/>
      <c r="L884" s="232"/>
      <c r="N884" s="212">
        <f t="shared" si="15"/>
        <v>658</v>
      </c>
    </row>
    <row r="885" spans="3:14" ht="12" customHeight="1">
      <c r="C885" s="231"/>
      <c r="D885" s="3900" t="s">
        <v>1511</v>
      </c>
      <c r="E885" s="3900"/>
      <c r="F885" s="3900"/>
      <c r="G885" s="3900"/>
      <c r="H885" s="3900"/>
      <c r="I885" s="3900"/>
      <c r="J885" s="3900"/>
      <c r="K885" s="3900"/>
      <c r="L885" s="232"/>
      <c r="N885" s="212">
        <f>IF(D885="",N884,N884+1)</f>
        <v>659</v>
      </c>
    </row>
    <row r="886" spans="3:14" ht="12" customHeight="1">
      <c r="C886" s="231"/>
      <c r="D886" s="744"/>
      <c r="E886" s="745"/>
      <c r="F886" s="1719"/>
      <c r="G886" s="745"/>
      <c r="H886" s="745"/>
      <c r="I886" s="745"/>
      <c r="J886" s="232"/>
      <c r="K886" s="232"/>
      <c r="L886" s="232"/>
      <c r="N886" s="212">
        <f>IF(D886="",N885,N885+1)</f>
        <v>659</v>
      </c>
    </row>
    <row r="887" spans="3:14" ht="12" customHeight="1">
      <c r="C887" s="231"/>
      <c r="D887" s="3955" t="s">
        <v>766</v>
      </c>
      <c r="E887" s="3956"/>
      <c r="F887" s="3956"/>
      <c r="G887" s="3956"/>
      <c r="H887" s="3956"/>
      <c r="I887" s="3956"/>
      <c r="J887" s="232"/>
      <c r="K887" s="232"/>
      <c r="L887" s="232"/>
      <c r="N887" s="212">
        <f>IF(D887="",N886,N886+1)</f>
        <v>660</v>
      </c>
    </row>
    <row r="888" spans="3:14" ht="12" customHeight="1">
      <c r="C888" s="231"/>
      <c r="D888" s="3900" t="s">
        <v>1513</v>
      </c>
      <c r="E888" s="3900"/>
      <c r="F888" s="3900"/>
      <c r="G888" s="3900"/>
      <c r="H888" s="3900"/>
      <c r="I888" s="3900"/>
      <c r="J888" s="3900"/>
      <c r="K888" s="3900"/>
      <c r="L888" s="232"/>
      <c r="N888" s="212">
        <f>IF(D888="",N887,N887+1)</f>
        <v>661</v>
      </c>
    </row>
    <row r="889" spans="3:14" ht="12" customHeight="1">
      <c r="C889" s="231"/>
      <c r="D889" s="3900" t="s">
        <v>1514</v>
      </c>
      <c r="E889" s="3901"/>
      <c r="F889" s="3901"/>
      <c r="G889" s="3901"/>
      <c r="H889" s="3901"/>
      <c r="I889" s="3901"/>
      <c r="J889" s="232"/>
      <c r="K889" s="232"/>
      <c r="L889" s="232"/>
      <c r="N889" s="212">
        <f t="shared" ref="N889:N950" si="17">IF(D889="",N888,N888+1)</f>
        <v>662</v>
      </c>
    </row>
    <row r="890" spans="3:14" ht="12" customHeight="1">
      <c r="C890" s="231"/>
      <c r="D890" s="3916"/>
      <c r="E890" s="3917"/>
      <c r="F890" s="3917"/>
      <c r="G890" s="3917"/>
      <c r="H890" s="3917"/>
      <c r="I890" s="3917"/>
      <c r="J890" s="232"/>
      <c r="K890" s="232"/>
      <c r="L890" s="232"/>
      <c r="N890" s="212">
        <f t="shared" si="17"/>
        <v>662</v>
      </c>
    </row>
    <row r="891" spans="3:14" ht="12" customHeight="1">
      <c r="C891" s="231"/>
      <c r="D891" s="3900" t="s">
        <v>1512</v>
      </c>
      <c r="E891" s="3901"/>
      <c r="F891" s="3901"/>
      <c r="G891" s="3901"/>
      <c r="H891" s="3901"/>
      <c r="I891" s="3901"/>
      <c r="J891" s="232"/>
      <c r="K891" s="232"/>
      <c r="L891" s="232"/>
      <c r="N891" s="212">
        <f t="shared" si="17"/>
        <v>663</v>
      </c>
    </row>
    <row r="892" spans="3:14" ht="12" customHeight="1">
      <c r="C892" s="231"/>
      <c r="D892" s="3900" t="s">
        <v>767</v>
      </c>
      <c r="E892" s="3901"/>
      <c r="F892" s="3901"/>
      <c r="G892" s="3901"/>
      <c r="H892" s="3901"/>
      <c r="I892" s="3901"/>
      <c r="J892" s="232"/>
      <c r="K892" s="232"/>
      <c r="L892" s="232"/>
      <c r="N892" s="212">
        <f t="shared" si="17"/>
        <v>664</v>
      </c>
    </row>
    <row r="893" spans="3:14" ht="12" customHeight="1">
      <c r="C893" s="231"/>
      <c r="D893" s="3916"/>
      <c r="E893" s="3917"/>
      <c r="F893" s="3917"/>
      <c r="G893" s="3917"/>
      <c r="H893" s="3917"/>
      <c r="I893" s="3917"/>
      <c r="J893" s="232"/>
      <c r="K893" s="232"/>
      <c r="L893" s="232"/>
      <c r="N893" s="212">
        <f t="shared" si="17"/>
        <v>664</v>
      </c>
    </row>
    <row r="894" spans="3:14" ht="12" customHeight="1">
      <c r="C894" s="231"/>
      <c r="D894" s="3900" t="s">
        <v>768</v>
      </c>
      <c r="E894" s="3901"/>
      <c r="F894" s="3901"/>
      <c r="G894" s="3901"/>
      <c r="H894" s="3901"/>
      <c r="I894" s="3901"/>
      <c r="J894" s="232"/>
      <c r="K894" s="232"/>
      <c r="L894" s="232"/>
      <c r="N894" s="212">
        <f t="shared" si="17"/>
        <v>665</v>
      </c>
    </row>
    <row r="895" spans="3:14" ht="12" customHeight="1">
      <c r="C895" s="231"/>
      <c r="D895" s="3900" t="s">
        <v>1515</v>
      </c>
      <c r="E895" s="3901"/>
      <c r="F895" s="3901"/>
      <c r="G895" s="3901"/>
      <c r="H895" s="3901"/>
      <c r="I895" s="3901"/>
      <c r="J895" s="232"/>
      <c r="K895" s="232"/>
      <c r="L895" s="232"/>
      <c r="N895" s="212">
        <f t="shared" si="17"/>
        <v>666</v>
      </c>
    </row>
    <row r="896" spans="3:14" ht="12" customHeight="1">
      <c r="C896" s="231"/>
      <c r="D896" s="3900" t="s">
        <v>769</v>
      </c>
      <c r="E896" s="3901"/>
      <c r="F896" s="3901"/>
      <c r="G896" s="3901"/>
      <c r="H896" s="3901"/>
      <c r="I896" s="3901"/>
      <c r="J896" s="232"/>
      <c r="K896" s="232"/>
      <c r="L896" s="232"/>
      <c r="N896" s="212">
        <f t="shared" si="17"/>
        <v>667</v>
      </c>
    </row>
    <row r="897" spans="3:14" ht="12" customHeight="1">
      <c r="C897" s="231"/>
      <c r="D897" s="3900" t="s">
        <v>1516</v>
      </c>
      <c r="E897" s="3901"/>
      <c r="F897" s="3901"/>
      <c r="G897" s="3901"/>
      <c r="H897" s="3901"/>
      <c r="I897" s="3901"/>
      <c r="J897" s="232"/>
      <c r="K897" s="232"/>
      <c r="L897" s="232"/>
      <c r="N897" s="212">
        <f t="shared" si="17"/>
        <v>668</v>
      </c>
    </row>
    <row r="898" spans="3:14" ht="12" customHeight="1">
      <c r="C898" s="231"/>
      <c r="D898" s="3900" t="s">
        <v>770</v>
      </c>
      <c r="E898" s="3901"/>
      <c r="F898" s="3901"/>
      <c r="G898" s="3901"/>
      <c r="H898" s="3901"/>
      <c r="I898" s="3901"/>
      <c r="J898" s="232"/>
      <c r="K898" s="232"/>
      <c r="L898" s="232"/>
      <c r="N898" s="212">
        <f t="shared" si="17"/>
        <v>669</v>
      </c>
    </row>
    <row r="899" spans="3:14" ht="12" customHeight="1">
      <c r="C899" s="231"/>
      <c r="D899" s="3900" t="s">
        <v>771</v>
      </c>
      <c r="E899" s="3901"/>
      <c r="F899" s="3901"/>
      <c r="G899" s="3901"/>
      <c r="H899" s="3901"/>
      <c r="I899" s="3901"/>
      <c r="J899" s="232"/>
      <c r="K899" s="232"/>
      <c r="L899" s="232"/>
      <c r="N899" s="212">
        <f t="shared" si="17"/>
        <v>670</v>
      </c>
    </row>
    <row r="900" spans="3:14" ht="12" customHeight="1">
      <c r="C900" s="231"/>
      <c r="D900" s="3900" t="s">
        <v>772</v>
      </c>
      <c r="E900" s="3901"/>
      <c r="F900" s="3901"/>
      <c r="G900" s="3901"/>
      <c r="H900" s="3901"/>
      <c r="I900" s="3901"/>
      <c r="J900" s="232"/>
      <c r="K900" s="232"/>
      <c r="L900" s="232"/>
      <c r="N900" s="212">
        <f t="shared" si="17"/>
        <v>671</v>
      </c>
    </row>
    <row r="901" spans="3:14" ht="12" customHeight="1">
      <c r="C901" s="231"/>
      <c r="D901" s="3900"/>
      <c r="E901" s="3901"/>
      <c r="F901" s="3901"/>
      <c r="G901" s="3901"/>
      <c r="H901" s="3901"/>
      <c r="I901" s="3901"/>
      <c r="J901" s="232"/>
      <c r="K901" s="232"/>
      <c r="L901" s="232"/>
      <c r="N901" s="212">
        <f t="shared" si="17"/>
        <v>671</v>
      </c>
    </row>
    <row r="902" spans="3:14" ht="12" customHeight="1">
      <c r="C902" s="231"/>
      <c r="D902" s="3900" t="s">
        <v>1517</v>
      </c>
      <c r="E902" s="3901"/>
      <c r="F902" s="3901"/>
      <c r="G902" s="3901"/>
      <c r="H902" s="3901"/>
      <c r="I902" s="3901"/>
      <c r="J902" s="232"/>
      <c r="K902" s="232"/>
      <c r="L902" s="232"/>
      <c r="N902" s="212">
        <f t="shared" si="17"/>
        <v>672</v>
      </c>
    </row>
    <row r="903" spans="3:14" ht="12" customHeight="1">
      <c r="C903" s="231"/>
      <c r="D903" s="3900" t="s">
        <v>773</v>
      </c>
      <c r="E903" s="3901"/>
      <c r="F903" s="3901"/>
      <c r="G903" s="3901"/>
      <c r="H903" s="3901"/>
      <c r="I903" s="3901"/>
      <c r="J903" s="232"/>
      <c r="K903" s="232"/>
      <c r="L903" s="232"/>
      <c r="N903" s="212">
        <f t="shared" si="17"/>
        <v>673</v>
      </c>
    </row>
    <row r="904" spans="3:14" ht="12" customHeight="1">
      <c r="C904" s="231"/>
      <c r="D904" s="3900" t="s">
        <v>774</v>
      </c>
      <c r="E904" s="3901"/>
      <c r="F904" s="3901"/>
      <c r="G904" s="3901"/>
      <c r="H904" s="3901"/>
      <c r="I904" s="3901"/>
      <c r="J904" s="232"/>
      <c r="K904" s="232"/>
      <c r="L904" s="232"/>
      <c r="N904" s="212">
        <f t="shared" si="17"/>
        <v>674</v>
      </c>
    </row>
    <row r="905" spans="3:14" ht="12" customHeight="1">
      <c r="C905" s="231"/>
      <c r="D905" s="3916"/>
      <c r="E905" s="3917"/>
      <c r="F905" s="3917"/>
      <c r="G905" s="3917"/>
      <c r="H905" s="3917"/>
      <c r="I905" s="3917"/>
      <c r="J905" s="232"/>
      <c r="K905" s="232"/>
      <c r="L905" s="232"/>
      <c r="N905" s="212">
        <f t="shared" si="17"/>
        <v>674</v>
      </c>
    </row>
    <row r="906" spans="3:14" ht="12" customHeight="1">
      <c r="C906" s="231"/>
      <c r="D906" s="3916"/>
      <c r="E906" s="3917"/>
      <c r="F906" s="3917"/>
      <c r="G906" s="3917"/>
      <c r="H906" s="3917"/>
      <c r="I906" s="3917"/>
      <c r="J906" s="232"/>
      <c r="K906" s="232"/>
      <c r="L906" s="232"/>
      <c r="N906" s="212">
        <f t="shared" si="17"/>
        <v>674</v>
      </c>
    </row>
    <row r="907" spans="3:14" ht="12" customHeight="1">
      <c r="C907" s="231"/>
      <c r="D907" s="3916"/>
      <c r="E907" s="3917"/>
      <c r="F907" s="3917"/>
      <c r="G907" s="3917"/>
      <c r="H907" s="3917"/>
      <c r="I907" s="3917"/>
      <c r="J907" s="232"/>
      <c r="K907" s="232"/>
      <c r="L907" s="232"/>
      <c r="N907" s="212">
        <f t="shared" si="17"/>
        <v>674</v>
      </c>
    </row>
    <row r="908" spans="3:14" ht="12" customHeight="1">
      <c r="C908" s="231"/>
      <c r="D908" s="3916"/>
      <c r="E908" s="3917"/>
      <c r="F908" s="3917"/>
      <c r="G908" s="3917"/>
      <c r="H908" s="3917"/>
      <c r="I908" s="3917"/>
      <c r="J908" s="232"/>
      <c r="K908" s="232"/>
      <c r="L908" s="232"/>
      <c r="N908" s="212">
        <f t="shared" si="17"/>
        <v>674</v>
      </c>
    </row>
    <row r="909" spans="3:14" ht="12" customHeight="1">
      <c r="C909" s="231"/>
      <c r="D909" s="3916" t="s">
        <v>775</v>
      </c>
      <c r="E909" s="3917"/>
      <c r="F909" s="3917"/>
      <c r="G909" s="3917"/>
      <c r="H909" s="3917"/>
      <c r="I909" s="3917"/>
      <c r="J909" s="232"/>
      <c r="K909" s="232"/>
      <c r="L909" s="232"/>
      <c r="N909" s="212">
        <f t="shared" si="17"/>
        <v>675</v>
      </c>
    </row>
    <row r="910" spans="3:14" ht="12" customHeight="1">
      <c r="C910" s="231"/>
      <c r="D910" s="3916"/>
      <c r="E910" s="3917"/>
      <c r="F910" s="3917"/>
      <c r="G910" s="3917"/>
      <c r="H910" s="3917"/>
      <c r="I910" s="3917"/>
      <c r="J910" s="232"/>
      <c r="K910" s="232"/>
      <c r="L910" s="232"/>
      <c r="N910" s="212">
        <f t="shared" si="17"/>
        <v>675</v>
      </c>
    </row>
    <row r="911" spans="3:14" ht="12" customHeight="1">
      <c r="C911" s="231"/>
      <c r="D911" s="3955" t="s">
        <v>776</v>
      </c>
      <c r="E911" s="3956"/>
      <c r="F911" s="3956"/>
      <c r="G911" s="3956"/>
      <c r="H911" s="3956"/>
      <c r="I911" s="3956"/>
      <c r="J911" s="232"/>
      <c r="K911" s="232"/>
      <c r="L911" s="232"/>
      <c r="N911" s="212">
        <f>IF(D911="",N910,N910+1)</f>
        <v>676</v>
      </c>
    </row>
    <row r="912" spans="3:14" ht="12" customHeight="1">
      <c r="C912" s="231"/>
      <c r="D912" s="3948" t="s">
        <v>1518</v>
      </c>
      <c r="E912" s="3949"/>
      <c r="F912" s="3949"/>
      <c r="G912" s="3949"/>
      <c r="H912" s="3949"/>
      <c r="I912" s="3949"/>
      <c r="J912" s="232"/>
      <c r="K912" s="232"/>
      <c r="L912" s="232"/>
      <c r="N912" s="212">
        <f t="shared" si="17"/>
        <v>677</v>
      </c>
    </row>
    <row r="913" spans="3:14" ht="12" customHeight="1">
      <c r="C913" s="231"/>
      <c r="D913" s="3900" t="s">
        <v>777</v>
      </c>
      <c r="E913" s="3901"/>
      <c r="F913" s="3901"/>
      <c r="G913" s="3901"/>
      <c r="H913" s="3901"/>
      <c r="I913" s="3901"/>
      <c r="J913" s="232"/>
      <c r="K913" s="232"/>
      <c r="L913" s="232"/>
      <c r="N913" s="212">
        <f t="shared" si="17"/>
        <v>678</v>
      </c>
    </row>
    <row r="914" spans="3:14" ht="12" customHeight="1">
      <c r="C914" s="231"/>
      <c r="D914" s="3900"/>
      <c r="E914" s="3901"/>
      <c r="F914" s="3901"/>
      <c r="G914" s="3901"/>
      <c r="H914" s="3901"/>
      <c r="I914" s="3901"/>
      <c r="J914" s="232"/>
      <c r="K914" s="232"/>
      <c r="L914" s="232"/>
      <c r="N914" s="212">
        <f t="shared" si="17"/>
        <v>678</v>
      </c>
    </row>
    <row r="915" spans="3:14" ht="12" customHeight="1">
      <c r="C915" s="231"/>
      <c r="D915" s="3900" t="s">
        <v>1519</v>
      </c>
      <c r="E915" s="3900"/>
      <c r="F915" s="3900"/>
      <c r="G915" s="3900"/>
      <c r="H915" s="3900"/>
      <c r="I915" s="3900"/>
      <c r="J915" s="3900"/>
      <c r="K915" s="3900"/>
      <c r="L915" s="232"/>
      <c r="N915" s="212">
        <f t="shared" si="17"/>
        <v>679</v>
      </c>
    </row>
    <row r="916" spans="3:14" ht="12" customHeight="1">
      <c r="C916" s="231"/>
      <c r="D916" s="3900" t="s">
        <v>778</v>
      </c>
      <c r="E916" s="3900"/>
      <c r="F916" s="3900"/>
      <c r="G916" s="3900"/>
      <c r="H916" s="3900"/>
      <c r="I916" s="3900"/>
      <c r="J916" s="3900"/>
      <c r="K916" s="3900"/>
      <c r="L916" s="232"/>
      <c r="N916" s="212">
        <f t="shared" si="17"/>
        <v>680</v>
      </c>
    </row>
    <row r="917" spans="3:14" ht="12" customHeight="1">
      <c r="C917" s="231"/>
      <c r="D917" s="3900" t="s">
        <v>1524</v>
      </c>
      <c r="E917" s="3900"/>
      <c r="F917" s="3900"/>
      <c r="G917" s="3900"/>
      <c r="H917" s="3900"/>
      <c r="I917" s="3900"/>
      <c r="J917" s="3900"/>
      <c r="K917" s="3900"/>
      <c r="L917" s="232"/>
      <c r="N917" s="212">
        <f t="shared" si="17"/>
        <v>681</v>
      </c>
    </row>
    <row r="918" spans="3:14" ht="12" customHeight="1">
      <c r="C918" s="231"/>
      <c r="D918" s="3900" t="s">
        <v>1525</v>
      </c>
      <c r="E918" s="3901"/>
      <c r="F918" s="3901"/>
      <c r="G918" s="3901"/>
      <c r="H918" s="3901"/>
      <c r="I918" s="3901"/>
      <c r="J918" s="232"/>
      <c r="K918" s="232"/>
      <c r="L918" s="232"/>
      <c r="N918" s="212">
        <f t="shared" si="17"/>
        <v>682</v>
      </c>
    </row>
    <row r="919" spans="3:14" ht="12" customHeight="1">
      <c r="C919" s="231"/>
      <c r="D919" s="3900"/>
      <c r="E919" s="3901"/>
      <c r="F919" s="3901"/>
      <c r="G919" s="3901"/>
      <c r="H919" s="3901"/>
      <c r="I919" s="3901"/>
      <c r="J919" s="232"/>
      <c r="K919" s="232"/>
      <c r="L919" s="232"/>
      <c r="N919" s="212">
        <f t="shared" si="17"/>
        <v>682</v>
      </c>
    </row>
    <row r="920" spans="3:14" ht="12" customHeight="1">
      <c r="C920" s="231"/>
      <c r="D920" s="3948" t="s">
        <v>1520</v>
      </c>
      <c r="E920" s="3949"/>
      <c r="F920" s="3949"/>
      <c r="G920" s="3949"/>
      <c r="H920" s="3949"/>
      <c r="I920" s="3949"/>
      <c r="J920" s="232"/>
      <c r="K920" s="232"/>
      <c r="L920" s="232"/>
      <c r="N920" s="212">
        <f t="shared" si="17"/>
        <v>683</v>
      </c>
    </row>
    <row r="921" spans="3:14" ht="12" customHeight="1">
      <c r="C921" s="231"/>
      <c r="D921" s="3900" t="s">
        <v>779</v>
      </c>
      <c r="E921" s="3901"/>
      <c r="F921" s="3901"/>
      <c r="G921" s="3901"/>
      <c r="H921" s="3901"/>
      <c r="I921" s="3901"/>
      <c r="J921" s="232"/>
      <c r="K921" s="232"/>
      <c r="L921" s="232"/>
      <c r="N921" s="212">
        <f t="shared" si="17"/>
        <v>684</v>
      </c>
    </row>
    <row r="922" spans="3:14" ht="12" customHeight="1">
      <c r="C922" s="231"/>
      <c r="D922" s="3900" t="s">
        <v>1521</v>
      </c>
      <c r="E922" s="3901"/>
      <c r="F922" s="3901"/>
      <c r="G922" s="3901"/>
      <c r="H922" s="3901"/>
      <c r="I922" s="3901"/>
      <c r="J922" s="232"/>
      <c r="K922" s="232"/>
      <c r="L922" s="232"/>
      <c r="N922" s="212">
        <f t="shared" si="17"/>
        <v>685</v>
      </c>
    </row>
    <row r="923" spans="3:14" ht="12" customHeight="1">
      <c r="C923" s="231"/>
      <c r="D923" s="3900" t="s">
        <v>1522</v>
      </c>
      <c r="E923" s="3901"/>
      <c r="F923" s="3901"/>
      <c r="G923" s="3901"/>
      <c r="H923" s="3901"/>
      <c r="I923" s="3901"/>
      <c r="J923" s="232"/>
      <c r="K923" s="232"/>
      <c r="L923" s="232"/>
      <c r="N923" s="212">
        <f t="shared" si="17"/>
        <v>686</v>
      </c>
    </row>
    <row r="924" spans="3:14" ht="12" customHeight="1">
      <c r="C924" s="231"/>
      <c r="D924" s="3900" t="s">
        <v>1523</v>
      </c>
      <c r="E924" s="3901"/>
      <c r="F924" s="3901"/>
      <c r="G924" s="3901"/>
      <c r="H924" s="3901"/>
      <c r="I924" s="3901"/>
      <c r="J924" s="232"/>
      <c r="K924" s="232"/>
      <c r="L924" s="232"/>
      <c r="N924" s="212">
        <f t="shared" si="17"/>
        <v>687</v>
      </c>
    </row>
    <row r="925" spans="3:14" ht="12" customHeight="1">
      <c r="C925" s="231"/>
      <c r="D925" s="3900"/>
      <c r="E925" s="3901"/>
      <c r="F925" s="3901"/>
      <c r="G925" s="3901"/>
      <c r="H925" s="3901"/>
      <c r="I925" s="3901"/>
      <c r="J925" s="232"/>
      <c r="K925" s="232"/>
      <c r="L925" s="232"/>
      <c r="N925" s="212">
        <f t="shared" si="17"/>
        <v>687</v>
      </c>
    </row>
    <row r="926" spans="3:14" ht="12" customHeight="1">
      <c r="C926" s="231"/>
      <c r="D926" s="3900" t="s">
        <v>1527</v>
      </c>
      <c r="E926" s="3900"/>
      <c r="F926" s="3900"/>
      <c r="G926" s="3900"/>
      <c r="H926" s="3900"/>
      <c r="I926" s="3900"/>
      <c r="J926" s="3900"/>
      <c r="K926" s="3900"/>
      <c r="L926" s="232"/>
      <c r="N926" s="212">
        <f t="shared" si="17"/>
        <v>688</v>
      </c>
    </row>
    <row r="927" spans="3:14" ht="12" customHeight="1">
      <c r="C927" s="231"/>
      <c r="D927" s="3900" t="s">
        <v>1526</v>
      </c>
      <c r="E927" s="3900"/>
      <c r="F927" s="3900"/>
      <c r="G927" s="3900"/>
      <c r="H927" s="3900"/>
      <c r="I927" s="3900"/>
      <c r="J927" s="3900"/>
      <c r="K927" s="3900"/>
      <c r="L927" s="232"/>
      <c r="N927" s="212">
        <f t="shared" si="17"/>
        <v>689</v>
      </c>
    </row>
    <row r="928" spans="3:14" ht="12" customHeight="1">
      <c r="C928" s="231"/>
      <c r="D928" s="3900" t="s">
        <v>780</v>
      </c>
      <c r="E928" s="3901"/>
      <c r="F928" s="3901"/>
      <c r="G928" s="3901"/>
      <c r="H928" s="3901"/>
      <c r="I928" s="3901"/>
      <c r="J928" s="232"/>
      <c r="K928" s="232"/>
      <c r="L928" s="232"/>
      <c r="N928" s="212">
        <f t="shared" si="17"/>
        <v>690</v>
      </c>
    </row>
    <row r="929" spans="3:14" ht="12" customHeight="1">
      <c r="C929" s="231"/>
      <c r="D929" s="3916"/>
      <c r="E929" s="3917"/>
      <c r="F929" s="3917"/>
      <c r="G929" s="3917"/>
      <c r="H929" s="3917"/>
      <c r="I929" s="3917"/>
      <c r="J929" s="232"/>
      <c r="K929" s="232"/>
      <c r="L929" s="232"/>
      <c r="N929" s="212">
        <f t="shared" si="17"/>
        <v>690</v>
      </c>
    </row>
    <row r="930" spans="3:14" ht="12" customHeight="1">
      <c r="C930" s="231"/>
      <c r="D930" s="3955" t="s">
        <v>781</v>
      </c>
      <c r="E930" s="3956"/>
      <c r="F930" s="3956"/>
      <c r="G930" s="3956"/>
      <c r="H930" s="3956"/>
      <c r="I930" s="3956"/>
      <c r="J930" s="232"/>
      <c r="K930" s="232"/>
      <c r="L930" s="232"/>
      <c r="N930" s="212">
        <f t="shared" si="17"/>
        <v>691</v>
      </c>
    </row>
    <row r="931" spans="3:14" ht="12" customHeight="1">
      <c r="C931" s="231"/>
      <c r="D931" s="3955" t="s">
        <v>782</v>
      </c>
      <c r="E931" s="3956"/>
      <c r="F931" s="3956"/>
      <c r="G931" s="3956"/>
      <c r="H931" s="3956"/>
      <c r="I931" s="3956"/>
      <c r="J931" s="232"/>
      <c r="K931" s="232"/>
      <c r="L931" s="232"/>
      <c r="N931" s="212">
        <f t="shared" si="17"/>
        <v>692</v>
      </c>
    </row>
    <row r="932" spans="3:14" ht="12" customHeight="1">
      <c r="C932" s="231"/>
      <c r="D932" s="3900" t="s">
        <v>783</v>
      </c>
      <c r="E932" s="3901"/>
      <c r="F932" s="3901"/>
      <c r="G932" s="3901"/>
      <c r="H932" s="3901"/>
      <c r="I932" s="3901"/>
      <c r="J932" s="232"/>
      <c r="K932" s="232"/>
      <c r="L932" s="232"/>
      <c r="N932" s="212">
        <f t="shared" si="17"/>
        <v>693</v>
      </c>
    </row>
    <row r="933" spans="3:14" ht="12" customHeight="1">
      <c r="C933" s="231"/>
      <c r="D933" s="3916"/>
      <c r="E933" s="3917"/>
      <c r="F933" s="3917"/>
      <c r="G933" s="3917"/>
      <c r="H933" s="3917"/>
      <c r="I933" s="3917"/>
      <c r="J933" s="232"/>
      <c r="K933" s="232"/>
      <c r="L933" s="232"/>
      <c r="N933" s="212">
        <f t="shared" si="17"/>
        <v>693</v>
      </c>
    </row>
    <row r="934" spans="3:14" ht="12" customHeight="1">
      <c r="C934" s="231"/>
      <c r="D934" s="3955" t="s">
        <v>784</v>
      </c>
      <c r="E934" s="3956"/>
      <c r="F934" s="3956"/>
      <c r="G934" s="3956"/>
      <c r="H934" s="3956"/>
      <c r="I934" s="3956"/>
      <c r="J934" s="232"/>
      <c r="K934" s="232"/>
      <c r="L934" s="232"/>
      <c r="N934" s="212">
        <f t="shared" si="17"/>
        <v>694</v>
      </c>
    </row>
    <row r="935" spans="3:14" ht="12" customHeight="1">
      <c r="C935" s="231"/>
      <c r="D935" s="3900" t="s">
        <v>1528</v>
      </c>
      <c r="E935" s="3900"/>
      <c r="F935" s="3900"/>
      <c r="G935" s="3900"/>
      <c r="H935" s="3900"/>
      <c r="I935" s="3900"/>
      <c r="J935" s="3900"/>
      <c r="K935" s="3900"/>
      <c r="L935" s="232"/>
      <c r="N935" s="212">
        <f t="shared" si="17"/>
        <v>695</v>
      </c>
    </row>
    <row r="936" spans="3:14" ht="12" customHeight="1">
      <c r="C936" s="231"/>
      <c r="D936" s="3900" t="s">
        <v>1529</v>
      </c>
      <c r="E936" s="3901"/>
      <c r="F936" s="3901"/>
      <c r="G936" s="3901"/>
      <c r="H936" s="3901"/>
      <c r="I936" s="3901"/>
      <c r="J936" s="232"/>
      <c r="K936" s="232"/>
      <c r="L936" s="232"/>
      <c r="N936" s="212">
        <f t="shared" si="17"/>
        <v>696</v>
      </c>
    </row>
    <row r="937" spans="3:14" ht="12" customHeight="1">
      <c r="C937" s="231"/>
      <c r="D937" s="3900" t="s">
        <v>1530</v>
      </c>
      <c r="E937" s="3901"/>
      <c r="F937" s="3901"/>
      <c r="G937" s="3901"/>
      <c r="H937" s="3901"/>
      <c r="I937" s="3901"/>
      <c r="J937" s="232"/>
      <c r="K937" s="232"/>
      <c r="L937" s="232"/>
      <c r="N937" s="212">
        <f t="shared" si="17"/>
        <v>697</v>
      </c>
    </row>
    <row r="938" spans="3:14" ht="12" customHeight="1">
      <c r="C938" s="231"/>
      <c r="D938" s="3900" t="s">
        <v>1531</v>
      </c>
      <c r="E938" s="3900"/>
      <c r="F938" s="3900"/>
      <c r="G938" s="3900"/>
      <c r="H938" s="3900"/>
      <c r="I938" s="3900"/>
      <c r="J938" s="3900"/>
      <c r="K938" s="3900"/>
      <c r="L938" s="232"/>
      <c r="N938" s="212">
        <f t="shared" si="17"/>
        <v>698</v>
      </c>
    </row>
    <row r="939" spans="3:14" ht="12" customHeight="1">
      <c r="C939" s="231"/>
      <c r="D939" s="3900" t="s">
        <v>1532</v>
      </c>
      <c r="E939" s="3900"/>
      <c r="F939" s="3900"/>
      <c r="G939" s="3900"/>
      <c r="H939" s="3900"/>
      <c r="I939" s="3900"/>
      <c r="J939" s="3900"/>
      <c r="K939" s="3900"/>
      <c r="L939" s="232"/>
      <c r="N939" s="212">
        <f t="shared" si="17"/>
        <v>699</v>
      </c>
    </row>
    <row r="940" spans="3:14" ht="12" customHeight="1">
      <c r="C940" s="231"/>
      <c r="D940" s="3900" t="s">
        <v>1534</v>
      </c>
      <c r="E940" s="3900"/>
      <c r="F940" s="3900"/>
      <c r="G940" s="3900"/>
      <c r="H940" s="3900"/>
      <c r="I940" s="3900"/>
      <c r="J940" s="3900"/>
      <c r="K940" s="3900"/>
      <c r="L940" s="232"/>
      <c r="N940" s="212">
        <f t="shared" si="17"/>
        <v>700</v>
      </c>
    </row>
    <row r="941" spans="3:14" ht="12" customHeight="1">
      <c r="C941" s="231"/>
      <c r="D941" s="3900" t="s">
        <v>1533</v>
      </c>
      <c r="E941" s="3901"/>
      <c r="F941" s="3901"/>
      <c r="G941" s="3901"/>
      <c r="H941" s="3901"/>
      <c r="I941" s="3901"/>
      <c r="J941" s="232"/>
      <c r="K941" s="232"/>
      <c r="L941" s="232"/>
      <c r="N941" s="212">
        <f t="shared" si="17"/>
        <v>701</v>
      </c>
    </row>
    <row r="942" spans="3:14" ht="12" customHeight="1">
      <c r="C942" s="231"/>
      <c r="D942" s="3916"/>
      <c r="E942" s="3917"/>
      <c r="F942" s="3917"/>
      <c r="G942" s="3917"/>
      <c r="H942" s="3917"/>
      <c r="I942" s="3917"/>
      <c r="J942" s="232"/>
      <c r="K942" s="232"/>
      <c r="L942" s="232"/>
      <c r="N942" s="212">
        <f t="shared" si="17"/>
        <v>701</v>
      </c>
    </row>
    <row r="943" spans="3:14" ht="12" customHeight="1">
      <c r="C943" s="231"/>
      <c r="D943" s="3955" t="s">
        <v>785</v>
      </c>
      <c r="E943" s="3956"/>
      <c r="F943" s="3956"/>
      <c r="G943" s="3956"/>
      <c r="H943" s="3956"/>
      <c r="I943" s="3956"/>
      <c r="J943" s="232"/>
      <c r="K943" s="232"/>
      <c r="L943" s="232"/>
      <c r="N943" s="212">
        <f t="shared" si="17"/>
        <v>702</v>
      </c>
    </row>
    <row r="944" spans="3:14" ht="12" customHeight="1">
      <c r="C944" s="231"/>
      <c r="D944" s="3900" t="s">
        <v>1535</v>
      </c>
      <c r="E944" s="3901"/>
      <c r="F944" s="3901"/>
      <c r="G944" s="3901"/>
      <c r="H944" s="3901"/>
      <c r="I944" s="3901"/>
      <c r="J944" s="232"/>
      <c r="K944" s="232"/>
      <c r="L944" s="232"/>
      <c r="N944" s="212">
        <f t="shared" si="17"/>
        <v>703</v>
      </c>
    </row>
    <row r="945" spans="3:14" ht="12" customHeight="1">
      <c r="C945" s="231"/>
      <c r="D945" s="3900" t="s">
        <v>1536</v>
      </c>
      <c r="E945" s="3900"/>
      <c r="F945" s="3900"/>
      <c r="G945" s="3900"/>
      <c r="H945" s="3900"/>
      <c r="I945" s="3900"/>
      <c r="J945" s="3900"/>
      <c r="K945" s="3900"/>
      <c r="L945" s="232"/>
      <c r="N945" s="212">
        <f t="shared" si="17"/>
        <v>704</v>
      </c>
    </row>
    <row r="946" spans="3:14" ht="12" customHeight="1">
      <c r="C946" s="231"/>
      <c r="D946" s="3900" t="s">
        <v>1538</v>
      </c>
      <c r="E946" s="3900"/>
      <c r="F946" s="3900"/>
      <c r="G946" s="3900"/>
      <c r="H946" s="3900"/>
      <c r="I946" s="3900"/>
      <c r="J946" s="3900"/>
      <c r="K946" s="3900"/>
      <c r="L946" s="232"/>
      <c r="N946" s="212">
        <f t="shared" si="17"/>
        <v>705</v>
      </c>
    </row>
    <row r="947" spans="3:14" ht="12" customHeight="1">
      <c r="C947" s="231"/>
      <c r="D947" s="3900" t="s">
        <v>1537</v>
      </c>
      <c r="E947" s="3901"/>
      <c r="F947" s="3901"/>
      <c r="G947" s="3901"/>
      <c r="H947" s="3901"/>
      <c r="I947" s="3901"/>
      <c r="J947" s="232"/>
      <c r="K947" s="232"/>
      <c r="L947" s="232"/>
      <c r="N947" s="212">
        <f t="shared" si="17"/>
        <v>706</v>
      </c>
    </row>
    <row r="948" spans="3:14" ht="12" customHeight="1">
      <c r="C948" s="231"/>
      <c r="D948" s="3916"/>
      <c r="E948" s="3917"/>
      <c r="F948" s="3917"/>
      <c r="G948" s="3917"/>
      <c r="H948" s="3917"/>
      <c r="I948" s="3917"/>
      <c r="J948" s="232"/>
      <c r="K948" s="232"/>
      <c r="L948" s="232"/>
      <c r="N948" s="212">
        <f t="shared" si="17"/>
        <v>706</v>
      </c>
    </row>
    <row r="949" spans="3:14" ht="12" customHeight="1">
      <c r="C949" s="231"/>
      <c r="D949" s="3955" t="s">
        <v>786</v>
      </c>
      <c r="E949" s="3956"/>
      <c r="F949" s="3956"/>
      <c r="G949" s="3956"/>
      <c r="H949" s="3956"/>
      <c r="I949" s="3956"/>
      <c r="J949" s="232"/>
      <c r="K949" s="232"/>
      <c r="L949" s="232"/>
      <c r="N949" s="212">
        <f t="shared" si="17"/>
        <v>707</v>
      </c>
    </row>
    <row r="950" spans="3:14" ht="12" customHeight="1">
      <c r="C950" s="231"/>
      <c r="D950" s="3900" t="s">
        <v>1540</v>
      </c>
      <c r="E950" s="3900"/>
      <c r="F950" s="3900"/>
      <c r="G950" s="3900"/>
      <c r="H950" s="3900"/>
      <c r="I950" s="3900"/>
      <c r="J950" s="3900"/>
      <c r="K950" s="3900"/>
      <c r="L950" s="232"/>
      <c r="N950" s="212">
        <f t="shared" si="17"/>
        <v>708</v>
      </c>
    </row>
    <row r="951" spans="3:14" ht="12" customHeight="1">
      <c r="C951" s="231"/>
      <c r="D951" s="3900" t="s">
        <v>1539</v>
      </c>
      <c r="E951" s="3901"/>
      <c r="F951" s="3901"/>
      <c r="G951" s="3901"/>
      <c r="H951" s="3901"/>
      <c r="I951" s="3901"/>
      <c r="J951" s="232"/>
      <c r="K951" s="232"/>
      <c r="L951" s="232"/>
      <c r="N951" s="212">
        <f t="shared" ref="N951:N1015" si="18">IF(D951="",N950,N950+1)</f>
        <v>709</v>
      </c>
    </row>
    <row r="952" spans="3:14" ht="12" customHeight="1">
      <c r="C952" s="231"/>
      <c r="D952" s="3916"/>
      <c r="E952" s="3917"/>
      <c r="F952" s="3917"/>
      <c r="G952" s="3917"/>
      <c r="H952" s="3917"/>
      <c r="I952" s="3917"/>
      <c r="J952" s="232"/>
      <c r="K952" s="232"/>
      <c r="L952" s="232"/>
      <c r="N952" s="212">
        <f t="shared" si="18"/>
        <v>709</v>
      </c>
    </row>
    <row r="953" spans="3:14" ht="12" customHeight="1">
      <c r="C953" s="231"/>
      <c r="D953" s="3955" t="s">
        <v>787</v>
      </c>
      <c r="E953" s="3956"/>
      <c r="F953" s="3956"/>
      <c r="G953" s="3956"/>
      <c r="H953" s="3956"/>
      <c r="I953" s="3956"/>
      <c r="J953" s="232"/>
      <c r="K953" s="232"/>
      <c r="L953" s="232"/>
      <c r="N953" s="212">
        <f t="shared" si="18"/>
        <v>710</v>
      </c>
    </row>
    <row r="954" spans="3:14" ht="12" customHeight="1">
      <c r="C954" s="231"/>
      <c r="D954" s="3900" t="s">
        <v>1541</v>
      </c>
      <c r="E954" s="3900"/>
      <c r="F954" s="3900"/>
      <c r="G954" s="3900"/>
      <c r="H954" s="3900"/>
      <c r="I954" s="3900"/>
      <c r="J954" s="3900"/>
      <c r="K954" s="3900"/>
      <c r="L954" s="232"/>
      <c r="N954" s="212">
        <f t="shared" si="18"/>
        <v>711</v>
      </c>
    </row>
    <row r="955" spans="3:14" ht="12" customHeight="1">
      <c r="C955" s="231"/>
      <c r="D955" s="3900" t="s">
        <v>1542</v>
      </c>
      <c r="E955" s="3901"/>
      <c r="F955" s="3901"/>
      <c r="G955" s="3901"/>
      <c r="H955" s="3901"/>
      <c r="I955" s="3901"/>
      <c r="J955" s="232"/>
      <c r="K955" s="232"/>
      <c r="L955" s="232"/>
      <c r="N955" s="212">
        <f t="shared" si="18"/>
        <v>712</v>
      </c>
    </row>
    <row r="956" spans="3:14" ht="12" customHeight="1">
      <c r="C956" s="231"/>
      <c r="D956" s="738"/>
      <c r="E956" s="739"/>
      <c r="F956" s="1712"/>
      <c r="G956" s="739"/>
      <c r="H956" s="739"/>
      <c r="I956" s="739"/>
      <c r="J956" s="232"/>
      <c r="K956" s="232"/>
      <c r="L956" s="232"/>
      <c r="N956" s="212">
        <f t="shared" si="18"/>
        <v>712</v>
      </c>
    </row>
    <row r="957" spans="3:14" ht="12" customHeight="1">
      <c r="C957" s="231"/>
      <c r="D957" s="3955" t="s">
        <v>788</v>
      </c>
      <c r="E957" s="3956"/>
      <c r="F957" s="3956"/>
      <c r="G957" s="3956"/>
      <c r="H957" s="3956"/>
      <c r="I957" s="3956"/>
      <c r="J957" s="232"/>
      <c r="K957" s="232"/>
      <c r="L957" s="232"/>
      <c r="N957" s="212">
        <f>IF(D957="",N955,N955+1)</f>
        <v>713</v>
      </c>
    </row>
    <row r="958" spans="3:14" ht="12" customHeight="1">
      <c r="C958" s="231"/>
      <c r="D958" s="3900" t="s">
        <v>1543</v>
      </c>
      <c r="E958" s="3900"/>
      <c r="F958" s="3900"/>
      <c r="G958" s="3900"/>
      <c r="H958" s="3900"/>
      <c r="I958" s="3900"/>
      <c r="J958" s="3900"/>
      <c r="K958" s="3900"/>
      <c r="L958" s="232"/>
      <c r="N958" s="212">
        <f t="shared" ref="N958:N963" si="19">IF(D958="",N957,N957+1)</f>
        <v>714</v>
      </c>
    </row>
    <row r="959" spans="3:14" ht="12" customHeight="1">
      <c r="C959" s="231"/>
      <c r="D959" s="3900" t="s">
        <v>1544</v>
      </c>
      <c r="E959" s="3900"/>
      <c r="F959" s="3900"/>
      <c r="G959" s="3900"/>
      <c r="H959" s="3900"/>
      <c r="I959" s="3900"/>
      <c r="J959" s="3900"/>
      <c r="K959" s="3900"/>
      <c r="L959" s="232"/>
      <c r="N959" s="212">
        <f t="shared" si="19"/>
        <v>715</v>
      </c>
    </row>
    <row r="960" spans="3:14" ht="12" customHeight="1">
      <c r="C960" s="231"/>
      <c r="D960" s="3900" t="s">
        <v>1545</v>
      </c>
      <c r="E960" s="3901"/>
      <c r="F960" s="3901"/>
      <c r="G960" s="3901"/>
      <c r="H960" s="3901"/>
      <c r="I960" s="3901"/>
      <c r="J960" s="232"/>
      <c r="K960" s="232"/>
      <c r="L960" s="232"/>
      <c r="N960" s="212">
        <f t="shared" si="19"/>
        <v>716</v>
      </c>
    </row>
    <row r="961" spans="3:14" ht="12" customHeight="1">
      <c r="C961" s="231"/>
      <c r="D961" s="738"/>
      <c r="E961" s="739"/>
      <c r="F961" s="1712"/>
      <c r="G961" s="739"/>
      <c r="H961" s="739"/>
      <c r="I961" s="739"/>
      <c r="J961" s="232"/>
      <c r="K961" s="232"/>
      <c r="L961" s="232"/>
      <c r="N961" s="212">
        <f t="shared" si="19"/>
        <v>716</v>
      </c>
    </row>
    <row r="962" spans="3:14" ht="12" customHeight="1">
      <c r="C962" s="231"/>
      <c r="D962" s="3955" t="s">
        <v>789</v>
      </c>
      <c r="E962" s="3956"/>
      <c r="F962" s="3956"/>
      <c r="G962" s="3956"/>
      <c r="H962" s="3956"/>
      <c r="I962" s="3956"/>
      <c r="J962" s="232"/>
      <c r="K962" s="232"/>
      <c r="L962" s="232"/>
      <c r="N962" s="212">
        <f t="shared" si="19"/>
        <v>717</v>
      </c>
    </row>
    <row r="963" spans="3:14" ht="12" customHeight="1">
      <c r="C963" s="231"/>
      <c r="D963" s="3900" t="s">
        <v>1546</v>
      </c>
      <c r="E963" s="3900"/>
      <c r="F963" s="3900"/>
      <c r="G963" s="3900"/>
      <c r="H963" s="3900"/>
      <c r="I963" s="3900"/>
      <c r="J963" s="3900"/>
      <c r="K963" s="3900"/>
      <c r="L963" s="232"/>
      <c r="N963" s="212">
        <f t="shared" si="19"/>
        <v>718</v>
      </c>
    </row>
    <row r="964" spans="3:14" ht="12" customHeight="1">
      <c r="C964" s="231"/>
      <c r="D964" s="3900" t="s">
        <v>1547</v>
      </c>
      <c r="E964" s="3901"/>
      <c r="F964" s="3901"/>
      <c r="G964" s="3901"/>
      <c r="H964" s="3901"/>
      <c r="I964" s="3901"/>
      <c r="J964" s="232"/>
      <c r="K964" s="232"/>
      <c r="L964" s="232"/>
      <c r="N964" s="212">
        <f>IF(D964="",N962,N962+1)</f>
        <v>718</v>
      </c>
    </row>
    <row r="965" spans="3:14" ht="12" customHeight="1">
      <c r="C965" s="231"/>
      <c r="D965" s="3900"/>
      <c r="E965" s="3901"/>
      <c r="F965" s="3901"/>
      <c r="G965" s="3901"/>
      <c r="H965" s="3901"/>
      <c r="I965" s="3901"/>
      <c r="J965" s="232"/>
      <c r="K965" s="232"/>
      <c r="L965" s="232"/>
      <c r="N965" s="212">
        <f t="shared" si="18"/>
        <v>718</v>
      </c>
    </row>
    <row r="966" spans="3:14" ht="12" customHeight="1">
      <c r="C966" s="231"/>
      <c r="D966" s="3955" t="s">
        <v>790</v>
      </c>
      <c r="E966" s="3956"/>
      <c r="F966" s="3956"/>
      <c r="G966" s="3956"/>
      <c r="H966" s="3956"/>
      <c r="I966" s="3956"/>
      <c r="J966" s="232"/>
      <c r="K966" s="232"/>
      <c r="L966" s="232"/>
      <c r="N966" s="212">
        <f t="shared" si="18"/>
        <v>719</v>
      </c>
    </row>
    <row r="967" spans="3:14" ht="12" customHeight="1">
      <c r="C967" s="231"/>
      <c r="D967" s="3900" t="s">
        <v>1548</v>
      </c>
      <c r="E967" s="3900"/>
      <c r="F967" s="3900"/>
      <c r="G967" s="3900"/>
      <c r="H967" s="3900"/>
      <c r="I967" s="3900"/>
      <c r="J967" s="3900"/>
      <c r="K967" s="3900"/>
      <c r="L967" s="232"/>
      <c r="N967" s="212">
        <f t="shared" si="18"/>
        <v>720</v>
      </c>
    </row>
    <row r="968" spans="3:14" ht="12" customHeight="1">
      <c r="C968" s="231"/>
      <c r="D968" s="3900" t="s">
        <v>1549</v>
      </c>
      <c r="E968" s="3900"/>
      <c r="F968" s="3900"/>
      <c r="G968" s="3900"/>
      <c r="H968" s="3900"/>
      <c r="I968" s="3900"/>
      <c r="J968" s="3900"/>
      <c r="K968" s="3900"/>
      <c r="L968" s="232"/>
      <c r="N968" s="212">
        <f t="shared" si="18"/>
        <v>721</v>
      </c>
    </row>
    <row r="969" spans="3:14" ht="12" customHeight="1">
      <c r="C969" s="231"/>
      <c r="D969" s="3955"/>
      <c r="E969" s="3956"/>
      <c r="F969" s="3956"/>
      <c r="G969" s="3956"/>
      <c r="H969" s="3956"/>
      <c r="I969" s="3956"/>
      <c r="J969" s="232"/>
      <c r="K969" s="232"/>
      <c r="L969" s="232"/>
      <c r="N969" s="212">
        <f t="shared" si="18"/>
        <v>721</v>
      </c>
    </row>
    <row r="970" spans="3:14" ht="12" customHeight="1">
      <c r="C970" s="231"/>
      <c r="D970" s="3955" t="s">
        <v>791</v>
      </c>
      <c r="E970" s="3956"/>
      <c r="F970" s="3956"/>
      <c r="G970" s="3956"/>
      <c r="H970" s="3956"/>
      <c r="I970" s="3956"/>
      <c r="J970" s="232"/>
      <c r="K970" s="232"/>
      <c r="L970" s="232"/>
      <c r="N970" s="212">
        <f t="shared" si="18"/>
        <v>722</v>
      </c>
    </row>
    <row r="971" spans="3:14" ht="12" customHeight="1">
      <c r="C971" s="231"/>
      <c r="D971" s="3900" t="s">
        <v>1550</v>
      </c>
      <c r="E971" s="3900"/>
      <c r="F971" s="3900"/>
      <c r="G971" s="3900"/>
      <c r="H971" s="3900"/>
      <c r="I971" s="3900"/>
      <c r="J971" s="3900"/>
      <c r="K971" s="3900"/>
      <c r="L971" s="232"/>
      <c r="N971" s="212">
        <f t="shared" si="18"/>
        <v>723</v>
      </c>
    </row>
    <row r="972" spans="3:14" ht="12" customHeight="1">
      <c r="C972" s="231"/>
      <c r="D972" s="3900" t="s">
        <v>1551</v>
      </c>
      <c r="E972" s="3900"/>
      <c r="F972" s="3900"/>
      <c r="G972" s="3900"/>
      <c r="H972" s="3900"/>
      <c r="I972" s="3900"/>
      <c r="J972" s="3900"/>
      <c r="K972" s="3900"/>
      <c r="L972" s="232"/>
      <c r="N972" s="212">
        <f t="shared" si="18"/>
        <v>724</v>
      </c>
    </row>
    <row r="973" spans="3:14" ht="12" customHeight="1">
      <c r="C973" s="231"/>
      <c r="D973" s="3900" t="s">
        <v>1552</v>
      </c>
      <c r="E973" s="3900"/>
      <c r="F973" s="3900"/>
      <c r="G973" s="3900"/>
      <c r="H973" s="3900"/>
      <c r="I973" s="3900"/>
      <c r="J973" s="3900"/>
      <c r="K973" s="3900"/>
      <c r="L973" s="232"/>
      <c r="N973" s="212">
        <f t="shared" si="18"/>
        <v>725</v>
      </c>
    </row>
    <row r="974" spans="3:14" ht="12" customHeight="1">
      <c r="C974" s="231"/>
      <c r="D974" s="3900" t="s">
        <v>1554</v>
      </c>
      <c r="E974" s="3900"/>
      <c r="F974" s="3900"/>
      <c r="G974" s="3900"/>
      <c r="H974" s="3900"/>
      <c r="I974" s="3900"/>
      <c r="J974" s="3900"/>
      <c r="K974" s="3900"/>
      <c r="L974" s="232"/>
      <c r="N974" s="212">
        <f t="shared" si="18"/>
        <v>726</v>
      </c>
    </row>
    <row r="975" spans="3:14" ht="12" customHeight="1">
      <c r="C975" s="231"/>
      <c r="D975" s="3900" t="s">
        <v>1553</v>
      </c>
      <c r="E975" s="3901"/>
      <c r="F975" s="3901"/>
      <c r="G975" s="3901"/>
      <c r="H975" s="3901"/>
      <c r="I975" s="3901"/>
      <c r="J975" s="232"/>
      <c r="K975" s="232"/>
      <c r="L975" s="232"/>
      <c r="N975" s="212">
        <f t="shared" si="18"/>
        <v>727</v>
      </c>
    </row>
    <row r="976" spans="3:14" ht="12" customHeight="1">
      <c r="C976" s="231"/>
      <c r="D976" s="3916"/>
      <c r="E976" s="3917"/>
      <c r="F976" s="3917"/>
      <c r="G976" s="3917"/>
      <c r="H976" s="3917"/>
      <c r="I976" s="3917"/>
      <c r="J976" s="232"/>
      <c r="K976" s="232"/>
      <c r="L976" s="232"/>
      <c r="N976" s="212">
        <f t="shared" si="18"/>
        <v>727</v>
      </c>
    </row>
    <row r="977" spans="3:14" ht="12" customHeight="1">
      <c r="C977" s="231"/>
      <c r="D977" s="3955" t="s">
        <v>792</v>
      </c>
      <c r="E977" s="3956"/>
      <c r="F977" s="3956"/>
      <c r="G977" s="3956"/>
      <c r="H977" s="3956"/>
      <c r="I977" s="3956"/>
      <c r="J977" s="232"/>
      <c r="K977" s="232"/>
      <c r="L977" s="232"/>
      <c r="N977" s="212">
        <f t="shared" si="18"/>
        <v>728</v>
      </c>
    </row>
    <row r="978" spans="3:14" ht="12" customHeight="1">
      <c r="C978" s="231"/>
      <c r="D978" s="3900" t="s">
        <v>1555</v>
      </c>
      <c r="E978" s="3900"/>
      <c r="F978" s="3900"/>
      <c r="G978" s="3900"/>
      <c r="H978" s="3900"/>
      <c r="I978" s="3900"/>
      <c r="J978" s="3900"/>
      <c r="K978" s="3900"/>
      <c r="L978" s="232"/>
      <c r="N978" s="212">
        <f t="shared" si="18"/>
        <v>729</v>
      </c>
    </row>
    <row r="979" spans="3:14" ht="12" customHeight="1">
      <c r="C979" s="231"/>
      <c r="D979" s="3900" t="s">
        <v>1556</v>
      </c>
      <c r="E979" s="3900"/>
      <c r="F979" s="3900"/>
      <c r="G979" s="3900"/>
      <c r="H979" s="3900"/>
      <c r="I979" s="3900"/>
      <c r="J979" s="3900"/>
      <c r="K979" s="3900"/>
      <c r="L979" s="232"/>
      <c r="N979" s="212">
        <f t="shared" si="18"/>
        <v>730</v>
      </c>
    </row>
    <row r="980" spans="3:14" ht="12" customHeight="1">
      <c r="C980" s="231"/>
      <c r="D980" s="3900" t="s">
        <v>1558</v>
      </c>
      <c r="E980" s="3900"/>
      <c r="F980" s="3900"/>
      <c r="G980" s="3900"/>
      <c r="H980" s="3900"/>
      <c r="I980" s="3900"/>
      <c r="J980" s="3900"/>
      <c r="K980" s="3900"/>
      <c r="L980" s="232"/>
      <c r="N980" s="212">
        <f t="shared" si="18"/>
        <v>731</v>
      </c>
    </row>
    <row r="981" spans="3:14" ht="12" customHeight="1">
      <c r="C981" s="231"/>
      <c r="D981" s="3900" t="s">
        <v>1557</v>
      </c>
      <c r="E981" s="3901"/>
      <c r="F981" s="3901"/>
      <c r="G981" s="3901"/>
      <c r="H981" s="3901"/>
      <c r="I981" s="3901"/>
      <c r="J981" s="232"/>
      <c r="K981" s="232"/>
      <c r="L981" s="232"/>
      <c r="N981" s="212">
        <f t="shared" si="18"/>
        <v>732</v>
      </c>
    </row>
    <row r="982" spans="3:14" ht="12" customHeight="1">
      <c r="C982" s="231"/>
      <c r="D982" s="3900"/>
      <c r="E982" s="3901"/>
      <c r="F982" s="3901"/>
      <c r="G982" s="3901"/>
      <c r="H982" s="3901"/>
      <c r="I982" s="3901"/>
      <c r="J982" s="232"/>
      <c r="K982" s="232"/>
      <c r="L982" s="232"/>
      <c r="N982" s="212">
        <f t="shared" si="18"/>
        <v>732</v>
      </c>
    </row>
    <row r="983" spans="3:14" ht="12" customHeight="1">
      <c r="C983" s="231"/>
      <c r="D983" s="3955" t="s">
        <v>793</v>
      </c>
      <c r="E983" s="3956"/>
      <c r="F983" s="3956"/>
      <c r="G983" s="3956"/>
      <c r="H983" s="3956"/>
      <c r="I983" s="3956"/>
      <c r="J983" s="232"/>
      <c r="K983" s="232"/>
      <c r="L983" s="232"/>
      <c r="N983" s="212">
        <f t="shared" si="18"/>
        <v>733</v>
      </c>
    </row>
    <row r="984" spans="3:14" ht="12" customHeight="1">
      <c r="C984" s="231"/>
      <c r="D984" s="3900" t="s">
        <v>1559</v>
      </c>
      <c r="E984" s="3900"/>
      <c r="F984" s="3900"/>
      <c r="G984" s="3900"/>
      <c r="H984" s="3900"/>
      <c r="I984" s="3900"/>
      <c r="J984" s="3900"/>
      <c r="K984" s="3900"/>
      <c r="L984" s="232"/>
      <c r="N984" s="212">
        <f t="shared" si="18"/>
        <v>734</v>
      </c>
    </row>
    <row r="985" spans="3:14" ht="12" customHeight="1">
      <c r="C985" s="231"/>
      <c r="D985" s="3900" t="s">
        <v>1560</v>
      </c>
      <c r="E985" s="3900"/>
      <c r="F985" s="3900"/>
      <c r="G985" s="3900"/>
      <c r="H985" s="3900"/>
      <c r="I985" s="3900"/>
      <c r="J985" s="3900"/>
      <c r="K985" s="3900"/>
      <c r="L985" s="232"/>
      <c r="N985" s="212">
        <f t="shared" si="18"/>
        <v>735</v>
      </c>
    </row>
    <row r="986" spans="3:14" ht="12" customHeight="1">
      <c r="C986" s="231"/>
      <c r="D986" s="3900" t="s">
        <v>1561</v>
      </c>
      <c r="E986" s="3900"/>
      <c r="F986" s="3900"/>
      <c r="G986" s="3900"/>
      <c r="H986" s="3900"/>
      <c r="I986" s="3900"/>
      <c r="J986" s="3900"/>
      <c r="K986" s="3900"/>
      <c r="L986" s="232"/>
      <c r="N986" s="212">
        <f t="shared" si="18"/>
        <v>736</v>
      </c>
    </row>
    <row r="987" spans="3:14" ht="12" customHeight="1">
      <c r="C987" s="231"/>
      <c r="D987" s="3900" t="s">
        <v>1562</v>
      </c>
      <c r="E987" s="3901"/>
      <c r="F987" s="3901"/>
      <c r="G987" s="3901"/>
      <c r="H987" s="3901"/>
      <c r="I987" s="3901"/>
      <c r="J987" s="232"/>
      <c r="K987" s="232"/>
      <c r="L987" s="232"/>
      <c r="N987" s="212">
        <f t="shared" si="18"/>
        <v>737</v>
      </c>
    </row>
    <row r="988" spans="3:14" ht="12" customHeight="1">
      <c r="C988" s="231"/>
      <c r="D988" s="3900"/>
      <c r="E988" s="3901"/>
      <c r="F988" s="3901"/>
      <c r="G988" s="3901"/>
      <c r="H988" s="3901"/>
      <c r="I988" s="3901"/>
      <c r="J988" s="232"/>
      <c r="K988" s="232"/>
      <c r="L988" s="232"/>
      <c r="N988" s="212">
        <f t="shared" si="18"/>
        <v>737</v>
      </c>
    </row>
    <row r="989" spans="3:14" ht="12" customHeight="1">
      <c r="C989" s="231"/>
      <c r="D989" s="3955" t="s">
        <v>794</v>
      </c>
      <c r="E989" s="3956"/>
      <c r="F989" s="3956"/>
      <c r="G989" s="3956"/>
      <c r="H989" s="3956"/>
      <c r="I989" s="3956"/>
      <c r="J989" s="232"/>
      <c r="K989" s="232"/>
      <c r="L989" s="232"/>
      <c r="N989" s="212">
        <f t="shared" si="18"/>
        <v>738</v>
      </c>
    </row>
    <row r="990" spans="3:14" ht="12" customHeight="1">
      <c r="C990" s="231"/>
      <c r="D990" s="3900" t="s">
        <v>1564</v>
      </c>
      <c r="E990" s="3900"/>
      <c r="F990" s="3900"/>
      <c r="G990" s="3900"/>
      <c r="H990" s="3900"/>
      <c r="I990" s="3900"/>
      <c r="J990" s="3900"/>
      <c r="K990" s="3900"/>
      <c r="L990" s="232"/>
      <c r="N990" s="212">
        <f t="shared" si="18"/>
        <v>739</v>
      </c>
    </row>
    <row r="991" spans="3:14" ht="12" customHeight="1">
      <c r="C991" s="231"/>
      <c r="D991" s="3900" t="s">
        <v>1565</v>
      </c>
      <c r="E991" s="3900"/>
      <c r="F991" s="3900"/>
      <c r="G991" s="3900"/>
      <c r="H991" s="3900"/>
      <c r="I991" s="3900"/>
      <c r="J991" s="3900"/>
      <c r="K991" s="3900"/>
      <c r="L991" s="232"/>
      <c r="N991" s="212">
        <f t="shared" si="18"/>
        <v>740</v>
      </c>
    </row>
    <row r="992" spans="3:14" ht="12" customHeight="1">
      <c r="C992" s="231"/>
      <c r="D992" s="3901" t="s">
        <v>1566</v>
      </c>
      <c r="E992" s="3901"/>
      <c r="F992" s="3901"/>
      <c r="G992" s="3901"/>
      <c r="H992" s="3901"/>
      <c r="I992" s="3901"/>
      <c r="J992" s="3901"/>
      <c r="K992" s="232"/>
      <c r="L992" s="232"/>
      <c r="N992" s="212">
        <f t="shared" si="18"/>
        <v>741</v>
      </c>
    </row>
    <row r="993" spans="3:14" ht="12" customHeight="1">
      <c r="C993" s="231"/>
      <c r="D993" s="3900" t="s">
        <v>1567</v>
      </c>
      <c r="E993" s="3900"/>
      <c r="F993" s="3900"/>
      <c r="G993" s="3900"/>
      <c r="H993" s="3900"/>
      <c r="I993" s="3900"/>
      <c r="J993" s="3900"/>
      <c r="K993" s="3900"/>
      <c r="L993" s="232"/>
      <c r="N993" s="212">
        <f t="shared" si="18"/>
        <v>742</v>
      </c>
    </row>
    <row r="994" spans="3:14" ht="12" customHeight="1">
      <c r="C994" s="231"/>
      <c r="D994" s="3900" t="s">
        <v>1568</v>
      </c>
      <c r="E994" s="3900"/>
      <c r="F994" s="3900"/>
      <c r="G994" s="3900"/>
      <c r="H994" s="3900"/>
      <c r="I994" s="3900"/>
      <c r="J994" s="3900"/>
      <c r="K994" s="3900"/>
      <c r="L994" s="232"/>
      <c r="N994" s="212">
        <f t="shared" si="18"/>
        <v>743</v>
      </c>
    </row>
    <row r="995" spans="3:14" ht="12" customHeight="1">
      <c r="C995" s="231"/>
      <c r="D995" s="3900" t="s">
        <v>1569</v>
      </c>
      <c r="E995" s="3901"/>
      <c r="F995" s="3901"/>
      <c r="G995" s="3901"/>
      <c r="H995" s="3901"/>
      <c r="I995" s="3901"/>
      <c r="J995" s="232"/>
      <c r="K995" s="232"/>
      <c r="L995" s="232"/>
      <c r="N995" s="212">
        <f t="shared" si="18"/>
        <v>744</v>
      </c>
    </row>
    <row r="996" spans="3:14" ht="12" customHeight="1">
      <c r="C996" s="231"/>
      <c r="D996" s="3948" t="s">
        <v>1563</v>
      </c>
      <c r="E996" s="3949"/>
      <c r="F996" s="3949"/>
      <c r="G996" s="3949"/>
      <c r="H996" s="3949"/>
      <c r="I996" s="3949"/>
      <c r="J996" s="232"/>
      <c r="K996" s="232"/>
      <c r="L996" s="232"/>
      <c r="N996" s="212">
        <f t="shared" si="18"/>
        <v>745</v>
      </c>
    </row>
    <row r="997" spans="3:14" ht="12" customHeight="1">
      <c r="C997" s="231"/>
      <c r="D997" s="3900"/>
      <c r="E997" s="3900"/>
      <c r="F997" s="3900"/>
      <c r="G997" s="3900"/>
      <c r="H997" s="3900"/>
      <c r="I997" s="3900"/>
      <c r="J997" s="3900"/>
      <c r="K997" s="232"/>
      <c r="L997" s="232"/>
      <c r="N997" s="212">
        <f t="shared" si="18"/>
        <v>745</v>
      </c>
    </row>
    <row r="998" spans="3:14" ht="12" customHeight="1">
      <c r="C998" s="231"/>
      <c r="D998" s="541"/>
      <c r="E998" s="3900" t="s">
        <v>1570</v>
      </c>
      <c r="F998" s="3900"/>
      <c r="G998" s="3900"/>
      <c r="H998" s="3900"/>
      <c r="I998" s="3900"/>
      <c r="J998" s="3900"/>
      <c r="K998" s="3900"/>
      <c r="L998" s="232"/>
      <c r="N998" s="212">
        <f t="shared" si="18"/>
        <v>745</v>
      </c>
    </row>
    <row r="999" spans="3:14" ht="12" customHeight="1">
      <c r="C999" s="231"/>
      <c r="D999" s="542"/>
      <c r="E999" s="3900" t="s">
        <v>1571</v>
      </c>
      <c r="F999" s="3901"/>
      <c r="G999" s="3901"/>
      <c r="H999" s="3901"/>
      <c r="I999" s="3901"/>
      <c r="J999" s="3901"/>
      <c r="K999" s="232"/>
      <c r="L999" s="232"/>
      <c r="N999" s="212">
        <f t="shared" si="18"/>
        <v>745</v>
      </c>
    </row>
    <row r="1000" spans="3:14" ht="12" customHeight="1">
      <c r="C1000" s="231"/>
      <c r="D1000" s="541"/>
      <c r="E1000" s="3916"/>
      <c r="F1000" s="3917"/>
      <c r="G1000" s="3917"/>
      <c r="H1000" s="3917"/>
      <c r="I1000" s="3917"/>
      <c r="J1000" s="3917"/>
      <c r="K1000" s="232"/>
      <c r="L1000" s="232"/>
      <c r="N1000" s="212">
        <f t="shared" si="18"/>
        <v>745</v>
      </c>
    </row>
    <row r="1001" spans="3:14" ht="12" customHeight="1">
      <c r="C1001" s="231"/>
      <c r="D1001" s="541"/>
      <c r="E1001" s="3948" t="s">
        <v>795</v>
      </c>
      <c r="F1001" s="3949"/>
      <c r="G1001" s="3949"/>
      <c r="H1001" s="3949"/>
      <c r="I1001" s="3949"/>
      <c r="J1001" s="3949"/>
      <c r="K1001" s="232"/>
      <c r="L1001" s="232"/>
      <c r="N1001" s="212">
        <f t="shared" si="18"/>
        <v>745</v>
      </c>
    </row>
    <row r="1002" spans="3:14" ht="12" customHeight="1">
      <c r="C1002" s="231"/>
      <c r="D1002" s="3900"/>
      <c r="E1002" s="3901"/>
      <c r="F1002" s="3901"/>
      <c r="G1002" s="3901"/>
      <c r="H1002" s="3901"/>
      <c r="I1002" s="3901"/>
      <c r="J1002" s="232"/>
      <c r="K1002" s="232"/>
      <c r="L1002" s="232"/>
      <c r="N1002" s="212">
        <f t="shared" si="18"/>
        <v>745</v>
      </c>
    </row>
    <row r="1003" spans="3:14" ht="12" customHeight="1">
      <c r="C1003" s="231"/>
      <c r="D1003" s="3900" t="s">
        <v>1572</v>
      </c>
      <c r="E1003" s="3901"/>
      <c r="F1003" s="3901"/>
      <c r="G1003" s="3901"/>
      <c r="H1003" s="3901"/>
      <c r="I1003" s="3901"/>
      <c r="J1003" s="232"/>
      <c r="K1003" s="232"/>
      <c r="L1003" s="232"/>
      <c r="N1003" s="212">
        <f>IF(D1003="",N1001,N1001+1)</f>
        <v>746</v>
      </c>
    </row>
    <row r="1004" spans="3:14" ht="12" customHeight="1">
      <c r="C1004" s="231"/>
      <c r="D1004" s="3900" t="s">
        <v>1573</v>
      </c>
      <c r="E1004" s="3901"/>
      <c r="F1004" s="3901"/>
      <c r="G1004" s="3901"/>
      <c r="H1004" s="3901"/>
      <c r="I1004" s="3901"/>
      <c r="J1004" s="232"/>
      <c r="K1004" s="232"/>
      <c r="L1004" s="232"/>
      <c r="N1004" s="212">
        <f t="shared" si="18"/>
        <v>747</v>
      </c>
    </row>
    <row r="1005" spans="3:14" ht="12" customHeight="1">
      <c r="C1005" s="231"/>
      <c r="D1005" s="3900" t="s">
        <v>1574</v>
      </c>
      <c r="E1005" s="3901"/>
      <c r="F1005" s="3901"/>
      <c r="G1005" s="3901"/>
      <c r="H1005" s="3901"/>
      <c r="I1005" s="3901"/>
      <c r="J1005" s="232"/>
      <c r="K1005" s="232"/>
      <c r="L1005" s="232"/>
      <c r="N1005" s="212">
        <f t="shared" si="18"/>
        <v>748</v>
      </c>
    </row>
    <row r="1006" spans="3:14" ht="12" customHeight="1">
      <c r="C1006" s="231"/>
      <c r="D1006" s="3900"/>
      <c r="E1006" s="3901"/>
      <c r="F1006" s="3901"/>
      <c r="G1006" s="3901"/>
      <c r="H1006" s="3901"/>
      <c r="I1006" s="3901"/>
      <c r="J1006" s="232"/>
      <c r="K1006" s="232"/>
      <c r="L1006" s="232"/>
      <c r="N1006" s="212">
        <f t="shared" si="18"/>
        <v>748</v>
      </c>
    </row>
    <row r="1007" spans="3:14" ht="12" customHeight="1">
      <c r="C1007" s="231"/>
      <c r="D1007" s="3900" t="s">
        <v>1575</v>
      </c>
      <c r="E1007" s="3900"/>
      <c r="F1007" s="3900"/>
      <c r="G1007" s="3900"/>
      <c r="H1007" s="3900"/>
      <c r="I1007" s="3900"/>
      <c r="J1007" s="3900"/>
      <c r="K1007" s="3900"/>
      <c r="L1007" s="232"/>
      <c r="N1007" s="212">
        <f t="shared" si="18"/>
        <v>749</v>
      </c>
    </row>
    <row r="1008" spans="3:14" ht="12" customHeight="1">
      <c r="C1008" s="231"/>
      <c r="D1008" s="3900" t="s">
        <v>1576</v>
      </c>
      <c r="E1008" s="3901"/>
      <c r="F1008" s="3901"/>
      <c r="G1008" s="3901"/>
      <c r="H1008" s="3901"/>
      <c r="I1008" s="3901"/>
      <c r="J1008" s="232"/>
      <c r="K1008" s="232"/>
      <c r="L1008" s="232"/>
      <c r="N1008" s="212">
        <f t="shared" si="18"/>
        <v>750</v>
      </c>
    </row>
    <row r="1009" spans="1:14" ht="12" customHeight="1">
      <c r="C1009" s="231"/>
      <c r="D1009" s="3916"/>
      <c r="E1009" s="3917"/>
      <c r="F1009" s="3917"/>
      <c r="G1009" s="3917"/>
      <c r="H1009" s="3917"/>
      <c r="I1009" s="3917"/>
      <c r="J1009" s="232"/>
      <c r="K1009" s="232"/>
      <c r="L1009" s="232"/>
      <c r="N1009" s="212">
        <f t="shared" si="18"/>
        <v>750</v>
      </c>
    </row>
    <row r="1010" spans="1:14" ht="12" customHeight="1">
      <c r="C1010" s="231"/>
      <c r="D1010" s="3965" t="s">
        <v>1577</v>
      </c>
      <c r="E1010" s="3966"/>
      <c r="F1010" s="3966"/>
      <c r="G1010" s="3966"/>
      <c r="H1010" s="3966"/>
      <c r="I1010" s="3966"/>
      <c r="J1010" s="232"/>
      <c r="K1010" s="232"/>
      <c r="L1010" s="232"/>
      <c r="N1010" s="212">
        <f t="shared" si="18"/>
        <v>751</v>
      </c>
    </row>
    <row r="1011" spans="1:14" ht="12" customHeight="1">
      <c r="C1011" s="231"/>
      <c r="D1011" s="3965" t="s">
        <v>796</v>
      </c>
      <c r="E1011" s="3966"/>
      <c r="F1011" s="3966"/>
      <c r="G1011" s="3966"/>
      <c r="H1011" s="3966"/>
      <c r="I1011" s="3966"/>
      <c r="J1011" s="232"/>
      <c r="K1011" s="232"/>
      <c r="L1011" s="232"/>
      <c r="N1011" s="212">
        <f t="shared" si="18"/>
        <v>752</v>
      </c>
    </row>
    <row r="1012" spans="1:14" ht="12" customHeight="1">
      <c r="C1012" s="231"/>
      <c r="D1012" s="3965" t="s">
        <v>797</v>
      </c>
      <c r="E1012" s="3966"/>
      <c r="F1012" s="3966"/>
      <c r="G1012" s="3966"/>
      <c r="H1012" s="3966"/>
      <c r="I1012" s="3966"/>
      <c r="J1012" s="232"/>
      <c r="K1012" s="232"/>
      <c r="L1012" s="232"/>
      <c r="N1012" s="212">
        <f t="shared" si="18"/>
        <v>753</v>
      </c>
    </row>
    <row r="1013" spans="1:14" ht="12" customHeight="1">
      <c r="C1013" s="231"/>
      <c r="D1013" s="3965" t="s">
        <v>1578</v>
      </c>
      <c r="E1013" s="3966"/>
      <c r="F1013" s="3966"/>
      <c r="G1013" s="3966"/>
      <c r="H1013" s="3966"/>
      <c r="I1013" s="3966"/>
      <c r="J1013" s="232"/>
      <c r="K1013" s="232"/>
      <c r="L1013" s="232"/>
      <c r="N1013" s="212">
        <f t="shared" si="18"/>
        <v>754</v>
      </c>
    </row>
    <row r="1014" spans="1:14" ht="12" customHeight="1">
      <c r="C1014" s="231"/>
      <c r="D1014" s="3900"/>
      <c r="E1014" s="3901"/>
      <c r="F1014" s="3901"/>
      <c r="G1014" s="3901"/>
      <c r="H1014" s="3901"/>
      <c r="I1014" s="3901"/>
      <c r="J1014" s="232"/>
      <c r="K1014" s="232"/>
      <c r="L1014" s="232"/>
      <c r="N1014" s="212">
        <f t="shared" si="18"/>
        <v>754</v>
      </c>
    </row>
    <row r="1015" spans="1:14" ht="12" customHeight="1">
      <c r="C1015" s="231"/>
      <c r="D1015" s="738"/>
      <c r="E1015" s="739"/>
      <c r="F1015" s="1712"/>
      <c r="G1015" s="739"/>
      <c r="H1015" s="739"/>
      <c r="I1015" s="739"/>
      <c r="J1015" s="232"/>
      <c r="K1015" s="232"/>
      <c r="L1015" s="232"/>
      <c r="N1015" s="212">
        <f t="shared" si="18"/>
        <v>754</v>
      </c>
    </row>
    <row r="1016" spans="1:14" ht="12" customHeight="1">
      <c r="C1016" s="231"/>
      <c r="D1016" s="3907"/>
      <c r="E1016" s="3908"/>
      <c r="F1016" s="3908"/>
      <c r="G1016" s="3908"/>
      <c r="H1016" s="3908"/>
      <c r="I1016" s="3908"/>
      <c r="J1016" s="232"/>
      <c r="K1016" s="232"/>
      <c r="L1016" s="232"/>
      <c r="N1016" s="212">
        <f>IF(D1016="",N1015,N1015+1)</f>
        <v>754</v>
      </c>
    </row>
    <row r="1017" spans="1:14" ht="12" customHeight="1">
      <c r="C1017" s="231"/>
      <c r="D1017" s="738"/>
      <c r="E1017" s="739"/>
      <c r="F1017" s="1712"/>
      <c r="G1017" s="739"/>
      <c r="H1017" s="739"/>
      <c r="I1017" s="739"/>
      <c r="J1017" s="232"/>
      <c r="K1017" s="232"/>
      <c r="L1017" s="232"/>
      <c r="N1017" s="212">
        <f>IF(D1017="",N1016,N1016+1)</f>
        <v>754</v>
      </c>
    </row>
    <row r="1018" spans="1:14" ht="12" customHeight="1">
      <c r="C1018" s="231"/>
      <c r="D1018" s="3916"/>
      <c r="E1018" s="3917"/>
      <c r="F1018" s="3917"/>
      <c r="G1018" s="3917"/>
      <c r="H1018" s="3917"/>
      <c r="I1018" s="3917"/>
      <c r="J1018" s="232"/>
      <c r="K1018" s="232"/>
      <c r="L1018" s="232"/>
      <c r="N1018" s="212">
        <f>IF(D1018="",N1017,N1017+1)</f>
        <v>754</v>
      </c>
    </row>
    <row r="1019" spans="1:14" ht="12" customHeight="1">
      <c r="C1019" s="231"/>
      <c r="D1019" s="3916"/>
      <c r="E1019" s="3917"/>
      <c r="F1019" s="3917"/>
      <c r="G1019" s="3917"/>
      <c r="H1019" s="3917"/>
      <c r="I1019" s="3917"/>
      <c r="J1019" s="232"/>
      <c r="K1019" s="232"/>
      <c r="L1019" s="232"/>
      <c r="N1019" s="212">
        <f>IF(D1019="",N1018,N1018+1)</f>
        <v>754</v>
      </c>
    </row>
    <row r="1020" spans="1:14" ht="12" customHeight="1">
      <c r="C1020" s="231"/>
      <c r="D1020" s="3904"/>
      <c r="E1020" s="3905"/>
      <c r="F1020" s="3905"/>
      <c r="G1020" s="3905"/>
      <c r="H1020" s="3905"/>
      <c r="I1020" s="3905"/>
      <c r="J1020" s="232"/>
      <c r="K1020" s="232"/>
      <c r="L1020" s="232"/>
      <c r="N1020" s="212">
        <f>IF(D1020="",N1019,N1019+1)</f>
        <v>754</v>
      </c>
    </row>
    <row r="1021" spans="1:14" ht="12" customHeight="1">
      <c r="C1021" s="231"/>
      <c r="D1021" s="3904"/>
      <c r="E1021" s="3905"/>
      <c r="F1021" s="3905"/>
      <c r="G1021" s="3905"/>
      <c r="H1021" s="3905"/>
      <c r="I1021" s="3905"/>
      <c r="J1021" s="232"/>
      <c r="K1021" s="232"/>
      <c r="L1021" s="232"/>
      <c r="N1021" s="212">
        <f t="shared" ref="N1021:N1083" si="20">IF(D1021="",N1020,N1020+1)</f>
        <v>754</v>
      </c>
    </row>
    <row r="1022" spans="1:14" ht="12" customHeight="1">
      <c r="C1022" s="231"/>
      <c r="D1022" s="3904"/>
      <c r="E1022" s="3905"/>
      <c r="F1022" s="3905"/>
      <c r="G1022" s="3905"/>
      <c r="H1022" s="3905"/>
      <c r="I1022" s="3905"/>
      <c r="J1022" s="232"/>
      <c r="K1022" s="232"/>
      <c r="L1022" s="232"/>
      <c r="N1022" s="212">
        <f t="shared" si="20"/>
        <v>754</v>
      </c>
    </row>
    <row r="1023" spans="1:14" ht="12" customHeight="1" thickBot="1">
      <c r="A1023" s="3906"/>
      <c r="C1023" s="231"/>
      <c r="D1023" s="3904"/>
      <c r="E1023" s="3905"/>
      <c r="F1023" s="3905"/>
      <c r="G1023" s="3905"/>
      <c r="H1023" s="3905"/>
      <c r="I1023" s="3905"/>
      <c r="J1023" s="232"/>
      <c r="K1023" s="232"/>
      <c r="L1023" s="232"/>
      <c r="N1023" s="212">
        <f t="shared" si="20"/>
        <v>754</v>
      </c>
    </row>
    <row r="1024" spans="1:14" ht="15" customHeight="1" thickBot="1">
      <c r="A1024" s="3906"/>
      <c r="C1024" s="760"/>
      <c r="D1024" s="3947" t="s">
        <v>798</v>
      </c>
      <c r="E1024" s="3947"/>
      <c r="F1024" s="3947"/>
      <c r="G1024" s="3947"/>
      <c r="H1024" s="3947"/>
      <c r="I1024" s="3947"/>
      <c r="J1024" s="232"/>
      <c r="K1024" s="197" t="s">
        <v>576</v>
      </c>
      <c r="L1024" s="232"/>
      <c r="N1024" s="212">
        <f t="shared" si="20"/>
        <v>755</v>
      </c>
    </row>
    <row r="1025" spans="1:14" ht="12" customHeight="1" thickBot="1">
      <c r="A1025" s="3906"/>
      <c r="C1025" s="231"/>
      <c r="D1025" s="3904"/>
      <c r="E1025" s="3905"/>
      <c r="F1025" s="3905"/>
      <c r="G1025" s="3905"/>
      <c r="H1025" s="3905"/>
      <c r="I1025" s="3905"/>
      <c r="J1025" s="232"/>
      <c r="K1025" s="1732" t="s">
        <v>551</v>
      </c>
      <c r="L1025" s="232"/>
      <c r="N1025" s="212">
        <f t="shared" si="20"/>
        <v>755</v>
      </c>
    </row>
    <row r="1026" spans="1:14" ht="12" customHeight="1">
      <c r="A1026" s="3906"/>
      <c r="C1026" s="231"/>
      <c r="D1026" s="3912" t="s">
        <v>1586</v>
      </c>
      <c r="E1026" s="3913"/>
      <c r="F1026" s="3913"/>
      <c r="G1026" s="3913"/>
      <c r="H1026" s="3913"/>
      <c r="I1026" s="3913"/>
      <c r="J1026" s="232"/>
      <c r="K1026" s="232"/>
      <c r="L1026" s="232"/>
      <c r="N1026" s="212">
        <f t="shared" si="20"/>
        <v>756</v>
      </c>
    </row>
    <row r="1027" spans="1:14" ht="12" customHeight="1">
      <c r="A1027" s="3906"/>
      <c r="C1027" s="231"/>
      <c r="D1027" s="3900" t="s">
        <v>1597</v>
      </c>
      <c r="E1027" s="3901"/>
      <c r="F1027" s="3901"/>
      <c r="G1027" s="3901"/>
      <c r="H1027" s="3901"/>
      <c r="I1027" s="3901"/>
      <c r="J1027" s="232"/>
      <c r="K1027" s="232"/>
      <c r="L1027" s="232"/>
      <c r="N1027" s="212">
        <f t="shared" si="20"/>
        <v>757</v>
      </c>
    </row>
    <row r="1028" spans="1:14" ht="12" customHeight="1">
      <c r="A1028" s="3906"/>
      <c r="C1028" s="231"/>
      <c r="D1028" s="3912" t="s">
        <v>1587</v>
      </c>
      <c r="E1028" s="3913"/>
      <c r="F1028" s="3913"/>
      <c r="G1028" s="3913"/>
      <c r="H1028" s="3913"/>
      <c r="I1028" s="3913"/>
      <c r="J1028" s="232"/>
      <c r="K1028" s="232"/>
      <c r="L1028" s="232"/>
      <c r="N1028" s="212">
        <f t="shared" si="20"/>
        <v>758</v>
      </c>
    </row>
    <row r="1029" spans="1:14" ht="12" customHeight="1">
      <c r="A1029" s="3906"/>
      <c r="C1029" s="231"/>
      <c r="D1029" s="3900" t="s">
        <v>1598</v>
      </c>
      <c r="E1029" s="3901"/>
      <c r="F1029" s="3901"/>
      <c r="G1029" s="3901"/>
      <c r="H1029" s="3901"/>
      <c r="I1029" s="3901"/>
      <c r="J1029" s="232"/>
      <c r="K1029" s="232"/>
      <c r="L1029" s="232"/>
      <c r="N1029" s="212">
        <f t="shared" si="20"/>
        <v>759</v>
      </c>
    </row>
    <row r="1030" spans="1:14" ht="12" customHeight="1">
      <c r="A1030" s="3906"/>
      <c r="C1030" s="231"/>
      <c r="D1030" s="3912"/>
      <c r="E1030" s="3912"/>
      <c r="F1030" s="3912"/>
      <c r="G1030" s="3912"/>
      <c r="H1030" s="3912"/>
      <c r="I1030" s="3912"/>
      <c r="J1030" s="232"/>
      <c r="K1030" s="232"/>
      <c r="L1030" s="232"/>
      <c r="N1030" s="212">
        <f t="shared" si="20"/>
        <v>759</v>
      </c>
    </row>
    <row r="1031" spans="1:14" ht="12" customHeight="1">
      <c r="A1031" s="3906"/>
      <c r="C1031" s="231"/>
      <c r="D1031" s="3912" t="s">
        <v>1588</v>
      </c>
      <c r="E1031" s="3913"/>
      <c r="F1031" s="3913"/>
      <c r="G1031" s="3913"/>
      <c r="H1031" s="3913"/>
      <c r="I1031" s="3913"/>
      <c r="J1031" s="232"/>
      <c r="K1031" s="232"/>
      <c r="L1031" s="232"/>
      <c r="N1031" s="212">
        <f t="shared" si="20"/>
        <v>760</v>
      </c>
    </row>
    <row r="1032" spans="1:14" ht="12" customHeight="1">
      <c r="A1032" s="3906"/>
      <c r="C1032" s="231"/>
      <c r="D1032" s="3900" t="s">
        <v>799</v>
      </c>
      <c r="E1032" s="3901"/>
      <c r="F1032" s="3901"/>
      <c r="G1032" s="3901"/>
      <c r="H1032" s="3901"/>
      <c r="I1032" s="3901"/>
      <c r="J1032" s="232"/>
      <c r="K1032" s="232"/>
      <c r="L1032" s="232"/>
      <c r="N1032" s="212">
        <f t="shared" si="20"/>
        <v>761</v>
      </c>
    </row>
    <row r="1033" spans="1:14" ht="12" customHeight="1">
      <c r="A1033" s="3906"/>
      <c r="C1033" s="231"/>
      <c r="D1033" s="3912"/>
      <c r="E1033" s="3913"/>
      <c r="F1033" s="3913"/>
      <c r="G1033" s="3913"/>
      <c r="H1033" s="3913"/>
      <c r="I1033" s="3913"/>
      <c r="J1033" s="232"/>
      <c r="K1033" s="232"/>
      <c r="L1033" s="232"/>
      <c r="N1033" s="212">
        <f t="shared" si="20"/>
        <v>761</v>
      </c>
    </row>
    <row r="1034" spans="1:14" ht="12" customHeight="1">
      <c r="A1034" s="3906"/>
      <c r="C1034" s="231"/>
      <c r="D1034" s="3948" t="s">
        <v>1589</v>
      </c>
      <c r="E1034" s="3949"/>
      <c r="F1034" s="3949"/>
      <c r="G1034" s="3949"/>
      <c r="H1034" s="3949"/>
      <c r="I1034" s="3949"/>
      <c r="J1034" s="232"/>
      <c r="K1034" s="232"/>
      <c r="L1034" s="232"/>
      <c r="N1034" s="212">
        <f t="shared" si="20"/>
        <v>762</v>
      </c>
    </row>
    <row r="1035" spans="1:14" ht="12" customHeight="1">
      <c r="A1035" s="3906"/>
      <c r="C1035" s="231"/>
      <c r="D1035" s="3900" t="s">
        <v>800</v>
      </c>
      <c r="E1035" s="3901"/>
      <c r="F1035" s="3901"/>
      <c r="G1035" s="3901"/>
      <c r="H1035" s="3901"/>
      <c r="I1035" s="3901"/>
      <c r="J1035" s="232"/>
      <c r="K1035" s="232"/>
      <c r="L1035" s="232"/>
      <c r="N1035" s="212">
        <f t="shared" si="20"/>
        <v>763</v>
      </c>
    </row>
    <row r="1036" spans="1:14" ht="12" customHeight="1">
      <c r="A1036" s="3906"/>
      <c r="C1036" s="231"/>
      <c r="D1036" s="3900" t="s">
        <v>801</v>
      </c>
      <c r="E1036" s="3901"/>
      <c r="F1036" s="3901"/>
      <c r="G1036" s="3901"/>
      <c r="H1036" s="3901"/>
      <c r="I1036" s="3901"/>
      <c r="J1036" s="232"/>
      <c r="K1036" s="232"/>
      <c r="L1036" s="232"/>
      <c r="N1036" s="212">
        <f t="shared" si="20"/>
        <v>764</v>
      </c>
    </row>
    <row r="1037" spans="1:14" ht="12" customHeight="1">
      <c r="A1037" s="3906"/>
      <c r="C1037" s="231"/>
      <c r="D1037" s="3900" t="s">
        <v>802</v>
      </c>
      <c r="E1037" s="3901"/>
      <c r="F1037" s="3901"/>
      <c r="G1037" s="3901"/>
      <c r="H1037" s="3901"/>
      <c r="I1037" s="3901"/>
      <c r="J1037" s="232"/>
      <c r="K1037" s="232"/>
      <c r="L1037" s="232"/>
      <c r="N1037" s="212">
        <f t="shared" si="20"/>
        <v>765</v>
      </c>
    </row>
    <row r="1038" spans="1:14" ht="12" customHeight="1">
      <c r="A1038" s="3906"/>
      <c r="C1038" s="231"/>
      <c r="D1038" s="3912" t="s">
        <v>1601</v>
      </c>
      <c r="E1038" s="3913"/>
      <c r="F1038" s="3913"/>
      <c r="G1038" s="3913"/>
      <c r="H1038" s="3913"/>
      <c r="I1038" s="3913"/>
      <c r="J1038" s="232"/>
      <c r="K1038" s="232"/>
      <c r="L1038" s="232"/>
      <c r="N1038" s="212">
        <f t="shared" si="20"/>
        <v>766</v>
      </c>
    </row>
    <row r="1039" spans="1:14" ht="12" customHeight="1">
      <c r="A1039" s="3906"/>
      <c r="C1039" s="231"/>
      <c r="D1039" s="3900" t="s">
        <v>1599</v>
      </c>
      <c r="E1039" s="3901"/>
      <c r="F1039" s="3901"/>
      <c r="G1039" s="3901"/>
      <c r="H1039" s="3901"/>
      <c r="I1039" s="3901"/>
      <c r="J1039" s="232"/>
      <c r="K1039" s="232"/>
      <c r="L1039" s="232"/>
      <c r="N1039" s="212">
        <f t="shared" si="20"/>
        <v>767</v>
      </c>
    </row>
    <row r="1040" spans="1:14" ht="12" customHeight="1">
      <c r="A1040" s="3906"/>
      <c r="C1040" s="231"/>
      <c r="D1040" s="3900" t="s">
        <v>1600</v>
      </c>
      <c r="E1040" s="3901"/>
      <c r="F1040" s="3901"/>
      <c r="G1040" s="3901"/>
      <c r="H1040" s="3901"/>
      <c r="I1040" s="3901"/>
      <c r="J1040" s="232"/>
      <c r="K1040" s="232"/>
      <c r="L1040" s="232"/>
      <c r="N1040" s="212">
        <f t="shared" si="20"/>
        <v>768</v>
      </c>
    </row>
    <row r="1041" spans="1:14" ht="12" customHeight="1">
      <c r="A1041" s="3906"/>
      <c r="C1041" s="231"/>
      <c r="D1041" s="3900" t="s">
        <v>1602</v>
      </c>
      <c r="E1041" s="3901"/>
      <c r="F1041" s="3901"/>
      <c r="G1041" s="3901"/>
      <c r="H1041" s="3901"/>
      <c r="I1041" s="3901"/>
      <c r="J1041" s="232"/>
      <c r="K1041" s="232"/>
      <c r="L1041" s="232"/>
      <c r="N1041" s="212">
        <f t="shared" si="20"/>
        <v>769</v>
      </c>
    </row>
    <row r="1042" spans="1:14" ht="12" customHeight="1">
      <c r="A1042" s="3906"/>
      <c r="C1042" s="231"/>
      <c r="D1042" s="3900" t="s">
        <v>1603</v>
      </c>
      <c r="E1042" s="3901"/>
      <c r="F1042" s="3901"/>
      <c r="G1042" s="3901"/>
      <c r="H1042" s="3901"/>
      <c r="I1042" s="3901"/>
      <c r="J1042" s="232"/>
      <c r="K1042" s="232"/>
      <c r="L1042" s="232"/>
      <c r="N1042" s="212"/>
    </row>
    <row r="1043" spans="1:14" ht="12" customHeight="1">
      <c r="A1043" s="3906"/>
      <c r="C1043" s="231"/>
      <c r="D1043" s="3900"/>
      <c r="E1043" s="3901"/>
      <c r="F1043" s="3901"/>
      <c r="G1043" s="3901"/>
      <c r="H1043" s="3901"/>
      <c r="I1043" s="3901"/>
      <c r="J1043" s="232"/>
      <c r="K1043" s="232"/>
      <c r="L1043" s="232"/>
      <c r="N1043" s="212">
        <f>IF(D1043="",N1041,N1041+1)</f>
        <v>769</v>
      </c>
    </row>
    <row r="1044" spans="1:14" ht="12" customHeight="1">
      <c r="A1044" s="3906"/>
      <c r="C1044" s="231"/>
      <c r="D1044" s="3948" t="s">
        <v>1590</v>
      </c>
      <c r="E1044" s="3949"/>
      <c r="F1044" s="3949"/>
      <c r="G1044" s="3949"/>
      <c r="H1044" s="3949"/>
      <c r="I1044" s="3949"/>
      <c r="J1044" s="232"/>
      <c r="K1044" s="232"/>
      <c r="L1044" s="232"/>
      <c r="N1044" s="212">
        <f>IF(D1044="",N1041,N1041+1)</f>
        <v>770</v>
      </c>
    </row>
    <row r="1045" spans="1:14" ht="12" customHeight="1">
      <c r="A1045" s="3906"/>
      <c r="C1045" s="231"/>
      <c r="D1045" s="3900" t="s">
        <v>1591</v>
      </c>
      <c r="E1045" s="3901"/>
      <c r="F1045" s="3901"/>
      <c r="G1045" s="3901"/>
      <c r="H1045" s="3901"/>
      <c r="I1045" s="3901"/>
      <c r="J1045" s="232"/>
      <c r="K1045" s="232"/>
      <c r="L1045" s="232"/>
      <c r="N1045" s="212">
        <f t="shared" si="20"/>
        <v>771</v>
      </c>
    </row>
    <row r="1046" spans="1:14" ht="12" customHeight="1">
      <c r="A1046" s="3906"/>
      <c r="C1046" s="231"/>
      <c r="D1046" s="3900" t="s">
        <v>1592</v>
      </c>
      <c r="E1046" s="3900"/>
      <c r="F1046" s="3900"/>
      <c r="G1046" s="3900"/>
      <c r="H1046" s="3900"/>
      <c r="I1046" s="3900"/>
      <c r="J1046" s="3900"/>
      <c r="K1046" s="3900"/>
      <c r="L1046" s="232"/>
      <c r="N1046" s="212">
        <f t="shared" si="20"/>
        <v>772</v>
      </c>
    </row>
    <row r="1047" spans="1:14" ht="12" customHeight="1">
      <c r="A1047" s="3906"/>
      <c r="C1047" s="231"/>
      <c r="D1047" s="3900" t="s">
        <v>803</v>
      </c>
      <c r="E1047" s="3901"/>
      <c r="F1047" s="3901"/>
      <c r="G1047" s="3901"/>
      <c r="H1047" s="3901"/>
      <c r="I1047" s="3901"/>
      <c r="J1047" s="232"/>
      <c r="K1047" s="232"/>
      <c r="L1047" s="232"/>
      <c r="N1047" s="212">
        <f t="shared" si="20"/>
        <v>773</v>
      </c>
    </row>
    <row r="1048" spans="1:14" ht="12" customHeight="1">
      <c r="A1048" s="3906"/>
      <c r="C1048" s="231"/>
      <c r="D1048" s="3912" t="s">
        <v>1604</v>
      </c>
      <c r="E1048" s="3913"/>
      <c r="F1048" s="3913"/>
      <c r="G1048" s="3913"/>
      <c r="H1048" s="3913"/>
      <c r="I1048" s="3913"/>
      <c r="J1048" s="232"/>
      <c r="K1048" s="232"/>
      <c r="L1048" s="232"/>
      <c r="N1048" s="212">
        <f t="shared" si="20"/>
        <v>774</v>
      </c>
    </row>
    <row r="1049" spans="1:14" ht="12" customHeight="1">
      <c r="A1049" s="3906"/>
      <c r="C1049" s="231"/>
      <c r="D1049" s="3912"/>
      <c r="E1049" s="3913"/>
      <c r="F1049" s="3913"/>
      <c r="G1049" s="3913"/>
      <c r="H1049" s="3913"/>
      <c r="I1049" s="3913"/>
      <c r="J1049" s="232"/>
      <c r="K1049" s="232"/>
      <c r="L1049" s="232"/>
      <c r="N1049" s="212">
        <f t="shared" si="20"/>
        <v>774</v>
      </c>
    </row>
    <row r="1050" spans="1:14" ht="12" customHeight="1">
      <c r="A1050" s="3906"/>
      <c r="C1050" s="231"/>
      <c r="D1050" s="3948" t="s">
        <v>1605</v>
      </c>
      <c r="E1050" s="3949"/>
      <c r="F1050" s="3949"/>
      <c r="G1050" s="3949"/>
      <c r="H1050" s="3949"/>
      <c r="I1050" s="3949"/>
      <c r="J1050" s="232"/>
      <c r="K1050" s="232"/>
      <c r="L1050" s="232"/>
      <c r="N1050" s="212">
        <f t="shared" si="20"/>
        <v>775</v>
      </c>
    </row>
    <row r="1051" spans="1:14" ht="12" customHeight="1">
      <c r="A1051" s="3906"/>
      <c r="C1051" s="231"/>
      <c r="D1051" s="3900" t="s">
        <v>1606</v>
      </c>
      <c r="E1051" s="3901"/>
      <c r="F1051" s="3901"/>
      <c r="G1051" s="3901"/>
      <c r="H1051" s="3901"/>
      <c r="I1051" s="3901"/>
      <c r="J1051" s="232"/>
      <c r="K1051" s="232"/>
      <c r="L1051" s="232"/>
      <c r="N1051" s="212">
        <f t="shared" si="20"/>
        <v>776</v>
      </c>
    </row>
    <row r="1052" spans="1:14" ht="12" customHeight="1">
      <c r="A1052" s="520"/>
      <c r="C1052" s="231"/>
      <c r="D1052" s="738"/>
      <c r="E1052" s="739"/>
      <c r="F1052" s="1712"/>
      <c r="G1052" s="739"/>
      <c r="H1052" s="739"/>
      <c r="I1052" s="739"/>
      <c r="J1052" s="232"/>
      <c r="K1052" s="232"/>
      <c r="L1052" s="232"/>
      <c r="N1052" s="212">
        <f t="shared" si="20"/>
        <v>776</v>
      </c>
    </row>
    <row r="1053" spans="1:14" ht="12" customHeight="1">
      <c r="C1053" s="231"/>
      <c r="D1053" s="3900" t="s">
        <v>1607</v>
      </c>
      <c r="E1053" s="3901"/>
      <c r="F1053" s="3901"/>
      <c r="G1053" s="3901"/>
      <c r="H1053" s="3901"/>
      <c r="I1053" s="3901"/>
      <c r="J1053" s="232"/>
      <c r="K1053" s="232"/>
      <c r="L1053" s="232"/>
      <c r="N1053" s="212">
        <f>IF(D1053="",N1051,N1051+1)</f>
        <v>777</v>
      </c>
    </row>
    <row r="1054" spans="1:14" ht="12" customHeight="1">
      <c r="C1054" s="231"/>
      <c r="D1054" s="3900" t="s">
        <v>1608</v>
      </c>
      <c r="E1054" s="3901"/>
      <c r="F1054" s="3901"/>
      <c r="G1054" s="3901"/>
      <c r="H1054" s="3901"/>
      <c r="I1054" s="3901"/>
      <c r="J1054" s="232"/>
      <c r="K1054" s="232"/>
      <c r="L1054" s="232"/>
      <c r="N1054" s="212">
        <f t="shared" si="20"/>
        <v>778</v>
      </c>
    </row>
    <row r="1055" spans="1:14" ht="12" customHeight="1">
      <c r="C1055" s="231"/>
      <c r="D1055" s="3912"/>
      <c r="E1055" s="3913"/>
      <c r="F1055" s="3913"/>
      <c r="G1055" s="3913"/>
      <c r="H1055" s="3913"/>
      <c r="I1055" s="3913"/>
      <c r="J1055" s="232"/>
      <c r="K1055" s="232"/>
      <c r="L1055" s="232"/>
      <c r="N1055" s="212">
        <f t="shared" si="20"/>
        <v>778</v>
      </c>
    </row>
    <row r="1056" spans="1:14" ht="12" customHeight="1">
      <c r="C1056" s="231"/>
      <c r="D1056" s="3948" t="s">
        <v>1593</v>
      </c>
      <c r="E1056" s="3949"/>
      <c r="F1056" s="3949"/>
      <c r="G1056" s="3949"/>
      <c r="H1056" s="3949"/>
      <c r="I1056" s="3949"/>
      <c r="J1056" s="232"/>
      <c r="K1056" s="232"/>
      <c r="L1056" s="232"/>
      <c r="N1056" s="212">
        <f t="shared" si="20"/>
        <v>779</v>
      </c>
    </row>
    <row r="1057" spans="3:14" ht="12" customHeight="1">
      <c r="C1057" s="231"/>
      <c r="D1057" s="3948" t="s">
        <v>1594</v>
      </c>
      <c r="E1057" s="3949"/>
      <c r="F1057" s="3949"/>
      <c r="G1057" s="3949"/>
      <c r="H1057" s="3949"/>
      <c r="I1057" s="3949"/>
      <c r="J1057" s="232"/>
      <c r="K1057" s="232"/>
      <c r="L1057" s="232"/>
      <c r="N1057" s="212">
        <f t="shared" si="20"/>
        <v>780</v>
      </c>
    </row>
    <row r="1058" spans="3:14" ht="12" customHeight="1">
      <c r="C1058" s="231"/>
      <c r="D1058" s="3948" t="s">
        <v>1595</v>
      </c>
      <c r="E1058" s="3949"/>
      <c r="F1058" s="3949"/>
      <c r="G1058" s="3949"/>
      <c r="H1058" s="3949"/>
      <c r="I1058" s="3949"/>
      <c r="J1058" s="232"/>
      <c r="K1058" s="232"/>
      <c r="L1058" s="232"/>
      <c r="N1058" s="212">
        <f t="shared" si="20"/>
        <v>781</v>
      </c>
    </row>
    <row r="1059" spans="3:14" ht="12" customHeight="1">
      <c r="C1059" s="231"/>
      <c r="D1059" s="3912"/>
      <c r="E1059" s="3913"/>
      <c r="F1059" s="3913"/>
      <c r="G1059" s="3913"/>
      <c r="H1059" s="3913"/>
      <c r="I1059" s="3913"/>
      <c r="J1059" s="232"/>
      <c r="K1059" s="232"/>
      <c r="L1059" s="232"/>
      <c r="N1059" s="212">
        <f t="shared" si="20"/>
        <v>781</v>
      </c>
    </row>
    <row r="1060" spans="3:14" ht="12" customHeight="1">
      <c r="C1060" s="231"/>
      <c r="D1060" s="3900" t="s">
        <v>1596</v>
      </c>
      <c r="E1060" s="3901"/>
      <c r="F1060" s="3901"/>
      <c r="G1060" s="3901"/>
      <c r="H1060" s="3901"/>
      <c r="I1060" s="3901"/>
      <c r="J1060" s="232"/>
      <c r="K1060" s="232"/>
      <c r="L1060" s="232"/>
      <c r="N1060" s="212">
        <f t="shared" si="20"/>
        <v>782</v>
      </c>
    </row>
    <row r="1061" spans="3:14" ht="12" customHeight="1">
      <c r="C1061" s="231"/>
      <c r="D1061" s="3904"/>
      <c r="E1061" s="3905"/>
      <c r="F1061" s="3905"/>
      <c r="G1061" s="3905"/>
      <c r="H1061" s="3905"/>
      <c r="I1061" s="3905"/>
      <c r="J1061" s="232"/>
      <c r="K1061" s="232"/>
      <c r="L1061" s="232"/>
      <c r="N1061" s="212">
        <f t="shared" si="20"/>
        <v>782</v>
      </c>
    </row>
    <row r="1062" spans="3:14" ht="12" customHeight="1">
      <c r="C1062" s="231"/>
      <c r="D1062" s="3904"/>
      <c r="E1062" s="3905"/>
      <c r="F1062" s="3905"/>
      <c r="G1062" s="3905"/>
      <c r="H1062" s="3905"/>
      <c r="I1062" s="3905"/>
      <c r="J1062" s="232"/>
      <c r="K1062" s="232"/>
      <c r="L1062" s="232"/>
      <c r="N1062" s="212">
        <f t="shared" si="20"/>
        <v>782</v>
      </c>
    </row>
    <row r="1063" spans="3:14" ht="12" customHeight="1">
      <c r="C1063" s="231"/>
      <c r="D1063" s="3901" t="s">
        <v>1609</v>
      </c>
      <c r="E1063" s="3901"/>
      <c r="F1063" s="3901"/>
      <c r="G1063" s="3901"/>
      <c r="H1063" s="3901"/>
      <c r="I1063" s="3901"/>
      <c r="J1063" s="232"/>
      <c r="K1063" s="232"/>
      <c r="L1063" s="232"/>
      <c r="N1063" s="212">
        <f t="shared" si="20"/>
        <v>783</v>
      </c>
    </row>
    <row r="1064" spans="3:14" ht="12" customHeight="1">
      <c r="C1064" s="231"/>
      <c r="D1064" s="3901" t="s">
        <v>1610</v>
      </c>
      <c r="E1064" s="3901"/>
      <c r="F1064" s="3901"/>
      <c r="G1064" s="3901"/>
      <c r="H1064" s="3901"/>
      <c r="I1064" s="3901"/>
      <c r="J1064" s="232"/>
      <c r="K1064" s="232"/>
      <c r="L1064" s="232"/>
      <c r="N1064" s="212">
        <f t="shared" si="20"/>
        <v>784</v>
      </c>
    </row>
    <row r="1065" spans="3:14" ht="12" customHeight="1">
      <c r="C1065" s="231"/>
      <c r="D1065" s="3900" t="s">
        <v>1611</v>
      </c>
      <c r="E1065" s="3901"/>
      <c r="F1065" s="3901"/>
      <c r="G1065" s="3901"/>
      <c r="H1065" s="3901"/>
      <c r="I1065" s="3901"/>
      <c r="J1065" s="232"/>
      <c r="K1065" s="232"/>
      <c r="L1065" s="232"/>
      <c r="N1065" s="212">
        <f t="shared" si="20"/>
        <v>785</v>
      </c>
    </row>
    <row r="1066" spans="3:14" ht="12" customHeight="1">
      <c r="C1066" s="231"/>
      <c r="D1066" s="3900" t="s">
        <v>1612</v>
      </c>
      <c r="E1066" s="3901"/>
      <c r="F1066" s="3901"/>
      <c r="G1066" s="3901"/>
      <c r="H1066" s="3901"/>
      <c r="I1066" s="3901"/>
      <c r="J1066" s="232"/>
      <c r="K1066" s="232"/>
      <c r="L1066" s="232"/>
      <c r="N1066" s="212">
        <f t="shared" si="20"/>
        <v>786</v>
      </c>
    </row>
    <row r="1067" spans="3:14" ht="12" customHeight="1">
      <c r="C1067" s="231"/>
      <c r="D1067" s="3901" t="s">
        <v>1613</v>
      </c>
      <c r="E1067" s="3901"/>
      <c r="F1067" s="3901"/>
      <c r="G1067" s="3901"/>
      <c r="H1067" s="3901"/>
      <c r="I1067" s="3901"/>
      <c r="J1067" s="232"/>
      <c r="K1067" s="232"/>
      <c r="L1067" s="232"/>
      <c r="N1067" s="212">
        <f t="shared" si="20"/>
        <v>787</v>
      </c>
    </row>
    <row r="1068" spans="3:14" ht="12" customHeight="1">
      <c r="C1068" s="231"/>
      <c r="D1068" s="3901" t="s">
        <v>1614</v>
      </c>
      <c r="E1068" s="3901"/>
      <c r="F1068" s="3901"/>
      <c r="G1068" s="3901"/>
      <c r="H1068" s="3901"/>
      <c r="I1068" s="3901"/>
      <c r="J1068" s="232"/>
      <c r="K1068" s="232"/>
      <c r="L1068" s="232"/>
      <c r="N1068" s="212">
        <f t="shared" si="20"/>
        <v>788</v>
      </c>
    </row>
    <row r="1069" spans="3:14" ht="12" customHeight="1">
      <c r="C1069" s="231"/>
      <c r="D1069" s="3900" t="s">
        <v>1615</v>
      </c>
      <c r="E1069" s="3901"/>
      <c r="F1069" s="3901"/>
      <c r="G1069" s="3901"/>
      <c r="H1069" s="3901"/>
      <c r="I1069" s="3901"/>
      <c r="J1069" s="232"/>
      <c r="K1069" s="232"/>
      <c r="L1069" s="232"/>
      <c r="N1069" s="212">
        <f t="shared" si="20"/>
        <v>789</v>
      </c>
    </row>
    <row r="1070" spans="3:14" ht="12" customHeight="1">
      <c r="C1070" s="231"/>
      <c r="D1070" s="3900" t="s">
        <v>1616</v>
      </c>
      <c r="E1070" s="3901"/>
      <c r="F1070" s="3901"/>
      <c r="G1070" s="3901"/>
      <c r="H1070" s="3901"/>
      <c r="I1070" s="3901"/>
      <c r="J1070" s="232"/>
      <c r="K1070" s="232"/>
      <c r="L1070" s="232"/>
      <c r="N1070" s="212">
        <f t="shared" si="20"/>
        <v>790</v>
      </c>
    </row>
    <row r="1071" spans="3:14" ht="12" customHeight="1">
      <c r="C1071" s="231"/>
      <c r="D1071" s="3904"/>
      <c r="E1071" s="3905"/>
      <c r="F1071" s="3905"/>
      <c r="G1071" s="3905"/>
      <c r="H1071" s="3905"/>
      <c r="I1071" s="3905"/>
      <c r="J1071" s="232"/>
      <c r="K1071" s="232"/>
      <c r="L1071" s="232"/>
      <c r="N1071" s="212">
        <f t="shared" si="20"/>
        <v>790</v>
      </c>
    </row>
    <row r="1072" spans="3:14" ht="12" customHeight="1">
      <c r="C1072" s="231"/>
      <c r="D1072" s="742"/>
      <c r="E1072" s="743"/>
      <c r="F1072" s="1714"/>
      <c r="G1072" s="743"/>
      <c r="H1072" s="743"/>
      <c r="I1072" s="743"/>
      <c r="J1072" s="232"/>
      <c r="K1072" s="232"/>
      <c r="L1072" s="232"/>
      <c r="N1072" s="212">
        <f t="shared" si="20"/>
        <v>790</v>
      </c>
    </row>
    <row r="1073" spans="1:14" ht="12" customHeight="1">
      <c r="C1073" s="231"/>
      <c r="D1073" s="742"/>
      <c r="E1073" s="743"/>
      <c r="F1073" s="1714"/>
      <c r="G1073" s="743"/>
      <c r="H1073" s="743"/>
      <c r="I1073" s="743"/>
      <c r="J1073" s="232"/>
      <c r="K1073" s="232"/>
      <c r="L1073" s="232"/>
      <c r="N1073" s="212">
        <f t="shared" si="20"/>
        <v>790</v>
      </c>
    </row>
    <row r="1074" spans="1:14" ht="12" customHeight="1">
      <c r="C1074" s="231"/>
      <c r="D1074" s="3904"/>
      <c r="E1074" s="3905"/>
      <c r="F1074" s="3905"/>
      <c r="G1074" s="3905"/>
      <c r="H1074" s="3905"/>
      <c r="I1074" s="3905"/>
      <c r="J1074" s="232"/>
      <c r="K1074" s="232"/>
      <c r="L1074" s="232"/>
      <c r="N1074" s="212">
        <f t="shared" si="20"/>
        <v>790</v>
      </c>
    </row>
    <row r="1075" spans="1:14" ht="12" customHeight="1">
      <c r="C1075" s="231"/>
      <c r="D1075" s="742"/>
      <c r="E1075" s="743"/>
      <c r="F1075" s="1714"/>
      <c r="G1075" s="743"/>
      <c r="H1075" s="743"/>
      <c r="I1075" s="743"/>
      <c r="J1075" s="232"/>
      <c r="K1075" s="232"/>
      <c r="L1075" s="232"/>
      <c r="N1075" s="212">
        <f t="shared" si="20"/>
        <v>790</v>
      </c>
    </row>
    <row r="1076" spans="1:14" ht="12" customHeight="1">
      <c r="C1076" s="231"/>
      <c r="D1076" s="742"/>
      <c r="E1076" s="743"/>
      <c r="F1076" s="1714"/>
      <c r="G1076" s="743"/>
      <c r="H1076" s="743"/>
      <c r="I1076" s="743"/>
      <c r="J1076" s="232"/>
      <c r="K1076" s="232"/>
      <c r="L1076" s="232"/>
      <c r="N1076" s="212">
        <f t="shared" si="20"/>
        <v>790</v>
      </c>
    </row>
    <row r="1077" spans="1:14" ht="12" customHeight="1">
      <c r="C1077" s="231"/>
      <c r="D1077" s="742"/>
      <c r="E1077" s="743"/>
      <c r="F1077" s="1714"/>
      <c r="G1077" s="743"/>
      <c r="H1077" s="743"/>
      <c r="I1077" s="743"/>
      <c r="J1077" s="232"/>
      <c r="K1077" s="232"/>
      <c r="L1077" s="232"/>
      <c r="N1077" s="212">
        <f t="shared" si="20"/>
        <v>790</v>
      </c>
    </row>
    <row r="1078" spans="1:14" ht="12" customHeight="1" thickBot="1">
      <c r="A1078" s="3906"/>
      <c r="C1078" s="231"/>
      <c r="D1078" s="3904"/>
      <c r="E1078" s="3905"/>
      <c r="F1078" s="3905"/>
      <c r="G1078" s="3905"/>
      <c r="H1078" s="3905"/>
      <c r="I1078" s="3905"/>
      <c r="J1078" s="232"/>
      <c r="K1078" s="232"/>
      <c r="L1078" s="232"/>
      <c r="N1078" s="212">
        <f t="shared" si="20"/>
        <v>790</v>
      </c>
    </row>
    <row r="1079" spans="1:14" ht="15" customHeight="1" thickBot="1">
      <c r="A1079" s="3906"/>
      <c r="C1079" s="760"/>
      <c r="D1079" s="3947" t="s">
        <v>561</v>
      </c>
      <c r="E1079" s="3947"/>
      <c r="F1079" s="3947"/>
      <c r="G1079" s="3947"/>
      <c r="H1079" s="3947"/>
      <c r="I1079" s="3947"/>
      <c r="J1079" s="232"/>
      <c r="K1079" s="197" t="s">
        <v>576</v>
      </c>
      <c r="L1079" s="232"/>
      <c r="N1079" s="212">
        <f t="shared" si="20"/>
        <v>791</v>
      </c>
    </row>
    <row r="1080" spans="1:14" ht="12" customHeight="1" thickBot="1">
      <c r="A1080" s="3906"/>
      <c r="C1080" s="231"/>
      <c r="D1080" s="3904"/>
      <c r="E1080" s="3905"/>
      <c r="F1080" s="3905"/>
      <c r="G1080" s="3905"/>
      <c r="H1080" s="3905"/>
      <c r="I1080" s="3905"/>
      <c r="J1080" s="232"/>
      <c r="K1080" s="1726" t="s">
        <v>551</v>
      </c>
      <c r="L1080" s="232"/>
      <c r="N1080" s="212">
        <f t="shared" si="20"/>
        <v>791</v>
      </c>
    </row>
    <row r="1081" spans="1:14" ht="12" customHeight="1">
      <c r="A1081" s="3906"/>
      <c r="C1081" s="231"/>
      <c r="D1081" s="3948" t="s">
        <v>1617</v>
      </c>
      <c r="E1081" s="3949"/>
      <c r="F1081" s="3949"/>
      <c r="G1081" s="3949"/>
      <c r="H1081" s="3949"/>
      <c r="I1081" s="3949"/>
      <c r="J1081" s="232"/>
      <c r="K1081" s="232"/>
      <c r="L1081" s="232"/>
      <c r="N1081" s="212">
        <f t="shared" si="20"/>
        <v>792</v>
      </c>
    </row>
    <row r="1082" spans="1:14" ht="12" customHeight="1">
      <c r="A1082" s="3906"/>
      <c r="C1082" s="231"/>
      <c r="D1082" s="3904"/>
      <c r="E1082" s="3905"/>
      <c r="F1082" s="3905"/>
      <c r="G1082" s="3905"/>
      <c r="H1082" s="3905"/>
      <c r="I1082" s="3905"/>
      <c r="J1082" s="232"/>
      <c r="K1082" s="232"/>
      <c r="L1082" s="232"/>
      <c r="N1082" s="212">
        <f t="shared" si="20"/>
        <v>792</v>
      </c>
    </row>
    <row r="1083" spans="1:14" ht="12" customHeight="1">
      <c r="A1083" s="3906"/>
      <c r="C1083" s="231"/>
      <c r="D1083" s="3914"/>
      <c r="E1083" s="3915"/>
      <c r="F1083" s="3915"/>
      <c r="G1083" s="3915"/>
      <c r="H1083" s="3915"/>
      <c r="I1083" s="3915"/>
      <c r="J1083" s="232"/>
      <c r="K1083" s="232"/>
      <c r="L1083" s="232"/>
      <c r="N1083" s="212">
        <f t="shared" si="20"/>
        <v>792</v>
      </c>
    </row>
    <row r="1084" spans="1:14" ht="12" customHeight="1">
      <c r="A1084" s="3906"/>
      <c r="C1084" s="231"/>
      <c r="D1084" s="3914" t="s">
        <v>804</v>
      </c>
      <c r="E1084" s="3915"/>
      <c r="F1084" s="3915"/>
      <c r="G1084" s="3915"/>
      <c r="H1084" s="3915"/>
      <c r="I1084" s="3915"/>
      <c r="J1084" s="232"/>
      <c r="K1084" s="232"/>
      <c r="L1084" s="232"/>
      <c r="N1084" s="212">
        <f t="shared" ref="N1084:N1147" si="21">IF(D1084="",N1083,N1083+1)</f>
        <v>793</v>
      </c>
    </row>
    <row r="1085" spans="1:14" ht="12" customHeight="1">
      <c r="A1085" s="3906"/>
      <c r="C1085" s="231"/>
      <c r="D1085" s="3914" t="s">
        <v>990</v>
      </c>
      <c r="E1085" s="3915"/>
      <c r="F1085" s="3915"/>
      <c r="G1085" s="3915"/>
      <c r="H1085" s="3915"/>
      <c r="I1085" s="3915"/>
      <c r="J1085" s="232"/>
      <c r="K1085" s="232"/>
      <c r="L1085" s="232"/>
      <c r="N1085" s="212">
        <f t="shared" si="21"/>
        <v>794</v>
      </c>
    </row>
    <row r="1086" spans="1:14" ht="12" customHeight="1">
      <c r="A1086" s="3906"/>
      <c r="C1086" s="231"/>
      <c r="D1086" s="3914" t="s">
        <v>998</v>
      </c>
      <c r="E1086" s="3915"/>
      <c r="F1086" s="3915"/>
      <c r="G1086" s="3915"/>
      <c r="H1086" s="3915"/>
      <c r="I1086" s="3915"/>
      <c r="J1086" s="232"/>
      <c r="K1086" s="232"/>
      <c r="L1086" s="232"/>
      <c r="N1086" s="212">
        <f t="shared" si="21"/>
        <v>795</v>
      </c>
    </row>
    <row r="1087" spans="1:14" ht="12" customHeight="1">
      <c r="A1087" s="3906"/>
      <c r="C1087" s="231"/>
      <c r="D1087" s="3914" t="s">
        <v>997</v>
      </c>
      <c r="E1087" s="3915"/>
      <c r="F1087" s="3915"/>
      <c r="G1087" s="3915"/>
      <c r="H1087" s="3915"/>
      <c r="I1087" s="3915"/>
      <c r="J1087" s="232"/>
      <c r="K1087" s="232"/>
      <c r="L1087" s="232"/>
      <c r="N1087" s="212">
        <f t="shared" si="21"/>
        <v>796</v>
      </c>
    </row>
    <row r="1088" spans="1:14" ht="12" customHeight="1">
      <c r="A1088" s="3906"/>
      <c r="C1088" s="231"/>
      <c r="D1088" s="3914" t="s">
        <v>996</v>
      </c>
      <c r="E1088" s="3915"/>
      <c r="F1088" s="3915"/>
      <c r="G1088" s="3915"/>
      <c r="H1088" s="3915"/>
      <c r="I1088" s="3915"/>
      <c r="J1088" s="232"/>
      <c r="K1088" s="232"/>
      <c r="L1088" s="232"/>
      <c r="N1088" s="212">
        <f t="shared" si="21"/>
        <v>797</v>
      </c>
    </row>
    <row r="1089" spans="1:14" ht="12" customHeight="1">
      <c r="A1089" s="3906"/>
      <c r="C1089" s="231"/>
      <c r="D1089" s="3914" t="s">
        <v>995</v>
      </c>
      <c r="E1089" s="3915"/>
      <c r="F1089" s="3915"/>
      <c r="G1089" s="3915"/>
      <c r="H1089" s="3915"/>
      <c r="I1089" s="3915"/>
      <c r="J1089" s="232"/>
      <c r="K1089" s="232"/>
      <c r="L1089" s="232"/>
      <c r="N1089" s="212">
        <f t="shared" si="21"/>
        <v>798</v>
      </c>
    </row>
    <row r="1090" spans="1:14" ht="12" customHeight="1">
      <c r="A1090" s="3906"/>
      <c r="C1090" s="231"/>
      <c r="D1090" s="3914" t="s">
        <v>994</v>
      </c>
      <c r="E1090" s="3915"/>
      <c r="F1090" s="3915"/>
      <c r="G1090" s="3915"/>
      <c r="H1090" s="3915"/>
      <c r="I1090" s="3915"/>
      <c r="J1090" s="232"/>
      <c r="K1090" s="232"/>
      <c r="L1090" s="232"/>
      <c r="N1090" s="212">
        <f t="shared" si="21"/>
        <v>799</v>
      </c>
    </row>
    <row r="1091" spans="1:14" ht="12" customHeight="1">
      <c r="A1091" s="3906"/>
      <c r="C1091" s="231"/>
      <c r="D1091" s="3914" t="s">
        <v>993</v>
      </c>
      <c r="E1091" s="3915"/>
      <c r="F1091" s="3915"/>
      <c r="G1091" s="3915"/>
      <c r="H1091" s="3915"/>
      <c r="I1091" s="3915"/>
      <c r="J1091" s="232"/>
      <c r="K1091" s="232"/>
      <c r="L1091" s="232"/>
      <c r="N1091" s="212">
        <f t="shared" si="21"/>
        <v>800</v>
      </c>
    </row>
    <row r="1092" spans="1:14" ht="12" customHeight="1">
      <c r="A1092" s="3906"/>
      <c r="C1092" s="231"/>
      <c r="D1092" s="3914" t="s">
        <v>993</v>
      </c>
      <c r="E1092" s="3915"/>
      <c r="F1092" s="3915"/>
      <c r="G1092" s="3915"/>
      <c r="H1092" s="3915"/>
      <c r="I1092" s="3915"/>
      <c r="J1092" s="232"/>
      <c r="K1092" s="232"/>
      <c r="L1092" s="232"/>
      <c r="N1092" s="212">
        <f t="shared" si="21"/>
        <v>801</v>
      </c>
    </row>
    <row r="1093" spans="1:14" ht="12" customHeight="1">
      <c r="A1093" s="3906"/>
      <c r="C1093" s="231"/>
      <c r="D1093" s="3914" t="s">
        <v>992</v>
      </c>
      <c r="E1093" s="3915"/>
      <c r="F1093" s="3915"/>
      <c r="G1093" s="3915"/>
      <c r="H1093" s="3915"/>
      <c r="I1093" s="3915"/>
      <c r="J1093" s="232"/>
      <c r="K1093" s="232"/>
      <c r="L1093" s="232"/>
      <c r="N1093" s="212">
        <f t="shared" si="21"/>
        <v>802</v>
      </c>
    </row>
    <row r="1094" spans="1:14" ht="12" customHeight="1">
      <c r="A1094" s="3906"/>
      <c r="C1094" s="231"/>
      <c r="D1094" s="3914" t="s">
        <v>992</v>
      </c>
      <c r="E1094" s="3915"/>
      <c r="F1094" s="3915"/>
      <c r="G1094" s="3915"/>
      <c r="H1094" s="3915"/>
      <c r="I1094" s="3915"/>
      <c r="J1094" s="232"/>
      <c r="K1094" s="232"/>
      <c r="L1094" s="232"/>
      <c r="N1094" s="212">
        <f t="shared" si="21"/>
        <v>803</v>
      </c>
    </row>
    <row r="1095" spans="1:14" ht="12" customHeight="1">
      <c r="A1095" s="3906"/>
      <c r="C1095" s="231"/>
      <c r="D1095" s="3914" t="s">
        <v>991</v>
      </c>
      <c r="E1095" s="3915"/>
      <c r="F1095" s="3915"/>
      <c r="G1095" s="3915"/>
      <c r="H1095" s="3915"/>
      <c r="I1095" s="3915"/>
      <c r="J1095" s="232"/>
      <c r="K1095" s="232"/>
      <c r="L1095" s="232"/>
      <c r="N1095" s="212">
        <f t="shared" si="21"/>
        <v>804</v>
      </c>
    </row>
    <row r="1096" spans="1:14" ht="12" customHeight="1">
      <c r="A1096" s="3906"/>
      <c r="C1096" s="231"/>
      <c r="D1096" s="3914"/>
      <c r="E1096" s="3915"/>
      <c r="F1096" s="3915"/>
      <c r="G1096" s="3915"/>
      <c r="H1096" s="3915"/>
      <c r="I1096" s="3915"/>
      <c r="J1096" s="232"/>
      <c r="K1096" s="232"/>
      <c r="L1096" s="232"/>
      <c r="N1096" s="212">
        <f t="shared" si="21"/>
        <v>804</v>
      </c>
    </row>
    <row r="1097" spans="1:14" ht="12" customHeight="1">
      <c r="A1097" s="3906"/>
      <c r="C1097" s="231"/>
      <c r="D1097" s="3914" t="s">
        <v>805</v>
      </c>
      <c r="E1097" s="3915"/>
      <c r="F1097" s="3915"/>
      <c r="G1097" s="3915"/>
      <c r="H1097" s="3915"/>
      <c r="I1097" s="3915"/>
      <c r="J1097" s="232"/>
      <c r="K1097" s="232"/>
      <c r="L1097" s="232"/>
      <c r="N1097" s="212">
        <f t="shared" si="21"/>
        <v>805</v>
      </c>
    </row>
    <row r="1098" spans="1:14" ht="12" customHeight="1">
      <c r="A1098" s="3906"/>
      <c r="C1098" s="231"/>
      <c r="D1098" s="3914" t="s">
        <v>806</v>
      </c>
      <c r="E1098" s="3915"/>
      <c r="F1098" s="3915"/>
      <c r="G1098" s="3915"/>
      <c r="H1098" s="3915"/>
      <c r="I1098" s="3915"/>
      <c r="J1098" s="232"/>
      <c r="K1098" s="232"/>
      <c r="L1098" s="232"/>
      <c r="N1098" s="212">
        <f t="shared" si="21"/>
        <v>806</v>
      </c>
    </row>
    <row r="1099" spans="1:14" ht="12" customHeight="1">
      <c r="A1099" s="3906"/>
      <c r="C1099" s="231"/>
      <c r="D1099" s="3914"/>
      <c r="E1099" s="3915"/>
      <c r="F1099" s="3915"/>
      <c r="G1099" s="3915"/>
      <c r="H1099" s="3915"/>
      <c r="I1099" s="3915"/>
      <c r="J1099" s="232"/>
      <c r="K1099" s="232"/>
      <c r="L1099" s="232"/>
      <c r="N1099" s="212">
        <f t="shared" si="21"/>
        <v>806</v>
      </c>
    </row>
    <row r="1100" spans="1:14" ht="12" customHeight="1">
      <c r="A1100" s="3906"/>
      <c r="C1100" s="231"/>
      <c r="D1100" s="3904"/>
      <c r="E1100" s="3905"/>
      <c r="F1100" s="3905"/>
      <c r="G1100" s="3905"/>
      <c r="H1100" s="3905"/>
      <c r="I1100" s="3905"/>
      <c r="J1100" s="232"/>
      <c r="K1100" s="232"/>
      <c r="L1100" s="232"/>
      <c r="N1100" s="212">
        <f>IF(D1100="",N1098,N1098+1)</f>
        <v>806</v>
      </c>
    </row>
    <row r="1101" spans="1:14" ht="12" customHeight="1">
      <c r="A1101" s="3906"/>
      <c r="C1101" s="231"/>
      <c r="D1101" s="3900" t="s">
        <v>1620</v>
      </c>
      <c r="E1101" s="3900"/>
      <c r="F1101" s="3900"/>
      <c r="G1101" s="3900"/>
      <c r="H1101" s="3900"/>
      <c r="I1101" s="3900"/>
      <c r="J1101" s="232"/>
      <c r="K1101" s="232"/>
      <c r="L1101" s="232"/>
      <c r="N1101" s="212">
        <f>IF(D1101="",N1100,N1100+1)</f>
        <v>807</v>
      </c>
    </row>
    <row r="1102" spans="1:14" ht="12" customHeight="1">
      <c r="A1102" s="3906"/>
      <c r="C1102" s="231"/>
      <c r="D1102" s="3900" t="s">
        <v>1621</v>
      </c>
      <c r="E1102" s="3901"/>
      <c r="F1102" s="3901"/>
      <c r="G1102" s="3901"/>
      <c r="H1102" s="3901"/>
      <c r="I1102" s="3901"/>
      <c r="J1102" s="232"/>
      <c r="K1102" s="232"/>
      <c r="L1102" s="232"/>
      <c r="N1102" s="212">
        <f t="shared" si="21"/>
        <v>808</v>
      </c>
    </row>
    <row r="1103" spans="1:14" ht="12" customHeight="1">
      <c r="A1103" s="3906"/>
      <c r="C1103" s="231"/>
      <c r="D1103" s="3912"/>
      <c r="E1103" s="3913"/>
      <c r="F1103" s="3913"/>
      <c r="G1103" s="3913"/>
      <c r="H1103" s="3913"/>
      <c r="I1103" s="3913"/>
      <c r="J1103" s="232"/>
      <c r="K1103" s="232"/>
      <c r="L1103" s="232"/>
      <c r="N1103" s="212">
        <f t="shared" si="21"/>
        <v>808</v>
      </c>
    </row>
    <row r="1104" spans="1:14" ht="12" customHeight="1">
      <c r="C1104" s="231"/>
      <c r="D1104" s="3900" t="s">
        <v>1622</v>
      </c>
      <c r="E1104" s="3901"/>
      <c r="F1104" s="3901"/>
      <c r="G1104" s="3901"/>
      <c r="H1104" s="3901"/>
      <c r="I1104" s="3901"/>
      <c r="J1104" s="232"/>
      <c r="K1104" s="232"/>
      <c r="L1104" s="232"/>
      <c r="N1104" s="212">
        <f t="shared" si="21"/>
        <v>809</v>
      </c>
    </row>
    <row r="1105" spans="3:14" ht="12" customHeight="1">
      <c r="C1105" s="231"/>
      <c r="D1105" s="3912"/>
      <c r="E1105" s="3913"/>
      <c r="F1105" s="3913"/>
      <c r="G1105" s="3913"/>
      <c r="H1105" s="3913"/>
      <c r="I1105" s="3913"/>
      <c r="J1105" s="232"/>
      <c r="K1105" s="232"/>
      <c r="L1105" s="232"/>
      <c r="N1105" s="212">
        <f t="shared" si="21"/>
        <v>809</v>
      </c>
    </row>
    <row r="1106" spans="3:14" ht="12" customHeight="1">
      <c r="C1106" s="231"/>
      <c r="D1106" s="3901" t="s">
        <v>1618</v>
      </c>
      <c r="E1106" s="3901"/>
      <c r="F1106" s="3901"/>
      <c r="G1106" s="3901"/>
      <c r="H1106" s="3901"/>
      <c r="I1106" s="3901"/>
      <c r="J1106" s="232"/>
      <c r="K1106" s="232"/>
      <c r="L1106" s="232"/>
      <c r="N1106" s="212">
        <f t="shared" si="21"/>
        <v>810</v>
      </c>
    </row>
    <row r="1107" spans="3:14" ht="12" customHeight="1">
      <c r="C1107" s="231"/>
      <c r="D1107" s="3900" t="s">
        <v>807</v>
      </c>
      <c r="E1107" s="3901"/>
      <c r="F1107" s="3901"/>
      <c r="G1107" s="3901"/>
      <c r="H1107" s="3901"/>
      <c r="I1107" s="3901"/>
      <c r="J1107" s="232"/>
      <c r="K1107" s="232"/>
      <c r="L1107" s="232"/>
      <c r="N1107" s="212">
        <f t="shared" si="21"/>
        <v>811</v>
      </c>
    </row>
    <row r="1108" spans="3:14" ht="12" customHeight="1">
      <c r="C1108" s="231"/>
      <c r="D1108" s="3912" t="s">
        <v>1619</v>
      </c>
      <c r="E1108" s="3913"/>
      <c r="F1108" s="3913"/>
      <c r="G1108" s="3913"/>
      <c r="H1108" s="3913"/>
      <c r="I1108" s="3913"/>
      <c r="J1108" s="232"/>
      <c r="K1108" s="232"/>
      <c r="L1108" s="232"/>
      <c r="N1108" s="212">
        <f t="shared" si="21"/>
        <v>812</v>
      </c>
    </row>
    <row r="1109" spans="3:14" ht="12" customHeight="1">
      <c r="C1109" s="231"/>
      <c r="D1109" s="3904"/>
      <c r="E1109" s="3905"/>
      <c r="F1109" s="3905"/>
      <c r="G1109" s="3905"/>
      <c r="H1109" s="3905"/>
      <c r="I1109" s="3905"/>
      <c r="J1109" s="232"/>
      <c r="K1109" s="232"/>
      <c r="L1109" s="232"/>
      <c r="N1109" s="212">
        <f t="shared" si="21"/>
        <v>812</v>
      </c>
    </row>
    <row r="1110" spans="3:14" ht="12" customHeight="1">
      <c r="C1110" s="231"/>
      <c r="D1110" s="3953" t="s">
        <v>808</v>
      </c>
      <c r="E1110" s="3954"/>
      <c r="F1110" s="3954"/>
      <c r="G1110" s="3954"/>
      <c r="H1110" s="3954"/>
      <c r="I1110" s="3954"/>
      <c r="J1110" s="232"/>
      <c r="K1110" s="232"/>
      <c r="L1110" s="232"/>
      <c r="M1110" s="193"/>
      <c r="N1110" s="212">
        <f t="shared" si="21"/>
        <v>813</v>
      </c>
    </row>
    <row r="1111" spans="3:14" ht="12" customHeight="1">
      <c r="C1111" s="231"/>
      <c r="D1111" s="3914" t="s">
        <v>972</v>
      </c>
      <c r="E1111" s="3915"/>
      <c r="F1111" s="3915"/>
      <c r="G1111" s="3915"/>
      <c r="H1111" s="3915"/>
      <c r="I1111" s="3915"/>
      <c r="J1111" s="232"/>
      <c r="K1111" s="232"/>
      <c r="L1111" s="232"/>
      <c r="M1111" s="193"/>
      <c r="N1111" s="212">
        <f t="shared" si="21"/>
        <v>814</v>
      </c>
    </row>
    <row r="1112" spans="3:14" ht="12" customHeight="1">
      <c r="C1112" s="231"/>
      <c r="D1112" s="3914" t="s">
        <v>2286</v>
      </c>
      <c r="E1112" s="3915"/>
      <c r="F1112" s="3915"/>
      <c r="G1112" s="3915"/>
      <c r="H1112" s="3915"/>
      <c r="I1112" s="3915"/>
      <c r="J1112" s="232"/>
      <c r="K1112" s="232"/>
      <c r="L1112" s="232"/>
      <c r="M1112" s="193"/>
      <c r="N1112" s="212">
        <f t="shared" si="21"/>
        <v>815</v>
      </c>
    </row>
    <row r="1113" spans="3:14" ht="12" customHeight="1">
      <c r="C1113" s="231"/>
      <c r="D1113" s="3914" t="s">
        <v>2287</v>
      </c>
      <c r="E1113" s="3915"/>
      <c r="F1113" s="3915"/>
      <c r="G1113" s="3915"/>
      <c r="H1113" s="3915"/>
      <c r="I1113" s="3915"/>
      <c r="J1113" s="232"/>
      <c r="K1113" s="232"/>
      <c r="L1113" s="232"/>
      <c r="M1113" s="193"/>
      <c r="N1113" s="212">
        <f t="shared" si="21"/>
        <v>816</v>
      </c>
    </row>
    <row r="1114" spans="3:14" ht="12" customHeight="1">
      <c r="C1114" s="231"/>
      <c r="D1114" s="3914" t="s">
        <v>986</v>
      </c>
      <c r="E1114" s="3915"/>
      <c r="F1114" s="3915"/>
      <c r="G1114" s="3915"/>
      <c r="H1114" s="3915"/>
      <c r="I1114" s="3915"/>
      <c r="J1114" s="232"/>
      <c r="K1114" s="232"/>
      <c r="L1114" s="232"/>
      <c r="M1114" s="193"/>
      <c r="N1114" s="212">
        <f t="shared" si="21"/>
        <v>817</v>
      </c>
    </row>
    <row r="1115" spans="3:14" ht="12" customHeight="1">
      <c r="C1115" s="231"/>
      <c r="D1115" s="3914" t="s">
        <v>2287</v>
      </c>
      <c r="E1115" s="3915"/>
      <c r="F1115" s="3915"/>
      <c r="G1115" s="3915"/>
      <c r="H1115" s="3915"/>
      <c r="I1115" s="3915"/>
      <c r="J1115" s="232"/>
      <c r="K1115" s="232"/>
      <c r="L1115" s="232"/>
      <c r="M1115" s="193"/>
      <c r="N1115" s="212">
        <f t="shared" si="21"/>
        <v>818</v>
      </c>
    </row>
    <row r="1116" spans="3:14" ht="12" customHeight="1">
      <c r="C1116" s="231"/>
      <c r="D1116" s="3914" t="s">
        <v>2288</v>
      </c>
      <c r="E1116" s="3915"/>
      <c r="F1116" s="3915"/>
      <c r="G1116" s="3915"/>
      <c r="H1116" s="3915"/>
      <c r="I1116" s="3915"/>
      <c r="J1116" s="232"/>
      <c r="K1116" s="232"/>
      <c r="L1116" s="232"/>
      <c r="M1116" s="193"/>
      <c r="N1116" s="212">
        <f t="shared" si="21"/>
        <v>819</v>
      </c>
    </row>
    <row r="1117" spans="3:14" ht="12" customHeight="1">
      <c r="C1117" s="231"/>
      <c r="D1117" s="3963" t="s">
        <v>987</v>
      </c>
      <c r="E1117" s="3964"/>
      <c r="F1117" s="3964"/>
      <c r="G1117" s="3964"/>
      <c r="H1117" s="3964"/>
      <c r="I1117" s="3964"/>
      <c r="J1117" s="232"/>
      <c r="K1117" s="232"/>
      <c r="L1117" s="232"/>
      <c r="M1117" s="193"/>
      <c r="N1117" s="212">
        <f t="shared" si="21"/>
        <v>820</v>
      </c>
    </row>
    <row r="1118" spans="3:14" ht="12" customHeight="1">
      <c r="C1118" s="231"/>
      <c r="D1118" s="3914" t="s">
        <v>2289</v>
      </c>
      <c r="E1118" s="3915"/>
      <c r="F1118" s="3915"/>
      <c r="G1118" s="3915"/>
      <c r="H1118" s="3915"/>
      <c r="I1118" s="3915"/>
      <c r="J1118" s="232"/>
      <c r="K1118" s="232"/>
      <c r="L1118" s="232"/>
      <c r="M1118" s="193"/>
      <c r="N1118" s="212">
        <f t="shared" si="21"/>
        <v>821</v>
      </c>
    </row>
    <row r="1119" spans="3:14" ht="12" customHeight="1">
      <c r="C1119" s="231"/>
      <c r="D1119" s="3914" t="s">
        <v>2287</v>
      </c>
      <c r="E1119" s="3915"/>
      <c r="F1119" s="3915"/>
      <c r="G1119" s="3915"/>
      <c r="H1119" s="3915"/>
      <c r="I1119" s="3915"/>
      <c r="J1119" s="232"/>
      <c r="K1119" s="232"/>
      <c r="L1119" s="232"/>
      <c r="M1119" s="193"/>
      <c r="N1119" s="212">
        <f t="shared" si="21"/>
        <v>822</v>
      </c>
    </row>
    <row r="1120" spans="3:14" ht="12" customHeight="1">
      <c r="C1120" s="231"/>
      <c r="D1120" s="3914" t="s">
        <v>988</v>
      </c>
      <c r="E1120" s="3915"/>
      <c r="F1120" s="3915"/>
      <c r="G1120" s="3915"/>
      <c r="H1120" s="3915"/>
      <c r="I1120" s="3915"/>
      <c r="J1120" s="232"/>
      <c r="K1120" s="232"/>
      <c r="L1120" s="232"/>
      <c r="M1120" s="193"/>
      <c r="N1120" s="212">
        <f t="shared" si="21"/>
        <v>823</v>
      </c>
    </row>
    <row r="1121" spans="3:14" ht="12" customHeight="1">
      <c r="C1121" s="231"/>
      <c r="D1121" s="3914" t="s">
        <v>2290</v>
      </c>
      <c r="E1121" s="3915"/>
      <c r="F1121" s="3915"/>
      <c r="G1121" s="3915"/>
      <c r="H1121" s="3915"/>
      <c r="I1121" s="3915"/>
      <c r="J1121" s="232"/>
      <c r="K1121" s="232"/>
      <c r="L1121" s="232"/>
      <c r="M1121" s="193"/>
      <c r="N1121" s="212">
        <f t="shared" si="21"/>
        <v>824</v>
      </c>
    </row>
    <row r="1122" spans="3:14" ht="12" customHeight="1">
      <c r="C1122" s="231"/>
      <c r="D1122" s="3914" t="s">
        <v>2290</v>
      </c>
      <c r="E1122" s="3915"/>
      <c r="F1122" s="3915"/>
      <c r="G1122" s="3915"/>
      <c r="H1122" s="3915"/>
      <c r="I1122" s="3915"/>
      <c r="J1122" s="232"/>
      <c r="K1122" s="232"/>
      <c r="L1122" s="232"/>
      <c r="M1122" s="193"/>
      <c r="N1122" s="212">
        <f t="shared" si="21"/>
        <v>825</v>
      </c>
    </row>
    <row r="1123" spans="3:14" ht="12" customHeight="1">
      <c r="C1123" s="231"/>
      <c r="D1123" s="3914" t="s">
        <v>989</v>
      </c>
      <c r="E1123" s="3915"/>
      <c r="F1123" s="3915"/>
      <c r="G1123" s="3915"/>
      <c r="H1123" s="3915"/>
      <c r="I1123" s="3915"/>
      <c r="J1123" s="232"/>
      <c r="K1123" s="232"/>
      <c r="L1123" s="232"/>
      <c r="M1123" s="193"/>
      <c r="N1123" s="212">
        <f t="shared" si="21"/>
        <v>826</v>
      </c>
    </row>
    <row r="1124" spans="3:14" ht="12" customHeight="1">
      <c r="C1124" s="231"/>
      <c r="D1124" s="3914" t="s">
        <v>967</v>
      </c>
      <c r="E1124" s="3915"/>
      <c r="F1124" s="3915"/>
      <c r="G1124" s="3915"/>
      <c r="H1124" s="3915"/>
      <c r="I1124" s="3915"/>
      <c r="J1124" s="232"/>
      <c r="K1124" s="232"/>
      <c r="L1124" s="232"/>
      <c r="M1124" s="193"/>
      <c r="N1124" s="212">
        <f t="shared" si="21"/>
        <v>827</v>
      </c>
    </row>
    <row r="1125" spans="3:14" ht="12" customHeight="1">
      <c r="C1125" s="231"/>
      <c r="D1125" s="3904"/>
      <c r="E1125" s="3905"/>
      <c r="F1125" s="3905"/>
      <c r="G1125" s="3905"/>
      <c r="H1125" s="3905"/>
      <c r="I1125" s="3905"/>
      <c r="J1125" s="232"/>
      <c r="K1125" s="232"/>
      <c r="L1125" s="232"/>
      <c r="M1125" s="193"/>
      <c r="N1125" s="212">
        <f t="shared" si="21"/>
        <v>827</v>
      </c>
    </row>
    <row r="1126" spans="3:14" ht="12" customHeight="1">
      <c r="C1126" s="231"/>
      <c r="D1126" s="3948" t="s">
        <v>811</v>
      </c>
      <c r="E1126" s="3949"/>
      <c r="F1126" s="3949"/>
      <c r="G1126" s="3949"/>
      <c r="H1126" s="3949"/>
      <c r="I1126" s="3949"/>
      <c r="J1126" s="232"/>
      <c r="K1126" s="232"/>
      <c r="L1126" s="232"/>
      <c r="M1126" s="193"/>
      <c r="N1126" s="212">
        <f t="shared" si="21"/>
        <v>828</v>
      </c>
    </row>
    <row r="1127" spans="3:14" ht="12" customHeight="1">
      <c r="C1127" s="231"/>
      <c r="D1127" s="3900" t="s">
        <v>1629</v>
      </c>
      <c r="E1127" s="3901"/>
      <c r="F1127" s="3901"/>
      <c r="G1127" s="3901"/>
      <c r="H1127" s="3901"/>
      <c r="I1127" s="3901"/>
      <c r="J1127" s="232"/>
      <c r="K1127" s="232"/>
      <c r="L1127" s="232"/>
      <c r="N1127" s="212">
        <f t="shared" si="21"/>
        <v>829</v>
      </c>
    </row>
    <row r="1128" spans="3:14" ht="12" customHeight="1">
      <c r="C1128" s="231"/>
      <c r="D1128" s="3900" t="s">
        <v>812</v>
      </c>
      <c r="E1128" s="3901"/>
      <c r="F1128" s="3901"/>
      <c r="G1128" s="3901"/>
      <c r="H1128" s="3901"/>
      <c r="I1128" s="3901"/>
      <c r="J1128" s="232"/>
      <c r="K1128" s="232"/>
      <c r="L1128" s="232"/>
      <c r="N1128" s="212">
        <f t="shared" si="21"/>
        <v>830</v>
      </c>
    </row>
    <row r="1129" spans="3:14" ht="12" customHeight="1">
      <c r="C1129" s="231"/>
      <c r="D1129" s="738"/>
      <c r="E1129" s="739"/>
      <c r="F1129" s="1712"/>
      <c r="G1129" s="739"/>
      <c r="H1129" s="739"/>
      <c r="I1129" s="739"/>
      <c r="J1129" s="232"/>
      <c r="K1129" s="232"/>
      <c r="L1129" s="232"/>
      <c r="N1129" s="212">
        <f t="shared" si="21"/>
        <v>830</v>
      </c>
    </row>
    <row r="1130" spans="3:14" ht="12" customHeight="1">
      <c r="C1130" s="231"/>
      <c r="D1130" s="3948" t="s">
        <v>813</v>
      </c>
      <c r="E1130" s="3949"/>
      <c r="F1130" s="3949"/>
      <c r="G1130" s="3949"/>
      <c r="H1130" s="3949"/>
      <c r="I1130" s="3949"/>
      <c r="J1130" s="232"/>
      <c r="K1130" s="232"/>
      <c r="L1130" s="232"/>
      <c r="M1130" s="193"/>
      <c r="N1130" s="212">
        <f t="shared" si="21"/>
        <v>831</v>
      </c>
    </row>
    <row r="1131" spans="3:14" ht="12" customHeight="1">
      <c r="C1131" s="231"/>
      <c r="D1131" s="3900" t="s">
        <v>1630</v>
      </c>
      <c r="E1131" s="3901"/>
      <c r="F1131" s="3901"/>
      <c r="G1131" s="3901"/>
      <c r="H1131" s="3901"/>
      <c r="I1131" s="3901"/>
      <c r="J1131" s="232"/>
      <c r="K1131" s="232"/>
      <c r="L1131" s="232"/>
      <c r="N1131" s="212">
        <f t="shared" si="21"/>
        <v>832</v>
      </c>
    </row>
    <row r="1132" spans="3:14" ht="12" customHeight="1">
      <c r="C1132" s="231"/>
      <c r="D1132" s="738"/>
      <c r="E1132" s="739"/>
      <c r="F1132" s="1712"/>
      <c r="G1132" s="739"/>
      <c r="H1132" s="739"/>
      <c r="I1132" s="739"/>
      <c r="J1132" s="232"/>
      <c r="K1132" s="232"/>
      <c r="L1132" s="232"/>
      <c r="N1132" s="212">
        <f t="shared" si="21"/>
        <v>832</v>
      </c>
    </row>
    <row r="1133" spans="3:14" ht="12" customHeight="1">
      <c r="C1133" s="231"/>
      <c r="D1133" s="3948" t="s">
        <v>814</v>
      </c>
      <c r="E1133" s="3949"/>
      <c r="F1133" s="3949"/>
      <c r="G1133" s="3949"/>
      <c r="H1133" s="3949"/>
      <c r="I1133" s="3949"/>
      <c r="J1133" s="232"/>
      <c r="K1133" s="232"/>
      <c r="L1133" s="232"/>
      <c r="M1133" s="193"/>
      <c r="N1133" s="212">
        <f t="shared" si="21"/>
        <v>833</v>
      </c>
    </row>
    <row r="1134" spans="3:14" ht="12" customHeight="1">
      <c r="C1134" s="231"/>
      <c r="D1134" s="3900" t="s">
        <v>1631</v>
      </c>
      <c r="E1134" s="3901"/>
      <c r="F1134" s="3901"/>
      <c r="G1134" s="3901"/>
      <c r="H1134" s="3901"/>
      <c r="I1134" s="3901"/>
      <c r="J1134" s="232"/>
      <c r="K1134" s="232"/>
      <c r="L1134" s="232"/>
      <c r="N1134" s="212">
        <f t="shared" si="21"/>
        <v>834</v>
      </c>
    </row>
    <row r="1135" spans="3:14" ht="12" customHeight="1">
      <c r="C1135" s="231"/>
      <c r="D1135" s="738"/>
      <c r="E1135" s="739"/>
      <c r="F1135" s="1712"/>
      <c r="G1135" s="739"/>
      <c r="H1135" s="739"/>
      <c r="I1135" s="739"/>
      <c r="J1135" s="232"/>
      <c r="K1135" s="232"/>
      <c r="L1135" s="232"/>
      <c r="N1135" s="212">
        <f t="shared" si="21"/>
        <v>834</v>
      </c>
    </row>
    <row r="1136" spans="3:14" ht="12" customHeight="1">
      <c r="C1136" s="231"/>
      <c r="D1136" s="3948" t="s">
        <v>815</v>
      </c>
      <c r="E1136" s="3949"/>
      <c r="F1136" s="3949"/>
      <c r="G1136" s="3949"/>
      <c r="H1136" s="3949"/>
      <c r="I1136" s="3949"/>
      <c r="J1136" s="232"/>
      <c r="K1136" s="232"/>
      <c r="L1136" s="232"/>
      <c r="M1136" s="193"/>
      <c r="N1136" s="212">
        <f t="shared" si="21"/>
        <v>835</v>
      </c>
    </row>
    <row r="1137" spans="3:14" ht="12" customHeight="1">
      <c r="C1137" s="231"/>
      <c r="D1137" s="3900" t="s">
        <v>1632</v>
      </c>
      <c r="E1137" s="3901"/>
      <c r="F1137" s="3901"/>
      <c r="G1137" s="3901"/>
      <c r="H1137" s="3901"/>
      <c r="I1137" s="3901"/>
      <c r="J1137" s="232"/>
      <c r="K1137" s="232"/>
      <c r="L1137" s="232"/>
      <c r="N1137" s="212">
        <f t="shared" si="21"/>
        <v>836</v>
      </c>
    </row>
    <row r="1138" spans="3:14" ht="12" customHeight="1">
      <c r="C1138" s="231"/>
      <c r="D1138" s="738"/>
      <c r="E1138" s="739"/>
      <c r="F1138" s="1712"/>
      <c r="G1138" s="739"/>
      <c r="H1138" s="739"/>
      <c r="I1138" s="739"/>
      <c r="J1138" s="232"/>
      <c r="K1138" s="232"/>
      <c r="L1138" s="232"/>
      <c r="N1138" s="212">
        <f t="shared" si="21"/>
        <v>836</v>
      </c>
    </row>
    <row r="1139" spans="3:14" ht="12" customHeight="1">
      <c r="C1139" s="231"/>
      <c r="D1139" s="3912" t="s">
        <v>1623</v>
      </c>
      <c r="E1139" s="3912"/>
      <c r="F1139" s="3912"/>
      <c r="G1139" s="3912"/>
      <c r="H1139" s="3912"/>
      <c r="I1139" s="3912"/>
      <c r="J1139" s="3912"/>
      <c r="K1139" s="3912"/>
      <c r="L1139" s="232"/>
      <c r="N1139" s="212">
        <f t="shared" si="21"/>
        <v>837</v>
      </c>
    </row>
    <row r="1140" spans="3:14" ht="12" customHeight="1">
      <c r="C1140" s="231"/>
      <c r="D1140" s="3900" t="s">
        <v>1624</v>
      </c>
      <c r="E1140" s="3901"/>
      <c r="F1140" s="3901"/>
      <c r="G1140" s="3901"/>
      <c r="H1140" s="3901"/>
      <c r="I1140" s="3901"/>
      <c r="J1140" s="232"/>
      <c r="K1140" s="232"/>
      <c r="L1140" s="232"/>
      <c r="N1140" s="212">
        <f t="shared" si="21"/>
        <v>838</v>
      </c>
    </row>
    <row r="1141" spans="3:14" ht="12" customHeight="1">
      <c r="C1141" s="231"/>
      <c r="D1141" s="3912"/>
      <c r="E1141" s="3913"/>
      <c r="F1141" s="3913"/>
      <c r="G1141" s="3913"/>
      <c r="H1141" s="3913"/>
      <c r="I1141" s="3913"/>
      <c r="J1141" s="232"/>
      <c r="K1141" s="232"/>
      <c r="L1141" s="232"/>
      <c r="N1141" s="212">
        <f t="shared" si="21"/>
        <v>838</v>
      </c>
    </row>
    <row r="1142" spans="3:14" ht="12" customHeight="1">
      <c r="C1142" s="231"/>
      <c r="D1142" s="3912" t="s">
        <v>1633</v>
      </c>
      <c r="E1142" s="3913"/>
      <c r="F1142" s="3913"/>
      <c r="G1142" s="3913"/>
      <c r="H1142" s="3913"/>
      <c r="I1142" s="3913"/>
      <c r="J1142" s="232"/>
      <c r="K1142" s="232"/>
      <c r="L1142" s="232"/>
      <c r="N1142" s="212">
        <f t="shared" si="21"/>
        <v>839</v>
      </c>
    </row>
    <row r="1143" spans="3:14" ht="12" customHeight="1">
      <c r="C1143" s="231"/>
      <c r="D1143" s="3912" t="s">
        <v>1634</v>
      </c>
      <c r="E1143" s="3913"/>
      <c r="F1143" s="3913"/>
      <c r="G1143" s="3913"/>
      <c r="H1143" s="3913"/>
      <c r="I1143" s="3913"/>
      <c r="J1143" s="232"/>
      <c r="K1143" s="232"/>
      <c r="L1143" s="232"/>
      <c r="N1143" s="212">
        <f t="shared" si="21"/>
        <v>840</v>
      </c>
    </row>
    <row r="1144" spans="3:14" ht="12" customHeight="1">
      <c r="C1144" s="231"/>
      <c r="D1144" s="3912" t="s">
        <v>1625</v>
      </c>
      <c r="E1144" s="3913"/>
      <c r="F1144" s="3913"/>
      <c r="G1144" s="3913"/>
      <c r="H1144" s="3913"/>
      <c r="I1144" s="3913"/>
      <c r="J1144" s="232"/>
      <c r="K1144" s="232"/>
      <c r="L1144" s="232"/>
      <c r="N1144" s="212">
        <f t="shared" si="21"/>
        <v>841</v>
      </c>
    </row>
    <row r="1145" spans="3:14" ht="12" customHeight="1">
      <c r="C1145" s="231"/>
      <c r="D1145" s="3912" t="s">
        <v>1626</v>
      </c>
      <c r="E1145" s="3913"/>
      <c r="F1145" s="3913"/>
      <c r="G1145" s="3913"/>
      <c r="H1145" s="3913"/>
      <c r="I1145" s="3913"/>
      <c r="J1145" s="232"/>
      <c r="K1145" s="232"/>
      <c r="L1145" s="232"/>
      <c r="N1145" s="212">
        <f t="shared" si="21"/>
        <v>842</v>
      </c>
    </row>
    <row r="1146" spans="3:14" ht="12" customHeight="1">
      <c r="C1146" s="231"/>
      <c r="D1146" s="3912" t="s">
        <v>1627</v>
      </c>
      <c r="E1146" s="3913"/>
      <c r="F1146" s="3913"/>
      <c r="G1146" s="3913"/>
      <c r="H1146" s="3913"/>
      <c r="I1146" s="3913"/>
      <c r="J1146" s="232"/>
      <c r="K1146" s="232"/>
      <c r="L1146" s="232"/>
      <c r="N1146" s="212">
        <f t="shared" si="21"/>
        <v>843</v>
      </c>
    </row>
    <row r="1147" spans="3:14" ht="12" customHeight="1">
      <c r="C1147" s="231"/>
      <c r="D1147" s="3912" t="s">
        <v>816</v>
      </c>
      <c r="E1147" s="3913"/>
      <c r="F1147" s="3913"/>
      <c r="G1147" s="3913"/>
      <c r="H1147" s="3913"/>
      <c r="I1147" s="3913"/>
      <c r="J1147" s="232"/>
      <c r="K1147" s="232"/>
      <c r="L1147" s="232"/>
      <c r="N1147" s="212">
        <f t="shared" si="21"/>
        <v>844</v>
      </c>
    </row>
    <row r="1148" spans="3:14" ht="12" customHeight="1">
      <c r="C1148" s="231"/>
      <c r="D1148" s="3912"/>
      <c r="E1148" s="3913"/>
      <c r="F1148" s="3913"/>
      <c r="G1148" s="3913"/>
      <c r="H1148" s="3913"/>
      <c r="I1148" s="3913"/>
      <c r="J1148" s="232"/>
      <c r="K1148" s="232"/>
      <c r="L1148" s="232"/>
      <c r="N1148" s="212">
        <f t="shared" ref="N1148:N1214" si="22">IF(D1148="",N1147,N1147+1)</f>
        <v>844</v>
      </c>
    </row>
    <row r="1149" spans="3:14" ht="12" customHeight="1">
      <c r="C1149" s="231"/>
      <c r="D1149" s="3912" t="s">
        <v>1628</v>
      </c>
      <c r="E1149" s="3913"/>
      <c r="F1149" s="3913"/>
      <c r="G1149" s="3913"/>
      <c r="H1149" s="3913"/>
      <c r="I1149" s="3913"/>
      <c r="J1149" s="232"/>
      <c r="K1149" s="232"/>
      <c r="L1149" s="232"/>
      <c r="N1149" s="212">
        <f t="shared" si="22"/>
        <v>845</v>
      </c>
    </row>
    <row r="1150" spans="3:14" ht="12" customHeight="1">
      <c r="C1150" s="231"/>
      <c r="D1150" s="3912"/>
      <c r="E1150" s="3913"/>
      <c r="F1150" s="3913"/>
      <c r="G1150" s="3913"/>
      <c r="H1150" s="3913"/>
      <c r="I1150" s="3913"/>
      <c r="J1150" s="232"/>
      <c r="K1150" s="232"/>
      <c r="L1150" s="232"/>
      <c r="N1150" s="212">
        <f t="shared" si="22"/>
        <v>845</v>
      </c>
    </row>
    <row r="1151" spans="3:14" ht="12" customHeight="1">
      <c r="C1151" s="231"/>
      <c r="D1151" s="3901" t="s">
        <v>1318</v>
      </c>
      <c r="E1151" s="3901"/>
      <c r="F1151" s="3901"/>
      <c r="G1151" s="3901"/>
      <c r="H1151" s="3901"/>
      <c r="I1151" s="3901"/>
      <c r="J1151" s="232"/>
      <c r="K1151" s="232"/>
      <c r="L1151" s="232"/>
      <c r="N1151" s="212">
        <f t="shared" si="22"/>
        <v>846</v>
      </c>
    </row>
    <row r="1152" spans="3:14" ht="12" customHeight="1">
      <c r="C1152" s="231"/>
      <c r="D1152" s="3901" t="s">
        <v>723</v>
      </c>
      <c r="E1152" s="3901"/>
      <c r="F1152" s="3901"/>
      <c r="G1152" s="3901"/>
      <c r="H1152" s="3901"/>
      <c r="I1152" s="3901"/>
      <c r="J1152" s="232"/>
      <c r="K1152" s="232"/>
      <c r="L1152" s="232"/>
      <c r="N1152" s="212">
        <f t="shared" si="22"/>
        <v>847</v>
      </c>
    </row>
    <row r="1153" spans="3:14" ht="12" customHeight="1">
      <c r="C1153" s="231"/>
      <c r="D1153" s="3900" t="s">
        <v>1638</v>
      </c>
      <c r="E1153" s="3901"/>
      <c r="F1153" s="3901"/>
      <c r="G1153" s="3901"/>
      <c r="H1153" s="3901"/>
      <c r="I1153" s="3901"/>
      <c r="J1153" s="232"/>
      <c r="K1153" s="232"/>
      <c r="L1153" s="232"/>
      <c r="N1153" s="212">
        <f t="shared" si="22"/>
        <v>848</v>
      </c>
    </row>
    <row r="1154" spans="3:14" ht="12" customHeight="1">
      <c r="C1154" s="231"/>
      <c r="D1154" s="3900" t="s">
        <v>1637</v>
      </c>
      <c r="E1154" s="3901"/>
      <c r="F1154" s="3901"/>
      <c r="G1154" s="3901"/>
      <c r="H1154" s="3901"/>
      <c r="I1154" s="3901"/>
      <c r="J1154" s="232"/>
      <c r="K1154" s="232"/>
      <c r="L1154" s="232"/>
      <c r="N1154" s="212">
        <f t="shared" si="22"/>
        <v>849</v>
      </c>
    </row>
    <row r="1155" spans="3:14" ht="12" customHeight="1">
      <c r="C1155" s="231"/>
      <c r="D1155" s="3900" t="s">
        <v>1636</v>
      </c>
      <c r="E1155" s="3901"/>
      <c r="F1155" s="3901"/>
      <c r="G1155" s="3901"/>
      <c r="H1155" s="3901"/>
      <c r="I1155" s="3901"/>
      <c r="J1155" s="232"/>
      <c r="K1155" s="232"/>
      <c r="L1155" s="232"/>
      <c r="N1155" s="212">
        <f t="shared" si="22"/>
        <v>850</v>
      </c>
    </row>
    <row r="1156" spans="3:14" ht="12" customHeight="1">
      <c r="C1156" s="231"/>
      <c r="D1156" s="3900" t="s">
        <v>1635</v>
      </c>
      <c r="E1156" s="3901"/>
      <c r="F1156" s="3901"/>
      <c r="G1156" s="3901"/>
      <c r="H1156" s="3901"/>
      <c r="I1156" s="3901"/>
      <c r="J1156" s="232"/>
      <c r="K1156" s="232"/>
      <c r="L1156" s="232"/>
      <c r="N1156" s="212">
        <f t="shared" si="22"/>
        <v>851</v>
      </c>
    </row>
    <row r="1157" spans="3:14" ht="12" customHeight="1">
      <c r="C1157" s="231"/>
      <c r="D1157" s="3901" t="s">
        <v>1639</v>
      </c>
      <c r="E1157" s="3901"/>
      <c r="F1157" s="3901"/>
      <c r="G1157" s="3901"/>
      <c r="H1157" s="3901"/>
      <c r="I1157" s="3901"/>
      <c r="J1157" s="232"/>
      <c r="K1157" s="232"/>
      <c r="L1157" s="232"/>
      <c r="N1157" s="212">
        <f t="shared" si="22"/>
        <v>852</v>
      </c>
    </row>
    <row r="1158" spans="3:14" ht="12" customHeight="1">
      <c r="C1158" s="231"/>
      <c r="D1158" s="3901" t="s">
        <v>1640</v>
      </c>
      <c r="E1158" s="3901"/>
      <c r="F1158" s="3901"/>
      <c r="G1158" s="3901"/>
      <c r="H1158" s="3901"/>
      <c r="I1158" s="3901"/>
      <c r="J1158" s="232"/>
      <c r="K1158" s="232"/>
      <c r="L1158" s="232"/>
      <c r="N1158" s="212">
        <f t="shared" si="22"/>
        <v>853</v>
      </c>
    </row>
    <row r="1159" spans="3:14" ht="12" customHeight="1">
      <c r="C1159" s="231"/>
      <c r="D1159" s="3900" t="s">
        <v>1641</v>
      </c>
      <c r="E1159" s="3901"/>
      <c r="F1159" s="3901"/>
      <c r="G1159" s="3901"/>
      <c r="H1159" s="3901"/>
      <c r="I1159" s="3901"/>
      <c r="J1159" s="232"/>
      <c r="K1159" s="232"/>
      <c r="L1159" s="232"/>
      <c r="N1159" s="212">
        <f t="shared" si="22"/>
        <v>854</v>
      </c>
    </row>
    <row r="1160" spans="3:14" ht="12" customHeight="1">
      <c r="C1160" s="231"/>
      <c r="D1160" s="3900" t="s">
        <v>1642</v>
      </c>
      <c r="E1160" s="3901"/>
      <c r="F1160" s="3901"/>
      <c r="G1160" s="3901"/>
      <c r="H1160" s="3901"/>
      <c r="I1160" s="3901"/>
      <c r="J1160" s="232"/>
      <c r="K1160" s="232"/>
      <c r="L1160" s="232"/>
      <c r="N1160" s="212">
        <f t="shared" si="22"/>
        <v>855</v>
      </c>
    </row>
    <row r="1161" spans="3:14" ht="12" customHeight="1">
      <c r="C1161" s="231"/>
      <c r="D1161" s="3904"/>
      <c r="E1161" s="3905"/>
      <c r="F1161" s="3905"/>
      <c r="G1161" s="3905"/>
      <c r="H1161" s="3905"/>
      <c r="I1161" s="3905"/>
      <c r="J1161" s="232"/>
      <c r="K1161" s="232"/>
      <c r="L1161" s="232"/>
      <c r="N1161" s="212">
        <f t="shared" si="22"/>
        <v>855</v>
      </c>
    </row>
    <row r="1162" spans="3:14" ht="12" customHeight="1">
      <c r="C1162" s="231"/>
      <c r="D1162" s="742"/>
      <c r="E1162" s="743"/>
      <c r="F1162" s="1714"/>
      <c r="G1162" s="743"/>
      <c r="H1162" s="743"/>
      <c r="I1162" s="743"/>
      <c r="J1162" s="232"/>
      <c r="K1162" s="232"/>
      <c r="L1162" s="232"/>
      <c r="N1162" s="212">
        <f t="shared" si="22"/>
        <v>855</v>
      </c>
    </row>
    <row r="1163" spans="3:14" ht="12" customHeight="1">
      <c r="C1163" s="231"/>
      <c r="D1163" s="742"/>
      <c r="E1163" s="743"/>
      <c r="F1163" s="1714"/>
      <c r="G1163" s="743"/>
      <c r="H1163" s="743"/>
      <c r="I1163" s="743"/>
      <c r="J1163" s="232"/>
      <c r="K1163" s="232"/>
      <c r="L1163" s="232"/>
      <c r="N1163" s="212">
        <f t="shared" si="22"/>
        <v>855</v>
      </c>
    </row>
    <row r="1164" spans="3:14" ht="12" customHeight="1">
      <c r="C1164" s="231"/>
      <c r="D1164" s="3904"/>
      <c r="E1164" s="3904"/>
      <c r="F1164" s="3904"/>
      <c r="G1164" s="3904"/>
      <c r="H1164" s="3904"/>
      <c r="I1164" s="3904"/>
      <c r="J1164" s="232"/>
      <c r="K1164" s="232"/>
      <c r="L1164" s="232"/>
      <c r="N1164" s="212">
        <f t="shared" si="22"/>
        <v>855</v>
      </c>
    </row>
    <row r="1165" spans="3:14" ht="12" customHeight="1">
      <c r="C1165" s="231"/>
      <c r="D1165" s="742"/>
      <c r="E1165" s="742"/>
      <c r="F1165" s="1713"/>
      <c r="G1165" s="742"/>
      <c r="H1165" s="742"/>
      <c r="I1165" s="742"/>
      <c r="J1165" s="232"/>
      <c r="K1165" s="232"/>
      <c r="L1165" s="232"/>
      <c r="N1165" s="212">
        <f t="shared" si="22"/>
        <v>855</v>
      </c>
    </row>
    <row r="1166" spans="3:14" ht="12" customHeight="1">
      <c r="C1166" s="231"/>
      <c r="D1166" s="742"/>
      <c r="E1166" s="742"/>
      <c r="F1166" s="1713"/>
      <c r="G1166" s="742"/>
      <c r="H1166" s="742"/>
      <c r="I1166" s="742"/>
      <c r="J1166" s="232"/>
      <c r="K1166" s="232"/>
      <c r="L1166" s="232"/>
      <c r="N1166" s="212">
        <f t="shared" si="22"/>
        <v>855</v>
      </c>
    </row>
    <row r="1167" spans="3:14" ht="12" customHeight="1">
      <c r="C1167" s="231"/>
      <c r="D1167" s="742"/>
      <c r="E1167" s="742"/>
      <c r="F1167" s="1713"/>
      <c r="G1167" s="742"/>
      <c r="H1167" s="742"/>
      <c r="I1167" s="742"/>
      <c r="J1167" s="232"/>
      <c r="K1167" s="232"/>
      <c r="L1167" s="232"/>
      <c r="N1167" s="212">
        <f t="shared" si="22"/>
        <v>855</v>
      </c>
    </row>
    <row r="1168" spans="3:14" ht="12" customHeight="1">
      <c r="C1168" s="231"/>
      <c r="D1168" s="742"/>
      <c r="E1168" s="742"/>
      <c r="F1168" s="1713"/>
      <c r="G1168" s="742"/>
      <c r="H1168" s="742"/>
      <c r="I1168" s="742"/>
      <c r="J1168" s="232"/>
      <c r="K1168" s="232"/>
      <c r="L1168" s="232"/>
      <c r="N1168" s="212">
        <f t="shared" si="22"/>
        <v>855</v>
      </c>
    </row>
    <row r="1169" spans="1:14" ht="12" customHeight="1">
      <c r="C1169" s="231"/>
      <c r="D1169" s="742"/>
      <c r="E1169" s="742"/>
      <c r="F1169" s="1713"/>
      <c r="G1169" s="742"/>
      <c r="H1169" s="742"/>
      <c r="I1169" s="742"/>
      <c r="J1169" s="232"/>
      <c r="K1169" s="232"/>
      <c r="L1169" s="232"/>
      <c r="N1169" s="212">
        <f t="shared" si="22"/>
        <v>855</v>
      </c>
    </row>
    <row r="1170" spans="1:14" ht="12" customHeight="1">
      <c r="C1170" s="231"/>
      <c r="D1170" s="742"/>
      <c r="E1170" s="742"/>
      <c r="F1170" s="1713"/>
      <c r="G1170" s="742"/>
      <c r="H1170" s="742"/>
      <c r="I1170" s="742"/>
      <c r="J1170" s="232"/>
      <c r="K1170" s="232"/>
      <c r="L1170" s="232"/>
      <c r="N1170" s="212">
        <f t="shared" si="22"/>
        <v>855</v>
      </c>
    </row>
    <row r="1171" spans="1:14" ht="12" customHeight="1">
      <c r="C1171" s="231"/>
      <c r="D1171" s="742"/>
      <c r="E1171" s="742"/>
      <c r="F1171" s="1713"/>
      <c r="G1171" s="742"/>
      <c r="H1171" s="742"/>
      <c r="I1171" s="742"/>
      <c r="J1171" s="232"/>
      <c r="K1171" s="232"/>
      <c r="L1171" s="232"/>
      <c r="N1171" s="212">
        <f t="shared" si="22"/>
        <v>855</v>
      </c>
    </row>
    <row r="1172" spans="1:14" ht="12" customHeight="1">
      <c r="C1172" s="231"/>
      <c r="D1172" s="3904"/>
      <c r="E1172" s="3905"/>
      <c r="F1172" s="3905"/>
      <c r="G1172" s="3905"/>
      <c r="H1172" s="3905"/>
      <c r="I1172" s="3905"/>
      <c r="J1172" s="232"/>
      <c r="K1172" s="232"/>
      <c r="L1172" s="232"/>
      <c r="N1172" s="212">
        <f t="shared" si="22"/>
        <v>855</v>
      </c>
    </row>
    <row r="1173" spans="1:14" ht="12" customHeight="1" thickBot="1">
      <c r="A1173" s="3906"/>
      <c r="C1173" s="231"/>
      <c r="D1173" s="3904"/>
      <c r="E1173" s="3905"/>
      <c r="F1173" s="3905"/>
      <c r="G1173" s="3905"/>
      <c r="H1173" s="3905"/>
      <c r="I1173" s="3905"/>
      <c r="J1173" s="232"/>
      <c r="K1173" s="232"/>
      <c r="L1173" s="232"/>
      <c r="N1173" s="212">
        <f t="shared" si="22"/>
        <v>855</v>
      </c>
    </row>
    <row r="1174" spans="1:14" ht="15" customHeight="1" thickBot="1">
      <c r="A1174" s="3906"/>
      <c r="C1174" s="760"/>
      <c r="D1174" s="3947" t="s">
        <v>562</v>
      </c>
      <c r="E1174" s="3947"/>
      <c r="F1174" s="3947"/>
      <c r="G1174" s="3947"/>
      <c r="H1174" s="3947"/>
      <c r="I1174" s="3947"/>
      <c r="J1174" s="232"/>
      <c r="K1174" s="197" t="s">
        <v>576</v>
      </c>
      <c r="L1174" s="232"/>
      <c r="N1174" s="212">
        <f t="shared" si="22"/>
        <v>856</v>
      </c>
    </row>
    <row r="1175" spans="1:14" ht="12" customHeight="1" thickBot="1">
      <c r="A1175" s="3906"/>
      <c r="C1175" s="231"/>
      <c r="D1175" s="3904"/>
      <c r="E1175" s="3905"/>
      <c r="F1175" s="3905"/>
      <c r="G1175" s="3905"/>
      <c r="H1175" s="3905"/>
      <c r="I1175" s="3905"/>
      <c r="J1175" s="232"/>
      <c r="K1175" s="1726" t="s">
        <v>551</v>
      </c>
      <c r="L1175" s="232"/>
      <c r="N1175" s="212">
        <f t="shared" si="22"/>
        <v>856</v>
      </c>
    </row>
    <row r="1176" spans="1:14" ht="12" customHeight="1">
      <c r="A1176" s="3906"/>
      <c r="C1176" s="231"/>
      <c r="D1176" s="3948" t="s">
        <v>1643</v>
      </c>
      <c r="E1176" s="3949"/>
      <c r="F1176" s="3949"/>
      <c r="G1176" s="3949"/>
      <c r="H1176" s="3949"/>
      <c r="I1176" s="3949"/>
      <c r="J1176" s="232"/>
      <c r="K1176" s="232"/>
      <c r="L1176" s="232"/>
      <c r="N1176" s="212">
        <f t="shared" si="22"/>
        <v>857</v>
      </c>
    </row>
    <row r="1177" spans="1:14" ht="12" customHeight="1">
      <c r="A1177" s="3906"/>
      <c r="C1177" s="231"/>
      <c r="D1177" s="3914"/>
      <c r="E1177" s="3915"/>
      <c r="F1177" s="3915"/>
      <c r="G1177" s="3915"/>
      <c r="H1177" s="3915"/>
      <c r="I1177" s="3915"/>
      <c r="J1177" s="232"/>
      <c r="K1177" s="232"/>
      <c r="L1177" s="232"/>
      <c r="N1177" s="212">
        <f t="shared" si="22"/>
        <v>857</v>
      </c>
    </row>
    <row r="1178" spans="1:14" ht="12" customHeight="1">
      <c r="A1178" s="3906"/>
      <c r="C1178" s="231"/>
      <c r="D1178" s="3914" t="s">
        <v>804</v>
      </c>
      <c r="E1178" s="3915"/>
      <c r="F1178" s="3915"/>
      <c r="G1178" s="3915"/>
      <c r="H1178" s="3915"/>
      <c r="I1178" s="3915"/>
      <c r="J1178" s="232"/>
      <c r="K1178" s="232"/>
      <c r="L1178" s="232"/>
      <c r="N1178" s="212">
        <f t="shared" si="22"/>
        <v>858</v>
      </c>
    </row>
    <row r="1179" spans="1:14" ht="12" customHeight="1">
      <c r="A1179" s="3906"/>
      <c r="C1179" s="231"/>
      <c r="D1179" s="3914" t="s">
        <v>990</v>
      </c>
      <c r="E1179" s="3915"/>
      <c r="F1179" s="3915"/>
      <c r="G1179" s="3915"/>
      <c r="H1179" s="3915"/>
      <c r="I1179" s="3915"/>
      <c r="J1179" s="232"/>
      <c r="K1179" s="232"/>
      <c r="L1179" s="232"/>
      <c r="N1179" s="212">
        <f t="shared" si="22"/>
        <v>859</v>
      </c>
    </row>
    <row r="1180" spans="1:14" ht="12" customHeight="1">
      <c r="A1180" s="3906"/>
      <c r="C1180" s="231"/>
      <c r="D1180" s="3914" t="s">
        <v>998</v>
      </c>
      <c r="E1180" s="3915"/>
      <c r="F1180" s="3915"/>
      <c r="G1180" s="3915"/>
      <c r="H1180" s="3915"/>
      <c r="I1180" s="3915"/>
      <c r="J1180" s="232"/>
      <c r="K1180" s="232"/>
      <c r="L1180" s="232"/>
      <c r="N1180" s="212">
        <f t="shared" si="22"/>
        <v>860</v>
      </c>
    </row>
    <row r="1181" spans="1:14" ht="12" customHeight="1">
      <c r="A1181" s="3906"/>
      <c r="C1181" s="231"/>
      <c r="D1181" s="3914" t="s">
        <v>997</v>
      </c>
      <c r="E1181" s="3915"/>
      <c r="F1181" s="3915"/>
      <c r="G1181" s="3915"/>
      <c r="H1181" s="3915"/>
      <c r="I1181" s="3915"/>
      <c r="J1181" s="232"/>
      <c r="K1181" s="232"/>
      <c r="L1181" s="232"/>
      <c r="N1181" s="212">
        <f t="shared" si="22"/>
        <v>861</v>
      </c>
    </row>
    <row r="1182" spans="1:14" ht="12" customHeight="1">
      <c r="A1182" s="3906"/>
      <c r="C1182" s="231"/>
      <c r="D1182" s="3914" t="s">
        <v>996</v>
      </c>
      <c r="E1182" s="3915"/>
      <c r="F1182" s="3915"/>
      <c r="G1182" s="3915"/>
      <c r="H1182" s="3915"/>
      <c r="I1182" s="3915"/>
      <c r="J1182" s="232"/>
      <c r="K1182" s="232"/>
      <c r="L1182" s="232"/>
      <c r="N1182" s="212">
        <f t="shared" si="22"/>
        <v>862</v>
      </c>
    </row>
    <row r="1183" spans="1:14" ht="12" customHeight="1">
      <c r="A1183" s="3906"/>
      <c r="C1183" s="231"/>
      <c r="D1183" s="3914" t="s">
        <v>995</v>
      </c>
      <c r="E1183" s="3915"/>
      <c r="F1183" s="3915"/>
      <c r="G1183" s="3915"/>
      <c r="H1183" s="3915"/>
      <c r="I1183" s="3915"/>
      <c r="J1183" s="232"/>
      <c r="K1183" s="232"/>
      <c r="L1183" s="232"/>
      <c r="N1183" s="212">
        <f t="shared" si="22"/>
        <v>863</v>
      </c>
    </row>
    <row r="1184" spans="1:14" ht="12" customHeight="1">
      <c r="A1184" s="3906"/>
      <c r="C1184" s="231"/>
      <c r="D1184" s="3914" t="s">
        <v>994</v>
      </c>
      <c r="E1184" s="3915"/>
      <c r="F1184" s="3915"/>
      <c r="G1184" s="3915"/>
      <c r="H1184" s="3915"/>
      <c r="I1184" s="3915"/>
      <c r="J1184" s="232"/>
      <c r="K1184" s="232"/>
      <c r="L1184" s="232"/>
      <c r="N1184" s="212">
        <f t="shared" si="22"/>
        <v>864</v>
      </c>
    </row>
    <row r="1185" spans="1:14" ht="12" customHeight="1">
      <c r="A1185" s="3906"/>
      <c r="C1185" s="231"/>
      <c r="D1185" s="3914" t="s">
        <v>993</v>
      </c>
      <c r="E1185" s="3915"/>
      <c r="F1185" s="3915"/>
      <c r="G1185" s="3915"/>
      <c r="H1185" s="3915"/>
      <c r="I1185" s="3915"/>
      <c r="J1185" s="232"/>
      <c r="K1185" s="232"/>
      <c r="L1185" s="232"/>
      <c r="N1185" s="212">
        <f t="shared" si="22"/>
        <v>865</v>
      </c>
    </row>
    <row r="1186" spans="1:14" ht="12" customHeight="1">
      <c r="A1186" s="3906"/>
      <c r="C1186" s="231"/>
      <c r="D1186" s="3914" t="s">
        <v>993</v>
      </c>
      <c r="E1186" s="3915"/>
      <c r="F1186" s="3915"/>
      <c r="G1186" s="3915"/>
      <c r="H1186" s="3915"/>
      <c r="I1186" s="3915"/>
      <c r="J1186" s="232"/>
      <c r="K1186" s="232"/>
      <c r="L1186" s="232"/>
      <c r="N1186" s="212">
        <f t="shared" si="22"/>
        <v>866</v>
      </c>
    </row>
    <row r="1187" spans="1:14" ht="12" customHeight="1">
      <c r="A1187" s="3906"/>
      <c r="C1187" s="231"/>
      <c r="D1187" s="3914" t="s">
        <v>992</v>
      </c>
      <c r="E1187" s="3915"/>
      <c r="F1187" s="3915"/>
      <c r="G1187" s="3915"/>
      <c r="H1187" s="3915"/>
      <c r="I1187" s="3915"/>
      <c r="J1187" s="232"/>
      <c r="K1187" s="232"/>
      <c r="L1187" s="232"/>
      <c r="N1187" s="212">
        <f t="shared" si="22"/>
        <v>867</v>
      </c>
    </row>
    <row r="1188" spans="1:14" ht="12" customHeight="1">
      <c r="A1188" s="3906"/>
      <c r="C1188" s="231"/>
      <c r="D1188" s="3914" t="s">
        <v>992</v>
      </c>
      <c r="E1188" s="3915"/>
      <c r="F1188" s="3915"/>
      <c r="G1188" s="3915"/>
      <c r="H1188" s="3915"/>
      <c r="I1188" s="3915"/>
      <c r="J1188" s="232"/>
      <c r="K1188" s="232"/>
      <c r="L1188" s="232"/>
      <c r="N1188" s="212">
        <f t="shared" si="22"/>
        <v>868</v>
      </c>
    </row>
    <row r="1189" spans="1:14" ht="12" customHeight="1">
      <c r="A1189" s="3906"/>
      <c r="C1189" s="231"/>
      <c r="D1189" s="3914" t="s">
        <v>991</v>
      </c>
      <c r="E1189" s="3915"/>
      <c r="F1189" s="3915"/>
      <c r="G1189" s="3915"/>
      <c r="H1189" s="3915"/>
      <c r="I1189" s="3915"/>
      <c r="J1189" s="232"/>
      <c r="K1189" s="232"/>
      <c r="L1189" s="232"/>
      <c r="N1189" s="212">
        <f t="shared" si="22"/>
        <v>869</v>
      </c>
    </row>
    <row r="1190" spans="1:14" ht="12" customHeight="1">
      <c r="A1190" s="3906"/>
      <c r="C1190" s="231"/>
      <c r="D1190" s="3914"/>
      <c r="E1190" s="3915"/>
      <c r="F1190" s="3915"/>
      <c r="G1190" s="3915"/>
      <c r="H1190" s="3915"/>
      <c r="I1190" s="3915"/>
      <c r="J1190" s="232"/>
      <c r="K1190" s="232"/>
      <c r="L1190" s="232"/>
      <c r="N1190" s="212">
        <f t="shared" si="22"/>
        <v>869</v>
      </c>
    </row>
    <row r="1191" spans="1:14" ht="12" customHeight="1">
      <c r="A1191" s="3906"/>
      <c r="C1191" s="231"/>
      <c r="D1191" s="3914" t="s">
        <v>805</v>
      </c>
      <c r="E1191" s="3915"/>
      <c r="F1191" s="3915"/>
      <c r="G1191" s="3915"/>
      <c r="H1191" s="3915"/>
      <c r="I1191" s="3915"/>
      <c r="J1191" s="232"/>
      <c r="K1191" s="232"/>
      <c r="L1191" s="232"/>
      <c r="N1191" s="212">
        <f t="shared" si="22"/>
        <v>870</v>
      </c>
    </row>
    <row r="1192" spans="1:14" ht="12" customHeight="1">
      <c r="A1192" s="3906"/>
      <c r="C1192" s="231"/>
      <c r="D1192" s="3914" t="s">
        <v>806</v>
      </c>
      <c r="E1192" s="3915"/>
      <c r="F1192" s="3915"/>
      <c r="G1192" s="3915"/>
      <c r="H1192" s="3915"/>
      <c r="I1192" s="3915"/>
      <c r="J1192" s="232"/>
      <c r="K1192" s="232"/>
      <c r="L1192" s="232"/>
      <c r="N1192" s="212">
        <f t="shared" si="22"/>
        <v>871</v>
      </c>
    </row>
    <row r="1193" spans="1:14" ht="12" customHeight="1">
      <c r="A1193" s="3906"/>
      <c r="C1193" s="231"/>
      <c r="D1193" s="3914"/>
      <c r="E1193" s="3915"/>
      <c r="F1193" s="3915"/>
      <c r="G1193" s="3915"/>
      <c r="H1193" s="3915"/>
      <c r="I1193" s="3915"/>
      <c r="J1193" s="232"/>
      <c r="K1193" s="232"/>
      <c r="L1193" s="232"/>
      <c r="N1193" s="212">
        <f t="shared" si="22"/>
        <v>871</v>
      </c>
    </row>
    <row r="1194" spans="1:14" ht="12" customHeight="1">
      <c r="A1194" s="3906"/>
      <c r="C1194" s="231"/>
      <c r="D1194" s="3900" t="s">
        <v>1644</v>
      </c>
      <c r="E1194" s="3901"/>
      <c r="F1194" s="3901"/>
      <c r="G1194" s="3901"/>
      <c r="H1194" s="3901"/>
      <c r="I1194" s="3901"/>
      <c r="J1194" s="232"/>
      <c r="K1194" s="232"/>
      <c r="L1194" s="232"/>
      <c r="N1194" s="212">
        <f t="shared" si="22"/>
        <v>872</v>
      </c>
    </row>
    <row r="1195" spans="1:14" ht="12" customHeight="1">
      <c r="A1195" s="3906"/>
      <c r="C1195" s="231"/>
      <c r="D1195" s="3900" t="s">
        <v>1645</v>
      </c>
      <c r="E1195" s="3901"/>
      <c r="F1195" s="3901"/>
      <c r="G1195" s="3901"/>
      <c r="H1195" s="3901"/>
      <c r="I1195" s="3901"/>
      <c r="J1195" s="232"/>
      <c r="K1195" s="232"/>
      <c r="L1195" s="232"/>
      <c r="N1195" s="212">
        <f t="shared" si="22"/>
        <v>873</v>
      </c>
    </row>
    <row r="1196" spans="1:14" ht="12" customHeight="1">
      <c r="A1196" s="3906"/>
      <c r="C1196" s="231"/>
      <c r="D1196" s="3900" t="s">
        <v>1646</v>
      </c>
      <c r="E1196" s="3901"/>
      <c r="F1196" s="3901"/>
      <c r="G1196" s="3901"/>
      <c r="H1196" s="3901"/>
      <c r="I1196" s="3901"/>
      <c r="J1196" s="232"/>
      <c r="K1196" s="232"/>
      <c r="L1196" s="232"/>
      <c r="N1196" s="212">
        <f t="shared" si="22"/>
        <v>874</v>
      </c>
    </row>
    <row r="1197" spans="1:14" ht="12" customHeight="1">
      <c r="A1197" s="3906"/>
      <c r="C1197" s="231"/>
      <c r="D1197" s="3912"/>
      <c r="E1197" s="3913"/>
      <c r="F1197" s="3913"/>
      <c r="G1197" s="3913"/>
      <c r="H1197" s="3913"/>
      <c r="I1197" s="3913"/>
      <c r="J1197" s="232"/>
      <c r="K1197" s="232"/>
      <c r="L1197" s="232"/>
      <c r="M1197" s="212"/>
      <c r="N1197" s="212">
        <f t="shared" si="22"/>
        <v>874</v>
      </c>
    </row>
    <row r="1198" spans="1:14" ht="12" customHeight="1">
      <c r="A1198" s="3906"/>
      <c r="C1198" s="231"/>
      <c r="D1198" s="3901" t="s">
        <v>1618</v>
      </c>
      <c r="E1198" s="3901"/>
      <c r="F1198" s="3901"/>
      <c r="G1198" s="3901"/>
      <c r="H1198" s="3901"/>
      <c r="I1198" s="3901"/>
      <c r="J1198" s="232"/>
      <c r="K1198" s="232"/>
      <c r="L1198" s="232"/>
      <c r="N1198" s="212">
        <f t="shared" si="22"/>
        <v>875</v>
      </c>
    </row>
    <row r="1199" spans="1:14" ht="12" customHeight="1">
      <c r="C1199" s="231"/>
      <c r="D1199" s="3900" t="s">
        <v>807</v>
      </c>
      <c r="E1199" s="3901"/>
      <c r="F1199" s="3901"/>
      <c r="G1199" s="3901"/>
      <c r="H1199" s="3901"/>
      <c r="I1199" s="3901"/>
      <c r="J1199" s="232"/>
      <c r="K1199" s="232"/>
      <c r="L1199" s="232"/>
      <c r="N1199" s="212">
        <f t="shared" si="22"/>
        <v>876</v>
      </c>
    </row>
    <row r="1200" spans="1:14" ht="12" customHeight="1">
      <c r="C1200" s="231"/>
      <c r="D1200" s="3912" t="s">
        <v>1647</v>
      </c>
      <c r="E1200" s="3913"/>
      <c r="F1200" s="3913"/>
      <c r="G1200" s="3913"/>
      <c r="H1200" s="3913"/>
      <c r="I1200" s="3913"/>
      <c r="J1200" s="232"/>
      <c r="K1200" s="232"/>
      <c r="L1200" s="232"/>
      <c r="N1200" s="212">
        <f t="shared" si="22"/>
        <v>877</v>
      </c>
    </row>
    <row r="1201" spans="3:14" ht="12" customHeight="1">
      <c r="C1201" s="231"/>
      <c r="D1201" s="3953" t="s">
        <v>808</v>
      </c>
      <c r="E1201" s="3953"/>
      <c r="F1201" s="3953"/>
      <c r="G1201" s="3953"/>
      <c r="H1201" s="3953"/>
      <c r="I1201" s="3953"/>
      <c r="J1201" s="232"/>
      <c r="K1201" s="232"/>
      <c r="L1201" s="232"/>
      <c r="M1201" s="193"/>
      <c r="N1201" s="212">
        <f t="shared" si="22"/>
        <v>878</v>
      </c>
    </row>
    <row r="1202" spans="3:14" ht="12" customHeight="1">
      <c r="C1202" s="231"/>
      <c r="D1202" s="3914" t="s">
        <v>972</v>
      </c>
      <c r="E1202" s="3915"/>
      <c r="F1202" s="3915"/>
      <c r="G1202" s="3915"/>
      <c r="H1202" s="3915"/>
      <c r="I1202" s="3915"/>
      <c r="J1202" s="232"/>
      <c r="K1202" s="232"/>
      <c r="L1202" s="232"/>
      <c r="M1202" s="193"/>
      <c r="N1202" s="212">
        <f t="shared" si="22"/>
        <v>879</v>
      </c>
    </row>
    <row r="1203" spans="3:14" ht="12" customHeight="1">
      <c r="C1203" s="231"/>
      <c r="D1203" s="3914" t="s">
        <v>2289</v>
      </c>
      <c r="E1203" s="3915"/>
      <c r="F1203" s="3915"/>
      <c r="G1203" s="3915"/>
      <c r="H1203" s="3915"/>
      <c r="I1203" s="3915"/>
      <c r="J1203" s="232"/>
      <c r="K1203" s="232"/>
      <c r="L1203" s="232"/>
      <c r="M1203" s="193"/>
      <c r="N1203" s="212">
        <f t="shared" si="22"/>
        <v>880</v>
      </c>
    </row>
    <row r="1204" spans="3:14" ht="12" customHeight="1">
      <c r="C1204" s="231"/>
      <c r="D1204" s="3914" t="s">
        <v>2291</v>
      </c>
      <c r="E1204" s="3915"/>
      <c r="F1204" s="3915"/>
      <c r="G1204" s="3915"/>
      <c r="H1204" s="3915"/>
      <c r="I1204" s="3915"/>
      <c r="J1204" s="232"/>
      <c r="K1204" s="232"/>
      <c r="L1204" s="232"/>
      <c r="M1204" s="193"/>
      <c r="N1204" s="212">
        <f t="shared" si="22"/>
        <v>881</v>
      </c>
    </row>
    <row r="1205" spans="3:14" ht="12" customHeight="1">
      <c r="C1205" s="231"/>
      <c r="D1205" s="3914" t="s">
        <v>986</v>
      </c>
      <c r="E1205" s="3915"/>
      <c r="F1205" s="3915"/>
      <c r="G1205" s="3915"/>
      <c r="H1205" s="3915"/>
      <c r="I1205" s="3915"/>
      <c r="J1205" s="232"/>
      <c r="K1205" s="232"/>
      <c r="L1205" s="232"/>
      <c r="M1205" s="193"/>
      <c r="N1205" s="212">
        <f t="shared" si="22"/>
        <v>882</v>
      </c>
    </row>
    <row r="1206" spans="3:14" ht="12" customHeight="1">
      <c r="C1206" s="231"/>
      <c r="D1206" s="3914" t="s">
        <v>2286</v>
      </c>
      <c r="E1206" s="3915"/>
      <c r="F1206" s="3915"/>
      <c r="G1206" s="3915"/>
      <c r="H1206" s="3915"/>
      <c r="I1206" s="3915"/>
      <c r="J1206" s="232"/>
      <c r="K1206" s="232"/>
      <c r="L1206" s="232"/>
      <c r="M1206" s="193"/>
      <c r="N1206" s="212">
        <f t="shared" si="22"/>
        <v>883</v>
      </c>
    </row>
    <row r="1207" spans="3:14" ht="12" customHeight="1">
      <c r="C1207" s="231"/>
      <c r="D1207" s="3914" t="s">
        <v>2292</v>
      </c>
      <c r="E1207" s="3915"/>
      <c r="F1207" s="3915"/>
      <c r="G1207" s="3915"/>
      <c r="H1207" s="3915"/>
      <c r="I1207" s="3915"/>
      <c r="J1207" s="232"/>
      <c r="K1207" s="232"/>
      <c r="L1207" s="232"/>
      <c r="M1207" s="193"/>
      <c r="N1207" s="212">
        <f t="shared" si="22"/>
        <v>884</v>
      </c>
    </row>
    <row r="1208" spans="3:14" ht="12" customHeight="1">
      <c r="C1208" s="231"/>
      <c r="D1208" s="3963" t="s">
        <v>987</v>
      </c>
      <c r="E1208" s="3964"/>
      <c r="F1208" s="3964"/>
      <c r="G1208" s="3964"/>
      <c r="H1208" s="3964"/>
      <c r="I1208" s="3964"/>
      <c r="J1208" s="232"/>
      <c r="K1208" s="232"/>
      <c r="L1208" s="232"/>
      <c r="M1208" s="193"/>
      <c r="N1208" s="212">
        <f t="shared" si="22"/>
        <v>885</v>
      </c>
    </row>
    <row r="1209" spans="3:14" ht="12" customHeight="1">
      <c r="C1209" s="231"/>
      <c r="D1209" s="3914" t="s">
        <v>2289</v>
      </c>
      <c r="E1209" s="3915"/>
      <c r="F1209" s="3915"/>
      <c r="G1209" s="3915"/>
      <c r="H1209" s="3915"/>
      <c r="I1209" s="3915"/>
      <c r="J1209" s="232"/>
      <c r="K1209" s="232"/>
      <c r="L1209" s="232"/>
      <c r="M1209" s="193"/>
      <c r="N1209" s="212">
        <f t="shared" si="22"/>
        <v>886</v>
      </c>
    </row>
    <row r="1210" spans="3:14" ht="12" customHeight="1">
      <c r="C1210" s="231"/>
      <c r="D1210" s="3914" t="s">
        <v>2287</v>
      </c>
      <c r="E1210" s="3915"/>
      <c r="F1210" s="3915"/>
      <c r="G1210" s="3915"/>
      <c r="H1210" s="3915"/>
      <c r="I1210" s="3915"/>
      <c r="J1210" s="232"/>
      <c r="K1210" s="232"/>
      <c r="L1210" s="232"/>
      <c r="M1210" s="193"/>
      <c r="N1210" s="212">
        <f t="shared" si="22"/>
        <v>887</v>
      </c>
    </row>
    <row r="1211" spans="3:14" ht="12" customHeight="1">
      <c r="C1211" s="231"/>
      <c r="D1211" s="3914" t="s">
        <v>988</v>
      </c>
      <c r="E1211" s="3915"/>
      <c r="F1211" s="3915"/>
      <c r="G1211" s="3915"/>
      <c r="H1211" s="3915"/>
      <c r="I1211" s="3915"/>
      <c r="J1211" s="232"/>
      <c r="K1211" s="232"/>
      <c r="L1211" s="232"/>
      <c r="M1211" s="193"/>
      <c r="N1211" s="212">
        <f t="shared" si="22"/>
        <v>888</v>
      </c>
    </row>
    <row r="1212" spans="3:14" ht="12" customHeight="1">
      <c r="C1212" s="231"/>
      <c r="D1212" s="3914" t="s">
        <v>2293</v>
      </c>
      <c r="E1212" s="3915"/>
      <c r="F1212" s="3915"/>
      <c r="G1212" s="3915"/>
      <c r="H1212" s="3915"/>
      <c r="I1212" s="3915"/>
      <c r="J1212" s="232"/>
      <c r="K1212" s="232"/>
      <c r="L1212" s="232"/>
      <c r="M1212" s="193"/>
      <c r="N1212" s="212">
        <f t="shared" si="22"/>
        <v>889</v>
      </c>
    </row>
    <row r="1213" spans="3:14" ht="12" customHeight="1">
      <c r="C1213" s="231"/>
      <c r="D1213" s="3914" t="s">
        <v>2294</v>
      </c>
      <c r="E1213" s="3915"/>
      <c r="F1213" s="3915"/>
      <c r="G1213" s="3915"/>
      <c r="H1213" s="3915"/>
      <c r="I1213" s="3915"/>
      <c r="J1213" s="232"/>
      <c r="K1213" s="232"/>
      <c r="L1213" s="232"/>
      <c r="M1213" s="193"/>
      <c r="N1213" s="212">
        <f t="shared" si="22"/>
        <v>890</v>
      </c>
    </row>
    <row r="1214" spans="3:14" ht="12" customHeight="1">
      <c r="C1214" s="231"/>
      <c r="D1214" s="3914" t="s">
        <v>989</v>
      </c>
      <c r="E1214" s="3915"/>
      <c r="F1214" s="3915"/>
      <c r="G1214" s="3915"/>
      <c r="H1214" s="3915"/>
      <c r="I1214" s="3915"/>
      <c r="J1214" s="232"/>
      <c r="K1214" s="232"/>
      <c r="L1214" s="232"/>
      <c r="M1214" s="193"/>
      <c r="N1214" s="212">
        <f t="shared" si="22"/>
        <v>891</v>
      </c>
    </row>
    <row r="1215" spans="3:14" ht="12" customHeight="1">
      <c r="C1215" s="231"/>
      <c r="D1215" s="3914" t="s">
        <v>967</v>
      </c>
      <c r="E1215" s="3915"/>
      <c r="F1215" s="3915"/>
      <c r="G1215" s="3915"/>
      <c r="H1215" s="3915"/>
      <c r="I1215" s="3915"/>
      <c r="J1215" s="232"/>
      <c r="K1215" s="232"/>
      <c r="L1215" s="232"/>
      <c r="M1215" s="193"/>
      <c r="N1215" s="212">
        <f t="shared" ref="N1215:N1278" si="23">IF(D1215="",N1214,N1214+1)</f>
        <v>892</v>
      </c>
    </row>
    <row r="1216" spans="3:14" ht="12" customHeight="1">
      <c r="C1216" s="231"/>
      <c r="D1216" s="3904"/>
      <c r="E1216" s="3905"/>
      <c r="F1216" s="3905"/>
      <c r="G1216" s="3905"/>
      <c r="H1216" s="3905"/>
      <c r="I1216" s="3905"/>
      <c r="J1216" s="232"/>
      <c r="K1216" s="232"/>
      <c r="L1216" s="232"/>
      <c r="M1216" s="193"/>
      <c r="N1216" s="212">
        <f t="shared" si="23"/>
        <v>892</v>
      </c>
    </row>
    <row r="1217" spans="3:14" ht="12" customHeight="1">
      <c r="C1217" s="231"/>
      <c r="D1217" s="3948" t="s">
        <v>817</v>
      </c>
      <c r="E1217" s="3949"/>
      <c r="F1217" s="3949"/>
      <c r="G1217" s="3949"/>
      <c r="H1217" s="3949"/>
      <c r="I1217" s="3949"/>
      <c r="J1217" s="232"/>
      <c r="K1217" s="232"/>
      <c r="L1217" s="232"/>
      <c r="M1217" s="193"/>
      <c r="N1217" s="212">
        <f t="shared" si="23"/>
        <v>893</v>
      </c>
    </row>
    <row r="1218" spans="3:14" ht="12" customHeight="1">
      <c r="C1218" s="231"/>
      <c r="D1218" s="3912" t="s">
        <v>818</v>
      </c>
      <c r="E1218" s="3913"/>
      <c r="F1218" s="3913"/>
      <c r="G1218" s="3913"/>
      <c r="H1218" s="3913"/>
      <c r="I1218" s="3913"/>
      <c r="J1218" s="232"/>
      <c r="K1218" s="232"/>
      <c r="L1218" s="232"/>
      <c r="M1218" s="193"/>
      <c r="N1218" s="212">
        <f t="shared" si="23"/>
        <v>894</v>
      </c>
    </row>
    <row r="1219" spans="3:14" ht="12" customHeight="1">
      <c r="C1219" s="231"/>
      <c r="D1219" s="3912" t="s">
        <v>1648</v>
      </c>
      <c r="E1219" s="3913"/>
      <c r="F1219" s="3913"/>
      <c r="G1219" s="3913"/>
      <c r="H1219" s="3913"/>
      <c r="I1219" s="3913"/>
      <c r="J1219" s="232"/>
      <c r="K1219" s="232"/>
      <c r="L1219" s="232"/>
      <c r="M1219" s="193"/>
      <c r="N1219" s="212">
        <f t="shared" si="23"/>
        <v>895</v>
      </c>
    </row>
    <row r="1220" spans="3:14" ht="12" customHeight="1">
      <c r="C1220" s="231"/>
      <c r="D1220" s="3912"/>
      <c r="E1220" s="3913"/>
      <c r="F1220" s="3913"/>
      <c r="G1220" s="3913"/>
      <c r="H1220" s="3913"/>
      <c r="I1220" s="3913"/>
      <c r="J1220" s="232"/>
      <c r="K1220" s="232"/>
      <c r="L1220" s="232"/>
      <c r="M1220" s="193"/>
      <c r="N1220" s="212">
        <f t="shared" si="23"/>
        <v>895</v>
      </c>
    </row>
    <row r="1221" spans="3:14" ht="12" customHeight="1">
      <c r="C1221" s="231"/>
      <c r="D1221" s="3948" t="s">
        <v>819</v>
      </c>
      <c r="E1221" s="3949"/>
      <c r="F1221" s="3949"/>
      <c r="G1221" s="3949"/>
      <c r="H1221" s="3949"/>
      <c r="I1221" s="3949"/>
      <c r="J1221" s="232"/>
      <c r="K1221" s="232"/>
      <c r="L1221" s="232"/>
      <c r="M1221" s="193"/>
      <c r="N1221" s="212">
        <f t="shared" si="23"/>
        <v>896</v>
      </c>
    </row>
    <row r="1222" spans="3:14" ht="12" customHeight="1">
      <c r="C1222" s="231"/>
      <c r="D1222" s="3900" t="s">
        <v>1649</v>
      </c>
      <c r="E1222" s="3901"/>
      <c r="F1222" s="3901"/>
      <c r="G1222" s="3901"/>
      <c r="H1222" s="3901"/>
      <c r="I1222" s="3901"/>
      <c r="J1222" s="232"/>
      <c r="K1222" s="232"/>
      <c r="L1222" s="232"/>
      <c r="N1222" s="212">
        <f t="shared" si="23"/>
        <v>897</v>
      </c>
    </row>
    <row r="1223" spans="3:14" ht="12" customHeight="1">
      <c r="C1223" s="231"/>
      <c r="D1223" s="3948" t="s">
        <v>820</v>
      </c>
      <c r="E1223" s="3949"/>
      <c r="F1223" s="3949"/>
      <c r="G1223" s="3949"/>
      <c r="H1223" s="3949"/>
      <c r="I1223" s="3949"/>
      <c r="J1223" s="232"/>
      <c r="K1223" s="232"/>
      <c r="L1223" s="232"/>
      <c r="M1223" s="193"/>
      <c r="N1223" s="212">
        <f t="shared" si="23"/>
        <v>898</v>
      </c>
    </row>
    <row r="1224" spans="3:14" ht="12" customHeight="1">
      <c r="C1224" s="231"/>
      <c r="D1224" s="3900" t="s">
        <v>1649</v>
      </c>
      <c r="E1224" s="3901"/>
      <c r="F1224" s="3901"/>
      <c r="G1224" s="3901"/>
      <c r="H1224" s="3901"/>
      <c r="I1224" s="3901"/>
      <c r="J1224" s="232"/>
      <c r="K1224" s="232"/>
      <c r="L1224" s="232"/>
      <c r="N1224" s="212">
        <f t="shared" si="23"/>
        <v>899</v>
      </c>
    </row>
    <row r="1225" spans="3:14" ht="12" customHeight="1">
      <c r="C1225" s="231"/>
      <c r="D1225" s="3912" t="s">
        <v>1633</v>
      </c>
      <c r="E1225" s="3913"/>
      <c r="F1225" s="3913"/>
      <c r="G1225" s="3913"/>
      <c r="H1225" s="3913"/>
      <c r="I1225" s="3913"/>
      <c r="J1225" s="232"/>
      <c r="K1225" s="232"/>
      <c r="L1225" s="232"/>
      <c r="N1225" s="212">
        <f t="shared" si="23"/>
        <v>900</v>
      </c>
    </row>
    <row r="1226" spans="3:14" ht="12" customHeight="1">
      <c r="C1226" s="231"/>
      <c r="D1226" s="3912" t="s">
        <v>1650</v>
      </c>
      <c r="E1226" s="3913"/>
      <c r="F1226" s="3913"/>
      <c r="G1226" s="3913"/>
      <c r="H1226" s="3913"/>
      <c r="I1226" s="3913"/>
      <c r="J1226" s="232"/>
      <c r="K1226" s="232"/>
      <c r="L1226" s="232"/>
      <c r="N1226" s="212">
        <f t="shared" si="23"/>
        <v>901</v>
      </c>
    </row>
    <row r="1227" spans="3:14" ht="12" customHeight="1">
      <c r="C1227" s="231"/>
      <c r="D1227" s="3912" t="s">
        <v>1651</v>
      </c>
      <c r="E1227" s="3913"/>
      <c r="F1227" s="3913"/>
      <c r="G1227" s="3913"/>
      <c r="H1227" s="3913"/>
      <c r="I1227" s="3913"/>
      <c r="J1227" s="232"/>
      <c r="K1227" s="232"/>
      <c r="L1227" s="232"/>
      <c r="N1227" s="212">
        <f t="shared" si="23"/>
        <v>902</v>
      </c>
    </row>
    <row r="1228" spans="3:14" ht="12" customHeight="1">
      <c r="C1228" s="231"/>
      <c r="D1228" s="3912" t="s">
        <v>816</v>
      </c>
      <c r="E1228" s="3913"/>
      <c r="F1228" s="3913"/>
      <c r="G1228" s="3913"/>
      <c r="H1228" s="3913"/>
      <c r="I1228" s="3913"/>
      <c r="J1228" s="232"/>
      <c r="K1228" s="232"/>
      <c r="L1228" s="232"/>
      <c r="N1228" s="212">
        <f t="shared" si="23"/>
        <v>903</v>
      </c>
    </row>
    <row r="1229" spans="3:14" ht="12" customHeight="1">
      <c r="C1229" s="231"/>
      <c r="D1229" s="3912" t="s">
        <v>1652</v>
      </c>
      <c r="E1229" s="3913"/>
      <c r="F1229" s="3913"/>
      <c r="G1229" s="3913"/>
      <c r="H1229" s="3913"/>
      <c r="I1229" s="3913"/>
      <c r="J1229" s="232"/>
      <c r="K1229" s="232"/>
      <c r="L1229" s="232"/>
      <c r="N1229" s="212">
        <f t="shared" si="23"/>
        <v>904</v>
      </c>
    </row>
    <row r="1230" spans="3:14" ht="12" customHeight="1">
      <c r="C1230" s="231"/>
      <c r="D1230" s="3912"/>
      <c r="E1230" s="3913"/>
      <c r="F1230" s="3913"/>
      <c r="G1230" s="3913"/>
      <c r="H1230" s="3913"/>
      <c r="I1230" s="3913"/>
      <c r="J1230" s="232"/>
      <c r="K1230" s="232"/>
      <c r="L1230" s="232"/>
      <c r="N1230" s="212">
        <f t="shared" si="23"/>
        <v>904</v>
      </c>
    </row>
    <row r="1231" spans="3:14" ht="12" customHeight="1">
      <c r="C1231" s="231"/>
      <c r="D1231" s="3901" t="s">
        <v>1318</v>
      </c>
      <c r="E1231" s="3901"/>
      <c r="F1231" s="3901"/>
      <c r="G1231" s="3901"/>
      <c r="H1231" s="3901"/>
      <c r="I1231" s="3901"/>
      <c r="J1231" s="232"/>
      <c r="K1231" s="232"/>
      <c r="L1231" s="232"/>
      <c r="N1231" s="212">
        <f t="shared" si="23"/>
        <v>905</v>
      </c>
    </row>
    <row r="1232" spans="3:14" ht="12" customHeight="1">
      <c r="C1232" s="231"/>
      <c r="D1232" s="3901" t="s">
        <v>821</v>
      </c>
      <c r="E1232" s="3901"/>
      <c r="F1232" s="3901"/>
      <c r="G1232" s="3901"/>
      <c r="H1232" s="3901"/>
      <c r="I1232" s="3901"/>
      <c r="J1232" s="232"/>
      <c r="K1232" s="232"/>
      <c r="L1232" s="232"/>
      <c r="N1232" s="212">
        <f t="shared" si="23"/>
        <v>906</v>
      </c>
    </row>
    <row r="1233" spans="1:14" ht="12" customHeight="1">
      <c r="C1233" s="231"/>
      <c r="D1233" s="3900" t="s">
        <v>1641</v>
      </c>
      <c r="E1233" s="3900"/>
      <c r="F1233" s="3900"/>
      <c r="G1233" s="3900"/>
      <c r="H1233" s="3900"/>
      <c r="I1233" s="3900"/>
      <c r="J1233" s="232"/>
      <c r="K1233" s="232"/>
      <c r="L1233" s="232"/>
      <c r="N1233" s="212">
        <f t="shared" si="23"/>
        <v>907</v>
      </c>
    </row>
    <row r="1234" spans="1:14" ht="12" customHeight="1">
      <c r="C1234" s="231"/>
      <c r="D1234" s="3900" t="s">
        <v>1653</v>
      </c>
      <c r="E1234" s="3901"/>
      <c r="F1234" s="3901"/>
      <c r="G1234" s="3901"/>
      <c r="H1234" s="3901"/>
      <c r="I1234" s="3901"/>
      <c r="J1234" s="232"/>
      <c r="K1234" s="232"/>
      <c r="L1234" s="232"/>
      <c r="N1234" s="212">
        <f t="shared" si="23"/>
        <v>908</v>
      </c>
    </row>
    <row r="1235" spans="1:14" ht="12" customHeight="1">
      <c r="C1235" s="231"/>
      <c r="D1235" s="3900" t="s">
        <v>1654</v>
      </c>
      <c r="E1235" s="3901"/>
      <c r="F1235" s="3901"/>
      <c r="G1235" s="3901"/>
      <c r="H1235" s="3901"/>
      <c r="I1235" s="3901"/>
      <c r="J1235" s="232"/>
      <c r="K1235" s="232"/>
      <c r="L1235" s="232"/>
      <c r="N1235" s="212">
        <f t="shared" si="23"/>
        <v>909</v>
      </c>
    </row>
    <row r="1236" spans="1:14" ht="12" customHeight="1">
      <c r="C1236" s="231"/>
      <c r="D1236" s="3901" t="s">
        <v>1655</v>
      </c>
      <c r="E1236" s="3901"/>
      <c r="F1236" s="3901"/>
      <c r="G1236" s="3901"/>
      <c r="H1236" s="3901"/>
      <c r="I1236" s="3901"/>
      <c r="J1236" s="232"/>
      <c r="K1236" s="232"/>
      <c r="L1236" s="232"/>
      <c r="N1236" s="212">
        <f t="shared" si="23"/>
        <v>910</v>
      </c>
    </row>
    <row r="1237" spans="1:14" ht="12" customHeight="1">
      <c r="C1237" s="231"/>
      <c r="D1237" s="3901" t="s">
        <v>1656</v>
      </c>
      <c r="E1237" s="3901"/>
      <c r="F1237" s="3901"/>
      <c r="G1237" s="3901"/>
      <c r="H1237" s="3901"/>
      <c r="I1237" s="3901"/>
      <c r="J1237" s="232"/>
      <c r="K1237" s="232"/>
      <c r="L1237" s="232"/>
      <c r="N1237" s="212">
        <f t="shared" si="23"/>
        <v>911</v>
      </c>
    </row>
    <row r="1238" spans="1:14" ht="12" customHeight="1">
      <c r="C1238" s="231"/>
      <c r="D1238" s="3900" t="s">
        <v>1641</v>
      </c>
      <c r="E1238" s="3901"/>
      <c r="F1238" s="3901"/>
      <c r="G1238" s="3901"/>
      <c r="H1238" s="3901"/>
      <c r="I1238" s="3901"/>
      <c r="J1238" s="232"/>
      <c r="K1238" s="232"/>
      <c r="L1238" s="232"/>
      <c r="N1238" s="212">
        <f t="shared" si="23"/>
        <v>912</v>
      </c>
    </row>
    <row r="1239" spans="1:14" ht="12" customHeight="1">
      <c r="C1239" s="231"/>
      <c r="D1239" s="3900" t="s">
        <v>1657</v>
      </c>
      <c r="E1239" s="3900"/>
      <c r="F1239" s="3900"/>
      <c r="G1239" s="3900"/>
      <c r="H1239" s="3900"/>
      <c r="I1239" s="3900"/>
      <c r="J1239" s="232"/>
      <c r="K1239" s="232"/>
      <c r="L1239" s="232"/>
      <c r="N1239" s="212">
        <f t="shared" si="23"/>
        <v>913</v>
      </c>
    </row>
    <row r="1240" spans="1:14" ht="12" customHeight="1">
      <c r="C1240" s="231"/>
      <c r="D1240" s="3904"/>
      <c r="E1240" s="3905"/>
      <c r="F1240" s="3905"/>
      <c r="G1240" s="3905"/>
      <c r="H1240" s="3905"/>
      <c r="I1240" s="3905"/>
      <c r="J1240" s="232"/>
      <c r="K1240" s="232"/>
      <c r="L1240" s="232"/>
      <c r="N1240" s="212">
        <f t="shared" si="23"/>
        <v>913</v>
      </c>
    </row>
    <row r="1241" spans="1:14" ht="12" customHeight="1" thickBot="1">
      <c r="A1241" s="3906"/>
      <c r="C1241" s="231"/>
      <c r="D1241" s="742"/>
      <c r="E1241" s="743"/>
      <c r="F1241" s="1714"/>
      <c r="G1241" s="743"/>
      <c r="H1241" s="743"/>
      <c r="I1241" s="743"/>
      <c r="J1241" s="232"/>
      <c r="K1241" s="232"/>
      <c r="L1241" s="232"/>
      <c r="N1241" s="212">
        <f t="shared" si="23"/>
        <v>913</v>
      </c>
    </row>
    <row r="1242" spans="1:14" ht="15" customHeight="1" thickBot="1">
      <c r="A1242" s="3906"/>
      <c r="C1242" s="760"/>
      <c r="D1242" s="3947" t="s">
        <v>563</v>
      </c>
      <c r="E1242" s="3947"/>
      <c r="F1242" s="3947"/>
      <c r="G1242" s="3947"/>
      <c r="H1242" s="3947"/>
      <c r="I1242" s="3947"/>
      <c r="J1242" s="232"/>
      <c r="K1242" s="197" t="s">
        <v>576</v>
      </c>
      <c r="L1242" s="232"/>
      <c r="N1242" s="212">
        <f t="shared" si="23"/>
        <v>914</v>
      </c>
    </row>
    <row r="1243" spans="1:14" ht="12" customHeight="1" thickBot="1">
      <c r="A1243" s="3906"/>
      <c r="C1243" s="231"/>
      <c r="D1243" s="3904"/>
      <c r="E1243" s="3905"/>
      <c r="F1243" s="3905"/>
      <c r="G1243" s="3905"/>
      <c r="H1243" s="3905"/>
      <c r="I1243" s="3905"/>
      <c r="J1243" s="232"/>
      <c r="K1243" s="1726" t="s">
        <v>551</v>
      </c>
      <c r="L1243" s="232"/>
      <c r="N1243" s="212">
        <f t="shared" si="23"/>
        <v>914</v>
      </c>
    </row>
    <row r="1244" spans="1:14" ht="12" customHeight="1">
      <c r="A1244" s="3906"/>
      <c r="C1244" s="231"/>
      <c r="D1244" s="3948" t="s">
        <v>1643</v>
      </c>
      <c r="E1244" s="3949"/>
      <c r="F1244" s="3949"/>
      <c r="G1244" s="3949"/>
      <c r="H1244" s="3949"/>
      <c r="I1244" s="3949"/>
      <c r="J1244" s="232"/>
      <c r="K1244" s="232"/>
      <c r="L1244" s="232"/>
      <c r="N1244" s="212">
        <f t="shared" si="23"/>
        <v>915</v>
      </c>
    </row>
    <row r="1245" spans="1:14" ht="12" customHeight="1">
      <c r="A1245" s="3906"/>
      <c r="C1245" s="231"/>
      <c r="D1245" s="3904"/>
      <c r="E1245" s="3905"/>
      <c r="F1245" s="3905"/>
      <c r="G1245" s="3905"/>
      <c r="H1245" s="3905"/>
      <c r="I1245" s="3905"/>
      <c r="J1245" s="232"/>
      <c r="K1245" s="232"/>
      <c r="L1245" s="232"/>
      <c r="N1245" s="212">
        <f t="shared" si="23"/>
        <v>915</v>
      </c>
    </row>
    <row r="1246" spans="1:14" ht="12" customHeight="1">
      <c r="A1246" s="3906"/>
      <c r="C1246" s="231"/>
      <c r="D1246" s="3914"/>
      <c r="E1246" s="3915"/>
      <c r="F1246" s="3915"/>
      <c r="G1246" s="3915"/>
      <c r="H1246" s="3915"/>
      <c r="I1246" s="3915"/>
      <c r="J1246" s="232"/>
      <c r="K1246" s="232"/>
      <c r="L1246" s="232"/>
      <c r="N1246" s="212">
        <f t="shared" si="23"/>
        <v>915</v>
      </c>
    </row>
    <row r="1247" spans="1:14" ht="12" customHeight="1">
      <c r="A1247" s="3906"/>
      <c r="C1247" s="231"/>
      <c r="D1247" s="3914" t="s">
        <v>804</v>
      </c>
      <c r="E1247" s="3915"/>
      <c r="F1247" s="3915"/>
      <c r="G1247" s="3915"/>
      <c r="H1247" s="3915"/>
      <c r="I1247" s="3915"/>
      <c r="J1247" s="232"/>
      <c r="K1247" s="232"/>
      <c r="L1247" s="232"/>
      <c r="N1247" s="212">
        <f t="shared" si="23"/>
        <v>916</v>
      </c>
    </row>
    <row r="1248" spans="1:14" ht="12" customHeight="1">
      <c r="A1248" s="3906"/>
      <c r="C1248" s="231"/>
      <c r="D1248" s="3914" t="s">
        <v>990</v>
      </c>
      <c r="E1248" s="3915"/>
      <c r="F1248" s="3915"/>
      <c r="G1248" s="3915"/>
      <c r="H1248" s="3915"/>
      <c r="I1248" s="3915"/>
      <c r="J1248" s="232"/>
      <c r="K1248" s="232"/>
      <c r="L1248" s="232"/>
      <c r="N1248" s="212">
        <f t="shared" si="23"/>
        <v>917</v>
      </c>
    </row>
    <row r="1249" spans="1:14" ht="12" customHeight="1">
      <c r="A1249" s="3906"/>
      <c r="C1249" s="231"/>
      <c r="D1249" s="3914" t="s">
        <v>998</v>
      </c>
      <c r="E1249" s="3915"/>
      <c r="F1249" s="3915"/>
      <c r="G1249" s="3915"/>
      <c r="H1249" s="3915"/>
      <c r="I1249" s="3915"/>
      <c r="J1249" s="232"/>
      <c r="K1249" s="232"/>
      <c r="L1249" s="232"/>
      <c r="N1249" s="212">
        <f t="shared" si="23"/>
        <v>918</v>
      </c>
    </row>
    <row r="1250" spans="1:14" ht="12" customHeight="1">
      <c r="A1250" s="3906"/>
      <c r="C1250" s="231"/>
      <c r="D1250" s="3914" t="s">
        <v>997</v>
      </c>
      <c r="E1250" s="3915"/>
      <c r="F1250" s="3915"/>
      <c r="G1250" s="3915"/>
      <c r="H1250" s="3915"/>
      <c r="I1250" s="3915"/>
      <c r="J1250" s="232"/>
      <c r="K1250" s="232"/>
      <c r="L1250" s="232"/>
      <c r="N1250" s="212">
        <f t="shared" si="23"/>
        <v>919</v>
      </c>
    </row>
    <row r="1251" spans="1:14" ht="12" customHeight="1">
      <c r="A1251" s="3906"/>
      <c r="C1251" s="231"/>
      <c r="D1251" s="3914" t="s">
        <v>996</v>
      </c>
      <c r="E1251" s="3915"/>
      <c r="F1251" s="3915"/>
      <c r="G1251" s="3915"/>
      <c r="H1251" s="3915"/>
      <c r="I1251" s="3915"/>
      <c r="J1251" s="232"/>
      <c r="K1251" s="232"/>
      <c r="L1251" s="232"/>
      <c r="N1251" s="212">
        <f t="shared" si="23"/>
        <v>920</v>
      </c>
    </row>
    <row r="1252" spans="1:14" ht="12" customHeight="1">
      <c r="A1252" s="3906"/>
      <c r="C1252" s="231"/>
      <c r="D1252" s="3914" t="s">
        <v>995</v>
      </c>
      <c r="E1252" s="3915"/>
      <c r="F1252" s="3915"/>
      <c r="G1252" s="3915"/>
      <c r="H1252" s="3915"/>
      <c r="I1252" s="3915"/>
      <c r="J1252" s="232"/>
      <c r="K1252" s="232"/>
      <c r="L1252" s="232"/>
      <c r="N1252" s="212">
        <f t="shared" si="23"/>
        <v>921</v>
      </c>
    </row>
    <row r="1253" spans="1:14" ht="12" customHeight="1">
      <c r="A1253" s="3906"/>
      <c r="C1253" s="231"/>
      <c r="D1253" s="3914" t="s">
        <v>994</v>
      </c>
      <c r="E1253" s="3915"/>
      <c r="F1253" s="3915"/>
      <c r="G1253" s="3915"/>
      <c r="H1253" s="3915"/>
      <c r="I1253" s="3915"/>
      <c r="J1253" s="232"/>
      <c r="K1253" s="232"/>
      <c r="L1253" s="232"/>
      <c r="N1253" s="212">
        <f t="shared" si="23"/>
        <v>922</v>
      </c>
    </row>
    <row r="1254" spans="1:14" ht="12" customHeight="1">
      <c r="A1254" s="3906"/>
      <c r="C1254" s="231"/>
      <c r="D1254" s="3914" t="s">
        <v>993</v>
      </c>
      <c r="E1254" s="3915"/>
      <c r="F1254" s="3915"/>
      <c r="G1254" s="3915"/>
      <c r="H1254" s="3915"/>
      <c r="I1254" s="3915"/>
      <c r="J1254" s="232"/>
      <c r="K1254" s="232"/>
      <c r="L1254" s="232"/>
      <c r="N1254" s="212">
        <f t="shared" si="23"/>
        <v>923</v>
      </c>
    </row>
    <row r="1255" spans="1:14" ht="12" customHeight="1">
      <c r="A1255" s="3906"/>
      <c r="C1255" s="231"/>
      <c r="D1255" s="3914" t="s">
        <v>993</v>
      </c>
      <c r="E1255" s="3915"/>
      <c r="F1255" s="3915"/>
      <c r="G1255" s="3915"/>
      <c r="H1255" s="3915"/>
      <c r="I1255" s="3915"/>
      <c r="J1255" s="232"/>
      <c r="K1255" s="232"/>
      <c r="L1255" s="232"/>
      <c r="N1255" s="212">
        <f t="shared" si="23"/>
        <v>924</v>
      </c>
    </row>
    <row r="1256" spans="1:14" ht="12" customHeight="1">
      <c r="A1256" s="3906"/>
      <c r="C1256" s="231"/>
      <c r="D1256" s="3914" t="s">
        <v>992</v>
      </c>
      <c r="E1256" s="3915"/>
      <c r="F1256" s="3915"/>
      <c r="G1256" s="3915"/>
      <c r="H1256" s="3915"/>
      <c r="I1256" s="3915"/>
      <c r="J1256" s="232"/>
      <c r="K1256" s="232"/>
      <c r="L1256" s="232"/>
      <c r="N1256" s="212">
        <f t="shared" si="23"/>
        <v>925</v>
      </c>
    </row>
    <row r="1257" spans="1:14" ht="12" customHeight="1">
      <c r="A1257" s="3906"/>
      <c r="C1257" s="231"/>
      <c r="D1257" s="3914" t="s">
        <v>992</v>
      </c>
      <c r="E1257" s="3915"/>
      <c r="F1257" s="3915"/>
      <c r="G1257" s="3915"/>
      <c r="H1257" s="3915"/>
      <c r="I1257" s="3915"/>
      <c r="J1257" s="232"/>
      <c r="K1257" s="232"/>
      <c r="L1257" s="232"/>
      <c r="N1257" s="212">
        <f t="shared" si="23"/>
        <v>926</v>
      </c>
    </row>
    <row r="1258" spans="1:14" ht="12" customHeight="1">
      <c r="A1258" s="3906"/>
      <c r="C1258" s="231"/>
      <c r="D1258" s="3914" t="s">
        <v>991</v>
      </c>
      <c r="E1258" s="3915"/>
      <c r="F1258" s="3915"/>
      <c r="G1258" s="3915"/>
      <c r="H1258" s="3915"/>
      <c r="I1258" s="3915"/>
      <c r="J1258" s="232"/>
      <c r="K1258" s="232"/>
      <c r="L1258" s="232"/>
      <c r="N1258" s="212">
        <f t="shared" si="23"/>
        <v>927</v>
      </c>
    </row>
    <row r="1259" spans="1:14" ht="12" customHeight="1">
      <c r="A1259" s="3906"/>
      <c r="C1259" s="231"/>
      <c r="D1259" s="3914"/>
      <c r="E1259" s="3915"/>
      <c r="F1259" s="3915"/>
      <c r="G1259" s="3915"/>
      <c r="H1259" s="3915"/>
      <c r="I1259" s="3915"/>
      <c r="J1259" s="232"/>
      <c r="K1259" s="232"/>
      <c r="L1259" s="232"/>
      <c r="N1259" s="212">
        <f t="shared" si="23"/>
        <v>927</v>
      </c>
    </row>
    <row r="1260" spans="1:14" ht="12" customHeight="1">
      <c r="A1260" s="3906"/>
      <c r="C1260" s="231"/>
      <c r="D1260" s="3914" t="s">
        <v>805</v>
      </c>
      <c r="E1260" s="3915"/>
      <c r="F1260" s="3915"/>
      <c r="G1260" s="3915"/>
      <c r="H1260" s="3915"/>
      <c r="I1260" s="3915"/>
      <c r="J1260" s="232"/>
      <c r="K1260" s="232"/>
      <c r="L1260" s="232"/>
      <c r="N1260" s="212">
        <f t="shared" si="23"/>
        <v>928</v>
      </c>
    </row>
    <row r="1261" spans="1:14" ht="12" customHeight="1">
      <c r="A1261" s="3906"/>
      <c r="C1261" s="231"/>
      <c r="D1261" s="3914" t="s">
        <v>806</v>
      </c>
      <c r="E1261" s="3915"/>
      <c r="F1261" s="3915"/>
      <c r="G1261" s="3915"/>
      <c r="H1261" s="3915"/>
      <c r="I1261" s="3915"/>
      <c r="J1261" s="232"/>
      <c r="K1261" s="232"/>
      <c r="L1261" s="232"/>
      <c r="N1261" s="212">
        <f t="shared" si="23"/>
        <v>929</v>
      </c>
    </row>
    <row r="1262" spans="1:14" ht="12" customHeight="1">
      <c r="A1262" s="3906"/>
      <c r="C1262" s="231"/>
      <c r="D1262" s="3904"/>
      <c r="E1262" s="3905"/>
      <c r="F1262" s="3905"/>
      <c r="G1262" s="3905"/>
      <c r="H1262" s="3905"/>
      <c r="I1262" s="3905"/>
      <c r="J1262" s="232"/>
      <c r="K1262" s="232"/>
      <c r="L1262" s="232"/>
      <c r="N1262" s="212">
        <f t="shared" si="23"/>
        <v>929</v>
      </c>
    </row>
    <row r="1263" spans="1:14" ht="12" customHeight="1">
      <c r="A1263" s="3906"/>
      <c r="C1263" s="231"/>
      <c r="D1263" s="3900" t="s">
        <v>1661</v>
      </c>
      <c r="E1263" s="3901"/>
      <c r="F1263" s="3901"/>
      <c r="G1263" s="3901"/>
      <c r="H1263" s="3901"/>
      <c r="I1263" s="3901"/>
      <c r="J1263" s="232"/>
      <c r="K1263" s="232"/>
      <c r="L1263" s="232"/>
      <c r="N1263" s="212">
        <f t="shared" si="23"/>
        <v>930</v>
      </c>
    </row>
    <row r="1264" spans="1:14" ht="12" customHeight="1">
      <c r="A1264" s="3906"/>
      <c r="C1264" s="231"/>
      <c r="D1264" s="3900" t="s">
        <v>1662</v>
      </c>
      <c r="E1264" s="3901"/>
      <c r="F1264" s="3901"/>
      <c r="G1264" s="3901"/>
      <c r="H1264" s="3901"/>
      <c r="I1264" s="3901"/>
      <c r="J1264" s="232"/>
      <c r="K1264" s="232"/>
      <c r="L1264" s="232"/>
      <c r="N1264" s="212">
        <f t="shared" si="23"/>
        <v>931</v>
      </c>
    </row>
    <row r="1265" spans="1:14" ht="12" customHeight="1">
      <c r="A1265" s="3906"/>
      <c r="C1265" s="231"/>
      <c r="D1265" s="3912"/>
      <c r="E1265" s="3913"/>
      <c r="F1265" s="3913"/>
      <c r="G1265" s="3913"/>
      <c r="H1265" s="3913"/>
      <c r="I1265" s="3913"/>
      <c r="J1265" s="232"/>
      <c r="K1265" s="232"/>
      <c r="L1265" s="232"/>
      <c r="N1265" s="212">
        <f t="shared" si="23"/>
        <v>931</v>
      </c>
    </row>
    <row r="1266" spans="1:14" ht="12" customHeight="1">
      <c r="A1266" s="3906"/>
      <c r="C1266" s="231"/>
      <c r="D1266" s="3948" t="s">
        <v>823</v>
      </c>
      <c r="E1266" s="3949"/>
      <c r="F1266" s="3949"/>
      <c r="G1266" s="3949"/>
      <c r="H1266" s="3949"/>
      <c r="I1266" s="3949"/>
      <c r="J1266" s="232"/>
      <c r="K1266" s="232"/>
      <c r="L1266" s="232"/>
      <c r="M1266" s="193"/>
      <c r="N1266" s="212">
        <f t="shared" si="23"/>
        <v>932</v>
      </c>
    </row>
    <row r="1267" spans="1:14" ht="12" customHeight="1">
      <c r="A1267" s="3906"/>
      <c r="C1267" s="231"/>
      <c r="D1267" s="3900" t="s">
        <v>824</v>
      </c>
      <c r="E1267" s="3901"/>
      <c r="F1267" s="3901"/>
      <c r="G1267" s="3901"/>
      <c r="H1267" s="3901"/>
      <c r="I1267" s="3901"/>
      <c r="J1267" s="232"/>
      <c r="K1267" s="232"/>
      <c r="L1267" s="232"/>
      <c r="N1267" s="212">
        <f t="shared" si="23"/>
        <v>933</v>
      </c>
    </row>
    <row r="1268" spans="1:14" ht="12" customHeight="1">
      <c r="C1268" s="231"/>
      <c r="D1268" s="3948" t="s">
        <v>1663</v>
      </c>
      <c r="E1268" s="3949"/>
      <c r="F1268" s="3949"/>
      <c r="G1268" s="3949"/>
      <c r="H1268" s="3949"/>
      <c r="I1268" s="3949"/>
      <c r="J1268" s="232"/>
      <c r="K1268" s="232"/>
      <c r="L1268" s="232"/>
      <c r="M1268" s="193"/>
      <c r="N1268" s="212">
        <f t="shared" si="23"/>
        <v>934</v>
      </c>
    </row>
    <row r="1269" spans="1:14" ht="12" customHeight="1">
      <c r="C1269" s="231"/>
      <c r="D1269" s="3900" t="s">
        <v>1664</v>
      </c>
      <c r="E1269" s="3901"/>
      <c r="F1269" s="3901"/>
      <c r="G1269" s="3901"/>
      <c r="H1269" s="3901"/>
      <c r="I1269" s="3901"/>
      <c r="J1269" s="232"/>
      <c r="K1269" s="232"/>
      <c r="L1269" s="232"/>
      <c r="N1269" s="212">
        <f t="shared" si="23"/>
        <v>935</v>
      </c>
    </row>
    <row r="1270" spans="1:14" ht="12" customHeight="1">
      <c r="C1270" s="231"/>
      <c r="D1270" s="3912"/>
      <c r="E1270" s="3913"/>
      <c r="F1270" s="3913"/>
      <c r="G1270" s="3913"/>
      <c r="H1270" s="3913"/>
      <c r="I1270" s="3913"/>
      <c r="J1270" s="232"/>
      <c r="K1270" s="232"/>
      <c r="L1270" s="232"/>
      <c r="N1270" s="212">
        <f t="shared" si="23"/>
        <v>935</v>
      </c>
    </row>
    <row r="1271" spans="1:14" ht="12" customHeight="1">
      <c r="C1271" s="231"/>
      <c r="D1271" s="3912" t="s">
        <v>1658</v>
      </c>
      <c r="E1271" s="3913"/>
      <c r="F1271" s="3913"/>
      <c r="G1271" s="3913"/>
      <c r="H1271" s="3913"/>
      <c r="I1271" s="3913"/>
      <c r="J1271" s="232"/>
      <c r="K1271" s="232"/>
      <c r="L1271" s="232"/>
      <c r="N1271" s="212">
        <f t="shared" si="23"/>
        <v>936</v>
      </c>
    </row>
    <row r="1272" spans="1:14" ht="12" customHeight="1">
      <c r="C1272" s="231"/>
      <c r="D1272" s="3912" t="s">
        <v>1659</v>
      </c>
      <c r="E1272" s="3912"/>
      <c r="F1272" s="3912"/>
      <c r="G1272" s="3912"/>
      <c r="H1272" s="3912"/>
      <c r="I1272" s="3912"/>
      <c r="J1272" s="3912"/>
      <c r="K1272" s="3912"/>
      <c r="L1272" s="232"/>
      <c r="N1272" s="212">
        <f t="shared" si="23"/>
        <v>937</v>
      </c>
    </row>
    <row r="1273" spans="1:14" ht="12" customHeight="1">
      <c r="C1273" s="231"/>
      <c r="D1273" s="3912" t="s">
        <v>1660</v>
      </c>
      <c r="E1273" s="3913"/>
      <c r="F1273" s="3913"/>
      <c r="G1273" s="3913"/>
      <c r="H1273" s="3913"/>
      <c r="I1273" s="3913"/>
      <c r="J1273" s="232"/>
      <c r="K1273" s="232"/>
      <c r="L1273" s="232"/>
      <c r="N1273" s="212">
        <f t="shared" si="23"/>
        <v>938</v>
      </c>
    </row>
    <row r="1274" spans="1:14" ht="12" customHeight="1">
      <c r="C1274" s="231"/>
      <c r="D1274" s="3912"/>
      <c r="E1274" s="3913"/>
      <c r="F1274" s="3913"/>
      <c r="G1274" s="3913"/>
      <c r="H1274" s="3913"/>
      <c r="I1274" s="3913"/>
      <c r="J1274" s="232"/>
      <c r="K1274" s="232"/>
      <c r="L1274" s="232"/>
      <c r="N1274" s="212">
        <f t="shared" si="23"/>
        <v>938</v>
      </c>
    </row>
    <row r="1275" spans="1:14" ht="12" customHeight="1">
      <c r="C1275" s="231"/>
      <c r="D1275" s="3901" t="s">
        <v>1665</v>
      </c>
      <c r="E1275" s="3901"/>
      <c r="F1275" s="3901"/>
      <c r="G1275" s="3901"/>
      <c r="H1275" s="3901"/>
      <c r="I1275" s="3901"/>
      <c r="J1275" s="232"/>
      <c r="K1275" s="232"/>
      <c r="L1275" s="232"/>
      <c r="N1275" s="212">
        <f t="shared" si="23"/>
        <v>939</v>
      </c>
    </row>
    <row r="1276" spans="1:14" ht="12" customHeight="1">
      <c r="C1276" s="231"/>
      <c r="D1276" s="3901" t="s">
        <v>1666</v>
      </c>
      <c r="E1276" s="3901"/>
      <c r="F1276" s="3901"/>
      <c r="G1276" s="3901"/>
      <c r="H1276" s="3901"/>
      <c r="I1276" s="3901"/>
      <c r="J1276" s="232"/>
      <c r="K1276" s="232"/>
      <c r="L1276" s="232"/>
      <c r="N1276" s="212">
        <f t="shared" si="23"/>
        <v>940</v>
      </c>
    </row>
    <row r="1277" spans="1:14" ht="12" customHeight="1">
      <c r="C1277" s="231"/>
      <c r="D1277" s="3900" t="s">
        <v>1667</v>
      </c>
      <c r="E1277" s="3901"/>
      <c r="F1277" s="3901"/>
      <c r="G1277" s="3901"/>
      <c r="H1277" s="3901"/>
      <c r="I1277" s="3901"/>
      <c r="J1277" s="232"/>
      <c r="K1277" s="232"/>
      <c r="L1277" s="232"/>
      <c r="N1277" s="212">
        <f t="shared" si="23"/>
        <v>941</v>
      </c>
    </row>
    <row r="1278" spans="1:14" ht="12" customHeight="1">
      <c r="C1278" s="231"/>
      <c r="D1278" s="3900" t="s">
        <v>1668</v>
      </c>
      <c r="E1278" s="3901"/>
      <c r="F1278" s="3901"/>
      <c r="G1278" s="3901"/>
      <c r="H1278" s="3901"/>
      <c r="I1278" s="3901"/>
      <c r="J1278" s="232"/>
      <c r="K1278" s="232"/>
      <c r="L1278" s="232"/>
      <c r="N1278" s="212">
        <f t="shared" si="23"/>
        <v>942</v>
      </c>
    </row>
    <row r="1279" spans="1:14" ht="12" customHeight="1">
      <c r="C1279" s="231"/>
      <c r="D1279" s="3900" t="s">
        <v>1669</v>
      </c>
      <c r="E1279" s="3901"/>
      <c r="F1279" s="3901"/>
      <c r="G1279" s="3901"/>
      <c r="H1279" s="3901"/>
      <c r="I1279" s="3901"/>
      <c r="J1279" s="232"/>
      <c r="K1279" s="232"/>
      <c r="L1279" s="232"/>
      <c r="N1279" s="212">
        <f t="shared" ref="N1279:N1344" si="24">IF(D1279="",N1278,N1278+1)</f>
        <v>943</v>
      </c>
    </row>
    <row r="1280" spans="1:14" ht="12" customHeight="1">
      <c r="C1280" s="231"/>
      <c r="D1280" s="3901" t="s">
        <v>1670</v>
      </c>
      <c r="E1280" s="3901"/>
      <c r="F1280" s="3901"/>
      <c r="G1280" s="3901"/>
      <c r="H1280" s="3901"/>
      <c r="I1280" s="3901"/>
      <c r="J1280" s="232"/>
      <c r="K1280" s="232"/>
      <c r="L1280" s="232"/>
      <c r="N1280" s="212">
        <f t="shared" si="24"/>
        <v>944</v>
      </c>
    </row>
    <row r="1281" spans="1:14" ht="12" customHeight="1">
      <c r="C1281" s="231"/>
      <c r="D1281" s="3901" t="s">
        <v>1671</v>
      </c>
      <c r="E1281" s="3901"/>
      <c r="F1281" s="3901"/>
      <c r="G1281" s="3901"/>
      <c r="H1281" s="3901"/>
      <c r="I1281" s="3901"/>
      <c r="J1281" s="232"/>
      <c r="K1281" s="232"/>
      <c r="L1281" s="232"/>
      <c r="N1281" s="212">
        <f t="shared" si="24"/>
        <v>945</v>
      </c>
    </row>
    <row r="1282" spans="1:14" ht="12" customHeight="1">
      <c r="C1282" s="231"/>
      <c r="D1282" s="3900" t="s">
        <v>1672</v>
      </c>
      <c r="E1282" s="3901"/>
      <c r="F1282" s="3901"/>
      <c r="G1282" s="3901"/>
      <c r="H1282" s="3901"/>
      <c r="I1282" s="3901"/>
      <c r="J1282" s="232"/>
      <c r="K1282" s="232"/>
      <c r="L1282" s="232"/>
      <c r="N1282" s="212">
        <f t="shared" si="24"/>
        <v>946</v>
      </c>
    </row>
    <row r="1283" spans="1:14" ht="12" customHeight="1">
      <c r="C1283" s="231"/>
      <c r="D1283" s="3900" t="s">
        <v>1673</v>
      </c>
      <c r="E1283" s="3901"/>
      <c r="F1283" s="3901"/>
      <c r="G1283" s="3901"/>
      <c r="H1283" s="3901"/>
      <c r="I1283" s="3901"/>
      <c r="J1283" s="232"/>
      <c r="K1283" s="232"/>
      <c r="L1283" s="232"/>
      <c r="N1283" s="212">
        <f t="shared" si="24"/>
        <v>947</v>
      </c>
    </row>
    <row r="1284" spans="1:14" ht="12" customHeight="1">
      <c r="C1284" s="231"/>
      <c r="D1284" s="3904"/>
      <c r="E1284" s="3905"/>
      <c r="F1284" s="3905"/>
      <c r="G1284" s="3905"/>
      <c r="H1284" s="3905"/>
      <c r="I1284" s="3905"/>
      <c r="J1284" s="232"/>
      <c r="K1284" s="232"/>
      <c r="L1284" s="232"/>
      <c r="N1284" s="212">
        <f t="shared" si="24"/>
        <v>947</v>
      </c>
    </row>
    <row r="1285" spans="1:14" ht="12" customHeight="1">
      <c r="C1285" s="231"/>
      <c r="D1285" s="742"/>
      <c r="E1285" s="743"/>
      <c r="F1285" s="1714"/>
      <c r="G1285" s="743"/>
      <c r="H1285" s="743"/>
      <c r="I1285" s="743"/>
      <c r="J1285" s="232"/>
      <c r="K1285" s="232"/>
      <c r="L1285" s="232"/>
      <c r="N1285" s="212">
        <f t="shared" si="24"/>
        <v>947</v>
      </c>
    </row>
    <row r="1286" spans="1:14" ht="12" customHeight="1">
      <c r="C1286" s="231"/>
      <c r="D1286" s="742"/>
      <c r="E1286" s="743"/>
      <c r="F1286" s="1714"/>
      <c r="G1286" s="743"/>
      <c r="H1286" s="743"/>
      <c r="I1286" s="743"/>
      <c r="J1286" s="232"/>
      <c r="K1286" s="232"/>
      <c r="L1286" s="232"/>
      <c r="N1286" s="212">
        <f t="shared" si="24"/>
        <v>947</v>
      </c>
    </row>
    <row r="1287" spans="1:14" ht="12" customHeight="1">
      <c r="C1287" s="231"/>
      <c r="D1287" s="742"/>
      <c r="E1287" s="743"/>
      <c r="F1287" s="1714"/>
      <c r="G1287" s="743"/>
      <c r="H1287" s="743"/>
      <c r="I1287" s="743"/>
      <c r="J1287" s="232"/>
      <c r="K1287" s="232"/>
      <c r="L1287" s="232"/>
      <c r="N1287" s="212">
        <f t="shared" si="24"/>
        <v>947</v>
      </c>
    </row>
    <row r="1288" spans="1:14" ht="12" customHeight="1">
      <c r="C1288" s="231"/>
      <c r="D1288" s="3904"/>
      <c r="E1288" s="3905"/>
      <c r="F1288" s="3905"/>
      <c r="G1288" s="3905"/>
      <c r="H1288" s="3905"/>
      <c r="I1288" s="3905"/>
      <c r="J1288" s="232"/>
      <c r="K1288" s="232"/>
      <c r="L1288" s="232"/>
      <c r="N1288" s="212">
        <f t="shared" si="24"/>
        <v>947</v>
      </c>
    </row>
    <row r="1289" spans="1:14" ht="12" customHeight="1">
      <c r="C1289" s="231"/>
      <c r="D1289" s="3904"/>
      <c r="E1289" s="3905"/>
      <c r="F1289" s="3905"/>
      <c r="G1289" s="3905"/>
      <c r="H1289" s="3905"/>
      <c r="I1289" s="3905"/>
      <c r="J1289" s="232"/>
      <c r="K1289" s="232"/>
      <c r="L1289" s="232"/>
      <c r="N1289" s="212">
        <f t="shared" si="24"/>
        <v>947</v>
      </c>
    </row>
    <row r="1290" spans="1:14" ht="12" customHeight="1" thickBot="1">
      <c r="A1290" s="3906"/>
      <c r="C1290" s="231"/>
      <c r="D1290" s="3904"/>
      <c r="E1290" s="3905"/>
      <c r="F1290" s="3905"/>
      <c r="G1290" s="3905"/>
      <c r="H1290" s="3905"/>
      <c r="I1290" s="3905"/>
      <c r="J1290" s="232"/>
      <c r="K1290" s="232"/>
      <c r="L1290" s="232"/>
      <c r="N1290" s="212">
        <f t="shared" si="24"/>
        <v>947</v>
      </c>
    </row>
    <row r="1291" spans="1:14" ht="15" customHeight="1" thickBot="1">
      <c r="A1291" s="3906"/>
      <c r="C1291" s="760"/>
      <c r="D1291" s="3947" t="s">
        <v>825</v>
      </c>
      <c r="E1291" s="3947"/>
      <c r="F1291" s="3947"/>
      <c r="G1291" s="3947"/>
      <c r="H1291" s="3947"/>
      <c r="I1291" s="3947"/>
      <c r="J1291" s="232"/>
      <c r="K1291" s="197" t="s">
        <v>576</v>
      </c>
      <c r="L1291" s="232"/>
      <c r="N1291" s="212">
        <f t="shared" si="24"/>
        <v>948</v>
      </c>
    </row>
    <row r="1292" spans="1:14" ht="12" customHeight="1" thickBot="1">
      <c r="A1292" s="3906"/>
      <c r="C1292" s="231"/>
      <c r="D1292" s="3904"/>
      <c r="E1292" s="3905"/>
      <c r="F1292" s="3905"/>
      <c r="G1292" s="3905"/>
      <c r="H1292" s="3905"/>
      <c r="I1292" s="3905"/>
      <c r="J1292" s="232"/>
      <c r="K1292" s="1732" t="s">
        <v>551</v>
      </c>
      <c r="L1292" s="232"/>
      <c r="N1292" s="212">
        <f t="shared" si="24"/>
        <v>948</v>
      </c>
    </row>
    <row r="1293" spans="1:14" ht="12" customHeight="1">
      <c r="A1293" s="3906"/>
      <c r="C1293" s="231"/>
      <c r="D1293" s="3949" t="s">
        <v>826</v>
      </c>
      <c r="E1293" s="3949"/>
      <c r="F1293" s="3949"/>
      <c r="G1293" s="3949"/>
      <c r="H1293" s="3949"/>
      <c r="I1293" s="3949"/>
      <c r="J1293" s="232"/>
      <c r="K1293" s="232"/>
      <c r="L1293" s="232"/>
      <c r="N1293" s="212">
        <f t="shared" si="24"/>
        <v>949</v>
      </c>
    </row>
    <row r="1294" spans="1:14" ht="12" customHeight="1">
      <c r="A1294" s="3906"/>
      <c r="C1294" s="231"/>
      <c r="D1294" s="3900" t="s">
        <v>827</v>
      </c>
      <c r="E1294" s="3901"/>
      <c r="F1294" s="3901"/>
      <c r="G1294" s="3901"/>
      <c r="H1294" s="3901"/>
      <c r="I1294" s="3901"/>
      <c r="J1294" s="232"/>
      <c r="K1294" s="232"/>
      <c r="L1294" s="232"/>
      <c r="N1294" s="212">
        <f t="shared" si="24"/>
        <v>950</v>
      </c>
    </row>
    <row r="1295" spans="1:14" ht="12" customHeight="1">
      <c r="A1295" s="3906"/>
      <c r="C1295" s="231"/>
      <c r="D1295" s="3912" t="s">
        <v>1674</v>
      </c>
      <c r="E1295" s="3913"/>
      <c r="F1295" s="3913"/>
      <c r="G1295" s="3913"/>
      <c r="H1295" s="3913"/>
      <c r="I1295" s="3913"/>
      <c r="J1295" s="232"/>
      <c r="K1295" s="232"/>
      <c r="L1295" s="232"/>
      <c r="N1295" s="212">
        <f t="shared" si="24"/>
        <v>951</v>
      </c>
    </row>
    <row r="1296" spans="1:14" ht="12" customHeight="1">
      <c r="A1296" s="3906"/>
      <c r="C1296" s="231"/>
      <c r="D1296" s="3904"/>
      <c r="E1296" s="3905"/>
      <c r="F1296" s="3905"/>
      <c r="G1296" s="3905"/>
      <c r="H1296" s="3905"/>
      <c r="I1296" s="3905"/>
      <c r="J1296" s="232"/>
      <c r="K1296" s="232"/>
      <c r="L1296" s="232"/>
      <c r="N1296" s="212">
        <f t="shared" si="24"/>
        <v>951</v>
      </c>
    </row>
    <row r="1297" spans="1:14" ht="12" customHeight="1">
      <c r="A1297" s="3906"/>
      <c r="C1297" s="231"/>
      <c r="D1297" s="3953" t="s">
        <v>808</v>
      </c>
      <c r="E1297" s="3954"/>
      <c r="F1297" s="3954"/>
      <c r="G1297" s="3954"/>
      <c r="H1297" s="3954"/>
      <c r="I1297" s="3954"/>
      <c r="J1297" s="232"/>
      <c r="K1297" s="232"/>
      <c r="L1297" s="232"/>
      <c r="M1297" s="193"/>
      <c r="N1297" s="212">
        <f t="shared" si="24"/>
        <v>952</v>
      </c>
    </row>
    <row r="1298" spans="1:14" ht="12" customHeight="1">
      <c r="A1298" s="3906"/>
      <c r="C1298" s="231"/>
      <c r="D1298" s="3902" t="s">
        <v>1063</v>
      </c>
      <c r="E1298" s="3903"/>
      <c r="F1298" s="3903"/>
      <c r="G1298" s="3903"/>
      <c r="H1298" s="3903"/>
      <c r="I1298" s="3903"/>
      <c r="J1298" s="232"/>
      <c r="K1298" s="232"/>
      <c r="L1298" s="232"/>
      <c r="M1298" s="193"/>
      <c r="N1298" s="212">
        <f t="shared" si="24"/>
        <v>953</v>
      </c>
    </row>
    <row r="1299" spans="1:14" ht="12" customHeight="1">
      <c r="A1299" s="3906"/>
      <c r="C1299" s="231"/>
      <c r="D1299" s="3902" t="s">
        <v>1064</v>
      </c>
      <c r="E1299" s="3903"/>
      <c r="F1299" s="3903"/>
      <c r="G1299" s="3903"/>
      <c r="H1299" s="3903"/>
      <c r="I1299" s="3903"/>
      <c r="J1299" s="232"/>
      <c r="K1299" s="232"/>
      <c r="L1299" s="232"/>
      <c r="M1299" s="193"/>
      <c r="N1299" s="212">
        <f t="shared" si="24"/>
        <v>954</v>
      </c>
    </row>
    <row r="1300" spans="1:14" ht="12" customHeight="1">
      <c r="A1300" s="3906"/>
      <c r="C1300" s="231"/>
      <c r="D1300" s="3902" t="s">
        <v>1064</v>
      </c>
      <c r="E1300" s="3903"/>
      <c r="F1300" s="3903"/>
      <c r="G1300" s="3903"/>
      <c r="H1300" s="3903"/>
      <c r="I1300" s="3903"/>
      <c r="J1300" s="232"/>
      <c r="K1300" s="232"/>
      <c r="L1300" s="232"/>
      <c r="M1300" s="193"/>
      <c r="N1300" s="212">
        <f t="shared" si="24"/>
        <v>955</v>
      </c>
    </row>
    <row r="1301" spans="1:14" ht="12" customHeight="1">
      <c r="A1301" s="3906"/>
      <c r="C1301" s="231"/>
      <c r="D1301" s="3902" t="s">
        <v>809</v>
      </c>
      <c r="E1301" s="3903"/>
      <c r="F1301" s="3903"/>
      <c r="G1301" s="3903"/>
      <c r="H1301" s="3903"/>
      <c r="I1301" s="3903"/>
      <c r="J1301" s="232"/>
      <c r="K1301" s="232"/>
      <c r="L1301" s="232"/>
      <c r="M1301" s="193"/>
      <c r="N1301" s="212">
        <f t="shared" si="24"/>
        <v>956</v>
      </c>
    </row>
    <row r="1302" spans="1:14" ht="12" customHeight="1">
      <c r="A1302" s="3906"/>
      <c r="C1302" s="231"/>
      <c r="D1302" s="3902" t="s">
        <v>1064</v>
      </c>
      <c r="E1302" s="3903"/>
      <c r="F1302" s="3903"/>
      <c r="G1302" s="3903"/>
      <c r="H1302" s="3903"/>
      <c r="I1302" s="3903"/>
      <c r="J1302" s="232"/>
      <c r="K1302" s="232"/>
      <c r="L1302" s="232"/>
      <c r="M1302" s="193"/>
      <c r="N1302" s="212">
        <f t="shared" si="24"/>
        <v>957</v>
      </c>
    </row>
    <row r="1303" spans="1:14" ht="12" customHeight="1">
      <c r="A1303" s="3906"/>
      <c r="C1303" s="231"/>
      <c r="D1303" s="3902" t="s">
        <v>1064</v>
      </c>
      <c r="E1303" s="3903"/>
      <c r="F1303" s="3903"/>
      <c r="G1303" s="3903"/>
      <c r="H1303" s="3903"/>
      <c r="I1303" s="3903"/>
      <c r="J1303" s="232"/>
      <c r="K1303" s="232"/>
      <c r="L1303" s="232"/>
      <c r="M1303" s="193"/>
      <c r="N1303" s="212">
        <f t="shared" si="24"/>
        <v>958</v>
      </c>
    </row>
    <row r="1304" spans="1:14" ht="12" customHeight="1">
      <c r="A1304" s="3906"/>
      <c r="C1304" s="231"/>
      <c r="D1304" s="3939" t="s">
        <v>810</v>
      </c>
      <c r="E1304" s="3940"/>
      <c r="F1304" s="3940"/>
      <c r="G1304" s="3940"/>
      <c r="H1304" s="3940"/>
      <c r="I1304" s="3940"/>
      <c r="J1304" s="232"/>
      <c r="K1304" s="232"/>
      <c r="L1304" s="232"/>
      <c r="M1304" s="193"/>
      <c r="N1304" s="212">
        <f t="shared" si="24"/>
        <v>959</v>
      </c>
    </row>
    <row r="1305" spans="1:14" ht="12" customHeight="1">
      <c r="A1305" s="3906"/>
      <c r="C1305" s="231"/>
      <c r="D1305" s="3902" t="s">
        <v>1089</v>
      </c>
      <c r="E1305" s="3903"/>
      <c r="F1305" s="3903"/>
      <c r="G1305" s="3903"/>
      <c r="H1305" s="3903"/>
      <c r="I1305" s="3903"/>
      <c r="J1305" s="232"/>
      <c r="K1305" s="232"/>
      <c r="L1305" s="232"/>
      <c r="M1305" s="193"/>
      <c r="N1305" s="212">
        <f t="shared" si="24"/>
        <v>960</v>
      </c>
    </row>
    <row r="1306" spans="1:14" ht="12" customHeight="1">
      <c r="A1306" s="3906"/>
      <c r="C1306" s="231"/>
      <c r="D1306" s="3902" t="s">
        <v>1089</v>
      </c>
      <c r="E1306" s="3903"/>
      <c r="F1306" s="3903"/>
      <c r="G1306" s="3903"/>
      <c r="H1306" s="3903"/>
      <c r="I1306" s="3903"/>
      <c r="J1306" s="232"/>
      <c r="K1306" s="232"/>
      <c r="L1306" s="232"/>
      <c r="M1306" s="193"/>
      <c r="N1306" s="212">
        <f t="shared" si="24"/>
        <v>961</v>
      </c>
    </row>
    <row r="1307" spans="1:14" ht="12" customHeight="1">
      <c r="A1307" s="3906"/>
      <c r="C1307" s="231"/>
      <c r="D1307" s="3902" t="s">
        <v>727</v>
      </c>
      <c r="E1307" s="3903"/>
      <c r="F1307" s="3903"/>
      <c r="G1307" s="3903"/>
      <c r="H1307" s="3903"/>
      <c r="I1307" s="3903"/>
      <c r="J1307" s="232"/>
      <c r="K1307" s="232"/>
      <c r="L1307" s="232"/>
      <c r="M1307" s="193"/>
      <c r="N1307" s="212">
        <f t="shared" si="24"/>
        <v>962</v>
      </c>
    </row>
    <row r="1308" spans="1:14" ht="12" customHeight="1">
      <c r="A1308" s="3906"/>
      <c r="C1308" s="231"/>
      <c r="D1308" s="3902" t="s">
        <v>1089</v>
      </c>
      <c r="E1308" s="3903"/>
      <c r="F1308" s="3903"/>
      <c r="G1308" s="3903"/>
      <c r="H1308" s="3903"/>
      <c r="I1308" s="3903"/>
      <c r="J1308" s="232"/>
      <c r="K1308" s="232"/>
      <c r="L1308" s="232"/>
      <c r="M1308" s="193"/>
      <c r="N1308" s="212">
        <f t="shared" si="24"/>
        <v>963</v>
      </c>
    </row>
    <row r="1309" spans="1:14" ht="12" customHeight="1">
      <c r="A1309" s="3906"/>
      <c r="C1309" s="231"/>
      <c r="D1309" s="3902" t="s">
        <v>1089</v>
      </c>
      <c r="E1309" s="3903"/>
      <c r="F1309" s="3903"/>
      <c r="G1309" s="3903"/>
      <c r="H1309" s="3903"/>
      <c r="I1309" s="3903"/>
      <c r="J1309" s="232"/>
      <c r="K1309" s="232"/>
      <c r="L1309" s="232"/>
      <c r="M1309" s="193"/>
      <c r="N1309" s="212">
        <f t="shared" si="24"/>
        <v>964</v>
      </c>
    </row>
    <row r="1310" spans="1:14" ht="12" customHeight="1">
      <c r="A1310" s="3906"/>
      <c r="C1310" s="231"/>
      <c r="D1310" s="3902" t="s">
        <v>728</v>
      </c>
      <c r="E1310" s="3903"/>
      <c r="F1310" s="3903"/>
      <c r="G1310" s="3903"/>
      <c r="H1310" s="3903"/>
      <c r="I1310" s="3903"/>
      <c r="J1310" s="232"/>
      <c r="K1310" s="232"/>
      <c r="L1310" s="232"/>
      <c r="M1310" s="193"/>
      <c r="N1310" s="212">
        <f t="shared" si="24"/>
        <v>965</v>
      </c>
    </row>
    <row r="1311" spans="1:14" ht="12" customHeight="1">
      <c r="A1311" s="3906"/>
      <c r="C1311" s="231"/>
      <c r="D1311" s="3914" t="s">
        <v>967</v>
      </c>
      <c r="E1311" s="3915"/>
      <c r="F1311" s="3915"/>
      <c r="G1311" s="3915"/>
      <c r="H1311" s="3915"/>
      <c r="I1311" s="3915"/>
      <c r="J1311" s="232"/>
      <c r="K1311" s="232"/>
      <c r="L1311" s="232"/>
      <c r="M1311" s="193"/>
      <c r="N1311" s="212">
        <f t="shared" si="24"/>
        <v>966</v>
      </c>
    </row>
    <row r="1312" spans="1:14" ht="12" customHeight="1">
      <c r="A1312" s="3906"/>
      <c r="C1312" s="231"/>
      <c r="D1312" s="3904"/>
      <c r="E1312" s="3905"/>
      <c r="F1312" s="3905"/>
      <c r="G1312" s="3905"/>
      <c r="H1312" s="3905"/>
      <c r="I1312" s="3905"/>
      <c r="J1312" s="232"/>
      <c r="K1312" s="232"/>
      <c r="L1312" s="232"/>
      <c r="N1312" s="212">
        <f t="shared" si="24"/>
        <v>966</v>
      </c>
    </row>
    <row r="1313" spans="1:14" ht="12" customHeight="1">
      <c r="A1313" s="3906"/>
      <c r="C1313" s="231"/>
      <c r="D1313" s="3956" t="s">
        <v>828</v>
      </c>
      <c r="E1313" s="3956"/>
      <c r="F1313" s="3956"/>
      <c r="G1313" s="3956"/>
      <c r="H1313" s="3956"/>
      <c r="I1313" s="3956"/>
      <c r="J1313" s="232"/>
      <c r="K1313" s="232"/>
      <c r="L1313" s="232"/>
      <c r="N1313" s="212">
        <f t="shared" si="24"/>
        <v>967</v>
      </c>
    </row>
    <row r="1314" spans="1:14" ht="12" customHeight="1">
      <c r="A1314" s="3906"/>
      <c r="C1314" s="231"/>
      <c r="D1314" s="3900" t="s">
        <v>1675</v>
      </c>
      <c r="E1314" s="3900"/>
      <c r="F1314" s="3900"/>
      <c r="G1314" s="3900"/>
      <c r="H1314" s="3900"/>
      <c r="I1314" s="3900"/>
      <c r="J1314" s="3900"/>
      <c r="K1314" s="3900"/>
      <c r="L1314" s="232"/>
      <c r="N1314" s="212">
        <f t="shared" si="24"/>
        <v>968</v>
      </c>
    </row>
    <row r="1315" spans="1:14" ht="12" customHeight="1">
      <c r="A1315" s="3906"/>
      <c r="C1315" s="231"/>
      <c r="D1315" s="3900" t="s">
        <v>829</v>
      </c>
      <c r="E1315" s="3901"/>
      <c r="F1315" s="3901"/>
      <c r="G1315" s="3901"/>
      <c r="H1315" s="3901"/>
      <c r="I1315" s="3901"/>
      <c r="J1315" s="232"/>
      <c r="K1315" s="232"/>
      <c r="L1315" s="232"/>
      <c r="N1315" s="212">
        <f t="shared" si="24"/>
        <v>969</v>
      </c>
    </row>
    <row r="1316" spans="1:14" ht="12" customHeight="1">
      <c r="C1316" s="231"/>
      <c r="D1316" s="3904"/>
      <c r="E1316" s="3905"/>
      <c r="F1316" s="3905"/>
      <c r="G1316" s="3905"/>
      <c r="H1316" s="3905"/>
      <c r="I1316" s="3905"/>
      <c r="J1316" s="232"/>
      <c r="K1316" s="232"/>
      <c r="L1316" s="232"/>
      <c r="N1316" s="212">
        <f t="shared" si="24"/>
        <v>969</v>
      </c>
    </row>
    <row r="1317" spans="1:14" ht="12" customHeight="1">
      <c r="C1317" s="231"/>
      <c r="D1317" s="3904" t="s">
        <v>1676</v>
      </c>
      <c r="E1317" s="3905"/>
      <c r="F1317" s="3905"/>
      <c r="G1317" s="3905"/>
      <c r="H1317" s="3905"/>
      <c r="I1317" s="3905"/>
      <c r="J1317" s="232"/>
      <c r="K1317" s="232"/>
      <c r="L1317" s="232"/>
      <c r="N1317" s="212">
        <f t="shared" si="24"/>
        <v>970</v>
      </c>
    </row>
    <row r="1318" spans="1:14" ht="12" customHeight="1">
      <c r="C1318" s="231"/>
      <c r="D1318" s="3904"/>
      <c r="E1318" s="3905"/>
      <c r="F1318" s="3905"/>
      <c r="G1318" s="3905"/>
      <c r="H1318" s="3905"/>
      <c r="I1318" s="3905"/>
      <c r="J1318" s="232"/>
      <c r="K1318" s="232"/>
      <c r="L1318" s="232"/>
      <c r="N1318" s="212">
        <f t="shared" si="24"/>
        <v>970</v>
      </c>
    </row>
    <row r="1319" spans="1:14" ht="12" customHeight="1">
      <c r="C1319" s="231"/>
      <c r="D1319" s="3904" t="s">
        <v>830</v>
      </c>
      <c r="E1319" s="3905"/>
      <c r="F1319" s="3905"/>
      <c r="G1319" s="3905"/>
      <c r="H1319" s="3905"/>
      <c r="I1319" s="3905"/>
      <c r="J1319" s="232"/>
      <c r="K1319" s="232"/>
      <c r="L1319" s="232"/>
      <c r="N1319" s="212">
        <f t="shared" si="24"/>
        <v>971</v>
      </c>
    </row>
    <row r="1320" spans="1:14" ht="12" customHeight="1">
      <c r="C1320" s="231"/>
      <c r="D1320" s="3900" t="s">
        <v>831</v>
      </c>
      <c r="E1320" s="3900"/>
      <c r="F1320" s="3900"/>
      <c r="G1320" s="3900"/>
      <c r="H1320" s="3900"/>
      <c r="I1320" s="3900"/>
      <c r="J1320" s="3900"/>
      <c r="K1320" s="3900"/>
      <c r="L1320" s="232"/>
      <c r="N1320" s="212">
        <f t="shared" si="24"/>
        <v>972</v>
      </c>
    </row>
    <row r="1321" spans="1:14" ht="12" customHeight="1">
      <c r="C1321" s="231"/>
      <c r="D1321" s="3900" t="s">
        <v>832</v>
      </c>
      <c r="E1321" s="3901"/>
      <c r="F1321" s="3901"/>
      <c r="G1321" s="3901"/>
      <c r="H1321" s="3901"/>
      <c r="I1321" s="3901"/>
      <c r="J1321" s="232"/>
      <c r="K1321" s="232"/>
      <c r="L1321" s="232"/>
      <c r="N1321" s="212">
        <f t="shared" si="24"/>
        <v>973</v>
      </c>
    </row>
    <row r="1322" spans="1:14" ht="12" customHeight="1">
      <c r="C1322" s="231"/>
      <c r="D1322" s="3900" t="s">
        <v>833</v>
      </c>
      <c r="E1322" s="3901"/>
      <c r="F1322" s="3901"/>
      <c r="G1322" s="3901"/>
      <c r="H1322" s="3901"/>
      <c r="I1322" s="3901"/>
      <c r="J1322" s="232"/>
      <c r="K1322" s="232"/>
      <c r="L1322" s="232"/>
      <c r="N1322" s="212">
        <f t="shared" si="24"/>
        <v>974</v>
      </c>
    </row>
    <row r="1323" spans="1:14" ht="12" customHeight="1">
      <c r="C1323" s="231"/>
      <c r="D1323" s="3900" t="s">
        <v>1677</v>
      </c>
      <c r="E1323" s="3901"/>
      <c r="F1323" s="3901"/>
      <c r="G1323" s="3901"/>
      <c r="H1323" s="3901"/>
      <c r="I1323" s="3901"/>
      <c r="J1323" s="232"/>
      <c r="K1323" s="232"/>
      <c r="L1323" s="232"/>
      <c r="N1323" s="212">
        <f t="shared" si="24"/>
        <v>975</v>
      </c>
    </row>
    <row r="1324" spans="1:14" ht="12" customHeight="1">
      <c r="C1324" s="231"/>
      <c r="D1324" s="3900" t="s">
        <v>1678</v>
      </c>
      <c r="E1324" s="3900"/>
      <c r="F1324" s="3900"/>
      <c r="G1324" s="3900"/>
      <c r="H1324" s="3900"/>
      <c r="I1324" s="3900"/>
      <c r="J1324" s="3900"/>
      <c r="K1324" s="3900"/>
      <c r="L1324" s="232"/>
      <c r="N1324" s="212">
        <f t="shared" si="24"/>
        <v>976</v>
      </c>
    </row>
    <row r="1325" spans="1:14" ht="12" customHeight="1">
      <c r="C1325" s="231"/>
      <c r="D1325" s="3900" t="s">
        <v>1679</v>
      </c>
      <c r="E1325" s="3901"/>
      <c r="F1325" s="3901"/>
      <c r="G1325" s="3901"/>
      <c r="H1325" s="3901"/>
      <c r="I1325" s="3901"/>
      <c r="J1325" s="232"/>
      <c r="K1325" s="232"/>
      <c r="L1325" s="232"/>
      <c r="N1325" s="212">
        <f t="shared" si="24"/>
        <v>977</v>
      </c>
    </row>
    <row r="1326" spans="1:14" ht="12" customHeight="1">
      <c r="C1326" s="231"/>
      <c r="D1326" s="3900" t="s">
        <v>834</v>
      </c>
      <c r="E1326" s="3901"/>
      <c r="F1326" s="3901"/>
      <c r="G1326" s="3901"/>
      <c r="H1326" s="3901"/>
      <c r="I1326" s="3901"/>
      <c r="J1326" s="232"/>
      <c r="K1326" s="232"/>
      <c r="L1326" s="232"/>
      <c r="N1326" s="212">
        <f t="shared" si="24"/>
        <v>978</v>
      </c>
    </row>
    <row r="1327" spans="1:14" ht="12" customHeight="1">
      <c r="C1327" s="231"/>
      <c r="D1327" s="3900" t="s">
        <v>835</v>
      </c>
      <c r="E1327" s="3901"/>
      <c r="F1327" s="3901"/>
      <c r="G1327" s="3901"/>
      <c r="H1327" s="3901"/>
      <c r="I1327" s="3901"/>
      <c r="J1327" s="232"/>
      <c r="K1327" s="232"/>
      <c r="L1327" s="232"/>
      <c r="N1327" s="212">
        <f t="shared" si="24"/>
        <v>979</v>
      </c>
    </row>
    <row r="1328" spans="1:14" ht="12" customHeight="1">
      <c r="C1328" s="231"/>
      <c r="D1328" s="3916"/>
      <c r="E1328" s="3917"/>
      <c r="F1328" s="3917"/>
      <c r="G1328" s="3917"/>
      <c r="H1328" s="3917"/>
      <c r="I1328" s="3917"/>
      <c r="J1328" s="232"/>
      <c r="K1328" s="232"/>
      <c r="L1328" s="232"/>
      <c r="N1328" s="212">
        <f t="shared" si="24"/>
        <v>979</v>
      </c>
    </row>
    <row r="1329" spans="3:14" ht="12" customHeight="1">
      <c r="C1329" s="231"/>
      <c r="D1329" s="3955" t="s">
        <v>836</v>
      </c>
      <c r="E1329" s="3956"/>
      <c r="F1329" s="3956"/>
      <c r="G1329" s="3956"/>
      <c r="H1329" s="3956"/>
      <c r="I1329" s="3956"/>
      <c r="J1329" s="232"/>
      <c r="K1329" s="232"/>
      <c r="L1329" s="232"/>
      <c r="N1329" s="212">
        <f t="shared" si="24"/>
        <v>980</v>
      </c>
    </row>
    <row r="1330" spans="3:14" ht="12" customHeight="1">
      <c r="C1330" s="231"/>
      <c r="D1330" s="3900" t="s">
        <v>837</v>
      </c>
      <c r="E1330" s="3900"/>
      <c r="F1330" s="3900"/>
      <c r="G1330" s="3900"/>
      <c r="H1330" s="3900"/>
      <c r="I1330" s="3900"/>
      <c r="J1330" s="3900"/>
      <c r="K1330" s="3900"/>
      <c r="L1330" s="232"/>
      <c r="N1330" s="212">
        <f t="shared" si="24"/>
        <v>981</v>
      </c>
    </row>
    <row r="1331" spans="3:14" ht="12" customHeight="1">
      <c r="C1331" s="231"/>
      <c r="D1331" s="3900" t="s">
        <v>838</v>
      </c>
      <c r="E1331" s="3901"/>
      <c r="F1331" s="3901"/>
      <c r="G1331" s="3901"/>
      <c r="H1331" s="3901"/>
      <c r="I1331" s="3901"/>
      <c r="J1331" s="232"/>
      <c r="K1331" s="232"/>
      <c r="L1331" s="232"/>
      <c r="N1331" s="212">
        <f t="shared" si="24"/>
        <v>982</v>
      </c>
    </row>
    <row r="1332" spans="3:14" ht="12" customHeight="1">
      <c r="C1332" s="231"/>
      <c r="D1332" s="3900" t="s">
        <v>839</v>
      </c>
      <c r="E1332" s="3900"/>
      <c r="F1332" s="3900"/>
      <c r="G1332" s="3900"/>
      <c r="H1332" s="3900"/>
      <c r="I1332" s="3900"/>
      <c r="J1332" s="3900"/>
      <c r="K1332" s="3900"/>
      <c r="L1332" s="232"/>
      <c r="N1332" s="212">
        <f t="shared" si="24"/>
        <v>983</v>
      </c>
    </row>
    <row r="1333" spans="3:14" ht="12" customHeight="1">
      <c r="C1333" s="231"/>
      <c r="D1333" s="3900" t="s">
        <v>1680</v>
      </c>
      <c r="E1333" s="3901"/>
      <c r="F1333" s="3901"/>
      <c r="G1333" s="3901"/>
      <c r="H1333" s="3901"/>
      <c r="I1333" s="3901"/>
      <c r="J1333" s="232"/>
      <c r="K1333" s="232"/>
      <c r="L1333" s="232"/>
      <c r="N1333" s="212">
        <f t="shared" si="24"/>
        <v>984</v>
      </c>
    </row>
    <row r="1334" spans="3:14" ht="12" customHeight="1">
      <c r="C1334" s="231"/>
      <c r="D1334" s="3900" t="s">
        <v>1681</v>
      </c>
      <c r="E1334" s="3900"/>
      <c r="F1334" s="3900"/>
      <c r="G1334" s="3900"/>
      <c r="H1334" s="3900"/>
      <c r="I1334" s="3900"/>
      <c r="J1334" s="3900"/>
      <c r="K1334" s="3900"/>
      <c r="L1334" s="232"/>
      <c r="N1334" s="212">
        <f t="shared" si="24"/>
        <v>985</v>
      </c>
    </row>
    <row r="1335" spans="3:14" ht="12" customHeight="1">
      <c r="C1335" s="231"/>
      <c r="D1335" s="3900" t="s">
        <v>1682</v>
      </c>
      <c r="E1335" s="3900"/>
      <c r="F1335" s="3900"/>
      <c r="G1335" s="3900"/>
      <c r="H1335" s="3900"/>
      <c r="I1335" s="3900"/>
      <c r="J1335" s="3900"/>
      <c r="K1335" s="3900"/>
      <c r="L1335" s="232"/>
      <c r="N1335" s="212">
        <f t="shared" si="24"/>
        <v>986</v>
      </c>
    </row>
    <row r="1336" spans="3:14" ht="12" customHeight="1">
      <c r="C1336" s="231"/>
      <c r="D1336" s="3900" t="s">
        <v>1683</v>
      </c>
      <c r="E1336" s="3901"/>
      <c r="F1336" s="3901"/>
      <c r="G1336" s="3901"/>
      <c r="H1336" s="3901"/>
      <c r="I1336" s="3901"/>
      <c r="J1336" s="232"/>
      <c r="K1336" s="232"/>
      <c r="L1336" s="232"/>
      <c r="N1336" s="212">
        <f t="shared" si="24"/>
        <v>987</v>
      </c>
    </row>
    <row r="1337" spans="3:14" ht="12" customHeight="1">
      <c r="C1337" s="231"/>
      <c r="D1337" s="3900" t="s">
        <v>1684</v>
      </c>
      <c r="E1337" s="3900"/>
      <c r="F1337" s="3900"/>
      <c r="G1337" s="3900"/>
      <c r="H1337" s="3900"/>
      <c r="I1337" s="3900"/>
      <c r="J1337" s="3900"/>
      <c r="K1337" s="3900"/>
      <c r="L1337" s="232"/>
      <c r="N1337" s="212">
        <f t="shared" si="24"/>
        <v>988</v>
      </c>
    </row>
    <row r="1338" spans="3:14" ht="12" customHeight="1">
      <c r="C1338" s="231"/>
      <c r="D1338" s="3900" t="s">
        <v>1685</v>
      </c>
      <c r="E1338" s="3901"/>
      <c r="F1338" s="3901"/>
      <c r="G1338" s="3901"/>
      <c r="H1338" s="3901"/>
      <c r="I1338" s="3901"/>
      <c r="J1338" s="232"/>
      <c r="K1338" s="232"/>
      <c r="L1338" s="232"/>
      <c r="N1338" s="212">
        <f t="shared" si="24"/>
        <v>989</v>
      </c>
    </row>
    <row r="1339" spans="3:14" ht="12" customHeight="1">
      <c r="C1339" s="231"/>
      <c r="D1339" s="3900" t="s">
        <v>1686</v>
      </c>
      <c r="E1339" s="3901"/>
      <c r="F1339" s="3901"/>
      <c r="G1339" s="3901"/>
      <c r="H1339" s="3901"/>
      <c r="I1339" s="3901"/>
      <c r="J1339" s="232"/>
      <c r="K1339" s="232"/>
      <c r="L1339" s="232"/>
      <c r="N1339" s="212">
        <f t="shared" si="24"/>
        <v>990</v>
      </c>
    </row>
    <row r="1340" spans="3:14" ht="12" customHeight="1">
      <c r="C1340" s="231"/>
      <c r="D1340" s="3916"/>
      <c r="E1340" s="3917"/>
      <c r="F1340" s="3917"/>
      <c r="G1340" s="3917"/>
      <c r="H1340" s="3917"/>
      <c r="I1340" s="3917"/>
      <c r="J1340" s="232"/>
      <c r="K1340" s="232"/>
      <c r="L1340" s="232"/>
      <c r="N1340" s="212">
        <f t="shared" si="24"/>
        <v>990</v>
      </c>
    </row>
    <row r="1341" spans="3:14" ht="12" customHeight="1">
      <c r="C1341" s="231"/>
      <c r="D1341" s="3955" t="s">
        <v>840</v>
      </c>
      <c r="E1341" s="3956"/>
      <c r="F1341" s="3956"/>
      <c r="G1341" s="3956"/>
      <c r="H1341" s="3956"/>
      <c r="I1341" s="3956"/>
      <c r="J1341" s="232"/>
      <c r="K1341" s="232"/>
      <c r="L1341" s="232"/>
      <c r="N1341" s="212">
        <f t="shared" si="24"/>
        <v>991</v>
      </c>
    </row>
    <row r="1342" spans="3:14" ht="12" customHeight="1">
      <c r="C1342" s="231"/>
      <c r="D1342" s="3900" t="s">
        <v>1691</v>
      </c>
      <c r="E1342" s="3900"/>
      <c r="F1342" s="3900"/>
      <c r="G1342" s="3900"/>
      <c r="H1342" s="3900"/>
      <c r="I1342" s="3900"/>
      <c r="J1342" s="3900"/>
      <c r="K1342" s="3900"/>
      <c r="L1342" s="232"/>
      <c r="N1342" s="212">
        <f t="shared" si="24"/>
        <v>992</v>
      </c>
    </row>
    <row r="1343" spans="3:14" ht="12" customHeight="1">
      <c r="C1343" s="231"/>
      <c r="D1343" s="3900" t="s">
        <v>1690</v>
      </c>
      <c r="E1343" s="3901"/>
      <c r="F1343" s="3901"/>
      <c r="G1343" s="3901"/>
      <c r="H1343" s="3901"/>
      <c r="I1343" s="3901"/>
      <c r="J1343" s="232"/>
      <c r="K1343" s="232"/>
      <c r="L1343" s="232"/>
      <c r="N1343" s="212">
        <f t="shared" si="24"/>
        <v>993</v>
      </c>
    </row>
    <row r="1344" spans="3:14" ht="12" customHeight="1">
      <c r="C1344" s="231"/>
      <c r="D1344" s="3900" t="s">
        <v>1687</v>
      </c>
      <c r="E1344" s="3901"/>
      <c r="F1344" s="3901"/>
      <c r="G1344" s="3901"/>
      <c r="H1344" s="3901"/>
      <c r="I1344" s="3901"/>
      <c r="J1344" s="232"/>
      <c r="K1344" s="232"/>
      <c r="L1344" s="232"/>
      <c r="N1344" s="212">
        <f t="shared" si="24"/>
        <v>994</v>
      </c>
    </row>
    <row r="1345" spans="3:14" ht="12" customHeight="1">
      <c r="C1345" s="231"/>
      <c r="D1345" s="3900" t="s">
        <v>841</v>
      </c>
      <c r="E1345" s="3901"/>
      <c r="F1345" s="3901"/>
      <c r="G1345" s="3901"/>
      <c r="H1345" s="3901"/>
      <c r="I1345" s="3901"/>
      <c r="J1345" s="232"/>
      <c r="K1345" s="232"/>
      <c r="L1345" s="232"/>
      <c r="N1345" s="212">
        <f t="shared" ref="N1345:N1405" si="25">IF(D1345="",N1344,N1344+1)</f>
        <v>995</v>
      </c>
    </row>
    <row r="1346" spans="3:14" ht="12" customHeight="1">
      <c r="C1346" s="231"/>
      <c r="D1346" s="3900" t="s">
        <v>842</v>
      </c>
      <c r="E1346" s="3901"/>
      <c r="F1346" s="3901"/>
      <c r="G1346" s="3901"/>
      <c r="H1346" s="3901"/>
      <c r="I1346" s="3901"/>
      <c r="J1346" s="232"/>
      <c r="K1346" s="232"/>
      <c r="L1346" s="232"/>
      <c r="N1346" s="212">
        <f t="shared" si="25"/>
        <v>996</v>
      </c>
    </row>
    <row r="1347" spans="3:14" ht="12" customHeight="1">
      <c r="C1347" s="231"/>
      <c r="D1347" s="3900" t="s">
        <v>843</v>
      </c>
      <c r="E1347" s="3900"/>
      <c r="F1347" s="3900"/>
      <c r="G1347" s="3900"/>
      <c r="H1347" s="3900"/>
      <c r="I1347" s="3900"/>
      <c r="J1347" s="3900"/>
      <c r="K1347" s="3900"/>
      <c r="L1347" s="232"/>
      <c r="N1347" s="212">
        <f t="shared" si="25"/>
        <v>997</v>
      </c>
    </row>
    <row r="1348" spans="3:14" ht="12" customHeight="1">
      <c r="C1348" s="231"/>
      <c r="D1348" s="3900" t="s">
        <v>1688</v>
      </c>
      <c r="E1348" s="3901"/>
      <c r="F1348" s="3901"/>
      <c r="G1348" s="3901"/>
      <c r="H1348" s="3901"/>
      <c r="I1348" s="3901"/>
      <c r="J1348" s="232"/>
      <c r="K1348" s="232"/>
      <c r="L1348" s="232"/>
      <c r="N1348" s="212">
        <f t="shared" si="25"/>
        <v>998</v>
      </c>
    </row>
    <row r="1349" spans="3:14" ht="12" customHeight="1">
      <c r="C1349" s="231"/>
      <c r="D1349" s="3900" t="s">
        <v>844</v>
      </c>
      <c r="E1349" s="3901"/>
      <c r="F1349" s="3901"/>
      <c r="G1349" s="3901"/>
      <c r="H1349" s="3901"/>
      <c r="I1349" s="3901"/>
      <c r="J1349" s="232"/>
      <c r="K1349" s="232"/>
      <c r="L1349" s="232"/>
      <c r="N1349" s="212">
        <f t="shared" si="25"/>
        <v>999</v>
      </c>
    </row>
    <row r="1350" spans="3:14" ht="12" customHeight="1">
      <c r="C1350" s="231"/>
      <c r="D1350" s="3900" t="s">
        <v>1689</v>
      </c>
      <c r="E1350" s="3900"/>
      <c r="F1350" s="3900"/>
      <c r="G1350" s="3900"/>
      <c r="H1350" s="3900"/>
      <c r="I1350" s="3900"/>
      <c r="J1350" s="3900"/>
      <c r="K1350" s="3900"/>
      <c r="L1350" s="232"/>
      <c r="N1350" s="212">
        <f t="shared" si="25"/>
        <v>1000</v>
      </c>
    </row>
    <row r="1351" spans="3:14" ht="12" customHeight="1">
      <c r="C1351" s="231"/>
      <c r="D1351" s="3900" t="s">
        <v>1692</v>
      </c>
      <c r="E1351" s="3901"/>
      <c r="F1351" s="3901"/>
      <c r="G1351" s="3901"/>
      <c r="H1351" s="3901"/>
      <c r="I1351" s="3901"/>
      <c r="J1351" s="232"/>
      <c r="K1351" s="232"/>
      <c r="L1351" s="232"/>
      <c r="N1351" s="212">
        <f t="shared" si="25"/>
        <v>1001</v>
      </c>
    </row>
    <row r="1352" spans="3:14" ht="12" customHeight="1">
      <c r="C1352" s="231"/>
      <c r="D1352" s="3900" t="s">
        <v>1693</v>
      </c>
      <c r="E1352" s="3901"/>
      <c r="F1352" s="3901"/>
      <c r="G1352" s="3901"/>
      <c r="H1352" s="3901"/>
      <c r="I1352" s="3901"/>
      <c r="J1352" s="232"/>
      <c r="K1352" s="232"/>
      <c r="L1352" s="232"/>
      <c r="N1352" s="212">
        <f t="shared" si="25"/>
        <v>1002</v>
      </c>
    </row>
    <row r="1353" spans="3:14" ht="12" customHeight="1">
      <c r="C1353" s="231"/>
      <c r="D1353" s="3900" t="s">
        <v>1694</v>
      </c>
      <c r="E1353" s="3901"/>
      <c r="F1353" s="3901"/>
      <c r="G1353" s="3901"/>
      <c r="H1353" s="3901"/>
      <c r="I1353" s="3901"/>
      <c r="J1353" s="232"/>
      <c r="K1353" s="232"/>
      <c r="L1353" s="232"/>
      <c r="N1353" s="212">
        <f t="shared" si="25"/>
        <v>1003</v>
      </c>
    </row>
    <row r="1354" spans="3:14" ht="12" customHeight="1">
      <c r="C1354" s="231"/>
      <c r="D1354" s="3900" t="s">
        <v>1695</v>
      </c>
      <c r="E1354" s="3900"/>
      <c r="F1354" s="3900"/>
      <c r="G1354" s="3900"/>
      <c r="H1354" s="3900"/>
      <c r="I1354" s="3900"/>
      <c r="J1354" s="3900"/>
      <c r="K1354" s="3900"/>
      <c r="L1354" s="232"/>
      <c r="N1354" s="212">
        <f t="shared" si="25"/>
        <v>1004</v>
      </c>
    </row>
    <row r="1355" spans="3:14" ht="12" customHeight="1">
      <c r="C1355" s="231"/>
      <c r="D1355" s="3916"/>
      <c r="E1355" s="3917"/>
      <c r="F1355" s="3917"/>
      <c r="G1355" s="3917"/>
      <c r="H1355" s="3917"/>
      <c r="I1355" s="3917"/>
      <c r="J1355" s="232"/>
      <c r="K1355" s="232"/>
      <c r="L1355" s="232"/>
      <c r="N1355" s="212">
        <f t="shared" si="25"/>
        <v>1004</v>
      </c>
    </row>
    <row r="1356" spans="3:14" ht="12" customHeight="1">
      <c r="C1356" s="231"/>
      <c r="D1356" s="3955" t="s">
        <v>845</v>
      </c>
      <c r="E1356" s="3956"/>
      <c r="F1356" s="3956"/>
      <c r="G1356" s="3956"/>
      <c r="H1356" s="3956"/>
      <c r="I1356" s="3956"/>
      <c r="J1356" s="232"/>
      <c r="K1356" s="232"/>
      <c r="L1356" s="232"/>
      <c r="N1356" s="212">
        <f t="shared" si="25"/>
        <v>1005</v>
      </c>
    </row>
    <row r="1357" spans="3:14" ht="12" customHeight="1">
      <c r="C1357" s="231"/>
      <c r="D1357" s="3900" t="s">
        <v>846</v>
      </c>
      <c r="E1357" s="3901"/>
      <c r="F1357" s="3901"/>
      <c r="G1357" s="3901"/>
      <c r="H1357" s="3901"/>
      <c r="I1357" s="3901"/>
      <c r="J1357" s="232"/>
      <c r="K1357" s="232"/>
      <c r="L1357" s="232"/>
      <c r="N1357" s="212">
        <f t="shared" si="25"/>
        <v>1006</v>
      </c>
    </row>
    <row r="1358" spans="3:14" ht="12" customHeight="1">
      <c r="C1358" s="231"/>
      <c r="D1358" s="3900" t="s">
        <v>1696</v>
      </c>
      <c r="E1358" s="3900"/>
      <c r="F1358" s="3900"/>
      <c r="G1358" s="3900"/>
      <c r="H1358" s="3900"/>
      <c r="I1358" s="3900"/>
      <c r="J1358" s="3900"/>
      <c r="K1358" s="3900"/>
      <c r="L1358" s="232"/>
      <c r="N1358" s="212">
        <f t="shared" si="25"/>
        <v>1007</v>
      </c>
    </row>
    <row r="1359" spans="3:14" ht="12" customHeight="1">
      <c r="C1359" s="231"/>
      <c r="D1359" s="3900" t="s">
        <v>1697</v>
      </c>
      <c r="E1359" s="3901"/>
      <c r="F1359" s="3901"/>
      <c r="G1359" s="3901"/>
      <c r="H1359" s="3901"/>
      <c r="I1359" s="3901"/>
      <c r="J1359" s="232"/>
      <c r="K1359" s="232"/>
      <c r="L1359" s="232"/>
      <c r="N1359" s="212">
        <f t="shared" si="25"/>
        <v>1008</v>
      </c>
    </row>
    <row r="1360" spans="3:14" ht="12" customHeight="1">
      <c r="C1360" s="231"/>
      <c r="D1360" s="3900" t="s">
        <v>1698</v>
      </c>
      <c r="E1360" s="3901"/>
      <c r="F1360" s="3901"/>
      <c r="G1360" s="3901"/>
      <c r="H1360" s="3901"/>
      <c r="I1360" s="3901"/>
      <c r="J1360" s="232"/>
      <c r="K1360" s="232"/>
      <c r="L1360" s="232"/>
      <c r="N1360" s="212">
        <f t="shared" si="25"/>
        <v>1009</v>
      </c>
    </row>
    <row r="1361" spans="3:14" ht="12" customHeight="1">
      <c r="C1361" s="231"/>
      <c r="D1361" s="3900" t="s">
        <v>1699</v>
      </c>
      <c r="E1361" s="3901"/>
      <c r="F1361" s="3901"/>
      <c r="G1361" s="3901"/>
      <c r="H1361" s="3901"/>
      <c r="I1361" s="3901"/>
      <c r="J1361" s="232"/>
      <c r="K1361" s="232"/>
      <c r="L1361" s="232"/>
      <c r="N1361" s="212">
        <f t="shared" si="25"/>
        <v>1010</v>
      </c>
    </row>
    <row r="1362" spans="3:14" ht="12" customHeight="1">
      <c r="C1362" s="231"/>
      <c r="D1362" s="3900" t="s">
        <v>1700</v>
      </c>
      <c r="E1362" s="3901"/>
      <c r="F1362" s="3901"/>
      <c r="G1362" s="3901"/>
      <c r="H1362" s="3901"/>
      <c r="I1362" s="3901"/>
      <c r="J1362" s="232"/>
      <c r="K1362" s="232"/>
      <c r="L1362" s="232"/>
      <c r="N1362" s="212">
        <f t="shared" si="25"/>
        <v>1011</v>
      </c>
    </row>
    <row r="1363" spans="3:14" ht="12" customHeight="1">
      <c r="C1363" s="231"/>
      <c r="D1363" s="3900" t="s">
        <v>1701</v>
      </c>
      <c r="E1363" s="3901"/>
      <c r="F1363" s="3901"/>
      <c r="G1363" s="3901"/>
      <c r="H1363" s="3901"/>
      <c r="I1363" s="3901"/>
      <c r="J1363" s="232"/>
      <c r="K1363" s="232"/>
      <c r="L1363" s="232"/>
      <c r="N1363" s="212">
        <f t="shared" si="25"/>
        <v>1012</v>
      </c>
    </row>
    <row r="1364" spans="3:14" ht="12" customHeight="1">
      <c r="C1364" s="231"/>
      <c r="D1364" s="3900" t="s">
        <v>1702</v>
      </c>
      <c r="E1364" s="3900"/>
      <c r="F1364" s="3900"/>
      <c r="G1364" s="3900"/>
      <c r="H1364" s="3900"/>
      <c r="I1364" s="3900"/>
      <c r="J1364" s="3900"/>
      <c r="K1364" s="3900"/>
      <c r="L1364" s="232"/>
      <c r="N1364" s="212">
        <f t="shared" si="25"/>
        <v>1013</v>
      </c>
    </row>
    <row r="1365" spans="3:14" ht="12" customHeight="1">
      <c r="C1365" s="231"/>
      <c r="D1365" s="3900" t="s">
        <v>1703</v>
      </c>
      <c r="E1365" s="3901"/>
      <c r="F1365" s="3901"/>
      <c r="G1365" s="3901"/>
      <c r="H1365" s="3901"/>
      <c r="I1365" s="3901"/>
      <c r="J1365" s="232"/>
      <c r="K1365" s="232"/>
      <c r="L1365" s="232"/>
      <c r="N1365" s="212">
        <f t="shared" si="25"/>
        <v>1014</v>
      </c>
    </row>
    <row r="1366" spans="3:14" ht="12" customHeight="1">
      <c r="C1366" s="231"/>
      <c r="D1366" s="3916"/>
      <c r="E1366" s="3917"/>
      <c r="F1366" s="3917"/>
      <c r="G1366" s="3917"/>
      <c r="H1366" s="3917"/>
      <c r="I1366" s="3917"/>
      <c r="J1366" s="232"/>
      <c r="K1366" s="232"/>
      <c r="L1366" s="232"/>
      <c r="N1366" s="212">
        <f t="shared" si="25"/>
        <v>1014</v>
      </c>
    </row>
    <row r="1367" spans="3:14" ht="12" customHeight="1">
      <c r="C1367" s="231"/>
      <c r="D1367" s="3955" t="s">
        <v>847</v>
      </c>
      <c r="E1367" s="3956"/>
      <c r="F1367" s="3956"/>
      <c r="G1367" s="3956"/>
      <c r="H1367" s="3956"/>
      <c r="I1367" s="3956"/>
      <c r="J1367" s="232"/>
      <c r="K1367" s="232"/>
      <c r="L1367" s="232"/>
      <c r="N1367" s="212">
        <f t="shared" si="25"/>
        <v>1015</v>
      </c>
    </row>
    <row r="1368" spans="3:14" ht="12" customHeight="1">
      <c r="C1368" s="231"/>
      <c r="D1368" s="3900" t="s">
        <v>1704</v>
      </c>
      <c r="E1368" s="3900"/>
      <c r="F1368" s="3900"/>
      <c r="G1368" s="3900"/>
      <c r="H1368" s="3900"/>
      <c r="I1368" s="3900"/>
      <c r="J1368" s="3900"/>
      <c r="K1368" s="3900"/>
      <c r="L1368" s="232"/>
      <c r="N1368" s="212">
        <f t="shared" si="25"/>
        <v>1016</v>
      </c>
    </row>
    <row r="1369" spans="3:14" ht="12" customHeight="1">
      <c r="C1369" s="231"/>
      <c r="D1369" s="3900" t="s">
        <v>848</v>
      </c>
      <c r="E1369" s="3900"/>
      <c r="F1369" s="3900"/>
      <c r="G1369" s="3900"/>
      <c r="H1369" s="3900"/>
      <c r="I1369" s="3900"/>
      <c r="J1369" s="3900"/>
      <c r="K1369" s="3900"/>
      <c r="L1369" s="232"/>
      <c r="N1369" s="212">
        <f t="shared" si="25"/>
        <v>1017</v>
      </c>
    </row>
    <row r="1370" spans="3:14" ht="12" customHeight="1">
      <c r="C1370" s="231"/>
      <c r="D1370" s="3945" t="s">
        <v>1705</v>
      </c>
      <c r="E1370" s="3946"/>
      <c r="F1370" s="3946"/>
      <c r="G1370" s="3946"/>
      <c r="H1370" s="3946"/>
      <c r="I1370" s="3946"/>
      <c r="J1370" s="232"/>
      <c r="K1370" s="232"/>
      <c r="L1370" s="232"/>
      <c r="N1370" s="212">
        <f t="shared" si="25"/>
        <v>1018</v>
      </c>
    </row>
    <row r="1371" spans="3:14" ht="12" customHeight="1">
      <c r="C1371" s="231"/>
      <c r="D1371" s="3900" t="s">
        <v>849</v>
      </c>
      <c r="E1371" s="3901"/>
      <c r="F1371" s="3901"/>
      <c r="G1371" s="3901"/>
      <c r="H1371" s="3901"/>
      <c r="I1371" s="3901"/>
      <c r="J1371" s="232"/>
      <c r="K1371" s="232"/>
      <c r="L1371" s="232"/>
      <c r="N1371" s="212">
        <f t="shared" si="25"/>
        <v>1019</v>
      </c>
    </row>
    <row r="1372" spans="3:14" ht="12" customHeight="1">
      <c r="C1372" s="231"/>
      <c r="D1372" s="3900" t="s">
        <v>1706</v>
      </c>
      <c r="E1372" s="3900"/>
      <c r="F1372" s="3900"/>
      <c r="G1372" s="3900"/>
      <c r="H1372" s="3900"/>
      <c r="I1372" s="3900"/>
      <c r="J1372" s="3900"/>
      <c r="K1372" s="3900"/>
      <c r="L1372" s="232"/>
      <c r="N1372" s="212">
        <f t="shared" si="25"/>
        <v>1020</v>
      </c>
    </row>
    <row r="1373" spans="3:14" ht="12" customHeight="1">
      <c r="C1373" s="231"/>
      <c r="D1373" s="3945" t="s">
        <v>1707</v>
      </c>
      <c r="E1373" s="3946"/>
      <c r="F1373" s="3946"/>
      <c r="G1373" s="3946"/>
      <c r="H1373" s="3946"/>
      <c r="I1373" s="3946"/>
      <c r="J1373" s="232"/>
      <c r="K1373" s="232"/>
      <c r="L1373" s="232"/>
      <c r="N1373" s="212">
        <f t="shared" si="25"/>
        <v>1021</v>
      </c>
    </row>
    <row r="1374" spans="3:14" ht="12" customHeight="1">
      <c r="C1374" s="231"/>
      <c r="D1374" s="3948" t="s">
        <v>1708</v>
      </c>
      <c r="E1374" s="3949"/>
      <c r="F1374" s="3949"/>
      <c r="G1374" s="3949"/>
      <c r="H1374" s="3949"/>
      <c r="I1374" s="3949"/>
      <c r="J1374" s="232"/>
      <c r="K1374" s="232"/>
      <c r="L1374" s="232"/>
      <c r="N1374" s="212">
        <f t="shared" si="25"/>
        <v>1022</v>
      </c>
    </row>
    <row r="1375" spans="3:14" ht="12" customHeight="1">
      <c r="C1375" s="231"/>
      <c r="D1375" s="3948" t="s">
        <v>1709</v>
      </c>
      <c r="E1375" s="3949"/>
      <c r="F1375" s="3949"/>
      <c r="G1375" s="3949"/>
      <c r="H1375" s="3949"/>
      <c r="I1375" s="3949"/>
      <c r="J1375" s="232"/>
      <c r="K1375" s="232"/>
      <c r="L1375" s="232"/>
      <c r="N1375" s="212">
        <f t="shared" si="25"/>
        <v>1023</v>
      </c>
    </row>
    <row r="1376" spans="3:14" ht="12" customHeight="1">
      <c r="C1376" s="231"/>
      <c r="D1376" s="3948" t="s">
        <v>1710</v>
      </c>
      <c r="E1376" s="3949"/>
      <c r="F1376" s="3949"/>
      <c r="G1376" s="3949"/>
      <c r="H1376" s="3949"/>
      <c r="I1376" s="3949"/>
      <c r="J1376" s="232"/>
      <c r="K1376" s="232"/>
      <c r="L1376" s="232"/>
      <c r="N1376" s="212">
        <f t="shared" si="25"/>
        <v>1024</v>
      </c>
    </row>
    <row r="1377" spans="3:14" ht="12" customHeight="1">
      <c r="C1377" s="231"/>
      <c r="D1377" s="3961" t="s">
        <v>1711</v>
      </c>
      <c r="E1377" s="3962"/>
      <c r="F1377" s="3962"/>
      <c r="G1377" s="3962"/>
      <c r="H1377" s="3962"/>
      <c r="I1377" s="3962"/>
      <c r="J1377" s="232"/>
      <c r="K1377" s="232"/>
      <c r="L1377" s="232"/>
      <c r="N1377" s="212">
        <f t="shared" si="25"/>
        <v>1025</v>
      </c>
    </row>
    <row r="1378" spans="3:14" ht="12" customHeight="1">
      <c r="C1378" s="231"/>
      <c r="D1378" s="751"/>
      <c r="E1378" s="752"/>
      <c r="F1378" s="1723"/>
      <c r="G1378" s="752"/>
      <c r="H1378" s="752"/>
      <c r="I1378" s="752"/>
      <c r="J1378" s="232"/>
      <c r="K1378" s="232"/>
      <c r="L1378" s="232"/>
      <c r="N1378" s="212">
        <f t="shared" si="25"/>
        <v>1025</v>
      </c>
    </row>
    <row r="1379" spans="3:14" ht="12" customHeight="1">
      <c r="C1379" s="231"/>
      <c r="D1379" s="3916"/>
      <c r="E1379" s="3917"/>
      <c r="F1379" s="3917"/>
      <c r="G1379" s="3917"/>
      <c r="H1379" s="3917"/>
      <c r="I1379" s="3917"/>
      <c r="J1379" s="232"/>
      <c r="K1379" s="232"/>
      <c r="L1379" s="232"/>
      <c r="N1379" s="212">
        <f t="shared" si="25"/>
        <v>1025</v>
      </c>
    </row>
    <row r="1380" spans="3:14" ht="12" customHeight="1">
      <c r="C1380" s="231"/>
      <c r="D1380" s="3916" t="s">
        <v>973</v>
      </c>
      <c r="E1380" s="3917"/>
      <c r="F1380" s="3917"/>
      <c r="G1380" s="3917"/>
      <c r="H1380" s="3917"/>
      <c r="I1380" s="3917"/>
      <c r="J1380" s="232"/>
      <c r="K1380" s="232"/>
      <c r="L1380" s="232"/>
      <c r="N1380" s="212">
        <f t="shared" si="25"/>
        <v>1026</v>
      </c>
    </row>
    <row r="1381" spans="3:14" ht="12" customHeight="1">
      <c r="C1381" s="231"/>
      <c r="D1381" s="3945" t="s">
        <v>1712</v>
      </c>
      <c r="E1381" s="3946"/>
      <c r="F1381" s="3946"/>
      <c r="G1381" s="3946"/>
      <c r="H1381" s="3946"/>
      <c r="I1381" s="3946"/>
      <c r="J1381" s="232"/>
      <c r="K1381" s="232"/>
      <c r="L1381" s="232"/>
      <c r="N1381" s="212">
        <f t="shared" si="25"/>
        <v>1027</v>
      </c>
    </row>
    <row r="1382" spans="3:14" ht="12" customHeight="1">
      <c r="C1382" s="231"/>
      <c r="D1382" s="3900" t="s">
        <v>850</v>
      </c>
      <c r="E1382" s="3901"/>
      <c r="F1382" s="3901"/>
      <c r="G1382" s="3901"/>
      <c r="H1382" s="3901"/>
      <c r="I1382" s="3901"/>
      <c r="J1382" s="232"/>
      <c r="K1382" s="232"/>
      <c r="L1382" s="232"/>
      <c r="N1382" s="212">
        <f t="shared" si="25"/>
        <v>1028</v>
      </c>
    </row>
    <row r="1383" spans="3:14" ht="12" customHeight="1">
      <c r="C1383" s="231"/>
      <c r="D1383" s="3945" t="s">
        <v>851</v>
      </c>
      <c r="E1383" s="3946"/>
      <c r="F1383" s="3946"/>
      <c r="G1383" s="3946"/>
      <c r="H1383" s="3946"/>
      <c r="I1383" s="3946"/>
      <c r="J1383" s="232"/>
      <c r="K1383" s="232"/>
      <c r="L1383" s="232"/>
      <c r="N1383" s="212">
        <f t="shared" si="25"/>
        <v>1029</v>
      </c>
    </row>
    <row r="1384" spans="3:14" ht="12" customHeight="1">
      <c r="C1384" s="231"/>
      <c r="D1384" s="3900" t="s">
        <v>852</v>
      </c>
      <c r="E1384" s="3901"/>
      <c r="F1384" s="3901"/>
      <c r="G1384" s="3901"/>
      <c r="H1384" s="3901"/>
      <c r="I1384" s="3901"/>
      <c r="J1384" s="232"/>
      <c r="K1384" s="232"/>
      <c r="L1384" s="232"/>
      <c r="N1384" s="212">
        <f t="shared" si="25"/>
        <v>1030</v>
      </c>
    </row>
    <row r="1385" spans="3:14" ht="12" customHeight="1">
      <c r="C1385" s="231"/>
      <c r="D1385" s="3945" t="s">
        <v>853</v>
      </c>
      <c r="E1385" s="3946"/>
      <c r="F1385" s="3946"/>
      <c r="G1385" s="3946"/>
      <c r="H1385" s="3946"/>
      <c r="I1385" s="3946"/>
      <c r="J1385" s="232"/>
      <c r="K1385" s="232"/>
      <c r="L1385" s="232"/>
      <c r="N1385" s="212">
        <f t="shared" si="25"/>
        <v>1031</v>
      </c>
    </row>
    <row r="1386" spans="3:14" ht="12" customHeight="1">
      <c r="C1386" s="231"/>
      <c r="D1386" s="3900" t="s">
        <v>854</v>
      </c>
      <c r="E1386" s="3901"/>
      <c r="F1386" s="3901"/>
      <c r="G1386" s="3901"/>
      <c r="H1386" s="3901"/>
      <c r="I1386" s="3901"/>
      <c r="J1386" s="232"/>
      <c r="K1386" s="232"/>
      <c r="L1386" s="232"/>
      <c r="N1386" s="212">
        <f t="shared" si="25"/>
        <v>1032</v>
      </c>
    </row>
    <row r="1387" spans="3:14" ht="12" customHeight="1">
      <c r="C1387" s="231"/>
      <c r="D1387" s="3945" t="s">
        <v>855</v>
      </c>
      <c r="E1387" s="3946"/>
      <c r="F1387" s="3946"/>
      <c r="G1387" s="3946"/>
      <c r="H1387" s="3946"/>
      <c r="I1387" s="3946"/>
      <c r="J1387" s="232"/>
      <c r="K1387" s="232"/>
      <c r="L1387" s="232"/>
      <c r="N1387" s="212">
        <f t="shared" si="25"/>
        <v>1033</v>
      </c>
    </row>
    <row r="1388" spans="3:14" ht="12" customHeight="1">
      <c r="C1388" s="231"/>
      <c r="D1388" s="3900" t="s">
        <v>1713</v>
      </c>
      <c r="E1388" s="3901"/>
      <c r="F1388" s="3901"/>
      <c r="G1388" s="3901"/>
      <c r="H1388" s="3901"/>
      <c r="I1388" s="3901"/>
      <c r="J1388" s="232"/>
      <c r="K1388" s="232"/>
      <c r="L1388" s="232"/>
      <c r="N1388" s="212">
        <f t="shared" si="25"/>
        <v>1034</v>
      </c>
    </row>
    <row r="1389" spans="3:14" ht="12" customHeight="1">
      <c r="C1389" s="231"/>
      <c r="D1389" s="3900" t="s">
        <v>1714</v>
      </c>
      <c r="E1389" s="3901"/>
      <c r="F1389" s="3901"/>
      <c r="G1389" s="3901"/>
      <c r="H1389" s="3901"/>
      <c r="I1389" s="3901"/>
      <c r="J1389" s="232"/>
      <c r="K1389" s="232"/>
      <c r="L1389" s="232"/>
      <c r="N1389" s="212">
        <f t="shared" si="25"/>
        <v>1035</v>
      </c>
    </row>
    <row r="1390" spans="3:14" ht="12" customHeight="1">
      <c r="C1390" s="231"/>
      <c r="D1390" s="3945" t="s">
        <v>1715</v>
      </c>
      <c r="E1390" s="3946"/>
      <c r="F1390" s="3946"/>
      <c r="G1390" s="3946"/>
      <c r="H1390" s="3946"/>
      <c r="I1390" s="3946"/>
      <c r="J1390" s="232"/>
      <c r="K1390" s="232"/>
      <c r="L1390" s="232"/>
      <c r="N1390" s="212">
        <f t="shared" si="25"/>
        <v>1036</v>
      </c>
    </row>
    <row r="1391" spans="3:14" ht="12" customHeight="1">
      <c r="C1391" s="231"/>
      <c r="D1391" s="3959" t="s">
        <v>856</v>
      </c>
      <c r="E1391" s="3959"/>
      <c r="F1391" s="3959"/>
      <c r="G1391" s="3959"/>
      <c r="H1391" s="3959"/>
      <c r="I1391" s="3959"/>
      <c r="J1391" s="3959"/>
      <c r="K1391" s="3959"/>
      <c r="L1391" s="232"/>
      <c r="N1391" s="212">
        <f t="shared" si="25"/>
        <v>1037</v>
      </c>
    </row>
    <row r="1392" spans="3:14" ht="12" customHeight="1">
      <c r="C1392" s="231"/>
      <c r="D1392" s="3959" t="s">
        <v>1716</v>
      </c>
      <c r="E1392" s="3960"/>
      <c r="F1392" s="3960"/>
      <c r="G1392" s="3960"/>
      <c r="H1392" s="3960"/>
      <c r="I1392" s="3960"/>
      <c r="J1392" s="232"/>
      <c r="K1392" s="232"/>
      <c r="L1392" s="232"/>
      <c r="N1392" s="212">
        <f t="shared" si="25"/>
        <v>1038</v>
      </c>
    </row>
    <row r="1393" spans="3:14" ht="12" customHeight="1">
      <c r="C1393" s="231"/>
      <c r="D1393" s="3916"/>
      <c r="E1393" s="3917"/>
      <c r="F1393" s="3917"/>
      <c r="G1393" s="3917"/>
      <c r="H1393" s="3917"/>
      <c r="I1393" s="3917"/>
      <c r="J1393" s="232"/>
      <c r="K1393" s="232"/>
      <c r="L1393" s="232"/>
      <c r="N1393" s="212">
        <f t="shared" si="25"/>
        <v>1038</v>
      </c>
    </row>
    <row r="1394" spans="3:14" ht="12" customHeight="1">
      <c r="C1394" s="231"/>
      <c r="D1394" s="3955" t="s">
        <v>857</v>
      </c>
      <c r="E1394" s="3956"/>
      <c r="F1394" s="3956"/>
      <c r="G1394" s="3956"/>
      <c r="H1394" s="3956"/>
      <c r="I1394" s="3956"/>
      <c r="J1394" s="232"/>
      <c r="K1394" s="232"/>
      <c r="L1394" s="232"/>
      <c r="N1394" s="212">
        <f t="shared" si="25"/>
        <v>1039</v>
      </c>
    </row>
    <row r="1395" spans="3:14" ht="12" customHeight="1">
      <c r="C1395" s="231"/>
      <c r="D1395" s="3900" t="s">
        <v>1717</v>
      </c>
      <c r="E1395" s="3900"/>
      <c r="F1395" s="3900"/>
      <c r="G1395" s="3900"/>
      <c r="H1395" s="3900"/>
      <c r="I1395" s="3900"/>
      <c r="J1395" s="3900"/>
      <c r="K1395" s="3900"/>
      <c r="L1395" s="232"/>
      <c r="N1395" s="212">
        <f t="shared" si="25"/>
        <v>1040</v>
      </c>
    </row>
    <row r="1396" spans="3:14" ht="12" customHeight="1">
      <c r="C1396" s="231"/>
      <c r="D1396" s="3916"/>
      <c r="E1396" s="3917"/>
      <c r="F1396" s="3917"/>
      <c r="G1396" s="3917"/>
      <c r="H1396" s="3917"/>
      <c r="I1396" s="3917"/>
      <c r="J1396" s="232"/>
      <c r="K1396" s="232"/>
      <c r="L1396" s="232"/>
      <c r="N1396" s="212">
        <f t="shared" si="25"/>
        <v>1040</v>
      </c>
    </row>
    <row r="1397" spans="3:14" ht="12" customHeight="1">
      <c r="C1397" s="231"/>
      <c r="D1397" s="3955" t="s">
        <v>1718</v>
      </c>
      <c r="E1397" s="3956"/>
      <c r="F1397" s="3956"/>
      <c r="G1397" s="3956"/>
      <c r="H1397" s="3956"/>
      <c r="I1397" s="3956"/>
      <c r="J1397" s="232"/>
      <c r="K1397" s="232"/>
      <c r="L1397" s="232"/>
      <c r="N1397" s="212">
        <f t="shared" si="25"/>
        <v>1041</v>
      </c>
    </row>
    <row r="1398" spans="3:14" ht="12" customHeight="1">
      <c r="C1398" s="231"/>
      <c r="D1398" s="3916"/>
      <c r="E1398" s="3917"/>
      <c r="F1398" s="3917"/>
      <c r="G1398" s="3917"/>
      <c r="H1398" s="3917"/>
      <c r="I1398" s="3917"/>
      <c r="J1398" s="232"/>
      <c r="K1398" s="232"/>
      <c r="L1398" s="232"/>
      <c r="N1398" s="212">
        <f t="shared" si="25"/>
        <v>1041</v>
      </c>
    </row>
    <row r="1399" spans="3:14" ht="12" customHeight="1">
      <c r="C1399" s="231"/>
      <c r="D1399" s="3955" t="s">
        <v>858</v>
      </c>
      <c r="E1399" s="3956"/>
      <c r="F1399" s="3956"/>
      <c r="G1399" s="3956"/>
      <c r="H1399" s="3956"/>
      <c r="I1399" s="3956"/>
      <c r="J1399" s="232"/>
      <c r="K1399" s="232"/>
      <c r="L1399" s="232"/>
      <c r="N1399" s="212">
        <f t="shared" si="25"/>
        <v>1042</v>
      </c>
    </row>
    <row r="1400" spans="3:14" ht="12" customHeight="1">
      <c r="C1400" s="231"/>
      <c r="D1400" s="3900" t="s">
        <v>859</v>
      </c>
      <c r="E1400" s="3900"/>
      <c r="F1400" s="3900"/>
      <c r="G1400" s="3900"/>
      <c r="H1400" s="3900"/>
      <c r="I1400" s="540"/>
      <c r="J1400" s="232"/>
      <c r="K1400" s="232"/>
      <c r="L1400" s="232"/>
      <c r="N1400" s="212">
        <f t="shared" si="25"/>
        <v>1043</v>
      </c>
    </row>
    <row r="1401" spans="3:14" ht="12" customHeight="1">
      <c r="C1401" s="231"/>
      <c r="D1401" s="3958" t="s">
        <v>1719</v>
      </c>
      <c r="E1401" s="3958"/>
      <c r="F1401" s="3958"/>
      <c r="G1401" s="3958"/>
      <c r="H1401" s="3958"/>
      <c r="I1401" s="3958"/>
      <c r="J1401" s="232"/>
      <c r="K1401" s="232"/>
      <c r="L1401" s="232"/>
      <c r="N1401" s="212">
        <f t="shared" si="25"/>
        <v>1044</v>
      </c>
    </row>
    <row r="1402" spans="3:14" ht="12" customHeight="1">
      <c r="C1402" s="231"/>
      <c r="D1402" s="3958" t="s">
        <v>1721</v>
      </c>
      <c r="E1402" s="3958"/>
      <c r="F1402" s="3958"/>
      <c r="G1402" s="3958"/>
      <c r="H1402" s="3958"/>
      <c r="I1402" s="3958"/>
      <c r="J1402" s="232"/>
      <c r="K1402" s="232"/>
      <c r="L1402" s="232"/>
      <c r="N1402" s="212">
        <f t="shared" si="25"/>
        <v>1045</v>
      </c>
    </row>
    <row r="1403" spans="3:14" ht="12" customHeight="1">
      <c r="C1403" s="231"/>
      <c r="D1403" s="3900" t="s">
        <v>1722</v>
      </c>
      <c r="E1403" s="3900"/>
      <c r="F1403" s="3900"/>
      <c r="G1403" s="3900"/>
      <c r="H1403" s="3900"/>
      <c r="I1403" s="3900"/>
      <c r="J1403" s="232"/>
      <c r="K1403" s="232"/>
      <c r="L1403" s="232"/>
      <c r="N1403" s="212">
        <f t="shared" si="25"/>
        <v>1046</v>
      </c>
    </row>
    <row r="1404" spans="3:14" ht="12" customHeight="1">
      <c r="C1404" s="231"/>
      <c r="D1404" s="3916" t="s">
        <v>2296</v>
      </c>
      <c r="E1404" s="3916"/>
      <c r="F1404" s="3916"/>
      <c r="G1404" s="3916"/>
      <c r="H1404" s="3916"/>
      <c r="I1404" s="739" t="s">
        <v>1723</v>
      </c>
      <c r="J1404" s="232"/>
      <c r="K1404" s="232"/>
      <c r="L1404" s="232"/>
      <c r="N1404" s="212">
        <f t="shared" si="25"/>
        <v>1047</v>
      </c>
    </row>
    <row r="1405" spans="3:14" ht="12" customHeight="1">
      <c r="C1405" s="231"/>
      <c r="D1405" s="3957" t="s">
        <v>2297</v>
      </c>
      <c r="E1405" s="3957"/>
      <c r="F1405" s="3957"/>
      <c r="G1405" s="3957"/>
      <c r="H1405" s="3957"/>
      <c r="I1405" s="521" t="s">
        <v>1720</v>
      </c>
      <c r="J1405" s="232"/>
      <c r="K1405" s="232"/>
      <c r="L1405" s="232"/>
      <c r="N1405" s="212">
        <f t="shared" si="25"/>
        <v>1048</v>
      </c>
    </row>
    <row r="1406" spans="3:14" ht="12" customHeight="1">
      <c r="C1406" s="231"/>
      <c r="D1406" s="3916"/>
      <c r="E1406" s="3917"/>
      <c r="F1406" s="3917"/>
      <c r="G1406" s="3917"/>
      <c r="H1406" s="3917"/>
      <c r="I1406" s="3917"/>
      <c r="J1406" s="232"/>
      <c r="K1406" s="232"/>
      <c r="L1406" s="232"/>
      <c r="N1406" s="212">
        <f t="shared" ref="N1406:N1478" si="26">IF(D1406="",N1405,N1405+1)</f>
        <v>1048</v>
      </c>
    </row>
    <row r="1407" spans="3:14" ht="12" customHeight="1">
      <c r="C1407" s="231"/>
      <c r="D1407" s="3955" t="s">
        <v>1724</v>
      </c>
      <c r="E1407" s="3956"/>
      <c r="F1407" s="3956"/>
      <c r="G1407" s="3956"/>
      <c r="H1407" s="3956"/>
      <c r="I1407" s="3956"/>
      <c r="J1407" s="232"/>
      <c r="K1407" s="232"/>
      <c r="L1407" s="232"/>
      <c r="N1407" s="212">
        <f t="shared" si="26"/>
        <v>1049</v>
      </c>
    </row>
    <row r="1408" spans="3:14" ht="12" customHeight="1">
      <c r="C1408" s="231"/>
      <c r="D1408" s="3916" t="s">
        <v>1725</v>
      </c>
      <c r="E1408" s="3917"/>
      <c r="F1408" s="3917"/>
      <c r="G1408" s="3917"/>
      <c r="H1408" s="3917"/>
      <c r="I1408" s="3917"/>
      <c r="J1408" s="232"/>
      <c r="K1408" s="232"/>
      <c r="L1408" s="232"/>
      <c r="N1408" s="212">
        <f t="shared" si="26"/>
        <v>1050</v>
      </c>
    </row>
    <row r="1409" spans="3:14" ht="12" customHeight="1">
      <c r="C1409" s="231"/>
      <c r="D1409" s="3916"/>
      <c r="E1409" s="3917"/>
      <c r="F1409" s="3917"/>
      <c r="G1409" s="3917"/>
      <c r="H1409" s="3917"/>
      <c r="I1409" s="3917"/>
      <c r="J1409" s="232"/>
      <c r="K1409" s="232"/>
      <c r="L1409" s="232"/>
      <c r="N1409" s="212">
        <f t="shared" si="26"/>
        <v>1050</v>
      </c>
    </row>
    <row r="1410" spans="3:14" ht="12" customHeight="1">
      <c r="C1410" s="231"/>
      <c r="D1410" s="3955" t="s">
        <v>860</v>
      </c>
      <c r="E1410" s="3956"/>
      <c r="F1410" s="3956"/>
      <c r="G1410" s="3956"/>
      <c r="H1410" s="3956"/>
      <c r="I1410" s="3956"/>
      <c r="J1410" s="232"/>
      <c r="K1410" s="232"/>
      <c r="L1410" s="232"/>
      <c r="N1410" s="212">
        <f t="shared" si="26"/>
        <v>1051</v>
      </c>
    </row>
    <row r="1411" spans="3:14" ht="12" customHeight="1">
      <c r="C1411" s="231"/>
      <c r="D1411" s="3900" t="s">
        <v>1726</v>
      </c>
      <c r="E1411" s="3901"/>
      <c r="F1411" s="3901"/>
      <c r="G1411" s="3901"/>
      <c r="H1411" s="3901"/>
      <c r="I1411" s="3901"/>
      <c r="J1411" s="232"/>
      <c r="K1411" s="232"/>
      <c r="L1411" s="232"/>
      <c r="N1411" s="212">
        <f t="shared" si="26"/>
        <v>1052</v>
      </c>
    </row>
    <row r="1412" spans="3:14" ht="12" customHeight="1">
      <c r="C1412" s="231"/>
      <c r="D1412" s="3900" t="s">
        <v>861</v>
      </c>
      <c r="E1412" s="3901"/>
      <c r="F1412" s="3901"/>
      <c r="G1412" s="3901"/>
      <c r="H1412" s="3901"/>
      <c r="I1412" s="3901"/>
      <c r="J1412" s="232"/>
      <c r="K1412" s="232"/>
      <c r="L1412" s="232"/>
      <c r="N1412" s="212">
        <f t="shared" si="26"/>
        <v>1053</v>
      </c>
    </row>
    <row r="1413" spans="3:14" ht="12" customHeight="1">
      <c r="C1413" s="231"/>
      <c r="D1413" s="3916"/>
      <c r="E1413" s="3917"/>
      <c r="F1413" s="3917"/>
      <c r="G1413" s="3917"/>
      <c r="H1413" s="3917"/>
      <c r="I1413" s="3917"/>
      <c r="J1413" s="232"/>
      <c r="K1413" s="232"/>
      <c r="L1413" s="232"/>
      <c r="N1413" s="212">
        <f t="shared" si="26"/>
        <v>1053</v>
      </c>
    </row>
    <row r="1414" spans="3:14" ht="12" customHeight="1">
      <c r="C1414" s="231"/>
      <c r="D1414" s="3901" t="s">
        <v>1318</v>
      </c>
      <c r="E1414" s="3901"/>
      <c r="F1414" s="3901"/>
      <c r="G1414" s="3901"/>
      <c r="H1414" s="3901"/>
      <c r="I1414" s="3901"/>
      <c r="J1414" s="232"/>
      <c r="K1414" s="232"/>
      <c r="L1414" s="232"/>
      <c r="N1414" s="212">
        <f t="shared" si="26"/>
        <v>1054</v>
      </c>
    </row>
    <row r="1415" spans="3:14" ht="12" customHeight="1">
      <c r="C1415" s="231"/>
      <c r="D1415" s="3901" t="s">
        <v>723</v>
      </c>
      <c r="E1415" s="3901"/>
      <c r="F1415" s="3901"/>
      <c r="G1415" s="3901"/>
      <c r="H1415" s="3901"/>
      <c r="I1415" s="3901"/>
      <c r="J1415" s="232"/>
      <c r="K1415" s="232"/>
      <c r="L1415" s="232"/>
      <c r="N1415" s="212">
        <f t="shared" si="26"/>
        <v>1055</v>
      </c>
    </row>
    <row r="1416" spans="3:14" ht="12" customHeight="1">
      <c r="C1416" s="231"/>
      <c r="D1416" s="3900" t="s">
        <v>1728</v>
      </c>
      <c r="E1416" s="3901"/>
      <c r="F1416" s="3901"/>
      <c r="G1416" s="3901"/>
      <c r="H1416" s="3901"/>
      <c r="I1416" s="3901"/>
      <c r="J1416" s="232"/>
      <c r="K1416" s="232"/>
      <c r="L1416" s="232"/>
      <c r="N1416" s="212">
        <f t="shared" si="26"/>
        <v>1056</v>
      </c>
    </row>
    <row r="1417" spans="3:14" ht="12" customHeight="1">
      <c r="C1417" s="231"/>
      <c r="D1417" s="3900" t="s">
        <v>1729</v>
      </c>
      <c r="E1417" s="3901"/>
      <c r="F1417" s="3901"/>
      <c r="G1417" s="3901"/>
      <c r="H1417" s="3901"/>
      <c r="I1417" s="3901"/>
      <c r="J1417" s="232"/>
      <c r="K1417" s="232"/>
      <c r="L1417" s="232"/>
      <c r="N1417" s="212">
        <f t="shared" si="26"/>
        <v>1057</v>
      </c>
    </row>
    <row r="1418" spans="3:14" ht="12" customHeight="1">
      <c r="C1418" s="231"/>
      <c r="D1418" s="3901" t="s">
        <v>1730</v>
      </c>
      <c r="E1418" s="3901"/>
      <c r="F1418" s="3901"/>
      <c r="G1418" s="3901"/>
      <c r="H1418" s="3901"/>
      <c r="I1418" s="3901"/>
      <c r="J1418" s="232"/>
      <c r="K1418" s="232"/>
      <c r="L1418" s="232"/>
      <c r="N1418" s="212">
        <f t="shared" si="26"/>
        <v>1058</v>
      </c>
    </row>
    <row r="1419" spans="3:14" ht="12" customHeight="1">
      <c r="C1419" s="231"/>
      <c r="D1419" s="3901" t="s">
        <v>1731</v>
      </c>
      <c r="E1419" s="3901"/>
      <c r="F1419" s="3901"/>
      <c r="G1419" s="3901"/>
      <c r="H1419" s="3901"/>
      <c r="I1419" s="3901"/>
      <c r="J1419" s="232"/>
      <c r="K1419" s="232"/>
      <c r="L1419" s="232"/>
      <c r="N1419" s="212">
        <f t="shared" si="26"/>
        <v>1059</v>
      </c>
    </row>
    <row r="1420" spans="3:14" ht="12" customHeight="1">
      <c r="C1420" s="231"/>
      <c r="D1420" s="3900" t="s">
        <v>1727</v>
      </c>
      <c r="E1420" s="3901"/>
      <c r="F1420" s="3901"/>
      <c r="G1420" s="3901"/>
      <c r="H1420" s="3901"/>
      <c r="I1420" s="3901"/>
      <c r="J1420" s="232"/>
      <c r="K1420" s="232"/>
      <c r="L1420" s="232"/>
      <c r="N1420" s="212">
        <f t="shared" si="26"/>
        <v>1060</v>
      </c>
    </row>
    <row r="1421" spans="3:14" ht="12" customHeight="1">
      <c r="C1421" s="231"/>
      <c r="D1421" s="3900" t="s">
        <v>1732</v>
      </c>
      <c r="E1421" s="3901"/>
      <c r="F1421" s="3901"/>
      <c r="G1421" s="3901"/>
      <c r="H1421" s="3901"/>
      <c r="I1421" s="3901"/>
      <c r="J1421" s="232"/>
      <c r="K1421" s="232"/>
      <c r="L1421" s="232"/>
      <c r="N1421" s="212">
        <f t="shared" si="26"/>
        <v>1061</v>
      </c>
    </row>
    <row r="1422" spans="3:14" ht="12" customHeight="1">
      <c r="C1422" s="231"/>
      <c r="D1422" s="3916"/>
      <c r="E1422" s="3917"/>
      <c r="F1422" s="3917"/>
      <c r="G1422" s="3917"/>
      <c r="H1422" s="3917"/>
      <c r="I1422" s="3917"/>
      <c r="J1422" s="232"/>
      <c r="K1422" s="232"/>
      <c r="L1422" s="232"/>
      <c r="N1422" s="212">
        <f t="shared" si="26"/>
        <v>1061</v>
      </c>
    </row>
    <row r="1423" spans="3:14" ht="12" customHeight="1">
      <c r="C1423" s="231"/>
      <c r="D1423" s="744"/>
      <c r="E1423" s="745"/>
      <c r="F1423" s="1719"/>
      <c r="G1423" s="745"/>
      <c r="H1423" s="745"/>
      <c r="I1423" s="745"/>
      <c r="J1423" s="232"/>
      <c r="K1423" s="232"/>
      <c r="L1423" s="232"/>
      <c r="N1423" s="212">
        <f t="shared" si="26"/>
        <v>1061</v>
      </c>
    </row>
    <row r="1424" spans="3:14" ht="12" customHeight="1">
      <c r="C1424" s="231"/>
      <c r="D1424" s="744"/>
      <c r="E1424" s="745"/>
      <c r="F1424" s="1719"/>
      <c r="G1424" s="745"/>
      <c r="H1424" s="745"/>
      <c r="I1424" s="745"/>
      <c r="J1424" s="232"/>
      <c r="K1424" s="232"/>
      <c r="L1424" s="232"/>
      <c r="N1424" s="212">
        <f t="shared" si="26"/>
        <v>1061</v>
      </c>
    </row>
    <row r="1425" spans="1:14" ht="12" customHeight="1">
      <c r="C1425" s="231"/>
      <c r="D1425" s="744"/>
      <c r="E1425" s="745"/>
      <c r="F1425" s="1719"/>
      <c r="G1425" s="745"/>
      <c r="H1425" s="745"/>
      <c r="I1425" s="745"/>
      <c r="J1425" s="232"/>
      <c r="K1425" s="232"/>
      <c r="L1425" s="232"/>
      <c r="N1425" s="212">
        <f t="shared" si="26"/>
        <v>1061</v>
      </c>
    </row>
    <row r="1426" spans="1:14" ht="12" customHeight="1">
      <c r="C1426" s="231"/>
      <c r="D1426" s="744"/>
      <c r="E1426" s="745"/>
      <c r="F1426" s="1719"/>
      <c r="G1426" s="745"/>
      <c r="H1426" s="745"/>
      <c r="I1426" s="745"/>
      <c r="J1426" s="232"/>
      <c r="K1426" s="232"/>
      <c r="L1426" s="232"/>
      <c r="N1426" s="212">
        <f t="shared" si="26"/>
        <v>1061</v>
      </c>
    </row>
    <row r="1427" spans="1:14" ht="12" customHeight="1">
      <c r="C1427" s="231"/>
      <c r="D1427" s="744"/>
      <c r="E1427" s="745"/>
      <c r="F1427" s="1719"/>
      <c r="G1427" s="745"/>
      <c r="H1427" s="745"/>
      <c r="I1427" s="745"/>
      <c r="J1427" s="232"/>
      <c r="K1427" s="232"/>
      <c r="L1427" s="232"/>
      <c r="N1427" s="212">
        <f t="shared" si="26"/>
        <v>1061</v>
      </c>
    </row>
    <row r="1428" spans="1:14" ht="12" customHeight="1">
      <c r="C1428" s="231"/>
      <c r="D1428" s="744"/>
      <c r="E1428" s="745"/>
      <c r="F1428" s="1719"/>
      <c r="G1428" s="745"/>
      <c r="H1428" s="745"/>
      <c r="I1428" s="745"/>
      <c r="J1428" s="232"/>
      <c r="K1428" s="232"/>
      <c r="L1428" s="232"/>
      <c r="N1428" s="212">
        <f t="shared" si="26"/>
        <v>1061</v>
      </c>
    </row>
    <row r="1429" spans="1:14" ht="12" customHeight="1">
      <c r="C1429" s="231"/>
      <c r="D1429" s="744"/>
      <c r="E1429" s="745"/>
      <c r="F1429" s="1719"/>
      <c r="G1429" s="745"/>
      <c r="H1429" s="745"/>
      <c r="I1429" s="745"/>
      <c r="J1429" s="232"/>
      <c r="K1429" s="232"/>
      <c r="L1429" s="232"/>
      <c r="N1429" s="212">
        <f>IF(D1429="",N1427,N1427+1)</f>
        <v>1061</v>
      </c>
    </row>
    <row r="1430" spans="1:14" ht="12" customHeight="1">
      <c r="C1430" s="231"/>
      <c r="D1430" s="744"/>
      <c r="E1430" s="745"/>
      <c r="F1430" s="1719"/>
      <c r="G1430" s="745"/>
      <c r="H1430" s="745"/>
      <c r="I1430" s="745"/>
      <c r="J1430" s="232"/>
      <c r="K1430" s="232"/>
      <c r="L1430" s="232"/>
      <c r="N1430" s="212">
        <f t="shared" si="26"/>
        <v>1061</v>
      </c>
    </row>
    <row r="1431" spans="1:14" ht="12" customHeight="1">
      <c r="C1431" s="231"/>
      <c r="D1431" s="744"/>
      <c r="E1431" s="745"/>
      <c r="F1431" s="1719"/>
      <c r="G1431" s="745"/>
      <c r="H1431" s="745"/>
      <c r="I1431" s="745"/>
      <c r="J1431" s="232"/>
      <c r="K1431" s="232"/>
      <c r="L1431" s="232"/>
      <c r="N1431" s="212">
        <f t="shared" si="26"/>
        <v>1061</v>
      </c>
    </row>
    <row r="1432" spans="1:14" ht="12" customHeight="1">
      <c r="C1432" s="231"/>
      <c r="D1432" s="3904"/>
      <c r="E1432" s="3905"/>
      <c r="F1432" s="3905"/>
      <c r="G1432" s="3905"/>
      <c r="H1432" s="3905"/>
      <c r="I1432" s="3905"/>
      <c r="J1432" s="232"/>
      <c r="K1432" s="232"/>
      <c r="L1432" s="232"/>
      <c r="N1432" s="212">
        <f t="shared" si="26"/>
        <v>1061</v>
      </c>
    </row>
    <row r="1433" spans="1:14" ht="12" customHeight="1">
      <c r="C1433" s="231"/>
      <c r="D1433" s="742"/>
      <c r="E1433" s="743"/>
      <c r="F1433" s="1714"/>
      <c r="G1433" s="743"/>
      <c r="H1433" s="743"/>
      <c r="I1433" s="743"/>
      <c r="J1433" s="232"/>
      <c r="K1433" s="232"/>
      <c r="L1433" s="232"/>
      <c r="N1433" s="212"/>
    </row>
    <row r="1434" spans="1:14" ht="12" customHeight="1">
      <c r="C1434" s="231"/>
      <c r="D1434" s="3904"/>
      <c r="E1434" s="3905"/>
      <c r="F1434" s="3905"/>
      <c r="G1434" s="3905"/>
      <c r="H1434" s="3905"/>
      <c r="I1434" s="3905"/>
      <c r="J1434" s="232"/>
      <c r="K1434" s="232"/>
      <c r="L1434" s="232"/>
      <c r="N1434" s="212">
        <f>IF(D1434="",N1432,N1432+1)</f>
        <v>1061</v>
      </c>
    </row>
    <row r="1435" spans="1:14" ht="12" customHeight="1">
      <c r="C1435" s="231"/>
      <c r="D1435" s="3904"/>
      <c r="E1435" s="3905"/>
      <c r="F1435" s="3905"/>
      <c r="G1435" s="3905"/>
      <c r="H1435" s="3905"/>
      <c r="I1435" s="3905"/>
      <c r="J1435" s="232"/>
      <c r="K1435" s="232"/>
      <c r="L1435" s="232"/>
      <c r="N1435" s="212">
        <f t="shared" si="26"/>
        <v>1061</v>
      </c>
    </row>
    <row r="1436" spans="1:14" ht="12" customHeight="1">
      <c r="C1436" s="231"/>
      <c r="D1436" s="3904"/>
      <c r="E1436" s="3905"/>
      <c r="F1436" s="3905"/>
      <c r="G1436" s="3905"/>
      <c r="H1436" s="3905"/>
      <c r="I1436" s="3905"/>
      <c r="J1436" s="232"/>
      <c r="K1436" s="232"/>
      <c r="L1436" s="232"/>
      <c r="N1436" s="212">
        <f t="shared" si="26"/>
        <v>1061</v>
      </c>
    </row>
    <row r="1437" spans="1:14" ht="12" customHeight="1" thickBot="1">
      <c r="A1437" s="3906"/>
      <c r="C1437" s="231"/>
      <c r="D1437" s="3904"/>
      <c r="E1437" s="3905"/>
      <c r="F1437" s="3905"/>
      <c r="G1437" s="3905"/>
      <c r="H1437" s="3905"/>
      <c r="I1437" s="3905"/>
      <c r="J1437" s="232"/>
      <c r="K1437" s="232"/>
      <c r="L1437" s="232"/>
      <c r="N1437" s="212">
        <f t="shared" si="26"/>
        <v>1061</v>
      </c>
    </row>
    <row r="1438" spans="1:14" ht="15" customHeight="1" thickBot="1">
      <c r="A1438" s="3906"/>
      <c r="C1438" s="760"/>
      <c r="D1438" s="3947" t="s">
        <v>862</v>
      </c>
      <c r="E1438" s="3947"/>
      <c r="F1438" s="3947"/>
      <c r="G1438" s="3947"/>
      <c r="H1438" s="3947"/>
      <c r="I1438" s="3947"/>
      <c r="J1438" s="232"/>
      <c r="K1438" s="195" t="s">
        <v>576</v>
      </c>
      <c r="L1438" s="232"/>
      <c r="N1438" s="212">
        <f t="shared" si="26"/>
        <v>1062</v>
      </c>
    </row>
    <row r="1439" spans="1:14" ht="12" customHeight="1" thickBot="1">
      <c r="A1439" s="3906"/>
      <c r="C1439" s="231"/>
      <c r="D1439" s="3904"/>
      <c r="E1439" s="3905"/>
      <c r="F1439" s="3905"/>
      <c r="G1439" s="3905"/>
      <c r="H1439" s="3905"/>
      <c r="I1439" s="3905"/>
      <c r="J1439" s="232"/>
      <c r="K1439" s="1726" t="s">
        <v>551</v>
      </c>
      <c r="L1439" s="232"/>
      <c r="N1439" s="212">
        <f t="shared" si="26"/>
        <v>1062</v>
      </c>
    </row>
    <row r="1440" spans="1:14" ht="12" customHeight="1">
      <c r="A1440" s="3906"/>
      <c r="C1440" s="231"/>
      <c r="D1440" s="3955" t="s">
        <v>968</v>
      </c>
      <c r="E1440" s="3956"/>
      <c r="F1440" s="3956"/>
      <c r="G1440" s="3956"/>
      <c r="H1440" s="3956"/>
      <c r="I1440" s="3956"/>
      <c r="J1440" s="232"/>
      <c r="K1440" s="232"/>
      <c r="L1440" s="232"/>
      <c r="N1440" s="212">
        <f t="shared" si="26"/>
        <v>1063</v>
      </c>
    </row>
    <row r="1441" spans="1:14" ht="12" customHeight="1">
      <c r="A1441" s="3906"/>
      <c r="C1441" s="231"/>
      <c r="D1441" s="3914"/>
      <c r="E1441" s="3915"/>
      <c r="F1441" s="3915"/>
      <c r="G1441" s="3915"/>
      <c r="H1441" s="3915"/>
      <c r="I1441" s="3915"/>
      <c r="J1441" s="232"/>
      <c r="K1441" s="232"/>
      <c r="L1441" s="232"/>
      <c r="N1441" s="212">
        <f t="shared" si="26"/>
        <v>1063</v>
      </c>
    </row>
    <row r="1442" spans="1:14" ht="12" customHeight="1">
      <c r="A1442" s="3906"/>
      <c r="C1442" s="231"/>
      <c r="D1442" s="3914" t="s">
        <v>804</v>
      </c>
      <c r="E1442" s="3915"/>
      <c r="F1442" s="3915"/>
      <c r="G1442" s="3915"/>
      <c r="H1442" s="3915"/>
      <c r="I1442" s="3915"/>
      <c r="J1442" s="232"/>
      <c r="K1442" s="232"/>
      <c r="L1442" s="232"/>
      <c r="N1442" s="212">
        <f t="shared" si="26"/>
        <v>1064</v>
      </c>
    </row>
    <row r="1443" spans="1:14" ht="12" customHeight="1">
      <c r="A1443" s="3906"/>
      <c r="C1443" s="231"/>
      <c r="D1443" s="3914" t="s">
        <v>1058</v>
      </c>
      <c r="E1443" s="3915"/>
      <c r="F1443" s="3915"/>
      <c r="G1443" s="3915"/>
      <c r="H1443" s="3915"/>
      <c r="I1443" s="3915"/>
      <c r="J1443" s="232"/>
      <c r="K1443" s="232"/>
      <c r="L1443" s="232"/>
      <c r="N1443" s="212">
        <f t="shared" si="26"/>
        <v>1065</v>
      </c>
    </row>
    <row r="1444" spans="1:14" ht="12" customHeight="1">
      <c r="A1444" s="3906"/>
      <c r="C1444" s="231"/>
      <c r="D1444" s="3914" t="s">
        <v>1057</v>
      </c>
      <c r="E1444" s="3915"/>
      <c r="F1444" s="3915"/>
      <c r="G1444" s="3915"/>
      <c r="H1444" s="3915"/>
      <c r="I1444" s="3915"/>
      <c r="J1444" s="232"/>
      <c r="K1444" s="232"/>
      <c r="L1444" s="232"/>
      <c r="N1444" s="212">
        <f t="shared" si="26"/>
        <v>1066</v>
      </c>
    </row>
    <row r="1445" spans="1:14" ht="12" customHeight="1">
      <c r="A1445" s="3906"/>
      <c r="C1445" s="231"/>
      <c r="D1445" s="3914" t="s">
        <v>1056</v>
      </c>
      <c r="E1445" s="3915"/>
      <c r="F1445" s="3915"/>
      <c r="G1445" s="3915"/>
      <c r="H1445" s="3915"/>
      <c r="I1445" s="3915"/>
      <c r="J1445" s="232"/>
      <c r="K1445" s="232"/>
      <c r="L1445" s="232"/>
      <c r="N1445" s="212">
        <f t="shared" si="26"/>
        <v>1067</v>
      </c>
    </row>
    <row r="1446" spans="1:14" ht="12" customHeight="1">
      <c r="A1446" s="3906"/>
      <c r="C1446" s="231"/>
      <c r="D1446" s="3914" t="s">
        <v>1055</v>
      </c>
      <c r="E1446" s="3915"/>
      <c r="F1446" s="3915"/>
      <c r="G1446" s="3915"/>
      <c r="H1446" s="3915"/>
      <c r="I1446" s="3915"/>
      <c r="J1446" s="232"/>
      <c r="K1446" s="232"/>
      <c r="L1446" s="232"/>
      <c r="N1446" s="212">
        <f t="shared" si="26"/>
        <v>1068</v>
      </c>
    </row>
    <row r="1447" spans="1:14" ht="12" customHeight="1">
      <c r="A1447" s="3906"/>
      <c r="C1447" s="231"/>
      <c r="D1447" s="3914" t="s">
        <v>1054</v>
      </c>
      <c r="E1447" s="3915"/>
      <c r="F1447" s="3915"/>
      <c r="G1447" s="3915"/>
      <c r="H1447" s="3915"/>
      <c r="I1447" s="3915"/>
      <c r="J1447" s="232"/>
      <c r="K1447" s="232"/>
      <c r="L1447" s="232"/>
      <c r="N1447" s="212">
        <f t="shared" si="26"/>
        <v>1069</v>
      </c>
    </row>
    <row r="1448" spans="1:14" ht="12" customHeight="1">
      <c r="A1448" s="3906"/>
      <c r="C1448" s="231"/>
      <c r="D1448" s="3914" t="s">
        <v>1053</v>
      </c>
      <c r="E1448" s="3915"/>
      <c r="F1448" s="3915"/>
      <c r="G1448" s="3915"/>
      <c r="H1448" s="3915"/>
      <c r="I1448" s="3915"/>
      <c r="J1448" s="232"/>
      <c r="K1448" s="232"/>
      <c r="L1448" s="232"/>
      <c r="N1448" s="212">
        <f t="shared" si="26"/>
        <v>1070</v>
      </c>
    </row>
    <row r="1449" spans="1:14" ht="12" customHeight="1">
      <c r="A1449" s="3906"/>
      <c r="C1449" s="231"/>
      <c r="D1449" s="3914" t="s">
        <v>1053</v>
      </c>
      <c r="E1449" s="3915"/>
      <c r="F1449" s="3915"/>
      <c r="G1449" s="3915"/>
      <c r="H1449" s="3915"/>
      <c r="I1449" s="3915"/>
      <c r="J1449" s="232"/>
      <c r="K1449" s="232"/>
      <c r="L1449" s="232"/>
      <c r="N1449" s="212">
        <f t="shared" si="26"/>
        <v>1071</v>
      </c>
    </row>
    <row r="1450" spans="1:14" ht="12" customHeight="1">
      <c r="A1450" s="3906"/>
      <c r="C1450" s="231"/>
      <c r="D1450" s="3914" t="s">
        <v>1053</v>
      </c>
      <c r="E1450" s="3915"/>
      <c r="F1450" s="3915"/>
      <c r="G1450" s="3915"/>
      <c r="H1450" s="3915"/>
      <c r="I1450" s="3915"/>
      <c r="J1450" s="232"/>
      <c r="K1450" s="232"/>
      <c r="L1450" s="232"/>
      <c r="N1450" s="212">
        <f t="shared" si="26"/>
        <v>1072</v>
      </c>
    </row>
    <row r="1451" spans="1:14" ht="12" customHeight="1">
      <c r="A1451" s="3906"/>
      <c r="C1451" s="231"/>
      <c r="D1451" s="3914" t="s">
        <v>1053</v>
      </c>
      <c r="E1451" s="3915"/>
      <c r="F1451" s="3915"/>
      <c r="G1451" s="3915"/>
      <c r="H1451" s="3915"/>
      <c r="I1451" s="3915"/>
      <c r="J1451" s="232"/>
      <c r="K1451" s="232"/>
      <c r="L1451" s="232"/>
      <c r="N1451" s="212">
        <f t="shared" si="26"/>
        <v>1073</v>
      </c>
    </row>
    <row r="1452" spans="1:14" ht="12" customHeight="1">
      <c r="A1452" s="3906"/>
      <c r="C1452" s="231"/>
      <c r="D1452" s="3914" t="s">
        <v>1053</v>
      </c>
      <c r="E1452" s="3915"/>
      <c r="F1452" s="3915"/>
      <c r="G1452" s="3915"/>
      <c r="H1452" s="3915"/>
      <c r="I1452" s="3915"/>
      <c r="J1452" s="232"/>
      <c r="K1452" s="232"/>
      <c r="L1452" s="232"/>
      <c r="N1452" s="212">
        <f t="shared" si="26"/>
        <v>1074</v>
      </c>
    </row>
    <row r="1453" spans="1:14" ht="12" customHeight="1">
      <c r="A1453" s="3906"/>
      <c r="C1453" s="231"/>
      <c r="D1453" s="3914" t="s">
        <v>1052</v>
      </c>
      <c r="E1453" s="3915"/>
      <c r="F1453" s="3915"/>
      <c r="G1453" s="3915"/>
      <c r="H1453" s="3915"/>
      <c r="I1453" s="3915"/>
      <c r="J1453" s="232"/>
      <c r="K1453" s="232"/>
      <c r="L1453" s="232"/>
      <c r="N1453" s="212">
        <f t="shared" si="26"/>
        <v>1075</v>
      </c>
    </row>
    <row r="1454" spans="1:14" ht="12" customHeight="1">
      <c r="A1454" s="3906"/>
      <c r="C1454" s="231"/>
      <c r="D1454" s="3914"/>
      <c r="E1454" s="3915"/>
      <c r="F1454" s="3915"/>
      <c r="G1454" s="3915"/>
      <c r="H1454" s="3915"/>
      <c r="I1454" s="3915"/>
      <c r="J1454" s="232"/>
      <c r="K1454" s="232"/>
      <c r="L1454" s="232"/>
      <c r="N1454" s="212">
        <f t="shared" si="26"/>
        <v>1075</v>
      </c>
    </row>
    <row r="1455" spans="1:14" ht="12" customHeight="1">
      <c r="A1455" s="3906"/>
      <c r="C1455" s="231"/>
      <c r="D1455" s="3914" t="s">
        <v>805</v>
      </c>
      <c r="E1455" s="3915"/>
      <c r="F1455" s="3915"/>
      <c r="G1455" s="3915"/>
      <c r="H1455" s="3915"/>
      <c r="I1455" s="3915"/>
      <c r="J1455" s="232"/>
      <c r="K1455" s="232"/>
      <c r="L1455" s="232"/>
      <c r="N1455" s="212">
        <f t="shared" si="26"/>
        <v>1076</v>
      </c>
    </row>
    <row r="1456" spans="1:14" ht="12" customHeight="1">
      <c r="A1456" s="3906"/>
      <c r="C1456" s="231"/>
      <c r="D1456" s="3914" t="s">
        <v>806</v>
      </c>
      <c r="E1456" s="3915"/>
      <c r="F1456" s="3915"/>
      <c r="G1456" s="3915"/>
      <c r="H1456" s="3915"/>
      <c r="I1456" s="3915"/>
      <c r="J1456" s="232"/>
      <c r="K1456" s="232"/>
      <c r="L1456" s="232"/>
      <c r="N1456" s="212">
        <f t="shared" si="26"/>
        <v>1077</v>
      </c>
    </row>
    <row r="1457" spans="1:14" ht="12" customHeight="1">
      <c r="A1457" s="3906"/>
      <c r="C1457" s="231"/>
      <c r="D1457" s="3904"/>
      <c r="E1457" s="3905"/>
      <c r="F1457" s="3905"/>
      <c r="G1457" s="3905"/>
      <c r="H1457" s="3905"/>
      <c r="I1457" s="3905"/>
      <c r="J1457" s="232"/>
      <c r="K1457" s="232"/>
      <c r="L1457" s="232"/>
      <c r="N1457" s="212">
        <f t="shared" si="26"/>
        <v>1077</v>
      </c>
    </row>
    <row r="1458" spans="1:14" ht="12" customHeight="1">
      <c r="A1458" s="3906"/>
      <c r="C1458" s="231"/>
      <c r="D1458" s="3916" t="s">
        <v>2219</v>
      </c>
      <c r="E1458" s="3917"/>
      <c r="F1458" s="3917"/>
      <c r="G1458" s="3917"/>
      <c r="H1458" s="3917"/>
      <c r="I1458" s="3917"/>
      <c r="J1458" s="232"/>
      <c r="K1458" s="232"/>
      <c r="L1458" s="232"/>
      <c r="N1458" s="212">
        <f t="shared" si="26"/>
        <v>1078</v>
      </c>
    </row>
    <row r="1459" spans="1:14" ht="12" customHeight="1">
      <c r="A1459" s="3906"/>
      <c r="C1459" s="231"/>
      <c r="D1459" s="3916" t="s">
        <v>970</v>
      </c>
      <c r="E1459" s="3917"/>
      <c r="F1459" s="3917"/>
      <c r="G1459" s="3917"/>
      <c r="H1459" s="3917"/>
      <c r="I1459" s="3917"/>
      <c r="J1459" s="232"/>
      <c r="K1459" s="232"/>
      <c r="L1459" s="232"/>
      <c r="N1459" s="212">
        <f t="shared" si="26"/>
        <v>1079</v>
      </c>
    </row>
    <row r="1460" spans="1:14" ht="12" customHeight="1">
      <c r="A1460" s="3906"/>
      <c r="C1460" s="231"/>
      <c r="D1460" s="3904"/>
      <c r="E1460" s="3905"/>
      <c r="F1460" s="3905"/>
      <c r="G1460" s="3905"/>
      <c r="H1460" s="3905"/>
      <c r="I1460" s="3905"/>
      <c r="J1460" s="232"/>
      <c r="K1460" s="232"/>
      <c r="L1460" s="232"/>
      <c r="N1460" s="212">
        <f t="shared" si="26"/>
        <v>1079</v>
      </c>
    </row>
    <row r="1461" spans="1:14" ht="12" customHeight="1">
      <c r="A1461" s="3906"/>
      <c r="C1461" s="231"/>
      <c r="D1461" s="3916" t="s">
        <v>971</v>
      </c>
      <c r="E1461" s="3917"/>
      <c r="F1461" s="3917"/>
      <c r="G1461" s="3917"/>
      <c r="H1461" s="3917"/>
      <c r="I1461" s="3917"/>
      <c r="J1461" s="232"/>
      <c r="K1461" s="232"/>
      <c r="L1461" s="232"/>
      <c r="N1461" s="212">
        <f t="shared" si="26"/>
        <v>1080</v>
      </c>
    </row>
    <row r="1462" spans="1:14" ht="12" customHeight="1">
      <c r="A1462" s="3906"/>
      <c r="C1462" s="231"/>
      <c r="D1462" s="3904"/>
      <c r="E1462" s="3905"/>
      <c r="F1462" s="3905"/>
      <c r="G1462" s="3905"/>
      <c r="H1462" s="3905"/>
      <c r="I1462" s="3905"/>
      <c r="J1462" s="232"/>
      <c r="K1462" s="232"/>
      <c r="L1462" s="232"/>
      <c r="N1462" s="212">
        <f t="shared" si="26"/>
        <v>1080</v>
      </c>
    </row>
    <row r="1463" spans="1:14" ht="12" customHeight="1">
      <c r="A1463" s="3906"/>
      <c r="C1463" s="231"/>
      <c r="D1463" s="3917" t="s">
        <v>2218</v>
      </c>
      <c r="E1463" s="3917"/>
      <c r="F1463" s="3917"/>
      <c r="G1463" s="3917"/>
      <c r="H1463" s="3917"/>
      <c r="I1463" s="3917"/>
      <c r="J1463" s="232"/>
      <c r="K1463" s="232"/>
      <c r="L1463" s="232"/>
      <c r="N1463" s="212">
        <f t="shared" si="26"/>
        <v>1081</v>
      </c>
    </row>
    <row r="1464" spans="1:14" ht="12" customHeight="1">
      <c r="C1464" s="231"/>
      <c r="D1464" s="3916" t="s">
        <v>807</v>
      </c>
      <c r="E1464" s="3917"/>
      <c r="F1464" s="3917"/>
      <c r="G1464" s="3917"/>
      <c r="H1464" s="3917"/>
      <c r="I1464" s="3917"/>
      <c r="J1464" s="232"/>
      <c r="K1464" s="232"/>
      <c r="L1464" s="232"/>
      <c r="N1464" s="212">
        <f t="shared" si="26"/>
        <v>1082</v>
      </c>
    </row>
    <row r="1465" spans="1:14" ht="12" customHeight="1">
      <c r="C1465" s="231"/>
      <c r="D1465" s="3904" t="s">
        <v>2193</v>
      </c>
      <c r="E1465" s="3905"/>
      <c r="F1465" s="3905"/>
      <c r="G1465" s="3905"/>
      <c r="H1465" s="3905"/>
      <c r="I1465" s="3905"/>
      <c r="J1465" s="232"/>
      <c r="K1465" s="232"/>
      <c r="L1465" s="232"/>
      <c r="N1465" s="212">
        <f t="shared" si="26"/>
        <v>1083</v>
      </c>
    </row>
    <row r="1466" spans="1:14" ht="12" customHeight="1">
      <c r="C1466" s="231"/>
      <c r="D1466" s="3904"/>
      <c r="E1466" s="3905"/>
      <c r="F1466" s="3905"/>
      <c r="G1466" s="3905"/>
      <c r="H1466" s="3905"/>
      <c r="I1466" s="3905"/>
      <c r="J1466" s="232"/>
      <c r="K1466" s="232"/>
      <c r="L1466" s="232"/>
      <c r="N1466" s="212">
        <f t="shared" si="26"/>
        <v>1083</v>
      </c>
    </row>
    <row r="1467" spans="1:14" ht="12" customHeight="1">
      <c r="C1467" s="231"/>
      <c r="D1467" s="3918" t="s">
        <v>1059</v>
      </c>
      <c r="E1467" s="3919"/>
      <c r="F1467" s="3919"/>
      <c r="G1467" s="3919"/>
      <c r="H1467" s="3919"/>
      <c r="I1467" s="3919"/>
      <c r="J1467" s="232"/>
      <c r="K1467" s="232"/>
      <c r="L1467" s="232"/>
      <c r="N1467" s="212">
        <f t="shared" si="26"/>
        <v>1084</v>
      </c>
    </row>
    <row r="1468" spans="1:14" ht="12" customHeight="1">
      <c r="C1468" s="231"/>
      <c r="D1468" s="3902" t="s">
        <v>2298</v>
      </c>
      <c r="E1468" s="3903"/>
      <c r="F1468" s="3903"/>
      <c r="G1468" s="3903"/>
      <c r="H1468" s="3903"/>
      <c r="I1468" s="3903"/>
      <c r="J1468" s="232"/>
      <c r="K1468" s="232"/>
      <c r="L1468" s="232"/>
      <c r="N1468" s="212">
        <f t="shared" si="26"/>
        <v>1085</v>
      </c>
    </row>
    <row r="1469" spans="1:14" ht="12" customHeight="1">
      <c r="C1469" s="231"/>
      <c r="D1469" s="3902" t="s">
        <v>1060</v>
      </c>
      <c r="E1469" s="3903"/>
      <c r="F1469" s="3903"/>
      <c r="G1469" s="3903"/>
      <c r="H1469" s="3903"/>
      <c r="I1469" s="3903"/>
      <c r="J1469" s="232"/>
      <c r="K1469" s="232"/>
      <c r="L1469" s="232"/>
      <c r="N1469" s="212">
        <f t="shared" si="26"/>
        <v>1086</v>
      </c>
    </row>
    <row r="1470" spans="1:14" ht="12" customHeight="1">
      <c r="C1470" s="231"/>
      <c r="D1470" s="3902" t="s">
        <v>1060</v>
      </c>
      <c r="E1470" s="3903"/>
      <c r="F1470" s="3903"/>
      <c r="G1470" s="3903"/>
      <c r="H1470" s="3903"/>
      <c r="I1470" s="3903"/>
      <c r="J1470" s="232"/>
      <c r="K1470" s="232"/>
      <c r="L1470" s="232"/>
      <c r="N1470" s="212">
        <f t="shared" si="26"/>
        <v>1087</v>
      </c>
    </row>
    <row r="1471" spans="1:14" ht="12" customHeight="1">
      <c r="C1471" s="231"/>
      <c r="D1471" s="3902" t="s">
        <v>1061</v>
      </c>
      <c r="E1471" s="3903"/>
      <c r="F1471" s="3903"/>
      <c r="G1471" s="3903"/>
      <c r="H1471" s="3903"/>
      <c r="I1471" s="3903"/>
      <c r="J1471" s="232"/>
      <c r="K1471" s="232"/>
      <c r="L1471" s="232"/>
      <c r="N1471" s="212">
        <f t="shared" si="26"/>
        <v>1088</v>
      </c>
    </row>
    <row r="1472" spans="1:14" ht="12" customHeight="1">
      <c r="C1472" s="231"/>
      <c r="D1472" s="3902" t="s">
        <v>1060</v>
      </c>
      <c r="E1472" s="3903"/>
      <c r="F1472" s="3903"/>
      <c r="G1472" s="3903"/>
      <c r="H1472" s="3903"/>
      <c r="I1472" s="3903"/>
      <c r="J1472" s="232"/>
      <c r="K1472" s="232"/>
      <c r="L1472" s="232"/>
      <c r="N1472" s="212">
        <f t="shared" si="26"/>
        <v>1089</v>
      </c>
    </row>
    <row r="1473" spans="3:14" ht="12" customHeight="1">
      <c r="C1473" s="231"/>
      <c r="D1473" s="3902" t="s">
        <v>1060</v>
      </c>
      <c r="E1473" s="3903"/>
      <c r="F1473" s="3903"/>
      <c r="G1473" s="3903"/>
      <c r="H1473" s="3903"/>
      <c r="I1473" s="3903"/>
      <c r="J1473" s="232"/>
      <c r="K1473" s="232"/>
      <c r="L1473" s="232"/>
      <c r="N1473" s="212">
        <f t="shared" si="26"/>
        <v>1090</v>
      </c>
    </row>
    <row r="1474" spans="3:14" ht="12" customHeight="1">
      <c r="C1474" s="231"/>
      <c r="D1474" s="3902" t="s">
        <v>2196</v>
      </c>
      <c r="E1474" s="3903"/>
      <c r="F1474" s="3903"/>
      <c r="G1474" s="3903"/>
      <c r="H1474" s="3903"/>
      <c r="I1474" s="3903"/>
      <c r="J1474" s="232"/>
      <c r="K1474" s="232"/>
      <c r="L1474" s="232"/>
      <c r="N1474" s="212">
        <f t="shared" si="26"/>
        <v>1091</v>
      </c>
    </row>
    <row r="1475" spans="3:14" ht="12" customHeight="1">
      <c r="C1475" s="231"/>
      <c r="D1475" s="3902" t="s">
        <v>1062</v>
      </c>
      <c r="E1475" s="3903"/>
      <c r="F1475" s="3903"/>
      <c r="G1475" s="3903"/>
      <c r="H1475" s="3903"/>
      <c r="I1475" s="3903"/>
      <c r="J1475" s="232"/>
      <c r="K1475" s="232"/>
      <c r="L1475" s="232"/>
      <c r="N1475" s="212">
        <f t="shared" si="26"/>
        <v>1092</v>
      </c>
    </row>
    <row r="1476" spans="3:14" ht="12" customHeight="1">
      <c r="C1476" s="231"/>
      <c r="D1476" s="3902" t="s">
        <v>1062</v>
      </c>
      <c r="E1476" s="3903"/>
      <c r="F1476" s="3903"/>
      <c r="G1476" s="3903"/>
      <c r="H1476" s="3903"/>
      <c r="I1476" s="3903"/>
      <c r="J1476" s="232"/>
      <c r="K1476" s="232"/>
      <c r="L1476" s="232"/>
      <c r="N1476" s="212">
        <f t="shared" si="26"/>
        <v>1093</v>
      </c>
    </row>
    <row r="1477" spans="3:14" ht="12" customHeight="1">
      <c r="C1477" s="231"/>
      <c r="D1477" s="3902" t="s">
        <v>2195</v>
      </c>
      <c r="E1477" s="3903"/>
      <c r="F1477" s="3903"/>
      <c r="G1477" s="3903"/>
      <c r="H1477" s="3903"/>
      <c r="I1477" s="3903"/>
      <c r="J1477" s="232"/>
      <c r="K1477" s="232"/>
      <c r="L1477" s="232"/>
      <c r="N1477" s="212">
        <f t="shared" si="26"/>
        <v>1094</v>
      </c>
    </row>
    <row r="1478" spans="3:14" ht="12" customHeight="1">
      <c r="C1478" s="231"/>
      <c r="D1478" s="3902" t="s">
        <v>1062</v>
      </c>
      <c r="E1478" s="3903"/>
      <c r="F1478" s="3903"/>
      <c r="G1478" s="3903"/>
      <c r="H1478" s="3903"/>
      <c r="I1478" s="3903"/>
      <c r="J1478" s="232"/>
      <c r="K1478" s="232"/>
      <c r="L1478" s="232"/>
      <c r="N1478" s="212">
        <f t="shared" si="26"/>
        <v>1095</v>
      </c>
    </row>
    <row r="1479" spans="3:14" ht="12" customHeight="1">
      <c r="C1479" s="231"/>
      <c r="D1479" s="3902" t="s">
        <v>1062</v>
      </c>
      <c r="E1479" s="3903"/>
      <c r="F1479" s="3903"/>
      <c r="G1479" s="3903"/>
      <c r="H1479" s="3903"/>
      <c r="I1479" s="3903"/>
      <c r="J1479" s="232"/>
      <c r="K1479" s="232"/>
      <c r="L1479" s="232"/>
      <c r="N1479" s="212">
        <f t="shared" ref="N1479:N1545" si="27">IF(D1479="",N1478,N1478+1)</f>
        <v>1096</v>
      </c>
    </row>
    <row r="1480" spans="3:14" ht="12" customHeight="1">
      <c r="C1480" s="231"/>
      <c r="D1480" s="3902" t="s">
        <v>2194</v>
      </c>
      <c r="E1480" s="3903"/>
      <c r="F1480" s="3903"/>
      <c r="G1480" s="3903"/>
      <c r="H1480" s="3903"/>
      <c r="I1480" s="3903"/>
      <c r="J1480" s="232"/>
      <c r="K1480" s="232"/>
      <c r="L1480" s="232"/>
      <c r="N1480" s="212">
        <f t="shared" si="27"/>
        <v>1097</v>
      </c>
    </row>
    <row r="1481" spans="3:14" ht="12" customHeight="1">
      <c r="C1481" s="231"/>
      <c r="D1481" s="3914" t="s">
        <v>967</v>
      </c>
      <c r="E1481" s="3915"/>
      <c r="F1481" s="3915"/>
      <c r="G1481" s="3915"/>
      <c r="H1481" s="3915"/>
      <c r="I1481" s="3915"/>
      <c r="J1481" s="232"/>
      <c r="K1481" s="232"/>
      <c r="L1481" s="232"/>
      <c r="N1481" s="212">
        <f t="shared" si="27"/>
        <v>1098</v>
      </c>
    </row>
    <row r="1482" spans="3:14" ht="12" customHeight="1">
      <c r="C1482" s="231"/>
      <c r="D1482" s="3904"/>
      <c r="E1482" s="3905"/>
      <c r="F1482" s="3905"/>
      <c r="G1482" s="3905"/>
      <c r="H1482" s="3905"/>
      <c r="I1482" s="3905"/>
      <c r="J1482" s="232"/>
      <c r="K1482" s="232"/>
      <c r="L1482" s="232"/>
      <c r="N1482" s="212">
        <f t="shared" si="27"/>
        <v>1098</v>
      </c>
    </row>
    <row r="1483" spans="3:14" ht="12" customHeight="1">
      <c r="C1483" s="231"/>
      <c r="D1483" s="3948" t="s">
        <v>2199</v>
      </c>
      <c r="E1483" s="3949"/>
      <c r="F1483" s="3949"/>
      <c r="G1483" s="3949"/>
      <c r="H1483" s="3949"/>
      <c r="I1483" s="3949"/>
      <c r="J1483" s="232"/>
      <c r="K1483" s="232"/>
      <c r="L1483" s="232"/>
      <c r="M1483" s="193"/>
      <c r="N1483" s="212">
        <f t="shared" si="27"/>
        <v>1099</v>
      </c>
    </row>
    <row r="1484" spans="3:14" ht="12" customHeight="1">
      <c r="C1484" s="231"/>
      <c r="D1484" s="3912" t="s">
        <v>2198</v>
      </c>
      <c r="E1484" s="3913"/>
      <c r="F1484" s="3913"/>
      <c r="G1484" s="3913"/>
      <c r="H1484" s="3913"/>
      <c r="I1484" s="3913"/>
      <c r="J1484" s="232"/>
      <c r="K1484" s="232"/>
      <c r="L1484" s="232"/>
      <c r="M1484" s="193"/>
      <c r="N1484" s="212">
        <f t="shared" si="27"/>
        <v>1100</v>
      </c>
    </row>
    <row r="1485" spans="3:14" ht="12" customHeight="1">
      <c r="C1485" s="231"/>
      <c r="D1485" s="3912" t="s">
        <v>2197</v>
      </c>
      <c r="E1485" s="3913"/>
      <c r="F1485" s="3913"/>
      <c r="G1485" s="3913"/>
      <c r="H1485" s="3913"/>
      <c r="I1485" s="3913"/>
      <c r="J1485" s="232"/>
      <c r="K1485" s="232"/>
      <c r="L1485" s="232"/>
      <c r="M1485" s="193"/>
      <c r="N1485" s="212">
        <f t="shared" si="27"/>
        <v>1101</v>
      </c>
    </row>
    <row r="1486" spans="3:14" ht="12" customHeight="1">
      <c r="C1486" s="231"/>
      <c r="D1486" s="3904"/>
      <c r="E1486" s="3905"/>
      <c r="F1486" s="3905"/>
      <c r="G1486" s="3905"/>
      <c r="H1486" s="3905"/>
      <c r="I1486" s="3905"/>
      <c r="J1486" s="232"/>
      <c r="K1486" s="232"/>
      <c r="L1486" s="232"/>
      <c r="N1486" s="212">
        <f t="shared" si="27"/>
        <v>1101</v>
      </c>
    </row>
    <row r="1487" spans="3:14" ht="12" customHeight="1">
      <c r="C1487" s="231"/>
      <c r="D1487" s="3912" t="s">
        <v>2200</v>
      </c>
      <c r="E1487" s="3913"/>
      <c r="F1487" s="3913"/>
      <c r="G1487" s="3913"/>
      <c r="H1487" s="3913"/>
      <c r="I1487" s="3913"/>
      <c r="J1487" s="232"/>
      <c r="K1487" s="232"/>
      <c r="L1487" s="232"/>
      <c r="N1487" s="212">
        <f t="shared" si="27"/>
        <v>1102</v>
      </c>
    </row>
    <row r="1488" spans="3:14" ht="12" customHeight="1">
      <c r="C1488" s="231"/>
      <c r="D1488" s="3912" t="s">
        <v>2201</v>
      </c>
      <c r="E1488" s="3913"/>
      <c r="F1488" s="3913"/>
      <c r="G1488" s="3913"/>
      <c r="H1488" s="3913"/>
      <c r="I1488" s="3913"/>
      <c r="J1488" s="232"/>
      <c r="K1488" s="232"/>
      <c r="L1488" s="232"/>
      <c r="N1488" s="212">
        <f t="shared" si="27"/>
        <v>1103</v>
      </c>
    </row>
    <row r="1489" spans="3:14" ht="12" customHeight="1">
      <c r="C1489" s="231"/>
      <c r="D1489" s="3912" t="s">
        <v>2202</v>
      </c>
      <c r="E1489" s="3913"/>
      <c r="F1489" s="3913"/>
      <c r="G1489" s="3913"/>
      <c r="H1489" s="3913"/>
      <c r="I1489" s="3913"/>
      <c r="J1489" s="232"/>
      <c r="K1489" s="232"/>
      <c r="L1489" s="232"/>
      <c r="N1489" s="212">
        <f t="shared" si="27"/>
        <v>1104</v>
      </c>
    </row>
    <row r="1490" spans="3:14" ht="12" customHeight="1">
      <c r="C1490" s="231"/>
      <c r="D1490" s="3912" t="s">
        <v>2203</v>
      </c>
      <c r="E1490" s="3913"/>
      <c r="F1490" s="3913"/>
      <c r="G1490" s="3913"/>
      <c r="H1490" s="3913"/>
      <c r="I1490" s="3913"/>
      <c r="J1490" s="232"/>
      <c r="K1490" s="232"/>
      <c r="L1490" s="232"/>
      <c r="N1490" s="212">
        <f t="shared" si="27"/>
        <v>1105</v>
      </c>
    </row>
    <row r="1491" spans="3:14" ht="12" customHeight="1">
      <c r="C1491" s="231"/>
      <c r="D1491" s="786"/>
      <c r="E1491" s="787"/>
      <c r="F1491" s="1716"/>
      <c r="G1491" s="787"/>
      <c r="H1491" s="787"/>
      <c r="I1491" s="787"/>
      <c r="J1491" s="232"/>
      <c r="K1491" s="232"/>
      <c r="L1491" s="232"/>
      <c r="N1491" s="212">
        <f t="shared" si="27"/>
        <v>1105</v>
      </c>
    </row>
    <row r="1492" spans="3:14" ht="12" customHeight="1">
      <c r="C1492" s="231"/>
      <c r="D1492" s="3912" t="s">
        <v>2220</v>
      </c>
      <c r="E1492" s="3913"/>
      <c r="F1492" s="3913"/>
      <c r="G1492" s="3913"/>
      <c r="H1492" s="3913"/>
      <c r="I1492" s="3913"/>
      <c r="J1492" s="232"/>
      <c r="K1492" s="232"/>
      <c r="L1492" s="232"/>
      <c r="N1492" s="212">
        <f t="shared" si="27"/>
        <v>1106</v>
      </c>
    </row>
    <row r="1493" spans="3:14" ht="12" customHeight="1">
      <c r="C1493" s="231"/>
      <c r="D1493" s="3904"/>
      <c r="E1493" s="3905"/>
      <c r="F1493" s="3905"/>
      <c r="G1493" s="3905"/>
      <c r="H1493" s="3905"/>
      <c r="I1493" s="3905"/>
      <c r="J1493" s="232"/>
      <c r="K1493" s="232"/>
      <c r="L1493" s="232"/>
      <c r="N1493" s="212">
        <f>IF(D1493="",N1490,N1490+1)</f>
        <v>1105</v>
      </c>
    </row>
    <row r="1494" spans="3:14" ht="12" customHeight="1">
      <c r="C1494" s="231"/>
      <c r="D1494" s="3912" t="s">
        <v>2204</v>
      </c>
      <c r="E1494" s="3913"/>
      <c r="F1494" s="3913"/>
      <c r="G1494" s="3913"/>
      <c r="H1494" s="3913"/>
      <c r="I1494" s="3913"/>
      <c r="J1494" s="232"/>
      <c r="K1494" s="232"/>
      <c r="L1494" s="232"/>
      <c r="N1494" s="212">
        <f>IF(D1494="",N1493,N1493+1)</f>
        <v>1106</v>
      </c>
    </row>
    <row r="1495" spans="3:14" ht="12" customHeight="1">
      <c r="C1495" s="231"/>
      <c r="D1495" s="3912" t="s">
        <v>2205</v>
      </c>
      <c r="E1495" s="3913"/>
      <c r="F1495" s="3913"/>
      <c r="G1495" s="3913"/>
      <c r="H1495" s="3913"/>
      <c r="I1495" s="3913"/>
      <c r="J1495" s="232"/>
      <c r="K1495" s="232"/>
      <c r="L1495" s="232"/>
      <c r="N1495" s="212">
        <f t="shared" si="27"/>
        <v>1107</v>
      </c>
    </row>
    <row r="1496" spans="3:14" ht="12" customHeight="1">
      <c r="C1496" s="231"/>
      <c r="D1496" s="3912" t="s">
        <v>2206</v>
      </c>
      <c r="E1496" s="3913"/>
      <c r="F1496" s="3913"/>
      <c r="G1496" s="3913"/>
      <c r="H1496" s="3913"/>
      <c r="I1496" s="3913"/>
      <c r="J1496" s="232"/>
      <c r="K1496" s="232"/>
      <c r="L1496" s="232"/>
      <c r="N1496" s="212">
        <f t="shared" si="27"/>
        <v>1108</v>
      </c>
    </row>
    <row r="1497" spans="3:14" ht="12" customHeight="1">
      <c r="C1497" s="231"/>
      <c r="D1497" s="3912" t="s">
        <v>2207</v>
      </c>
      <c r="E1497" s="3913"/>
      <c r="F1497" s="3913"/>
      <c r="G1497" s="3913"/>
      <c r="H1497" s="3913"/>
      <c r="I1497" s="3913"/>
      <c r="J1497" s="232"/>
      <c r="K1497" s="232"/>
      <c r="L1497" s="232"/>
      <c r="N1497" s="212">
        <f t="shared" si="27"/>
        <v>1109</v>
      </c>
    </row>
    <row r="1498" spans="3:14" ht="12" customHeight="1">
      <c r="C1498" s="231"/>
      <c r="D1498" s="3912" t="s">
        <v>2208</v>
      </c>
      <c r="E1498" s="3913"/>
      <c r="F1498" s="3913"/>
      <c r="G1498" s="3913"/>
      <c r="H1498" s="3913"/>
      <c r="I1498" s="3913"/>
      <c r="J1498" s="232"/>
      <c r="K1498" s="232"/>
      <c r="L1498" s="232"/>
      <c r="N1498" s="212">
        <f t="shared" si="27"/>
        <v>1110</v>
      </c>
    </row>
    <row r="1499" spans="3:14" ht="12" customHeight="1">
      <c r="C1499" s="231"/>
      <c r="D1499" s="3912" t="s">
        <v>2209</v>
      </c>
      <c r="E1499" s="3913"/>
      <c r="F1499" s="3913"/>
      <c r="G1499" s="3913"/>
      <c r="H1499" s="3913"/>
      <c r="I1499" s="3913"/>
      <c r="J1499" s="232"/>
      <c r="K1499" s="232"/>
      <c r="L1499" s="232"/>
      <c r="N1499" s="212">
        <f t="shared" si="27"/>
        <v>1111</v>
      </c>
    </row>
    <row r="1500" spans="3:14" ht="12" customHeight="1">
      <c r="C1500" s="231"/>
      <c r="D1500" s="3912" t="s">
        <v>2210</v>
      </c>
      <c r="E1500" s="3913"/>
      <c r="F1500" s="3913"/>
      <c r="G1500" s="3913"/>
      <c r="H1500" s="3913"/>
      <c r="I1500" s="3913"/>
      <c r="J1500" s="232"/>
      <c r="K1500" s="232"/>
      <c r="L1500" s="232"/>
      <c r="N1500" s="212">
        <f t="shared" si="27"/>
        <v>1112</v>
      </c>
    </row>
    <row r="1501" spans="3:14" ht="12" customHeight="1">
      <c r="C1501" s="231"/>
      <c r="D1501" s="3912" t="s">
        <v>2211</v>
      </c>
      <c r="E1501" s="3913"/>
      <c r="F1501" s="3913"/>
      <c r="G1501" s="3913"/>
      <c r="H1501" s="3913"/>
      <c r="I1501" s="3913"/>
      <c r="J1501" s="232"/>
      <c r="K1501" s="232"/>
      <c r="L1501" s="232"/>
      <c r="N1501" s="212">
        <f t="shared" si="27"/>
        <v>1113</v>
      </c>
    </row>
    <row r="1502" spans="3:14" ht="12" customHeight="1">
      <c r="C1502" s="231"/>
      <c r="D1502" s="3904"/>
      <c r="E1502" s="3905"/>
      <c r="F1502" s="3905"/>
      <c r="G1502" s="3905"/>
      <c r="H1502" s="3905"/>
      <c r="I1502" s="3905"/>
      <c r="J1502" s="232"/>
      <c r="K1502" s="232"/>
      <c r="L1502" s="232"/>
      <c r="N1502" s="212">
        <f t="shared" si="27"/>
        <v>1113</v>
      </c>
    </row>
    <row r="1503" spans="3:14" ht="12" customHeight="1">
      <c r="C1503" s="231"/>
      <c r="D1503" s="3912" t="s">
        <v>2212</v>
      </c>
      <c r="E1503" s="3913"/>
      <c r="F1503" s="3913"/>
      <c r="G1503" s="3913"/>
      <c r="H1503" s="3913"/>
      <c r="I1503" s="3913"/>
      <c r="J1503" s="232"/>
      <c r="K1503" s="232"/>
      <c r="L1503" s="232"/>
      <c r="N1503" s="212">
        <f t="shared" si="27"/>
        <v>1114</v>
      </c>
    </row>
    <row r="1504" spans="3:14" ht="12" customHeight="1">
      <c r="C1504" s="231"/>
      <c r="D1504" s="3912" t="s">
        <v>2213</v>
      </c>
      <c r="E1504" s="3913"/>
      <c r="F1504" s="3913"/>
      <c r="G1504" s="3913"/>
      <c r="H1504" s="3913"/>
      <c r="I1504" s="3913"/>
      <c r="J1504" s="232"/>
      <c r="K1504" s="232"/>
      <c r="L1504" s="232"/>
      <c r="N1504" s="212">
        <f t="shared" si="27"/>
        <v>1115</v>
      </c>
    </row>
    <row r="1505" spans="3:14" ht="12" customHeight="1">
      <c r="C1505" s="231"/>
      <c r="D1505" s="3904"/>
      <c r="E1505" s="3905"/>
      <c r="F1505" s="3905"/>
      <c r="G1505" s="3905"/>
      <c r="H1505" s="3905"/>
      <c r="I1505" s="3905"/>
      <c r="J1505" s="232"/>
      <c r="K1505" s="232"/>
      <c r="L1505" s="232"/>
      <c r="N1505" s="212">
        <f t="shared" si="27"/>
        <v>1115</v>
      </c>
    </row>
    <row r="1506" spans="3:14" ht="12" customHeight="1">
      <c r="C1506" s="231"/>
      <c r="D1506" s="3912" t="s">
        <v>2214</v>
      </c>
      <c r="E1506" s="3913"/>
      <c r="F1506" s="3913"/>
      <c r="G1506" s="3913"/>
      <c r="H1506" s="3913"/>
      <c r="I1506" s="3913"/>
      <c r="J1506" s="232"/>
      <c r="K1506" s="232"/>
      <c r="L1506" s="232"/>
      <c r="N1506" s="212">
        <f t="shared" si="27"/>
        <v>1116</v>
      </c>
    </row>
    <row r="1507" spans="3:14" ht="12" customHeight="1">
      <c r="C1507" s="231"/>
      <c r="D1507" s="3912" t="s">
        <v>2215</v>
      </c>
      <c r="E1507" s="3913"/>
      <c r="F1507" s="3913"/>
      <c r="G1507" s="3913"/>
      <c r="H1507" s="3913"/>
      <c r="I1507" s="3913"/>
      <c r="J1507" s="232"/>
      <c r="K1507" s="232"/>
      <c r="L1507" s="232"/>
      <c r="N1507" s="212">
        <f t="shared" si="27"/>
        <v>1117</v>
      </c>
    </row>
    <row r="1508" spans="3:14" ht="12" customHeight="1">
      <c r="C1508" s="231"/>
      <c r="D1508" s="3904"/>
      <c r="E1508" s="3905"/>
      <c r="F1508" s="3905"/>
      <c r="G1508" s="3905"/>
      <c r="H1508" s="3905"/>
      <c r="I1508" s="3905"/>
      <c r="J1508" s="232"/>
      <c r="K1508" s="232"/>
      <c r="L1508" s="232"/>
      <c r="N1508" s="212">
        <f t="shared" si="27"/>
        <v>1117</v>
      </c>
    </row>
    <row r="1509" spans="3:14" ht="12" customHeight="1">
      <c r="C1509" s="231"/>
      <c r="D1509" s="3901" t="s">
        <v>1665</v>
      </c>
      <c r="E1509" s="3901"/>
      <c r="F1509" s="3901"/>
      <c r="G1509" s="3901"/>
      <c r="H1509" s="3901"/>
      <c r="I1509" s="3901"/>
      <c r="J1509" s="232"/>
      <c r="K1509" s="232"/>
      <c r="L1509" s="232"/>
      <c r="N1509" s="212">
        <f t="shared" si="27"/>
        <v>1118</v>
      </c>
    </row>
    <row r="1510" spans="3:14" ht="12" customHeight="1">
      <c r="C1510" s="231"/>
      <c r="D1510" s="3901" t="s">
        <v>1666</v>
      </c>
      <c r="E1510" s="3901"/>
      <c r="F1510" s="3901"/>
      <c r="G1510" s="3901"/>
      <c r="H1510" s="3901"/>
      <c r="I1510" s="3901"/>
      <c r="J1510" s="232"/>
      <c r="K1510" s="232"/>
      <c r="L1510" s="232"/>
      <c r="N1510" s="212">
        <f t="shared" si="27"/>
        <v>1119</v>
      </c>
    </row>
    <row r="1511" spans="3:14" ht="12" customHeight="1">
      <c r="C1511" s="231"/>
      <c r="D1511" s="3900" t="s">
        <v>1667</v>
      </c>
      <c r="E1511" s="3901"/>
      <c r="F1511" s="3901"/>
      <c r="G1511" s="3901"/>
      <c r="H1511" s="3901"/>
      <c r="I1511" s="3901"/>
      <c r="J1511" s="232"/>
      <c r="K1511" s="232"/>
      <c r="L1511" s="232"/>
      <c r="N1511" s="212">
        <f t="shared" si="27"/>
        <v>1120</v>
      </c>
    </row>
    <row r="1512" spans="3:14" ht="12" customHeight="1">
      <c r="C1512" s="231"/>
      <c r="D1512" s="3900" t="s">
        <v>2216</v>
      </c>
      <c r="E1512" s="3901"/>
      <c r="F1512" s="3901"/>
      <c r="G1512" s="3901"/>
      <c r="H1512" s="3901"/>
      <c r="I1512" s="3901"/>
      <c r="J1512" s="232"/>
      <c r="K1512" s="232"/>
      <c r="L1512" s="232"/>
      <c r="N1512" s="212">
        <f t="shared" si="27"/>
        <v>1121</v>
      </c>
    </row>
    <row r="1513" spans="3:14" ht="12" customHeight="1">
      <c r="C1513" s="231"/>
      <c r="D1513" s="3900" t="s">
        <v>2217</v>
      </c>
      <c r="E1513" s="3901"/>
      <c r="F1513" s="3901"/>
      <c r="G1513" s="3901"/>
      <c r="H1513" s="3901"/>
      <c r="I1513" s="3901"/>
      <c r="J1513" s="232"/>
      <c r="K1513" s="232"/>
      <c r="L1513" s="232"/>
      <c r="N1513" s="212">
        <f t="shared" si="27"/>
        <v>1122</v>
      </c>
    </row>
    <row r="1514" spans="3:14" ht="12" customHeight="1">
      <c r="C1514" s="231"/>
      <c r="D1514" s="3900"/>
      <c r="E1514" s="3901"/>
      <c r="F1514" s="3901"/>
      <c r="G1514" s="3901"/>
      <c r="H1514" s="3901"/>
      <c r="I1514" s="3901"/>
      <c r="J1514" s="232"/>
      <c r="K1514" s="232"/>
      <c r="L1514" s="232"/>
      <c r="N1514" s="212">
        <f t="shared" si="27"/>
        <v>1122</v>
      </c>
    </row>
    <row r="1515" spans="3:14" ht="12" customHeight="1">
      <c r="C1515" s="231"/>
      <c r="D1515" s="3901" t="s">
        <v>1670</v>
      </c>
      <c r="E1515" s="3901"/>
      <c r="F1515" s="3901"/>
      <c r="G1515" s="3901"/>
      <c r="H1515" s="3901"/>
      <c r="I1515" s="3901"/>
      <c r="J1515" s="232"/>
      <c r="K1515" s="232"/>
      <c r="L1515" s="232"/>
      <c r="N1515" s="212">
        <f t="shared" si="27"/>
        <v>1123</v>
      </c>
    </row>
    <row r="1516" spans="3:14" ht="12" customHeight="1">
      <c r="C1516" s="231"/>
      <c r="D1516" s="3901" t="s">
        <v>1671</v>
      </c>
      <c r="E1516" s="3901"/>
      <c r="F1516" s="3901"/>
      <c r="G1516" s="3901"/>
      <c r="H1516" s="3901"/>
      <c r="I1516" s="3901"/>
      <c r="J1516" s="232"/>
      <c r="K1516" s="232"/>
      <c r="L1516" s="232"/>
      <c r="N1516" s="212">
        <f t="shared" si="27"/>
        <v>1124</v>
      </c>
    </row>
    <row r="1517" spans="3:14" ht="12" customHeight="1">
      <c r="C1517" s="231"/>
      <c r="D1517" s="3901"/>
      <c r="E1517" s="3901"/>
      <c r="F1517" s="3901"/>
      <c r="G1517" s="3901"/>
      <c r="H1517" s="3901"/>
      <c r="I1517" s="3901"/>
      <c r="J1517" s="232"/>
      <c r="K1517" s="232"/>
      <c r="L1517" s="232"/>
      <c r="N1517" s="212">
        <f t="shared" si="27"/>
        <v>1124</v>
      </c>
    </row>
    <row r="1518" spans="3:14" ht="12" customHeight="1">
      <c r="C1518" s="231"/>
      <c r="D1518" s="3900" t="s">
        <v>1672</v>
      </c>
      <c r="E1518" s="3901"/>
      <c r="F1518" s="3901"/>
      <c r="G1518" s="3901"/>
      <c r="H1518" s="3901"/>
      <c r="I1518" s="3901"/>
      <c r="J1518" s="232"/>
      <c r="K1518" s="232"/>
      <c r="L1518" s="232"/>
      <c r="N1518" s="212">
        <f t="shared" si="27"/>
        <v>1125</v>
      </c>
    </row>
    <row r="1519" spans="3:14" ht="12" customHeight="1">
      <c r="C1519" s="231"/>
      <c r="D1519" s="3900" t="s">
        <v>1673</v>
      </c>
      <c r="E1519" s="3901"/>
      <c r="F1519" s="3901"/>
      <c r="G1519" s="3901"/>
      <c r="H1519" s="3901"/>
      <c r="I1519" s="3901"/>
      <c r="J1519" s="232"/>
      <c r="K1519" s="232"/>
      <c r="L1519" s="232"/>
      <c r="N1519" s="212">
        <f t="shared" si="27"/>
        <v>1126</v>
      </c>
    </row>
    <row r="1520" spans="3:14" ht="12" customHeight="1">
      <c r="C1520" s="231"/>
      <c r="D1520" s="3904"/>
      <c r="E1520" s="3905"/>
      <c r="F1520" s="3905"/>
      <c r="G1520" s="3905"/>
      <c r="H1520" s="3905"/>
      <c r="I1520" s="3905"/>
      <c r="J1520" s="232"/>
      <c r="K1520" s="232"/>
      <c r="L1520" s="232"/>
      <c r="N1520" s="212">
        <f t="shared" si="27"/>
        <v>1126</v>
      </c>
    </row>
    <row r="1521" spans="1:14" ht="12" customHeight="1">
      <c r="C1521" s="231"/>
      <c r="D1521" s="3904"/>
      <c r="E1521" s="3905"/>
      <c r="F1521" s="3905"/>
      <c r="G1521" s="3905"/>
      <c r="H1521" s="3905"/>
      <c r="I1521" s="3905"/>
      <c r="J1521" s="232"/>
      <c r="K1521" s="232"/>
      <c r="L1521" s="232"/>
      <c r="N1521" s="212">
        <f t="shared" si="27"/>
        <v>1126</v>
      </c>
    </row>
    <row r="1522" spans="1:14" ht="12" customHeight="1">
      <c r="C1522" s="231"/>
      <c r="D1522" s="3904"/>
      <c r="E1522" s="3905"/>
      <c r="F1522" s="3905"/>
      <c r="G1522" s="3905"/>
      <c r="H1522" s="3905"/>
      <c r="I1522" s="3905"/>
      <c r="J1522" s="232"/>
      <c r="K1522" s="232"/>
      <c r="L1522" s="232"/>
      <c r="N1522" s="212">
        <f t="shared" si="27"/>
        <v>1126</v>
      </c>
    </row>
    <row r="1523" spans="1:14" ht="12" customHeight="1">
      <c r="C1523" s="231"/>
      <c r="D1523" s="3904"/>
      <c r="E1523" s="3905"/>
      <c r="F1523" s="3905"/>
      <c r="G1523" s="3905"/>
      <c r="H1523" s="3905"/>
      <c r="I1523" s="3905"/>
      <c r="J1523" s="232"/>
      <c r="K1523" s="232"/>
      <c r="L1523" s="232"/>
      <c r="N1523" s="212">
        <f t="shared" si="27"/>
        <v>1126</v>
      </c>
    </row>
    <row r="1524" spans="1:14" ht="12" customHeight="1">
      <c r="C1524" s="231"/>
      <c r="D1524" s="3904"/>
      <c r="E1524" s="3905"/>
      <c r="F1524" s="3905"/>
      <c r="G1524" s="3905"/>
      <c r="H1524" s="3905"/>
      <c r="I1524" s="3905"/>
      <c r="J1524" s="232"/>
      <c r="K1524" s="232"/>
      <c r="L1524" s="232"/>
      <c r="N1524" s="212">
        <f t="shared" si="27"/>
        <v>1126</v>
      </c>
    </row>
    <row r="1525" spans="1:14" ht="12" customHeight="1">
      <c r="C1525" s="231"/>
      <c r="D1525" s="3904"/>
      <c r="E1525" s="3905"/>
      <c r="F1525" s="3905"/>
      <c r="G1525" s="3905"/>
      <c r="H1525" s="3905"/>
      <c r="I1525" s="3905"/>
      <c r="J1525" s="232"/>
      <c r="K1525" s="232"/>
      <c r="L1525" s="232"/>
      <c r="N1525" s="212">
        <f t="shared" si="27"/>
        <v>1126</v>
      </c>
    </row>
    <row r="1526" spans="1:14" ht="12" customHeight="1">
      <c r="C1526" s="231"/>
      <c r="D1526" s="742"/>
      <c r="E1526" s="743"/>
      <c r="F1526" s="1714"/>
      <c r="G1526" s="743"/>
      <c r="H1526" s="743"/>
      <c r="I1526" s="743"/>
      <c r="J1526" s="232"/>
      <c r="K1526" s="232"/>
      <c r="L1526" s="232"/>
      <c r="N1526" s="212">
        <f t="shared" si="27"/>
        <v>1126</v>
      </c>
    </row>
    <row r="1527" spans="1:14" ht="12" customHeight="1">
      <c r="C1527" s="231"/>
      <c r="D1527" s="3904"/>
      <c r="E1527" s="3905"/>
      <c r="F1527" s="3905"/>
      <c r="G1527" s="3905"/>
      <c r="H1527" s="3905"/>
      <c r="I1527" s="3905"/>
      <c r="J1527" s="232"/>
      <c r="K1527" s="232"/>
      <c r="L1527" s="232"/>
      <c r="N1527" s="212">
        <f t="shared" si="27"/>
        <v>1126</v>
      </c>
    </row>
    <row r="1528" spans="1:14" ht="12" customHeight="1">
      <c r="C1528" s="231"/>
      <c r="D1528" s="3904"/>
      <c r="E1528" s="3905"/>
      <c r="F1528" s="3905"/>
      <c r="G1528" s="3905"/>
      <c r="H1528" s="3905"/>
      <c r="I1528" s="3905"/>
      <c r="J1528" s="232"/>
      <c r="K1528" s="232"/>
      <c r="L1528" s="232"/>
      <c r="N1528" s="212">
        <f t="shared" si="27"/>
        <v>1126</v>
      </c>
    </row>
    <row r="1529" spans="1:14" ht="12" customHeight="1">
      <c r="C1529" s="231"/>
      <c r="D1529" s="3904"/>
      <c r="E1529" s="3905"/>
      <c r="F1529" s="3905"/>
      <c r="G1529" s="3905"/>
      <c r="H1529" s="3905"/>
      <c r="I1529" s="3905"/>
      <c r="J1529" s="232"/>
      <c r="K1529" s="232"/>
      <c r="L1529" s="232"/>
      <c r="N1529" s="212">
        <f t="shared" si="27"/>
        <v>1126</v>
      </c>
    </row>
    <row r="1530" spans="1:14" ht="12" customHeight="1">
      <c r="A1530" s="3906"/>
      <c r="C1530" s="231"/>
      <c r="D1530" s="742"/>
      <c r="E1530" s="743"/>
      <c r="F1530" s="1714"/>
      <c r="G1530" s="743"/>
      <c r="H1530" s="743"/>
      <c r="I1530" s="743"/>
      <c r="J1530" s="232"/>
      <c r="K1530" s="232"/>
      <c r="L1530" s="232"/>
      <c r="N1530" s="212">
        <f t="shared" si="27"/>
        <v>1126</v>
      </c>
    </row>
    <row r="1531" spans="1:14" ht="15" customHeight="1" thickBot="1">
      <c r="A1531" s="3906"/>
      <c r="C1531" s="760"/>
      <c r="D1531" s="3947" t="s">
        <v>564</v>
      </c>
      <c r="E1531" s="3947"/>
      <c r="F1531" s="3947"/>
      <c r="G1531" s="3947"/>
      <c r="H1531" s="3947"/>
      <c r="I1531" s="3947"/>
      <c r="J1531" s="232"/>
      <c r="K1531" s="544" t="s">
        <v>576</v>
      </c>
      <c r="L1531" s="232"/>
      <c r="N1531" s="212">
        <f>IF(D1531="",N1529,N1529+1)</f>
        <v>1127</v>
      </c>
    </row>
    <row r="1532" spans="1:14" ht="12" customHeight="1" thickBot="1">
      <c r="A1532" s="3906"/>
      <c r="C1532" s="760"/>
      <c r="D1532" s="748"/>
      <c r="E1532" s="748"/>
      <c r="F1532" s="1721"/>
      <c r="G1532" s="748"/>
      <c r="H1532" s="748"/>
      <c r="I1532" s="748"/>
      <c r="J1532" s="232"/>
      <c r="K1532" s="232"/>
      <c r="L1532" s="232"/>
      <c r="N1532" s="212">
        <f t="shared" si="27"/>
        <v>1127</v>
      </c>
    </row>
    <row r="1533" spans="1:14" ht="12" customHeight="1" thickBot="1">
      <c r="A1533" s="3906"/>
      <c r="C1533" s="760"/>
      <c r="D1533" s="3955" t="s">
        <v>968</v>
      </c>
      <c r="E1533" s="3956"/>
      <c r="F1533" s="3956"/>
      <c r="G1533" s="3956"/>
      <c r="H1533" s="3956"/>
      <c r="I1533" s="3956"/>
      <c r="J1533" s="232"/>
      <c r="K1533" s="1726" t="s">
        <v>551</v>
      </c>
      <c r="L1533" s="232"/>
      <c r="N1533" s="212">
        <f t="shared" si="27"/>
        <v>1128</v>
      </c>
    </row>
    <row r="1534" spans="1:14" ht="12" customHeight="1">
      <c r="A1534" s="3906"/>
      <c r="C1534" s="760"/>
      <c r="D1534" s="3914"/>
      <c r="E1534" s="3915"/>
      <c r="F1534" s="3915"/>
      <c r="G1534" s="3915"/>
      <c r="H1534" s="3915"/>
      <c r="I1534" s="3915"/>
      <c r="J1534" s="232"/>
      <c r="K1534" s="232"/>
      <c r="L1534" s="232"/>
      <c r="N1534" s="212">
        <f t="shared" si="27"/>
        <v>1128</v>
      </c>
    </row>
    <row r="1535" spans="1:14" ht="12" customHeight="1">
      <c r="A1535" s="3906"/>
      <c r="C1535" s="760"/>
      <c r="D1535" s="3914" t="s">
        <v>804</v>
      </c>
      <c r="E1535" s="3915"/>
      <c r="F1535" s="3915"/>
      <c r="G1535" s="3915"/>
      <c r="H1535" s="3915"/>
      <c r="I1535" s="3915"/>
      <c r="J1535" s="232"/>
      <c r="K1535" s="232"/>
      <c r="L1535" s="232"/>
      <c r="N1535" s="212">
        <f t="shared" si="27"/>
        <v>1129</v>
      </c>
    </row>
    <row r="1536" spans="1:14" ht="12" customHeight="1">
      <c r="A1536" s="3906"/>
      <c r="C1536" s="760"/>
      <c r="D1536" s="3914" t="s">
        <v>1058</v>
      </c>
      <c r="E1536" s="3915"/>
      <c r="F1536" s="3915"/>
      <c r="G1536" s="3915"/>
      <c r="H1536" s="3915"/>
      <c r="I1536" s="3915"/>
      <c r="J1536" s="232"/>
      <c r="K1536" s="232"/>
      <c r="L1536" s="232"/>
      <c r="N1536" s="212">
        <f t="shared" si="27"/>
        <v>1130</v>
      </c>
    </row>
    <row r="1537" spans="1:14" ht="12" customHeight="1">
      <c r="A1537" s="3906"/>
      <c r="C1537" s="760"/>
      <c r="D1537" s="3914" t="s">
        <v>1057</v>
      </c>
      <c r="E1537" s="3915"/>
      <c r="F1537" s="3915"/>
      <c r="G1537" s="3915"/>
      <c r="H1537" s="3915"/>
      <c r="I1537" s="3915"/>
      <c r="J1537" s="232"/>
      <c r="K1537" s="232"/>
      <c r="L1537" s="232"/>
      <c r="N1537" s="212">
        <f t="shared" si="27"/>
        <v>1131</v>
      </c>
    </row>
    <row r="1538" spans="1:14" ht="12" customHeight="1">
      <c r="A1538" s="3906"/>
      <c r="C1538" s="760"/>
      <c r="D1538" s="3914" t="s">
        <v>1056</v>
      </c>
      <c r="E1538" s="3915"/>
      <c r="F1538" s="3915"/>
      <c r="G1538" s="3915"/>
      <c r="H1538" s="3915"/>
      <c r="I1538" s="3915"/>
      <c r="J1538" s="232"/>
      <c r="K1538" s="232"/>
      <c r="L1538" s="232"/>
      <c r="N1538" s="212">
        <f t="shared" si="27"/>
        <v>1132</v>
      </c>
    </row>
    <row r="1539" spans="1:14" ht="12" customHeight="1">
      <c r="A1539" s="3906"/>
      <c r="C1539" s="760"/>
      <c r="D1539" s="3914" t="s">
        <v>1055</v>
      </c>
      <c r="E1539" s="3915"/>
      <c r="F1539" s="3915"/>
      <c r="G1539" s="3915"/>
      <c r="H1539" s="3915"/>
      <c r="I1539" s="3915"/>
      <c r="J1539" s="232"/>
      <c r="K1539" s="232"/>
      <c r="L1539" s="232"/>
      <c r="N1539" s="212">
        <f t="shared" si="27"/>
        <v>1133</v>
      </c>
    </row>
    <row r="1540" spans="1:14" ht="12" customHeight="1">
      <c r="A1540" s="3906"/>
      <c r="C1540" s="760"/>
      <c r="D1540" s="3914" t="s">
        <v>1054</v>
      </c>
      <c r="E1540" s="3915"/>
      <c r="F1540" s="3915"/>
      <c r="G1540" s="3915"/>
      <c r="H1540" s="3915"/>
      <c r="I1540" s="3915"/>
      <c r="J1540" s="232"/>
      <c r="K1540" s="232"/>
      <c r="L1540" s="232"/>
      <c r="N1540" s="212">
        <f t="shared" si="27"/>
        <v>1134</v>
      </c>
    </row>
    <row r="1541" spans="1:14" ht="12" customHeight="1">
      <c r="A1541" s="3906"/>
      <c r="C1541" s="760"/>
      <c r="D1541" s="3914" t="s">
        <v>1053</v>
      </c>
      <c r="E1541" s="3915"/>
      <c r="F1541" s="3915"/>
      <c r="G1541" s="3915"/>
      <c r="H1541" s="3915"/>
      <c r="I1541" s="3915"/>
      <c r="J1541" s="232"/>
      <c r="K1541" s="232"/>
      <c r="L1541" s="232"/>
      <c r="N1541" s="212">
        <f t="shared" si="27"/>
        <v>1135</v>
      </c>
    </row>
    <row r="1542" spans="1:14" ht="12" customHeight="1">
      <c r="A1542" s="3906"/>
      <c r="C1542" s="760"/>
      <c r="D1542" s="3914" t="s">
        <v>1053</v>
      </c>
      <c r="E1542" s="3915"/>
      <c r="F1542" s="3915"/>
      <c r="G1542" s="3915"/>
      <c r="H1542" s="3915"/>
      <c r="I1542" s="3915"/>
      <c r="J1542" s="232"/>
      <c r="K1542" s="232"/>
      <c r="L1542" s="232"/>
      <c r="N1542" s="212">
        <f t="shared" si="27"/>
        <v>1136</v>
      </c>
    </row>
    <row r="1543" spans="1:14" ht="12" customHeight="1">
      <c r="A1543" s="3906"/>
      <c r="C1543" s="760"/>
      <c r="D1543" s="3914" t="s">
        <v>1053</v>
      </c>
      <c r="E1543" s="3915"/>
      <c r="F1543" s="3915"/>
      <c r="G1543" s="3915"/>
      <c r="H1543" s="3915"/>
      <c r="I1543" s="3915"/>
      <c r="J1543" s="232"/>
      <c r="K1543" s="232"/>
      <c r="L1543" s="232"/>
      <c r="N1543" s="212">
        <f t="shared" si="27"/>
        <v>1137</v>
      </c>
    </row>
    <row r="1544" spans="1:14" ht="12" customHeight="1">
      <c r="A1544" s="3906"/>
      <c r="C1544" s="760"/>
      <c r="D1544" s="3914" t="s">
        <v>1053</v>
      </c>
      <c r="E1544" s="3915"/>
      <c r="F1544" s="3915"/>
      <c r="G1544" s="3915"/>
      <c r="H1544" s="3915"/>
      <c r="I1544" s="3915"/>
      <c r="J1544" s="232"/>
      <c r="K1544" s="232"/>
      <c r="L1544" s="232"/>
      <c r="N1544" s="212">
        <f t="shared" si="27"/>
        <v>1138</v>
      </c>
    </row>
    <row r="1545" spans="1:14" ht="12" customHeight="1">
      <c r="A1545" s="3906"/>
      <c r="C1545" s="760"/>
      <c r="D1545" s="3914" t="s">
        <v>1053</v>
      </c>
      <c r="E1545" s="3915"/>
      <c r="F1545" s="3915"/>
      <c r="G1545" s="3915"/>
      <c r="H1545" s="3915"/>
      <c r="I1545" s="3915"/>
      <c r="J1545" s="232"/>
      <c r="K1545" s="232"/>
      <c r="L1545" s="232"/>
      <c r="N1545" s="212">
        <f t="shared" si="27"/>
        <v>1139</v>
      </c>
    </row>
    <row r="1546" spans="1:14" ht="12" customHeight="1">
      <c r="A1546" s="3906"/>
      <c r="C1546" s="760"/>
      <c r="D1546" s="3914" t="s">
        <v>1052</v>
      </c>
      <c r="E1546" s="3915"/>
      <c r="F1546" s="3915"/>
      <c r="G1546" s="3915"/>
      <c r="H1546" s="3915"/>
      <c r="I1546" s="3915"/>
      <c r="J1546" s="232"/>
      <c r="K1546" s="232"/>
      <c r="L1546" s="232"/>
      <c r="N1546" s="212">
        <f t="shared" ref="N1546:N1608" si="28">IF(D1546="",N1545,N1545+1)</f>
        <v>1140</v>
      </c>
    </row>
    <row r="1547" spans="1:14" ht="12" customHeight="1">
      <c r="A1547" s="3906"/>
      <c r="C1547" s="760"/>
      <c r="D1547" s="3914"/>
      <c r="E1547" s="3915"/>
      <c r="F1547" s="3915"/>
      <c r="G1547" s="3915"/>
      <c r="H1547" s="3915"/>
      <c r="I1547" s="3915"/>
      <c r="J1547" s="232"/>
      <c r="K1547" s="232"/>
      <c r="L1547" s="232"/>
      <c r="N1547" s="212">
        <f t="shared" si="28"/>
        <v>1140</v>
      </c>
    </row>
    <row r="1548" spans="1:14" ht="12" customHeight="1">
      <c r="A1548" s="3906"/>
      <c r="C1548" s="760"/>
      <c r="D1548" s="3914" t="s">
        <v>805</v>
      </c>
      <c r="E1548" s="3915"/>
      <c r="F1548" s="3915"/>
      <c r="G1548" s="3915"/>
      <c r="H1548" s="3915"/>
      <c r="I1548" s="3915"/>
      <c r="J1548" s="232"/>
      <c r="K1548" s="232"/>
      <c r="L1548" s="232"/>
      <c r="N1548" s="212">
        <f t="shared" si="28"/>
        <v>1141</v>
      </c>
    </row>
    <row r="1549" spans="1:14" ht="12" customHeight="1">
      <c r="A1549" s="3906"/>
      <c r="C1549" s="760"/>
      <c r="D1549" s="3914" t="s">
        <v>806</v>
      </c>
      <c r="E1549" s="3915"/>
      <c r="F1549" s="3915"/>
      <c r="G1549" s="3915"/>
      <c r="H1549" s="3915"/>
      <c r="I1549" s="3915"/>
      <c r="J1549" s="232"/>
      <c r="K1549" s="232"/>
      <c r="L1549" s="232"/>
      <c r="N1549" s="212">
        <f t="shared" si="28"/>
        <v>1142</v>
      </c>
    </row>
    <row r="1550" spans="1:14" ht="12" customHeight="1">
      <c r="A1550" s="3906"/>
      <c r="C1550" s="760"/>
      <c r="D1550" s="3904"/>
      <c r="E1550" s="3905"/>
      <c r="F1550" s="3905"/>
      <c r="G1550" s="3905"/>
      <c r="H1550" s="3905"/>
      <c r="I1550" s="3905"/>
      <c r="J1550" s="232"/>
      <c r="K1550" s="232"/>
      <c r="L1550" s="232"/>
      <c r="N1550" s="212">
        <f t="shared" si="28"/>
        <v>1142</v>
      </c>
    </row>
    <row r="1551" spans="1:14" ht="12" customHeight="1">
      <c r="A1551" s="3906"/>
      <c r="C1551" s="760"/>
      <c r="D1551" s="3916" t="s">
        <v>969</v>
      </c>
      <c r="E1551" s="3917"/>
      <c r="F1551" s="3917"/>
      <c r="G1551" s="3917"/>
      <c r="H1551" s="3917"/>
      <c r="I1551" s="3917"/>
      <c r="J1551" s="232"/>
      <c r="K1551" s="232"/>
      <c r="L1551" s="232"/>
      <c r="N1551" s="212">
        <f t="shared" si="28"/>
        <v>1143</v>
      </c>
    </row>
    <row r="1552" spans="1:14" ht="12" customHeight="1">
      <c r="A1552" s="3906"/>
      <c r="C1552" s="760"/>
      <c r="D1552" s="3916" t="s">
        <v>970</v>
      </c>
      <c r="E1552" s="3917"/>
      <c r="F1552" s="3917"/>
      <c r="G1552" s="3917"/>
      <c r="H1552" s="3917"/>
      <c r="I1552" s="3917"/>
      <c r="J1552" s="232"/>
      <c r="K1552" s="232"/>
      <c r="L1552" s="232"/>
      <c r="N1552" s="212">
        <f t="shared" si="28"/>
        <v>1144</v>
      </c>
    </row>
    <row r="1553" spans="1:14" ht="12" customHeight="1">
      <c r="A1553" s="3906"/>
      <c r="C1553" s="760"/>
      <c r="D1553" s="3904"/>
      <c r="E1553" s="3905"/>
      <c r="F1553" s="3905"/>
      <c r="G1553" s="3905"/>
      <c r="H1553" s="3905"/>
      <c r="I1553" s="3905"/>
      <c r="J1553" s="232"/>
      <c r="K1553" s="232"/>
      <c r="L1553" s="232"/>
      <c r="N1553" s="212">
        <f t="shared" si="28"/>
        <v>1144</v>
      </c>
    </row>
    <row r="1554" spans="1:14" ht="12" customHeight="1">
      <c r="A1554" s="3906"/>
      <c r="C1554" s="760"/>
      <c r="D1554" s="3916" t="s">
        <v>971</v>
      </c>
      <c r="E1554" s="3917"/>
      <c r="F1554" s="3917"/>
      <c r="G1554" s="3917"/>
      <c r="H1554" s="3917"/>
      <c r="I1554" s="3917"/>
      <c r="J1554" s="232"/>
      <c r="K1554" s="232"/>
      <c r="L1554" s="232"/>
      <c r="N1554" s="212">
        <f t="shared" si="28"/>
        <v>1145</v>
      </c>
    </row>
    <row r="1555" spans="1:14" ht="12" customHeight="1">
      <c r="A1555" s="3906"/>
      <c r="C1555" s="760"/>
      <c r="D1555" s="3904"/>
      <c r="E1555" s="3905"/>
      <c r="F1555" s="3905"/>
      <c r="G1555" s="3905"/>
      <c r="H1555" s="3905"/>
      <c r="I1555" s="3905"/>
      <c r="J1555" s="232"/>
      <c r="K1555" s="232"/>
      <c r="L1555" s="232"/>
      <c r="N1555" s="212">
        <f t="shared" si="28"/>
        <v>1145</v>
      </c>
    </row>
    <row r="1556" spans="1:14" ht="12" customHeight="1">
      <c r="A1556" s="3906"/>
      <c r="C1556" s="760"/>
      <c r="D1556" s="3917" t="s">
        <v>2218</v>
      </c>
      <c r="E1556" s="3917"/>
      <c r="F1556" s="3917"/>
      <c r="G1556" s="3917"/>
      <c r="H1556" s="3917"/>
      <c r="I1556" s="3917"/>
      <c r="J1556" s="232"/>
      <c r="K1556" s="232"/>
      <c r="L1556" s="232"/>
      <c r="N1556" s="212">
        <f t="shared" si="28"/>
        <v>1146</v>
      </c>
    </row>
    <row r="1557" spans="1:14" ht="12" customHeight="1">
      <c r="A1557" s="3906"/>
      <c r="C1557" s="760"/>
      <c r="D1557" s="3916" t="s">
        <v>807</v>
      </c>
      <c r="E1557" s="3917"/>
      <c r="F1557" s="3917"/>
      <c r="G1557" s="3917"/>
      <c r="H1557" s="3917"/>
      <c r="I1557" s="3917"/>
      <c r="J1557" s="232"/>
      <c r="K1557" s="232"/>
      <c r="L1557" s="232"/>
      <c r="N1557" s="212">
        <f t="shared" si="28"/>
        <v>1147</v>
      </c>
    </row>
    <row r="1558" spans="1:14" ht="12" customHeight="1">
      <c r="A1558" s="3906"/>
      <c r="C1558" s="760"/>
      <c r="D1558" s="3904" t="s">
        <v>2193</v>
      </c>
      <c r="E1558" s="3905"/>
      <c r="F1558" s="3905"/>
      <c r="G1558" s="3905"/>
      <c r="H1558" s="3905"/>
      <c r="I1558" s="3905"/>
      <c r="J1558" s="232"/>
      <c r="K1558" s="232"/>
      <c r="L1558" s="232"/>
      <c r="N1558" s="212">
        <f t="shared" si="28"/>
        <v>1148</v>
      </c>
    </row>
    <row r="1559" spans="1:14" ht="12" customHeight="1">
      <c r="A1559" s="3906"/>
      <c r="C1559" s="760"/>
      <c r="D1559" s="3904"/>
      <c r="E1559" s="3905"/>
      <c r="F1559" s="3905"/>
      <c r="G1559" s="3905"/>
      <c r="H1559" s="3905"/>
      <c r="I1559" s="3905"/>
      <c r="J1559" s="232"/>
      <c r="K1559" s="232"/>
      <c r="L1559" s="232"/>
      <c r="N1559" s="212">
        <f t="shared" si="28"/>
        <v>1148</v>
      </c>
    </row>
    <row r="1560" spans="1:14" ht="12" customHeight="1">
      <c r="A1560" s="3906"/>
      <c r="C1560" s="760"/>
      <c r="D1560" s="3918" t="s">
        <v>1059</v>
      </c>
      <c r="E1560" s="3919"/>
      <c r="F1560" s="3919"/>
      <c r="G1560" s="3919"/>
      <c r="H1560" s="3919"/>
      <c r="I1560" s="3919"/>
      <c r="J1560" s="232"/>
      <c r="K1560" s="232"/>
      <c r="L1560" s="232"/>
      <c r="N1560" s="212">
        <f t="shared" si="28"/>
        <v>1149</v>
      </c>
    </row>
    <row r="1561" spans="1:14" ht="12" customHeight="1">
      <c r="C1561" s="760"/>
      <c r="D1561" s="3902" t="s">
        <v>2298</v>
      </c>
      <c r="E1561" s="3903"/>
      <c r="F1561" s="3903"/>
      <c r="G1561" s="3903"/>
      <c r="H1561" s="3903"/>
      <c r="I1561" s="3903"/>
      <c r="J1561" s="232"/>
      <c r="K1561" s="232"/>
      <c r="L1561" s="232"/>
      <c r="N1561" s="212">
        <f t="shared" si="28"/>
        <v>1150</v>
      </c>
    </row>
    <row r="1562" spans="1:14" ht="12" customHeight="1">
      <c r="C1562" s="760"/>
      <c r="D1562" s="3902" t="s">
        <v>1060</v>
      </c>
      <c r="E1562" s="3903"/>
      <c r="F1562" s="3903"/>
      <c r="G1562" s="3903"/>
      <c r="H1562" s="3903"/>
      <c r="I1562" s="3903"/>
      <c r="J1562" s="232"/>
      <c r="K1562" s="232"/>
      <c r="L1562" s="232"/>
      <c r="N1562" s="212">
        <f t="shared" si="28"/>
        <v>1151</v>
      </c>
    </row>
    <row r="1563" spans="1:14" ht="12" customHeight="1">
      <c r="C1563" s="760"/>
      <c r="D1563" s="3902" t="s">
        <v>1060</v>
      </c>
      <c r="E1563" s="3903"/>
      <c r="F1563" s="3903"/>
      <c r="G1563" s="3903"/>
      <c r="H1563" s="3903"/>
      <c r="I1563" s="3903"/>
      <c r="J1563" s="232"/>
      <c r="K1563" s="232"/>
      <c r="L1563" s="232"/>
      <c r="N1563" s="212">
        <f t="shared" si="28"/>
        <v>1152</v>
      </c>
    </row>
    <row r="1564" spans="1:14" ht="12" customHeight="1">
      <c r="C1564" s="760"/>
      <c r="D1564" s="3902" t="s">
        <v>1061</v>
      </c>
      <c r="E1564" s="3903"/>
      <c r="F1564" s="3903"/>
      <c r="G1564" s="3903"/>
      <c r="H1564" s="3903"/>
      <c r="I1564" s="3903"/>
      <c r="J1564" s="232"/>
      <c r="K1564" s="232"/>
      <c r="L1564" s="232"/>
      <c r="N1564" s="212">
        <f t="shared" si="28"/>
        <v>1153</v>
      </c>
    </row>
    <row r="1565" spans="1:14" ht="12" customHeight="1">
      <c r="C1565" s="760"/>
      <c r="D1565" s="3902" t="s">
        <v>1060</v>
      </c>
      <c r="E1565" s="3903"/>
      <c r="F1565" s="3903"/>
      <c r="G1565" s="3903"/>
      <c r="H1565" s="3903"/>
      <c r="I1565" s="3903"/>
      <c r="J1565" s="232"/>
      <c r="K1565" s="232"/>
      <c r="L1565" s="232"/>
      <c r="N1565" s="212">
        <f t="shared" si="28"/>
        <v>1154</v>
      </c>
    </row>
    <row r="1566" spans="1:14" ht="12" customHeight="1">
      <c r="C1566" s="760"/>
      <c r="D1566" s="3902" t="s">
        <v>1060</v>
      </c>
      <c r="E1566" s="3903"/>
      <c r="F1566" s="3903"/>
      <c r="G1566" s="3903"/>
      <c r="H1566" s="3903"/>
      <c r="I1566" s="3903"/>
      <c r="J1566" s="232"/>
      <c r="K1566" s="232"/>
      <c r="L1566" s="232"/>
      <c r="N1566" s="212">
        <f t="shared" si="28"/>
        <v>1155</v>
      </c>
    </row>
    <row r="1567" spans="1:14" ht="12" customHeight="1">
      <c r="C1567" s="760"/>
      <c r="D1567" s="3902" t="s">
        <v>2196</v>
      </c>
      <c r="E1567" s="3903"/>
      <c r="F1567" s="3903"/>
      <c r="G1567" s="3903"/>
      <c r="H1567" s="3903"/>
      <c r="I1567" s="3903"/>
      <c r="J1567" s="232"/>
      <c r="K1567" s="232"/>
      <c r="L1567" s="232"/>
      <c r="N1567" s="212">
        <f t="shared" si="28"/>
        <v>1156</v>
      </c>
    </row>
    <row r="1568" spans="1:14" ht="12" customHeight="1">
      <c r="C1568" s="760"/>
      <c r="D1568" s="3902" t="s">
        <v>1062</v>
      </c>
      <c r="E1568" s="3903"/>
      <c r="F1568" s="3903"/>
      <c r="G1568" s="3903"/>
      <c r="H1568" s="3903"/>
      <c r="I1568" s="3903"/>
      <c r="J1568" s="232"/>
      <c r="K1568" s="232"/>
      <c r="L1568" s="232"/>
      <c r="N1568" s="212">
        <f t="shared" si="28"/>
        <v>1157</v>
      </c>
    </row>
    <row r="1569" spans="3:14" ht="12" customHeight="1">
      <c r="C1569" s="760"/>
      <c r="D1569" s="3902" t="s">
        <v>1062</v>
      </c>
      <c r="E1569" s="3903"/>
      <c r="F1569" s="3903"/>
      <c r="G1569" s="3903"/>
      <c r="H1569" s="3903"/>
      <c r="I1569" s="3903"/>
      <c r="J1569" s="232"/>
      <c r="K1569" s="232"/>
      <c r="L1569" s="232"/>
      <c r="N1569" s="212">
        <f t="shared" si="28"/>
        <v>1158</v>
      </c>
    </row>
    <row r="1570" spans="3:14" ht="12" customHeight="1">
      <c r="C1570" s="760"/>
      <c r="D1570" s="3902" t="s">
        <v>2195</v>
      </c>
      <c r="E1570" s="3903"/>
      <c r="F1570" s="3903"/>
      <c r="G1570" s="3903"/>
      <c r="H1570" s="3903"/>
      <c r="I1570" s="3903"/>
      <c r="J1570" s="232"/>
      <c r="K1570" s="232"/>
      <c r="L1570" s="232"/>
      <c r="N1570" s="212">
        <f t="shared" si="28"/>
        <v>1159</v>
      </c>
    </row>
    <row r="1571" spans="3:14" ht="12" customHeight="1">
      <c r="C1571" s="760"/>
      <c r="D1571" s="3902" t="s">
        <v>1062</v>
      </c>
      <c r="E1571" s="3903"/>
      <c r="F1571" s="3903"/>
      <c r="G1571" s="3903"/>
      <c r="H1571" s="3903"/>
      <c r="I1571" s="3903"/>
      <c r="J1571" s="232"/>
      <c r="K1571" s="232"/>
      <c r="L1571" s="232"/>
      <c r="N1571" s="212">
        <f t="shared" si="28"/>
        <v>1160</v>
      </c>
    </row>
    <row r="1572" spans="3:14" ht="12" customHeight="1">
      <c r="C1572" s="760"/>
      <c r="D1572" s="3902" t="s">
        <v>1062</v>
      </c>
      <c r="E1572" s="3903"/>
      <c r="F1572" s="3903"/>
      <c r="G1572" s="3903"/>
      <c r="H1572" s="3903"/>
      <c r="I1572" s="3903"/>
      <c r="J1572" s="232"/>
      <c r="K1572" s="232"/>
      <c r="L1572" s="232"/>
      <c r="N1572" s="212">
        <f t="shared" si="28"/>
        <v>1161</v>
      </c>
    </row>
    <row r="1573" spans="3:14" ht="12" customHeight="1">
      <c r="C1573" s="760"/>
      <c r="D1573" s="3902" t="s">
        <v>2194</v>
      </c>
      <c r="E1573" s="3903"/>
      <c r="F1573" s="3903"/>
      <c r="G1573" s="3903"/>
      <c r="H1573" s="3903"/>
      <c r="I1573" s="3903"/>
      <c r="J1573" s="232"/>
      <c r="K1573" s="232"/>
      <c r="L1573" s="232"/>
      <c r="N1573" s="212">
        <f t="shared" si="28"/>
        <v>1162</v>
      </c>
    </row>
    <row r="1574" spans="3:14" ht="12" customHeight="1">
      <c r="C1574" s="760"/>
      <c r="D1574" s="3914" t="s">
        <v>967</v>
      </c>
      <c r="E1574" s="3915"/>
      <c r="F1574" s="3915"/>
      <c r="G1574" s="3915"/>
      <c r="H1574" s="3915"/>
      <c r="I1574" s="3915"/>
      <c r="J1574" s="232"/>
      <c r="K1574" s="232"/>
      <c r="L1574" s="232"/>
      <c r="N1574" s="212">
        <f t="shared" si="28"/>
        <v>1163</v>
      </c>
    </row>
    <row r="1575" spans="3:14" ht="12" customHeight="1">
      <c r="C1575" s="760"/>
      <c r="D1575" s="3904"/>
      <c r="E1575" s="3905"/>
      <c r="F1575" s="3905"/>
      <c r="G1575" s="3905"/>
      <c r="H1575" s="3905"/>
      <c r="I1575" s="3905"/>
      <c r="J1575" s="232"/>
      <c r="K1575" s="232"/>
      <c r="L1575" s="232"/>
      <c r="N1575" s="212">
        <f t="shared" si="28"/>
        <v>1163</v>
      </c>
    </row>
    <row r="1576" spans="3:14" ht="12" customHeight="1">
      <c r="C1576" s="760"/>
      <c r="D1576" s="3912" t="s">
        <v>2221</v>
      </c>
      <c r="E1576" s="3913"/>
      <c r="F1576" s="3913"/>
      <c r="G1576" s="3913"/>
      <c r="H1576" s="3913"/>
      <c r="I1576" s="3913"/>
      <c r="J1576" s="232"/>
      <c r="K1576" s="232"/>
      <c r="L1576" s="232"/>
      <c r="N1576" s="212">
        <f t="shared" si="28"/>
        <v>1164</v>
      </c>
    </row>
    <row r="1577" spans="3:14" ht="12" customHeight="1">
      <c r="C1577" s="760"/>
      <c r="D1577" s="3912"/>
      <c r="E1577" s="3913"/>
      <c r="F1577" s="3913"/>
      <c r="G1577" s="3913"/>
      <c r="H1577" s="3913"/>
      <c r="I1577" s="3913"/>
      <c r="J1577" s="232"/>
      <c r="K1577" s="232"/>
      <c r="L1577" s="232"/>
      <c r="N1577" s="212">
        <f t="shared" si="28"/>
        <v>1164</v>
      </c>
    </row>
    <row r="1578" spans="3:14" ht="12" customHeight="1">
      <c r="C1578" s="760"/>
      <c r="D1578" s="3912" t="s">
        <v>2204</v>
      </c>
      <c r="E1578" s="3913"/>
      <c r="F1578" s="3913"/>
      <c r="G1578" s="3913"/>
      <c r="H1578" s="3913"/>
      <c r="I1578" s="3913"/>
      <c r="J1578" s="232"/>
      <c r="K1578" s="232"/>
      <c r="L1578" s="232"/>
      <c r="N1578" s="212">
        <f t="shared" si="28"/>
        <v>1165</v>
      </c>
    </row>
    <row r="1579" spans="3:14" ht="12" customHeight="1">
      <c r="C1579" s="760"/>
      <c r="D1579" s="3912" t="s">
        <v>2205</v>
      </c>
      <c r="E1579" s="3913"/>
      <c r="F1579" s="3913"/>
      <c r="G1579" s="3913"/>
      <c r="H1579" s="3913"/>
      <c r="I1579" s="3913"/>
      <c r="J1579" s="232"/>
      <c r="K1579" s="232"/>
      <c r="L1579" s="232"/>
      <c r="N1579" s="212">
        <f t="shared" si="28"/>
        <v>1166</v>
      </c>
    </row>
    <row r="1580" spans="3:14" ht="12" customHeight="1">
      <c r="C1580" s="760"/>
      <c r="D1580" s="3912" t="s">
        <v>2222</v>
      </c>
      <c r="E1580" s="3913"/>
      <c r="F1580" s="3913"/>
      <c r="G1580" s="3913"/>
      <c r="H1580" s="3913"/>
      <c r="I1580" s="3913"/>
      <c r="J1580" s="232"/>
      <c r="K1580" s="232"/>
      <c r="L1580" s="232"/>
      <c r="N1580" s="212">
        <f t="shared" si="28"/>
        <v>1167</v>
      </c>
    </row>
    <row r="1581" spans="3:14" ht="12" customHeight="1">
      <c r="C1581" s="760"/>
      <c r="D1581" s="3912" t="s">
        <v>2207</v>
      </c>
      <c r="E1581" s="3913"/>
      <c r="F1581" s="3913"/>
      <c r="G1581" s="3913"/>
      <c r="H1581" s="3913"/>
      <c r="I1581" s="3913"/>
      <c r="J1581" s="232"/>
      <c r="K1581" s="232"/>
      <c r="L1581" s="232"/>
      <c r="N1581" s="212">
        <f t="shared" si="28"/>
        <v>1168</v>
      </c>
    </row>
    <row r="1582" spans="3:14" ht="12" customHeight="1">
      <c r="C1582" s="760"/>
      <c r="D1582" s="3912" t="s">
        <v>2223</v>
      </c>
      <c r="E1582" s="3913"/>
      <c r="F1582" s="3913"/>
      <c r="G1582" s="3913"/>
      <c r="H1582" s="3913"/>
      <c r="I1582" s="3913"/>
      <c r="J1582" s="232"/>
      <c r="K1582" s="232"/>
      <c r="L1582" s="232"/>
      <c r="N1582" s="212">
        <f t="shared" si="28"/>
        <v>1169</v>
      </c>
    </row>
    <row r="1583" spans="3:14" ht="12" customHeight="1">
      <c r="C1583" s="760"/>
      <c r="D1583" s="748"/>
      <c r="E1583" s="748"/>
      <c r="F1583" s="1721"/>
      <c r="G1583" s="748"/>
      <c r="H1583" s="748"/>
      <c r="I1583" s="748"/>
      <c r="J1583" s="232"/>
      <c r="K1583" s="232"/>
      <c r="L1583" s="232"/>
      <c r="N1583" s="212">
        <f t="shared" si="28"/>
        <v>1169</v>
      </c>
    </row>
    <row r="1584" spans="3:14" ht="12" customHeight="1">
      <c r="C1584" s="760"/>
      <c r="D1584" s="3912" t="s">
        <v>2225</v>
      </c>
      <c r="E1584" s="3913"/>
      <c r="F1584" s="3913"/>
      <c r="G1584" s="3913"/>
      <c r="H1584" s="3913"/>
      <c r="I1584" s="3913"/>
      <c r="J1584" s="232"/>
      <c r="K1584" s="232"/>
      <c r="L1584" s="232"/>
      <c r="N1584" s="212">
        <f t="shared" si="28"/>
        <v>1170</v>
      </c>
    </row>
    <row r="1585" spans="3:14" ht="12" customHeight="1">
      <c r="C1585" s="760"/>
      <c r="D1585" s="3912" t="s">
        <v>2224</v>
      </c>
      <c r="E1585" s="3913"/>
      <c r="F1585" s="3913"/>
      <c r="G1585" s="3913"/>
      <c r="H1585" s="3913"/>
      <c r="I1585" s="3913"/>
      <c r="J1585" s="232"/>
      <c r="K1585" s="232"/>
      <c r="L1585" s="232"/>
      <c r="N1585" s="212">
        <f t="shared" si="28"/>
        <v>1171</v>
      </c>
    </row>
    <row r="1586" spans="3:14" ht="12" customHeight="1">
      <c r="C1586" s="760"/>
      <c r="D1586" s="3912"/>
      <c r="E1586" s="3913"/>
      <c r="F1586" s="3913"/>
      <c r="G1586" s="3913"/>
      <c r="H1586" s="3913"/>
      <c r="I1586" s="3913"/>
      <c r="J1586" s="232"/>
      <c r="K1586" s="232"/>
      <c r="L1586" s="232"/>
      <c r="N1586" s="212">
        <f t="shared" si="28"/>
        <v>1171</v>
      </c>
    </row>
    <row r="1587" spans="3:14" ht="12" customHeight="1">
      <c r="C1587" s="760"/>
      <c r="D1587" s="3912" t="s">
        <v>2214</v>
      </c>
      <c r="E1587" s="3913"/>
      <c r="F1587" s="3913"/>
      <c r="G1587" s="3913"/>
      <c r="H1587" s="3913"/>
      <c r="I1587" s="3913"/>
      <c r="J1587" s="232"/>
      <c r="K1587" s="232"/>
      <c r="L1587" s="232"/>
      <c r="N1587" s="212">
        <f t="shared" si="28"/>
        <v>1172</v>
      </c>
    </row>
    <row r="1588" spans="3:14" ht="12" customHeight="1">
      <c r="C1588" s="760"/>
      <c r="D1588" s="3912" t="s">
        <v>2215</v>
      </c>
      <c r="E1588" s="3913"/>
      <c r="F1588" s="3913"/>
      <c r="G1588" s="3913"/>
      <c r="H1588" s="3913"/>
      <c r="I1588" s="3913"/>
      <c r="J1588" s="232"/>
      <c r="K1588" s="232"/>
      <c r="L1588" s="232"/>
      <c r="N1588" s="212">
        <f t="shared" si="28"/>
        <v>1173</v>
      </c>
    </row>
    <row r="1589" spans="3:14" ht="12" customHeight="1">
      <c r="C1589" s="760"/>
      <c r="D1589" s="3904"/>
      <c r="E1589" s="3905"/>
      <c r="F1589" s="3905"/>
      <c r="G1589" s="3905"/>
      <c r="H1589" s="3905"/>
      <c r="I1589" s="3905"/>
      <c r="J1589" s="232"/>
      <c r="K1589" s="232"/>
      <c r="L1589" s="232"/>
      <c r="N1589" s="212">
        <f t="shared" si="28"/>
        <v>1173</v>
      </c>
    </row>
    <row r="1590" spans="3:14" ht="12" customHeight="1">
      <c r="C1590" s="760"/>
      <c r="D1590" s="3901" t="s">
        <v>1665</v>
      </c>
      <c r="E1590" s="3901"/>
      <c r="F1590" s="3901"/>
      <c r="G1590" s="3901"/>
      <c r="H1590" s="3901"/>
      <c r="I1590" s="3901"/>
      <c r="J1590" s="232"/>
      <c r="K1590" s="232"/>
      <c r="L1590" s="232"/>
      <c r="N1590" s="212">
        <f t="shared" si="28"/>
        <v>1174</v>
      </c>
    </row>
    <row r="1591" spans="3:14" ht="12" customHeight="1">
      <c r="C1591" s="760"/>
      <c r="D1591" s="3901" t="s">
        <v>1666</v>
      </c>
      <c r="E1591" s="3901"/>
      <c r="F1591" s="3901"/>
      <c r="G1591" s="3901"/>
      <c r="H1591" s="3901"/>
      <c r="I1591" s="3901"/>
      <c r="J1591" s="232"/>
      <c r="K1591" s="232"/>
      <c r="L1591" s="232"/>
      <c r="N1591" s="212">
        <f t="shared" si="28"/>
        <v>1175</v>
      </c>
    </row>
    <row r="1592" spans="3:14" ht="12" customHeight="1">
      <c r="C1592" s="760"/>
      <c r="D1592" s="3900" t="s">
        <v>2228</v>
      </c>
      <c r="E1592" s="3901"/>
      <c r="F1592" s="3901"/>
      <c r="G1592" s="3901"/>
      <c r="H1592" s="3901"/>
      <c r="I1592" s="3901"/>
      <c r="J1592" s="232"/>
      <c r="K1592" s="232"/>
      <c r="L1592" s="232"/>
      <c r="N1592" s="212">
        <f t="shared" si="28"/>
        <v>1176</v>
      </c>
    </row>
    <row r="1593" spans="3:14" ht="12" customHeight="1">
      <c r="C1593" s="760"/>
      <c r="D1593" s="3900" t="s">
        <v>2227</v>
      </c>
      <c r="E1593" s="3901"/>
      <c r="F1593" s="3901"/>
      <c r="G1593" s="3901"/>
      <c r="H1593" s="3901"/>
      <c r="I1593" s="3901"/>
      <c r="J1593" s="232"/>
      <c r="K1593" s="232"/>
      <c r="L1593" s="232"/>
      <c r="N1593" s="212">
        <f t="shared" si="28"/>
        <v>1177</v>
      </c>
    </row>
    <row r="1594" spans="3:14" ht="12" customHeight="1">
      <c r="C1594" s="760"/>
      <c r="D1594" s="3900" t="s">
        <v>2226</v>
      </c>
      <c r="E1594" s="3901"/>
      <c r="F1594" s="3901"/>
      <c r="G1594" s="3901"/>
      <c r="H1594" s="3901"/>
      <c r="I1594" s="3901"/>
      <c r="J1594" s="232"/>
      <c r="K1594" s="232"/>
      <c r="L1594" s="232"/>
      <c r="N1594" s="212">
        <f t="shared" si="28"/>
        <v>1178</v>
      </c>
    </row>
    <row r="1595" spans="3:14" ht="12" customHeight="1">
      <c r="C1595" s="760"/>
      <c r="D1595" s="3900"/>
      <c r="E1595" s="3901"/>
      <c r="F1595" s="3901"/>
      <c r="G1595" s="3901"/>
      <c r="H1595" s="3901"/>
      <c r="I1595" s="3901"/>
      <c r="J1595" s="232"/>
      <c r="K1595" s="232"/>
      <c r="L1595" s="232"/>
      <c r="N1595" s="212">
        <f t="shared" si="28"/>
        <v>1178</v>
      </c>
    </row>
    <row r="1596" spans="3:14" ht="12" customHeight="1">
      <c r="C1596" s="760"/>
      <c r="D1596" s="3901"/>
      <c r="E1596" s="3901"/>
      <c r="F1596" s="3901"/>
      <c r="G1596" s="3901"/>
      <c r="H1596" s="3901"/>
      <c r="I1596" s="3901"/>
      <c r="J1596" s="232"/>
      <c r="K1596" s="232"/>
      <c r="L1596" s="232"/>
      <c r="N1596" s="212">
        <f t="shared" si="28"/>
        <v>1178</v>
      </c>
    </row>
    <row r="1597" spans="3:14" ht="12" customHeight="1">
      <c r="C1597" s="760"/>
      <c r="D1597" s="3901" t="s">
        <v>1670</v>
      </c>
      <c r="E1597" s="3901"/>
      <c r="F1597" s="3901"/>
      <c r="G1597" s="3901"/>
      <c r="H1597" s="3901"/>
      <c r="I1597" s="3901"/>
      <c r="J1597" s="232"/>
      <c r="K1597" s="232"/>
      <c r="L1597" s="232"/>
      <c r="N1597" s="212">
        <f t="shared" si="28"/>
        <v>1179</v>
      </c>
    </row>
    <row r="1598" spans="3:14" ht="12" customHeight="1">
      <c r="C1598" s="760"/>
      <c r="D1598" s="3901" t="s">
        <v>1671</v>
      </c>
      <c r="E1598" s="3901"/>
      <c r="F1598" s="3901"/>
      <c r="G1598" s="3901"/>
      <c r="H1598" s="3901"/>
      <c r="I1598" s="3901"/>
      <c r="J1598" s="232"/>
      <c r="K1598" s="232"/>
      <c r="L1598" s="232"/>
      <c r="N1598" s="212">
        <f t="shared" si="28"/>
        <v>1180</v>
      </c>
    </row>
    <row r="1599" spans="3:14" ht="12" customHeight="1">
      <c r="C1599" s="760"/>
      <c r="D1599" s="3900"/>
      <c r="E1599" s="3900"/>
      <c r="F1599" s="3900"/>
      <c r="G1599" s="3900"/>
      <c r="H1599" s="3900"/>
      <c r="I1599" s="3900"/>
      <c r="J1599" s="232"/>
      <c r="K1599" s="232"/>
      <c r="L1599" s="232"/>
      <c r="N1599" s="212">
        <f t="shared" si="28"/>
        <v>1180</v>
      </c>
    </row>
    <row r="1600" spans="3:14" ht="12" customHeight="1">
      <c r="C1600" s="760"/>
      <c r="D1600" s="3900" t="s">
        <v>1672</v>
      </c>
      <c r="E1600" s="3901"/>
      <c r="F1600" s="3901"/>
      <c r="G1600" s="3901"/>
      <c r="H1600" s="3901"/>
      <c r="I1600" s="3901"/>
      <c r="J1600" s="232"/>
      <c r="K1600" s="232"/>
      <c r="L1600" s="232"/>
      <c r="N1600" s="212">
        <f t="shared" si="28"/>
        <v>1181</v>
      </c>
    </row>
    <row r="1601" spans="3:14" ht="12" customHeight="1">
      <c r="C1601" s="760"/>
      <c r="D1601" s="3900" t="s">
        <v>1673</v>
      </c>
      <c r="E1601" s="3901"/>
      <c r="F1601" s="3901"/>
      <c r="G1601" s="3901"/>
      <c r="H1601" s="3901"/>
      <c r="I1601" s="3901"/>
      <c r="J1601" s="232"/>
      <c r="K1601" s="232"/>
      <c r="L1601" s="232"/>
      <c r="N1601" s="212">
        <f t="shared" si="28"/>
        <v>1182</v>
      </c>
    </row>
    <row r="1602" spans="3:14" ht="12" customHeight="1">
      <c r="C1602" s="760"/>
      <c r="D1602" s="748"/>
      <c r="E1602" s="748"/>
      <c r="F1602" s="1721"/>
      <c r="G1602" s="748"/>
      <c r="H1602" s="748"/>
      <c r="I1602" s="748"/>
      <c r="J1602" s="232"/>
      <c r="K1602" s="232"/>
      <c r="L1602" s="232"/>
      <c r="N1602" s="212">
        <f t="shared" si="28"/>
        <v>1182</v>
      </c>
    </row>
    <row r="1603" spans="3:14" ht="12" customHeight="1">
      <c r="C1603" s="760"/>
      <c r="D1603" s="748"/>
      <c r="E1603" s="748"/>
      <c r="F1603" s="1721"/>
      <c r="G1603" s="748"/>
      <c r="H1603" s="748"/>
      <c r="I1603" s="748"/>
      <c r="J1603" s="232"/>
      <c r="K1603" s="232"/>
      <c r="L1603" s="232"/>
      <c r="N1603" s="212">
        <f t="shared" si="28"/>
        <v>1182</v>
      </c>
    </row>
    <row r="1604" spans="3:14" ht="12" customHeight="1">
      <c r="C1604" s="760"/>
      <c r="D1604" s="3900"/>
      <c r="E1604" s="3901"/>
      <c r="F1604" s="3901"/>
      <c r="G1604" s="3901"/>
      <c r="H1604" s="3901"/>
      <c r="I1604" s="3901"/>
      <c r="J1604" s="232"/>
      <c r="K1604" s="232"/>
      <c r="L1604" s="232"/>
      <c r="N1604" s="212">
        <f t="shared" si="28"/>
        <v>1182</v>
      </c>
    </row>
    <row r="1605" spans="3:14" ht="12" customHeight="1">
      <c r="C1605" s="760"/>
      <c r="D1605" s="3900"/>
      <c r="E1605" s="3901"/>
      <c r="F1605" s="3901"/>
      <c r="G1605" s="3901"/>
      <c r="H1605" s="3901"/>
      <c r="I1605" s="3901"/>
      <c r="J1605" s="232"/>
      <c r="K1605" s="232"/>
      <c r="L1605" s="232"/>
      <c r="N1605" s="212">
        <f t="shared" si="28"/>
        <v>1182</v>
      </c>
    </row>
    <row r="1606" spans="3:14" ht="12" customHeight="1">
      <c r="C1606" s="760"/>
      <c r="D1606" s="748"/>
      <c r="E1606" s="748"/>
      <c r="F1606" s="1721"/>
      <c r="G1606" s="748"/>
      <c r="H1606" s="748"/>
      <c r="I1606" s="748"/>
      <c r="J1606" s="232"/>
      <c r="K1606" s="232"/>
      <c r="L1606" s="232"/>
      <c r="N1606" s="212">
        <f t="shared" si="28"/>
        <v>1182</v>
      </c>
    </row>
    <row r="1607" spans="3:14" ht="12" customHeight="1">
      <c r="C1607" s="760"/>
      <c r="D1607" s="748"/>
      <c r="E1607" s="748"/>
      <c r="F1607" s="1721"/>
      <c r="G1607" s="748"/>
      <c r="H1607" s="748"/>
      <c r="I1607" s="748"/>
      <c r="J1607" s="232"/>
      <c r="K1607" s="232"/>
      <c r="L1607" s="232"/>
      <c r="N1607" s="212">
        <f t="shared" si="28"/>
        <v>1182</v>
      </c>
    </row>
    <row r="1608" spans="3:14" ht="12" customHeight="1">
      <c r="C1608" s="760"/>
      <c r="D1608" s="748"/>
      <c r="E1608" s="748"/>
      <c r="F1608" s="1721"/>
      <c r="G1608" s="748"/>
      <c r="H1608" s="748"/>
      <c r="I1608" s="748"/>
      <c r="J1608" s="232"/>
      <c r="K1608" s="232"/>
      <c r="L1608" s="232"/>
      <c r="N1608" s="212">
        <f t="shared" si="28"/>
        <v>1182</v>
      </c>
    </row>
    <row r="1609" spans="3:14" ht="12" customHeight="1">
      <c r="C1609" s="760"/>
      <c r="D1609" s="748"/>
      <c r="E1609" s="748"/>
      <c r="F1609" s="1721"/>
      <c r="G1609" s="748"/>
      <c r="H1609" s="748"/>
      <c r="I1609" s="748"/>
      <c r="J1609" s="232"/>
      <c r="K1609" s="232"/>
      <c r="L1609" s="232"/>
      <c r="N1609" s="212">
        <f t="shared" ref="N1609:N1682" si="29">IF(D1609="",N1608,N1608+1)</f>
        <v>1182</v>
      </c>
    </row>
    <row r="1610" spans="3:14" ht="12" customHeight="1">
      <c r="C1610" s="760"/>
      <c r="D1610" s="748"/>
      <c r="E1610" s="748"/>
      <c r="F1610" s="1721"/>
      <c r="G1610" s="748"/>
      <c r="H1610" s="748"/>
      <c r="I1610" s="748"/>
      <c r="J1610" s="232"/>
      <c r="K1610" s="232"/>
      <c r="L1610" s="232"/>
      <c r="N1610" s="212">
        <f t="shared" si="29"/>
        <v>1182</v>
      </c>
    </row>
    <row r="1611" spans="3:14" ht="12" customHeight="1">
      <c r="C1611" s="231"/>
      <c r="D1611" s="3904"/>
      <c r="E1611" s="3905"/>
      <c r="F1611" s="3905"/>
      <c r="G1611" s="3905"/>
      <c r="H1611" s="3905"/>
      <c r="I1611" s="3905"/>
      <c r="J1611" s="232"/>
      <c r="K1611" s="232"/>
      <c r="L1611" s="232"/>
      <c r="N1611" s="212">
        <f t="shared" si="29"/>
        <v>1182</v>
      </c>
    </row>
    <row r="1612" spans="3:14" ht="12" customHeight="1">
      <c r="C1612" s="231"/>
      <c r="D1612" s="742"/>
      <c r="E1612" s="743"/>
      <c r="F1612" s="1714"/>
      <c r="G1612" s="743"/>
      <c r="H1612" s="743"/>
      <c r="I1612" s="743"/>
      <c r="J1612" s="232"/>
      <c r="K1612" s="232"/>
      <c r="L1612" s="232"/>
      <c r="N1612" s="212">
        <f t="shared" si="29"/>
        <v>1182</v>
      </c>
    </row>
    <row r="1613" spans="3:14" ht="12" customHeight="1">
      <c r="C1613" s="231"/>
      <c r="D1613" s="742"/>
      <c r="E1613" s="743"/>
      <c r="F1613" s="1714"/>
      <c r="G1613" s="743"/>
      <c r="H1613" s="743"/>
      <c r="I1613" s="743"/>
      <c r="J1613" s="232"/>
      <c r="K1613" s="232"/>
      <c r="L1613" s="232"/>
      <c r="N1613" s="212">
        <f t="shared" si="29"/>
        <v>1182</v>
      </c>
    </row>
    <row r="1614" spans="3:14" ht="12" customHeight="1">
      <c r="C1614" s="231"/>
      <c r="D1614" s="742"/>
      <c r="E1614" s="743"/>
      <c r="F1614" s="1714"/>
      <c r="G1614" s="743"/>
      <c r="H1614" s="743"/>
      <c r="I1614" s="743"/>
      <c r="J1614" s="232"/>
      <c r="K1614" s="232"/>
      <c r="L1614" s="232"/>
      <c r="N1614" s="212">
        <f t="shared" si="29"/>
        <v>1182</v>
      </c>
    </row>
    <row r="1615" spans="3:14" ht="12" customHeight="1">
      <c r="C1615" s="231"/>
      <c r="D1615" s="742"/>
      <c r="E1615" s="743"/>
      <c r="F1615" s="1714"/>
      <c r="G1615" s="743"/>
      <c r="H1615" s="743"/>
      <c r="I1615" s="743"/>
      <c r="J1615" s="232"/>
      <c r="K1615" s="232"/>
      <c r="L1615" s="232"/>
      <c r="N1615" s="212">
        <f t="shared" si="29"/>
        <v>1182</v>
      </c>
    </row>
    <row r="1616" spans="3:14" ht="12" customHeight="1">
      <c r="C1616" s="231"/>
      <c r="D1616" s="742"/>
      <c r="E1616" s="743"/>
      <c r="F1616" s="1714"/>
      <c r="G1616" s="743"/>
      <c r="H1616" s="743"/>
      <c r="I1616" s="743"/>
      <c r="J1616" s="232"/>
      <c r="K1616" s="232"/>
      <c r="L1616" s="232"/>
      <c r="N1616" s="212">
        <f t="shared" si="29"/>
        <v>1182</v>
      </c>
    </row>
    <row r="1617" spans="3:14" ht="12" customHeight="1">
      <c r="C1617" s="231"/>
      <c r="D1617" s="3904"/>
      <c r="E1617" s="3905"/>
      <c r="F1617" s="3905"/>
      <c r="G1617" s="3905"/>
      <c r="H1617" s="3905"/>
      <c r="I1617" s="3905"/>
      <c r="J1617" s="232"/>
      <c r="K1617" s="232"/>
      <c r="L1617" s="232"/>
      <c r="N1617" s="212">
        <f t="shared" si="29"/>
        <v>1182</v>
      </c>
    </row>
    <row r="1618" spans="3:14" ht="12" customHeight="1">
      <c r="C1618" s="231"/>
      <c r="D1618" s="742"/>
      <c r="E1618" s="743"/>
      <c r="F1618" s="1714"/>
      <c r="G1618" s="743"/>
      <c r="H1618" s="743"/>
      <c r="I1618" s="743"/>
      <c r="J1618" s="232"/>
      <c r="K1618" s="232"/>
      <c r="L1618" s="232"/>
      <c r="N1618" s="212">
        <f t="shared" si="29"/>
        <v>1182</v>
      </c>
    </row>
    <row r="1619" spans="3:14" ht="12" customHeight="1">
      <c r="C1619" s="231"/>
      <c r="D1619" s="742"/>
      <c r="E1619" s="743"/>
      <c r="F1619" s="1714"/>
      <c r="G1619" s="743"/>
      <c r="H1619" s="743"/>
      <c r="I1619" s="743"/>
      <c r="J1619" s="232"/>
      <c r="K1619" s="232"/>
      <c r="L1619" s="232"/>
      <c r="N1619" s="212">
        <f t="shared" si="29"/>
        <v>1182</v>
      </c>
    </row>
    <row r="1620" spans="3:14" ht="12" customHeight="1">
      <c r="C1620" s="231"/>
      <c r="D1620" s="742"/>
      <c r="E1620" s="743"/>
      <c r="F1620" s="1714"/>
      <c r="G1620" s="743"/>
      <c r="H1620" s="743"/>
      <c r="I1620" s="743"/>
      <c r="J1620" s="232"/>
      <c r="K1620" s="232"/>
      <c r="L1620" s="232"/>
      <c r="N1620" s="212"/>
    </row>
    <row r="1621" spans="3:14" ht="12" customHeight="1">
      <c r="C1621" s="231"/>
      <c r="D1621" s="742"/>
      <c r="E1621" s="743"/>
      <c r="F1621" s="1714"/>
      <c r="G1621" s="743"/>
      <c r="H1621" s="743"/>
      <c r="I1621" s="743"/>
      <c r="J1621" s="232"/>
      <c r="K1621" s="232"/>
      <c r="L1621" s="232"/>
      <c r="N1621" s="212"/>
    </row>
    <row r="1622" spans="3:14" ht="12" customHeight="1">
      <c r="C1622" s="231"/>
      <c r="D1622" s="742"/>
      <c r="E1622" s="743"/>
      <c r="F1622" s="1714"/>
      <c r="G1622" s="743"/>
      <c r="H1622" s="743"/>
      <c r="I1622" s="743"/>
      <c r="J1622" s="232"/>
      <c r="K1622" s="232"/>
      <c r="L1622" s="232"/>
      <c r="N1622" s="212"/>
    </row>
    <row r="1623" spans="3:14" ht="12" customHeight="1">
      <c r="C1623" s="231"/>
      <c r="D1623" s="742"/>
      <c r="E1623" s="743"/>
      <c r="F1623" s="1714"/>
      <c r="G1623" s="743"/>
      <c r="H1623" s="743"/>
      <c r="I1623" s="743"/>
      <c r="J1623" s="232"/>
      <c r="K1623" s="232"/>
      <c r="L1623" s="232"/>
      <c r="N1623" s="212"/>
    </row>
    <row r="1624" spans="3:14" ht="12" customHeight="1">
      <c r="C1624" s="231"/>
      <c r="D1624" s="742"/>
      <c r="E1624" s="743"/>
      <c r="F1624" s="1714"/>
      <c r="G1624" s="743"/>
      <c r="H1624" s="743"/>
      <c r="I1624" s="743"/>
      <c r="J1624" s="232"/>
      <c r="K1624" s="232"/>
      <c r="L1624" s="232"/>
      <c r="N1624" s="212"/>
    </row>
    <row r="1625" spans="3:14" ht="12" customHeight="1">
      <c r="C1625" s="231"/>
      <c r="D1625" s="742"/>
      <c r="E1625" s="743"/>
      <c r="F1625" s="1714"/>
      <c r="G1625" s="743"/>
      <c r="H1625" s="743"/>
      <c r="I1625" s="743"/>
      <c r="J1625" s="232"/>
      <c r="K1625" s="232"/>
      <c r="L1625" s="232"/>
      <c r="N1625" s="212"/>
    </row>
    <row r="1626" spans="3:14" ht="12" customHeight="1">
      <c r="C1626" s="231"/>
      <c r="D1626" s="742"/>
      <c r="E1626" s="743"/>
      <c r="F1626" s="1714"/>
      <c r="G1626" s="743"/>
      <c r="H1626" s="743"/>
      <c r="I1626" s="743"/>
      <c r="J1626" s="232"/>
      <c r="K1626" s="232"/>
      <c r="L1626" s="232"/>
      <c r="N1626" s="212"/>
    </row>
    <row r="1627" spans="3:14" ht="12" customHeight="1">
      <c r="C1627" s="231"/>
      <c r="D1627" s="742"/>
      <c r="E1627" s="743"/>
      <c r="F1627" s="1714"/>
      <c r="G1627" s="743"/>
      <c r="H1627" s="743"/>
      <c r="I1627" s="743"/>
      <c r="J1627" s="232"/>
      <c r="K1627" s="232"/>
      <c r="L1627" s="232"/>
      <c r="N1627" s="212"/>
    </row>
    <row r="1628" spans="3:14" ht="12" customHeight="1">
      <c r="C1628" s="231"/>
      <c r="D1628" s="742"/>
      <c r="E1628" s="743"/>
      <c r="F1628" s="1714"/>
      <c r="G1628" s="743"/>
      <c r="H1628" s="743"/>
      <c r="I1628" s="743"/>
      <c r="J1628" s="232"/>
      <c r="K1628" s="232"/>
      <c r="L1628" s="232"/>
      <c r="N1628" s="212"/>
    </row>
    <row r="1629" spans="3:14" ht="12" customHeight="1">
      <c r="C1629" s="231"/>
      <c r="D1629" s="742"/>
      <c r="E1629" s="743"/>
      <c r="F1629" s="1714"/>
      <c r="G1629" s="743"/>
      <c r="H1629" s="743"/>
      <c r="I1629" s="743"/>
      <c r="J1629" s="232"/>
      <c r="K1629" s="232"/>
      <c r="L1629" s="232"/>
      <c r="N1629" s="212"/>
    </row>
    <row r="1630" spans="3:14" ht="12" customHeight="1">
      <c r="C1630" s="231"/>
      <c r="D1630" s="3904"/>
      <c r="E1630" s="3905"/>
      <c r="F1630" s="3905"/>
      <c r="G1630" s="3905"/>
      <c r="H1630" s="3905"/>
      <c r="I1630" s="3905"/>
      <c r="J1630" s="232"/>
      <c r="K1630" s="232"/>
      <c r="L1630" s="232"/>
      <c r="N1630" s="212">
        <f>IF(D1630="",N1619,N1619+1)</f>
        <v>1182</v>
      </c>
    </row>
    <row r="1631" spans="3:14" ht="12" customHeight="1">
      <c r="C1631" s="231"/>
      <c r="D1631" s="3904"/>
      <c r="E1631" s="3905"/>
      <c r="F1631" s="3905"/>
      <c r="G1631" s="3905"/>
      <c r="H1631" s="3905"/>
      <c r="I1631" s="3905"/>
      <c r="J1631" s="232"/>
      <c r="K1631" s="232"/>
      <c r="L1631" s="232"/>
      <c r="N1631" s="212">
        <f t="shared" si="29"/>
        <v>1182</v>
      </c>
    </row>
    <row r="1632" spans="3:14" ht="12" customHeight="1">
      <c r="C1632" s="231"/>
      <c r="D1632" s="3904"/>
      <c r="E1632" s="3905"/>
      <c r="F1632" s="3905"/>
      <c r="G1632" s="3905"/>
      <c r="H1632" s="3905"/>
      <c r="I1632" s="3905"/>
      <c r="J1632" s="232"/>
      <c r="K1632" s="232"/>
      <c r="L1632" s="232"/>
      <c r="N1632" s="212">
        <f t="shared" si="29"/>
        <v>1182</v>
      </c>
    </row>
    <row r="1633" spans="1:14" ht="12" customHeight="1">
      <c r="C1633" s="231"/>
      <c r="D1633" s="3904"/>
      <c r="E1633" s="3905"/>
      <c r="F1633" s="3905"/>
      <c r="G1633" s="3905"/>
      <c r="H1633" s="3905"/>
      <c r="I1633" s="3905"/>
      <c r="J1633" s="232"/>
      <c r="K1633" s="232"/>
      <c r="L1633" s="232"/>
      <c r="N1633" s="212">
        <f t="shared" si="29"/>
        <v>1182</v>
      </c>
    </row>
    <row r="1634" spans="1:14" ht="12" customHeight="1">
      <c r="C1634" s="231"/>
      <c r="D1634" s="3904"/>
      <c r="E1634" s="3905"/>
      <c r="F1634" s="3905"/>
      <c r="G1634" s="3905"/>
      <c r="H1634" s="3905"/>
      <c r="I1634" s="3905"/>
      <c r="J1634" s="232"/>
      <c r="K1634" s="232"/>
      <c r="L1634" s="232"/>
      <c r="N1634" s="212">
        <f t="shared" si="29"/>
        <v>1182</v>
      </c>
    </row>
    <row r="1635" spans="1:14" ht="12" customHeight="1" thickBot="1">
      <c r="A1635" s="3906"/>
      <c r="C1635" s="231"/>
      <c r="D1635" s="3904"/>
      <c r="E1635" s="3905"/>
      <c r="F1635" s="3905"/>
      <c r="G1635" s="3905"/>
      <c r="H1635" s="3905"/>
      <c r="I1635" s="3905"/>
      <c r="J1635" s="232"/>
      <c r="K1635" s="232"/>
      <c r="L1635" s="232"/>
      <c r="N1635" s="212">
        <f t="shared" si="29"/>
        <v>1182</v>
      </c>
    </row>
    <row r="1636" spans="1:14" ht="15" customHeight="1" thickBot="1">
      <c r="A1636" s="3906"/>
      <c r="C1636" s="760"/>
      <c r="D1636" s="3947" t="s">
        <v>565</v>
      </c>
      <c r="E1636" s="3947"/>
      <c r="F1636" s="3947"/>
      <c r="G1636" s="3947"/>
      <c r="H1636" s="3947"/>
      <c r="I1636" s="3947"/>
      <c r="J1636" s="232"/>
      <c r="K1636" s="197" t="s">
        <v>576</v>
      </c>
      <c r="L1636" s="232"/>
      <c r="N1636" s="212">
        <f t="shared" si="29"/>
        <v>1183</v>
      </c>
    </row>
    <row r="1637" spans="1:14" ht="12" customHeight="1" thickBot="1">
      <c r="A1637" s="3906"/>
      <c r="C1637" s="231"/>
      <c r="D1637" s="3904"/>
      <c r="E1637" s="3905"/>
      <c r="F1637" s="3905"/>
      <c r="G1637" s="3905"/>
      <c r="H1637" s="3905"/>
      <c r="I1637" s="3905"/>
      <c r="J1637" s="232"/>
      <c r="K1637" s="1726" t="s">
        <v>551</v>
      </c>
      <c r="L1637" s="232"/>
      <c r="N1637" s="212">
        <f t="shared" si="29"/>
        <v>1183</v>
      </c>
    </row>
    <row r="1638" spans="1:14" ht="12" customHeight="1">
      <c r="A1638" s="3906"/>
      <c r="C1638" s="231"/>
      <c r="D1638" s="3912" t="s">
        <v>1733</v>
      </c>
      <c r="E1638" s="3913"/>
      <c r="F1638" s="3913"/>
      <c r="G1638" s="3913"/>
      <c r="H1638" s="3913"/>
      <c r="I1638" s="3913"/>
      <c r="J1638" s="232"/>
      <c r="K1638" s="232"/>
      <c r="L1638" s="232"/>
      <c r="N1638" s="212">
        <f t="shared" si="29"/>
        <v>1184</v>
      </c>
    </row>
    <row r="1639" spans="1:14" ht="12" customHeight="1">
      <c r="A1639" s="3906"/>
      <c r="C1639" s="231"/>
      <c r="D1639" s="3912" t="s">
        <v>1734</v>
      </c>
      <c r="E1639" s="3913"/>
      <c r="F1639" s="3913"/>
      <c r="G1639" s="3913"/>
      <c r="H1639" s="3913"/>
      <c r="I1639" s="3913"/>
      <c r="J1639" s="232"/>
      <c r="K1639" s="232"/>
      <c r="L1639" s="232"/>
      <c r="N1639" s="212">
        <f t="shared" si="29"/>
        <v>1185</v>
      </c>
    </row>
    <row r="1640" spans="1:14" ht="12" customHeight="1">
      <c r="A1640" s="3906"/>
      <c r="C1640" s="231"/>
      <c r="D1640" s="3900" t="s">
        <v>1735</v>
      </c>
      <c r="E1640" s="3900"/>
      <c r="F1640" s="3900"/>
      <c r="G1640" s="3900"/>
      <c r="H1640" s="3900"/>
      <c r="I1640" s="3900"/>
      <c r="J1640" s="3900"/>
      <c r="K1640" s="232"/>
      <c r="L1640" s="232"/>
      <c r="N1640" s="212">
        <f t="shared" si="29"/>
        <v>1186</v>
      </c>
    </row>
    <row r="1641" spans="1:14" ht="12" customHeight="1">
      <c r="A1641" s="3906"/>
      <c r="C1641" s="231"/>
      <c r="D1641" s="3912" t="s">
        <v>1736</v>
      </c>
      <c r="E1641" s="3913"/>
      <c r="F1641" s="3913"/>
      <c r="G1641" s="3913"/>
      <c r="H1641" s="3913"/>
      <c r="I1641" s="3913"/>
      <c r="J1641" s="232"/>
      <c r="K1641" s="232"/>
      <c r="L1641" s="232"/>
      <c r="N1641" s="212">
        <f t="shared" si="29"/>
        <v>1187</v>
      </c>
    </row>
    <row r="1642" spans="1:14" ht="12" customHeight="1">
      <c r="A1642" s="3906"/>
      <c r="C1642" s="231"/>
      <c r="D1642" s="3912" t="s">
        <v>1737</v>
      </c>
      <c r="E1642" s="3913"/>
      <c r="F1642" s="3913"/>
      <c r="G1642" s="3913"/>
      <c r="H1642" s="3913"/>
      <c r="I1642" s="3913"/>
      <c r="J1642" s="232"/>
      <c r="K1642" s="232"/>
      <c r="L1642" s="232"/>
      <c r="N1642" s="212">
        <f t="shared" si="29"/>
        <v>1188</v>
      </c>
    </row>
    <row r="1643" spans="1:14" ht="12" customHeight="1">
      <c r="A1643" s="3906"/>
      <c r="C1643" s="231"/>
      <c r="D1643" s="3904"/>
      <c r="E1643" s="3905"/>
      <c r="F1643" s="3905"/>
      <c r="G1643" s="3905"/>
      <c r="H1643" s="3905"/>
      <c r="I1643" s="3905"/>
      <c r="J1643" s="232"/>
      <c r="K1643" s="232"/>
      <c r="L1643" s="232"/>
      <c r="N1643" s="212">
        <f t="shared" si="29"/>
        <v>1188</v>
      </c>
    </row>
    <row r="1644" spans="1:14" ht="12" customHeight="1">
      <c r="A1644" s="3906"/>
      <c r="C1644" s="231"/>
      <c r="D1644" s="3904"/>
      <c r="E1644" s="3905"/>
      <c r="F1644" s="3905"/>
      <c r="G1644" s="3905"/>
      <c r="H1644" s="3905"/>
      <c r="I1644" s="3905"/>
      <c r="J1644" s="232"/>
      <c r="K1644" s="232"/>
      <c r="L1644" s="232"/>
      <c r="N1644" s="212">
        <f t="shared" si="29"/>
        <v>1188</v>
      </c>
    </row>
    <row r="1645" spans="1:14" ht="12" customHeight="1">
      <c r="A1645" s="3906"/>
      <c r="C1645" s="231"/>
      <c r="D1645" s="3901" t="s">
        <v>1738</v>
      </c>
      <c r="E1645" s="3901"/>
      <c r="F1645" s="3901"/>
      <c r="G1645" s="3901"/>
      <c r="H1645" s="3901"/>
      <c r="I1645" s="3901"/>
      <c r="J1645" s="232"/>
      <c r="K1645" s="232"/>
      <c r="L1645" s="232"/>
      <c r="N1645" s="212">
        <f t="shared" si="29"/>
        <v>1189</v>
      </c>
    </row>
    <row r="1646" spans="1:14" ht="12" customHeight="1">
      <c r="A1646" s="3906"/>
      <c r="C1646" s="231"/>
      <c r="D1646" s="3900" t="s">
        <v>863</v>
      </c>
      <c r="E1646" s="3901"/>
      <c r="F1646" s="3901"/>
      <c r="G1646" s="3901"/>
      <c r="H1646" s="3901"/>
      <c r="I1646" s="3901"/>
      <c r="J1646" s="232"/>
      <c r="K1646" s="232"/>
      <c r="L1646" s="232"/>
      <c r="N1646" s="212">
        <f t="shared" si="29"/>
        <v>1190</v>
      </c>
    </row>
    <row r="1647" spans="1:14" ht="12" customHeight="1">
      <c r="A1647" s="3906"/>
      <c r="C1647" s="231"/>
      <c r="D1647" s="3912" t="s">
        <v>974</v>
      </c>
      <c r="E1647" s="3913"/>
      <c r="F1647" s="3913"/>
      <c r="G1647" s="3913"/>
      <c r="H1647" s="3913"/>
      <c r="I1647" s="3913"/>
      <c r="J1647" s="232"/>
      <c r="K1647" s="232"/>
      <c r="L1647" s="232"/>
      <c r="N1647" s="212">
        <f t="shared" si="29"/>
        <v>1191</v>
      </c>
    </row>
    <row r="1648" spans="1:14" ht="12" customHeight="1">
      <c r="A1648" s="3906"/>
      <c r="C1648" s="231"/>
      <c r="D1648" s="3953" t="s">
        <v>808</v>
      </c>
      <c r="E1648" s="3954"/>
      <c r="F1648" s="3954"/>
      <c r="G1648" s="3954"/>
      <c r="H1648" s="3954"/>
      <c r="I1648" s="3954"/>
      <c r="J1648" s="232"/>
      <c r="K1648" s="232"/>
      <c r="L1648" s="232"/>
      <c r="M1648" s="193"/>
      <c r="N1648" s="212">
        <f t="shared" si="29"/>
        <v>1192</v>
      </c>
    </row>
    <row r="1649" spans="1:14" ht="12" customHeight="1">
      <c r="A1649" s="3906"/>
      <c r="C1649" s="231"/>
      <c r="D1649" s="3902" t="s">
        <v>1063</v>
      </c>
      <c r="E1649" s="3903"/>
      <c r="F1649" s="3903"/>
      <c r="G1649" s="3903"/>
      <c r="H1649" s="3903"/>
      <c r="I1649" s="3903"/>
      <c r="J1649" s="232"/>
      <c r="K1649" s="232"/>
      <c r="L1649" s="232"/>
      <c r="M1649" s="193"/>
      <c r="N1649" s="212">
        <f t="shared" si="29"/>
        <v>1193</v>
      </c>
    </row>
    <row r="1650" spans="1:14" ht="12" customHeight="1">
      <c r="A1650" s="3906"/>
      <c r="C1650" s="231"/>
      <c r="D1650" s="3902" t="s">
        <v>1064</v>
      </c>
      <c r="E1650" s="3903"/>
      <c r="F1650" s="3903"/>
      <c r="G1650" s="3903"/>
      <c r="H1650" s="3903"/>
      <c r="I1650" s="3903"/>
      <c r="J1650" s="232"/>
      <c r="K1650" s="232"/>
      <c r="L1650" s="232"/>
      <c r="M1650" s="193"/>
      <c r="N1650" s="212">
        <f t="shared" si="29"/>
        <v>1194</v>
      </c>
    </row>
    <row r="1651" spans="1:14" ht="12" customHeight="1">
      <c r="A1651" s="3906"/>
      <c r="C1651" s="231"/>
      <c r="D1651" s="3902" t="s">
        <v>1064</v>
      </c>
      <c r="E1651" s="3903"/>
      <c r="F1651" s="3903"/>
      <c r="G1651" s="3903"/>
      <c r="H1651" s="3903"/>
      <c r="I1651" s="3903"/>
      <c r="J1651" s="232"/>
      <c r="K1651" s="232"/>
      <c r="L1651" s="232"/>
      <c r="M1651" s="193"/>
      <c r="N1651" s="212">
        <f t="shared" si="29"/>
        <v>1195</v>
      </c>
    </row>
    <row r="1652" spans="1:14" ht="12" customHeight="1">
      <c r="A1652" s="3906"/>
      <c r="C1652" s="231"/>
      <c r="D1652" s="3902" t="s">
        <v>1065</v>
      </c>
      <c r="E1652" s="3903"/>
      <c r="F1652" s="3903"/>
      <c r="G1652" s="3903"/>
      <c r="H1652" s="3903"/>
      <c r="I1652" s="3903"/>
      <c r="J1652" s="232"/>
      <c r="K1652" s="232"/>
      <c r="L1652" s="232"/>
      <c r="M1652" s="193"/>
      <c r="N1652" s="212">
        <f t="shared" si="29"/>
        <v>1196</v>
      </c>
    </row>
    <row r="1653" spans="1:14" ht="12" customHeight="1">
      <c r="A1653" s="3906"/>
      <c r="C1653" s="231"/>
      <c r="D1653" s="3902" t="s">
        <v>1064</v>
      </c>
      <c r="E1653" s="3903"/>
      <c r="F1653" s="3903"/>
      <c r="G1653" s="3903"/>
      <c r="H1653" s="3903"/>
      <c r="I1653" s="3903"/>
      <c r="J1653" s="232"/>
      <c r="K1653" s="232"/>
      <c r="L1653" s="232"/>
      <c r="M1653" s="193"/>
      <c r="N1653" s="212">
        <f t="shared" si="29"/>
        <v>1197</v>
      </c>
    </row>
    <row r="1654" spans="1:14" ht="12" customHeight="1">
      <c r="A1654" s="3906"/>
      <c r="C1654" s="231"/>
      <c r="D1654" s="3902" t="s">
        <v>1064</v>
      </c>
      <c r="E1654" s="3903"/>
      <c r="F1654" s="3903"/>
      <c r="G1654" s="3903"/>
      <c r="H1654" s="3903"/>
      <c r="I1654" s="3903"/>
      <c r="J1654" s="232"/>
      <c r="K1654" s="232"/>
      <c r="L1654" s="232"/>
      <c r="M1654" s="193"/>
      <c r="N1654" s="212">
        <f t="shared" si="29"/>
        <v>1198</v>
      </c>
    </row>
    <row r="1655" spans="1:14" ht="12" customHeight="1">
      <c r="A1655" s="3906"/>
      <c r="C1655" s="231"/>
      <c r="D1655" s="3939" t="s">
        <v>810</v>
      </c>
      <c r="E1655" s="3940"/>
      <c r="F1655" s="3940"/>
      <c r="G1655" s="3940"/>
      <c r="H1655" s="3940"/>
      <c r="I1655" s="3940"/>
      <c r="J1655" s="232"/>
      <c r="K1655" s="232"/>
      <c r="L1655" s="232"/>
      <c r="M1655" s="193"/>
      <c r="N1655" s="212">
        <f t="shared" si="29"/>
        <v>1199</v>
      </c>
    </row>
    <row r="1656" spans="1:14" ht="12" customHeight="1">
      <c r="A1656" s="3906"/>
      <c r="C1656" s="231"/>
      <c r="D1656" s="3902" t="s">
        <v>1089</v>
      </c>
      <c r="E1656" s="3903"/>
      <c r="F1656" s="3903"/>
      <c r="G1656" s="3903"/>
      <c r="H1656" s="3903"/>
      <c r="I1656" s="3903"/>
      <c r="J1656" s="232"/>
      <c r="K1656" s="232"/>
      <c r="L1656" s="232"/>
      <c r="M1656" s="193"/>
      <c r="N1656" s="212">
        <f t="shared" si="29"/>
        <v>1200</v>
      </c>
    </row>
    <row r="1657" spans="1:14" ht="12" customHeight="1">
      <c r="A1657" s="3906"/>
      <c r="C1657" s="231"/>
      <c r="D1657" s="3902" t="s">
        <v>1089</v>
      </c>
      <c r="E1657" s="3903"/>
      <c r="F1657" s="3903"/>
      <c r="G1657" s="3903"/>
      <c r="H1657" s="3903"/>
      <c r="I1657" s="3903"/>
      <c r="J1657" s="232"/>
      <c r="K1657" s="232"/>
      <c r="L1657" s="232"/>
      <c r="M1657" s="193"/>
      <c r="N1657" s="212">
        <f t="shared" si="29"/>
        <v>1201</v>
      </c>
    </row>
    <row r="1658" spans="1:14" ht="12" customHeight="1">
      <c r="A1658" s="3906"/>
      <c r="C1658" s="231"/>
      <c r="D1658" s="3902" t="s">
        <v>727</v>
      </c>
      <c r="E1658" s="3903"/>
      <c r="F1658" s="3903"/>
      <c r="G1658" s="3903"/>
      <c r="H1658" s="3903"/>
      <c r="I1658" s="3903"/>
      <c r="J1658" s="232"/>
      <c r="K1658" s="232"/>
      <c r="L1658" s="232"/>
      <c r="M1658" s="193"/>
      <c r="N1658" s="212">
        <f t="shared" si="29"/>
        <v>1202</v>
      </c>
    </row>
    <row r="1659" spans="1:14" ht="12" customHeight="1">
      <c r="A1659" s="3906"/>
      <c r="C1659" s="231"/>
      <c r="D1659" s="3902" t="s">
        <v>1089</v>
      </c>
      <c r="E1659" s="3903"/>
      <c r="F1659" s="3903"/>
      <c r="G1659" s="3903"/>
      <c r="H1659" s="3903"/>
      <c r="I1659" s="3903"/>
      <c r="J1659" s="232"/>
      <c r="K1659" s="232"/>
      <c r="L1659" s="232"/>
      <c r="M1659" s="193"/>
      <c r="N1659" s="212">
        <f t="shared" si="29"/>
        <v>1203</v>
      </c>
    </row>
    <row r="1660" spans="1:14" ht="12" customHeight="1">
      <c r="A1660" s="3906"/>
      <c r="C1660" s="231"/>
      <c r="D1660" s="3902" t="s">
        <v>1089</v>
      </c>
      <c r="E1660" s="3903"/>
      <c r="F1660" s="3903"/>
      <c r="G1660" s="3903"/>
      <c r="H1660" s="3903"/>
      <c r="I1660" s="3903"/>
      <c r="J1660" s="232"/>
      <c r="K1660" s="232"/>
      <c r="L1660" s="232"/>
      <c r="M1660" s="193"/>
      <c r="N1660" s="212">
        <f t="shared" si="29"/>
        <v>1204</v>
      </c>
    </row>
    <row r="1661" spans="1:14" ht="12" customHeight="1">
      <c r="A1661" s="3906"/>
      <c r="C1661" s="231"/>
      <c r="D1661" s="3902" t="s">
        <v>728</v>
      </c>
      <c r="E1661" s="3903"/>
      <c r="F1661" s="3903"/>
      <c r="G1661" s="3903"/>
      <c r="H1661" s="3903"/>
      <c r="I1661" s="3903"/>
      <c r="J1661" s="232"/>
      <c r="K1661" s="232"/>
      <c r="L1661" s="232"/>
      <c r="M1661" s="193"/>
      <c r="N1661" s="212">
        <f t="shared" si="29"/>
        <v>1205</v>
      </c>
    </row>
    <row r="1662" spans="1:14" ht="12" customHeight="1">
      <c r="C1662" s="231"/>
      <c r="D1662" s="3914" t="s">
        <v>967</v>
      </c>
      <c r="E1662" s="3915"/>
      <c r="F1662" s="3915"/>
      <c r="G1662" s="3915"/>
      <c r="H1662" s="3915"/>
      <c r="I1662" s="3915"/>
      <c r="J1662" s="232"/>
      <c r="K1662" s="232"/>
      <c r="L1662" s="232"/>
      <c r="M1662" s="193"/>
      <c r="N1662" s="212">
        <f t="shared" si="29"/>
        <v>1206</v>
      </c>
    </row>
    <row r="1663" spans="1:14" ht="12" customHeight="1">
      <c r="C1663" s="231"/>
      <c r="D1663" s="3904"/>
      <c r="E1663" s="3905"/>
      <c r="F1663" s="3905"/>
      <c r="G1663" s="3905"/>
      <c r="H1663" s="3905"/>
      <c r="I1663" s="3905"/>
      <c r="J1663" s="232"/>
      <c r="K1663" s="232"/>
      <c r="L1663" s="232"/>
      <c r="N1663" s="212">
        <f t="shared" si="29"/>
        <v>1206</v>
      </c>
    </row>
    <row r="1664" spans="1:14" ht="12" customHeight="1">
      <c r="C1664" s="231"/>
      <c r="D1664" s="3904" t="s">
        <v>864</v>
      </c>
      <c r="E1664" s="3905"/>
      <c r="F1664" s="3905"/>
      <c r="G1664" s="3905"/>
      <c r="H1664" s="3905"/>
      <c r="I1664" s="3905"/>
      <c r="J1664" s="232"/>
      <c r="K1664" s="232"/>
      <c r="L1664" s="232"/>
      <c r="N1664" s="212">
        <f t="shared" si="29"/>
        <v>1207</v>
      </c>
    </row>
    <row r="1665" spans="3:14" ht="12" customHeight="1">
      <c r="C1665" s="231"/>
      <c r="D1665" s="3900" t="s">
        <v>1739</v>
      </c>
      <c r="E1665" s="3901"/>
      <c r="F1665" s="3901"/>
      <c r="G1665" s="3901"/>
      <c r="H1665" s="3901"/>
      <c r="I1665" s="3901"/>
      <c r="J1665" s="232"/>
      <c r="K1665" s="232"/>
      <c r="L1665" s="232"/>
      <c r="N1665" s="212">
        <f t="shared" si="29"/>
        <v>1208</v>
      </c>
    </row>
    <row r="1666" spans="3:14" ht="12" customHeight="1">
      <c r="C1666" s="231"/>
      <c r="D1666" s="3900" t="s">
        <v>1740</v>
      </c>
      <c r="E1666" s="3901"/>
      <c r="F1666" s="3901"/>
      <c r="G1666" s="3901"/>
      <c r="H1666" s="3901"/>
      <c r="I1666" s="3901"/>
      <c r="J1666" s="232"/>
      <c r="K1666" s="232"/>
      <c r="L1666" s="232"/>
      <c r="N1666" s="212">
        <f t="shared" si="29"/>
        <v>1209</v>
      </c>
    </row>
    <row r="1667" spans="3:14" ht="12" customHeight="1">
      <c r="C1667" s="231"/>
      <c r="D1667" s="3900" t="s">
        <v>1741</v>
      </c>
      <c r="E1667" s="3901"/>
      <c r="F1667" s="3901"/>
      <c r="G1667" s="3901"/>
      <c r="H1667" s="3901"/>
      <c r="I1667" s="3901"/>
      <c r="J1667" s="232"/>
      <c r="K1667" s="232"/>
      <c r="L1667" s="232"/>
      <c r="N1667" s="212">
        <f t="shared" si="29"/>
        <v>1210</v>
      </c>
    </row>
    <row r="1668" spans="3:14" ht="12" customHeight="1">
      <c r="C1668" s="231"/>
      <c r="D1668" s="3900" t="s">
        <v>1742</v>
      </c>
      <c r="E1668" s="3901"/>
      <c r="F1668" s="3901"/>
      <c r="G1668" s="3901"/>
      <c r="H1668" s="3901"/>
      <c r="I1668" s="3901"/>
      <c r="J1668" s="232"/>
      <c r="K1668" s="232"/>
      <c r="L1668" s="232"/>
      <c r="N1668" s="212">
        <f t="shared" si="29"/>
        <v>1211</v>
      </c>
    </row>
    <row r="1669" spans="3:14" ht="12" customHeight="1">
      <c r="C1669" s="231"/>
      <c r="D1669" s="3948" t="s">
        <v>1743</v>
      </c>
      <c r="E1669" s="3949"/>
      <c r="F1669" s="3949"/>
      <c r="G1669" s="3949"/>
      <c r="H1669" s="3949"/>
      <c r="I1669" s="3949"/>
      <c r="J1669" s="232"/>
      <c r="K1669" s="232"/>
      <c r="L1669" s="232"/>
      <c r="N1669" s="212">
        <f t="shared" si="29"/>
        <v>1212</v>
      </c>
    </row>
    <row r="1670" spans="3:14" ht="12" customHeight="1">
      <c r="C1670" s="231"/>
      <c r="D1670" s="3948" t="s">
        <v>1744</v>
      </c>
      <c r="E1670" s="3949"/>
      <c r="F1670" s="3949"/>
      <c r="G1670" s="3949"/>
      <c r="H1670" s="3949"/>
      <c r="I1670" s="3949"/>
      <c r="J1670" s="232"/>
      <c r="K1670" s="232"/>
      <c r="L1670" s="232"/>
      <c r="N1670" s="212">
        <f t="shared" si="29"/>
        <v>1213</v>
      </c>
    </row>
    <row r="1671" spans="3:14" ht="12" customHeight="1">
      <c r="C1671" s="231"/>
      <c r="D1671" s="3952" t="s">
        <v>2186</v>
      </c>
      <c r="E1671" s="3952"/>
      <c r="F1671" s="3952"/>
      <c r="G1671" s="3952"/>
      <c r="H1671" s="3952"/>
      <c r="I1671" s="3952"/>
      <c r="J1671" s="3952"/>
      <c r="K1671" s="3952"/>
      <c r="L1671" s="232"/>
      <c r="N1671" s="212">
        <f t="shared" si="29"/>
        <v>1214</v>
      </c>
    </row>
    <row r="1672" spans="3:14" ht="12" customHeight="1">
      <c r="C1672" s="231" t="s">
        <v>1093</v>
      </c>
      <c r="D1672" s="3900" t="s">
        <v>1745</v>
      </c>
      <c r="E1672" s="3900"/>
      <c r="F1672" s="3900"/>
      <c r="G1672" s="3900"/>
      <c r="H1672" s="3900"/>
      <c r="I1672" s="3900"/>
      <c r="J1672" s="3900"/>
      <c r="K1672" s="232"/>
      <c r="L1672" s="232"/>
      <c r="N1672" s="212">
        <f t="shared" si="29"/>
        <v>1215</v>
      </c>
    </row>
    <row r="1673" spans="3:14" ht="12" customHeight="1">
      <c r="C1673" s="231"/>
      <c r="D1673" s="3900" t="s">
        <v>1746</v>
      </c>
      <c r="E1673" s="3901"/>
      <c r="F1673" s="3901"/>
      <c r="G1673" s="3901"/>
      <c r="H1673" s="3901"/>
      <c r="I1673" s="3901"/>
      <c r="J1673" s="232"/>
      <c r="K1673" s="232"/>
      <c r="L1673" s="232"/>
      <c r="N1673" s="212">
        <f t="shared" si="29"/>
        <v>1216</v>
      </c>
    </row>
    <row r="1674" spans="3:14" ht="12" customHeight="1">
      <c r="C1674" s="231"/>
      <c r="D1674" s="3904"/>
      <c r="E1674" s="3905"/>
      <c r="F1674" s="3905"/>
      <c r="G1674" s="3905"/>
      <c r="H1674" s="3905"/>
      <c r="I1674" s="3905"/>
      <c r="J1674" s="232"/>
      <c r="K1674" s="232"/>
      <c r="L1674" s="232"/>
      <c r="N1674" s="212">
        <f t="shared" si="29"/>
        <v>1216</v>
      </c>
    </row>
    <row r="1675" spans="3:14" ht="12" customHeight="1">
      <c r="C1675" s="231"/>
      <c r="D1675" s="3912" t="s">
        <v>1747</v>
      </c>
      <c r="E1675" s="3913"/>
      <c r="F1675" s="3913"/>
      <c r="G1675" s="3913"/>
      <c r="H1675" s="3913"/>
      <c r="I1675" s="3913"/>
      <c r="J1675" s="232"/>
      <c r="K1675" s="232"/>
      <c r="L1675" s="232"/>
      <c r="N1675" s="212">
        <f t="shared" si="29"/>
        <v>1217</v>
      </c>
    </row>
    <row r="1676" spans="3:14" ht="12" customHeight="1">
      <c r="C1676" s="231"/>
      <c r="D1676" s="3904"/>
      <c r="E1676" s="3905"/>
      <c r="F1676" s="3905"/>
      <c r="G1676" s="3905"/>
      <c r="H1676" s="3905"/>
      <c r="I1676" s="3905"/>
      <c r="J1676" s="232"/>
      <c r="K1676" s="232"/>
      <c r="L1676" s="232"/>
      <c r="N1676" s="212">
        <f t="shared" si="29"/>
        <v>1217</v>
      </c>
    </row>
    <row r="1677" spans="3:14" ht="12" customHeight="1">
      <c r="C1677" s="231"/>
      <c r="D1677" s="742"/>
      <c r="E1677" s="743"/>
      <c r="F1677" s="1714"/>
      <c r="G1677" s="743"/>
      <c r="H1677" s="743"/>
      <c r="I1677" s="743"/>
      <c r="J1677" s="232"/>
      <c r="K1677" s="232"/>
      <c r="L1677" s="232"/>
      <c r="N1677" s="212">
        <f t="shared" si="29"/>
        <v>1217</v>
      </c>
    </row>
    <row r="1678" spans="3:14" ht="12" customHeight="1">
      <c r="C1678" s="231"/>
      <c r="D1678" s="3912" t="s">
        <v>1748</v>
      </c>
      <c r="E1678" s="3913"/>
      <c r="F1678" s="3913"/>
      <c r="G1678" s="3913"/>
      <c r="H1678" s="3913"/>
      <c r="I1678" s="3913"/>
      <c r="J1678" s="232"/>
      <c r="K1678" s="232"/>
      <c r="L1678" s="232"/>
      <c r="N1678" s="212">
        <f t="shared" si="29"/>
        <v>1218</v>
      </c>
    </row>
    <row r="1679" spans="3:14" ht="12" customHeight="1">
      <c r="C1679" s="231"/>
      <c r="D1679" s="3950"/>
      <c r="E1679" s="3951"/>
      <c r="F1679" s="3951"/>
      <c r="G1679" s="3951"/>
      <c r="H1679" s="3951"/>
      <c r="I1679" s="3951"/>
      <c r="J1679" s="232"/>
      <c r="K1679" s="232"/>
      <c r="L1679" s="232"/>
      <c r="N1679" s="212">
        <f t="shared" si="29"/>
        <v>1218</v>
      </c>
    </row>
    <row r="1680" spans="3:14" ht="12" customHeight="1">
      <c r="C1680" s="231"/>
      <c r="D1680" s="3950" t="s">
        <v>865</v>
      </c>
      <c r="E1680" s="3951"/>
      <c r="F1680" s="3951"/>
      <c r="G1680" s="3951"/>
      <c r="H1680" s="3951"/>
      <c r="I1680" s="3951"/>
      <c r="J1680" s="232"/>
      <c r="K1680" s="232"/>
      <c r="L1680" s="232"/>
      <c r="N1680" s="212">
        <f t="shared" si="29"/>
        <v>1219</v>
      </c>
    </row>
    <row r="1681" spans="3:14" ht="12" customHeight="1">
      <c r="C1681" s="231"/>
      <c r="D1681" s="3950" t="s">
        <v>866</v>
      </c>
      <c r="E1681" s="3951"/>
      <c r="F1681" s="3951"/>
      <c r="G1681" s="3951"/>
      <c r="H1681" s="3951"/>
      <c r="I1681" s="3951"/>
      <c r="J1681" s="232"/>
      <c r="K1681" s="232"/>
      <c r="L1681" s="232"/>
      <c r="N1681" s="212">
        <f t="shared" si="29"/>
        <v>1220</v>
      </c>
    </row>
    <row r="1682" spans="3:14" ht="12" customHeight="1">
      <c r="C1682" s="231"/>
      <c r="D1682" s="3950" t="s">
        <v>1066</v>
      </c>
      <c r="E1682" s="3951"/>
      <c r="F1682" s="3951"/>
      <c r="G1682" s="3951"/>
      <c r="H1682" s="3951"/>
      <c r="I1682" s="3951"/>
      <c r="J1682" s="232"/>
      <c r="K1682" s="232"/>
      <c r="L1682" s="232"/>
      <c r="N1682" s="212">
        <f t="shared" si="29"/>
        <v>1221</v>
      </c>
    </row>
    <row r="1683" spans="3:14" ht="12" customHeight="1">
      <c r="C1683" s="231"/>
      <c r="D1683" s="3950" t="s">
        <v>867</v>
      </c>
      <c r="E1683" s="3951"/>
      <c r="F1683" s="3951"/>
      <c r="G1683" s="3951"/>
      <c r="H1683" s="3951"/>
      <c r="I1683" s="3951"/>
      <c r="J1683" s="232"/>
      <c r="K1683" s="232"/>
      <c r="L1683" s="232"/>
      <c r="N1683" s="212">
        <f t="shared" ref="N1683:N1747" si="30">IF(D1683="",N1682,N1682+1)</f>
        <v>1222</v>
      </c>
    </row>
    <row r="1684" spans="3:14" ht="12" customHeight="1">
      <c r="C1684" s="231"/>
      <c r="D1684" s="3950" t="s">
        <v>1067</v>
      </c>
      <c r="E1684" s="3951"/>
      <c r="F1684" s="3951"/>
      <c r="G1684" s="3951"/>
      <c r="H1684" s="3951"/>
      <c r="I1684" s="3951"/>
      <c r="J1684" s="232"/>
      <c r="K1684" s="232"/>
      <c r="L1684" s="232"/>
      <c r="N1684" s="212">
        <f t="shared" si="30"/>
        <v>1223</v>
      </c>
    </row>
    <row r="1685" spans="3:14" ht="12" customHeight="1">
      <c r="C1685" s="231"/>
      <c r="D1685" s="3950" t="s">
        <v>1069</v>
      </c>
      <c r="E1685" s="3951"/>
      <c r="F1685" s="3951"/>
      <c r="G1685" s="3951"/>
      <c r="H1685" s="3951"/>
      <c r="I1685" s="3951"/>
      <c r="J1685" s="232"/>
      <c r="K1685" s="232"/>
      <c r="L1685" s="232"/>
      <c r="N1685" s="212">
        <f t="shared" si="30"/>
        <v>1224</v>
      </c>
    </row>
    <row r="1686" spans="3:14" ht="12" customHeight="1">
      <c r="C1686" s="231"/>
      <c r="D1686" s="3950" t="s">
        <v>1068</v>
      </c>
      <c r="E1686" s="3951"/>
      <c r="F1686" s="3951"/>
      <c r="G1686" s="3951"/>
      <c r="H1686" s="3951"/>
      <c r="I1686" s="3951"/>
      <c r="J1686" s="232"/>
      <c r="K1686" s="232"/>
      <c r="L1686" s="232"/>
      <c r="N1686" s="212">
        <f t="shared" si="30"/>
        <v>1225</v>
      </c>
    </row>
    <row r="1687" spans="3:14" ht="12" customHeight="1">
      <c r="C1687" s="231"/>
      <c r="D1687" s="3950" t="s">
        <v>868</v>
      </c>
      <c r="E1687" s="3951"/>
      <c r="F1687" s="3951"/>
      <c r="G1687" s="3951"/>
      <c r="H1687" s="3951"/>
      <c r="I1687" s="3951"/>
      <c r="J1687" s="232"/>
      <c r="K1687" s="232"/>
      <c r="L1687" s="232"/>
      <c r="N1687" s="212">
        <f t="shared" si="30"/>
        <v>1226</v>
      </c>
    </row>
    <row r="1688" spans="3:14" ht="12" customHeight="1">
      <c r="C1688" s="231"/>
      <c r="D1688" s="3950"/>
      <c r="E1688" s="3951"/>
      <c r="F1688" s="3951"/>
      <c r="G1688" s="3951"/>
      <c r="H1688" s="3951"/>
      <c r="I1688" s="3951"/>
      <c r="J1688" s="232"/>
      <c r="K1688" s="232"/>
      <c r="L1688" s="232"/>
      <c r="N1688" s="212">
        <f t="shared" si="30"/>
        <v>1226</v>
      </c>
    </row>
    <row r="1689" spans="3:14" ht="12" customHeight="1">
      <c r="C1689" s="231"/>
      <c r="D1689" s="3904"/>
      <c r="E1689" s="3905"/>
      <c r="F1689" s="3905"/>
      <c r="G1689" s="3905"/>
      <c r="H1689" s="3905"/>
      <c r="I1689" s="3905"/>
      <c r="J1689" s="232"/>
      <c r="K1689" s="232"/>
      <c r="L1689" s="232"/>
      <c r="N1689" s="212">
        <f t="shared" si="30"/>
        <v>1226</v>
      </c>
    </row>
    <row r="1690" spans="3:14" ht="12" customHeight="1">
      <c r="C1690" s="231"/>
      <c r="D1690" s="3912" t="s">
        <v>1749</v>
      </c>
      <c r="E1690" s="3913"/>
      <c r="F1690" s="3913"/>
      <c r="G1690" s="3913"/>
      <c r="H1690" s="3913"/>
      <c r="I1690" s="3913"/>
      <c r="J1690" s="232"/>
      <c r="K1690" s="232"/>
      <c r="L1690" s="232"/>
      <c r="N1690" s="212">
        <f t="shared" si="30"/>
        <v>1227</v>
      </c>
    </row>
    <row r="1691" spans="3:14" ht="12" customHeight="1">
      <c r="C1691" s="231"/>
      <c r="D1691" s="3950" t="s">
        <v>869</v>
      </c>
      <c r="E1691" s="3951"/>
      <c r="F1691" s="3951"/>
      <c r="G1691" s="3951"/>
      <c r="H1691" s="3951"/>
      <c r="I1691" s="3951"/>
      <c r="J1691" s="232"/>
      <c r="K1691" s="232"/>
      <c r="L1691" s="232"/>
      <c r="N1691" s="212">
        <f t="shared" si="30"/>
        <v>1228</v>
      </c>
    </row>
    <row r="1692" spans="3:14" ht="12" customHeight="1">
      <c r="C1692" s="231"/>
      <c r="D1692" s="3950" t="s">
        <v>1070</v>
      </c>
      <c r="E1692" s="3951"/>
      <c r="F1692" s="3951"/>
      <c r="G1692" s="3951"/>
      <c r="H1692" s="3951"/>
      <c r="I1692" s="3951"/>
      <c r="J1692" s="232"/>
      <c r="K1692" s="232"/>
      <c r="L1692" s="232"/>
      <c r="N1692" s="212">
        <f t="shared" si="30"/>
        <v>1229</v>
      </c>
    </row>
    <row r="1693" spans="3:14" ht="12" customHeight="1">
      <c r="C1693" s="231"/>
      <c r="D1693" s="3950" t="s">
        <v>870</v>
      </c>
      <c r="E1693" s="3951"/>
      <c r="F1693" s="3951"/>
      <c r="G1693" s="3951"/>
      <c r="H1693" s="3951"/>
      <c r="I1693" s="3951"/>
      <c r="J1693" s="232"/>
      <c r="K1693" s="232"/>
      <c r="L1693" s="232"/>
      <c r="N1693" s="212">
        <f t="shared" si="30"/>
        <v>1230</v>
      </c>
    </row>
    <row r="1694" spans="3:14" ht="12" customHeight="1">
      <c r="C1694" s="231"/>
      <c r="D1694" s="3950" t="s">
        <v>1071</v>
      </c>
      <c r="E1694" s="3951"/>
      <c r="F1694" s="3951"/>
      <c r="G1694" s="3951"/>
      <c r="H1694" s="3951"/>
      <c r="I1694" s="3951"/>
      <c r="J1694" s="232"/>
      <c r="K1694" s="232"/>
      <c r="L1694" s="232"/>
      <c r="N1694" s="212">
        <f t="shared" si="30"/>
        <v>1231</v>
      </c>
    </row>
    <row r="1695" spans="3:14" ht="12" customHeight="1">
      <c r="C1695" s="231"/>
      <c r="D1695" s="3950" t="s">
        <v>871</v>
      </c>
      <c r="E1695" s="3951"/>
      <c r="F1695" s="3951"/>
      <c r="G1695" s="3951"/>
      <c r="H1695" s="3951"/>
      <c r="I1695" s="3951"/>
      <c r="J1695" s="232"/>
      <c r="K1695" s="232"/>
      <c r="L1695" s="232"/>
      <c r="N1695" s="212">
        <f t="shared" si="30"/>
        <v>1232</v>
      </c>
    </row>
    <row r="1696" spans="3:14" ht="12" customHeight="1">
      <c r="C1696" s="231"/>
      <c r="D1696" s="3950" t="s">
        <v>1072</v>
      </c>
      <c r="E1696" s="3951"/>
      <c r="F1696" s="3951"/>
      <c r="G1696" s="3951"/>
      <c r="H1696" s="3951"/>
      <c r="I1696" s="3951"/>
      <c r="J1696" s="232"/>
      <c r="K1696" s="232"/>
      <c r="L1696" s="232"/>
      <c r="N1696" s="212">
        <f t="shared" si="30"/>
        <v>1233</v>
      </c>
    </row>
    <row r="1697" spans="3:14" ht="12" customHeight="1">
      <c r="C1697" s="231"/>
      <c r="D1697" s="3950" t="s">
        <v>1073</v>
      </c>
      <c r="E1697" s="3951"/>
      <c r="F1697" s="3951"/>
      <c r="G1697" s="3951"/>
      <c r="H1697" s="3951"/>
      <c r="I1697" s="3951"/>
      <c r="J1697" s="232"/>
      <c r="K1697" s="232"/>
      <c r="L1697" s="232"/>
      <c r="N1697" s="212">
        <f t="shared" si="30"/>
        <v>1234</v>
      </c>
    </row>
    <row r="1698" spans="3:14" ht="12" customHeight="1">
      <c r="C1698" s="231"/>
      <c r="D1698" s="3950" t="s">
        <v>1074</v>
      </c>
      <c r="E1698" s="3951"/>
      <c r="F1698" s="3951"/>
      <c r="G1698" s="3951"/>
      <c r="H1698" s="3951"/>
      <c r="I1698" s="3951"/>
      <c r="J1698" s="232"/>
      <c r="K1698" s="232"/>
      <c r="L1698" s="232"/>
      <c r="N1698" s="212">
        <f t="shared" si="30"/>
        <v>1235</v>
      </c>
    </row>
    <row r="1699" spans="3:14" ht="12" customHeight="1">
      <c r="C1699" s="231"/>
      <c r="D1699" s="3950" t="s">
        <v>1075</v>
      </c>
      <c r="E1699" s="3951"/>
      <c r="F1699" s="3951"/>
      <c r="G1699" s="3951"/>
      <c r="H1699" s="3951"/>
      <c r="I1699" s="3951"/>
      <c r="J1699" s="232"/>
      <c r="K1699" s="232"/>
      <c r="L1699" s="232"/>
      <c r="N1699" s="212">
        <f t="shared" si="30"/>
        <v>1236</v>
      </c>
    </row>
    <row r="1700" spans="3:14" ht="12" customHeight="1">
      <c r="C1700" s="231"/>
      <c r="D1700" s="3950"/>
      <c r="E1700" s="3951"/>
      <c r="F1700" s="3951"/>
      <c r="G1700" s="3951"/>
      <c r="H1700" s="3951"/>
      <c r="I1700" s="3951"/>
      <c r="J1700" s="232"/>
      <c r="K1700" s="232"/>
      <c r="L1700" s="232"/>
      <c r="N1700" s="212">
        <f t="shared" si="30"/>
        <v>1236</v>
      </c>
    </row>
    <row r="1701" spans="3:14" ht="12" customHeight="1">
      <c r="C1701" s="231"/>
      <c r="D1701" s="3904"/>
      <c r="E1701" s="3905"/>
      <c r="F1701" s="3905"/>
      <c r="G1701" s="3905"/>
      <c r="H1701" s="3905"/>
      <c r="I1701" s="3905"/>
      <c r="J1701" s="232"/>
      <c r="K1701" s="232"/>
      <c r="L1701" s="232"/>
      <c r="N1701" s="212">
        <f t="shared" si="30"/>
        <v>1236</v>
      </c>
    </row>
    <row r="1702" spans="3:14" ht="12" customHeight="1">
      <c r="C1702" s="231"/>
      <c r="D1702" s="3912" t="s">
        <v>1750</v>
      </c>
      <c r="E1702" s="3913"/>
      <c r="F1702" s="3913"/>
      <c r="G1702" s="3913"/>
      <c r="H1702" s="3913"/>
      <c r="I1702" s="3913"/>
      <c r="J1702" s="232"/>
      <c r="K1702" s="232"/>
      <c r="L1702" s="232"/>
      <c r="N1702" s="212">
        <f t="shared" si="30"/>
        <v>1237</v>
      </c>
    </row>
    <row r="1703" spans="3:14" ht="12" customHeight="1">
      <c r="C1703" s="231"/>
      <c r="D1703" s="3950"/>
      <c r="E1703" s="3951"/>
      <c r="F1703" s="3951"/>
      <c r="G1703" s="3951"/>
      <c r="H1703" s="3951"/>
      <c r="I1703" s="3951"/>
      <c r="J1703" s="232"/>
      <c r="K1703" s="232"/>
      <c r="L1703" s="232"/>
      <c r="N1703" s="212">
        <f t="shared" si="30"/>
        <v>1237</v>
      </c>
    </row>
    <row r="1704" spans="3:14" ht="12" customHeight="1">
      <c r="C1704" s="231"/>
      <c r="D1704" s="3950" t="s">
        <v>872</v>
      </c>
      <c r="E1704" s="3951"/>
      <c r="F1704" s="3951"/>
      <c r="G1704" s="3951"/>
      <c r="H1704" s="3951"/>
      <c r="I1704" s="3951"/>
      <c r="J1704" s="232"/>
      <c r="K1704" s="232"/>
      <c r="L1704" s="232"/>
      <c r="N1704" s="212">
        <f t="shared" si="30"/>
        <v>1238</v>
      </c>
    </row>
    <row r="1705" spans="3:14" ht="12" customHeight="1">
      <c r="C1705" s="231"/>
      <c r="D1705" s="3950" t="s">
        <v>873</v>
      </c>
      <c r="E1705" s="3951"/>
      <c r="F1705" s="3951"/>
      <c r="G1705" s="3951"/>
      <c r="H1705" s="3951"/>
      <c r="I1705" s="3951"/>
      <c r="J1705" s="232"/>
      <c r="K1705" s="232"/>
      <c r="L1705" s="232"/>
      <c r="N1705" s="212">
        <f t="shared" si="30"/>
        <v>1239</v>
      </c>
    </row>
    <row r="1706" spans="3:14" ht="12" customHeight="1">
      <c r="C1706" s="231"/>
      <c r="D1706" s="3950" t="s">
        <v>2295</v>
      </c>
      <c r="E1706" s="3951"/>
      <c r="F1706" s="3951"/>
      <c r="G1706" s="3951"/>
      <c r="H1706" s="3951"/>
      <c r="I1706" s="3951"/>
      <c r="J1706" s="232"/>
      <c r="K1706" s="232"/>
      <c r="L1706" s="232"/>
      <c r="N1706" s="212">
        <f t="shared" si="30"/>
        <v>1240</v>
      </c>
    </row>
    <row r="1707" spans="3:14" ht="12" customHeight="1">
      <c r="C1707" s="231"/>
      <c r="D1707" s="3950" t="s">
        <v>874</v>
      </c>
      <c r="E1707" s="3951"/>
      <c r="F1707" s="3951"/>
      <c r="G1707" s="3951"/>
      <c r="H1707" s="3951"/>
      <c r="I1707" s="3951"/>
      <c r="J1707" s="232"/>
      <c r="K1707" s="232"/>
      <c r="L1707" s="232"/>
      <c r="N1707" s="212">
        <f t="shared" si="30"/>
        <v>1241</v>
      </c>
    </row>
    <row r="1708" spans="3:14" ht="12" customHeight="1">
      <c r="C1708" s="231"/>
      <c r="D1708" s="3950" t="s">
        <v>1079</v>
      </c>
      <c r="E1708" s="3951"/>
      <c r="F1708" s="3951"/>
      <c r="G1708" s="3951"/>
      <c r="H1708" s="3951"/>
      <c r="I1708" s="3951"/>
      <c r="J1708" s="232"/>
      <c r="K1708" s="232"/>
      <c r="L1708" s="232"/>
      <c r="N1708" s="212">
        <f t="shared" si="30"/>
        <v>1242</v>
      </c>
    </row>
    <row r="1709" spans="3:14" ht="12" customHeight="1">
      <c r="C1709" s="231"/>
      <c r="D1709" s="3950" t="s">
        <v>1076</v>
      </c>
      <c r="E1709" s="3951"/>
      <c r="F1709" s="3951"/>
      <c r="G1709" s="3951"/>
      <c r="H1709" s="3951"/>
      <c r="I1709" s="3951"/>
      <c r="J1709" s="232"/>
      <c r="K1709" s="232"/>
      <c r="L1709" s="232"/>
      <c r="N1709" s="212">
        <f t="shared" si="30"/>
        <v>1243</v>
      </c>
    </row>
    <row r="1710" spans="3:14" ht="12" customHeight="1">
      <c r="C1710" s="231"/>
      <c r="D1710" s="3950" t="s">
        <v>1078</v>
      </c>
      <c r="E1710" s="3951"/>
      <c r="F1710" s="3951"/>
      <c r="G1710" s="3951"/>
      <c r="H1710" s="3951"/>
      <c r="I1710" s="3951"/>
      <c r="J1710" s="232"/>
      <c r="K1710" s="232"/>
      <c r="L1710" s="232"/>
      <c r="N1710" s="212">
        <f t="shared" si="30"/>
        <v>1244</v>
      </c>
    </row>
    <row r="1711" spans="3:14" ht="12" customHeight="1">
      <c r="C1711" s="231"/>
      <c r="D1711" s="3950" t="s">
        <v>1077</v>
      </c>
      <c r="E1711" s="3951"/>
      <c r="F1711" s="3951"/>
      <c r="G1711" s="3951"/>
      <c r="H1711" s="3951"/>
      <c r="I1711" s="3951"/>
      <c r="J1711" s="232"/>
      <c r="K1711" s="232"/>
      <c r="L1711" s="232"/>
      <c r="N1711" s="212">
        <f t="shared" si="30"/>
        <v>1245</v>
      </c>
    </row>
    <row r="1712" spans="3:14" ht="12" customHeight="1">
      <c r="C1712" s="231"/>
      <c r="D1712" s="3950"/>
      <c r="E1712" s="3951"/>
      <c r="F1712" s="3951"/>
      <c r="G1712" s="3951"/>
      <c r="H1712" s="3951"/>
      <c r="I1712" s="3951"/>
      <c r="J1712" s="232"/>
      <c r="K1712" s="232"/>
      <c r="L1712" s="232"/>
      <c r="N1712" s="212">
        <f t="shared" si="30"/>
        <v>1245</v>
      </c>
    </row>
    <row r="1713" spans="3:14" ht="12" customHeight="1">
      <c r="C1713" s="231"/>
      <c r="D1713" s="3904"/>
      <c r="E1713" s="3905"/>
      <c r="F1713" s="3905"/>
      <c r="G1713" s="3905"/>
      <c r="H1713" s="3905"/>
      <c r="I1713" s="3905"/>
      <c r="J1713" s="232"/>
      <c r="K1713" s="232"/>
      <c r="L1713" s="232"/>
      <c r="N1713" s="212">
        <f t="shared" si="30"/>
        <v>1245</v>
      </c>
    </row>
    <row r="1714" spans="3:14" ht="12" customHeight="1">
      <c r="C1714" s="231"/>
      <c r="D1714" s="3912" t="s">
        <v>875</v>
      </c>
      <c r="E1714" s="3913"/>
      <c r="F1714" s="3913"/>
      <c r="G1714" s="3913"/>
      <c r="H1714" s="3913"/>
      <c r="I1714" s="3913"/>
      <c r="J1714" s="232"/>
      <c r="K1714" s="232"/>
      <c r="L1714" s="232"/>
      <c r="N1714" s="212">
        <f t="shared" si="30"/>
        <v>1246</v>
      </c>
    </row>
    <row r="1715" spans="3:14" ht="12" customHeight="1">
      <c r="C1715" s="231"/>
      <c r="D1715" s="3900" t="s">
        <v>1751</v>
      </c>
      <c r="E1715" s="3901"/>
      <c r="F1715" s="3901"/>
      <c r="G1715" s="3901"/>
      <c r="H1715" s="3901"/>
      <c r="I1715" s="3901"/>
      <c r="J1715" s="232"/>
      <c r="K1715" s="232"/>
      <c r="L1715" s="232"/>
      <c r="N1715" s="212">
        <f t="shared" si="30"/>
        <v>1247</v>
      </c>
    </row>
    <row r="1716" spans="3:14" ht="12" customHeight="1">
      <c r="C1716" s="231"/>
      <c r="D1716" s="3912"/>
      <c r="E1716" s="3913"/>
      <c r="F1716" s="3913"/>
      <c r="G1716" s="3913"/>
      <c r="H1716" s="3913"/>
      <c r="I1716" s="3913"/>
      <c r="J1716" s="232"/>
      <c r="K1716" s="232"/>
      <c r="L1716" s="232"/>
      <c r="N1716" s="212">
        <f t="shared" si="30"/>
        <v>1247</v>
      </c>
    </row>
    <row r="1717" spans="3:14" ht="12" customHeight="1">
      <c r="C1717" s="231"/>
      <c r="D1717" s="3912" t="s">
        <v>1752</v>
      </c>
      <c r="E1717" s="3913"/>
      <c r="F1717" s="3913"/>
      <c r="G1717" s="3913"/>
      <c r="H1717" s="3913"/>
      <c r="I1717" s="3913"/>
      <c r="J1717" s="232"/>
      <c r="K1717" s="232"/>
      <c r="L1717" s="232"/>
      <c r="N1717" s="212">
        <f t="shared" si="30"/>
        <v>1248</v>
      </c>
    </row>
    <row r="1718" spans="3:14" ht="12" customHeight="1">
      <c r="C1718" s="231"/>
      <c r="D1718" s="3912"/>
      <c r="E1718" s="3913"/>
      <c r="F1718" s="3913"/>
      <c r="G1718" s="3913"/>
      <c r="H1718" s="3913"/>
      <c r="I1718" s="3913"/>
      <c r="J1718" s="232"/>
      <c r="K1718" s="232"/>
      <c r="L1718" s="232"/>
      <c r="N1718" s="212">
        <f t="shared" si="30"/>
        <v>1248</v>
      </c>
    </row>
    <row r="1719" spans="3:14" ht="12" customHeight="1">
      <c r="C1719" s="231"/>
      <c r="D1719" s="3912" t="s">
        <v>876</v>
      </c>
      <c r="E1719" s="3913"/>
      <c r="F1719" s="3913"/>
      <c r="G1719" s="3913"/>
      <c r="H1719" s="3913"/>
      <c r="I1719" s="3913"/>
      <c r="J1719" s="232"/>
      <c r="K1719" s="232"/>
      <c r="L1719" s="232"/>
      <c r="N1719" s="212">
        <f t="shared" si="30"/>
        <v>1249</v>
      </c>
    </row>
    <row r="1720" spans="3:14" ht="12" customHeight="1">
      <c r="C1720" s="231"/>
      <c r="D1720" s="3900" t="s">
        <v>1753</v>
      </c>
      <c r="E1720" s="3901"/>
      <c r="F1720" s="3901"/>
      <c r="G1720" s="3901"/>
      <c r="H1720" s="3901"/>
      <c r="I1720" s="3901"/>
      <c r="J1720" s="232"/>
      <c r="K1720" s="232"/>
      <c r="L1720" s="232"/>
      <c r="N1720" s="212">
        <f t="shared" si="30"/>
        <v>1250</v>
      </c>
    </row>
    <row r="1721" spans="3:14" ht="12" customHeight="1">
      <c r="C1721" s="231"/>
      <c r="D1721" s="3948" t="s">
        <v>1754</v>
      </c>
      <c r="E1721" s="3949"/>
      <c r="F1721" s="3949"/>
      <c r="G1721" s="3949"/>
      <c r="H1721" s="3949"/>
      <c r="I1721" s="3949"/>
      <c r="J1721" s="232"/>
      <c r="K1721" s="232"/>
      <c r="L1721" s="232"/>
      <c r="M1721" s="193"/>
      <c r="N1721" s="212">
        <f t="shared" si="30"/>
        <v>1251</v>
      </c>
    </row>
    <row r="1722" spans="3:14" ht="12" customHeight="1">
      <c r="C1722" s="231"/>
      <c r="D1722" s="3900" t="s">
        <v>877</v>
      </c>
      <c r="E1722" s="3901"/>
      <c r="F1722" s="3901"/>
      <c r="G1722" s="3901"/>
      <c r="H1722" s="3901"/>
      <c r="I1722" s="3901"/>
      <c r="J1722" s="232"/>
      <c r="K1722" s="232"/>
      <c r="L1722" s="232"/>
      <c r="N1722" s="212">
        <f t="shared" si="30"/>
        <v>1252</v>
      </c>
    </row>
    <row r="1723" spans="3:14" ht="12" customHeight="1">
      <c r="C1723" s="231"/>
      <c r="D1723" s="3948" t="s">
        <v>878</v>
      </c>
      <c r="E1723" s="3949"/>
      <c r="F1723" s="3949"/>
      <c r="G1723" s="3949"/>
      <c r="H1723" s="3949"/>
      <c r="I1723" s="3949"/>
      <c r="J1723" s="232"/>
      <c r="K1723" s="232"/>
      <c r="L1723" s="232"/>
      <c r="M1723" s="193"/>
      <c r="N1723" s="212">
        <f t="shared" si="30"/>
        <v>1253</v>
      </c>
    </row>
    <row r="1724" spans="3:14" ht="12" customHeight="1">
      <c r="C1724" s="231"/>
      <c r="D1724" s="3900" t="s">
        <v>1755</v>
      </c>
      <c r="E1724" s="3901"/>
      <c r="F1724" s="3901"/>
      <c r="G1724" s="3901"/>
      <c r="H1724" s="3901"/>
      <c r="I1724" s="3901"/>
      <c r="J1724" s="232"/>
      <c r="K1724" s="232"/>
      <c r="L1724" s="232"/>
      <c r="N1724" s="212">
        <f t="shared" si="30"/>
        <v>1254</v>
      </c>
    </row>
    <row r="1725" spans="3:14" ht="12" customHeight="1">
      <c r="C1725" s="231"/>
      <c r="D1725" s="3948" t="s">
        <v>1756</v>
      </c>
      <c r="E1725" s="3949"/>
      <c r="F1725" s="3949"/>
      <c r="G1725" s="3949"/>
      <c r="H1725" s="3949"/>
      <c r="I1725" s="3949"/>
      <c r="J1725" s="232"/>
      <c r="K1725" s="232"/>
      <c r="L1725" s="232"/>
      <c r="M1725" s="193"/>
      <c r="N1725" s="212">
        <f t="shared" si="30"/>
        <v>1255</v>
      </c>
    </row>
    <row r="1726" spans="3:14" ht="12" customHeight="1">
      <c r="C1726" s="231"/>
      <c r="D1726" s="3900" t="s">
        <v>880</v>
      </c>
      <c r="E1726" s="3901"/>
      <c r="F1726" s="3901"/>
      <c r="G1726" s="3901"/>
      <c r="H1726" s="3901"/>
      <c r="I1726" s="3901"/>
      <c r="J1726" s="232"/>
      <c r="K1726" s="232"/>
      <c r="L1726" s="232"/>
      <c r="N1726" s="212">
        <f t="shared" si="30"/>
        <v>1256</v>
      </c>
    </row>
    <row r="1727" spans="3:14" ht="12" customHeight="1">
      <c r="C1727" s="231"/>
      <c r="D1727" s="3948" t="s">
        <v>1757</v>
      </c>
      <c r="E1727" s="3949"/>
      <c r="F1727" s="3949"/>
      <c r="G1727" s="3949"/>
      <c r="H1727" s="3949"/>
      <c r="I1727" s="3949"/>
      <c r="J1727" s="232"/>
      <c r="K1727" s="232"/>
      <c r="L1727" s="232"/>
      <c r="M1727" s="193"/>
      <c r="N1727" s="212">
        <f t="shared" si="30"/>
        <v>1257</v>
      </c>
    </row>
    <row r="1728" spans="3:14" ht="12" customHeight="1">
      <c r="C1728" s="231"/>
      <c r="D1728" s="3900" t="s">
        <v>879</v>
      </c>
      <c r="E1728" s="3901"/>
      <c r="F1728" s="3901"/>
      <c r="G1728" s="3901"/>
      <c r="H1728" s="3901"/>
      <c r="I1728" s="3901"/>
      <c r="J1728" s="232"/>
      <c r="K1728" s="232"/>
      <c r="L1728" s="232"/>
      <c r="N1728" s="212">
        <f t="shared" si="30"/>
        <v>1258</v>
      </c>
    </row>
    <row r="1729" spans="3:14" ht="12" customHeight="1">
      <c r="C1729" s="231"/>
      <c r="D1729" s="3948" t="s">
        <v>1758</v>
      </c>
      <c r="E1729" s="3949"/>
      <c r="F1729" s="3949"/>
      <c r="G1729" s="3949"/>
      <c r="H1729" s="3949"/>
      <c r="I1729" s="3949"/>
      <c r="J1729" s="232"/>
      <c r="K1729" s="232"/>
      <c r="L1729" s="232"/>
      <c r="M1729" s="193"/>
      <c r="N1729" s="212">
        <f t="shared" si="30"/>
        <v>1259</v>
      </c>
    </row>
    <row r="1730" spans="3:14" ht="12" customHeight="1">
      <c r="C1730" s="231"/>
      <c r="D1730" s="3900" t="s">
        <v>880</v>
      </c>
      <c r="E1730" s="3901"/>
      <c r="F1730" s="3901"/>
      <c r="G1730" s="3901"/>
      <c r="H1730" s="3901"/>
      <c r="I1730" s="3901"/>
      <c r="J1730" s="232"/>
      <c r="K1730" s="232"/>
      <c r="L1730" s="232"/>
      <c r="N1730" s="212">
        <f t="shared" si="30"/>
        <v>1260</v>
      </c>
    </row>
    <row r="1731" spans="3:14" ht="12" customHeight="1">
      <c r="C1731" s="231"/>
      <c r="D1731" s="3948" t="s">
        <v>1759</v>
      </c>
      <c r="E1731" s="3949"/>
      <c r="F1731" s="3949"/>
      <c r="G1731" s="3949"/>
      <c r="H1731" s="3949"/>
      <c r="I1731" s="3949"/>
      <c r="J1731" s="232"/>
      <c r="K1731" s="232"/>
      <c r="L1731" s="232"/>
      <c r="M1731" s="193"/>
      <c r="N1731" s="212">
        <f t="shared" si="30"/>
        <v>1261</v>
      </c>
    </row>
    <row r="1732" spans="3:14" ht="12" customHeight="1">
      <c r="C1732" s="231"/>
      <c r="D1732" s="3900" t="s">
        <v>879</v>
      </c>
      <c r="E1732" s="3901"/>
      <c r="F1732" s="3901"/>
      <c r="G1732" s="3901"/>
      <c r="H1732" s="3901"/>
      <c r="I1732" s="3901"/>
      <c r="J1732" s="232"/>
      <c r="K1732" s="232"/>
      <c r="L1732" s="232"/>
      <c r="N1732" s="212">
        <f t="shared" si="30"/>
        <v>1262</v>
      </c>
    </row>
    <row r="1733" spans="3:14" ht="12" customHeight="1">
      <c r="C1733" s="231"/>
      <c r="D1733" s="3904"/>
      <c r="E1733" s="3905"/>
      <c r="F1733" s="3905"/>
      <c r="G1733" s="3905"/>
      <c r="H1733" s="3905"/>
      <c r="I1733" s="3905"/>
      <c r="J1733" s="232"/>
      <c r="K1733" s="232"/>
      <c r="L1733" s="232"/>
      <c r="N1733" s="212">
        <f t="shared" si="30"/>
        <v>1262</v>
      </c>
    </row>
    <row r="1734" spans="3:14" ht="12" customHeight="1">
      <c r="C1734" s="231"/>
      <c r="D1734" s="3912" t="s">
        <v>1760</v>
      </c>
      <c r="E1734" s="3913"/>
      <c r="F1734" s="3913"/>
      <c r="G1734" s="3913"/>
      <c r="H1734" s="3913"/>
      <c r="I1734" s="3913"/>
      <c r="J1734" s="232"/>
      <c r="K1734" s="232"/>
      <c r="L1734" s="232"/>
      <c r="N1734" s="212">
        <f t="shared" si="30"/>
        <v>1263</v>
      </c>
    </row>
    <row r="1735" spans="3:14" ht="12" customHeight="1">
      <c r="C1735" s="231"/>
      <c r="D1735" s="3912"/>
      <c r="E1735" s="3913"/>
      <c r="F1735" s="3913"/>
      <c r="G1735" s="3913"/>
      <c r="H1735" s="3913"/>
      <c r="I1735" s="3913"/>
      <c r="J1735" s="232"/>
      <c r="K1735" s="232"/>
      <c r="L1735" s="232"/>
      <c r="N1735" s="212">
        <f t="shared" si="30"/>
        <v>1263</v>
      </c>
    </row>
    <row r="1736" spans="3:14" ht="12" customHeight="1">
      <c r="C1736" s="231"/>
      <c r="D1736" s="3901" t="s">
        <v>1318</v>
      </c>
      <c r="E1736" s="3901"/>
      <c r="F1736" s="3901"/>
      <c r="G1736" s="3901"/>
      <c r="H1736" s="3901"/>
      <c r="I1736" s="3901"/>
      <c r="J1736" s="232"/>
      <c r="K1736" s="232"/>
      <c r="L1736" s="232"/>
      <c r="N1736" s="212">
        <f t="shared" si="30"/>
        <v>1264</v>
      </c>
    </row>
    <row r="1737" spans="3:14" ht="12" customHeight="1">
      <c r="C1737" s="231"/>
      <c r="D1737" s="3901" t="s">
        <v>1761</v>
      </c>
      <c r="E1737" s="3901"/>
      <c r="F1737" s="3901"/>
      <c r="G1737" s="3901"/>
      <c r="H1737" s="3901"/>
      <c r="I1737" s="3901"/>
      <c r="J1737" s="232"/>
      <c r="K1737" s="232"/>
      <c r="L1737" s="232"/>
      <c r="N1737" s="212">
        <f t="shared" si="30"/>
        <v>1265</v>
      </c>
    </row>
    <row r="1738" spans="3:14" ht="12" customHeight="1">
      <c r="C1738" s="231"/>
      <c r="D1738" s="3900" t="s">
        <v>1762</v>
      </c>
      <c r="E1738" s="3901"/>
      <c r="F1738" s="3901"/>
      <c r="G1738" s="3901"/>
      <c r="H1738" s="3901"/>
      <c r="I1738" s="3901"/>
      <c r="J1738" s="232"/>
      <c r="K1738" s="232"/>
      <c r="L1738" s="232"/>
      <c r="N1738" s="212">
        <f t="shared" si="30"/>
        <v>1266</v>
      </c>
    </row>
    <row r="1739" spans="3:14" ht="12" customHeight="1">
      <c r="C1739" s="231"/>
      <c r="D1739" s="3900" t="s">
        <v>1729</v>
      </c>
      <c r="E1739" s="3901"/>
      <c r="F1739" s="3901"/>
      <c r="G1739" s="3901"/>
      <c r="H1739" s="3901"/>
      <c r="I1739" s="3901"/>
      <c r="J1739" s="232"/>
      <c r="K1739" s="232"/>
      <c r="L1739" s="232"/>
      <c r="N1739" s="212">
        <f t="shared" si="30"/>
        <v>1267</v>
      </c>
    </row>
    <row r="1740" spans="3:14" ht="12" customHeight="1">
      <c r="C1740" s="231"/>
      <c r="D1740" s="3901" t="s">
        <v>1763</v>
      </c>
      <c r="E1740" s="3901"/>
      <c r="F1740" s="3901"/>
      <c r="G1740" s="3901"/>
      <c r="H1740" s="3901"/>
      <c r="I1740" s="3901"/>
      <c r="J1740" s="232"/>
      <c r="K1740" s="232"/>
      <c r="L1740" s="232"/>
      <c r="N1740" s="212">
        <f t="shared" si="30"/>
        <v>1268</v>
      </c>
    </row>
    <row r="1741" spans="3:14" ht="12" customHeight="1">
      <c r="C1741" s="231"/>
      <c r="D1741" s="3901" t="s">
        <v>1671</v>
      </c>
      <c r="E1741" s="3901"/>
      <c r="F1741" s="3901"/>
      <c r="G1741" s="3901"/>
      <c r="H1741" s="3901"/>
      <c r="I1741" s="3901"/>
      <c r="J1741" s="232"/>
      <c r="K1741" s="232"/>
      <c r="L1741" s="232"/>
      <c r="N1741" s="212">
        <f t="shared" si="30"/>
        <v>1269</v>
      </c>
    </row>
    <row r="1742" spans="3:14" ht="12" customHeight="1">
      <c r="C1742" s="231"/>
      <c r="D1742" s="3900" t="s">
        <v>1764</v>
      </c>
      <c r="E1742" s="3901"/>
      <c r="F1742" s="3901"/>
      <c r="G1742" s="3901"/>
      <c r="H1742" s="3901"/>
      <c r="I1742" s="3901"/>
      <c r="J1742" s="232"/>
      <c r="K1742" s="232"/>
      <c r="L1742" s="232"/>
      <c r="N1742" s="212">
        <f t="shared" si="30"/>
        <v>1270</v>
      </c>
    </row>
    <row r="1743" spans="3:14" ht="12" customHeight="1">
      <c r="C1743" s="231"/>
      <c r="D1743" s="3900" t="s">
        <v>1765</v>
      </c>
      <c r="E1743" s="3901"/>
      <c r="F1743" s="3901"/>
      <c r="G1743" s="3901"/>
      <c r="H1743" s="3901"/>
      <c r="I1743" s="3901"/>
      <c r="J1743" s="232"/>
      <c r="K1743" s="232"/>
      <c r="L1743" s="232"/>
      <c r="N1743" s="212">
        <f t="shared" si="30"/>
        <v>1271</v>
      </c>
    </row>
    <row r="1744" spans="3:14" ht="12" customHeight="1">
      <c r="C1744" s="231"/>
      <c r="D1744" s="3904"/>
      <c r="E1744" s="3905"/>
      <c r="F1744" s="3905"/>
      <c r="G1744" s="3905"/>
      <c r="H1744" s="3905"/>
      <c r="I1744" s="3905"/>
      <c r="J1744" s="232"/>
      <c r="K1744" s="232"/>
      <c r="L1744" s="232"/>
      <c r="N1744" s="212">
        <f t="shared" si="30"/>
        <v>1271</v>
      </c>
    </row>
    <row r="1745" spans="1:14" ht="12" customHeight="1">
      <c r="C1745" s="231"/>
      <c r="D1745" s="742"/>
      <c r="E1745" s="743"/>
      <c r="F1745" s="1714"/>
      <c r="G1745" s="743"/>
      <c r="H1745" s="743"/>
      <c r="I1745" s="743"/>
      <c r="J1745" s="232"/>
      <c r="K1745" s="232"/>
      <c r="L1745" s="232"/>
      <c r="N1745" s="212">
        <f t="shared" si="30"/>
        <v>1271</v>
      </c>
    </row>
    <row r="1746" spans="1:14" ht="12" customHeight="1">
      <c r="C1746" s="231"/>
      <c r="D1746" s="3904"/>
      <c r="E1746" s="3905"/>
      <c r="F1746" s="3905"/>
      <c r="G1746" s="3905"/>
      <c r="H1746" s="3905"/>
      <c r="I1746" s="3905"/>
      <c r="J1746" s="232"/>
      <c r="K1746" s="232"/>
      <c r="L1746" s="232"/>
      <c r="N1746" s="212">
        <f>IF(D1746="",N1744,N1744+1)</f>
        <v>1271</v>
      </c>
    </row>
    <row r="1747" spans="1:14" ht="12" customHeight="1">
      <c r="C1747" s="231"/>
      <c r="D1747" s="742"/>
      <c r="E1747" s="743"/>
      <c r="F1747" s="1714"/>
      <c r="G1747" s="743"/>
      <c r="H1747" s="743"/>
      <c r="I1747" s="743"/>
      <c r="J1747" s="232"/>
      <c r="K1747" s="232"/>
      <c r="L1747" s="232"/>
      <c r="N1747" s="212">
        <f t="shared" si="30"/>
        <v>1271</v>
      </c>
    </row>
    <row r="1748" spans="1:14" ht="12" customHeight="1" thickBot="1">
      <c r="A1748" s="3906"/>
      <c r="C1748" s="231"/>
      <c r="D1748" s="742"/>
      <c r="E1748" s="743"/>
      <c r="F1748" s="1714"/>
      <c r="G1748" s="743"/>
      <c r="H1748" s="743"/>
      <c r="I1748" s="743"/>
      <c r="J1748" s="232"/>
      <c r="K1748" s="232"/>
      <c r="L1748" s="232"/>
      <c r="N1748" s="212">
        <f t="shared" ref="N1748:N1811" si="31">IF(D1748="",N1747,N1747+1)</f>
        <v>1271</v>
      </c>
    </row>
    <row r="1749" spans="1:14" ht="15" customHeight="1" thickBot="1">
      <c r="A1749" s="3906"/>
      <c r="C1749" s="760"/>
      <c r="D1749" s="3947" t="s">
        <v>881</v>
      </c>
      <c r="E1749" s="3947"/>
      <c r="F1749" s="3947"/>
      <c r="G1749" s="3947"/>
      <c r="H1749" s="3947"/>
      <c r="I1749" s="3947"/>
      <c r="J1749" s="232"/>
      <c r="K1749" s="197" t="s">
        <v>576</v>
      </c>
      <c r="L1749" s="232"/>
      <c r="N1749" s="212">
        <f t="shared" si="31"/>
        <v>1272</v>
      </c>
    </row>
    <row r="1750" spans="1:14" ht="15" customHeight="1" thickBot="1">
      <c r="A1750" s="3906"/>
      <c r="C1750" s="760"/>
      <c r="D1750" s="748"/>
      <c r="E1750" s="748"/>
      <c r="F1750" s="1721"/>
      <c r="G1750" s="748"/>
      <c r="H1750" s="748"/>
      <c r="I1750" s="748"/>
      <c r="J1750" s="232"/>
      <c r="K1750" s="194" t="s">
        <v>551</v>
      </c>
      <c r="L1750" s="232"/>
      <c r="N1750" s="212">
        <f t="shared" si="31"/>
        <v>1272</v>
      </c>
    </row>
    <row r="1751" spans="1:14" ht="15" customHeight="1">
      <c r="A1751" s="3906"/>
      <c r="C1751" s="760"/>
      <c r="D1751" s="3912" t="s">
        <v>882</v>
      </c>
      <c r="E1751" s="3913"/>
      <c r="F1751" s="3913"/>
      <c r="G1751" s="3913"/>
      <c r="H1751" s="3913"/>
      <c r="I1751" s="3913"/>
      <c r="J1751" s="232"/>
      <c r="K1751" s="232"/>
      <c r="L1751" s="232"/>
      <c r="N1751" s="212">
        <f t="shared" si="31"/>
        <v>1273</v>
      </c>
    </row>
    <row r="1752" spans="1:14" ht="12" customHeight="1">
      <c r="A1752" s="3906"/>
      <c r="C1752" s="231"/>
      <c r="D1752" s="3900" t="s">
        <v>883</v>
      </c>
      <c r="E1752" s="3901"/>
      <c r="F1752" s="3901"/>
      <c r="G1752" s="3901"/>
      <c r="H1752" s="3901"/>
      <c r="I1752" s="3901"/>
      <c r="J1752" s="232"/>
      <c r="K1752" s="232"/>
      <c r="L1752" s="232"/>
      <c r="N1752" s="212">
        <f t="shared" si="31"/>
        <v>1274</v>
      </c>
    </row>
    <row r="1753" spans="1:14" ht="12" customHeight="1">
      <c r="A1753" s="3906"/>
      <c r="C1753" s="231"/>
      <c r="D1753" s="3900" t="s">
        <v>884</v>
      </c>
      <c r="E1753" s="3901"/>
      <c r="F1753" s="3901"/>
      <c r="G1753" s="3901"/>
      <c r="H1753" s="3901"/>
      <c r="I1753" s="3901"/>
      <c r="J1753" s="232"/>
      <c r="K1753" s="232"/>
      <c r="L1753" s="232"/>
      <c r="N1753" s="212">
        <f t="shared" si="31"/>
        <v>1275</v>
      </c>
    </row>
    <row r="1754" spans="1:14" ht="12" customHeight="1">
      <c r="A1754" s="3906"/>
      <c r="C1754" s="231"/>
      <c r="D1754" s="3900" t="s">
        <v>1766</v>
      </c>
      <c r="E1754" s="3901"/>
      <c r="F1754" s="3901"/>
      <c r="G1754" s="3901"/>
      <c r="H1754" s="3901"/>
      <c r="I1754" s="3901"/>
      <c r="J1754" s="232"/>
      <c r="K1754" s="232"/>
      <c r="L1754" s="232"/>
      <c r="N1754" s="212">
        <f t="shared" si="31"/>
        <v>1276</v>
      </c>
    </row>
    <row r="1755" spans="1:14" ht="15" customHeight="1">
      <c r="A1755" s="3906"/>
      <c r="C1755" s="760"/>
      <c r="D1755" s="3900" t="s">
        <v>1080</v>
      </c>
      <c r="E1755" s="3901"/>
      <c r="F1755" s="3901"/>
      <c r="G1755" s="3901"/>
      <c r="H1755" s="3901"/>
      <c r="I1755" s="3901"/>
      <c r="J1755" s="232"/>
      <c r="K1755" s="232"/>
      <c r="L1755" s="232"/>
      <c r="N1755" s="212">
        <f t="shared" si="31"/>
        <v>1277</v>
      </c>
    </row>
    <row r="1756" spans="1:14" ht="15" customHeight="1">
      <c r="A1756" s="3906"/>
      <c r="C1756" s="760"/>
      <c r="D1756" s="3900" t="s">
        <v>885</v>
      </c>
      <c r="E1756" s="3901"/>
      <c r="F1756" s="3901"/>
      <c r="G1756" s="3901"/>
      <c r="H1756" s="3901"/>
      <c r="I1756" s="3901"/>
      <c r="J1756" s="232"/>
      <c r="K1756" s="232"/>
      <c r="L1756" s="232"/>
      <c r="N1756" s="212">
        <f t="shared" si="31"/>
        <v>1278</v>
      </c>
    </row>
    <row r="1757" spans="1:14" ht="12" customHeight="1">
      <c r="A1757" s="3906"/>
      <c r="C1757" s="231"/>
      <c r="D1757" s="3904"/>
      <c r="E1757" s="3905"/>
      <c r="F1757" s="3905"/>
      <c r="G1757" s="3905"/>
      <c r="H1757" s="3905"/>
      <c r="I1757" s="3905"/>
      <c r="J1757" s="232"/>
      <c r="K1757" s="232"/>
      <c r="L1757" s="232"/>
      <c r="N1757" s="212">
        <f t="shared" si="31"/>
        <v>1278</v>
      </c>
    </row>
    <row r="1758" spans="1:14" ht="12" customHeight="1">
      <c r="A1758" s="3906"/>
      <c r="C1758" s="231"/>
      <c r="D1758" s="3912" t="s">
        <v>886</v>
      </c>
      <c r="E1758" s="3913"/>
      <c r="F1758" s="3913"/>
      <c r="G1758" s="3913"/>
      <c r="H1758" s="3913"/>
      <c r="I1758" s="3913"/>
      <c r="J1758" s="538"/>
      <c r="K1758" s="232"/>
      <c r="L1758" s="232"/>
      <c r="N1758" s="212">
        <f t="shared" si="31"/>
        <v>1279</v>
      </c>
    </row>
    <row r="1759" spans="1:14" ht="12" customHeight="1">
      <c r="A1759" s="3906"/>
      <c r="C1759" s="231"/>
      <c r="D1759" s="3900" t="s">
        <v>887</v>
      </c>
      <c r="E1759" s="3901"/>
      <c r="F1759" s="3901"/>
      <c r="G1759" s="3901"/>
      <c r="H1759" s="3901"/>
      <c r="I1759" s="3901"/>
      <c r="J1759" s="538"/>
      <c r="K1759" s="232"/>
      <c r="L1759" s="232"/>
      <c r="N1759" s="212">
        <f t="shared" si="31"/>
        <v>1280</v>
      </c>
    </row>
    <row r="1760" spans="1:14" ht="12" customHeight="1">
      <c r="A1760" s="3906"/>
      <c r="C1760" s="231"/>
      <c r="D1760" s="3900" t="s">
        <v>888</v>
      </c>
      <c r="E1760" s="3901"/>
      <c r="F1760" s="3901"/>
      <c r="G1760" s="3901"/>
      <c r="H1760" s="3901"/>
      <c r="I1760" s="3901"/>
      <c r="J1760" s="538"/>
      <c r="K1760" s="232"/>
      <c r="L1760" s="232"/>
      <c r="N1760" s="212">
        <f t="shared" si="31"/>
        <v>1281</v>
      </c>
    </row>
    <row r="1761" spans="1:14" ht="12" customHeight="1">
      <c r="A1761" s="3906"/>
      <c r="C1761" s="231"/>
      <c r="D1761" s="3900" t="s">
        <v>889</v>
      </c>
      <c r="E1761" s="3901"/>
      <c r="F1761" s="3901"/>
      <c r="G1761" s="3901"/>
      <c r="H1761" s="3901"/>
      <c r="I1761" s="3901"/>
      <c r="J1761" s="538"/>
      <c r="K1761" s="232"/>
      <c r="L1761" s="232"/>
      <c r="N1761" s="212">
        <f t="shared" si="31"/>
        <v>1282</v>
      </c>
    </row>
    <row r="1762" spans="1:14" ht="12" customHeight="1">
      <c r="A1762" s="3906"/>
      <c r="C1762" s="231"/>
      <c r="D1762" s="3900" t="s">
        <v>890</v>
      </c>
      <c r="E1762" s="3901"/>
      <c r="F1762" s="3901"/>
      <c r="G1762" s="3901"/>
      <c r="H1762" s="3901"/>
      <c r="I1762" s="3901"/>
      <c r="J1762" s="538"/>
      <c r="K1762" s="232"/>
      <c r="L1762" s="232"/>
      <c r="N1762" s="212">
        <f t="shared" si="31"/>
        <v>1283</v>
      </c>
    </row>
    <row r="1763" spans="1:14" ht="12" customHeight="1">
      <c r="A1763" s="3906"/>
      <c r="C1763" s="231"/>
      <c r="D1763" s="3900" t="s">
        <v>891</v>
      </c>
      <c r="E1763" s="3901"/>
      <c r="F1763" s="3901"/>
      <c r="G1763" s="3901"/>
      <c r="H1763" s="3901"/>
      <c r="I1763" s="3901"/>
      <c r="J1763" s="538"/>
      <c r="K1763" s="232"/>
      <c r="L1763" s="232"/>
      <c r="N1763" s="212">
        <f t="shared" si="31"/>
        <v>1284</v>
      </c>
    </row>
    <row r="1764" spans="1:14" ht="12" customHeight="1">
      <c r="A1764" s="3906"/>
      <c r="C1764" s="231"/>
      <c r="D1764" s="3900" t="s">
        <v>892</v>
      </c>
      <c r="E1764" s="3901"/>
      <c r="F1764" s="3901"/>
      <c r="G1764" s="3901"/>
      <c r="H1764" s="3901"/>
      <c r="I1764" s="3901"/>
      <c r="J1764" s="538"/>
      <c r="K1764" s="232"/>
      <c r="L1764" s="232"/>
      <c r="N1764" s="212">
        <f t="shared" si="31"/>
        <v>1285</v>
      </c>
    </row>
    <row r="1765" spans="1:14" ht="12" customHeight="1">
      <c r="A1765" s="3906"/>
      <c r="C1765" s="231"/>
      <c r="D1765" s="3900" t="s">
        <v>1769</v>
      </c>
      <c r="E1765" s="3900"/>
      <c r="F1765" s="3900"/>
      <c r="G1765" s="3900"/>
      <c r="H1765" s="3900"/>
      <c r="I1765" s="3900"/>
      <c r="J1765" s="3900"/>
      <c r="K1765" s="3900"/>
      <c r="L1765" s="232"/>
      <c r="N1765" s="212">
        <f t="shared" si="31"/>
        <v>1286</v>
      </c>
    </row>
    <row r="1766" spans="1:14" ht="12" customHeight="1">
      <c r="A1766" s="3906"/>
      <c r="C1766" s="231"/>
      <c r="D1766" s="3900" t="s">
        <v>893</v>
      </c>
      <c r="E1766" s="3901"/>
      <c r="F1766" s="3901"/>
      <c r="G1766" s="3901"/>
      <c r="H1766" s="3901"/>
      <c r="I1766" s="3901"/>
      <c r="J1766" s="538"/>
      <c r="K1766" s="232"/>
      <c r="L1766" s="232"/>
      <c r="N1766" s="212">
        <f t="shared" si="31"/>
        <v>1287</v>
      </c>
    </row>
    <row r="1767" spans="1:14" ht="12" customHeight="1">
      <c r="A1767" s="3906"/>
      <c r="C1767" s="231"/>
      <c r="D1767" s="3900"/>
      <c r="E1767" s="3901"/>
      <c r="F1767" s="3901"/>
      <c r="G1767" s="3901"/>
      <c r="H1767" s="3901"/>
      <c r="I1767" s="3901"/>
      <c r="J1767" s="538"/>
      <c r="K1767" s="232"/>
      <c r="L1767" s="232"/>
      <c r="N1767" s="212">
        <f t="shared" si="31"/>
        <v>1287</v>
      </c>
    </row>
    <row r="1768" spans="1:14" ht="12" customHeight="1">
      <c r="A1768" s="3906"/>
      <c r="C1768" s="231"/>
      <c r="D1768" s="3912" t="s">
        <v>894</v>
      </c>
      <c r="E1768" s="3913"/>
      <c r="F1768" s="3913"/>
      <c r="G1768" s="3913"/>
      <c r="H1768" s="3913"/>
      <c r="I1768" s="3913"/>
      <c r="J1768" s="538"/>
      <c r="K1768" s="232"/>
      <c r="L1768" s="232"/>
      <c r="N1768" s="212">
        <f t="shared" si="31"/>
        <v>1288</v>
      </c>
    </row>
    <row r="1769" spans="1:14" ht="12" customHeight="1">
      <c r="A1769" s="3906"/>
      <c r="C1769" s="231"/>
      <c r="D1769" s="3900" t="s">
        <v>895</v>
      </c>
      <c r="E1769" s="3901"/>
      <c r="F1769" s="3901"/>
      <c r="G1769" s="3901"/>
      <c r="H1769" s="3901"/>
      <c r="I1769" s="3901"/>
      <c r="J1769" s="538"/>
      <c r="K1769" s="232"/>
      <c r="L1769" s="232"/>
      <c r="N1769" s="212">
        <f t="shared" si="31"/>
        <v>1289</v>
      </c>
    </row>
    <row r="1770" spans="1:14" ht="12" customHeight="1">
      <c r="A1770" s="3906"/>
      <c r="C1770" s="231"/>
      <c r="D1770" s="3912"/>
      <c r="E1770" s="3913"/>
      <c r="F1770" s="3913"/>
      <c r="G1770" s="3913"/>
      <c r="H1770" s="3913"/>
      <c r="I1770" s="3913"/>
      <c r="J1770" s="538"/>
      <c r="K1770" s="232"/>
      <c r="L1770" s="232"/>
      <c r="N1770" s="212">
        <f t="shared" si="31"/>
        <v>1289</v>
      </c>
    </row>
    <row r="1771" spans="1:14" ht="12" customHeight="1">
      <c r="A1771" s="3906"/>
      <c r="C1771" s="231"/>
      <c r="D1771" s="3912" t="s">
        <v>1770</v>
      </c>
      <c r="E1771" s="3913"/>
      <c r="F1771" s="3913"/>
      <c r="G1771" s="3913"/>
      <c r="H1771" s="3913"/>
      <c r="I1771" s="3913"/>
      <c r="J1771" s="538"/>
      <c r="K1771" s="232"/>
      <c r="L1771" s="232"/>
      <c r="N1771" s="212">
        <f t="shared" si="31"/>
        <v>1290</v>
      </c>
    </row>
    <row r="1772" spans="1:14" ht="12" customHeight="1">
      <c r="A1772" s="3906"/>
      <c r="C1772" s="231"/>
      <c r="D1772" s="3912" t="s">
        <v>1771</v>
      </c>
      <c r="E1772" s="3913"/>
      <c r="F1772" s="3913"/>
      <c r="G1772" s="3913"/>
      <c r="H1772" s="3913"/>
      <c r="I1772" s="3913"/>
      <c r="J1772" s="538"/>
      <c r="K1772" s="232"/>
      <c r="L1772" s="232"/>
      <c r="N1772" s="212">
        <f t="shared" si="31"/>
        <v>1291</v>
      </c>
    </row>
    <row r="1773" spans="1:14" ht="12" customHeight="1">
      <c r="A1773" s="3906"/>
      <c r="C1773" s="231"/>
      <c r="D1773" s="3912" t="s">
        <v>1772</v>
      </c>
      <c r="E1773" s="3913"/>
      <c r="F1773" s="3913"/>
      <c r="G1773" s="3913"/>
      <c r="H1773" s="3913"/>
      <c r="I1773" s="3913"/>
      <c r="J1773" s="538"/>
      <c r="K1773" s="232"/>
      <c r="L1773" s="232"/>
      <c r="N1773" s="212">
        <f t="shared" si="31"/>
        <v>1292</v>
      </c>
    </row>
    <row r="1774" spans="1:14" ht="12" customHeight="1">
      <c r="A1774" s="3906"/>
      <c r="C1774" s="231"/>
      <c r="D1774" s="3912" t="s">
        <v>1773</v>
      </c>
      <c r="E1774" s="3913"/>
      <c r="F1774" s="3913"/>
      <c r="G1774" s="3913"/>
      <c r="H1774" s="3913"/>
      <c r="I1774" s="3913"/>
      <c r="J1774" s="538"/>
      <c r="K1774" s="232"/>
      <c r="L1774" s="232"/>
      <c r="N1774" s="212">
        <f t="shared" si="31"/>
        <v>1293</v>
      </c>
    </row>
    <row r="1775" spans="1:14" ht="12" customHeight="1">
      <c r="A1775" s="3906"/>
      <c r="C1775" s="231"/>
      <c r="D1775" s="3912" t="s">
        <v>1774</v>
      </c>
      <c r="E1775" s="3913"/>
      <c r="F1775" s="3913"/>
      <c r="G1775" s="3913"/>
      <c r="H1775" s="3913"/>
      <c r="I1775" s="3913"/>
      <c r="J1775" s="538"/>
      <c r="K1775" s="232"/>
      <c r="L1775" s="232"/>
      <c r="N1775" s="212">
        <f t="shared" si="31"/>
        <v>1294</v>
      </c>
    </row>
    <row r="1776" spans="1:14" ht="12" customHeight="1">
      <c r="A1776" s="3906"/>
      <c r="C1776" s="231"/>
      <c r="D1776" s="3912"/>
      <c r="E1776" s="3913"/>
      <c r="F1776" s="3913"/>
      <c r="G1776" s="3913"/>
      <c r="H1776" s="3913"/>
      <c r="I1776" s="3913"/>
      <c r="J1776" s="538"/>
      <c r="K1776" s="232"/>
      <c r="L1776" s="232"/>
      <c r="N1776" s="212">
        <f t="shared" si="31"/>
        <v>1294</v>
      </c>
    </row>
    <row r="1777" spans="3:14" ht="12" customHeight="1">
      <c r="C1777" s="231"/>
      <c r="D1777" s="3912" t="s">
        <v>1777</v>
      </c>
      <c r="E1777" s="3912"/>
      <c r="F1777" s="3912"/>
      <c r="G1777" s="3912"/>
      <c r="H1777" s="3912"/>
      <c r="I1777" s="3912"/>
      <c r="J1777" s="3912"/>
      <c r="K1777" s="3912"/>
      <c r="L1777" s="232"/>
      <c r="N1777" s="212">
        <f t="shared" si="31"/>
        <v>1295</v>
      </c>
    </row>
    <row r="1778" spans="3:14" ht="12" customHeight="1">
      <c r="C1778" s="231"/>
      <c r="D1778" s="3900" t="s">
        <v>1775</v>
      </c>
      <c r="E1778" s="3900"/>
      <c r="F1778" s="3900"/>
      <c r="G1778" s="3900"/>
      <c r="H1778" s="3900"/>
      <c r="I1778" s="3900"/>
      <c r="J1778" s="3900"/>
      <c r="K1778" s="3900"/>
      <c r="L1778" s="232"/>
      <c r="N1778" s="212">
        <f t="shared" si="31"/>
        <v>1296</v>
      </c>
    </row>
    <row r="1779" spans="3:14" ht="12" customHeight="1">
      <c r="C1779" s="231"/>
      <c r="D1779" s="3900" t="s">
        <v>1776</v>
      </c>
      <c r="E1779" s="3901"/>
      <c r="F1779" s="3901"/>
      <c r="G1779" s="3901"/>
      <c r="H1779" s="3901"/>
      <c r="I1779" s="3901"/>
      <c r="J1779" s="538"/>
      <c r="K1779" s="232"/>
      <c r="L1779" s="232"/>
      <c r="N1779" s="212">
        <f t="shared" si="31"/>
        <v>1297</v>
      </c>
    </row>
    <row r="1780" spans="3:14" ht="12" customHeight="1">
      <c r="C1780" s="231"/>
      <c r="D1780" s="3912"/>
      <c r="E1780" s="3913"/>
      <c r="F1780" s="3913"/>
      <c r="G1780" s="3913"/>
      <c r="H1780" s="3913"/>
      <c r="I1780" s="3913"/>
      <c r="J1780" s="538"/>
      <c r="K1780" s="232"/>
      <c r="L1780" s="232"/>
      <c r="N1780" s="212">
        <f t="shared" si="31"/>
        <v>1297</v>
      </c>
    </row>
    <row r="1781" spans="3:14" ht="12" customHeight="1">
      <c r="C1781" s="231"/>
      <c r="D1781" s="3912" t="s">
        <v>1778</v>
      </c>
      <c r="E1781" s="3913"/>
      <c r="F1781" s="3913"/>
      <c r="G1781" s="3913"/>
      <c r="H1781" s="3913"/>
      <c r="I1781" s="3913"/>
      <c r="J1781" s="538"/>
      <c r="K1781" s="232"/>
      <c r="L1781" s="232"/>
      <c r="N1781" s="212">
        <f t="shared" si="31"/>
        <v>1298</v>
      </c>
    </row>
    <row r="1782" spans="3:14" ht="12" customHeight="1">
      <c r="C1782" s="231"/>
      <c r="D1782" s="3900" t="s">
        <v>1779</v>
      </c>
      <c r="E1782" s="3900"/>
      <c r="F1782" s="3900"/>
      <c r="G1782" s="3900"/>
      <c r="H1782" s="3900"/>
      <c r="I1782" s="3900"/>
      <c r="J1782" s="3900"/>
      <c r="K1782" s="3900"/>
      <c r="L1782" s="232"/>
      <c r="N1782" s="212">
        <f t="shared" si="31"/>
        <v>1299</v>
      </c>
    </row>
    <row r="1783" spans="3:14" ht="12" customHeight="1">
      <c r="C1783" s="231"/>
      <c r="D1783" s="3912"/>
      <c r="E1783" s="3913"/>
      <c r="F1783" s="3913"/>
      <c r="G1783" s="3913"/>
      <c r="H1783" s="3913"/>
      <c r="I1783" s="3913"/>
      <c r="J1783" s="538"/>
      <c r="K1783" s="232"/>
      <c r="L1783" s="232"/>
      <c r="N1783" s="212">
        <f t="shared" si="31"/>
        <v>1299</v>
      </c>
    </row>
    <row r="1784" spans="3:14" ht="12" customHeight="1">
      <c r="C1784" s="231"/>
      <c r="D1784" s="3912" t="s">
        <v>1780</v>
      </c>
      <c r="E1784" s="3913"/>
      <c r="F1784" s="3913"/>
      <c r="G1784" s="3913"/>
      <c r="H1784" s="3913"/>
      <c r="I1784" s="3913"/>
      <c r="J1784" s="538"/>
      <c r="K1784" s="232"/>
      <c r="L1784" s="232"/>
      <c r="N1784" s="212">
        <f t="shared" si="31"/>
        <v>1300</v>
      </c>
    </row>
    <row r="1785" spans="3:14" ht="12" customHeight="1">
      <c r="C1785" s="231"/>
      <c r="D1785" s="3900" t="s">
        <v>1781</v>
      </c>
      <c r="E1785" s="3901"/>
      <c r="F1785" s="3901"/>
      <c r="G1785" s="3901"/>
      <c r="H1785" s="3901"/>
      <c r="I1785" s="3901"/>
      <c r="J1785" s="538"/>
      <c r="K1785" s="232"/>
      <c r="L1785" s="232"/>
      <c r="N1785" s="212">
        <f t="shared" si="31"/>
        <v>1301</v>
      </c>
    </row>
    <row r="1786" spans="3:14" ht="12" customHeight="1">
      <c r="C1786" s="231"/>
      <c r="D1786" s="3912"/>
      <c r="E1786" s="3913"/>
      <c r="F1786" s="3913"/>
      <c r="G1786" s="3913"/>
      <c r="H1786" s="3913"/>
      <c r="I1786" s="3913"/>
      <c r="J1786" s="538"/>
      <c r="K1786" s="232"/>
      <c r="L1786" s="232"/>
      <c r="N1786" s="212">
        <f t="shared" si="31"/>
        <v>1301</v>
      </c>
    </row>
    <row r="1787" spans="3:14" ht="12" customHeight="1">
      <c r="C1787" s="231"/>
      <c r="D1787" s="3912" t="s">
        <v>1767</v>
      </c>
      <c r="E1787" s="3913"/>
      <c r="F1787" s="3913"/>
      <c r="G1787" s="3913"/>
      <c r="H1787" s="3913"/>
      <c r="I1787" s="3913"/>
      <c r="J1787" s="538"/>
      <c r="K1787" s="232"/>
      <c r="L1787" s="232"/>
      <c r="N1787" s="212">
        <f t="shared" si="31"/>
        <v>1302</v>
      </c>
    </row>
    <row r="1788" spans="3:14" ht="12" customHeight="1">
      <c r="C1788" s="231"/>
      <c r="D1788" s="3912"/>
      <c r="E1788" s="3913"/>
      <c r="F1788" s="3913"/>
      <c r="G1788" s="3913"/>
      <c r="H1788" s="3913"/>
      <c r="I1788" s="3913"/>
      <c r="J1788" s="538"/>
      <c r="K1788" s="232"/>
      <c r="L1788" s="232"/>
      <c r="N1788" s="212">
        <f t="shared" si="31"/>
        <v>1302</v>
      </c>
    </row>
    <row r="1789" spans="3:14" ht="12" customHeight="1">
      <c r="C1789" s="231"/>
      <c r="D1789" s="3912" t="s">
        <v>1782</v>
      </c>
      <c r="E1789" s="3913"/>
      <c r="F1789" s="3913"/>
      <c r="G1789" s="3913"/>
      <c r="H1789" s="3913"/>
      <c r="I1789" s="3913"/>
      <c r="J1789" s="538"/>
      <c r="K1789" s="232"/>
      <c r="L1789" s="232"/>
      <c r="N1789" s="212">
        <f t="shared" si="31"/>
        <v>1303</v>
      </c>
    </row>
    <row r="1790" spans="3:14" ht="12" customHeight="1">
      <c r="C1790" s="231"/>
      <c r="D1790" s="3900" t="s">
        <v>1783</v>
      </c>
      <c r="E1790" s="3901"/>
      <c r="F1790" s="3901"/>
      <c r="G1790" s="3901"/>
      <c r="H1790" s="3901"/>
      <c r="I1790" s="3901"/>
      <c r="J1790" s="538"/>
      <c r="K1790" s="232"/>
      <c r="L1790" s="232"/>
      <c r="N1790" s="212">
        <f t="shared" si="31"/>
        <v>1304</v>
      </c>
    </row>
    <row r="1791" spans="3:14" ht="12" customHeight="1">
      <c r="C1791" s="231"/>
      <c r="D1791" s="3912"/>
      <c r="E1791" s="3913"/>
      <c r="F1791" s="3913"/>
      <c r="G1791" s="3913"/>
      <c r="H1791" s="3913"/>
      <c r="I1791" s="3913"/>
      <c r="J1791" s="538"/>
      <c r="K1791" s="232"/>
      <c r="L1791" s="232"/>
      <c r="N1791" s="212">
        <f t="shared" si="31"/>
        <v>1304</v>
      </c>
    </row>
    <row r="1792" spans="3:14" ht="12" customHeight="1">
      <c r="C1792" s="231"/>
      <c r="D1792" s="3912" t="s">
        <v>1784</v>
      </c>
      <c r="E1792" s="3913"/>
      <c r="F1792" s="3913"/>
      <c r="G1792" s="3913"/>
      <c r="H1792" s="3913"/>
      <c r="I1792" s="3913"/>
      <c r="J1792" s="538"/>
      <c r="K1792" s="232"/>
      <c r="L1792" s="232"/>
      <c r="N1792" s="212">
        <f t="shared" si="31"/>
        <v>1305</v>
      </c>
    </row>
    <row r="1793" spans="3:14" ht="12" customHeight="1">
      <c r="C1793" s="231"/>
      <c r="D1793" s="3900" t="s">
        <v>1785</v>
      </c>
      <c r="E1793" s="3901"/>
      <c r="F1793" s="3901"/>
      <c r="G1793" s="3901"/>
      <c r="H1793" s="3901"/>
      <c r="I1793" s="3901"/>
      <c r="J1793" s="538"/>
      <c r="K1793" s="232"/>
      <c r="L1793" s="232"/>
      <c r="N1793" s="212">
        <f t="shared" si="31"/>
        <v>1306</v>
      </c>
    </row>
    <row r="1794" spans="3:14" ht="12" customHeight="1">
      <c r="C1794" s="231"/>
      <c r="D1794" s="3900" t="s">
        <v>1786</v>
      </c>
      <c r="E1794" s="3901"/>
      <c r="F1794" s="3901"/>
      <c r="G1794" s="3901"/>
      <c r="H1794" s="3901"/>
      <c r="I1794" s="3901"/>
      <c r="J1794" s="538"/>
      <c r="K1794" s="232"/>
      <c r="L1794" s="232"/>
      <c r="N1794" s="212">
        <f t="shared" si="31"/>
        <v>1307</v>
      </c>
    </row>
    <row r="1795" spans="3:14" ht="12" customHeight="1">
      <c r="C1795" s="231"/>
      <c r="D1795" s="3900" t="s">
        <v>1787</v>
      </c>
      <c r="E1795" s="3901"/>
      <c r="F1795" s="3901"/>
      <c r="G1795" s="3901"/>
      <c r="H1795" s="3901"/>
      <c r="I1795" s="3901"/>
      <c r="J1795" s="538"/>
      <c r="K1795" s="232"/>
      <c r="L1795" s="232"/>
      <c r="N1795" s="212">
        <f t="shared" si="31"/>
        <v>1308</v>
      </c>
    </row>
    <row r="1796" spans="3:14" ht="12" customHeight="1">
      <c r="C1796" s="231"/>
      <c r="D1796" s="3900" t="s">
        <v>1788</v>
      </c>
      <c r="E1796" s="3901"/>
      <c r="F1796" s="3901"/>
      <c r="G1796" s="3901"/>
      <c r="H1796" s="3901"/>
      <c r="I1796" s="3901"/>
      <c r="J1796" s="538"/>
      <c r="K1796" s="232"/>
      <c r="L1796" s="232"/>
      <c r="N1796" s="212">
        <f t="shared" si="31"/>
        <v>1309</v>
      </c>
    </row>
    <row r="1797" spans="3:14" ht="12" customHeight="1">
      <c r="C1797" s="231"/>
      <c r="D1797" s="3912"/>
      <c r="E1797" s="3913"/>
      <c r="F1797" s="3913"/>
      <c r="G1797" s="3913"/>
      <c r="H1797" s="3913"/>
      <c r="I1797" s="3913"/>
      <c r="J1797" s="538"/>
      <c r="K1797" s="232"/>
      <c r="L1797" s="232"/>
      <c r="N1797" s="212">
        <f t="shared" si="31"/>
        <v>1309</v>
      </c>
    </row>
    <row r="1798" spans="3:14" ht="12" customHeight="1">
      <c r="C1798" s="231"/>
      <c r="D1798" s="3912" t="s">
        <v>1789</v>
      </c>
      <c r="E1798" s="3913"/>
      <c r="F1798" s="3913"/>
      <c r="G1798" s="3913"/>
      <c r="H1798" s="3913"/>
      <c r="I1798" s="3913"/>
      <c r="J1798" s="538"/>
      <c r="K1798" s="232"/>
      <c r="L1798" s="232"/>
      <c r="N1798" s="212">
        <f t="shared" si="31"/>
        <v>1310</v>
      </c>
    </row>
    <row r="1799" spans="3:14" ht="12" customHeight="1">
      <c r="C1799" s="231"/>
      <c r="D1799" s="3900" t="s">
        <v>1790</v>
      </c>
      <c r="E1799" s="3900"/>
      <c r="F1799" s="3900"/>
      <c r="G1799" s="3900"/>
      <c r="H1799" s="3900"/>
      <c r="I1799" s="3900"/>
      <c r="J1799" s="3900"/>
      <c r="K1799" s="3900"/>
      <c r="L1799" s="232"/>
      <c r="N1799" s="212">
        <f t="shared" si="31"/>
        <v>1311</v>
      </c>
    </row>
    <row r="1800" spans="3:14" ht="12" customHeight="1">
      <c r="C1800" s="231"/>
      <c r="D1800" s="3900" t="s">
        <v>1791</v>
      </c>
      <c r="E1800" s="3900"/>
      <c r="F1800" s="3900"/>
      <c r="G1800" s="3900"/>
      <c r="H1800" s="3900"/>
      <c r="I1800" s="3900"/>
      <c r="J1800" s="3900"/>
      <c r="K1800" s="3900"/>
      <c r="L1800" s="232"/>
      <c r="N1800" s="212">
        <f t="shared" si="31"/>
        <v>1312</v>
      </c>
    </row>
    <row r="1801" spans="3:14" ht="12" customHeight="1">
      <c r="C1801" s="231"/>
      <c r="D1801" s="3900" t="s">
        <v>1792</v>
      </c>
      <c r="E1801" s="3901"/>
      <c r="F1801" s="3901"/>
      <c r="G1801" s="3901"/>
      <c r="H1801" s="3901"/>
      <c r="I1801" s="3901"/>
      <c r="J1801" s="538"/>
      <c r="K1801" s="232"/>
      <c r="L1801" s="232"/>
      <c r="N1801" s="212">
        <f t="shared" si="31"/>
        <v>1313</v>
      </c>
    </row>
    <row r="1802" spans="3:14" ht="12" customHeight="1">
      <c r="C1802" s="231"/>
      <c r="D1802" s="3900" t="s">
        <v>1793</v>
      </c>
      <c r="E1802" s="3901"/>
      <c r="F1802" s="3901"/>
      <c r="G1802" s="3901"/>
      <c r="H1802" s="3901"/>
      <c r="I1802" s="3901"/>
      <c r="J1802" s="538"/>
      <c r="K1802" s="232"/>
      <c r="L1802" s="232"/>
      <c r="N1802" s="212">
        <f t="shared" si="31"/>
        <v>1314</v>
      </c>
    </row>
    <row r="1803" spans="3:14" ht="12" customHeight="1">
      <c r="C1803" s="231"/>
      <c r="D1803" s="3900"/>
      <c r="E1803" s="3901"/>
      <c r="F1803" s="3901"/>
      <c r="G1803" s="3901"/>
      <c r="H1803" s="3901"/>
      <c r="I1803" s="3901"/>
      <c r="J1803" s="538"/>
      <c r="K1803" s="232"/>
      <c r="L1803" s="232"/>
      <c r="N1803" s="212">
        <f t="shared" si="31"/>
        <v>1314</v>
      </c>
    </row>
    <row r="1804" spans="3:14" ht="12" customHeight="1">
      <c r="C1804" s="231"/>
      <c r="D1804" s="3900" t="s">
        <v>1768</v>
      </c>
      <c r="E1804" s="3900"/>
      <c r="F1804" s="3900"/>
      <c r="G1804" s="3900"/>
      <c r="H1804" s="3900"/>
      <c r="I1804" s="3900"/>
      <c r="J1804" s="3900"/>
      <c r="K1804" s="3900"/>
      <c r="L1804" s="232"/>
      <c r="N1804" s="212">
        <f t="shared" si="31"/>
        <v>1315</v>
      </c>
    </row>
    <row r="1805" spans="3:14" ht="12" customHeight="1">
      <c r="C1805" s="231"/>
      <c r="D1805" s="3900" t="s">
        <v>1794</v>
      </c>
      <c r="E1805" s="3900"/>
      <c r="F1805" s="3900"/>
      <c r="G1805" s="3900"/>
      <c r="H1805" s="3900"/>
      <c r="I1805" s="3900"/>
      <c r="J1805" s="3900"/>
      <c r="K1805" s="3900"/>
      <c r="L1805" s="232"/>
      <c r="N1805" s="212">
        <f t="shared" si="31"/>
        <v>1316</v>
      </c>
    </row>
    <row r="1806" spans="3:14" ht="12" customHeight="1">
      <c r="C1806" s="231"/>
      <c r="D1806" s="3900" t="s">
        <v>1795</v>
      </c>
      <c r="E1806" s="3900"/>
      <c r="F1806" s="3900"/>
      <c r="G1806" s="3900"/>
      <c r="H1806" s="3900"/>
      <c r="I1806" s="3900"/>
      <c r="J1806" s="3900"/>
      <c r="K1806" s="3900"/>
      <c r="L1806" s="232"/>
      <c r="N1806" s="212">
        <f t="shared" si="31"/>
        <v>1317</v>
      </c>
    </row>
    <row r="1807" spans="3:14" ht="12" customHeight="1">
      <c r="C1807" s="231"/>
      <c r="D1807" s="3900" t="s">
        <v>1796</v>
      </c>
      <c r="E1807" s="3900"/>
      <c r="F1807" s="3900"/>
      <c r="G1807" s="3900"/>
      <c r="H1807" s="3900"/>
      <c r="I1807" s="3900"/>
      <c r="J1807" s="3900"/>
      <c r="K1807" s="3900"/>
      <c r="L1807" s="232"/>
      <c r="N1807" s="212">
        <f t="shared" si="31"/>
        <v>1318</v>
      </c>
    </row>
    <row r="1808" spans="3:14" ht="12" customHeight="1">
      <c r="C1808" s="231"/>
      <c r="D1808" s="3900" t="s">
        <v>1797</v>
      </c>
      <c r="E1808" s="3900"/>
      <c r="F1808" s="3900"/>
      <c r="G1808" s="3900"/>
      <c r="H1808" s="3900"/>
      <c r="I1808" s="3900"/>
      <c r="J1808" s="3900"/>
      <c r="K1808" s="3900"/>
      <c r="L1808" s="232"/>
      <c r="N1808" s="212">
        <f t="shared" si="31"/>
        <v>1319</v>
      </c>
    </row>
    <row r="1809" spans="1:14" ht="12" customHeight="1">
      <c r="C1809" s="231"/>
      <c r="D1809" s="3900" t="s">
        <v>1798</v>
      </c>
      <c r="E1809" s="3900"/>
      <c r="F1809" s="3900"/>
      <c r="G1809" s="3900"/>
      <c r="H1809" s="3900"/>
      <c r="I1809" s="3900"/>
      <c r="J1809" s="3900"/>
      <c r="K1809" s="3900"/>
      <c r="L1809" s="232"/>
      <c r="N1809" s="212">
        <f t="shared" si="31"/>
        <v>1320</v>
      </c>
    </row>
    <row r="1810" spans="1:14" ht="12" customHeight="1">
      <c r="C1810" s="231"/>
      <c r="D1810" s="3900" t="s">
        <v>1799</v>
      </c>
      <c r="E1810" s="3900"/>
      <c r="F1810" s="3900"/>
      <c r="G1810" s="3900"/>
      <c r="H1810" s="3900"/>
      <c r="I1810" s="3900"/>
      <c r="J1810" s="3900"/>
      <c r="K1810" s="232"/>
      <c r="L1810" s="232"/>
      <c r="N1810" s="212">
        <f t="shared" si="31"/>
        <v>1321</v>
      </c>
    </row>
    <row r="1811" spans="1:14" ht="12" customHeight="1">
      <c r="C1811" s="231"/>
      <c r="D1811" s="3900" t="s">
        <v>1800</v>
      </c>
      <c r="E1811" s="3900"/>
      <c r="F1811" s="3900"/>
      <c r="G1811" s="3900"/>
      <c r="H1811" s="3900"/>
      <c r="I1811" s="3900"/>
      <c r="J1811" s="3900"/>
      <c r="K1811" s="3900"/>
      <c r="L1811" s="232"/>
      <c r="N1811" s="212">
        <f t="shared" si="31"/>
        <v>1322</v>
      </c>
    </row>
    <row r="1812" spans="1:14" ht="12" customHeight="1">
      <c r="C1812" s="231"/>
      <c r="D1812" s="3900" t="s">
        <v>1801</v>
      </c>
      <c r="E1812" s="3900"/>
      <c r="F1812" s="3900"/>
      <c r="G1812" s="3900"/>
      <c r="H1812" s="3900"/>
      <c r="I1812" s="3900"/>
      <c r="J1812" s="3900"/>
      <c r="K1812" s="232"/>
      <c r="L1812" s="232"/>
      <c r="N1812" s="212">
        <f t="shared" ref="N1812:N1889" si="32">IF(D1812="",N1811,N1811+1)</f>
        <v>1323</v>
      </c>
    </row>
    <row r="1813" spans="1:14" ht="12" customHeight="1">
      <c r="C1813" s="231"/>
      <c r="D1813" s="3900" t="s">
        <v>1803</v>
      </c>
      <c r="E1813" s="3901"/>
      <c r="F1813" s="3901"/>
      <c r="G1813" s="3901"/>
      <c r="H1813" s="3901"/>
      <c r="I1813" s="3901"/>
      <c r="J1813" s="538"/>
      <c r="K1813" s="232"/>
      <c r="L1813" s="232"/>
      <c r="N1813" s="212">
        <f t="shared" si="32"/>
        <v>1324</v>
      </c>
    </row>
    <row r="1814" spans="1:14" ht="12" customHeight="1">
      <c r="C1814" s="231"/>
      <c r="D1814" s="3900" t="s">
        <v>1802</v>
      </c>
      <c r="E1814" s="3900"/>
      <c r="F1814" s="3900"/>
      <c r="G1814" s="3900"/>
      <c r="H1814" s="3900"/>
      <c r="I1814" s="3900"/>
      <c r="J1814" s="3900"/>
      <c r="K1814" s="3900"/>
      <c r="L1814" s="232"/>
      <c r="N1814" s="212">
        <f t="shared" si="32"/>
        <v>1325</v>
      </c>
    </row>
    <row r="1815" spans="1:14" ht="12" customHeight="1">
      <c r="C1815" s="231"/>
      <c r="D1815" s="3901" t="s">
        <v>1804</v>
      </c>
      <c r="E1815" s="3901"/>
      <c r="F1815" s="3901"/>
      <c r="G1815" s="3901"/>
      <c r="H1815" s="3901"/>
      <c r="I1815" s="3901"/>
      <c r="J1815" s="3901"/>
      <c r="K1815" s="3901"/>
      <c r="L1815" s="232"/>
      <c r="N1815" s="212">
        <f t="shared" si="32"/>
        <v>1326</v>
      </c>
    </row>
    <row r="1816" spans="1:14" ht="12" customHeight="1">
      <c r="C1816" s="231"/>
      <c r="D1816" s="739"/>
      <c r="E1816" s="739"/>
      <c r="F1816" s="1712"/>
      <c r="G1816" s="739"/>
      <c r="H1816" s="739"/>
      <c r="I1816" s="739"/>
      <c r="J1816" s="739"/>
      <c r="K1816" s="232"/>
      <c r="L1816" s="232"/>
      <c r="N1816" s="212">
        <f t="shared" si="32"/>
        <v>1326</v>
      </c>
    </row>
    <row r="1817" spans="1:14" ht="12" customHeight="1">
      <c r="C1817" s="231"/>
      <c r="D1817" s="739"/>
      <c r="E1817" s="739"/>
      <c r="F1817" s="1712"/>
      <c r="G1817" s="739"/>
      <c r="H1817" s="739"/>
      <c r="I1817" s="739"/>
      <c r="J1817" s="739"/>
      <c r="K1817" s="232"/>
      <c r="L1817" s="232"/>
      <c r="N1817" s="212">
        <f t="shared" si="32"/>
        <v>1326</v>
      </c>
    </row>
    <row r="1818" spans="1:14" ht="12" customHeight="1">
      <c r="C1818" s="231"/>
      <c r="D1818" s="739"/>
      <c r="E1818" s="739"/>
      <c r="F1818" s="1712"/>
      <c r="G1818" s="739"/>
      <c r="H1818" s="739"/>
      <c r="I1818" s="739"/>
      <c r="J1818" s="739"/>
      <c r="K1818" s="232"/>
      <c r="L1818" s="232"/>
      <c r="N1818" s="212">
        <f t="shared" si="32"/>
        <v>1326</v>
      </c>
    </row>
    <row r="1819" spans="1:14" ht="12" customHeight="1">
      <c r="C1819" s="231"/>
      <c r="D1819" s="739"/>
      <c r="E1819" s="739"/>
      <c r="F1819" s="1712"/>
      <c r="G1819" s="739"/>
      <c r="H1819" s="739"/>
      <c r="I1819" s="739"/>
      <c r="J1819" s="739"/>
      <c r="K1819" s="232"/>
      <c r="L1819" s="232"/>
      <c r="N1819" s="212">
        <f t="shared" si="32"/>
        <v>1326</v>
      </c>
    </row>
    <row r="1820" spans="1:14" ht="12" customHeight="1">
      <c r="C1820" s="231"/>
      <c r="D1820" s="739"/>
      <c r="E1820" s="739"/>
      <c r="F1820" s="1712"/>
      <c r="G1820" s="739"/>
      <c r="H1820" s="739"/>
      <c r="I1820" s="739"/>
      <c r="J1820" s="739"/>
      <c r="K1820" s="232"/>
      <c r="L1820" s="232"/>
      <c r="N1820" s="212">
        <f t="shared" si="32"/>
        <v>1326</v>
      </c>
    </row>
    <row r="1821" spans="1:14" ht="12" customHeight="1">
      <c r="C1821" s="231"/>
      <c r="D1821" s="739"/>
      <c r="E1821" s="739"/>
      <c r="F1821" s="1712"/>
      <c r="G1821" s="739"/>
      <c r="H1821" s="739"/>
      <c r="I1821" s="739"/>
      <c r="J1821" s="739"/>
      <c r="K1821" s="232"/>
      <c r="L1821" s="232"/>
      <c r="N1821" s="212">
        <f t="shared" si="32"/>
        <v>1326</v>
      </c>
    </row>
    <row r="1822" spans="1:14" ht="12" customHeight="1">
      <c r="C1822" s="231"/>
      <c r="D1822" s="739"/>
      <c r="E1822" s="739"/>
      <c r="F1822" s="1712"/>
      <c r="G1822" s="739"/>
      <c r="H1822" s="739"/>
      <c r="I1822" s="739"/>
      <c r="J1822" s="739"/>
      <c r="K1822" s="232"/>
      <c r="L1822" s="232"/>
      <c r="N1822" s="212">
        <f t="shared" si="32"/>
        <v>1326</v>
      </c>
    </row>
    <row r="1823" spans="1:14" ht="12" customHeight="1" thickBot="1">
      <c r="A1823" s="3906"/>
      <c r="C1823" s="231"/>
      <c r="D1823" s="3904"/>
      <c r="E1823" s="3905"/>
      <c r="F1823" s="3905"/>
      <c r="G1823" s="3905"/>
      <c r="H1823" s="3905"/>
      <c r="I1823" s="3905"/>
      <c r="J1823" s="232"/>
      <c r="K1823" s="232"/>
      <c r="L1823" s="232"/>
      <c r="N1823" s="212">
        <f t="shared" si="32"/>
        <v>1326</v>
      </c>
    </row>
    <row r="1824" spans="1:14" ht="15" customHeight="1" thickBot="1">
      <c r="A1824" s="3906"/>
      <c r="C1824" s="760"/>
      <c r="D1824" s="3944" t="s">
        <v>1039</v>
      </c>
      <c r="E1824" s="3944"/>
      <c r="F1824" s="3944"/>
      <c r="G1824" s="3944"/>
      <c r="H1824" s="3944"/>
      <c r="I1824" s="3944"/>
      <c r="J1824" s="232"/>
      <c r="K1824" s="195" t="s">
        <v>576</v>
      </c>
      <c r="L1824" s="232"/>
      <c r="M1824" s="239"/>
      <c r="N1824" s="212">
        <f t="shared" si="32"/>
        <v>1327</v>
      </c>
    </row>
    <row r="1825" spans="1:14" ht="12" customHeight="1" thickBot="1">
      <c r="A1825" s="3906"/>
      <c r="C1825" s="231"/>
      <c r="D1825" s="3904"/>
      <c r="E1825" s="3905"/>
      <c r="F1825" s="3905"/>
      <c r="G1825" s="3905"/>
      <c r="H1825" s="3905"/>
      <c r="I1825" s="3905"/>
      <c r="J1825" s="232"/>
      <c r="K1825" s="195" t="s">
        <v>896</v>
      </c>
      <c r="L1825" s="232"/>
      <c r="M1825" s="239"/>
      <c r="N1825" s="212">
        <f t="shared" si="32"/>
        <v>1327</v>
      </c>
    </row>
    <row r="1826" spans="1:14" ht="12" customHeight="1" thickBot="1">
      <c r="A1826" s="3906"/>
      <c r="C1826" s="231"/>
      <c r="D1826" s="3912" t="s">
        <v>1806</v>
      </c>
      <c r="E1826" s="3913"/>
      <c r="F1826" s="3913"/>
      <c r="G1826" s="3913"/>
      <c r="H1826" s="3913"/>
      <c r="I1826" s="3913"/>
      <c r="J1826" s="232"/>
      <c r="K1826" s="195" t="s">
        <v>897</v>
      </c>
      <c r="L1826" s="232"/>
      <c r="M1826" s="239"/>
      <c r="N1826" s="212">
        <f t="shared" si="32"/>
        <v>1328</v>
      </c>
    </row>
    <row r="1827" spans="1:14" ht="12" customHeight="1" thickBot="1">
      <c r="A1827" s="3906"/>
      <c r="C1827" s="231"/>
      <c r="D1827" s="3900" t="s">
        <v>1807</v>
      </c>
      <c r="E1827" s="3901"/>
      <c r="F1827" s="3901"/>
      <c r="G1827" s="3901"/>
      <c r="H1827" s="3901"/>
      <c r="I1827" s="3901"/>
      <c r="J1827" s="232"/>
      <c r="K1827" s="194" t="s">
        <v>898</v>
      </c>
      <c r="L1827" s="232"/>
      <c r="M1827" s="239"/>
      <c r="N1827" s="212">
        <f t="shared" si="32"/>
        <v>1329</v>
      </c>
    </row>
    <row r="1828" spans="1:14" ht="12" customHeight="1" thickBot="1">
      <c r="A1828" s="3906"/>
      <c r="C1828" s="231"/>
      <c r="D1828" s="3912"/>
      <c r="E1828" s="3913"/>
      <c r="F1828" s="3913"/>
      <c r="G1828" s="3913"/>
      <c r="H1828" s="3913"/>
      <c r="I1828" s="3913"/>
      <c r="J1828" s="232"/>
      <c r="K1828" s="195" t="s">
        <v>899</v>
      </c>
      <c r="L1828" s="232"/>
      <c r="M1828" s="239"/>
      <c r="N1828" s="212">
        <f t="shared" si="32"/>
        <v>1329</v>
      </c>
    </row>
    <row r="1829" spans="1:14" ht="12" customHeight="1" thickBot="1">
      <c r="A1829" s="3906"/>
      <c r="C1829" s="231"/>
      <c r="D1829" s="3912" t="s">
        <v>1805</v>
      </c>
      <c r="E1829" s="3913"/>
      <c r="F1829" s="3913"/>
      <c r="G1829" s="3913"/>
      <c r="H1829" s="3913"/>
      <c r="I1829" s="3913"/>
      <c r="J1829" s="232"/>
      <c r="K1829" s="195" t="s">
        <v>900</v>
      </c>
      <c r="L1829" s="232"/>
      <c r="M1829" s="239"/>
      <c r="N1829" s="212">
        <f t="shared" si="32"/>
        <v>1330</v>
      </c>
    </row>
    <row r="1830" spans="1:14" ht="12" customHeight="1" thickBot="1">
      <c r="A1830" s="3906"/>
      <c r="C1830" s="231"/>
      <c r="D1830" s="3900" t="s">
        <v>1081</v>
      </c>
      <c r="E1830" s="3901"/>
      <c r="F1830" s="3901"/>
      <c r="G1830" s="3901"/>
      <c r="H1830" s="3901"/>
      <c r="I1830" s="3901"/>
      <c r="J1830" s="232"/>
      <c r="K1830" s="195" t="s">
        <v>901</v>
      </c>
      <c r="L1830" s="232"/>
      <c r="M1830" s="239"/>
      <c r="N1830" s="212">
        <f t="shared" si="32"/>
        <v>1331</v>
      </c>
    </row>
    <row r="1831" spans="1:14" ht="12" customHeight="1" thickBot="1">
      <c r="A1831" s="3906"/>
      <c r="C1831" s="231"/>
      <c r="D1831" s="3900" t="s">
        <v>1808</v>
      </c>
      <c r="E1831" s="3901"/>
      <c r="F1831" s="3901"/>
      <c r="G1831" s="3901"/>
      <c r="H1831" s="3901"/>
      <c r="I1831" s="3901"/>
      <c r="J1831" s="232"/>
      <c r="K1831" s="195" t="s">
        <v>1983</v>
      </c>
      <c r="L1831" s="232"/>
      <c r="N1831" s="212">
        <f t="shared" si="32"/>
        <v>1332</v>
      </c>
    </row>
    <row r="1832" spans="1:14" ht="12" customHeight="1" thickBot="1">
      <c r="A1832" s="3906"/>
      <c r="C1832" s="231"/>
      <c r="D1832" s="3904"/>
      <c r="E1832" s="3905"/>
      <c r="F1832" s="3905"/>
      <c r="G1832" s="3905"/>
      <c r="H1832" s="3905"/>
      <c r="I1832" s="3905"/>
      <c r="J1832" s="232"/>
      <c r="K1832" s="194" t="s">
        <v>2255</v>
      </c>
      <c r="L1832" s="232"/>
      <c r="N1832" s="212">
        <f t="shared" si="32"/>
        <v>1332</v>
      </c>
    </row>
    <row r="1833" spans="1:14" ht="12" customHeight="1" thickBot="1">
      <c r="A1833" s="3906"/>
      <c r="C1833" s="231"/>
      <c r="D1833" s="3904"/>
      <c r="E1833" s="3905"/>
      <c r="F1833" s="3905"/>
      <c r="G1833" s="3905"/>
      <c r="H1833" s="3905"/>
      <c r="I1833" s="3905"/>
      <c r="J1833" s="232"/>
      <c r="K1833" s="232"/>
      <c r="L1833" s="232"/>
      <c r="N1833" s="212">
        <f t="shared" si="32"/>
        <v>1332</v>
      </c>
    </row>
    <row r="1834" spans="1:14" ht="12" customHeight="1" thickBot="1">
      <c r="A1834" s="3906"/>
      <c r="C1834" s="231"/>
      <c r="D1834" s="742"/>
      <c r="E1834" s="743"/>
      <c r="F1834" s="1714"/>
      <c r="G1834" s="743"/>
      <c r="H1834" s="743"/>
      <c r="I1834" s="743"/>
      <c r="J1834" s="232"/>
      <c r="K1834" s="194" t="s">
        <v>551</v>
      </c>
      <c r="L1834" s="232"/>
      <c r="N1834" s="212">
        <f t="shared" si="32"/>
        <v>1332</v>
      </c>
    </row>
    <row r="1835" spans="1:14" ht="12" customHeight="1">
      <c r="A1835" s="3906"/>
      <c r="C1835" s="231"/>
      <c r="D1835" s="742"/>
      <c r="E1835" s="743"/>
      <c r="F1835" s="1714"/>
      <c r="G1835" s="743"/>
      <c r="H1835" s="743"/>
      <c r="I1835" s="743"/>
      <c r="J1835" s="232"/>
      <c r="K1835" s="232"/>
      <c r="L1835" s="232"/>
      <c r="N1835" s="212">
        <f t="shared" si="32"/>
        <v>1332</v>
      </c>
    </row>
    <row r="1836" spans="1:14" ht="12" customHeight="1">
      <c r="A1836" s="3906"/>
      <c r="C1836" s="231"/>
      <c r="D1836" s="742"/>
      <c r="E1836" s="743"/>
      <c r="F1836" s="1714"/>
      <c r="G1836" s="743"/>
      <c r="H1836" s="743"/>
      <c r="I1836" s="743"/>
      <c r="J1836" s="232"/>
      <c r="K1836" s="232"/>
      <c r="L1836" s="232"/>
      <c r="N1836" s="212">
        <f t="shared" si="32"/>
        <v>1332</v>
      </c>
    </row>
    <row r="1837" spans="1:14" ht="12" customHeight="1">
      <c r="A1837" s="3906"/>
      <c r="C1837" s="231"/>
      <c r="D1837" s="742"/>
      <c r="E1837" s="743"/>
      <c r="F1837" s="1714"/>
      <c r="G1837" s="743"/>
      <c r="H1837" s="743"/>
      <c r="I1837" s="743"/>
      <c r="J1837" s="232"/>
      <c r="K1837" s="232"/>
      <c r="L1837" s="232"/>
      <c r="N1837" s="212">
        <f t="shared" si="32"/>
        <v>1332</v>
      </c>
    </row>
    <row r="1838" spans="1:14" ht="12" customHeight="1">
      <c r="A1838" s="3906"/>
      <c r="C1838" s="231"/>
      <c r="D1838" s="742"/>
      <c r="E1838" s="743"/>
      <c r="F1838" s="1714"/>
      <c r="G1838" s="743"/>
      <c r="H1838" s="743"/>
      <c r="I1838" s="743"/>
      <c r="J1838" s="232"/>
      <c r="K1838" s="232"/>
      <c r="L1838" s="232"/>
      <c r="N1838" s="212">
        <f t="shared" si="32"/>
        <v>1332</v>
      </c>
    </row>
    <row r="1839" spans="1:14" ht="12" customHeight="1">
      <c r="A1839" s="3906"/>
      <c r="C1839" s="231"/>
      <c r="D1839" s="742"/>
      <c r="E1839" s="743"/>
      <c r="F1839" s="1714"/>
      <c r="G1839" s="743"/>
      <c r="H1839" s="743"/>
      <c r="I1839" s="743"/>
      <c r="J1839" s="232"/>
      <c r="K1839" s="232"/>
      <c r="L1839" s="232"/>
      <c r="N1839" s="212">
        <f t="shared" si="32"/>
        <v>1332</v>
      </c>
    </row>
    <row r="1840" spans="1:14" ht="12" customHeight="1">
      <c r="A1840" s="3906"/>
      <c r="B1840" s="3906"/>
      <c r="C1840" s="231"/>
      <c r="D1840" s="3904"/>
      <c r="E1840" s="3905"/>
      <c r="F1840" s="3905"/>
      <c r="G1840" s="3905"/>
      <c r="H1840" s="3905"/>
      <c r="I1840" s="3905"/>
      <c r="J1840" s="232"/>
      <c r="K1840" s="232"/>
      <c r="L1840" s="231"/>
      <c r="N1840" s="212">
        <f t="shared" si="32"/>
        <v>1332</v>
      </c>
    </row>
    <row r="1841" spans="1:14" ht="15" customHeight="1">
      <c r="A1841" s="3906"/>
      <c r="B1841" s="3906"/>
      <c r="C1841" s="760"/>
      <c r="D1841" s="3944" t="s">
        <v>975</v>
      </c>
      <c r="E1841" s="3944"/>
      <c r="F1841" s="3944"/>
      <c r="G1841" s="3944"/>
      <c r="H1841" s="3944"/>
      <c r="I1841" s="3944"/>
      <c r="J1841" s="232"/>
      <c r="K1841" s="232"/>
      <c r="L1841" s="231"/>
      <c r="N1841" s="212">
        <f t="shared" si="32"/>
        <v>1333</v>
      </c>
    </row>
    <row r="1842" spans="1:14" ht="12" customHeight="1" thickBot="1">
      <c r="A1842" s="3906"/>
      <c r="B1842" s="3906"/>
      <c r="C1842" s="231"/>
      <c r="D1842" s="3904"/>
      <c r="E1842" s="3905"/>
      <c r="F1842" s="3905"/>
      <c r="G1842" s="3905"/>
      <c r="H1842" s="3905"/>
      <c r="I1842" s="3905"/>
      <c r="J1842" s="232"/>
      <c r="K1842" s="232"/>
      <c r="L1842" s="231"/>
      <c r="N1842" s="212">
        <f t="shared" si="32"/>
        <v>1333</v>
      </c>
    </row>
    <row r="1843" spans="1:14" ht="12" customHeight="1" thickBot="1">
      <c r="A1843" s="3906"/>
      <c r="B1843" s="3906"/>
      <c r="C1843" s="231"/>
      <c r="D1843" s="3904" t="s">
        <v>1809</v>
      </c>
      <c r="E1843" s="3905"/>
      <c r="F1843" s="3905"/>
      <c r="G1843" s="3905"/>
      <c r="H1843" s="3905"/>
      <c r="I1843" s="3905"/>
      <c r="J1843" s="232"/>
      <c r="K1843" s="197" t="s">
        <v>551</v>
      </c>
      <c r="L1843" s="231"/>
      <c r="N1843" s="212">
        <f t="shared" si="32"/>
        <v>1334</v>
      </c>
    </row>
    <row r="1844" spans="1:14" ht="12" customHeight="1">
      <c r="A1844" s="3906"/>
      <c r="B1844" s="3906"/>
      <c r="C1844" s="231"/>
      <c r="D1844" s="3904"/>
      <c r="E1844" s="3905"/>
      <c r="F1844" s="3905"/>
      <c r="G1844" s="3905"/>
      <c r="H1844" s="3905"/>
      <c r="I1844" s="3905"/>
      <c r="J1844" s="232"/>
      <c r="K1844" s="232"/>
      <c r="L1844" s="231"/>
      <c r="N1844" s="212">
        <f t="shared" si="32"/>
        <v>1334</v>
      </c>
    </row>
    <row r="1845" spans="1:14" ht="12" customHeight="1">
      <c r="A1845" s="3906"/>
      <c r="B1845" s="3906"/>
      <c r="C1845" s="231"/>
      <c r="D1845" s="3904" t="s">
        <v>1810</v>
      </c>
      <c r="E1845" s="3905"/>
      <c r="F1845" s="3905"/>
      <c r="G1845" s="3905"/>
      <c r="H1845" s="3905"/>
      <c r="I1845" s="3905"/>
      <c r="J1845" s="232"/>
      <c r="K1845" s="232"/>
      <c r="L1845" s="231"/>
      <c r="N1845" s="212">
        <f t="shared" si="32"/>
        <v>1335</v>
      </c>
    </row>
    <row r="1846" spans="1:14" ht="12" customHeight="1">
      <c r="A1846" s="3906"/>
      <c r="B1846" s="3906"/>
      <c r="C1846" s="231"/>
      <c r="D1846" s="3900" t="s">
        <v>902</v>
      </c>
      <c r="E1846" s="3900"/>
      <c r="F1846" s="3900"/>
      <c r="G1846" s="3900"/>
      <c r="H1846" s="3900"/>
      <c r="I1846" s="3900"/>
      <c r="J1846" s="3900"/>
      <c r="K1846" s="3900"/>
      <c r="L1846" s="231"/>
      <c r="N1846" s="212">
        <f t="shared" si="32"/>
        <v>1336</v>
      </c>
    </row>
    <row r="1847" spans="1:14" ht="12" customHeight="1">
      <c r="A1847" s="3906"/>
      <c r="B1847" s="3906"/>
      <c r="C1847" s="231"/>
      <c r="D1847" s="3900" t="s">
        <v>903</v>
      </c>
      <c r="E1847" s="3900"/>
      <c r="F1847" s="3900"/>
      <c r="G1847" s="3900"/>
      <c r="H1847" s="3900"/>
      <c r="I1847" s="3900"/>
      <c r="J1847" s="3900"/>
      <c r="K1847" s="3900"/>
      <c r="L1847" s="231"/>
      <c r="N1847" s="212">
        <f t="shared" si="32"/>
        <v>1337</v>
      </c>
    </row>
    <row r="1848" spans="1:14" ht="12" customHeight="1">
      <c r="A1848" s="3906"/>
      <c r="B1848" s="3906"/>
      <c r="C1848" s="231"/>
      <c r="D1848" s="3900" t="s">
        <v>904</v>
      </c>
      <c r="E1848" s="3900"/>
      <c r="F1848" s="3900"/>
      <c r="G1848" s="3900"/>
      <c r="H1848" s="3900"/>
      <c r="I1848" s="3900"/>
      <c r="J1848" s="3900"/>
      <c r="K1848" s="3900"/>
      <c r="L1848" s="231"/>
      <c r="N1848" s="212">
        <f t="shared" si="32"/>
        <v>1338</v>
      </c>
    </row>
    <row r="1849" spans="1:14" ht="12" customHeight="1">
      <c r="A1849" s="3906"/>
      <c r="B1849" s="3906"/>
      <c r="C1849" s="231"/>
      <c r="D1849" s="3900" t="s">
        <v>905</v>
      </c>
      <c r="E1849" s="3900"/>
      <c r="F1849" s="3900"/>
      <c r="G1849" s="3900"/>
      <c r="H1849" s="3900"/>
      <c r="I1849" s="3900"/>
      <c r="J1849" s="3900"/>
      <c r="K1849" s="3900"/>
      <c r="L1849" s="231"/>
      <c r="N1849" s="212">
        <f t="shared" si="32"/>
        <v>1339</v>
      </c>
    </row>
    <row r="1850" spans="1:14" ht="12" customHeight="1">
      <c r="A1850" s="3906"/>
      <c r="B1850" s="3906"/>
      <c r="C1850" s="231"/>
      <c r="D1850" s="3916"/>
      <c r="E1850" s="3917"/>
      <c r="F1850" s="3917"/>
      <c r="G1850" s="3917"/>
      <c r="H1850" s="3917"/>
      <c r="I1850" s="3917"/>
      <c r="J1850" s="232"/>
      <c r="K1850" s="232"/>
      <c r="L1850" s="231"/>
      <c r="N1850" s="212">
        <f t="shared" si="32"/>
        <v>1339</v>
      </c>
    </row>
    <row r="1851" spans="1:14" ht="12" customHeight="1">
      <c r="A1851" s="3906"/>
      <c r="B1851" s="3906"/>
      <c r="C1851" s="231"/>
      <c r="D1851" s="3904" t="s">
        <v>1811</v>
      </c>
      <c r="E1851" s="3905"/>
      <c r="F1851" s="3905"/>
      <c r="G1851" s="3905"/>
      <c r="H1851" s="3905"/>
      <c r="I1851" s="3905"/>
      <c r="J1851" s="232"/>
      <c r="K1851" s="232"/>
      <c r="L1851" s="231"/>
      <c r="N1851" s="212">
        <f t="shared" si="32"/>
        <v>1340</v>
      </c>
    </row>
    <row r="1852" spans="1:14" ht="12" customHeight="1">
      <c r="A1852" s="3906"/>
      <c r="B1852" s="3906"/>
      <c r="C1852" s="231"/>
      <c r="D1852" s="3901" t="s">
        <v>1987</v>
      </c>
      <c r="E1852" s="3901"/>
      <c r="F1852" s="3901"/>
      <c r="G1852" s="3901"/>
      <c r="H1852" s="3901"/>
      <c r="I1852" s="3901"/>
      <c r="J1852" s="3901"/>
      <c r="K1852" s="3901"/>
      <c r="L1852" s="231"/>
      <c r="N1852" s="212">
        <f t="shared" si="32"/>
        <v>1341</v>
      </c>
    </row>
    <row r="1853" spans="1:14" ht="12" customHeight="1">
      <c r="A1853" s="3906"/>
      <c r="B1853" s="3906"/>
      <c r="C1853" s="231"/>
      <c r="D1853" s="3900" t="s">
        <v>1988</v>
      </c>
      <c r="E1853" s="3900"/>
      <c r="F1853" s="3900"/>
      <c r="G1853" s="3900"/>
      <c r="H1853" s="3900"/>
      <c r="I1853" s="3900"/>
      <c r="J1853" s="3900"/>
      <c r="K1853" s="3900"/>
      <c r="L1853" s="231"/>
      <c r="N1853" s="212">
        <f t="shared" si="32"/>
        <v>1342</v>
      </c>
    </row>
    <row r="1854" spans="1:14" ht="12" customHeight="1">
      <c r="A1854" s="3906"/>
      <c r="B1854" s="3906"/>
      <c r="C1854" s="231"/>
      <c r="D1854" s="3900" t="s">
        <v>1989</v>
      </c>
      <c r="E1854" s="3900"/>
      <c r="F1854" s="3900"/>
      <c r="G1854" s="3900"/>
      <c r="H1854" s="3900"/>
      <c r="I1854" s="3900"/>
      <c r="J1854" s="3900"/>
      <c r="K1854" s="3900"/>
      <c r="L1854" s="231"/>
      <c r="N1854" s="212">
        <f t="shared" si="32"/>
        <v>1343</v>
      </c>
    </row>
    <row r="1855" spans="1:14" ht="12" customHeight="1">
      <c r="A1855" s="3906"/>
      <c r="B1855" s="3906"/>
      <c r="C1855" s="231"/>
      <c r="D1855" s="3900" t="s">
        <v>1990</v>
      </c>
      <c r="E1855" s="3901"/>
      <c r="F1855" s="3901"/>
      <c r="G1855" s="3901"/>
      <c r="H1855" s="3901"/>
      <c r="I1855" s="3901"/>
      <c r="J1855" s="232"/>
      <c r="K1855" s="232"/>
      <c r="L1855" s="231"/>
      <c r="N1855" s="212">
        <f t="shared" si="32"/>
        <v>1344</v>
      </c>
    </row>
    <row r="1856" spans="1:14" ht="12" customHeight="1">
      <c r="A1856" s="3906"/>
      <c r="B1856" s="3906"/>
      <c r="C1856" s="231"/>
      <c r="D1856" s="3900" t="s">
        <v>1991</v>
      </c>
      <c r="E1856" s="3901"/>
      <c r="F1856" s="3901"/>
      <c r="G1856" s="3901"/>
      <c r="H1856" s="3901"/>
      <c r="I1856" s="3901"/>
      <c r="J1856" s="232"/>
      <c r="K1856" s="232"/>
      <c r="L1856" s="231"/>
      <c r="N1856" s="212">
        <f t="shared" si="32"/>
        <v>1345</v>
      </c>
    </row>
    <row r="1857" spans="1:14" ht="12" customHeight="1">
      <c r="A1857" s="3906"/>
      <c r="B1857" s="3906"/>
      <c r="C1857" s="231"/>
      <c r="D1857" s="3904"/>
      <c r="E1857" s="3905"/>
      <c r="F1857" s="3905"/>
      <c r="G1857" s="3905"/>
      <c r="H1857" s="3905"/>
      <c r="I1857" s="3905"/>
      <c r="J1857" s="232"/>
      <c r="K1857" s="232"/>
      <c r="L1857" s="231"/>
      <c r="N1857" s="212">
        <f t="shared" si="32"/>
        <v>1345</v>
      </c>
    </row>
    <row r="1858" spans="1:14" ht="12" customHeight="1">
      <c r="A1858" s="3906"/>
      <c r="B1858" s="3906"/>
      <c r="C1858" s="231"/>
      <c r="D1858" s="3904" t="s">
        <v>1813</v>
      </c>
      <c r="E1858" s="3905"/>
      <c r="F1858" s="3905"/>
      <c r="G1858" s="3905"/>
      <c r="H1858" s="3905"/>
      <c r="I1858" s="3905"/>
      <c r="J1858" s="232"/>
      <c r="K1858" s="232"/>
      <c r="L1858" s="231"/>
      <c r="N1858" s="212">
        <f t="shared" si="32"/>
        <v>1346</v>
      </c>
    </row>
    <row r="1859" spans="1:14" ht="12" customHeight="1">
      <c r="A1859" s="3906"/>
      <c r="B1859" s="3906"/>
      <c r="C1859" s="231"/>
      <c r="D1859" s="3900" t="s">
        <v>1812</v>
      </c>
      <c r="E1859" s="3901"/>
      <c r="F1859" s="3901"/>
      <c r="G1859" s="3901"/>
      <c r="H1859" s="3901"/>
      <c r="I1859" s="3901"/>
      <c r="J1859" s="232"/>
      <c r="K1859" s="232"/>
      <c r="L1859" s="231"/>
      <c r="N1859" s="212">
        <f t="shared" si="32"/>
        <v>1347</v>
      </c>
    </row>
    <row r="1860" spans="1:14" ht="12" customHeight="1">
      <c r="B1860" s="3906"/>
      <c r="C1860" s="231"/>
      <c r="D1860" s="3904"/>
      <c r="E1860" s="3905"/>
      <c r="F1860" s="3905"/>
      <c r="G1860" s="3905"/>
      <c r="H1860" s="3905"/>
      <c r="I1860" s="3905"/>
      <c r="J1860" s="232"/>
      <c r="K1860" s="232"/>
      <c r="L1860" s="231"/>
      <c r="N1860" s="212">
        <f t="shared" si="32"/>
        <v>1347</v>
      </c>
    </row>
    <row r="1861" spans="1:14" ht="12" customHeight="1">
      <c r="B1861" s="3906"/>
      <c r="C1861" s="231"/>
      <c r="D1861" s="3904"/>
      <c r="E1861" s="3905"/>
      <c r="F1861" s="3905"/>
      <c r="G1861" s="3905"/>
      <c r="H1861" s="3905"/>
      <c r="I1861" s="3905"/>
      <c r="J1861" s="232"/>
      <c r="K1861" s="232"/>
      <c r="L1861" s="231"/>
      <c r="N1861" s="212">
        <f t="shared" si="32"/>
        <v>1347</v>
      </c>
    </row>
    <row r="1862" spans="1:14" ht="12" customHeight="1">
      <c r="B1862" s="3906"/>
      <c r="C1862" s="231"/>
      <c r="D1862" s="3904"/>
      <c r="E1862" s="3905"/>
      <c r="F1862" s="3905"/>
      <c r="G1862" s="3905"/>
      <c r="H1862" s="3905"/>
      <c r="I1862" s="3905"/>
      <c r="J1862" s="232"/>
      <c r="K1862" s="232"/>
      <c r="L1862" s="231"/>
      <c r="N1862" s="212">
        <f t="shared" si="32"/>
        <v>1347</v>
      </c>
    </row>
    <row r="1863" spans="1:14" ht="12" customHeight="1">
      <c r="B1863" s="3906"/>
      <c r="C1863" s="231"/>
      <c r="D1863" s="3904"/>
      <c r="E1863" s="3905"/>
      <c r="F1863" s="3905"/>
      <c r="G1863" s="3905"/>
      <c r="H1863" s="3905"/>
      <c r="I1863" s="3905"/>
      <c r="J1863" s="232"/>
      <c r="K1863" s="232"/>
      <c r="L1863" s="231"/>
      <c r="N1863" s="212">
        <f t="shared" si="32"/>
        <v>1347</v>
      </c>
    </row>
    <row r="1864" spans="1:14" ht="12" customHeight="1" thickBot="1">
      <c r="A1864" s="3906"/>
      <c r="B1864" s="3906"/>
      <c r="C1864" s="231"/>
      <c r="D1864" s="3904"/>
      <c r="E1864" s="3905"/>
      <c r="F1864" s="3905"/>
      <c r="G1864" s="3905"/>
      <c r="H1864" s="3905"/>
      <c r="I1864" s="3905"/>
      <c r="J1864" s="232"/>
      <c r="K1864" s="232"/>
      <c r="L1864" s="231"/>
      <c r="N1864" s="212">
        <f t="shared" si="32"/>
        <v>1347</v>
      </c>
    </row>
    <row r="1865" spans="1:14" ht="15" customHeight="1" thickBot="1">
      <c r="A1865" s="3906"/>
      <c r="B1865" s="3906"/>
      <c r="C1865" s="760"/>
      <c r="D1865" s="3944" t="s">
        <v>2080</v>
      </c>
      <c r="E1865" s="3944"/>
      <c r="F1865" s="3944"/>
      <c r="G1865" s="3944"/>
      <c r="H1865" s="3944"/>
      <c r="I1865" s="3944"/>
      <c r="J1865" s="232"/>
      <c r="K1865" s="197" t="s">
        <v>576</v>
      </c>
      <c r="L1865" s="231"/>
      <c r="N1865" s="212">
        <f t="shared" si="32"/>
        <v>1348</v>
      </c>
    </row>
    <row r="1866" spans="1:14" ht="12" customHeight="1" thickBot="1">
      <c r="A1866" s="3906"/>
      <c r="B1866" s="3906"/>
      <c r="C1866" s="231"/>
      <c r="D1866" s="3904"/>
      <c r="E1866" s="3905"/>
      <c r="F1866" s="3905"/>
      <c r="G1866" s="3905"/>
      <c r="H1866" s="3905"/>
      <c r="I1866" s="3905"/>
      <c r="J1866" s="232"/>
      <c r="K1866" s="197" t="s">
        <v>551</v>
      </c>
      <c r="L1866" s="231"/>
      <c r="N1866" s="212">
        <f t="shared" si="32"/>
        <v>1348</v>
      </c>
    </row>
    <row r="1867" spans="1:14" ht="12" customHeight="1">
      <c r="A1867" s="3906"/>
      <c r="B1867" s="3906"/>
      <c r="C1867" s="231"/>
      <c r="D1867" s="3912" t="s">
        <v>1815</v>
      </c>
      <c r="E1867" s="3913"/>
      <c r="F1867" s="3913"/>
      <c r="G1867" s="3913"/>
      <c r="H1867" s="3913"/>
      <c r="I1867" s="3913"/>
      <c r="J1867" s="232"/>
      <c r="K1867" s="232"/>
      <c r="L1867" s="231"/>
      <c r="N1867" s="212">
        <f t="shared" si="32"/>
        <v>1349</v>
      </c>
    </row>
    <row r="1868" spans="1:14" ht="12" customHeight="1">
      <c r="A1868" s="3906"/>
      <c r="B1868" s="3906"/>
      <c r="C1868" s="231"/>
      <c r="D1868" s="3912"/>
      <c r="E1868" s="3913"/>
      <c r="F1868" s="3913"/>
      <c r="G1868" s="3913"/>
      <c r="H1868" s="3913"/>
      <c r="I1868" s="3913"/>
      <c r="J1868" s="232"/>
      <c r="K1868" s="232"/>
      <c r="L1868" s="231"/>
      <c r="N1868" s="212">
        <f t="shared" si="32"/>
        <v>1349</v>
      </c>
    </row>
    <row r="1869" spans="1:14" ht="12" customHeight="1">
      <c r="A1869" s="3906"/>
      <c r="B1869" s="3906"/>
      <c r="C1869" s="231"/>
      <c r="D1869" s="3912" t="s">
        <v>1814</v>
      </c>
      <c r="E1869" s="3913"/>
      <c r="F1869" s="3913"/>
      <c r="G1869" s="3913"/>
      <c r="H1869" s="3913"/>
      <c r="I1869" s="3913"/>
      <c r="J1869" s="232"/>
      <c r="K1869" s="232"/>
      <c r="L1869" s="232"/>
      <c r="N1869" s="212">
        <f t="shared" si="32"/>
        <v>1350</v>
      </c>
    </row>
    <row r="1870" spans="1:14" ht="12" customHeight="1">
      <c r="A1870" s="3906"/>
      <c r="C1870" s="231"/>
      <c r="D1870" s="3912"/>
      <c r="E1870" s="3913"/>
      <c r="F1870" s="3913"/>
      <c r="G1870" s="3913"/>
      <c r="H1870" s="3913"/>
      <c r="I1870" s="3913"/>
      <c r="J1870" s="232"/>
      <c r="K1870" s="232"/>
      <c r="L1870" s="232"/>
      <c r="N1870" s="212">
        <f t="shared" si="32"/>
        <v>1350</v>
      </c>
    </row>
    <row r="1871" spans="1:14" ht="12" customHeight="1">
      <c r="A1871" s="3906"/>
      <c r="C1871" s="231"/>
      <c r="D1871" s="3912" t="s">
        <v>2081</v>
      </c>
      <c r="E1871" s="3913"/>
      <c r="F1871" s="3913"/>
      <c r="G1871" s="3913"/>
      <c r="H1871" s="3913"/>
      <c r="I1871" s="3913"/>
      <c r="J1871" s="232"/>
      <c r="K1871" s="232"/>
      <c r="L1871" s="232"/>
      <c r="N1871" s="212">
        <f t="shared" si="32"/>
        <v>1351</v>
      </c>
    </row>
    <row r="1872" spans="1:14" ht="12" customHeight="1">
      <c r="A1872" s="3906"/>
      <c r="C1872" s="231"/>
      <c r="D1872" s="3912" t="s">
        <v>1816</v>
      </c>
      <c r="E1872" s="3913"/>
      <c r="F1872" s="3913"/>
      <c r="G1872" s="3913"/>
      <c r="H1872" s="3913"/>
      <c r="I1872" s="3913"/>
      <c r="J1872" s="232"/>
      <c r="K1872" s="232"/>
      <c r="L1872" s="232"/>
      <c r="N1872" s="212">
        <f t="shared" si="32"/>
        <v>1352</v>
      </c>
    </row>
    <row r="1873" spans="1:14" ht="12" customHeight="1">
      <c r="A1873" s="3906"/>
      <c r="C1873" s="231"/>
      <c r="D1873" s="3912"/>
      <c r="E1873" s="3913"/>
      <c r="F1873" s="3913"/>
      <c r="G1873" s="3913"/>
      <c r="H1873" s="3913"/>
      <c r="I1873" s="3913"/>
      <c r="J1873" s="232"/>
      <c r="K1873" s="232"/>
      <c r="L1873" s="232"/>
      <c r="N1873" s="212">
        <f t="shared" si="32"/>
        <v>1352</v>
      </c>
    </row>
    <row r="1874" spans="1:14" ht="12" customHeight="1">
      <c r="A1874" s="3906"/>
      <c r="C1874" s="231"/>
      <c r="D1874" s="3912" t="s">
        <v>1817</v>
      </c>
      <c r="E1874" s="3913"/>
      <c r="F1874" s="3913"/>
      <c r="G1874" s="3913"/>
      <c r="H1874" s="3913"/>
      <c r="I1874" s="3913"/>
      <c r="J1874" s="232"/>
      <c r="K1874" s="232"/>
      <c r="L1874" s="232"/>
      <c r="N1874" s="212">
        <f t="shared" si="32"/>
        <v>1353</v>
      </c>
    </row>
    <row r="1875" spans="1:14" ht="12" customHeight="1">
      <c r="A1875" s="3906"/>
      <c r="C1875" s="231"/>
      <c r="D1875" s="3912" t="s">
        <v>1818</v>
      </c>
      <c r="E1875" s="3913"/>
      <c r="F1875" s="3913"/>
      <c r="G1875" s="3913"/>
      <c r="H1875" s="3913"/>
      <c r="I1875" s="3913"/>
      <c r="J1875" s="232"/>
      <c r="K1875" s="232"/>
      <c r="L1875" s="232"/>
      <c r="N1875" s="212">
        <f t="shared" si="32"/>
        <v>1354</v>
      </c>
    </row>
    <row r="1876" spans="1:14" ht="12" customHeight="1">
      <c r="A1876" s="3906"/>
      <c r="C1876" s="231"/>
      <c r="D1876" s="3900" t="s">
        <v>1819</v>
      </c>
      <c r="E1876" s="3901"/>
      <c r="F1876" s="3901"/>
      <c r="G1876" s="3901"/>
      <c r="H1876" s="3901"/>
      <c r="I1876" s="3901"/>
      <c r="J1876" s="232"/>
      <c r="K1876" s="232"/>
      <c r="L1876" s="232"/>
      <c r="N1876" s="212">
        <f t="shared" si="32"/>
        <v>1355</v>
      </c>
    </row>
    <row r="1877" spans="1:14" ht="12" customHeight="1">
      <c r="A1877" s="3906"/>
      <c r="C1877" s="231"/>
      <c r="D1877" s="3904"/>
      <c r="E1877" s="3905"/>
      <c r="F1877" s="3905"/>
      <c r="G1877" s="3905"/>
      <c r="H1877" s="3905"/>
      <c r="I1877" s="3905"/>
      <c r="J1877" s="232"/>
      <c r="K1877" s="232"/>
      <c r="L1877" s="232"/>
      <c r="N1877" s="212">
        <f t="shared" si="32"/>
        <v>1355</v>
      </c>
    </row>
    <row r="1878" spans="1:14" ht="12" customHeight="1">
      <c r="A1878" s="3906"/>
      <c r="C1878" s="231"/>
      <c r="D1878" s="3904"/>
      <c r="E1878" s="3905"/>
      <c r="F1878" s="3905"/>
      <c r="G1878" s="3905"/>
      <c r="H1878" s="3905"/>
      <c r="I1878" s="3905"/>
      <c r="J1878" s="232"/>
      <c r="K1878" s="232"/>
      <c r="L1878" s="232"/>
      <c r="N1878" s="212">
        <f t="shared" si="32"/>
        <v>1355</v>
      </c>
    </row>
    <row r="1879" spans="1:14" ht="12" customHeight="1">
      <c r="A1879" s="3906"/>
      <c r="C1879" s="231"/>
      <c r="D1879" s="742"/>
      <c r="E1879" s="743"/>
      <c r="F1879" s="1714"/>
      <c r="G1879" s="743"/>
      <c r="H1879" s="743"/>
      <c r="I1879" s="743"/>
      <c r="J1879" s="232"/>
      <c r="K1879" s="232"/>
      <c r="L1879" s="232"/>
      <c r="N1879" s="212"/>
    </row>
    <row r="1880" spans="1:14" ht="12" customHeight="1">
      <c r="A1880" s="3906"/>
      <c r="C1880" s="231"/>
      <c r="D1880" s="3904"/>
      <c r="E1880" s="3905"/>
      <c r="F1880" s="3905"/>
      <c r="G1880" s="3905"/>
      <c r="H1880" s="3905"/>
      <c r="I1880" s="3905"/>
      <c r="J1880" s="232"/>
      <c r="K1880" s="232"/>
      <c r="L1880" s="232"/>
      <c r="N1880" s="212">
        <f>IF(D1880="",N1878,N1878+1)</f>
        <v>1355</v>
      </c>
    </row>
    <row r="1881" spans="1:14" ht="12" customHeight="1">
      <c r="A1881" s="3906"/>
      <c r="C1881" s="231"/>
      <c r="D1881" s="3904"/>
      <c r="E1881" s="3905"/>
      <c r="F1881" s="3905"/>
      <c r="G1881" s="3905"/>
      <c r="H1881" s="3905"/>
      <c r="I1881" s="3905"/>
      <c r="J1881" s="232"/>
      <c r="K1881" s="232"/>
      <c r="L1881" s="232"/>
      <c r="N1881" s="212">
        <f t="shared" si="32"/>
        <v>1355</v>
      </c>
    </row>
    <row r="1882" spans="1:14" ht="12" customHeight="1" thickBot="1">
      <c r="A1882" s="3906"/>
      <c r="B1882" s="3920"/>
      <c r="C1882" s="231"/>
      <c r="D1882" s="3904"/>
      <c r="E1882" s="3905"/>
      <c r="F1882" s="3905"/>
      <c r="G1882" s="3905"/>
      <c r="H1882" s="3905"/>
      <c r="I1882" s="3905"/>
      <c r="J1882" s="232"/>
      <c r="K1882" s="232"/>
      <c r="L1882" s="232"/>
      <c r="N1882" s="212">
        <f t="shared" si="32"/>
        <v>1355</v>
      </c>
    </row>
    <row r="1883" spans="1:14" ht="15" customHeight="1" thickBot="1">
      <c r="A1883" s="3906"/>
      <c r="B1883" s="3920"/>
      <c r="C1883" s="231"/>
      <c r="D1883" s="3944" t="s">
        <v>2082</v>
      </c>
      <c r="E1883" s="3944"/>
      <c r="F1883" s="3944"/>
      <c r="G1883" s="3944"/>
      <c r="H1883" s="3944"/>
      <c r="I1883" s="3944"/>
      <c r="J1883" s="232"/>
      <c r="K1883" s="195" t="s">
        <v>576</v>
      </c>
      <c r="L1883" s="232"/>
      <c r="N1883" s="212">
        <f t="shared" si="32"/>
        <v>1356</v>
      </c>
    </row>
    <row r="1884" spans="1:14" ht="12" customHeight="1" thickBot="1">
      <c r="A1884" s="3906"/>
      <c r="B1884" s="3920"/>
      <c r="C1884" s="231"/>
      <c r="D1884" s="3904"/>
      <c r="E1884" s="3905"/>
      <c r="F1884" s="3905"/>
      <c r="G1884" s="3905"/>
      <c r="H1884" s="3905"/>
      <c r="I1884" s="3905"/>
      <c r="J1884" s="232"/>
      <c r="K1884" s="1726" t="s">
        <v>551</v>
      </c>
      <c r="L1884" s="232"/>
      <c r="N1884" s="212">
        <f t="shared" si="32"/>
        <v>1356</v>
      </c>
    </row>
    <row r="1885" spans="1:14" ht="12" customHeight="1">
      <c r="A1885" s="3906"/>
      <c r="B1885" s="3920"/>
      <c r="C1885" s="231"/>
      <c r="D1885" s="3912" t="s">
        <v>1820</v>
      </c>
      <c r="E1885" s="3913"/>
      <c r="F1885" s="3913"/>
      <c r="G1885" s="3913"/>
      <c r="H1885" s="3913"/>
      <c r="I1885" s="3913"/>
      <c r="J1885" s="232"/>
      <c r="K1885" s="232"/>
      <c r="L1885" s="232"/>
      <c r="N1885" s="212">
        <f t="shared" si="32"/>
        <v>1357</v>
      </c>
    </row>
    <row r="1886" spans="1:14" ht="12" customHeight="1">
      <c r="A1886" s="3906"/>
      <c r="B1886" s="3920"/>
      <c r="C1886" s="231"/>
      <c r="D1886" s="3900" t="s">
        <v>1821</v>
      </c>
      <c r="E1886" s="3900"/>
      <c r="F1886" s="3900"/>
      <c r="G1886" s="3900"/>
      <c r="H1886" s="3900"/>
      <c r="I1886" s="3900"/>
      <c r="J1886" s="3900"/>
      <c r="K1886" s="3900"/>
      <c r="L1886" s="232"/>
      <c r="N1886" s="212">
        <f t="shared" si="32"/>
        <v>1358</v>
      </c>
    </row>
    <row r="1887" spans="1:14" ht="12" customHeight="1">
      <c r="A1887" s="3906"/>
      <c r="B1887" s="3920"/>
      <c r="C1887" s="231"/>
      <c r="D1887" s="3900" t="s">
        <v>1822</v>
      </c>
      <c r="E1887" s="3901"/>
      <c r="F1887" s="3901"/>
      <c r="G1887" s="3901"/>
      <c r="H1887" s="3901"/>
      <c r="I1887" s="3901"/>
      <c r="J1887" s="232"/>
      <c r="K1887" s="232"/>
      <c r="L1887" s="232"/>
      <c r="N1887" s="212">
        <f t="shared" si="32"/>
        <v>1359</v>
      </c>
    </row>
    <row r="1888" spans="1:14" ht="12" customHeight="1">
      <c r="A1888" s="3906"/>
      <c r="B1888" s="3920"/>
      <c r="C1888" s="231"/>
      <c r="D1888" s="3912"/>
      <c r="E1888" s="3913"/>
      <c r="F1888" s="3913"/>
      <c r="G1888" s="3913"/>
      <c r="H1888" s="3913"/>
      <c r="I1888" s="3913"/>
      <c r="J1888" s="232"/>
      <c r="K1888" s="232"/>
      <c r="L1888" s="232"/>
      <c r="N1888" s="212">
        <f t="shared" si="32"/>
        <v>1359</v>
      </c>
    </row>
    <row r="1889" spans="1:14" ht="12" customHeight="1">
      <c r="A1889" s="3906"/>
      <c r="B1889" s="3920"/>
      <c r="C1889" s="231"/>
      <c r="D1889" s="3900" t="s">
        <v>1823</v>
      </c>
      <c r="E1889" s="3901"/>
      <c r="F1889" s="3901"/>
      <c r="G1889" s="3901"/>
      <c r="H1889" s="3901"/>
      <c r="I1889" s="3901"/>
      <c r="J1889" s="232"/>
      <c r="K1889" s="232"/>
      <c r="L1889" s="232"/>
      <c r="N1889" s="212">
        <f t="shared" si="32"/>
        <v>1360</v>
      </c>
    </row>
    <row r="1890" spans="1:14" ht="12" customHeight="1">
      <c r="A1890" s="3906"/>
      <c r="B1890" s="3920"/>
      <c r="C1890" s="231"/>
      <c r="D1890" s="3904"/>
      <c r="E1890" s="3905"/>
      <c r="F1890" s="3905"/>
      <c r="G1890" s="3905"/>
      <c r="H1890" s="3905"/>
      <c r="I1890" s="3905"/>
      <c r="J1890" s="232"/>
      <c r="K1890" s="232"/>
      <c r="L1890" s="232"/>
      <c r="N1890" s="212">
        <f t="shared" ref="N1890:N1954" si="33">IF(D1890="",N1889,N1889+1)</f>
        <v>1360</v>
      </c>
    </row>
    <row r="1891" spans="1:14" ht="12" customHeight="1">
      <c r="A1891" s="3906"/>
      <c r="B1891" s="3920"/>
      <c r="C1891" s="231"/>
      <c r="D1891" s="742"/>
      <c r="E1891" s="743"/>
      <c r="F1891" s="1714"/>
      <c r="G1891" s="743"/>
      <c r="H1891" s="743"/>
      <c r="I1891" s="743"/>
      <c r="J1891" s="232"/>
      <c r="K1891" s="232"/>
      <c r="L1891" s="232"/>
      <c r="N1891" s="212">
        <f t="shared" si="33"/>
        <v>1360</v>
      </c>
    </row>
    <row r="1892" spans="1:14" ht="12" customHeight="1">
      <c r="A1892" s="230"/>
      <c r="B1892" s="3920"/>
      <c r="C1892" s="231"/>
      <c r="D1892" s="742"/>
      <c r="E1892" s="743"/>
      <c r="F1892" s="1714"/>
      <c r="G1892" s="743"/>
      <c r="H1892" s="743"/>
      <c r="I1892" s="743"/>
      <c r="J1892" s="232"/>
      <c r="K1892" s="232"/>
      <c r="L1892" s="232"/>
      <c r="N1892" s="212">
        <f t="shared" si="33"/>
        <v>1360</v>
      </c>
    </row>
    <row r="1893" spans="1:14" ht="12" customHeight="1">
      <c r="A1893" s="230"/>
      <c r="B1893" s="3920"/>
      <c r="C1893" s="231"/>
      <c r="D1893" s="3904"/>
      <c r="E1893" s="3905"/>
      <c r="F1893" s="3905"/>
      <c r="G1893" s="3905"/>
      <c r="H1893" s="3905"/>
      <c r="I1893" s="3905"/>
      <c r="J1893" s="232"/>
      <c r="K1893" s="232"/>
      <c r="L1893" s="232"/>
      <c r="N1893" s="212">
        <f t="shared" si="33"/>
        <v>1360</v>
      </c>
    </row>
    <row r="1894" spans="1:14" ht="12" customHeight="1">
      <c r="A1894" s="230"/>
      <c r="B1894" s="3920"/>
      <c r="C1894" s="231"/>
      <c r="D1894" s="3904"/>
      <c r="E1894" s="3905"/>
      <c r="F1894" s="3905"/>
      <c r="G1894" s="3905"/>
      <c r="H1894" s="3905"/>
      <c r="I1894" s="3905"/>
      <c r="J1894" s="232"/>
      <c r="K1894" s="232"/>
      <c r="L1894" s="232"/>
      <c r="N1894" s="212">
        <f t="shared" si="33"/>
        <v>1360</v>
      </c>
    </row>
    <row r="1895" spans="1:14" ht="12" customHeight="1">
      <c r="A1895" s="230"/>
      <c r="B1895" s="3920"/>
      <c r="C1895" s="231"/>
      <c r="D1895" s="3904"/>
      <c r="E1895" s="3905"/>
      <c r="F1895" s="3905"/>
      <c r="G1895" s="3905"/>
      <c r="H1895" s="3905"/>
      <c r="I1895" s="3905"/>
      <c r="J1895" s="232"/>
      <c r="K1895" s="232"/>
      <c r="L1895" s="232"/>
      <c r="N1895" s="212">
        <f t="shared" si="33"/>
        <v>1360</v>
      </c>
    </row>
    <row r="1896" spans="1:14" ht="12" customHeight="1">
      <c r="A1896" s="230"/>
      <c r="B1896" s="3920"/>
      <c r="C1896" s="231"/>
      <c r="D1896" s="3904"/>
      <c r="E1896" s="3905"/>
      <c r="F1896" s="3905"/>
      <c r="G1896" s="3905"/>
      <c r="H1896" s="3905"/>
      <c r="I1896" s="3905"/>
      <c r="J1896" s="232"/>
      <c r="K1896" s="232"/>
      <c r="L1896" s="232"/>
      <c r="N1896" s="212">
        <f t="shared" si="33"/>
        <v>1360</v>
      </c>
    </row>
    <row r="1897" spans="1:14" ht="12" customHeight="1" thickBot="1">
      <c r="A1897" s="230"/>
      <c r="B1897" s="3920"/>
      <c r="C1897" s="231"/>
      <c r="D1897" s="3904"/>
      <c r="E1897" s="3905"/>
      <c r="F1897" s="3905"/>
      <c r="G1897" s="3905"/>
      <c r="H1897" s="3905"/>
      <c r="I1897" s="3905"/>
      <c r="J1897" s="232"/>
      <c r="K1897" s="232"/>
      <c r="L1897" s="3925"/>
      <c r="N1897" s="212">
        <f t="shared" si="33"/>
        <v>1360</v>
      </c>
    </row>
    <row r="1898" spans="1:14" ht="15" customHeight="1" thickBot="1">
      <c r="A1898" s="230"/>
      <c r="B1898" s="3920"/>
      <c r="C1898" s="231"/>
      <c r="D1898" s="3944" t="s">
        <v>1824</v>
      </c>
      <c r="E1898" s="3944"/>
      <c r="F1898" s="3944"/>
      <c r="G1898" s="3944"/>
      <c r="H1898" s="3944"/>
      <c r="I1898" s="3944"/>
      <c r="J1898" s="232"/>
      <c r="K1898" s="195" t="s">
        <v>576</v>
      </c>
      <c r="L1898" s="3925"/>
      <c r="N1898" s="212">
        <f t="shared" si="33"/>
        <v>1361</v>
      </c>
    </row>
    <row r="1899" spans="1:14" ht="12" customHeight="1" thickBot="1">
      <c r="A1899" s="230"/>
      <c r="B1899" s="3920"/>
      <c r="C1899" s="231"/>
      <c r="D1899" s="3904"/>
      <c r="E1899" s="3905"/>
      <c r="F1899" s="3905"/>
      <c r="G1899" s="3905"/>
      <c r="H1899" s="3905"/>
      <c r="I1899" s="3905"/>
      <c r="J1899" s="232"/>
      <c r="K1899" s="197" t="s">
        <v>551</v>
      </c>
      <c r="L1899" s="3925"/>
      <c r="N1899" s="212">
        <f t="shared" si="33"/>
        <v>1361</v>
      </c>
    </row>
    <row r="1900" spans="1:14" ht="12" customHeight="1">
      <c r="A1900" s="230"/>
      <c r="B1900" s="3920"/>
      <c r="C1900" s="231"/>
      <c r="D1900" s="3912" t="s">
        <v>1825</v>
      </c>
      <c r="E1900" s="3913"/>
      <c r="F1900" s="3913"/>
      <c r="G1900" s="3913"/>
      <c r="H1900" s="3913"/>
      <c r="I1900" s="3913"/>
      <c r="J1900" s="232"/>
      <c r="K1900" s="232"/>
      <c r="L1900" s="3925"/>
      <c r="N1900" s="212">
        <f t="shared" si="33"/>
        <v>1362</v>
      </c>
    </row>
    <row r="1901" spans="1:14" ht="12" customHeight="1">
      <c r="A1901" s="230"/>
      <c r="B1901" s="3920"/>
      <c r="C1901" s="231"/>
      <c r="D1901" s="3912" t="s">
        <v>1826</v>
      </c>
      <c r="E1901" s="3913"/>
      <c r="F1901" s="3913"/>
      <c r="G1901" s="3913"/>
      <c r="H1901" s="3913"/>
      <c r="I1901" s="3913"/>
      <c r="J1901" s="232"/>
      <c r="K1901" s="232"/>
      <c r="L1901" s="3925"/>
      <c r="N1901" s="212">
        <f t="shared" si="33"/>
        <v>1363</v>
      </c>
    </row>
    <row r="1902" spans="1:14" ht="12" customHeight="1">
      <c r="A1902" s="230"/>
      <c r="B1902" s="3920"/>
      <c r="C1902" s="231"/>
      <c r="D1902" s="3900" t="s">
        <v>1827</v>
      </c>
      <c r="E1902" s="3900"/>
      <c r="F1902" s="3900"/>
      <c r="G1902" s="3900"/>
      <c r="H1902" s="3900"/>
      <c r="I1902" s="3900"/>
      <c r="J1902" s="3900"/>
      <c r="K1902" s="3900"/>
      <c r="L1902" s="3925"/>
      <c r="N1902" s="212">
        <f t="shared" si="33"/>
        <v>1364</v>
      </c>
    </row>
    <row r="1903" spans="1:14" ht="12" customHeight="1">
      <c r="A1903" s="230"/>
      <c r="B1903" s="3920"/>
      <c r="C1903" s="231"/>
      <c r="D1903" s="3904"/>
      <c r="E1903" s="3905"/>
      <c r="F1903" s="3905"/>
      <c r="G1903" s="3905"/>
      <c r="H1903" s="3905"/>
      <c r="I1903" s="3905"/>
      <c r="J1903" s="232"/>
      <c r="K1903" s="232"/>
      <c r="L1903" s="3925"/>
      <c r="N1903" s="212">
        <f t="shared" si="33"/>
        <v>1364</v>
      </c>
    </row>
    <row r="1904" spans="1:14" ht="12" customHeight="1">
      <c r="A1904" s="230"/>
      <c r="B1904" s="3920"/>
      <c r="C1904" s="231"/>
      <c r="D1904" s="742"/>
      <c r="E1904" s="743"/>
      <c r="F1904" s="1714"/>
      <c r="G1904" s="743"/>
      <c r="H1904" s="743"/>
      <c r="I1904" s="743"/>
      <c r="J1904" s="232"/>
      <c r="K1904" s="232"/>
      <c r="L1904" s="3925"/>
      <c r="N1904" s="212">
        <f t="shared" si="33"/>
        <v>1364</v>
      </c>
    </row>
    <row r="1905" spans="1:14" ht="12" customHeight="1">
      <c r="A1905" s="230"/>
      <c r="B1905" s="3920"/>
      <c r="C1905" s="231"/>
      <c r="D1905" s="742"/>
      <c r="E1905" s="743"/>
      <c r="F1905" s="1714"/>
      <c r="G1905" s="743"/>
      <c r="H1905" s="743"/>
      <c r="I1905" s="743"/>
      <c r="J1905" s="232"/>
      <c r="K1905" s="232"/>
      <c r="L1905" s="3925"/>
      <c r="N1905" s="212">
        <f t="shared" si="33"/>
        <v>1364</v>
      </c>
    </row>
    <row r="1906" spans="1:14" ht="12" customHeight="1">
      <c r="A1906" s="230"/>
      <c r="B1906" s="3920"/>
      <c r="C1906" s="231"/>
      <c r="D1906" s="742"/>
      <c r="E1906" s="743"/>
      <c r="F1906" s="1714"/>
      <c r="G1906" s="743"/>
      <c r="H1906" s="743"/>
      <c r="I1906" s="743"/>
      <c r="J1906" s="232"/>
      <c r="K1906" s="232"/>
      <c r="L1906" s="3925"/>
      <c r="N1906" s="212">
        <f t="shared" si="33"/>
        <v>1364</v>
      </c>
    </row>
    <row r="1907" spans="1:14" ht="12" customHeight="1">
      <c r="A1907" s="230"/>
      <c r="B1907" s="757"/>
      <c r="C1907" s="231"/>
      <c r="D1907" s="742"/>
      <c r="E1907" s="743"/>
      <c r="F1907" s="1714"/>
      <c r="G1907" s="743"/>
      <c r="H1907" s="743"/>
      <c r="I1907" s="743"/>
      <c r="J1907" s="232"/>
      <c r="K1907" s="232"/>
      <c r="L1907" s="3925"/>
      <c r="N1907" s="212">
        <f t="shared" si="33"/>
        <v>1364</v>
      </c>
    </row>
    <row r="1908" spans="1:14" ht="12" customHeight="1">
      <c r="A1908" s="230"/>
      <c r="B1908" s="757"/>
      <c r="C1908" s="231"/>
      <c r="D1908" s="3904"/>
      <c r="E1908" s="3905"/>
      <c r="F1908" s="3905"/>
      <c r="G1908" s="3905"/>
      <c r="H1908" s="3905"/>
      <c r="I1908" s="3905"/>
      <c r="J1908" s="232"/>
      <c r="K1908" s="232"/>
      <c r="L1908" s="3925"/>
      <c r="N1908" s="212">
        <f t="shared" si="33"/>
        <v>1364</v>
      </c>
    </row>
    <row r="1909" spans="1:14" ht="12" customHeight="1" thickBot="1">
      <c r="A1909" s="3906"/>
      <c r="B1909" s="757"/>
      <c r="C1909" s="231"/>
      <c r="D1909" s="3904"/>
      <c r="E1909" s="3905"/>
      <c r="F1909" s="3905"/>
      <c r="G1909" s="3905"/>
      <c r="H1909" s="3905"/>
      <c r="I1909" s="3905"/>
      <c r="J1909" s="232"/>
      <c r="K1909" s="232"/>
      <c r="L1909" s="3925"/>
      <c r="N1909" s="212">
        <f t="shared" si="33"/>
        <v>1364</v>
      </c>
    </row>
    <row r="1910" spans="1:14" ht="15" customHeight="1" thickBot="1">
      <c r="A1910" s="3906"/>
      <c r="B1910" s="757"/>
      <c r="C1910" s="231"/>
      <c r="D1910" s="3944" t="s">
        <v>1828</v>
      </c>
      <c r="E1910" s="3944"/>
      <c r="F1910" s="3944"/>
      <c r="G1910" s="3944"/>
      <c r="H1910" s="3944"/>
      <c r="I1910" s="3944"/>
      <c r="J1910" s="232"/>
      <c r="K1910" s="195" t="s">
        <v>576</v>
      </c>
      <c r="L1910" s="3925"/>
      <c r="N1910" s="212">
        <f t="shared" si="33"/>
        <v>1365</v>
      </c>
    </row>
    <row r="1911" spans="1:14" ht="12" customHeight="1" thickBot="1">
      <c r="A1911" s="3906"/>
      <c r="B1911" s="757"/>
      <c r="C1911" s="231"/>
      <c r="D1911" s="3904"/>
      <c r="E1911" s="3905"/>
      <c r="F1911" s="3905"/>
      <c r="G1911" s="3905"/>
      <c r="H1911" s="3905"/>
      <c r="I1911" s="3905"/>
      <c r="J1911" s="232"/>
      <c r="K1911" s="197" t="s">
        <v>551</v>
      </c>
      <c r="L1911" s="3925"/>
      <c r="N1911" s="212">
        <f t="shared" si="33"/>
        <v>1365</v>
      </c>
    </row>
    <row r="1912" spans="1:14" ht="12" customHeight="1">
      <c r="A1912" s="3906"/>
      <c r="B1912" s="757"/>
      <c r="C1912" s="231"/>
      <c r="D1912" s="3912" t="s">
        <v>1829</v>
      </c>
      <c r="E1912" s="3913"/>
      <c r="F1912" s="3913"/>
      <c r="G1912" s="3913"/>
      <c r="H1912" s="3913"/>
      <c r="I1912" s="3913"/>
      <c r="J1912" s="232"/>
      <c r="K1912" s="232"/>
      <c r="L1912" s="3925"/>
      <c r="N1912" s="212">
        <f t="shared" si="33"/>
        <v>1366</v>
      </c>
    </row>
    <row r="1913" spans="1:14" ht="12" customHeight="1">
      <c r="A1913" s="3906"/>
      <c r="B1913" s="757"/>
      <c r="C1913" s="231"/>
      <c r="D1913" s="3900" t="s">
        <v>1833</v>
      </c>
      <c r="E1913" s="3901"/>
      <c r="F1913" s="3901"/>
      <c r="G1913" s="3901"/>
      <c r="H1913" s="3901"/>
      <c r="I1913" s="3901"/>
      <c r="J1913" s="232"/>
      <c r="K1913" s="232"/>
      <c r="L1913" s="3925"/>
      <c r="N1913" s="212">
        <f t="shared" si="33"/>
        <v>1367</v>
      </c>
    </row>
    <row r="1914" spans="1:14" ht="12" customHeight="1">
      <c r="A1914" s="3906"/>
      <c r="B1914" s="757"/>
      <c r="C1914" s="231"/>
      <c r="D1914" s="3912" t="s">
        <v>1830</v>
      </c>
      <c r="E1914" s="3913"/>
      <c r="F1914" s="3913"/>
      <c r="G1914" s="3913"/>
      <c r="H1914" s="3913"/>
      <c r="I1914" s="3913"/>
      <c r="J1914" s="232"/>
      <c r="K1914" s="232"/>
      <c r="L1914" s="3925"/>
      <c r="N1914" s="212">
        <f t="shared" si="33"/>
        <v>1368</v>
      </c>
    </row>
    <row r="1915" spans="1:14" ht="12" customHeight="1">
      <c r="A1915" s="3906"/>
      <c r="B1915" s="757"/>
      <c r="C1915" s="231"/>
      <c r="D1915" s="3912" t="s">
        <v>1834</v>
      </c>
      <c r="E1915" s="3913"/>
      <c r="F1915" s="3913"/>
      <c r="G1915" s="3913"/>
      <c r="H1915" s="3913"/>
      <c r="I1915" s="3913"/>
      <c r="J1915" s="232"/>
      <c r="K1915" s="232"/>
      <c r="L1915" s="3925"/>
      <c r="N1915" s="212">
        <f t="shared" si="33"/>
        <v>1369</v>
      </c>
    </row>
    <row r="1916" spans="1:14" ht="12" customHeight="1">
      <c r="A1916" s="3906"/>
      <c r="B1916" s="757"/>
      <c r="C1916" s="231"/>
      <c r="D1916" s="3900" t="s">
        <v>1835</v>
      </c>
      <c r="E1916" s="3901"/>
      <c r="F1916" s="3901"/>
      <c r="G1916" s="3901"/>
      <c r="H1916" s="3901"/>
      <c r="I1916" s="3901"/>
      <c r="J1916" s="232"/>
      <c r="K1916" s="232"/>
      <c r="L1916" s="3925"/>
      <c r="N1916" s="212">
        <f t="shared" si="33"/>
        <v>1370</v>
      </c>
    </row>
    <row r="1917" spans="1:14" ht="12" customHeight="1">
      <c r="A1917" s="3906"/>
      <c r="B1917" s="757"/>
      <c r="C1917" s="231"/>
      <c r="D1917" s="3912"/>
      <c r="E1917" s="3913"/>
      <c r="F1917" s="3913"/>
      <c r="G1917" s="3913"/>
      <c r="H1917" s="3913"/>
      <c r="I1917" s="3913"/>
      <c r="J1917" s="232"/>
      <c r="K1917" s="232"/>
      <c r="L1917" s="3925"/>
      <c r="N1917" s="212">
        <f t="shared" si="33"/>
        <v>1370</v>
      </c>
    </row>
    <row r="1918" spans="1:14" ht="12" customHeight="1">
      <c r="A1918" s="3906"/>
      <c r="B1918" s="757"/>
      <c r="C1918" s="231"/>
      <c r="D1918" s="3912" t="s">
        <v>1831</v>
      </c>
      <c r="E1918" s="3913"/>
      <c r="F1918" s="3913"/>
      <c r="G1918" s="3913"/>
      <c r="H1918" s="3913"/>
      <c r="I1918" s="3913"/>
      <c r="J1918" s="232"/>
      <c r="K1918" s="232"/>
      <c r="L1918" s="3925"/>
      <c r="N1918" s="212">
        <f t="shared" si="33"/>
        <v>1371</v>
      </c>
    </row>
    <row r="1919" spans="1:14" ht="12" customHeight="1">
      <c r="A1919" s="3906"/>
      <c r="B1919" s="757"/>
      <c r="C1919" s="231"/>
      <c r="D1919" s="3900" t="s">
        <v>1836</v>
      </c>
      <c r="E1919" s="3900"/>
      <c r="F1919" s="3900"/>
      <c r="G1919" s="3900"/>
      <c r="H1919" s="3900"/>
      <c r="I1919" s="3900"/>
      <c r="J1919" s="3900"/>
      <c r="K1919" s="3900"/>
      <c r="L1919" s="3925"/>
      <c r="N1919" s="212">
        <f t="shared" si="33"/>
        <v>1372</v>
      </c>
    </row>
    <row r="1920" spans="1:14" ht="12" customHeight="1">
      <c r="A1920" s="3906"/>
      <c r="B1920" s="757"/>
      <c r="C1920" s="231"/>
      <c r="D1920" s="3912"/>
      <c r="E1920" s="3913"/>
      <c r="F1920" s="3913"/>
      <c r="G1920" s="3913"/>
      <c r="H1920" s="3913"/>
      <c r="I1920" s="3913"/>
      <c r="J1920" s="232"/>
      <c r="K1920" s="232"/>
      <c r="L1920" s="3925"/>
      <c r="N1920" s="212">
        <f t="shared" si="33"/>
        <v>1372</v>
      </c>
    </row>
    <row r="1921" spans="1:14" ht="12" customHeight="1">
      <c r="A1921" s="3906"/>
      <c r="B1921" s="757"/>
      <c r="C1921" s="231"/>
      <c r="D1921" s="3900" t="s">
        <v>1832</v>
      </c>
      <c r="E1921" s="3900"/>
      <c r="F1921" s="3900"/>
      <c r="G1921" s="3900"/>
      <c r="H1921" s="3900"/>
      <c r="I1921" s="3900"/>
      <c r="J1921" s="3900"/>
      <c r="K1921" s="3900"/>
      <c r="L1921" s="3925"/>
      <c r="N1921" s="212">
        <f t="shared" si="33"/>
        <v>1373</v>
      </c>
    </row>
    <row r="1922" spans="1:14" ht="12" customHeight="1">
      <c r="A1922" s="3906"/>
      <c r="B1922" s="757"/>
      <c r="C1922" s="231"/>
      <c r="D1922" s="3912" t="s">
        <v>1837</v>
      </c>
      <c r="E1922" s="3913"/>
      <c r="F1922" s="3913"/>
      <c r="G1922" s="3913"/>
      <c r="H1922" s="3913"/>
      <c r="I1922" s="3913"/>
      <c r="J1922" s="232"/>
      <c r="K1922" s="232"/>
      <c r="L1922" s="3925"/>
      <c r="N1922" s="212">
        <f t="shared" si="33"/>
        <v>1374</v>
      </c>
    </row>
    <row r="1923" spans="1:14" ht="12" customHeight="1">
      <c r="A1923" s="3906"/>
      <c r="C1923" s="231"/>
      <c r="D1923" s="3912"/>
      <c r="E1923" s="3913"/>
      <c r="F1923" s="3913"/>
      <c r="G1923" s="3913"/>
      <c r="H1923" s="3913"/>
      <c r="I1923" s="3913"/>
      <c r="J1923" s="232"/>
      <c r="K1923" s="232"/>
      <c r="L1923" s="3925"/>
      <c r="N1923" s="212">
        <f t="shared" si="33"/>
        <v>1374</v>
      </c>
    </row>
    <row r="1924" spans="1:14" ht="12" customHeight="1">
      <c r="A1924" s="3906"/>
      <c r="C1924" s="231"/>
      <c r="D1924" s="3912" t="s">
        <v>906</v>
      </c>
      <c r="E1924" s="3912"/>
      <c r="F1924" s="3912"/>
      <c r="G1924" s="3912"/>
      <c r="H1924" s="3912"/>
      <c r="I1924" s="3912"/>
      <c r="J1924" s="3912"/>
      <c r="K1924" s="3912"/>
      <c r="L1924" s="3925"/>
      <c r="N1924" s="212">
        <f t="shared" si="33"/>
        <v>1375</v>
      </c>
    </row>
    <row r="1925" spans="1:14" ht="12" customHeight="1">
      <c r="A1925" s="3906"/>
      <c r="C1925" s="231"/>
      <c r="D1925" s="3912" t="s">
        <v>1838</v>
      </c>
      <c r="E1925" s="3912"/>
      <c r="F1925" s="3912"/>
      <c r="G1925" s="3912"/>
      <c r="H1925" s="3912"/>
      <c r="I1925" s="3912"/>
      <c r="J1925" s="3912"/>
      <c r="K1925" s="3912"/>
      <c r="L1925" s="3925"/>
      <c r="N1925" s="212">
        <f t="shared" si="33"/>
        <v>1376</v>
      </c>
    </row>
    <row r="1926" spans="1:14" ht="12" customHeight="1">
      <c r="A1926" s="3906"/>
      <c r="C1926" s="231"/>
      <c r="D1926" s="3912" t="s">
        <v>1839</v>
      </c>
      <c r="E1926" s="3913"/>
      <c r="F1926" s="3913"/>
      <c r="G1926" s="3913"/>
      <c r="H1926" s="3913"/>
      <c r="I1926" s="3913"/>
      <c r="J1926" s="232"/>
      <c r="K1926" s="232"/>
      <c r="L1926" s="3925"/>
      <c r="N1926" s="212">
        <f t="shared" si="33"/>
        <v>1377</v>
      </c>
    </row>
    <row r="1927" spans="1:14" ht="12" customHeight="1">
      <c r="A1927" s="3906"/>
      <c r="C1927" s="231"/>
      <c r="D1927" s="3912"/>
      <c r="E1927" s="3913"/>
      <c r="F1927" s="3913"/>
      <c r="G1927" s="3913"/>
      <c r="H1927" s="3913"/>
      <c r="I1927" s="3913"/>
      <c r="J1927" s="232"/>
      <c r="K1927" s="232"/>
      <c r="L1927" s="3925"/>
      <c r="N1927" s="212">
        <f t="shared" si="33"/>
        <v>1377</v>
      </c>
    </row>
    <row r="1928" spans="1:14" ht="12" customHeight="1">
      <c r="A1928" s="3906"/>
      <c r="C1928" s="231"/>
      <c r="D1928" s="3900" t="s">
        <v>1840</v>
      </c>
      <c r="E1928" s="3900"/>
      <c r="F1928" s="3900"/>
      <c r="G1928" s="3900"/>
      <c r="H1928" s="3900"/>
      <c r="I1928" s="3900"/>
      <c r="J1928" s="3900"/>
      <c r="K1928" s="3900"/>
      <c r="L1928" s="3925"/>
      <c r="N1928" s="212">
        <f t="shared" si="33"/>
        <v>1378</v>
      </c>
    </row>
    <row r="1929" spans="1:14" ht="12" customHeight="1">
      <c r="A1929" s="3906"/>
      <c r="C1929" s="231"/>
      <c r="D1929" s="3900" t="s">
        <v>907</v>
      </c>
      <c r="E1929" s="3900"/>
      <c r="F1929" s="3900"/>
      <c r="G1929" s="3900"/>
      <c r="H1929" s="3900"/>
      <c r="I1929" s="3900"/>
      <c r="J1929" s="3900"/>
      <c r="K1929" s="3900"/>
      <c r="L1929" s="3925"/>
      <c r="N1929" s="212">
        <f t="shared" si="33"/>
        <v>1379</v>
      </c>
    </row>
    <row r="1930" spans="1:14" ht="12" customHeight="1" thickBot="1">
      <c r="A1930" s="3906"/>
      <c r="B1930" s="3920"/>
      <c r="C1930" s="231"/>
      <c r="D1930" s="3904"/>
      <c r="E1930" s="3905"/>
      <c r="F1930" s="3905"/>
      <c r="G1930" s="3905"/>
      <c r="H1930" s="3905"/>
      <c r="I1930" s="3905"/>
      <c r="J1930" s="232"/>
      <c r="K1930" s="232"/>
      <c r="L1930" s="232"/>
      <c r="N1930" s="212">
        <f t="shared" si="33"/>
        <v>1379</v>
      </c>
    </row>
    <row r="1931" spans="1:14" ht="15" customHeight="1" thickBot="1">
      <c r="A1931" s="3906"/>
      <c r="B1931" s="3920"/>
      <c r="C1931" s="760"/>
      <c r="D1931" s="3944" t="s">
        <v>976</v>
      </c>
      <c r="E1931" s="3944"/>
      <c r="F1931" s="3944"/>
      <c r="G1931" s="3944"/>
      <c r="H1931" s="3944"/>
      <c r="I1931" s="3944"/>
      <c r="J1931" s="232"/>
      <c r="K1931" s="195" t="s">
        <v>576</v>
      </c>
      <c r="L1931" s="232"/>
      <c r="N1931" s="212">
        <f t="shared" si="33"/>
        <v>1380</v>
      </c>
    </row>
    <row r="1932" spans="1:14" ht="12" customHeight="1" thickBot="1">
      <c r="A1932" s="3906"/>
      <c r="B1932" s="3920"/>
      <c r="C1932" s="231"/>
      <c r="D1932" s="3904"/>
      <c r="E1932" s="3905"/>
      <c r="F1932" s="3905"/>
      <c r="G1932" s="3905"/>
      <c r="H1932" s="3905"/>
      <c r="I1932" s="3905"/>
      <c r="J1932" s="232"/>
      <c r="K1932" s="197" t="s">
        <v>551</v>
      </c>
      <c r="L1932" s="232"/>
      <c r="N1932" s="212">
        <f t="shared" si="33"/>
        <v>1380</v>
      </c>
    </row>
    <row r="1933" spans="1:14" ht="12" customHeight="1">
      <c r="A1933" s="230"/>
      <c r="B1933" s="3920"/>
      <c r="C1933" s="231"/>
      <c r="D1933" s="3922" t="s">
        <v>977</v>
      </c>
      <c r="E1933" s="3923"/>
      <c r="F1933" s="3923"/>
      <c r="G1933" s="3923"/>
      <c r="H1933" s="3923"/>
      <c r="I1933" s="3924"/>
      <c r="J1933" s="232"/>
      <c r="K1933" s="232"/>
      <c r="L1933" s="232"/>
      <c r="N1933" s="212">
        <f t="shared" si="33"/>
        <v>1381</v>
      </c>
    </row>
    <row r="1934" spans="1:14" ht="12" customHeight="1">
      <c r="A1934" s="230"/>
      <c r="B1934" s="3920"/>
      <c r="C1934" s="231"/>
      <c r="D1934" s="3904"/>
      <c r="E1934" s="3905"/>
      <c r="F1934" s="3905"/>
      <c r="G1934" s="3905"/>
      <c r="H1934" s="3905"/>
      <c r="I1934" s="3905"/>
      <c r="J1934" s="232"/>
      <c r="K1934" s="232"/>
      <c r="L1934" s="232"/>
      <c r="N1934" s="212">
        <f t="shared" si="33"/>
        <v>1381</v>
      </c>
    </row>
    <row r="1935" spans="1:14" ht="12" customHeight="1">
      <c r="A1935" s="230"/>
      <c r="B1935" s="3920"/>
      <c r="C1935" s="231"/>
      <c r="D1935" s="3900" t="s">
        <v>1841</v>
      </c>
      <c r="E1935" s="3900"/>
      <c r="F1935" s="3900"/>
      <c r="G1935" s="3900"/>
      <c r="H1935" s="3900"/>
      <c r="I1935" s="3900"/>
      <c r="J1935" s="3900"/>
      <c r="K1935" s="3900"/>
      <c r="L1935" s="232"/>
      <c r="N1935" s="212">
        <f t="shared" si="33"/>
        <v>1382</v>
      </c>
    </row>
    <row r="1936" spans="1:14" ht="12" customHeight="1">
      <c r="A1936" s="230"/>
      <c r="B1936" s="3920"/>
      <c r="C1936" s="231"/>
      <c r="D1936" s="3900" t="s">
        <v>908</v>
      </c>
      <c r="E1936" s="3900"/>
      <c r="F1936" s="3900"/>
      <c r="G1936" s="3900"/>
      <c r="H1936" s="3900"/>
      <c r="I1936" s="3900"/>
      <c r="J1936" s="3900"/>
      <c r="K1936" s="3900"/>
      <c r="L1936" s="232"/>
      <c r="N1936" s="212">
        <f t="shared" si="33"/>
        <v>1383</v>
      </c>
    </row>
    <row r="1937" spans="1:14" ht="12" customHeight="1">
      <c r="A1937" s="230"/>
      <c r="B1937" s="3920"/>
      <c r="C1937" s="231"/>
      <c r="D1937" s="3900" t="s">
        <v>1842</v>
      </c>
      <c r="E1937" s="3900"/>
      <c r="F1937" s="3900"/>
      <c r="G1937" s="3900"/>
      <c r="H1937" s="3900"/>
      <c r="I1937" s="3900"/>
      <c r="J1937" s="3900"/>
      <c r="K1937" s="3900"/>
      <c r="L1937" s="232"/>
      <c r="N1937" s="212">
        <f t="shared" si="33"/>
        <v>1384</v>
      </c>
    </row>
    <row r="1938" spans="1:14" ht="12" customHeight="1">
      <c r="A1938" s="230"/>
      <c r="B1938" s="3920"/>
      <c r="C1938" s="231"/>
      <c r="D1938" s="3900" t="s">
        <v>909</v>
      </c>
      <c r="E1938" s="3901"/>
      <c r="F1938" s="3901"/>
      <c r="G1938" s="3901"/>
      <c r="H1938" s="3901"/>
      <c r="I1938" s="3901"/>
      <c r="J1938" s="232"/>
      <c r="K1938" s="232"/>
      <c r="L1938" s="232"/>
      <c r="N1938" s="212">
        <f t="shared" si="33"/>
        <v>1385</v>
      </c>
    </row>
    <row r="1939" spans="1:14" ht="12" customHeight="1">
      <c r="A1939" s="230"/>
      <c r="B1939" s="3920"/>
      <c r="C1939" s="231"/>
      <c r="D1939" s="3900" t="s">
        <v>1843</v>
      </c>
      <c r="E1939" s="3901"/>
      <c r="F1939" s="3901"/>
      <c r="G1939" s="3901"/>
      <c r="H1939" s="3901"/>
      <c r="I1939" s="3901"/>
      <c r="J1939" s="232"/>
      <c r="K1939" s="232"/>
      <c r="L1939" s="232"/>
      <c r="N1939" s="212">
        <f t="shared" si="33"/>
        <v>1386</v>
      </c>
    </row>
    <row r="1940" spans="1:14" ht="12" customHeight="1">
      <c r="A1940" s="230"/>
      <c r="B1940" s="3920"/>
      <c r="C1940" s="231"/>
      <c r="D1940" s="3900" t="s">
        <v>910</v>
      </c>
      <c r="E1940" s="3901"/>
      <c r="F1940" s="3901"/>
      <c r="G1940" s="3901"/>
      <c r="H1940" s="3901"/>
      <c r="I1940" s="3901"/>
      <c r="J1940" s="232"/>
      <c r="K1940" s="232"/>
      <c r="L1940" s="232"/>
      <c r="N1940" s="212">
        <f t="shared" si="33"/>
        <v>1387</v>
      </c>
    </row>
    <row r="1941" spans="1:14" ht="12" customHeight="1">
      <c r="A1941" s="230"/>
      <c r="B1941" s="3920"/>
      <c r="C1941" s="231"/>
      <c r="D1941" s="3900" t="s">
        <v>1844</v>
      </c>
      <c r="E1941" s="3901"/>
      <c r="F1941" s="3901"/>
      <c r="G1941" s="3901"/>
      <c r="H1941" s="3901"/>
      <c r="I1941" s="3901"/>
      <c r="J1941" s="232"/>
      <c r="K1941" s="232"/>
      <c r="L1941" s="232"/>
      <c r="N1941" s="212">
        <f t="shared" si="33"/>
        <v>1388</v>
      </c>
    </row>
    <row r="1942" spans="1:14" ht="12" customHeight="1">
      <c r="A1942" s="230"/>
      <c r="B1942" s="3920"/>
      <c r="C1942" s="231"/>
      <c r="D1942" s="3912"/>
      <c r="E1942" s="3913"/>
      <c r="F1942" s="3913"/>
      <c r="G1942" s="3913"/>
      <c r="H1942" s="3913"/>
      <c r="I1942" s="3913"/>
      <c r="J1942" s="232"/>
      <c r="K1942" s="232"/>
      <c r="L1942" s="232"/>
      <c r="N1942" s="212">
        <f t="shared" si="33"/>
        <v>1388</v>
      </c>
    </row>
    <row r="1943" spans="1:14" ht="12" customHeight="1">
      <c r="A1943" s="230"/>
      <c r="B1943" s="3920"/>
      <c r="C1943" s="231"/>
      <c r="D1943" s="3912" t="s">
        <v>1845</v>
      </c>
      <c r="E1943" s="3913"/>
      <c r="F1943" s="3913"/>
      <c r="G1943" s="3913"/>
      <c r="H1943" s="3913"/>
      <c r="I1943" s="3913"/>
      <c r="J1943" s="232"/>
      <c r="K1943" s="232"/>
      <c r="L1943" s="232"/>
      <c r="N1943" s="212">
        <f t="shared" si="33"/>
        <v>1389</v>
      </c>
    </row>
    <row r="1944" spans="1:14" ht="12" customHeight="1">
      <c r="A1944" s="230"/>
      <c r="B1944" s="3920"/>
      <c r="C1944" s="231"/>
      <c r="D1944" s="3912" t="s">
        <v>1846</v>
      </c>
      <c r="E1944" s="3912"/>
      <c r="F1944" s="3912"/>
      <c r="G1944" s="3912"/>
      <c r="H1944" s="3912"/>
      <c r="I1944" s="3912"/>
      <c r="J1944" s="3912"/>
      <c r="K1944" s="3912"/>
      <c r="L1944" s="232"/>
      <c r="N1944" s="212">
        <f t="shared" si="33"/>
        <v>1390</v>
      </c>
    </row>
    <row r="1945" spans="1:14" ht="12" customHeight="1">
      <c r="A1945" s="230"/>
      <c r="B1945" s="3920"/>
      <c r="C1945" s="231"/>
      <c r="D1945" s="3912"/>
      <c r="E1945" s="3913"/>
      <c r="F1945" s="3913"/>
      <c r="G1945" s="3913"/>
      <c r="H1945" s="3913"/>
      <c r="I1945" s="3913"/>
      <c r="J1945" s="232"/>
      <c r="K1945" s="232"/>
      <c r="L1945" s="232"/>
      <c r="N1945" s="212">
        <f t="shared" si="33"/>
        <v>1390</v>
      </c>
    </row>
    <row r="1946" spans="1:14" ht="12" customHeight="1">
      <c r="A1946" s="230"/>
      <c r="B1946" s="3920"/>
      <c r="C1946" s="231"/>
      <c r="D1946" s="3912" t="s">
        <v>911</v>
      </c>
      <c r="E1946" s="3913"/>
      <c r="F1946" s="3913"/>
      <c r="G1946" s="3913"/>
      <c r="H1946" s="3913"/>
      <c r="I1946" s="3913"/>
      <c r="J1946" s="232"/>
      <c r="K1946" s="232"/>
      <c r="L1946" s="232"/>
      <c r="N1946" s="212">
        <f t="shared" si="33"/>
        <v>1391</v>
      </c>
    </row>
    <row r="1947" spans="1:14" ht="12" customHeight="1">
      <c r="A1947" s="230"/>
      <c r="B1947" s="3920"/>
      <c r="C1947" s="3900" t="s">
        <v>1082</v>
      </c>
      <c r="D1947" s="3900"/>
      <c r="E1947" s="3900"/>
      <c r="F1947" s="3900"/>
      <c r="G1947" s="3900"/>
      <c r="H1947" s="3900"/>
      <c r="I1947" s="3900"/>
      <c r="J1947" s="3900"/>
      <c r="K1947" s="3900"/>
      <c r="L1947" s="232"/>
      <c r="N1947" s="212">
        <f>IF(C1947="",N1946,N1946+1)</f>
        <v>1392</v>
      </c>
    </row>
    <row r="1948" spans="1:14" ht="12" customHeight="1">
      <c r="A1948" s="230"/>
      <c r="B1948" s="3920"/>
      <c r="C1948" s="231"/>
      <c r="D1948" s="3900" t="s">
        <v>1847</v>
      </c>
      <c r="E1948" s="3901"/>
      <c r="F1948" s="3901"/>
      <c r="G1948" s="3901"/>
      <c r="H1948" s="3901"/>
      <c r="I1948" s="3901"/>
      <c r="J1948" s="232"/>
      <c r="K1948" s="232"/>
      <c r="L1948" s="232"/>
      <c r="N1948" s="212">
        <f t="shared" si="33"/>
        <v>1393</v>
      </c>
    </row>
    <row r="1949" spans="1:14" ht="12" customHeight="1">
      <c r="A1949" s="230"/>
      <c r="B1949" s="3920"/>
      <c r="C1949" s="231"/>
      <c r="D1949" s="3900" t="s">
        <v>1848</v>
      </c>
      <c r="E1949" s="3901"/>
      <c r="F1949" s="3901"/>
      <c r="G1949" s="3901"/>
      <c r="H1949" s="3901"/>
      <c r="I1949" s="3901"/>
      <c r="J1949" s="232"/>
      <c r="K1949" s="232"/>
      <c r="L1949" s="232"/>
      <c r="N1949" s="212">
        <f t="shared" si="33"/>
        <v>1394</v>
      </c>
    </row>
    <row r="1950" spans="1:14" ht="12" customHeight="1">
      <c r="A1950" s="230"/>
      <c r="B1950" s="3920"/>
      <c r="C1950" s="231"/>
      <c r="D1950" s="3900" t="s">
        <v>1849</v>
      </c>
      <c r="E1950" s="3901"/>
      <c r="F1950" s="3901"/>
      <c r="G1950" s="3901"/>
      <c r="H1950" s="3901"/>
      <c r="I1950" s="3901"/>
      <c r="J1950" s="232"/>
      <c r="K1950" s="232"/>
      <c r="L1950" s="232"/>
      <c r="N1950" s="212">
        <f t="shared" si="33"/>
        <v>1395</v>
      </c>
    </row>
    <row r="1951" spans="1:14" ht="12" customHeight="1">
      <c r="A1951" s="230"/>
      <c r="B1951" s="3920"/>
      <c r="C1951" s="231"/>
      <c r="D1951" s="3900" t="s">
        <v>1850</v>
      </c>
      <c r="E1951" s="3901"/>
      <c r="F1951" s="3901"/>
      <c r="G1951" s="3901"/>
      <c r="H1951" s="3901"/>
      <c r="I1951" s="3901"/>
      <c r="J1951" s="232"/>
      <c r="K1951" s="232"/>
      <c r="L1951" s="232"/>
      <c r="N1951" s="212">
        <f t="shared" si="33"/>
        <v>1396</v>
      </c>
    </row>
    <row r="1952" spans="1:14" ht="12" customHeight="1">
      <c r="A1952" s="230"/>
      <c r="B1952" s="3920"/>
      <c r="C1952" s="231"/>
      <c r="D1952" s="3900" t="s">
        <v>912</v>
      </c>
      <c r="E1952" s="3901"/>
      <c r="F1952" s="3901"/>
      <c r="G1952" s="3901"/>
      <c r="H1952" s="3901"/>
      <c r="I1952" s="3901"/>
      <c r="J1952" s="232"/>
      <c r="K1952" s="232"/>
      <c r="L1952" s="232"/>
      <c r="N1952" s="212">
        <f t="shared" si="33"/>
        <v>1397</v>
      </c>
    </row>
    <row r="1953" spans="1:14" ht="12" customHeight="1">
      <c r="A1953" s="230"/>
      <c r="B1953" s="3920"/>
      <c r="C1953" s="231"/>
      <c r="D1953" s="3900" t="s">
        <v>1851</v>
      </c>
      <c r="E1953" s="3901"/>
      <c r="F1953" s="3901"/>
      <c r="G1953" s="3901"/>
      <c r="H1953" s="3901"/>
      <c r="I1953" s="3901"/>
      <c r="J1953" s="232"/>
      <c r="K1953" s="232"/>
      <c r="L1953" s="232"/>
      <c r="N1953" s="212">
        <f t="shared" si="33"/>
        <v>1398</v>
      </c>
    </row>
    <row r="1954" spans="1:14" ht="12" customHeight="1">
      <c r="A1954" s="230"/>
      <c r="B1954" s="3920"/>
      <c r="C1954" s="231"/>
      <c r="D1954" s="3900" t="s">
        <v>1852</v>
      </c>
      <c r="E1954" s="3901"/>
      <c r="F1954" s="3901"/>
      <c r="G1954" s="3901"/>
      <c r="H1954" s="3901"/>
      <c r="I1954" s="3901"/>
      <c r="J1954" s="232"/>
      <c r="K1954" s="232"/>
      <c r="L1954" s="232"/>
      <c r="N1954" s="212">
        <f t="shared" si="33"/>
        <v>1399</v>
      </c>
    </row>
    <row r="1955" spans="1:14" ht="12" customHeight="1">
      <c r="A1955" s="230"/>
      <c r="B1955" s="3920"/>
      <c r="C1955" s="231"/>
      <c r="D1955" s="3900" t="s">
        <v>1853</v>
      </c>
      <c r="E1955" s="3901"/>
      <c r="F1955" s="3901"/>
      <c r="G1955" s="3901"/>
      <c r="H1955" s="3901"/>
      <c r="I1955" s="3901"/>
      <c r="J1955" s="232"/>
      <c r="K1955" s="232"/>
      <c r="L1955" s="232"/>
      <c r="N1955" s="212">
        <f t="shared" ref="N1955:N1975" si="34">IF(D1955="",N1954,N1954+1)</f>
        <v>1400</v>
      </c>
    </row>
    <row r="1956" spans="1:14" ht="12" customHeight="1">
      <c r="A1956" s="230"/>
      <c r="B1956" s="3920"/>
      <c r="C1956" s="231"/>
      <c r="D1956" s="3916"/>
      <c r="E1956" s="3917"/>
      <c r="F1956" s="3917"/>
      <c r="G1956" s="3917"/>
      <c r="H1956" s="3917"/>
      <c r="I1956" s="3917"/>
      <c r="J1956" s="232"/>
      <c r="K1956" s="232"/>
      <c r="L1956" s="232"/>
      <c r="N1956" s="212">
        <f t="shared" si="34"/>
        <v>1400</v>
      </c>
    </row>
    <row r="1957" spans="1:14" ht="12" customHeight="1">
      <c r="A1957" s="230"/>
      <c r="B1957" s="3920"/>
      <c r="C1957" s="231"/>
      <c r="D1957" s="3912" t="s">
        <v>913</v>
      </c>
      <c r="E1957" s="3913"/>
      <c r="F1957" s="3913"/>
      <c r="G1957" s="3913"/>
      <c r="H1957" s="3913"/>
      <c r="I1957" s="3913"/>
      <c r="J1957" s="232"/>
      <c r="K1957" s="232"/>
      <c r="L1957" s="232"/>
      <c r="N1957" s="212">
        <f t="shared" si="34"/>
        <v>1401</v>
      </c>
    </row>
    <row r="1958" spans="1:14" ht="12" customHeight="1">
      <c r="B1958" s="3920"/>
      <c r="C1958" s="231"/>
      <c r="D1958" s="3900" t="s">
        <v>1854</v>
      </c>
      <c r="E1958" s="3900"/>
      <c r="F1958" s="3900"/>
      <c r="G1958" s="3900"/>
      <c r="H1958" s="3900"/>
      <c r="I1958" s="3900"/>
      <c r="J1958" s="3900"/>
      <c r="K1958" s="3900"/>
      <c r="L1958" s="232"/>
      <c r="N1958" s="212">
        <f t="shared" si="34"/>
        <v>1402</v>
      </c>
    </row>
    <row r="1959" spans="1:14" ht="12" customHeight="1">
      <c r="B1959" s="3920"/>
      <c r="C1959" s="231"/>
      <c r="D1959" s="3900" t="s">
        <v>1855</v>
      </c>
      <c r="E1959" s="3900"/>
      <c r="F1959" s="3900"/>
      <c r="G1959" s="3900"/>
      <c r="H1959" s="3900"/>
      <c r="I1959" s="3900"/>
      <c r="J1959" s="3900"/>
      <c r="K1959" s="3900"/>
      <c r="L1959" s="232"/>
      <c r="N1959" s="212">
        <f t="shared" si="34"/>
        <v>1403</v>
      </c>
    </row>
    <row r="1960" spans="1:14" ht="12" customHeight="1">
      <c r="B1960" s="3920"/>
      <c r="C1960" s="231"/>
      <c r="D1960" s="3900" t="s">
        <v>1856</v>
      </c>
      <c r="E1960" s="3900"/>
      <c r="F1960" s="3900"/>
      <c r="G1960" s="3900"/>
      <c r="H1960" s="3900"/>
      <c r="I1960" s="3900"/>
      <c r="J1960" s="3900"/>
      <c r="K1960" s="3900"/>
      <c r="L1960" s="232"/>
      <c r="N1960" s="212">
        <f t="shared" si="34"/>
        <v>1404</v>
      </c>
    </row>
    <row r="1961" spans="1:14" ht="12" customHeight="1">
      <c r="B1961" s="3920"/>
      <c r="C1961" s="231"/>
      <c r="D1961" s="3900" t="s">
        <v>1857</v>
      </c>
      <c r="E1961" s="3900"/>
      <c r="F1961" s="3900"/>
      <c r="G1961" s="3900"/>
      <c r="H1961" s="3900"/>
      <c r="I1961" s="3900"/>
      <c r="J1961" s="3900"/>
      <c r="K1961" s="3900"/>
      <c r="L1961" s="232"/>
      <c r="N1961" s="212">
        <f t="shared" si="34"/>
        <v>1405</v>
      </c>
    </row>
    <row r="1962" spans="1:14" ht="12" customHeight="1">
      <c r="C1962" s="231"/>
      <c r="D1962" s="3900" t="s">
        <v>914</v>
      </c>
      <c r="E1962" s="3900"/>
      <c r="F1962" s="3900"/>
      <c r="G1962" s="3900"/>
      <c r="H1962" s="3900"/>
      <c r="I1962" s="3900"/>
      <c r="J1962" s="3900"/>
      <c r="K1962" s="3900"/>
      <c r="L1962" s="232"/>
      <c r="N1962" s="212">
        <f t="shared" si="34"/>
        <v>1406</v>
      </c>
    </row>
    <row r="1963" spans="1:14" ht="12" customHeight="1">
      <c r="C1963" s="231"/>
      <c r="D1963" s="3900" t="s">
        <v>915</v>
      </c>
      <c r="E1963" s="3900"/>
      <c r="F1963" s="3900"/>
      <c r="G1963" s="3900"/>
      <c r="H1963" s="3900"/>
      <c r="I1963" s="3900"/>
      <c r="J1963" s="3900"/>
      <c r="K1963" s="3900"/>
      <c r="L1963" s="232"/>
      <c r="N1963" s="212">
        <f t="shared" si="34"/>
        <v>1407</v>
      </c>
    </row>
    <row r="1964" spans="1:14" ht="12" customHeight="1">
      <c r="C1964" s="231"/>
      <c r="D1964" s="3900" t="s">
        <v>916</v>
      </c>
      <c r="E1964" s="3900"/>
      <c r="F1964" s="3900"/>
      <c r="G1964" s="3900"/>
      <c r="H1964" s="3900"/>
      <c r="I1964" s="3900"/>
      <c r="J1964" s="3900"/>
      <c r="K1964" s="3900"/>
      <c r="L1964" s="232"/>
      <c r="N1964" s="212">
        <f t="shared" si="34"/>
        <v>1408</v>
      </c>
    </row>
    <row r="1965" spans="1:14" ht="12" customHeight="1">
      <c r="C1965" s="231"/>
      <c r="D1965" s="3900" t="s">
        <v>917</v>
      </c>
      <c r="E1965" s="3900"/>
      <c r="F1965" s="3900"/>
      <c r="G1965" s="3900"/>
      <c r="H1965" s="3900"/>
      <c r="I1965" s="3900"/>
      <c r="J1965" s="3900"/>
      <c r="K1965" s="3900"/>
      <c r="L1965" s="232"/>
      <c r="N1965" s="212">
        <f t="shared" si="34"/>
        <v>1409</v>
      </c>
    </row>
    <row r="1966" spans="1:14" ht="12" customHeight="1">
      <c r="C1966" s="231"/>
      <c r="D1966" s="3916"/>
      <c r="E1966" s="3917"/>
      <c r="F1966" s="3917"/>
      <c r="G1966" s="3917"/>
      <c r="H1966" s="3917"/>
      <c r="I1966" s="3917"/>
      <c r="J1966" s="232"/>
      <c r="K1966" s="232"/>
      <c r="L1966" s="232"/>
      <c r="N1966" s="212">
        <f t="shared" si="34"/>
        <v>1409</v>
      </c>
    </row>
    <row r="1967" spans="1:14" ht="12" customHeight="1">
      <c r="C1967" s="231"/>
      <c r="D1967" s="3912" t="s">
        <v>918</v>
      </c>
      <c r="E1967" s="3913"/>
      <c r="F1967" s="3913"/>
      <c r="G1967" s="3913"/>
      <c r="H1967" s="3913"/>
      <c r="I1967" s="3913"/>
      <c r="J1967" s="232"/>
      <c r="K1967" s="232"/>
      <c r="L1967" s="232"/>
      <c r="N1967" s="212">
        <f t="shared" si="34"/>
        <v>1410</v>
      </c>
    </row>
    <row r="1968" spans="1:14" ht="12" customHeight="1">
      <c r="C1968" s="231"/>
      <c r="D1968" s="3945" t="s">
        <v>919</v>
      </c>
      <c r="E1968" s="3946"/>
      <c r="F1968" s="3946"/>
      <c r="G1968" s="3946"/>
      <c r="H1968" s="3946"/>
      <c r="I1968" s="3946"/>
      <c r="J1968" s="232"/>
      <c r="K1968" s="232"/>
      <c r="L1968" s="232"/>
      <c r="N1968" s="212">
        <f t="shared" si="34"/>
        <v>1411</v>
      </c>
    </row>
    <row r="1969" spans="3:14" ht="12" customHeight="1">
      <c r="C1969" s="231"/>
      <c r="D1969" s="3900" t="s">
        <v>920</v>
      </c>
      <c r="E1969" s="3901"/>
      <c r="F1969" s="3901"/>
      <c r="G1969" s="3901"/>
      <c r="H1969" s="3901"/>
      <c r="I1969" s="3901"/>
      <c r="J1969" s="232"/>
      <c r="K1969" s="232"/>
      <c r="L1969" s="232"/>
      <c r="N1969" s="212">
        <f t="shared" si="34"/>
        <v>1412</v>
      </c>
    </row>
    <row r="1970" spans="3:14" ht="12" customHeight="1">
      <c r="C1970" s="231"/>
      <c r="D1970" s="3900" t="s">
        <v>1858</v>
      </c>
      <c r="E1970" s="3901"/>
      <c r="F1970" s="3901"/>
      <c r="G1970" s="3901"/>
      <c r="H1970" s="3901"/>
      <c r="I1970" s="3901"/>
      <c r="J1970" s="232"/>
      <c r="K1970" s="232"/>
      <c r="L1970" s="232"/>
      <c r="N1970" s="212">
        <f t="shared" si="34"/>
        <v>1413</v>
      </c>
    </row>
    <row r="1971" spans="3:14" ht="12" customHeight="1">
      <c r="C1971" s="231"/>
      <c r="D1971" s="3900" t="s">
        <v>921</v>
      </c>
      <c r="E1971" s="3901"/>
      <c r="F1971" s="3901"/>
      <c r="G1971" s="3901"/>
      <c r="H1971" s="3901"/>
      <c r="I1971" s="3901"/>
      <c r="J1971" s="232"/>
      <c r="K1971" s="232"/>
      <c r="L1971" s="232"/>
      <c r="N1971" s="212">
        <f t="shared" si="34"/>
        <v>1414</v>
      </c>
    </row>
    <row r="1972" spans="3:14" ht="12" customHeight="1">
      <c r="C1972" s="231"/>
      <c r="D1972" s="3900" t="s">
        <v>922</v>
      </c>
      <c r="E1972" s="3901"/>
      <c r="F1972" s="3901"/>
      <c r="G1972" s="3901"/>
      <c r="H1972" s="3901"/>
      <c r="I1972" s="3901"/>
      <c r="J1972" s="232"/>
      <c r="K1972" s="232"/>
      <c r="L1972" s="232"/>
      <c r="N1972" s="212">
        <f t="shared" si="34"/>
        <v>1415</v>
      </c>
    </row>
    <row r="1973" spans="3:14" ht="12" customHeight="1">
      <c r="C1973" s="231"/>
      <c r="D1973" s="3900" t="s">
        <v>1859</v>
      </c>
      <c r="E1973" s="3901"/>
      <c r="F1973" s="3901"/>
      <c r="G1973" s="3901"/>
      <c r="H1973" s="3901"/>
      <c r="I1973" s="3901"/>
      <c r="J1973" s="232"/>
      <c r="K1973" s="232"/>
      <c r="L1973" s="232"/>
      <c r="N1973" s="212">
        <f t="shared" si="34"/>
        <v>1416</v>
      </c>
    </row>
    <row r="1974" spans="3:14" ht="12" customHeight="1">
      <c r="C1974" s="231"/>
      <c r="D1974" s="3900" t="s">
        <v>1994</v>
      </c>
      <c r="E1974" s="3901"/>
      <c r="F1974" s="3901"/>
      <c r="G1974" s="3901"/>
      <c r="H1974" s="3901"/>
      <c r="I1974" s="3901"/>
      <c r="J1974" s="232"/>
      <c r="K1974" s="232"/>
      <c r="L1974" s="232"/>
      <c r="N1974" s="212">
        <f t="shared" si="34"/>
        <v>1417</v>
      </c>
    </row>
    <row r="1975" spans="3:14" ht="12" customHeight="1">
      <c r="C1975" s="231"/>
      <c r="D1975" s="3900" t="s">
        <v>1860</v>
      </c>
      <c r="E1975" s="3901"/>
      <c r="F1975" s="3901"/>
      <c r="G1975" s="3901"/>
      <c r="H1975" s="3901"/>
      <c r="I1975" s="3901"/>
      <c r="J1975" s="232"/>
      <c r="K1975" s="232"/>
      <c r="L1975" s="232"/>
      <c r="N1975" s="212">
        <f t="shared" si="34"/>
        <v>1418</v>
      </c>
    </row>
    <row r="1976" spans="3:14" ht="12" customHeight="1">
      <c r="C1976" s="231"/>
      <c r="D1976" s="744"/>
      <c r="E1976" s="745"/>
      <c r="F1976" s="1719"/>
      <c r="G1976" s="745"/>
      <c r="H1976" s="745"/>
      <c r="I1976" s="745"/>
      <c r="J1976" s="232"/>
      <c r="K1976" s="232"/>
      <c r="L1976" s="232"/>
      <c r="N1976" s="212">
        <f t="shared" ref="N1976:N2017" si="35">IF(D1976="",N1975,N1975+1)</f>
        <v>1418</v>
      </c>
    </row>
    <row r="1977" spans="3:14" ht="12" customHeight="1">
      <c r="C1977" s="231"/>
      <c r="D1977" s="3916"/>
      <c r="E1977" s="3917"/>
      <c r="F1977" s="3917"/>
      <c r="G1977" s="3917"/>
      <c r="H1977" s="3917"/>
      <c r="I1977" s="3917"/>
      <c r="J1977" s="232"/>
      <c r="K1977" s="232"/>
      <c r="L1977" s="232"/>
      <c r="N1977" s="212">
        <f t="shared" si="35"/>
        <v>1418</v>
      </c>
    </row>
    <row r="1978" spans="3:14" ht="12" customHeight="1">
      <c r="C1978" s="231"/>
      <c r="D1978" s="3922" t="s">
        <v>978</v>
      </c>
      <c r="E1978" s="3923"/>
      <c r="F1978" s="3923"/>
      <c r="G1978" s="3923"/>
      <c r="H1978" s="3923"/>
      <c r="I1978" s="3924"/>
      <c r="J1978" s="232"/>
      <c r="K1978" s="232"/>
      <c r="L1978" s="232"/>
      <c r="N1978" s="212">
        <f t="shared" si="35"/>
        <v>1419</v>
      </c>
    </row>
    <row r="1979" spans="3:14" ht="12" customHeight="1">
      <c r="C1979" s="231"/>
      <c r="D1979" s="3904"/>
      <c r="E1979" s="3905"/>
      <c r="F1979" s="3905"/>
      <c r="G1979" s="3905"/>
      <c r="H1979" s="3905"/>
      <c r="I1979" s="3905"/>
      <c r="J1979" s="232"/>
      <c r="K1979" s="232"/>
      <c r="L1979" s="232"/>
      <c r="N1979" s="212">
        <f t="shared" si="35"/>
        <v>1419</v>
      </c>
    </row>
    <row r="1980" spans="3:14" ht="12" customHeight="1">
      <c r="C1980" s="231"/>
      <c r="D1980" s="3912" t="s">
        <v>1861</v>
      </c>
      <c r="E1980" s="3913"/>
      <c r="F1980" s="3913"/>
      <c r="G1980" s="3913"/>
      <c r="H1980" s="3913"/>
      <c r="I1980" s="3913"/>
      <c r="J1980" s="232"/>
      <c r="K1980" s="232"/>
      <c r="L1980" s="232"/>
      <c r="N1980" s="212">
        <f t="shared" si="35"/>
        <v>1420</v>
      </c>
    </row>
    <row r="1981" spans="3:14" ht="12" customHeight="1">
      <c r="C1981" s="231"/>
      <c r="D1981" s="3900" t="s">
        <v>1864</v>
      </c>
      <c r="E1981" s="3901"/>
      <c r="F1981" s="3901"/>
      <c r="G1981" s="3901"/>
      <c r="H1981" s="3901"/>
      <c r="I1981" s="3901"/>
      <c r="J1981" s="232"/>
      <c r="K1981" s="232"/>
      <c r="L1981" s="232"/>
      <c r="N1981" s="212">
        <f t="shared" si="35"/>
        <v>1421</v>
      </c>
    </row>
    <row r="1982" spans="3:14" ht="12" customHeight="1">
      <c r="C1982" s="231"/>
      <c r="D1982" s="3900" t="s">
        <v>2254</v>
      </c>
      <c r="E1982" s="3901"/>
      <c r="F1982" s="3901"/>
      <c r="G1982" s="3901"/>
      <c r="H1982" s="3901"/>
      <c r="I1982" s="3901"/>
      <c r="J1982" s="232"/>
      <c r="K1982" s="232"/>
      <c r="L1982" s="232"/>
      <c r="N1982" s="212">
        <f t="shared" si="35"/>
        <v>1422</v>
      </c>
    </row>
    <row r="1983" spans="3:14" ht="12" customHeight="1">
      <c r="C1983" s="231"/>
      <c r="D1983" s="3912" t="s">
        <v>1865</v>
      </c>
      <c r="E1983" s="3913"/>
      <c r="F1983" s="3913"/>
      <c r="G1983" s="3913"/>
      <c r="H1983" s="3913"/>
      <c r="I1983" s="3913"/>
      <c r="J1983" s="232"/>
      <c r="K1983" s="232"/>
      <c r="L1983" s="232"/>
      <c r="N1983" s="212">
        <f t="shared" si="35"/>
        <v>1423</v>
      </c>
    </row>
    <row r="1984" spans="3:14" ht="12" customHeight="1">
      <c r="C1984" s="231"/>
      <c r="D1984" s="3912" t="s">
        <v>1866</v>
      </c>
      <c r="E1984" s="3913"/>
      <c r="F1984" s="3913"/>
      <c r="G1984" s="3913"/>
      <c r="H1984" s="3913"/>
      <c r="I1984" s="3913"/>
      <c r="J1984" s="232"/>
      <c r="K1984" s="232"/>
      <c r="L1984" s="232"/>
      <c r="N1984" s="212">
        <f t="shared" si="35"/>
        <v>1424</v>
      </c>
    </row>
    <row r="1985" spans="3:14" ht="12" customHeight="1">
      <c r="C1985" s="231"/>
      <c r="D1985" s="3912"/>
      <c r="E1985" s="3913"/>
      <c r="F1985" s="3913"/>
      <c r="G1985" s="3913"/>
      <c r="H1985" s="3913"/>
      <c r="I1985" s="3913"/>
      <c r="J1985" s="232"/>
      <c r="K1985" s="232"/>
      <c r="L1985" s="232"/>
      <c r="N1985" s="212">
        <f t="shared" si="35"/>
        <v>1424</v>
      </c>
    </row>
    <row r="1986" spans="3:14" ht="12" customHeight="1">
      <c r="C1986" s="231"/>
      <c r="D1986" s="3912" t="s">
        <v>1862</v>
      </c>
      <c r="E1986" s="3913"/>
      <c r="F1986" s="3913"/>
      <c r="G1986" s="3913"/>
      <c r="H1986" s="3913"/>
      <c r="I1986" s="3913"/>
      <c r="J1986" s="232"/>
      <c r="K1986" s="232"/>
      <c r="L1986" s="232"/>
      <c r="N1986" s="212">
        <f t="shared" si="35"/>
        <v>1425</v>
      </c>
    </row>
    <row r="1987" spans="3:14" ht="12" customHeight="1">
      <c r="C1987" s="231"/>
      <c r="D1987" s="3912" t="s">
        <v>1867</v>
      </c>
      <c r="E1987" s="3913"/>
      <c r="F1987" s="3913"/>
      <c r="G1987" s="3913"/>
      <c r="H1987" s="3913"/>
      <c r="I1987" s="3913"/>
      <c r="J1987" s="232"/>
      <c r="K1987" s="232"/>
      <c r="L1987" s="232"/>
      <c r="N1987" s="212">
        <f t="shared" si="35"/>
        <v>1426</v>
      </c>
    </row>
    <row r="1988" spans="3:14" ht="12" customHeight="1">
      <c r="C1988" s="231"/>
      <c r="D1988" s="3912" t="s">
        <v>1868</v>
      </c>
      <c r="E1988" s="3913"/>
      <c r="F1988" s="3913"/>
      <c r="G1988" s="3913"/>
      <c r="H1988" s="3913"/>
      <c r="I1988" s="3913"/>
      <c r="J1988" s="232"/>
      <c r="K1988" s="232"/>
      <c r="L1988" s="232"/>
      <c r="N1988" s="212">
        <f t="shared" si="35"/>
        <v>1427</v>
      </c>
    </row>
    <row r="1989" spans="3:14" ht="12" customHeight="1">
      <c r="C1989" s="231"/>
      <c r="D1989" s="3912" t="s">
        <v>1869</v>
      </c>
      <c r="E1989" s="3913"/>
      <c r="F1989" s="3913"/>
      <c r="G1989" s="3913"/>
      <c r="H1989" s="3913"/>
      <c r="I1989" s="3913"/>
      <c r="J1989" s="232"/>
      <c r="K1989" s="232"/>
      <c r="L1989" s="232"/>
      <c r="N1989" s="212">
        <f t="shared" si="35"/>
        <v>1428</v>
      </c>
    </row>
    <row r="1990" spans="3:14" ht="12" customHeight="1">
      <c r="C1990" s="231"/>
      <c r="D1990" s="3912"/>
      <c r="E1990" s="3913"/>
      <c r="F1990" s="3913"/>
      <c r="G1990" s="3913"/>
      <c r="H1990" s="3913"/>
      <c r="I1990" s="3913"/>
      <c r="J1990" s="232"/>
      <c r="K1990" s="232"/>
      <c r="L1990" s="232"/>
      <c r="N1990" s="212">
        <f t="shared" si="35"/>
        <v>1428</v>
      </c>
    </row>
    <row r="1991" spans="3:14" ht="12" customHeight="1">
      <c r="C1991" s="231"/>
      <c r="D1991" s="3912" t="s">
        <v>1863</v>
      </c>
      <c r="E1991" s="3913"/>
      <c r="F1991" s="3913"/>
      <c r="G1991" s="3913"/>
      <c r="H1991" s="3913"/>
      <c r="I1991" s="3913"/>
      <c r="J1991" s="232"/>
      <c r="K1991" s="232"/>
      <c r="L1991" s="232"/>
      <c r="N1991" s="212">
        <f t="shared" si="35"/>
        <v>1429</v>
      </c>
    </row>
    <row r="1992" spans="3:14" ht="12" customHeight="1">
      <c r="C1992" s="231"/>
      <c r="D1992" s="3912" t="s">
        <v>1870</v>
      </c>
      <c r="E1992" s="3913"/>
      <c r="F1992" s="3913"/>
      <c r="G1992" s="3913"/>
      <c r="H1992" s="3913"/>
      <c r="I1992" s="3913"/>
      <c r="J1992" s="232"/>
      <c r="K1992" s="232"/>
      <c r="L1992" s="232"/>
      <c r="N1992" s="212">
        <f t="shared" si="35"/>
        <v>1430</v>
      </c>
    </row>
    <row r="1993" spans="3:14" ht="12" customHeight="1">
      <c r="C1993" s="231"/>
      <c r="D1993" s="3912"/>
      <c r="E1993" s="3913"/>
      <c r="F1993" s="3913"/>
      <c r="G1993" s="3913"/>
      <c r="H1993" s="3913"/>
      <c r="I1993" s="3913"/>
      <c r="J1993" s="232"/>
      <c r="K1993" s="232"/>
      <c r="L1993" s="232"/>
      <c r="N1993" s="212">
        <f t="shared" si="35"/>
        <v>1430</v>
      </c>
    </row>
    <row r="1994" spans="3:14" ht="12" customHeight="1">
      <c r="C1994" s="231"/>
      <c r="D1994" s="3900" t="s">
        <v>1872</v>
      </c>
      <c r="E1994" s="3901"/>
      <c r="F1994" s="3901"/>
      <c r="G1994" s="3901"/>
      <c r="H1994" s="3901"/>
      <c r="I1994" s="3901"/>
      <c r="J1994" s="232"/>
      <c r="K1994" s="232"/>
      <c r="L1994" s="232"/>
      <c r="N1994" s="212">
        <f t="shared" si="35"/>
        <v>1431</v>
      </c>
    </row>
    <row r="1995" spans="3:14" ht="12" customHeight="1">
      <c r="C1995" s="231"/>
      <c r="D1995" s="3900" t="s">
        <v>1871</v>
      </c>
      <c r="E1995" s="3901"/>
      <c r="F1995" s="3901"/>
      <c r="G1995" s="3901"/>
      <c r="H1995" s="3901"/>
      <c r="I1995" s="3901"/>
      <c r="J1995" s="232"/>
      <c r="K1995" s="232"/>
      <c r="L1995" s="232"/>
      <c r="N1995" s="212">
        <f t="shared" si="35"/>
        <v>1432</v>
      </c>
    </row>
    <row r="1996" spans="3:14" ht="12" customHeight="1">
      <c r="C1996" s="231"/>
      <c r="D1996" s="3904"/>
      <c r="E1996" s="3905"/>
      <c r="F1996" s="3905"/>
      <c r="G1996" s="3905"/>
      <c r="H1996" s="3905"/>
      <c r="I1996" s="3905"/>
      <c r="J1996" s="232"/>
      <c r="K1996" s="232"/>
      <c r="L1996" s="232"/>
      <c r="N1996" s="212">
        <f t="shared" si="35"/>
        <v>1432</v>
      </c>
    </row>
    <row r="1997" spans="3:14" ht="12" customHeight="1">
      <c r="C1997" s="231"/>
      <c r="D1997" s="3904"/>
      <c r="E1997" s="3905"/>
      <c r="F1997" s="3905"/>
      <c r="G1997" s="3905"/>
      <c r="H1997" s="3905"/>
      <c r="I1997" s="3905"/>
      <c r="J1997" s="232"/>
      <c r="K1997" s="232"/>
      <c r="L1997" s="232"/>
      <c r="N1997" s="212">
        <f t="shared" si="35"/>
        <v>1432</v>
      </c>
    </row>
    <row r="1998" spans="3:14" ht="12" customHeight="1">
      <c r="C1998" s="231"/>
      <c r="D1998" s="3922" t="s">
        <v>979</v>
      </c>
      <c r="E1998" s="3923"/>
      <c r="F1998" s="3923"/>
      <c r="G1998" s="3923"/>
      <c r="H1998" s="3923"/>
      <c r="I1998" s="3924"/>
      <c r="J1998" s="232"/>
      <c r="K1998" s="232"/>
      <c r="L1998" s="232"/>
      <c r="N1998" s="212">
        <f t="shared" si="35"/>
        <v>1433</v>
      </c>
    </row>
    <row r="1999" spans="3:14" ht="12" customHeight="1">
      <c r="C1999" s="231"/>
      <c r="D1999" s="3904"/>
      <c r="E1999" s="3905"/>
      <c r="F1999" s="3905"/>
      <c r="G1999" s="3905"/>
      <c r="H1999" s="3905"/>
      <c r="I1999" s="3905"/>
      <c r="J1999" s="232"/>
      <c r="K1999" s="232"/>
      <c r="L1999" s="232"/>
      <c r="N1999" s="212">
        <f t="shared" si="35"/>
        <v>1433</v>
      </c>
    </row>
    <row r="2000" spans="3:14" ht="12" customHeight="1">
      <c r="C2000" s="231"/>
      <c r="D2000" s="3900" t="s">
        <v>923</v>
      </c>
      <c r="E2000" s="3901"/>
      <c r="F2000" s="3901"/>
      <c r="G2000" s="3901"/>
      <c r="H2000" s="3901"/>
      <c r="I2000" s="3901"/>
      <c r="J2000" s="232"/>
      <c r="K2000" s="232"/>
      <c r="L2000" s="232"/>
      <c r="N2000" s="212">
        <f t="shared" si="35"/>
        <v>1434</v>
      </c>
    </row>
    <row r="2001" spans="3:14" ht="12" customHeight="1">
      <c r="C2001" s="231"/>
      <c r="D2001" s="3912" t="s">
        <v>924</v>
      </c>
      <c r="E2001" s="3913"/>
      <c r="F2001" s="3913"/>
      <c r="G2001" s="3913"/>
      <c r="H2001" s="3913"/>
      <c r="I2001" s="3913"/>
      <c r="J2001" s="232"/>
      <c r="K2001" s="232"/>
      <c r="L2001" s="232"/>
      <c r="N2001" s="212">
        <f t="shared" si="35"/>
        <v>1435</v>
      </c>
    </row>
    <row r="2002" spans="3:14" ht="12" customHeight="1">
      <c r="C2002" s="231"/>
      <c r="D2002" s="3912" t="s">
        <v>1873</v>
      </c>
      <c r="E2002" s="3912"/>
      <c r="F2002" s="3912"/>
      <c r="G2002" s="3912"/>
      <c r="H2002" s="3912"/>
      <c r="I2002" s="3912"/>
      <c r="J2002" s="3912"/>
      <c r="K2002" s="3912"/>
      <c r="L2002" s="232"/>
      <c r="N2002" s="212">
        <f t="shared" si="35"/>
        <v>1436</v>
      </c>
    </row>
    <row r="2003" spans="3:14" ht="12" customHeight="1">
      <c r="C2003" s="231"/>
      <c r="D2003" s="3912" t="s">
        <v>1874</v>
      </c>
      <c r="E2003" s="3912"/>
      <c r="F2003" s="3912"/>
      <c r="G2003" s="3912"/>
      <c r="H2003" s="3912"/>
      <c r="I2003" s="3912"/>
      <c r="J2003" s="3912"/>
      <c r="K2003" s="3912"/>
      <c r="L2003" s="232"/>
      <c r="N2003" s="212">
        <f t="shared" si="35"/>
        <v>1437</v>
      </c>
    </row>
    <row r="2004" spans="3:14" ht="12" customHeight="1">
      <c r="C2004" s="231"/>
      <c r="D2004" s="3912" t="s">
        <v>1875</v>
      </c>
      <c r="E2004" s="3913"/>
      <c r="F2004" s="3913"/>
      <c r="G2004" s="3913"/>
      <c r="H2004" s="3913"/>
      <c r="I2004" s="3913"/>
      <c r="J2004" s="232"/>
      <c r="K2004" s="232"/>
      <c r="L2004" s="232"/>
      <c r="N2004" s="212">
        <f t="shared" si="35"/>
        <v>1438</v>
      </c>
    </row>
    <row r="2005" spans="3:14" ht="12" customHeight="1">
      <c r="C2005" s="231"/>
      <c r="D2005" s="3912"/>
      <c r="E2005" s="3913"/>
      <c r="F2005" s="3913"/>
      <c r="G2005" s="3913"/>
      <c r="H2005" s="3913"/>
      <c r="I2005" s="3913"/>
      <c r="J2005" s="232"/>
      <c r="K2005" s="232"/>
      <c r="L2005" s="232"/>
      <c r="N2005" s="212">
        <f t="shared" si="35"/>
        <v>1438</v>
      </c>
    </row>
    <row r="2006" spans="3:14" ht="12" customHeight="1">
      <c r="C2006" s="231"/>
      <c r="D2006" s="3900" t="s">
        <v>1876</v>
      </c>
      <c r="E2006" s="3900"/>
      <c r="F2006" s="3900"/>
      <c r="G2006" s="3900"/>
      <c r="H2006" s="3900"/>
      <c r="I2006" s="3900"/>
      <c r="J2006" s="3900"/>
      <c r="K2006" s="3900"/>
      <c r="L2006" s="232"/>
      <c r="N2006" s="212">
        <f t="shared" si="35"/>
        <v>1439</v>
      </c>
    </row>
    <row r="2007" spans="3:14" ht="12" customHeight="1">
      <c r="C2007" s="231"/>
      <c r="D2007" s="3900" t="s">
        <v>1877</v>
      </c>
      <c r="E2007" s="3900"/>
      <c r="F2007" s="3900"/>
      <c r="G2007" s="3900"/>
      <c r="H2007" s="3900"/>
      <c r="I2007" s="3900"/>
      <c r="J2007" s="3900"/>
      <c r="K2007" s="3900"/>
      <c r="L2007" s="232"/>
      <c r="N2007" s="212">
        <f t="shared" si="35"/>
        <v>1440</v>
      </c>
    </row>
    <row r="2008" spans="3:14" ht="12" customHeight="1">
      <c r="C2008" s="231"/>
      <c r="D2008" s="3900" t="s">
        <v>1878</v>
      </c>
      <c r="E2008" s="3901"/>
      <c r="F2008" s="3901"/>
      <c r="G2008" s="3901"/>
      <c r="H2008" s="3901"/>
      <c r="I2008" s="3901"/>
      <c r="J2008" s="232"/>
      <c r="K2008" s="232"/>
      <c r="L2008" s="232"/>
      <c r="N2008" s="212">
        <f t="shared" si="35"/>
        <v>1441</v>
      </c>
    </row>
    <row r="2009" spans="3:14" ht="12" customHeight="1">
      <c r="C2009" s="231"/>
      <c r="D2009" s="3912"/>
      <c r="E2009" s="3913"/>
      <c r="F2009" s="3913"/>
      <c r="G2009" s="3913"/>
      <c r="H2009" s="3913"/>
      <c r="I2009" s="3913"/>
      <c r="J2009" s="232"/>
      <c r="K2009" s="232"/>
      <c r="L2009" s="232"/>
      <c r="N2009" s="212">
        <f t="shared" si="35"/>
        <v>1441</v>
      </c>
    </row>
    <row r="2010" spans="3:14" ht="12" customHeight="1">
      <c r="C2010" s="231"/>
      <c r="D2010" s="3912" t="s">
        <v>1879</v>
      </c>
      <c r="E2010" s="3913"/>
      <c r="F2010" s="3913"/>
      <c r="G2010" s="3913"/>
      <c r="H2010" s="3913"/>
      <c r="I2010" s="3913"/>
      <c r="J2010" s="232"/>
      <c r="K2010" s="232"/>
      <c r="L2010" s="232"/>
      <c r="N2010" s="212">
        <f t="shared" si="35"/>
        <v>1442</v>
      </c>
    </row>
    <row r="2011" spans="3:14" ht="12" customHeight="1">
      <c r="C2011" s="231"/>
      <c r="D2011" s="3912"/>
      <c r="E2011" s="3913"/>
      <c r="F2011" s="3913"/>
      <c r="G2011" s="3913"/>
      <c r="H2011" s="3913"/>
      <c r="I2011" s="3913"/>
      <c r="J2011" s="232"/>
      <c r="K2011" s="232"/>
      <c r="L2011" s="232"/>
      <c r="N2011" s="212">
        <f t="shared" si="35"/>
        <v>1442</v>
      </c>
    </row>
    <row r="2012" spans="3:14" ht="12" customHeight="1">
      <c r="C2012" s="231"/>
      <c r="D2012" s="3912" t="s">
        <v>925</v>
      </c>
      <c r="E2012" s="3913"/>
      <c r="F2012" s="3913"/>
      <c r="G2012" s="3913"/>
      <c r="H2012" s="3913"/>
      <c r="I2012" s="3913"/>
      <c r="J2012" s="232"/>
      <c r="K2012" s="232"/>
      <c r="L2012" s="232"/>
      <c r="N2012" s="212">
        <f t="shared" si="35"/>
        <v>1443</v>
      </c>
    </row>
    <row r="2013" spans="3:14" ht="12" customHeight="1">
      <c r="C2013" s="231"/>
      <c r="D2013" s="3912" t="s">
        <v>926</v>
      </c>
      <c r="E2013" s="3913"/>
      <c r="F2013" s="3913"/>
      <c r="G2013" s="3913"/>
      <c r="H2013" s="3913"/>
      <c r="I2013" s="3913"/>
      <c r="J2013" s="232"/>
      <c r="K2013" s="232"/>
      <c r="L2013" s="232"/>
      <c r="N2013" s="212">
        <f t="shared" si="35"/>
        <v>1444</v>
      </c>
    </row>
    <row r="2014" spans="3:14" ht="12" customHeight="1">
      <c r="C2014" s="231"/>
      <c r="D2014" s="3912" t="s">
        <v>1880</v>
      </c>
      <c r="E2014" s="3912"/>
      <c r="F2014" s="3912"/>
      <c r="G2014" s="3912"/>
      <c r="H2014" s="3912"/>
      <c r="I2014" s="3912"/>
      <c r="J2014" s="3912"/>
      <c r="K2014" s="3912"/>
      <c r="L2014" s="232"/>
      <c r="N2014" s="212">
        <f t="shared" si="35"/>
        <v>1445</v>
      </c>
    </row>
    <row r="2015" spans="3:14" ht="12" customHeight="1">
      <c r="C2015" s="231"/>
      <c r="D2015" s="3900" t="s">
        <v>1881</v>
      </c>
      <c r="E2015" s="3901"/>
      <c r="F2015" s="3901"/>
      <c r="G2015" s="3901"/>
      <c r="H2015" s="3901"/>
      <c r="I2015" s="3901"/>
      <c r="J2015" s="232"/>
      <c r="K2015" s="232"/>
      <c r="L2015" s="232"/>
      <c r="N2015" s="212">
        <f t="shared" si="35"/>
        <v>1446</v>
      </c>
    </row>
    <row r="2016" spans="3:14" ht="12" customHeight="1">
      <c r="C2016" s="231"/>
      <c r="D2016" s="3912"/>
      <c r="E2016" s="3913"/>
      <c r="F2016" s="3913"/>
      <c r="G2016" s="3913"/>
      <c r="H2016" s="3913"/>
      <c r="I2016" s="3913"/>
      <c r="J2016" s="232"/>
      <c r="K2016" s="232"/>
      <c r="L2016" s="232"/>
      <c r="N2016" s="212">
        <f t="shared" si="35"/>
        <v>1446</v>
      </c>
    </row>
    <row r="2017" spans="3:14" ht="12" customHeight="1">
      <c r="C2017" s="231"/>
      <c r="D2017" s="3912" t="s">
        <v>1882</v>
      </c>
      <c r="E2017" s="3912"/>
      <c r="F2017" s="3912"/>
      <c r="G2017" s="3912"/>
      <c r="H2017" s="3912"/>
      <c r="I2017" s="3912"/>
      <c r="J2017" s="3912"/>
      <c r="K2017" s="3912"/>
      <c r="L2017" s="232"/>
      <c r="N2017" s="212">
        <f t="shared" si="35"/>
        <v>1447</v>
      </c>
    </row>
    <row r="2018" spans="3:14" ht="12" customHeight="1">
      <c r="C2018" s="231"/>
      <c r="D2018" s="3900" t="s">
        <v>1883</v>
      </c>
      <c r="E2018" s="3901"/>
      <c r="F2018" s="3901"/>
      <c r="G2018" s="3901"/>
      <c r="H2018" s="3901"/>
      <c r="I2018" s="3901"/>
      <c r="J2018" s="232"/>
      <c r="K2018" s="232"/>
      <c r="L2018" s="232"/>
      <c r="N2018" s="212">
        <f t="shared" ref="N2018:N2091" si="36">IF(D2018="",N2017,N2017+1)</f>
        <v>1448</v>
      </c>
    </row>
    <row r="2019" spans="3:14" ht="12" customHeight="1">
      <c r="C2019" s="231"/>
      <c r="D2019" s="3912" t="s">
        <v>1884</v>
      </c>
      <c r="E2019" s="3912"/>
      <c r="F2019" s="3912"/>
      <c r="G2019" s="3912"/>
      <c r="H2019" s="3912"/>
      <c r="I2019" s="3912"/>
      <c r="J2019" s="3912"/>
      <c r="K2019" s="3912"/>
      <c r="L2019" s="232"/>
      <c r="N2019" s="212">
        <f t="shared" si="36"/>
        <v>1449</v>
      </c>
    </row>
    <row r="2020" spans="3:14" ht="12" customHeight="1">
      <c r="C2020" s="231"/>
      <c r="D2020" s="3904"/>
      <c r="E2020" s="3905"/>
      <c r="F2020" s="3905"/>
      <c r="G2020" s="3905"/>
      <c r="H2020" s="3905"/>
      <c r="I2020" s="3905"/>
      <c r="J2020" s="232"/>
      <c r="K2020" s="232"/>
      <c r="L2020" s="232"/>
      <c r="N2020" s="212">
        <f t="shared" si="36"/>
        <v>1449</v>
      </c>
    </row>
    <row r="2021" spans="3:14" ht="12" customHeight="1">
      <c r="C2021" s="231"/>
      <c r="D2021" s="3912" t="s">
        <v>1885</v>
      </c>
      <c r="E2021" s="3913"/>
      <c r="F2021" s="3913"/>
      <c r="G2021" s="3913"/>
      <c r="H2021" s="3913"/>
      <c r="I2021" s="3913"/>
      <c r="J2021" s="232"/>
      <c r="K2021" s="232"/>
      <c r="L2021" s="232"/>
      <c r="N2021" s="212">
        <f t="shared" si="36"/>
        <v>1450</v>
      </c>
    </row>
    <row r="2022" spans="3:14" ht="12" customHeight="1">
      <c r="C2022" s="231"/>
      <c r="D2022" s="3900" t="s">
        <v>1887</v>
      </c>
      <c r="E2022" s="3901"/>
      <c r="F2022" s="3901"/>
      <c r="G2022" s="3901"/>
      <c r="H2022" s="3901"/>
      <c r="I2022" s="3901"/>
      <c r="J2022" s="232"/>
      <c r="K2022" s="232"/>
      <c r="L2022" s="232"/>
      <c r="N2022" s="212">
        <f t="shared" si="36"/>
        <v>1451</v>
      </c>
    </row>
    <row r="2023" spans="3:14" ht="12" customHeight="1">
      <c r="C2023" s="231"/>
      <c r="D2023" s="738"/>
      <c r="E2023" s="739"/>
      <c r="F2023" s="1712"/>
      <c r="G2023" s="739"/>
      <c r="H2023" s="739"/>
      <c r="I2023" s="739"/>
      <c r="J2023" s="232"/>
      <c r="K2023" s="232"/>
      <c r="L2023" s="232"/>
      <c r="N2023" s="212">
        <f t="shared" si="36"/>
        <v>1451</v>
      </c>
    </row>
    <row r="2024" spans="3:14" ht="12" customHeight="1">
      <c r="C2024" s="231"/>
      <c r="D2024" s="3912" t="s">
        <v>1888</v>
      </c>
      <c r="E2024" s="3913"/>
      <c r="F2024" s="3913"/>
      <c r="G2024" s="3913"/>
      <c r="H2024" s="3913"/>
      <c r="I2024" s="3913"/>
      <c r="J2024" s="232"/>
      <c r="K2024" s="232"/>
      <c r="L2024" s="232"/>
      <c r="N2024" s="212">
        <f t="shared" si="36"/>
        <v>1452</v>
      </c>
    </row>
    <row r="2025" spans="3:14" ht="12" customHeight="1">
      <c r="C2025" s="231"/>
      <c r="D2025" s="3900" t="s">
        <v>1889</v>
      </c>
      <c r="E2025" s="3901"/>
      <c r="F2025" s="3901"/>
      <c r="G2025" s="3901"/>
      <c r="H2025" s="3901"/>
      <c r="I2025" s="3901"/>
      <c r="J2025" s="232"/>
      <c r="K2025" s="232"/>
      <c r="L2025" s="232"/>
      <c r="N2025" s="212">
        <f t="shared" si="36"/>
        <v>1453</v>
      </c>
    </row>
    <row r="2026" spans="3:14" ht="12" customHeight="1">
      <c r="C2026" s="231"/>
      <c r="D2026" s="738"/>
      <c r="E2026" s="739"/>
      <c r="F2026" s="1712"/>
      <c r="G2026" s="739"/>
      <c r="H2026" s="739"/>
      <c r="I2026" s="739"/>
      <c r="J2026" s="232"/>
      <c r="K2026" s="232"/>
      <c r="L2026" s="232"/>
      <c r="N2026" s="212">
        <f t="shared" si="36"/>
        <v>1453</v>
      </c>
    </row>
    <row r="2027" spans="3:14" ht="12" customHeight="1">
      <c r="C2027" s="231"/>
      <c r="D2027" s="3912" t="s">
        <v>1886</v>
      </c>
      <c r="E2027" s="3913"/>
      <c r="F2027" s="3913"/>
      <c r="G2027" s="3913"/>
      <c r="H2027" s="3913"/>
      <c r="I2027" s="3913"/>
      <c r="J2027" s="232"/>
      <c r="K2027" s="232"/>
      <c r="L2027" s="232"/>
      <c r="N2027" s="212">
        <f t="shared" si="36"/>
        <v>1454</v>
      </c>
    </row>
    <row r="2028" spans="3:14" ht="12" customHeight="1">
      <c r="C2028" s="231"/>
      <c r="D2028" s="3900" t="s">
        <v>1890</v>
      </c>
      <c r="E2028" s="3901"/>
      <c r="F2028" s="3901"/>
      <c r="G2028" s="3901"/>
      <c r="H2028" s="3901"/>
      <c r="I2028" s="3901"/>
      <c r="J2028" s="232"/>
      <c r="K2028" s="232"/>
      <c r="L2028" s="232"/>
      <c r="N2028" s="212">
        <f t="shared" si="36"/>
        <v>1455</v>
      </c>
    </row>
    <row r="2029" spans="3:14" ht="12" customHeight="1">
      <c r="C2029" s="231"/>
      <c r="D2029" s="3900" t="s">
        <v>1891</v>
      </c>
      <c r="E2029" s="3901"/>
      <c r="F2029" s="3901"/>
      <c r="G2029" s="3901"/>
      <c r="H2029" s="3901"/>
      <c r="I2029" s="3901"/>
      <c r="J2029" s="232"/>
      <c r="K2029" s="232"/>
      <c r="L2029" s="232"/>
      <c r="N2029" s="212">
        <f t="shared" si="36"/>
        <v>1456</v>
      </c>
    </row>
    <row r="2030" spans="3:14" ht="12" customHeight="1">
      <c r="C2030" s="231"/>
      <c r="D2030" s="3912" t="s">
        <v>1892</v>
      </c>
      <c r="E2030" s="3913"/>
      <c r="F2030" s="3913"/>
      <c r="G2030" s="3913"/>
      <c r="H2030" s="3913"/>
      <c r="I2030" s="3913"/>
      <c r="J2030" s="232"/>
      <c r="K2030" s="232"/>
      <c r="L2030" s="232"/>
      <c r="N2030" s="212">
        <f t="shared" si="36"/>
        <v>1457</v>
      </c>
    </row>
    <row r="2031" spans="3:14" ht="12" customHeight="1">
      <c r="C2031" s="231"/>
      <c r="D2031" s="3900" t="s">
        <v>1893</v>
      </c>
      <c r="E2031" s="3901"/>
      <c r="F2031" s="3901"/>
      <c r="G2031" s="3901"/>
      <c r="H2031" s="3901"/>
      <c r="I2031" s="3901"/>
      <c r="J2031" s="232"/>
      <c r="K2031" s="232"/>
      <c r="L2031" s="232"/>
      <c r="N2031" s="212">
        <f t="shared" si="36"/>
        <v>1458</v>
      </c>
    </row>
    <row r="2032" spans="3:14" ht="12" customHeight="1">
      <c r="C2032" s="231"/>
      <c r="D2032" s="3900" t="s">
        <v>1894</v>
      </c>
      <c r="E2032" s="3901"/>
      <c r="F2032" s="3901"/>
      <c r="G2032" s="3901"/>
      <c r="H2032" s="3901"/>
      <c r="I2032" s="3901"/>
      <c r="J2032" s="232"/>
      <c r="K2032" s="232"/>
      <c r="L2032" s="232"/>
      <c r="N2032" s="212">
        <f t="shared" si="36"/>
        <v>1459</v>
      </c>
    </row>
    <row r="2033" spans="3:14" ht="12" customHeight="1">
      <c r="C2033" s="231"/>
      <c r="D2033" s="3900" t="s">
        <v>1895</v>
      </c>
      <c r="E2033" s="3901"/>
      <c r="F2033" s="3901"/>
      <c r="G2033" s="3901"/>
      <c r="H2033" s="3901"/>
      <c r="I2033" s="3901"/>
      <c r="J2033" s="232"/>
      <c r="K2033" s="232"/>
      <c r="L2033" s="232"/>
      <c r="N2033" s="212">
        <f t="shared" si="36"/>
        <v>1460</v>
      </c>
    </row>
    <row r="2034" spans="3:14" ht="12" customHeight="1">
      <c r="C2034" s="231"/>
      <c r="D2034" s="744"/>
      <c r="E2034" s="745"/>
      <c r="F2034" s="1719"/>
      <c r="G2034" s="745"/>
      <c r="H2034" s="745"/>
      <c r="I2034" s="745"/>
      <c r="J2034" s="232"/>
      <c r="K2034" s="232"/>
      <c r="L2034" s="232"/>
      <c r="N2034" s="212">
        <f t="shared" si="36"/>
        <v>1460</v>
      </c>
    </row>
    <row r="2035" spans="3:14" ht="12" customHeight="1">
      <c r="C2035" s="231"/>
      <c r="D2035" s="744"/>
      <c r="E2035" s="745"/>
      <c r="F2035" s="1719"/>
      <c r="G2035" s="745"/>
      <c r="H2035" s="745"/>
      <c r="I2035" s="745"/>
      <c r="J2035" s="232"/>
      <c r="K2035" s="232"/>
      <c r="L2035" s="232"/>
      <c r="N2035" s="212">
        <f t="shared" si="36"/>
        <v>1460</v>
      </c>
    </row>
    <row r="2036" spans="3:14" ht="12" customHeight="1">
      <c r="C2036" s="231"/>
      <c r="D2036" s="3912" t="s">
        <v>1896</v>
      </c>
      <c r="E2036" s="3912"/>
      <c r="F2036" s="3912"/>
      <c r="G2036" s="3912"/>
      <c r="H2036" s="3912"/>
      <c r="I2036" s="3912"/>
      <c r="J2036" s="3912"/>
      <c r="K2036" s="3912"/>
      <c r="L2036" s="232"/>
      <c r="N2036" s="212">
        <f t="shared" si="36"/>
        <v>1461</v>
      </c>
    </row>
    <row r="2037" spans="3:14" ht="12" customHeight="1">
      <c r="C2037" s="231"/>
      <c r="D2037" s="3900" t="s">
        <v>1897</v>
      </c>
      <c r="E2037" s="3901"/>
      <c r="F2037" s="3901"/>
      <c r="G2037" s="3901"/>
      <c r="H2037" s="3901"/>
      <c r="I2037" s="3901"/>
      <c r="J2037" s="232"/>
      <c r="K2037" s="232"/>
      <c r="L2037" s="232"/>
      <c r="N2037" s="212">
        <f t="shared" si="36"/>
        <v>1462</v>
      </c>
    </row>
    <row r="2038" spans="3:14" ht="12" customHeight="1">
      <c r="C2038" s="231"/>
      <c r="D2038" s="3900" t="s">
        <v>1898</v>
      </c>
      <c r="E2038" s="3900"/>
      <c r="F2038" s="3900"/>
      <c r="G2038" s="3900"/>
      <c r="H2038" s="3900"/>
      <c r="I2038" s="3900"/>
      <c r="J2038" s="3900"/>
      <c r="K2038" s="3900"/>
      <c r="L2038" s="232"/>
      <c r="N2038" s="212">
        <f t="shared" si="36"/>
        <v>1463</v>
      </c>
    </row>
    <row r="2039" spans="3:14" ht="12" customHeight="1">
      <c r="C2039" s="231"/>
      <c r="D2039" s="3912"/>
      <c r="E2039" s="3913"/>
      <c r="F2039" s="3913"/>
      <c r="G2039" s="3913"/>
      <c r="H2039" s="3913"/>
      <c r="I2039" s="3913"/>
      <c r="J2039" s="232"/>
      <c r="K2039" s="232"/>
      <c r="L2039" s="232"/>
      <c r="N2039" s="212">
        <f t="shared" si="36"/>
        <v>1463</v>
      </c>
    </row>
    <row r="2040" spans="3:14" ht="12" customHeight="1">
      <c r="C2040" s="231"/>
      <c r="D2040" s="3912" t="s">
        <v>1899</v>
      </c>
      <c r="E2040" s="3912"/>
      <c r="F2040" s="3912"/>
      <c r="G2040" s="3912"/>
      <c r="H2040" s="3912"/>
      <c r="I2040" s="3912"/>
      <c r="J2040" s="3912"/>
      <c r="K2040" s="3912"/>
      <c r="L2040" s="232"/>
      <c r="N2040" s="212">
        <f t="shared" si="36"/>
        <v>1464</v>
      </c>
    </row>
    <row r="2041" spans="3:14" ht="12" customHeight="1">
      <c r="C2041" s="231"/>
      <c r="D2041" s="3900" t="s">
        <v>1900</v>
      </c>
      <c r="E2041" s="3901"/>
      <c r="F2041" s="3901"/>
      <c r="G2041" s="3901"/>
      <c r="H2041" s="3901"/>
      <c r="I2041" s="3901"/>
      <c r="J2041" s="232"/>
      <c r="K2041" s="232"/>
      <c r="L2041" s="232"/>
      <c r="N2041" s="212">
        <f t="shared" si="36"/>
        <v>1465</v>
      </c>
    </row>
    <row r="2042" spans="3:14" ht="12" customHeight="1">
      <c r="C2042" s="231"/>
      <c r="D2042" s="3904"/>
      <c r="E2042" s="3905"/>
      <c r="F2042" s="3905"/>
      <c r="G2042" s="3905"/>
      <c r="H2042" s="3905"/>
      <c r="I2042" s="3905"/>
      <c r="J2042" s="232"/>
      <c r="K2042" s="232"/>
      <c r="L2042" s="232"/>
      <c r="N2042" s="212">
        <f t="shared" si="36"/>
        <v>1465</v>
      </c>
    </row>
    <row r="2043" spans="3:14" ht="12" customHeight="1">
      <c r="C2043" s="231"/>
      <c r="D2043" s="742"/>
      <c r="E2043" s="743"/>
      <c r="F2043" s="1714"/>
      <c r="G2043" s="743"/>
      <c r="H2043" s="743"/>
      <c r="I2043" s="743"/>
      <c r="J2043" s="232"/>
      <c r="K2043" s="232"/>
      <c r="L2043" s="232"/>
      <c r="N2043" s="212"/>
    </row>
    <row r="2044" spans="3:14" ht="12" customHeight="1">
      <c r="C2044" s="231"/>
      <c r="D2044" s="742"/>
      <c r="E2044" s="743"/>
      <c r="F2044" s="1714"/>
      <c r="G2044" s="743"/>
      <c r="H2044" s="743"/>
      <c r="I2044" s="743"/>
      <c r="J2044" s="232"/>
      <c r="K2044" s="232"/>
      <c r="L2044" s="232"/>
      <c r="N2044" s="212"/>
    </row>
    <row r="2045" spans="3:14" ht="12" customHeight="1">
      <c r="C2045" s="231"/>
      <c r="D2045" s="742"/>
      <c r="E2045" s="743"/>
      <c r="F2045" s="1714"/>
      <c r="G2045" s="743"/>
      <c r="H2045" s="743"/>
      <c r="I2045" s="743"/>
      <c r="J2045" s="232"/>
      <c r="K2045" s="232"/>
      <c r="L2045" s="232"/>
      <c r="N2045" s="212"/>
    </row>
    <row r="2046" spans="3:14" ht="12" customHeight="1">
      <c r="C2046" s="231"/>
      <c r="D2046" s="742"/>
      <c r="E2046" s="743"/>
      <c r="F2046" s="1714"/>
      <c r="G2046" s="743"/>
      <c r="H2046" s="743"/>
      <c r="I2046" s="743"/>
      <c r="J2046" s="232"/>
      <c r="K2046" s="232"/>
      <c r="L2046" s="232"/>
      <c r="N2046" s="212"/>
    </row>
    <row r="2047" spans="3:14" ht="12" customHeight="1">
      <c r="C2047" s="231"/>
      <c r="D2047" s="3904"/>
      <c r="E2047" s="3905"/>
      <c r="F2047" s="3905"/>
      <c r="G2047" s="3905"/>
      <c r="H2047" s="3905"/>
      <c r="I2047" s="3905"/>
      <c r="J2047" s="232"/>
      <c r="K2047" s="232"/>
      <c r="L2047" s="232"/>
      <c r="N2047" s="212">
        <f>IF(D2047="",N2042,N2042+1)</f>
        <v>1465</v>
      </c>
    </row>
    <row r="2048" spans="3:14" ht="12" customHeight="1">
      <c r="C2048" s="231"/>
      <c r="D2048" s="3904"/>
      <c r="E2048" s="3905"/>
      <c r="F2048" s="3905"/>
      <c r="G2048" s="3905"/>
      <c r="H2048" s="3905"/>
      <c r="I2048" s="3905"/>
      <c r="J2048" s="232"/>
      <c r="K2048" s="232"/>
      <c r="L2048" s="232"/>
      <c r="N2048" s="212">
        <f t="shared" si="36"/>
        <v>1465</v>
      </c>
    </row>
    <row r="2049" spans="3:14" ht="12" customHeight="1">
      <c r="C2049" s="231"/>
      <c r="D2049" s="3922" t="s">
        <v>980</v>
      </c>
      <c r="E2049" s="3923"/>
      <c r="F2049" s="3923"/>
      <c r="G2049" s="3923"/>
      <c r="H2049" s="3923"/>
      <c r="I2049" s="3924"/>
      <c r="J2049" s="232"/>
      <c r="K2049" s="232"/>
      <c r="L2049" s="232"/>
      <c r="N2049" s="212">
        <f t="shared" si="36"/>
        <v>1466</v>
      </c>
    </row>
    <row r="2050" spans="3:14" ht="12" customHeight="1">
      <c r="C2050" s="231"/>
      <c r="D2050" s="3904"/>
      <c r="E2050" s="3905"/>
      <c r="F2050" s="3905"/>
      <c r="G2050" s="3905"/>
      <c r="H2050" s="3905"/>
      <c r="I2050" s="3905"/>
      <c r="J2050" s="232"/>
      <c r="K2050" s="232"/>
      <c r="L2050" s="232"/>
      <c r="N2050" s="212">
        <f t="shared" si="36"/>
        <v>1466</v>
      </c>
    </row>
    <row r="2051" spans="3:14" ht="12" customHeight="1">
      <c r="C2051" s="231"/>
      <c r="D2051" s="3900" t="s">
        <v>1901</v>
      </c>
      <c r="E2051" s="3901"/>
      <c r="F2051" s="3901"/>
      <c r="G2051" s="3901"/>
      <c r="H2051" s="3901"/>
      <c r="I2051" s="3901"/>
      <c r="J2051" s="232"/>
      <c r="K2051" s="232"/>
      <c r="L2051" s="232"/>
      <c r="N2051" s="212">
        <f t="shared" si="36"/>
        <v>1467</v>
      </c>
    </row>
    <row r="2052" spans="3:14" ht="12" customHeight="1">
      <c r="C2052" s="231"/>
      <c r="D2052" s="3900" t="s">
        <v>927</v>
      </c>
      <c r="E2052" s="3900"/>
      <c r="F2052" s="3900"/>
      <c r="G2052" s="3900"/>
      <c r="H2052" s="3900"/>
      <c r="I2052" s="3900"/>
      <c r="J2052" s="3900"/>
      <c r="K2052" s="3900"/>
      <c r="L2052" s="232"/>
      <c r="N2052" s="212">
        <f t="shared" si="36"/>
        <v>1468</v>
      </c>
    </row>
    <row r="2053" spans="3:14" ht="12" customHeight="1">
      <c r="C2053" s="231"/>
      <c r="D2053" s="3900" t="s">
        <v>928</v>
      </c>
      <c r="E2053" s="3901"/>
      <c r="F2053" s="3901"/>
      <c r="G2053" s="3901"/>
      <c r="H2053" s="3901"/>
      <c r="I2053" s="3901"/>
      <c r="J2053" s="232"/>
      <c r="K2053" s="232"/>
      <c r="L2053" s="232"/>
      <c r="N2053" s="212">
        <f t="shared" si="36"/>
        <v>1469</v>
      </c>
    </row>
    <row r="2054" spans="3:14" ht="12" customHeight="1">
      <c r="C2054" s="231"/>
      <c r="D2054" s="3900" t="s">
        <v>929</v>
      </c>
      <c r="E2054" s="3900"/>
      <c r="F2054" s="3900"/>
      <c r="G2054" s="3900"/>
      <c r="H2054" s="3900"/>
      <c r="I2054" s="3900"/>
      <c r="J2054" s="3900"/>
      <c r="K2054" s="3900"/>
      <c r="L2054" s="232"/>
      <c r="N2054" s="212">
        <f t="shared" si="36"/>
        <v>1470</v>
      </c>
    </row>
    <row r="2055" spans="3:14" ht="12" customHeight="1">
      <c r="C2055" s="231"/>
      <c r="D2055" s="3900" t="s">
        <v>1902</v>
      </c>
      <c r="E2055" s="3900"/>
      <c r="F2055" s="3900"/>
      <c r="G2055" s="3900"/>
      <c r="H2055" s="3900"/>
      <c r="I2055" s="3900"/>
      <c r="J2055" s="3900"/>
      <c r="K2055" s="232"/>
      <c r="L2055" s="232"/>
      <c r="N2055" s="212">
        <f t="shared" si="36"/>
        <v>1471</v>
      </c>
    </row>
    <row r="2056" spans="3:14" ht="12" customHeight="1">
      <c r="C2056" s="231"/>
      <c r="D2056" s="3948" t="s">
        <v>1903</v>
      </c>
      <c r="E2056" s="3949"/>
      <c r="F2056" s="3949"/>
      <c r="G2056" s="3949"/>
      <c r="H2056" s="3949"/>
      <c r="I2056" s="3949"/>
      <c r="J2056" s="232"/>
      <c r="K2056" s="232"/>
      <c r="L2056" s="232"/>
      <c r="N2056" s="212">
        <f t="shared" si="36"/>
        <v>1472</v>
      </c>
    </row>
    <row r="2057" spans="3:14" ht="12" customHeight="1">
      <c r="C2057" s="231"/>
      <c r="D2057" s="3900"/>
      <c r="E2057" s="3901"/>
      <c r="F2057" s="3901"/>
      <c r="G2057" s="3901"/>
      <c r="H2057" s="3901"/>
      <c r="I2057" s="3901"/>
      <c r="J2057" s="232"/>
      <c r="K2057" s="232"/>
      <c r="L2057" s="232"/>
      <c r="N2057" s="212">
        <f t="shared" si="36"/>
        <v>1472</v>
      </c>
    </row>
    <row r="2058" spans="3:14" ht="12" customHeight="1">
      <c r="C2058" s="231"/>
      <c r="D2058" s="3900" t="s">
        <v>1904</v>
      </c>
      <c r="E2058" s="3900"/>
      <c r="F2058" s="3900"/>
      <c r="G2058" s="3900"/>
      <c r="H2058" s="3900"/>
      <c r="I2058" s="3900"/>
      <c r="J2058" s="3900"/>
      <c r="K2058" s="3900"/>
      <c r="L2058" s="232"/>
      <c r="N2058" s="212">
        <f t="shared" si="36"/>
        <v>1473</v>
      </c>
    </row>
    <row r="2059" spans="3:14" ht="12" customHeight="1">
      <c r="C2059" s="231"/>
      <c r="D2059" s="738"/>
      <c r="E2059" s="738"/>
      <c r="F2059" s="1711"/>
      <c r="G2059" s="738"/>
      <c r="H2059" s="738"/>
      <c r="I2059" s="738"/>
      <c r="J2059" s="738"/>
      <c r="K2059" s="232"/>
      <c r="L2059" s="232"/>
      <c r="N2059" s="212"/>
    </row>
    <row r="2060" spans="3:14" ht="12" customHeight="1">
      <c r="C2060" s="231"/>
      <c r="D2060" s="738"/>
      <c r="E2060" s="738"/>
      <c r="F2060" s="1711"/>
      <c r="G2060" s="738"/>
      <c r="H2060" s="738"/>
      <c r="I2060" s="738"/>
      <c r="J2060" s="738"/>
      <c r="K2060" s="232"/>
      <c r="L2060" s="232"/>
      <c r="N2060" s="212"/>
    </row>
    <row r="2061" spans="3:14" ht="12" customHeight="1">
      <c r="C2061" s="231"/>
      <c r="D2061" s="3904"/>
      <c r="E2061" s="3905"/>
      <c r="F2061" s="3905"/>
      <c r="G2061" s="3905"/>
      <c r="H2061" s="3905"/>
      <c r="I2061" s="3905"/>
      <c r="J2061" s="232"/>
      <c r="K2061" s="232"/>
      <c r="L2061" s="232"/>
      <c r="N2061" s="212">
        <f>IF(D2061="",N2058,N2058+1)</f>
        <v>1473</v>
      </c>
    </row>
    <row r="2062" spans="3:14" ht="12" customHeight="1">
      <c r="C2062" s="231"/>
      <c r="D2062" s="3904"/>
      <c r="E2062" s="3905"/>
      <c r="F2062" s="3905"/>
      <c r="G2062" s="3905"/>
      <c r="H2062" s="3905"/>
      <c r="I2062" s="3905"/>
      <c r="J2062" s="232"/>
      <c r="K2062" s="232"/>
      <c r="L2062" s="232"/>
      <c r="N2062" s="212">
        <f t="shared" si="36"/>
        <v>1473</v>
      </c>
    </row>
    <row r="2063" spans="3:14" ht="12" customHeight="1">
      <c r="C2063" s="231"/>
      <c r="D2063" s="3904"/>
      <c r="E2063" s="3905"/>
      <c r="F2063" s="3905"/>
      <c r="G2063" s="3905"/>
      <c r="H2063" s="3905"/>
      <c r="I2063" s="3905"/>
      <c r="J2063" s="232"/>
      <c r="K2063" s="232"/>
      <c r="L2063" s="232"/>
      <c r="N2063" s="212">
        <f t="shared" si="36"/>
        <v>1473</v>
      </c>
    </row>
    <row r="2064" spans="3:14" ht="12" customHeight="1">
      <c r="C2064" s="231"/>
      <c r="D2064" s="3926" t="s">
        <v>981</v>
      </c>
      <c r="E2064" s="3927"/>
      <c r="F2064" s="3927"/>
      <c r="G2064" s="3927"/>
      <c r="H2064" s="3927"/>
      <c r="I2064" s="3928"/>
      <c r="J2064" s="232"/>
      <c r="K2064" s="232"/>
      <c r="L2064" s="232"/>
      <c r="N2064" s="212">
        <f t="shared" si="36"/>
        <v>1474</v>
      </c>
    </row>
    <row r="2065" spans="3:14" ht="12" customHeight="1">
      <c r="C2065" s="231"/>
      <c r="D2065" s="3904"/>
      <c r="E2065" s="3905"/>
      <c r="F2065" s="3905"/>
      <c r="G2065" s="3905"/>
      <c r="H2065" s="3905"/>
      <c r="I2065" s="3905"/>
      <c r="J2065" s="232"/>
      <c r="K2065" s="232"/>
      <c r="L2065" s="232"/>
      <c r="N2065" s="212">
        <f t="shared" si="36"/>
        <v>1474</v>
      </c>
    </row>
    <row r="2066" spans="3:14" ht="12" customHeight="1">
      <c r="C2066" s="231"/>
      <c r="D2066" s="3900" t="s">
        <v>1905</v>
      </c>
      <c r="E2066" s="3901"/>
      <c r="F2066" s="3901"/>
      <c r="G2066" s="3901"/>
      <c r="H2066" s="3901"/>
      <c r="I2066" s="3901"/>
      <c r="J2066" s="232"/>
      <c r="K2066" s="232"/>
      <c r="L2066" s="232"/>
      <c r="N2066" s="212">
        <f t="shared" si="36"/>
        <v>1475</v>
      </c>
    </row>
    <row r="2067" spans="3:14" ht="12" customHeight="1">
      <c r="C2067" s="231"/>
      <c r="D2067" s="3900" t="s">
        <v>1906</v>
      </c>
      <c r="E2067" s="3900"/>
      <c r="F2067" s="3900"/>
      <c r="G2067" s="3900"/>
      <c r="H2067" s="3900"/>
      <c r="I2067" s="3900"/>
      <c r="J2067" s="3900"/>
      <c r="K2067" s="3900"/>
      <c r="L2067" s="232"/>
      <c r="N2067" s="212">
        <f t="shared" si="36"/>
        <v>1476</v>
      </c>
    </row>
    <row r="2068" spans="3:14" ht="12" customHeight="1">
      <c r="C2068" s="231"/>
      <c r="D2068" s="3900" t="s">
        <v>1907</v>
      </c>
      <c r="E2068" s="3901"/>
      <c r="F2068" s="3901"/>
      <c r="G2068" s="3901"/>
      <c r="H2068" s="3901"/>
      <c r="I2068" s="3901"/>
      <c r="J2068" s="232"/>
      <c r="K2068" s="232"/>
      <c r="L2068" s="232"/>
      <c r="N2068" s="212">
        <f t="shared" si="36"/>
        <v>1477</v>
      </c>
    </row>
    <row r="2069" spans="3:14" ht="12" customHeight="1">
      <c r="C2069" s="231"/>
      <c r="D2069" s="3900" t="s">
        <v>1908</v>
      </c>
      <c r="E2069" s="3900"/>
      <c r="F2069" s="3900"/>
      <c r="G2069" s="3900"/>
      <c r="H2069" s="3900"/>
      <c r="I2069" s="3900"/>
      <c r="J2069" s="3900"/>
      <c r="K2069" s="3900"/>
      <c r="L2069" s="232"/>
      <c r="N2069" s="212">
        <f t="shared" si="36"/>
        <v>1478</v>
      </c>
    </row>
    <row r="2070" spans="3:14" ht="12" customHeight="1">
      <c r="C2070" s="231"/>
      <c r="D2070" s="3900" t="s">
        <v>1980</v>
      </c>
      <c r="E2070" s="3901"/>
      <c r="F2070" s="3901"/>
      <c r="G2070" s="3901"/>
      <c r="H2070" s="3901"/>
      <c r="I2070" s="3901"/>
      <c r="J2070" s="232"/>
      <c r="K2070" s="232"/>
      <c r="L2070" s="232"/>
      <c r="N2070" s="212">
        <f t="shared" si="36"/>
        <v>1479</v>
      </c>
    </row>
    <row r="2071" spans="3:14" ht="12" customHeight="1">
      <c r="C2071" s="231"/>
      <c r="D2071" s="3900" t="s">
        <v>1909</v>
      </c>
      <c r="E2071" s="3901"/>
      <c r="F2071" s="3901"/>
      <c r="G2071" s="3901"/>
      <c r="H2071" s="3901"/>
      <c r="I2071" s="3901"/>
      <c r="J2071" s="232"/>
      <c r="K2071" s="232"/>
      <c r="L2071" s="232"/>
      <c r="N2071" s="212">
        <f t="shared" si="36"/>
        <v>1480</v>
      </c>
    </row>
    <row r="2072" spans="3:14" ht="12" customHeight="1">
      <c r="C2072" s="231"/>
      <c r="D2072" s="3900" t="s">
        <v>1910</v>
      </c>
      <c r="E2072" s="3900"/>
      <c r="F2072" s="3900"/>
      <c r="G2072" s="3900"/>
      <c r="H2072" s="3900"/>
      <c r="I2072" s="3900"/>
      <c r="J2072" s="3900"/>
      <c r="K2072" s="3900"/>
      <c r="L2072" s="232"/>
      <c r="N2072" s="212">
        <f t="shared" si="36"/>
        <v>1481</v>
      </c>
    </row>
    <row r="2073" spans="3:14" ht="12" customHeight="1">
      <c r="C2073" s="231"/>
      <c r="D2073" s="3900" t="s">
        <v>1911</v>
      </c>
      <c r="E2073" s="3901"/>
      <c r="F2073" s="3901"/>
      <c r="G2073" s="3901"/>
      <c r="H2073" s="3901"/>
      <c r="I2073" s="3901"/>
      <c r="J2073" s="232"/>
      <c r="K2073" s="232"/>
      <c r="L2073" s="232"/>
      <c r="N2073" s="212">
        <f t="shared" si="36"/>
        <v>1482</v>
      </c>
    </row>
    <row r="2074" spans="3:14" ht="12" customHeight="1">
      <c r="C2074" s="231"/>
      <c r="D2074" s="3912"/>
      <c r="E2074" s="3913"/>
      <c r="F2074" s="3913"/>
      <c r="G2074" s="3913"/>
      <c r="H2074" s="3913"/>
      <c r="I2074" s="3913"/>
      <c r="J2074" s="232"/>
      <c r="K2074" s="232"/>
      <c r="L2074" s="232"/>
      <c r="N2074" s="212">
        <f t="shared" si="36"/>
        <v>1482</v>
      </c>
    </row>
    <row r="2075" spans="3:14" ht="12" customHeight="1">
      <c r="C2075" s="231"/>
      <c r="D2075" s="3912" t="s">
        <v>930</v>
      </c>
      <c r="E2075" s="3913"/>
      <c r="F2075" s="3913"/>
      <c r="G2075" s="3913"/>
      <c r="H2075" s="3913"/>
      <c r="I2075" s="3913"/>
      <c r="J2075" s="232"/>
      <c r="K2075" s="232"/>
      <c r="L2075" s="232"/>
      <c r="N2075" s="212">
        <f t="shared" si="36"/>
        <v>1483</v>
      </c>
    </row>
    <row r="2076" spans="3:14" ht="12" customHeight="1">
      <c r="C2076" s="231"/>
      <c r="D2076" s="3904"/>
      <c r="E2076" s="3905"/>
      <c r="F2076" s="3905"/>
      <c r="G2076" s="3905"/>
      <c r="H2076" s="3905"/>
      <c r="I2076" s="3905"/>
      <c r="J2076" s="232"/>
      <c r="K2076" s="232"/>
      <c r="L2076" s="232"/>
      <c r="N2076" s="212">
        <f t="shared" si="36"/>
        <v>1483</v>
      </c>
    </row>
    <row r="2077" spans="3:14" ht="12" customHeight="1">
      <c r="C2077" s="231"/>
      <c r="D2077" s="742"/>
      <c r="E2077" s="743"/>
      <c r="F2077" s="1714"/>
      <c r="G2077" s="743"/>
      <c r="H2077" s="743"/>
      <c r="I2077" s="743"/>
      <c r="J2077" s="232"/>
      <c r="K2077" s="232"/>
      <c r="L2077" s="232"/>
      <c r="N2077" s="212">
        <f t="shared" si="36"/>
        <v>1483</v>
      </c>
    </row>
    <row r="2078" spans="3:14" ht="12" customHeight="1">
      <c r="C2078" s="231"/>
      <c r="D2078" s="742"/>
      <c r="E2078" s="743"/>
      <c r="F2078" s="1714"/>
      <c r="G2078" s="743"/>
      <c r="H2078" s="743"/>
      <c r="I2078" s="743"/>
      <c r="J2078" s="232"/>
      <c r="K2078" s="232"/>
      <c r="L2078" s="232"/>
      <c r="N2078" s="212">
        <f t="shared" si="36"/>
        <v>1483</v>
      </c>
    </row>
    <row r="2079" spans="3:14" ht="12" customHeight="1">
      <c r="C2079" s="231"/>
      <c r="D2079" s="742"/>
      <c r="E2079" s="743"/>
      <c r="F2079" s="1714"/>
      <c r="G2079" s="743"/>
      <c r="H2079" s="743"/>
      <c r="I2079" s="743"/>
      <c r="J2079" s="232"/>
      <c r="K2079" s="232"/>
      <c r="L2079" s="232"/>
      <c r="N2079" s="212">
        <f t="shared" si="36"/>
        <v>1483</v>
      </c>
    </row>
    <row r="2080" spans="3:14" ht="12" customHeight="1">
      <c r="C2080" s="231"/>
      <c r="D2080" s="742"/>
      <c r="E2080" s="743"/>
      <c r="F2080" s="1714"/>
      <c r="G2080" s="743"/>
      <c r="H2080" s="743"/>
      <c r="I2080" s="743"/>
      <c r="J2080" s="232"/>
      <c r="K2080" s="232"/>
      <c r="L2080" s="232"/>
      <c r="N2080" s="212">
        <f t="shared" si="36"/>
        <v>1483</v>
      </c>
    </row>
    <row r="2081" spans="1:14" ht="12" customHeight="1">
      <c r="C2081" s="231"/>
      <c r="D2081" s="3916"/>
      <c r="E2081" s="3917"/>
      <c r="F2081" s="3917"/>
      <c r="G2081" s="3917"/>
      <c r="H2081" s="3917"/>
      <c r="I2081" s="3917"/>
      <c r="J2081" s="232"/>
      <c r="K2081" s="232"/>
      <c r="L2081" s="232"/>
      <c r="N2081" s="212">
        <f>IF(D2081="",N2076,N2076+1)</f>
        <v>1483</v>
      </c>
    </row>
    <row r="2082" spans="1:14" ht="12" customHeight="1" thickBot="1">
      <c r="A2082" s="3906"/>
      <c r="C2082" s="231"/>
      <c r="D2082" s="3904"/>
      <c r="E2082" s="3905"/>
      <c r="F2082" s="3905"/>
      <c r="G2082" s="3905"/>
      <c r="H2082" s="3905"/>
      <c r="I2082" s="3905"/>
      <c r="J2082" s="232"/>
      <c r="K2082" s="232"/>
      <c r="L2082" s="232"/>
      <c r="N2082" s="212">
        <f t="shared" si="36"/>
        <v>1483</v>
      </c>
    </row>
    <row r="2083" spans="1:14" ht="15" customHeight="1" thickBot="1">
      <c r="A2083" s="3906"/>
      <c r="C2083" s="760"/>
      <c r="D2083" s="3944" t="s">
        <v>982</v>
      </c>
      <c r="E2083" s="3944"/>
      <c r="F2083" s="3944"/>
      <c r="G2083" s="3944"/>
      <c r="H2083" s="3944"/>
      <c r="I2083" s="3944"/>
      <c r="J2083" s="232"/>
      <c r="K2083" s="195" t="s">
        <v>576</v>
      </c>
      <c r="L2083" s="232"/>
      <c r="N2083" s="212">
        <f t="shared" si="36"/>
        <v>1484</v>
      </c>
    </row>
    <row r="2084" spans="1:14" ht="12" customHeight="1" thickBot="1">
      <c r="A2084" s="3906"/>
      <c r="C2084" s="231"/>
      <c r="D2084" s="3904"/>
      <c r="E2084" s="3905"/>
      <c r="F2084" s="3905"/>
      <c r="G2084" s="3905"/>
      <c r="H2084" s="3905"/>
      <c r="I2084" s="3905"/>
      <c r="J2084" s="232"/>
      <c r="K2084" s="197" t="s">
        <v>551</v>
      </c>
      <c r="L2084" s="232"/>
      <c r="N2084" s="212">
        <f t="shared" si="36"/>
        <v>1484</v>
      </c>
    </row>
    <row r="2085" spans="1:14" ht="12" customHeight="1">
      <c r="A2085" s="3906"/>
      <c r="C2085" s="231"/>
      <c r="D2085" s="3912" t="s">
        <v>1916</v>
      </c>
      <c r="E2085" s="3913"/>
      <c r="F2085" s="3913"/>
      <c r="G2085" s="3913"/>
      <c r="H2085" s="3913"/>
      <c r="I2085" s="3913"/>
      <c r="J2085" s="232"/>
      <c r="K2085" s="232"/>
      <c r="L2085" s="232"/>
      <c r="N2085" s="212">
        <f t="shared" si="36"/>
        <v>1485</v>
      </c>
    </row>
    <row r="2086" spans="1:14" ht="12" customHeight="1">
      <c r="A2086" s="3906"/>
      <c r="C2086" s="231"/>
      <c r="D2086" s="3900" t="s">
        <v>1917</v>
      </c>
      <c r="E2086" s="3901"/>
      <c r="F2086" s="3901"/>
      <c r="G2086" s="3901"/>
      <c r="H2086" s="3901"/>
      <c r="I2086" s="3901"/>
      <c r="J2086" s="232"/>
      <c r="K2086" s="232"/>
      <c r="L2086" s="232"/>
      <c r="N2086" s="212">
        <f t="shared" si="36"/>
        <v>1486</v>
      </c>
    </row>
    <row r="2087" spans="1:14" ht="12" customHeight="1">
      <c r="A2087" s="3906"/>
      <c r="C2087" s="231"/>
      <c r="D2087" s="3900" t="s">
        <v>1918</v>
      </c>
      <c r="E2087" s="3901"/>
      <c r="F2087" s="3901"/>
      <c r="G2087" s="3901"/>
      <c r="H2087" s="3901"/>
      <c r="I2087" s="3901"/>
      <c r="J2087" s="232"/>
      <c r="K2087" s="232"/>
      <c r="L2087" s="232"/>
      <c r="N2087" s="212">
        <f t="shared" si="36"/>
        <v>1487</v>
      </c>
    </row>
    <row r="2088" spans="1:14" ht="12" customHeight="1">
      <c r="A2088" s="3906"/>
      <c r="C2088" s="231"/>
      <c r="D2088" s="3912"/>
      <c r="E2088" s="3913"/>
      <c r="F2088" s="3913"/>
      <c r="G2088" s="3913"/>
      <c r="H2088" s="3913"/>
      <c r="I2088" s="3913"/>
      <c r="J2088" s="232"/>
      <c r="K2088" s="232"/>
      <c r="L2088" s="232"/>
      <c r="N2088" s="212">
        <f t="shared" si="36"/>
        <v>1487</v>
      </c>
    </row>
    <row r="2089" spans="1:14" ht="12" customHeight="1">
      <c r="A2089" s="3906"/>
      <c r="C2089" s="231"/>
      <c r="D2089" s="3912" t="s">
        <v>1912</v>
      </c>
      <c r="E2089" s="3913"/>
      <c r="F2089" s="3913"/>
      <c r="G2089" s="3913"/>
      <c r="H2089" s="3913"/>
      <c r="I2089" s="3913"/>
      <c r="J2089" s="232"/>
      <c r="K2089" s="232"/>
      <c r="L2089" s="232"/>
      <c r="N2089" s="212">
        <f t="shared" si="36"/>
        <v>1488</v>
      </c>
    </row>
    <row r="2090" spans="1:14" ht="13.5" customHeight="1">
      <c r="A2090" s="3906"/>
      <c r="C2090" s="231"/>
      <c r="D2090" s="3900" t="s">
        <v>1919</v>
      </c>
      <c r="E2090" s="3901"/>
      <c r="F2090" s="3901"/>
      <c r="G2090" s="3901"/>
      <c r="H2090" s="3901"/>
      <c r="I2090" s="3901"/>
      <c r="J2090" s="232"/>
      <c r="K2090" s="232"/>
      <c r="L2090" s="232"/>
      <c r="N2090" s="212">
        <f t="shared" si="36"/>
        <v>1489</v>
      </c>
    </row>
    <row r="2091" spans="1:14" ht="12" customHeight="1">
      <c r="A2091" s="3906"/>
      <c r="C2091" s="231"/>
      <c r="D2091" s="3900"/>
      <c r="E2091" s="3901"/>
      <c r="F2091" s="3901"/>
      <c r="G2091" s="3901"/>
      <c r="H2091" s="3901"/>
      <c r="I2091" s="3901"/>
      <c r="J2091" s="232"/>
      <c r="K2091" s="232"/>
      <c r="L2091" s="232"/>
      <c r="N2091" s="212">
        <f t="shared" si="36"/>
        <v>1489</v>
      </c>
    </row>
    <row r="2092" spans="1:14" ht="12" customHeight="1">
      <c r="A2092" s="3906"/>
      <c r="C2092" s="231"/>
      <c r="D2092" s="3900" t="s">
        <v>1913</v>
      </c>
      <c r="E2092" s="3901"/>
      <c r="F2092" s="3901"/>
      <c r="G2092" s="3901"/>
      <c r="H2092" s="3901"/>
      <c r="I2092" s="3901"/>
      <c r="J2092" s="232"/>
      <c r="K2092" s="232"/>
      <c r="L2092" s="232"/>
      <c r="N2092" s="212">
        <f t="shared" ref="N2092:N2153" si="37">IF(D2092="",N2091,N2091+1)</f>
        <v>1490</v>
      </c>
    </row>
    <row r="2093" spans="1:14" ht="12" customHeight="1">
      <c r="A2093" s="3906"/>
      <c r="C2093" s="231"/>
      <c r="D2093" s="3900" t="s">
        <v>1920</v>
      </c>
      <c r="E2093" s="3901"/>
      <c r="F2093" s="3901"/>
      <c r="G2093" s="3901"/>
      <c r="H2093" s="3901"/>
      <c r="I2093" s="3901"/>
      <c r="J2093" s="232"/>
      <c r="K2093" s="232"/>
      <c r="L2093" s="232"/>
      <c r="N2093" s="212">
        <f t="shared" si="37"/>
        <v>1491</v>
      </c>
    </row>
    <row r="2094" spans="1:14" ht="12" customHeight="1">
      <c r="A2094" s="3906"/>
      <c r="C2094" s="231"/>
      <c r="D2094" s="3912"/>
      <c r="E2094" s="3913"/>
      <c r="F2094" s="3913"/>
      <c r="G2094" s="3913"/>
      <c r="H2094" s="3913"/>
      <c r="I2094" s="3913"/>
      <c r="J2094" s="232"/>
      <c r="K2094" s="232"/>
      <c r="L2094" s="232"/>
      <c r="N2094" s="212">
        <f t="shared" si="37"/>
        <v>1491</v>
      </c>
    </row>
    <row r="2095" spans="1:14" ht="12" customHeight="1">
      <c r="A2095" s="3906"/>
      <c r="C2095" s="231"/>
      <c r="D2095" s="3912" t="s">
        <v>1921</v>
      </c>
      <c r="E2095" s="3913"/>
      <c r="F2095" s="3913"/>
      <c r="G2095" s="3913"/>
      <c r="H2095" s="3913"/>
      <c r="I2095" s="3913"/>
      <c r="J2095" s="232"/>
      <c r="K2095" s="232"/>
      <c r="L2095" s="232"/>
      <c r="N2095" s="212">
        <f t="shared" si="37"/>
        <v>1492</v>
      </c>
    </row>
    <row r="2096" spans="1:14" ht="12" customHeight="1">
      <c r="A2096" s="3906"/>
      <c r="C2096" s="231"/>
      <c r="D2096" s="3912" t="s">
        <v>1922</v>
      </c>
      <c r="E2096" s="3912"/>
      <c r="F2096" s="3912"/>
      <c r="G2096" s="3912"/>
      <c r="H2096" s="3912"/>
      <c r="I2096" s="3912"/>
      <c r="J2096" s="3912"/>
      <c r="K2096" s="232"/>
      <c r="L2096" s="232"/>
      <c r="N2096" s="212">
        <f t="shared" si="37"/>
        <v>1493</v>
      </c>
    </row>
    <row r="2097" spans="1:14" ht="12" customHeight="1">
      <c r="A2097" s="3906"/>
      <c r="C2097" s="231"/>
      <c r="D2097" s="3912" t="s">
        <v>1914</v>
      </c>
      <c r="E2097" s="3912"/>
      <c r="F2097" s="3912"/>
      <c r="G2097" s="3912"/>
      <c r="H2097" s="3912"/>
      <c r="I2097" s="3912"/>
      <c r="J2097" s="3912"/>
      <c r="K2097" s="232"/>
      <c r="L2097" s="232"/>
      <c r="N2097" s="212">
        <f t="shared" si="37"/>
        <v>1494</v>
      </c>
    </row>
    <row r="2098" spans="1:14" ht="12" customHeight="1">
      <c r="A2098" s="3906"/>
      <c r="C2098" s="231"/>
      <c r="D2098" s="3912" t="s">
        <v>1915</v>
      </c>
      <c r="E2098" s="3913"/>
      <c r="F2098" s="3913"/>
      <c r="G2098" s="3913"/>
      <c r="H2098" s="3913"/>
      <c r="I2098" s="3913"/>
      <c r="J2098" s="232"/>
      <c r="K2098" s="232"/>
      <c r="L2098" s="232"/>
      <c r="N2098" s="212">
        <f t="shared" si="37"/>
        <v>1495</v>
      </c>
    </row>
    <row r="2099" spans="1:14" ht="12" customHeight="1">
      <c r="A2099" s="3906"/>
      <c r="C2099" s="231"/>
      <c r="D2099" s="3912"/>
      <c r="E2099" s="3913"/>
      <c r="F2099" s="3913"/>
      <c r="G2099" s="3913"/>
      <c r="H2099" s="3913"/>
      <c r="I2099" s="3913"/>
      <c r="J2099" s="232"/>
      <c r="K2099" s="232"/>
      <c r="L2099" s="232"/>
      <c r="N2099" s="212">
        <f t="shared" si="37"/>
        <v>1495</v>
      </c>
    </row>
    <row r="2100" spans="1:14" ht="12" customHeight="1">
      <c r="A2100" s="3906"/>
      <c r="C2100" s="231"/>
      <c r="D2100" s="3912" t="s">
        <v>1923</v>
      </c>
      <c r="E2100" s="3913"/>
      <c r="F2100" s="3913"/>
      <c r="G2100" s="3913"/>
      <c r="H2100" s="3913"/>
      <c r="I2100" s="3913"/>
      <c r="J2100" s="232"/>
      <c r="K2100" s="232"/>
      <c r="L2100" s="232"/>
      <c r="N2100" s="212">
        <f t="shared" si="37"/>
        <v>1496</v>
      </c>
    </row>
    <row r="2101" spans="1:14" ht="12" customHeight="1">
      <c r="A2101" s="3906"/>
      <c r="C2101" s="231"/>
      <c r="D2101" s="3912" t="s">
        <v>931</v>
      </c>
      <c r="E2101" s="3913"/>
      <c r="F2101" s="3913"/>
      <c r="G2101" s="3913"/>
      <c r="H2101" s="3913"/>
      <c r="I2101" s="3913"/>
      <c r="J2101" s="232"/>
      <c r="K2101" s="232"/>
      <c r="L2101" s="232"/>
      <c r="N2101" s="212">
        <f t="shared" si="37"/>
        <v>1497</v>
      </c>
    </row>
    <row r="2102" spans="1:14" ht="12" customHeight="1">
      <c r="A2102" s="3906"/>
      <c r="C2102" s="231"/>
      <c r="D2102" s="3912" t="s">
        <v>932</v>
      </c>
      <c r="E2102" s="3913"/>
      <c r="F2102" s="3913"/>
      <c r="G2102" s="3913"/>
      <c r="H2102" s="3913"/>
      <c r="I2102" s="3913"/>
      <c r="J2102" s="232"/>
      <c r="K2102" s="232"/>
      <c r="L2102" s="232"/>
      <c r="N2102" s="212">
        <f t="shared" si="37"/>
        <v>1498</v>
      </c>
    </row>
    <row r="2103" spans="1:14" ht="12" customHeight="1">
      <c r="A2103" s="3906"/>
      <c r="C2103" s="231"/>
      <c r="D2103" s="3912" t="s">
        <v>933</v>
      </c>
      <c r="E2103" s="3913"/>
      <c r="F2103" s="3913"/>
      <c r="G2103" s="3913"/>
      <c r="H2103" s="3913"/>
      <c r="I2103" s="3913"/>
      <c r="J2103" s="232"/>
      <c r="K2103" s="232"/>
      <c r="L2103" s="232"/>
      <c r="N2103" s="212">
        <f t="shared" si="37"/>
        <v>1499</v>
      </c>
    </row>
    <row r="2104" spans="1:14" ht="12" customHeight="1">
      <c r="A2104" s="3906"/>
      <c r="C2104" s="231"/>
      <c r="D2104" s="3904"/>
      <c r="E2104" s="3905"/>
      <c r="F2104" s="3905"/>
      <c r="G2104" s="3905"/>
      <c r="H2104" s="3905"/>
      <c r="I2104" s="3905"/>
      <c r="J2104" s="232"/>
      <c r="K2104" s="232"/>
      <c r="L2104" s="232"/>
      <c r="N2104" s="212">
        <f t="shared" si="37"/>
        <v>1499</v>
      </c>
    </row>
    <row r="2105" spans="1:14" ht="12" customHeight="1">
      <c r="A2105" s="3906"/>
      <c r="C2105" s="231"/>
      <c r="D2105" s="3900" t="s">
        <v>1925</v>
      </c>
      <c r="E2105" s="3900"/>
      <c r="F2105" s="3900"/>
      <c r="G2105" s="3900"/>
      <c r="H2105" s="3900"/>
      <c r="I2105" s="3900"/>
      <c r="J2105" s="3900"/>
      <c r="K2105" s="3900"/>
      <c r="L2105" s="232"/>
      <c r="N2105" s="212">
        <f t="shared" si="37"/>
        <v>1500</v>
      </c>
    </row>
    <row r="2106" spans="1:14" ht="12" customHeight="1">
      <c r="A2106" s="3906"/>
      <c r="C2106" s="231"/>
      <c r="D2106" s="3900" t="s">
        <v>1924</v>
      </c>
      <c r="E2106" s="3901"/>
      <c r="F2106" s="3901"/>
      <c r="G2106" s="3901"/>
      <c r="H2106" s="3901"/>
      <c r="I2106" s="3901"/>
      <c r="J2106" s="232"/>
      <c r="K2106" s="232"/>
      <c r="L2106" s="232"/>
      <c r="N2106" s="212">
        <f t="shared" si="37"/>
        <v>1501</v>
      </c>
    </row>
    <row r="2107" spans="1:14" ht="12" customHeight="1">
      <c r="A2107" s="3906"/>
      <c r="C2107" s="231"/>
      <c r="D2107" s="3912"/>
      <c r="E2107" s="3913"/>
      <c r="F2107" s="3913"/>
      <c r="G2107" s="3913"/>
      <c r="H2107" s="3913"/>
      <c r="I2107" s="3913"/>
      <c r="J2107" s="232"/>
      <c r="K2107" s="232"/>
      <c r="L2107" s="232"/>
      <c r="N2107" s="212">
        <f t="shared" si="37"/>
        <v>1501</v>
      </c>
    </row>
    <row r="2108" spans="1:14" ht="12" customHeight="1">
      <c r="A2108" s="3906"/>
      <c r="C2108" s="231"/>
      <c r="D2108" s="3912" t="s">
        <v>1926</v>
      </c>
      <c r="E2108" s="3913"/>
      <c r="F2108" s="3913"/>
      <c r="G2108" s="3913"/>
      <c r="H2108" s="3913"/>
      <c r="I2108" s="3913"/>
      <c r="J2108" s="232"/>
      <c r="K2108" s="232"/>
      <c r="L2108" s="232"/>
      <c r="N2108" s="212">
        <f t="shared" si="37"/>
        <v>1502</v>
      </c>
    </row>
    <row r="2109" spans="1:14" ht="12" customHeight="1">
      <c r="A2109" s="3906"/>
      <c r="C2109" s="231"/>
      <c r="D2109" s="3900" t="s">
        <v>1927</v>
      </c>
      <c r="E2109" s="3901"/>
      <c r="F2109" s="3901"/>
      <c r="G2109" s="3901"/>
      <c r="H2109" s="3901"/>
      <c r="I2109" s="3901"/>
      <c r="J2109" s="232"/>
      <c r="K2109" s="232"/>
      <c r="L2109" s="232"/>
      <c r="N2109" s="212">
        <f t="shared" si="37"/>
        <v>1503</v>
      </c>
    </row>
    <row r="2110" spans="1:14" ht="12" customHeight="1">
      <c r="A2110" s="3906"/>
      <c r="C2110" s="231"/>
      <c r="D2110" s="3912"/>
      <c r="E2110" s="3913"/>
      <c r="F2110" s="3913"/>
      <c r="G2110" s="3913"/>
      <c r="H2110" s="3913"/>
      <c r="I2110" s="3913"/>
      <c r="J2110" s="232"/>
      <c r="K2110" s="232"/>
      <c r="L2110" s="232"/>
      <c r="N2110" s="212">
        <f t="shared" si="37"/>
        <v>1503</v>
      </c>
    </row>
    <row r="2111" spans="1:14" ht="12" customHeight="1">
      <c r="A2111" s="3906"/>
      <c r="C2111" s="231"/>
      <c r="D2111" s="3912" t="s">
        <v>2083</v>
      </c>
      <c r="E2111" s="3913"/>
      <c r="F2111" s="3913"/>
      <c r="G2111" s="3913"/>
      <c r="H2111" s="3913"/>
      <c r="I2111" s="3913"/>
      <c r="J2111" s="232"/>
      <c r="K2111" s="232"/>
      <c r="L2111" s="232"/>
      <c r="N2111" s="212">
        <f t="shared" si="37"/>
        <v>1504</v>
      </c>
    </row>
    <row r="2112" spans="1:14" ht="12" customHeight="1">
      <c r="A2112" s="3906"/>
      <c r="C2112" s="231"/>
      <c r="D2112" s="742"/>
      <c r="E2112" s="743"/>
      <c r="F2112" s="1714"/>
      <c r="G2112" s="743"/>
      <c r="H2112" s="743"/>
      <c r="I2112" s="743"/>
      <c r="J2112" s="232"/>
      <c r="K2112" s="232"/>
      <c r="L2112" s="232"/>
      <c r="N2112" s="212">
        <f t="shared" si="37"/>
        <v>1504</v>
      </c>
    </row>
    <row r="2113" spans="3:14" ht="12" customHeight="1">
      <c r="C2113" s="231"/>
      <c r="D2113" s="3912" t="s">
        <v>934</v>
      </c>
      <c r="E2113" s="3913"/>
      <c r="F2113" s="3913"/>
      <c r="G2113" s="3913"/>
      <c r="H2113" s="3913"/>
      <c r="I2113" s="3913"/>
      <c r="J2113" s="538"/>
      <c r="K2113" s="232"/>
      <c r="L2113" s="232"/>
      <c r="N2113" s="212">
        <f t="shared" si="37"/>
        <v>1505</v>
      </c>
    </row>
    <row r="2114" spans="3:14" ht="12" customHeight="1">
      <c r="C2114" s="231"/>
      <c r="D2114" s="3900" t="s">
        <v>935</v>
      </c>
      <c r="E2114" s="3901"/>
      <c r="F2114" s="3901"/>
      <c r="G2114" s="3901"/>
      <c r="H2114" s="3901"/>
      <c r="I2114" s="3901"/>
      <c r="J2114" s="538"/>
      <c r="K2114" s="232"/>
      <c r="L2114" s="232"/>
      <c r="N2114" s="212">
        <f t="shared" si="37"/>
        <v>1506</v>
      </c>
    </row>
    <row r="2115" spans="3:14" ht="12" customHeight="1">
      <c r="C2115" s="231"/>
      <c r="D2115" s="3900" t="s">
        <v>1929</v>
      </c>
      <c r="E2115" s="3900"/>
      <c r="F2115" s="3900"/>
      <c r="G2115" s="3900"/>
      <c r="H2115" s="3900"/>
      <c r="I2115" s="3900"/>
      <c r="J2115" s="3900"/>
      <c r="K2115" s="3900"/>
      <c r="L2115" s="232"/>
      <c r="N2115" s="212">
        <f t="shared" si="37"/>
        <v>1507</v>
      </c>
    </row>
    <row r="2116" spans="3:14" ht="12" customHeight="1">
      <c r="C2116" s="231"/>
      <c r="D2116" s="3900" t="s">
        <v>1930</v>
      </c>
      <c r="E2116" s="3901"/>
      <c r="F2116" s="3901"/>
      <c r="G2116" s="3901"/>
      <c r="H2116" s="3901"/>
      <c r="I2116" s="3901"/>
      <c r="J2116" s="538"/>
      <c r="K2116" s="232"/>
      <c r="L2116" s="232"/>
      <c r="N2116" s="212">
        <f t="shared" si="37"/>
        <v>1508</v>
      </c>
    </row>
    <row r="2117" spans="3:14" ht="12" customHeight="1">
      <c r="C2117" s="231"/>
      <c r="D2117" s="3900" t="s">
        <v>1931</v>
      </c>
      <c r="E2117" s="3900"/>
      <c r="F2117" s="3900"/>
      <c r="G2117" s="3900"/>
      <c r="H2117" s="3900"/>
      <c r="I2117" s="3900"/>
      <c r="J2117" s="3900"/>
      <c r="K2117" s="3900"/>
      <c r="L2117" s="232"/>
      <c r="N2117" s="212">
        <f t="shared" si="37"/>
        <v>1509</v>
      </c>
    </row>
    <row r="2118" spans="3:14" ht="12" customHeight="1">
      <c r="C2118" s="231"/>
      <c r="D2118" s="3900" t="s">
        <v>1932</v>
      </c>
      <c r="E2118" s="3900"/>
      <c r="F2118" s="3900"/>
      <c r="G2118" s="3900"/>
      <c r="H2118" s="3900"/>
      <c r="I2118" s="3900"/>
      <c r="J2118" s="3900"/>
      <c r="K2118" s="3900"/>
      <c r="L2118" s="232"/>
      <c r="N2118" s="212">
        <f t="shared" si="37"/>
        <v>1510</v>
      </c>
    </row>
    <row r="2119" spans="3:14" ht="12" customHeight="1">
      <c r="C2119" s="231"/>
      <c r="D2119" s="3900" t="s">
        <v>1933</v>
      </c>
      <c r="E2119" s="3901"/>
      <c r="F2119" s="3901"/>
      <c r="G2119" s="3901"/>
      <c r="H2119" s="3901"/>
      <c r="I2119" s="3901"/>
      <c r="J2119" s="538"/>
      <c r="K2119" s="232"/>
      <c r="L2119" s="232"/>
      <c r="N2119" s="212">
        <f t="shared" si="37"/>
        <v>1511</v>
      </c>
    </row>
    <row r="2120" spans="3:14" ht="12" customHeight="1">
      <c r="C2120" s="231"/>
      <c r="D2120" s="3900"/>
      <c r="E2120" s="3901"/>
      <c r="F2120" s="3901"/>
      <c r="G2120" s="3901"/>
      <c r="H2120" s="3901"/>
      <c r="I2120" s="3901"/>
      <c r="J2120" s="538"/>
      <c r="K2120" s="232"/>
      <c r="L2120" s="232"/>
      <c r="N2120" s="212">
        <f t="shared" si="37"/>
        <v>1511</v>
      </c>
    </row>
    <row r="2121" spans="3:14" ht="12" customHeight="1">
      <c r="C2121" s="231"/>
      <c r="D2121" s="3912" t="s">
        <v>1928</v>
      </c>
      <c r="E2121" s="3913"/>
      <c r="F2121" s="3913"/>
      <c r="G2121" s="3913"/>
      <c r="H2121" s="3913"/>
      <c r="I2121" s="3913"/>
      <c r="J2121" s="538"/>
      <c r="K2121" s="232"/>
      <c r="L2121" s="232"/>
      <c r="N2121" s="212">
        <f t="shared" si="37"/>
        <v>1512</v>
      </c>
    </row>
    <row r="2122" spans="3:14" ht="12" customHeight="1">
      <c r="C2122" s="231"/>
      <c r="D2122" s="3900" t="s">
        <v>1934</v>
      </c>
      <c r="E2122" s="3901"/>
      <c r="F2122" s="3901"/>
      <c r="G2122" s="3901"/>
      <c r="H2122" s="3901"/>
      <c r="I2122" s="3901"/>
      <c r="J2122" s="538"/>
      <c r="K2122" s="232"/>
      <c r="L2122" s="232"/>
      <c r="N2122" s="212">
        <f t="shared" si="37"/>
        <v>1513</v>
      </c>
    </row>
    <row r="2123" spans="3:14" ht="12" customHeight="1">
      <c r="C2123" s="231"/>
      <c r="D2123" s="3900" t="s">
        <v>936</v>
      </c>
      <c r="E2123" s="3901"/>
      <c r="F2123" s="3901"/>
      <c r="G2123" s="3901"/>
      <c r="H2123" s="3901"/>
      <c r="I2123" s="3901"/>
      <c r="J2123" s="538"/>
      <c r="K2123" s="232"/>
      <c r="L2123" s="232"/>
      <c r="N2123" s="212">
        <f t="shared" si="37"/>
        <v>1514</v>
      </c>
    </row>
    <row r="2124" spans="3:14" ht="12" customHeight="1">
      <c r="C2124" s="231"/>
      <c r="D2124" s="3900" t="s">
        <v>1935</v>
      </c>
      <c r="E2124" s="3900"/>
      <c r="F2124" s="3900"/>
      <c r="G2124" s="3900"/>
      <c r="H2124" s="3900"/>
      <c r="I2124" s="3900"/>
      <c r="J2124" s="3900"/>
      <c r="K2124" s="3900"/>
      <c r="L2124" s="232"/>
      <c r="N2124" s="212">
        <f t="shared" si="37"/>
        <v>1515</v>
      </c>
    </row>
    <row r="2125" spans="3:14" ht="12" customHeight="1">
      <c r="C2125" s="231"/>
      <c r="D2125" s="3912" t="s">
        <v>1936</v>
      </c>
      <c r="E2125" s="3913"/>
      <c r="F2125" s="3913"/>
      <c r="G2125" s="3913"/>
      <c r="H2125" s="3913"/>
      <c r="I2125" s="3913"/>
      <c r="J2125" s="538"/>
      <c r="K2125" s="232"/>
      <c r="L2125" s="232"/>
      <c r="N2125" s="212">
        <f t="shared" si="37"/>
        <v>1516</v>
      </c>
    </row>
    <row r="2126" spans="3:14" ht="12" customHeight="1">
      <c r="C2126" s="231"/>
      <c r="D2126" s="3912" t="s">
        <v>1937</v>
      </c>
      <c r="E2126" s="3913"/>
      <c r="F2126" s="3913"/>
      <c r="G2126" s="3913"/>
      <c r="H2126" s="3913"/>
      <c r="I2126" s="3913"/>
      <c r="J2126" s="538"/>
      <c r="K2126" s="232"/>
      <c r="L2126" s="232"/>
      <c r="N2126" s="212">
        <f t="shared" si="37"/>
        <v>1517</v>
      </c>
    </row>
    <row r="2127" spans="3:14" ht="12" customHeight="1">
      <c r="C2127" s="231"/>
      <c r="D2127" s="3904"/>
      <c r="E2127" s="3905"/>
      <c r="F2127" s="3905"/>
      <c r="G2127" s="3905"/>
      <c r="H2127" s="3905"/>
      <c r="I2127" s="3905"/>
      <c r="J2127" s="232"/>
      <c r="K2127" s="232"/>
      <c r="L2127" s="232"/>
      <c r="N2127" s="212">
        <f t="shared" si="37"/>
        <v>1517</v>
      </c>
    </row>
    <row r="2128" spans="3:14" ht="12" customHeight="1">
      <c r="C2128" s="231"/>
      <c r="D2128" s="3912" t="s">
        <v>1940</v>
      </c>
      <c r="E2128" s="3912"/>
      <c r="F2128" s="3912"/>
      <c r="G2128" s="3912"/>
      <c r="H2128" s="3912"/>
      <c r="I2128" s="3912"/>
      <c r="J2128" s="3912"/>
      <c r="K2128" s="3912"/>
      <c r="L2128" s="232"/>
      <c r="N2128" s="212">
        <f t="shared" si="37"/>
        <v>1518</v>
      </c>
    </row>
    <row r="2129" spans="3:14" ht="12" customHeight="1">
      <c r="C2129" s="231"/>
      <c r="D2129" s="3912" t="s">
        <v>1941</v>
      </c>
      <c r="E2129" s="3913"/>
      <c r="F2129" s="3913"/>
      <c r="G2129" s="3913"/>
      <c r="H2129" s="3913"/>
      <c r="I2129" s="3913"/>
      <c r="J2129" s="232"/>
      <c r="K2129" s="232"/>
      <c r="L2129" s="232"/>
      <c r="N2129" s="212">
        <f t="shared" si="37"/>
        <v>1519</v>
      </c>
    </row>
    <row r="2130" spans="3:14" ht="12" customHeight="1">
      <c r="C2130" s="231"/>
      <c r="D2130" s="3912" t="s">
        <v>1942</v>
      </c>
      <c r="E2130" s="3913"/>
      <c r="F2130" s="3913"/>
      <c r="G2130" s="3913"/>
      <c r="H2130" s="3913"/>
      <c r="I2130" s="3913"/>
      <c r="J2130" s="232"/>
      <c r="K2130" s="232"/>
      <c r="L2130" s="232"/>
      <c r="N2130" s="212">
        <f t="shared" si="37"/>
        <v>1520</v>
      </c>
    </row>
    <row r="2131" spans="3:14" ht="12" customHeight="1">
      <c r="C2131" s="231"/>
      <c r="D2131" s="3912"/>
      <c r="E2131" s="3913"/>
      <c r="F2131" s="3913"/>
      <c r="G2131" s="3913"/>
      <c r="H2131" s="3913"/>
      <c r="I2131" s="3913"/>
      <c r="J2131" s="232"/>
      <c r="K2131" s="232"/>
      <c r="L2131" s="232"/>
      <c r="N2131" s="212">
        <f t="shared" si="37"/>
        <v>1520</v>
      </c>
    </row>
    <row r="2132" spans="3:14" ht="12" customHeight="1">
      <c r="C2132" s="231"/>
      <c r="D2132" s="3912" t="s">
        <v>1946</v>
      </c>
      <c r="E2132" s="3913"/>
      <c r="F2132" s="3913"/>
      <c r="G2132" s="3913"/>
      <c r="H2132" s="3913"/>
      <c r="I2132" s="3913"/>
      <c r="J2132" s="232"/>
      <c r="K2132" s="232"/>
      <c r="L2132" s="232"/>
      <c r="N2132" s="212">
        <f t="shared" si="37"/>
        <v>1521</v>
      </c>
    </row>
    <row r="2133" spans="3:14" ht="12" customHeight="1">
      <c r="C2133" s="231"/>
      <c r="D2133" s="3900" t="s">
        <v>1947</v>
      </c>
      <c r="E2133" s="3901"/>
      <c r="F2133" s="3901"/>
      <c r="G2133" s="3901"/>
      <c r="H2133" s="3901"/>
      <c r="I2133" s="3901"/>
      <c r="J2133" s="232"/>
      <c r="K2133" s="232"/>
      <c r="L2133" s="232"/>
      <c r="N2133" s="212">
        <f t="shared" si="37"/>
        <v>1522</v>
      </c>
    </row>
    <row r="2134" spans="3:14" ht="12" customHeight="1">
      <c r="C2134" s="231"/>
      <c r="D2134" s="3901" t="s">
        <v>1948</v>
      </c>
      <c r="E2134" s="3901"/>
      <c r="F2134" s="3901"/>
      <c r="G2134" s="3901"/>
      <c r="H2134" s="3901"/>
      <c r="I2134" s="3901"/>
      <c r="J2134" s="232"/>
      <c r="K2134" s="232"/>
      <c r="L2134" s="232"/>
      <c r="N2134" s="212" t="e">
        <f>IF(#REF!="",N2133,N2133+1)</f>
        <v>#REF!</v>
      </c>
    </row>
    <row r="2135" spans="3:14" ht="12" customHeight="1">
      <c r="C2135" s="231"/>
      <c r="D2135" s="3912"/>
      <c r="E2135" s="3913"/>
      <c r="F2135" s="3913"/>
      <c r="G2135" s="3913"/>
      <c r="H2135" s="3913"/>
      <c r="I2135" s="3913"/>
      <c r="J2135" s="232"/>
      <c r="K2135" s="232"/>
      <c r="L2135" s="232"/>
      <c r="N2135" s="212">
        <f>IF(D2135="",N2133,N2133+1)</f>
        <v>1522</v>
      </c>
    </row>
    <row r="2136" spans="3:14" ht="12" customHeight="1">
      <c r="C2136" s="231"/>
      <c r="D2136" s="3912" t="s">
        <v>1938</v>
      </c>
      <c r="E2136" s="3913"/>
      <c r="F2136" s="3913"/>
      <c r="G2136" s="3913"/>
      <c r="H2136" s="3913"/>
      <c r="I2136" s="3913"/>
      <c r="J2136" s="232"/>
      <c r="K2136" s="232"/>
      <c r="L2136" s="232"/>
      <c r="N2136" s="212">
        <f t="shared" si="37"/>
        <v>1523</v>
      </c>
    </row>
    <row r="2137" spans="3:14" ht="12" customHeight="1">
      <c r="C2137" s="231"/>
      <c r="D2137" s="3900" t="s">
        <v>1943</v>
      </c>
      <c r="E2137" s="3901"/>
      <c r="F2137" s="3901"/>
      <c r="G2137" s="3901"/>
      <c r="H2137" s="3901"/>
      <c r="I2137" s="3901"/>
      <c r="J2137" s="232"/>
      <c r="K2137" s="232"/>
      <c r="L2137" s="232"/>
      <c r="N2137" s="212">
        <f t="shared" si="37"/>
        <v>1524</v>
      </c>
    </row>
    <row r="2138" spans="3:14" ht="12" customHeight="1">
      <c r="C2138" s="231"/>
      <c r="D2138" s="3912" t="s">
        <v>1944</v>
      </c>
      <c r="E2138" s="3913"/>
      <c r="F2138" s="3913"/>
      <c r="G2138" s="3913"/>
      <c r="H2138" s="3913"/>
      <c r="I2138" s="3913"/>
      <c r="J2138" s="232"/>
      <c r="K2138" s="232"/>
      <c r="L2138" s="232"/>
      <c r="N2138" s="212">
        <f t="shared" si="37"/>
        <v>1525</v>
      </c>
    </row>
    <row r="2139" spans="3:14" ht="12" customHeight="1">
      <c r="C2139" s="231"/>
      <c r="D2139" s="3912" t="s">
        <v>1945</v>
      </c>
      <c r="E2139" s="3913"/>
      <c r="F2139" s="3913"/>
      <c r="G2139" s="3913"/>
      <c r="H2139" s="3913"/>
      <c r="I2139" s="3913"/>
      <c r="J2139" s="232"/>
      <c r="K2139" s="232"/>
      <c r="L2139" s="232"/>
      <c r="N2139" s="212">
        <f t="shared" si="37"/>
        <v>1526</v>
      </c>
    </row>
    <row r="2140" spans="3:14" ht="12" customHeight="1">
      <c r="C2140" s="231"/>
      <c r="D2140" s="3912"/>
      <c r="E2140" s="3913"/>
      <c r="F2140" s="3913"/>
      <c r="G2140" s="3913"/>
      <c r="H2140" s="3913"/>
      <c r="I2140" s="3913"/>
      <c r="J2140" s="232"/>
      <c r="K2140" s="232"/>
      <c r="L2140" s="232"/>
      <c r="N2140" s="212">
        <f t="shared" si="37"/>
        <v>1526</v>
      </c>
    </row>
    <row r="2141" spans="3:14" ht="12" customHeight="1">
      <c r="C2141" s="231"/>
      <c r="D2141" s="3912" t="s">
        <v>1939</v>
      </c>
      <c r="E2141" s="3913"/>
      <c r="F2141" s="3913"/>
      <c r="G2141" s="3913"/>
      <c r="H2141" s="3913"/>
      <c r="I2141" s="3913"/>
      <c r="J2141" s="232"/>
      <c r="K2141" s="232"/>
      <c r="L2141" s="232"/>
      <c r="N2141" s="212">
        <f t="shared" si="37"/>
        <v>1527</v>
      </c>
    </row>
    <row r="2142" spans="3:14" ht="12" customHeight="1">
      <c r="C2142" s="231"/>
      <c r="D2142" s="3904"/>
      <c r="E2142" s="3905"/>
      <c r="F2142" s="3905"/>
      <c r="G2142" s="3905"/>
      <c r="H2142" s="3905"/>
      <c r="I2142" s="3905"/>
      <c r="J2142" s="232"/>
      <c r="K2142" s="232"/>
      <c r="L2142" s="232"/>
      <c r="N2142" s="212">
        <f t="shared" si="37"/>
        <v>1527</v>
      </c>
    </row>
    <row r="2143" spans="3:14" ht="12" customHeight="1">
      <c r="C2143" s="231"/>
      <c r="D2143" s="3912" t="s">
        <v>1950</v>
      </c>
      <c r="E2143" s="3913"/>
      <c r="F2143" s="3913"/>
      <c r="G2143" s="3913"/>
      <c r="H2143" s="3913"/>
      <c r="I2143" s="3913"/>
      <c r="J2143" s="232"/>
      <c r="K2143" s="232"/>
      <c r="L2143" s="232"/>
      <c r="N2143" s="212">
        <f t="shared" si="37"/>
        <v>1528</v>
      </c>
    </row>
    <row r="2144" spans="3:14" ht="12" customHeight="1">
      <c r="C2144" s="231"/>
      <c r="D2144" s="3912"/>
      <c r="E2144" s="3913"/>
      <c r="F2144" s="3913"/>
      <c r="G2144" s="3913"/>
      <c r="H2144" s="3913"/>
      <c r="I2144" s="3913"/>
      <c r="J2144" s="232"/>
      <c r="K2144" s="232"/>
      <c r="L2144" s="232"/>
      <c r="N2144" s="212">
        <f t="shared" si="37"/>
        <v>1528</v>
      </c>
    </row>
    <row r="2145" spans="3:14" ht="12" customHeight="1">
      <c r="C2145" s="231"/>
      <c r="D2145" s="3912" t="s">
        <v>2182</v>
      </c>
      <c r="E2145" s="3912"/>
      <c r="F2145" s="3912"/>
      <c r="G2145" s="3912"/>
      <c r="H2145" s="3912"/>
      <c r="I2145" s="3912"/>
      <c r="J2145" s="3912"/>
      <c r="K2145" s="3912"/>
      <c r="L2145" s="232"/>
      <c r="N2145" s="212">
        <f t="shared" si="37"/>
        <v>1529</v>
      </c>
    </row>
    <row r="2146" spans="3:14" ht="12" customHeight="1">
      <c r="C2146" s="231"/>
      <c r="D2146" s="3900" t="s">
        <v>2183</v>
      </c>
      <c r="E2146" s="3901"/>
      <c r="F2146" s="3901"/>
      <c r="G2146" s="3901"/>
      <c r="H2146" s="3901"/>
      <c r="I2146" s="3901"/>
      <c r="J2146" s="232"/>
      <c r="K2146" s="232"/>
      <c r="L2146" s="232"/>
      <c r="N2146" s="212">
        <f t="shared" si="37"/>
        <v>1530</v>
      </c>
    </row>
    <row r="2147" spans="3:14" ht="12" customHeight="1">
      <c r="C2147" s="231"/>
      <c r="D2147" s="3912"/>
      <c r="E2147" s="3913"/>
      <c r="F2147" s="3913"/>
      <c r="G2147" s="3913"/>
      <c r="H2147" s="3913"/>
      <c r="I2147" s="3913"/>
      <c r="J2147" s="232"/>
      <c r="K2147" s="232"/>
      <c r="L2147" s="232"/>
      <c r="N2147" s="212">
        <f>IF(D2147="",N2146,N2146+1)</f>
        <v>1530</v>
      </c>
    </row>
    <row r="2148" spans="3:14" ht="12" customHeight="1">
      <c r="C2148" s="231"/>
      <c r="D2148" s="3912" t="s">
        <v>1951</v>
      </c>
      <c r="E2148" s="3913"/>
      <c r="F2148" s="3913"/>
      <c r="G2148" s="3913"/>
      <c r="H2148" s="3913"/>
      <c r="I2148" s="3913"/>
      <c r="J2148" s="232"/>
      <c r="K2148" s="232"/>
      <c r="L2148" s="232"/>
      <c r="N2148" s="212">
        <f t="shared" si="37"/>
        <v>1531</v>
      </c>
    </row>
    <row r="2149" spans="3:14" ht="12" customHeight="1">
      <c r="C2149" s="231"/>
      <c r="D2149" s="3912" t="s">
        <v>1949</v>
      </c>
      <c r="E2149" s="3912"/>
      <c r="F2149" s="3912"/>
      <c r="G2149" s="3912"/>
      <c r="H2149" s="3912"/>
      <c r="I2149" s="3912"/>
      <c r="J2149" s="3912"/>
      <c r="K2149" s="3912"/>
      <c r="L2149" s="232"/>
      <c r="N2149" s="212">
        <f t="shared" si="37"/>
        <v>1532</v>
      </c>
    </row>
    <row r="2150" spans="3:14" ht="12" customHeight="1">
      <c r="C2150" s="231"/>
      <c r="D2150" s="3912" t="s">
        <v>1952</v>
      </c>
      <c r="E2150" s="3912"/>
      <c r="F2150" s="3912"/>
      <c r="G2150" s="3912"/>
      <c r="H2150" s="3912"/>
      <c r="I2150" s="3912"/>
      <c r="J2150" s="3912"/>
      <c r="K2150" s="3912"/>
      <c r="L2150" s="232"/>
      <c r="N2150" s="212">
        <f t="shared" si="37"/>
        <v>1533</v>
      </c>
    </row>
    <row r="2151" spans="3:14" ht="12" customHeight="1">
      <c r="C2151" s="231"/>
      <c r="D2151" s="3900" t="s">
        <v>1953</v>
      </c>
      <c r="E2151" s="3901"/>
      <c r="F2151" s="3901"/>
      <c r="G2151" s="3901"/>
      <c r="H2151" s="3901"/>
      <c r="I2151" s="3901"/>
      <c r="J2151" s="232"/>
      <c r="K2151" s="232"/>
      <c r="L2151" s="232"/>
      <c r="N2151" s="212">
        <f t="shared" si="37"/>
        <v>1534</v>
      </c>
    </row>
    <row r="2152" spans="3:14" ht="12" customHeight="1">
      <c r="C2152" s="231"/>
      <c r="D2152" s="3912"/>
      <c r="E2152" s="3913"/>
      <c r="F2152" s="3913"/>
      <c r="G2152" s="3913"/>
      <c r="H2152" s="3913"/>
      <c r="I2152" s="3913"/>
      <c r="J2152" s="232"/>
      <c r="K2152" s="232"/>
      <c r="L2152" s="232"/>
      <c r="N2152" s="212">
        <f t="shared" si="37"/>
        <v>1534</v>
      </c>
    </row>
    <row r="2153" spans="3:14" ht="12" customHeight="1">
      <c r="C2153" s="231"/>
      <c r="D2153" s="3912"/>
      <c r="E2153" s="3913"/>
      <c r="F2153" s="3913"/>
      <c r="G2153" s="3913"/>
      <c r="H2153" s="3913"/>
      <c r="I2153" s="3913"/>
      <c r="J2153" s="232"/>
      <c r="K2153" s="232"/>
      <c r="L2153" s="232"/>
      <c r="N2153" s="212">
        <f t="shared" si="37"/>
        <v>1534</v>
      </c>
    </row>
    <row r="2154" spans="3:14" ht="12" customHeight="1">
      <c r="C2154" s="231"/>
      <c r="D2154" s="3912" t="s">
        <v>1954</v>
      </c>
      <c r="E2154" s="3913"/>
      <c r="F2154" s="3913"/>
      <c r="G2154" s="3913"/>
      <c r="H2154" s="3913"/>
      <c r="I2154" s="3913"/>
      <c r="J2154" s="232"/>
      <c r="K2154" s="232"/>
      <c r="L2154" s="232"/>
      <c r="N2154" s="212">
        <f t="shared" ref="N2154:N2237" si="38">IF(D2154="",N2153,N2153+1)</f>
        <v>1535</v>
      </c>
    </row>
    <row r="2155" spans="3:14" ht="12" customHeight="1">
      <c r="C2155" s="231"/>
      <c r="D2155" s="3900" t="s">
        <v>1955</v>
      </c>
      <c r="E2155" s="3900"/>
      <c r="F2155" s="3900"/>
      <c r="G2155" s="3900"/>
      <c r="H2155" s="3900"/>
      <c r="I2155" s="3900"/>
      <c r="J2155" s="3900"/>
      <c r="K2155" s="3900"/>
      <c r="L2155" s="232"/>
      <c r="N2155" s="212">
        <f t="shared" si="38"/>
        <v>1536</v>
      </c>
    </row>
    <row r="2156" spans="3:14" ht="12" customHeight="1">
      <c r="C2156" s="231"/>
      <c r="D2156" s="3900" t="s">
        <v>1956</v>
      </c>
      <c r="E2156" s="3901"/>
      <c r="F2156" s="3901"/>
      <c r="G2156" s="3901"/>
      <c r="H2156" s="3901"/>
      <c r="I2156" s="3901"/>
      <c r="J2156" s="232"/>
      <c r="K2156" s="232"/>
      <c r="L2156" s="232"/>
      <c r="N2156" s="212">
        <f t="shared" si="38"/>
        <v>1537</v>
      </c>
    </row>
    <row r="2157" spans="3:14" ht="12" customHeight="1">
      <c r="C2157" s="231"/>
      <c r="D2157" s="3904"/>
      <c r="E2157" s="3905"/>
      <c r="F2157" s="3905"/>
      <c r="G2157" s="3905"/>
      <c r="H2157" s="3905"/>
      <c r="I2157" s="3905"/>
      <c r="J2157" s="232"/>
      <c r="K2157" s="232"/>
      <c r="L2157" s="232"/>
      <c r="N2157" s="212">
        <f t="shared" si="38"/>
        <v>1537</v>
      </c>
    </row>
    <row r="2158" spans="3:14" ht="12" customHeight="1">
      <c r="C2158" s="231"/>
      <c r="D2158" s="3912" t="s">
        <v>1957</v>
      </c>
      <c r="E2158" s="3912"/>
      <c r="F2158" s="3912"/>
      <c r="G2158" s="3912"/>
      <c r="H2158" s="3912"/>
      <c r="I2158" s="3912"/>
      <c r="J2158" s="3912"/>
      <c r="K2158" s="3912"/>
      <c r="L2158" s="232"/>
      <c r="N2158" s="212">
        <f t="shared" si="38"/>
        <v>1538</v>
      </c>
    </row>
    <row r="2159" spans="3:14" ht="12" customHeight="1">
      <c r="C2159" s="231"/>
      <c r="D2159" s="3900" t="s">
        <v>1958</v>
      </c>
      <c r="E2159" s="3901"/>
      <c r="F2159" s="3901"/>
      <c r="G2159" s="3901"/>
      <c r="H2159" s="3901"/>
      <c r="I2159" s="3901"/>
      <c r="J2159" s="232"/>
      <c r="K2159" s="232"/>
      <c r="L2159" s="232"/>
      <c r="N2159" s="212">
        <f t="shared" si="38"/>
        <v>1539</v>
      </c>
    </row>
    <row r="2160" spans="3:14" ht="12" customHeight="1">
      <c r="C2160" s="231"/>
      <c r="D2160" s="3912" t="s">
        <v>1959</v>
      </c>
      <c r="E2160" s="3913"/>
      <c r="F2160" s="3913"/>
      <c r="G2160" s="3913"/>
      <c r="H2160" s="3913"/>
      <c r="I2160" s="3913"/>
      <c r="J2160" s="232"/>
      <c r="K2160" s="232"/>
      <c r="L2160" s="232"/>
      <c r="N2160" s="212">
        <f t="shared" si="38"/>
        <v>1540</v>
      </c>
    </row>
    <row r="2161" spans="1:14" ht="12" customHeight="1">
      <c r="C2161" s="231"/>
      <c r="D2161" s="3912" t="s">
        <v>1960</v>
      </c>
      <c r="E2161" s="3912"/>
      <c r="F2161" s="3912"/>
      <c r="G2161" s="3912"/>
      <c r="H2161" s="3912"/>
      <c r="I2161" s="3912"/>
      <c r="J2161" s="232"/>
      <c r="K2161" s="232"/>
      <c r="L2161" s="232"/>
      <c r="N2161" s="212">
        <f t="shared" si="38"/>
        <v>1541</v>
      </c>
    </row>
    <row r="2162" spans="1:14" ht="12" customHeight="1">
      <c r="C2162" s="231"/>
      <c r="D2162" s="3912"/>
      <c r="E2162" s="3913"/>
      <c r="F2162" s="3913"/>
      <c r="G2162" s="3913"/>
      <c r="H2162" s="3913"/>
      <c r="I2162" s="3913"/>
      <c r="J2162" s="232"/>
      <c r="K2162" s="232"/>
      <c r="L2162" s="232"/>
      <c r="N2162" s="212">
        <f>IF(D2162="",N2160,N2160+1)</f>
        <v>1540</v>
      </c>
    </row>
    <row r="2163" spans="1:14" ht="12" customHeight="1" thickBot="1">
      <c r="C2163" s="231"/>
      <c r="D2163" s="3912" t="s">
        <v>1961</v>
      </c>
      <c r="E2163" s="3913"/>
      <c r="F2163" s="3913"/>
      <c r="G2163" s="3913"/>
      <c r="H2163" s="3913"/>
      <c r="I2163" s="3913"/>
      <c r="J2163" s="232"/>
      <c r="K2163" s="232"/>
      <c r="L2163" s="232"/>
      <c r="N2163" s="212">
        <f t="shared" si="38"/>
        <v>1541</v>
      </c>
    </row>
    <row r="2164" spans="1:14" ht="12" customHeight="1" thickBot="1">
      <c r="C2164" s="231"/>
      <c r="D2164" s="3900" t="s">
        <v>1083</v>
      </c>
      <c r="E2164" s="3901"/>
      <c r="F2164" s="3901"/>
      <c r="G2164" s="3901"/>
      <c r="H2164" s="3901"/>
      <c r="I2164" s="3901"/>
      <c r="J2164" s="232"/>
      <c r="K2164" s="197" t="s">
        <v>551</v>
      </c>
      <c r="L2164" s="232"/>
      <c r="N2164" s="212">
        <f t="shared" si="38"/>
        <v>1542</v>
      </c>
    </row>
    <row r="2165" spans="1:14" ht="12" customHeight="1">
      <c r="C2165" s="231"/>
      <c r="D2165" s="3904"/>
      <c r="E2165" s="3905"/>
      <c r="F2165" s="3905"/>
      <c r="G2165" s="3905"/>
      <c r="H2165" s="3905"/>
      <c r="I2165" s="3905"/>
      <c r="J2165" s="232"/>
      <c r="K2165" s="232"/>
      <c r="L2165" s="232"/>
      <c r="N2165" s="212">
        <f t="shared" si="38"/>
        <v>1542</v>
      </c>
    </row>
    <row r="2166" spans="1:14" ht="12" customHeight="1">
      <c r="A2166" s="3906"/>
      <c r="C2166" s="231"/>
      <c r="D2166" s="3904"/>
      <c r="E2166" s="3905"/>
      <c r="F2166" s="3905"/>
      <c r="G2166" s="3905"/>
      <c r="H2166" s="3905"/>
      <c r="I2166" s="3905"/>
      <c r="J2166" s="232"/>
      <c r="K2166" s="232"/>
      <c r="L2166" s="232"/>
      <c r="N2166" s="212">
        <f t="shared" si="38"/>
        <v>1542</v>
      </c>
    </row>
    <row r="2167" spans="1:14" ht="12" customHeight="1">
      <c r="A2167" s="3906"/>
      <c r="C2167" s="3909" t="s">
        <v>2274</v>
      </c>
      <c r="D2167" s="3909"/>
      <c r="E2167" s="3909"/>
      <c r="F2167" s="3909"/>
      <c r="G2167" s="3909"/>
      <c r="H2167" s="3909"/>
      <c r="I2167" s="3909"/>
      <c r="J2167" s="232"/>
      <c r="K2167" s="232"/>
      <c r="L2167" s="232"/>
      <c r="N2167" s="212">
        <f>IF(C2167="",N2166,N2166+1)</f>
        <v>1543</v>
      </c>
    </row>
    <row r="2168" spans="1:14" ht="12" customHeight="1">
      <c r="A2168" s="3906"/>
      <c r="C2168" s="231"/>
      <c r="D2168" s="3921"/>
      <c r="E2168" s="3921"/>
      <c r="F2168" s="3921"/>
      <c r="G2168" s="3921"/>
      <c r="H2168" s="3921"/>
      <c r="I2168" s="3921"/>
      <c r="J2168" s="232"/>
      <c r="K2168" s="232"/>
      <c r="L2168" s="232"/>
      <c r="N2168" s="212">
        <f t="shared" si="38"/>
        <v>1543</v>
      </c>
    </row>
    <row r="2169" spans="1:14" ht="12" customHeight="1">
      <c r="A2169" s="3906"/>
      <c r="C2169" s="231"/>
      <c r="D2169" s="3910" t="s">
        <v>2256</v>
      </c>
      <c r="E2169" s="3910"/>
      <c r="F2169" s="3910"/>
      <c r="G2169" s="3910"/>
      <c r="H2169" s="3910"/>
      <c r="I2169" s="3910"/>
      <c r="J2169" s="3910"/>
      <c r="K2169" s="232"/>
      <c r="L2169" s="232"/>
      <c r="N2169" s="212">
        <f t="shared" si="38"/>
        <v>1544</v>
      </c>
    </row>
    <row r="2170" spans="1:14" ht="12" customHeight="1">
      <c r="A2170" s="3906"/>
      <c r="C2170" s="231"/>
      <c r="D2170" s="3910" t="s">
        <v>2257</v>
      </c>
      <c r="E2170" s="3910"/>
      <c r="F2170" s="3910"/>
      <c r="G2170" s="3910"/>
      <c r="H2170" s="3910"/>
      <c r="I2170" s="3910"/>
      <c r="J2170" s="3910"/>
      <c r="K2170" s="232"/>
      <c r="L2170" s="232"/>
      <c r="N2170" s="212">
        <f t="shared" si="38"/>
        <v>1545</v>
      </c>
    </row>
    <row r="2171" spans="1:14" ht="12" customHeight="1">
      <c r="A2171" s="3906"/>
      <c r="C2171" s="231"/>
      <c r="D2171" s="3910" t="s">
        <v>2273</v>
      </c>
      <c r="E2171" s="3910"/>
      <c r="F2171" s="3910"/>
      <c r="G2171" s="3910"/>
      <c r="H2171" s="3910"/>
      <c r="I2171" s="3910"/>
      <c r="J2171" s="3910"/>
      <c r="K2171" s="232"/>
      <c r="L2171" s="232"/>
      <c r="N2171" s="212">
        <f t="shared" si="38"/>
        <v>1546</v>
      </c>
    </row>
    <row r="2172" spans="1:14" ht="12" customHeight="1">
      <c r="A2172" s="3906"/>
      <c r="C2172" s="231"/>
      <c r="D2172" s="3910" t="s">
        <v>2272</v>
      </c>
      <c r="E2172" s="3910"/>
      <c r="F2172" s="3910"/>
      <c r="G2172" s="3910"/>
      <c r="H2172" s="3910"/>
      <c r="I2172" s="3910"/>
      <c r="J2172" s="3910"/>
      <c r="K2172" s="232"/>
      <c r="L2172" s="232"/>
      <c r="N2172" s="212">
        <f t="shared" si="38"/>
        <v>1547</v>
      </c>
    </row>
    <row r="2173" spans="1:14" ht="12" customHeight="1">
      <c r="A2173" s="3906"/>
      <c r="C2173" s="231"/>
      <c r="D2173" s="3910" t="s">
        <v>2266</v>
      </c>
      <c r="E2173" s="3910"/>
      <c r="F2173" s="3910"/>
      <c r="G2173" s="3910"/>
      <c r="H2173" s="3910"/>
      <c r="I2173" s="3910"/>
      <c r="J2173" s="3910"/>
      <c r="K2173" s="232"/>
      <c r="L2173" s="232"/>
      <c r="N2173" s="212">
        <f t="shared" si="38"/>
        <v>1548</v>
      </c>
    </row>
    <row r="2174" spans="1:14" ht="12" customHeight="1">
      <c r="A2174" s="3906"/>
      <c r="C2174" s="231"/>
      <c r="D2174" s="3910" t="s">
        <v>2267</v>
      </c>
      <c r="E2174" s="3910"/>
      <c r="F2174" s="3910"/>
      <c r="G2174" s="3910"/>
      <c r="H2174" s="3910"/>
      <c r="I2174" s="3910"/>
      <c r="J2174" s="3910"/>
      <c r="K2174" s="232"/>
      <c r="L2174" s="232"/>
      <c r="N2174" s="212">
        <f t="shared" si="38"/>
        <v>1549</v>
      </c>
    </row>
    <row r="2175" spans="1:14" ht="12" customHeight="1">
      <c r="A2175" s="3906"/>
      <c r="C2175" s="231"/>
      <c r="D2175" s="855"/>
      <c r="E2175" s="855"/>
      <c r="F2175" s="1715"/>
      <c r="G2175" s="855"/>
      <c r="H2175" s="855"/>
      <c r="I2175" s="855"/>
      <c r="J2175" s="855"/>
      <c r="K2175" s="232"/>
      <c r="L2175" s="232"/>
      <c r="N2175" s="212">
        <f t="shared" si="38"/>
        <v>1549</v>
      </c>
    </row>
    <row r="2176" spans="1:14" ht="12" customHeight="1">
      <c r="A2176" s="3906"/>
      <c r="C2176" s="231"/>
      <c r="D2176" s="3911" t="s">
        <v>2278</v>
      </c>
      <c r="E2176" s="3911"/>
      <c r="F2176" s="3911"/>
      <c r="G2176" s="3911"/>
      <c r="H2176" s="3911"/>
      <c r="I2176" s="3911"/>
      <c r="J2176" s="3911"/>
      <c r="K2176" s="232"/>
      <c r="L2176" s="232"/>
      <c r="N2176" s="212">
        <f>IF(D2176="",N2174,N2174+1)</f>
        <v>1550</v>
      </c>
    </row>
    <row r="2177" spans="1:14" ht="12" customHeight="1">
      <c r="A2177" s="3906"/>
      <c r="C2177" s="231"/>
      <c r="D2177" s="3911" t="s">
        <v>2277</v>
      </c>
      <c r="E2177" s="3911"/>
      <c r="F2177" s="3911"/>
      <c r="G2177" s="3911"/>
      <c r="H2177" s="3911"/>
      <c r="I2177" s="3911"/>
      <c r="J2177" s="3911"/>
      <c r="K2177" s="232"/>
      <c r="L2177" s="232"/>
      <c r="N2177" s="212">
        <f t="shared" si="38"/>
        <v>1551</v>
      </c>
    </row>
    <row r="2178" spans="1:14" ht="12" customHeight="1">
      <c r="A2178" s="3906"/>
      <c r="C2178" s="231"/>
      <c r="D2178" s="3911" t="s">
        <v>2276</v>
      </c>
      <c r="E2178" s="3911"/>
      <c r="F2178" s="3911"/>
      <c r="G2178" s="3911"/>
      <c r="H2178" s="3911"/>
      <c r="I2178" s="3911"/>
      <c r="J2178" s="3911"/>
      <c r="K2178" s="232"/>
      <c r="L2178" s="232"/>
      <c r="N2178" s="212">
        <f t="shared" si="38"/>
        <v>1552</v>
      </c>
    </row>
    <row r="2179" spans="1:14" ht="12" customHeight="1">
      <c r="A2179" s="3906"/>
      <c r="C2179" s="231"/>
      <c r="D2179" s="3911" t="s">
        <v>2270</v>
      </c>
      <c r="E2179" s="3911"/>
      <c r="F2179" s="3911"/>
      <c r="G2179" s="3911"/>
      <c r="H2179" s="3911"/>
      <c r="I2179" s="3911"/>
      <c r="J2179" s="3911"/>
      <c r="K2179" s="232"/>
      <c r="L2179" s="232"/>
      <c r="N2179" s="212">
        <f t="shared" si="38"/>
        <v>1553</v>
      </c>
    </row>
    <row r="2180" spans="1:14" ht="12" customHeight="1">
      <c r="A2180" s="3906"/>
      <c r="C2180" s="231"/>
      <c r="D2180" s="3911" t="s">
        <v>2275</v>
      </c>
      <c r="E2180" s="3911"/>
      <c r="F2180" s="3911"/>
      <c r="G2180" s="3911"/>
      <c r="H2180" s="3911"/>
      <c r="I2180" s="3911"/>
      <c r="J2180" s="3911"/>
      <c r="K2180" s="232"/>
      <c r="L2180" s="232"/>
      <c r="N2180" s="212">
        <f t="shared" si="38"/>
        <v>1554</v>
      </c>
    </row>
    <row r="2181" spans="1:14" ht="12" customHeight="1">
      <c r="A2181" s="3906"/>
      <c r="C2181" s="231"/>
      <c r="D2181" s="3911" t="s">
        <v>2271</v>
      </c>
      <c r="E2181" s="3911"/>
      <c r="F2181" s="3911"/>
      <c r="G2181" s="3911"/>
      <c r="H2181" s="3911"/>
      <c r="I2181" s="3911"/>
      <c r="J2181" s="3911"/>
      <c r="K2181" s="232"/>
      <c r="L2181" s="232"/>
      <c r="N2181" s="212">
        <f t="shared" si="38"/>
        <v>1555</v>
      </c>
    </row>
    <row r="2182" spans="1:14" ht="12" customHeight="1">
      <c r="A2182" s="3906"/>
      <c r="C2182" s="231"/>
      <c r="D2182" s="3911" t="s">
        <v>2258</v>
      </c>
      <c r="E2182" s="3911"/>
      <c r="F2182" s="3911"/>
      <c r="G2182" s="3911"/>
      <c r="H2182" s="3911"/>
      <c r="I2182" s="3911"/>
      <c r="J2182" s="3911"/>
      <c r="K2182" s="232"/>
      <c r="L2182" s="232"/>
      <c r="N2182" s="212">
        <f t="shared" si="38"/>
        <v>1556</v>
      </c>
    </row>
    <row r="2183" spans="1:14" ht="12" customHeight="1">
      <c r="A2183" s="3906"/>
      <c r="C2183" s="231"/>
      <c r="D2183" s="3910"/>
      <c r="E2183" s="3910"/>
      <c r="F2183" s="3910"/>
      <c r="G2183" s="3910"/>
      <c r="H2183" s="3910"/>
      <c r="I2183" s="3910"/>
      <c r="J2183" s="3910"/>
      <c r="K2183" s="232"/>
      <c r="L2183" s="232"/>
      <c r="N2183" s="212">
        <f t="shared" si="38"/>
        <v>1556</v>
      </c>
    </row>
    <row r="2184" spans="1:14" ht="12" customHeight="1">
      <c r="A2184" s="3906"/>
      <c r="C2184" s="231"/>
      <c r="D2184" s="3910" t="s">
        <v>2259</v>
      </c>
      <c r="E2184" s="3910"/>
      <c r="F2184" s="3910"/>
      <c r="G2184" s="3910"/>
      <c r="H2184" s="3910"/>
      <c r="I2184" s="3910"/>
      <c r="J2184" s="3910"/>
      <c r="K2184" s="232"/>
      <c r="L2184" s="232"/>
      <c r="N2184" s="212">
        <f t="shared" si="38"/>
        <v>1557</v>
      </c>
    </row>
    <row r="2185" spans="1:14" ht="12" customHeight="1">
      <c r="A2185" s="3906"/>
      <c r="C2185" s="231"/>
      <c r="D2185" s="3910" t="s">
        <v>2260</v>
      </c>
      <c r="E2185" s="3910"/>
      <c r="F2185" s="3910"/>
      <c r="G2185" s="3910"/>
      <c r="H2185" s="3910"/>
      <c r="I2185" s="3910"/>
      <c r="J2185" s="3910"/>
      <c r="K2185" s="232"/>
      <c r="L2185" s="232"/>
      <c r="N2185" s="212">
        <f t="shared" si="38"/>
        <v>1558</v>
      </c>
    </row>
    <row r="2186" spans="1:14" ht="12" customHeight="1">
      <c r="A2186" s="3906"/>
      <c r="C2186" s="231"/>
      <c r="D2186" s="3910" t="s">
        <v>2261</v>
      </c>
      <c r="E2186" s="3910"/>
      <c r="F2186" s="3910"/>
      <c r="G2186" s="3910"/>
      <c r="H2186" s="3910"/>
      <c r="I2186" s="3910"/>
      <c r="J2186" s="3910"/>
      <c r="K2186" s="232"/>
      <c r="L2186" s="232"/>
      <c r="N2186" s="212">
        <f t="shared" si="38"/>
        <v>1559</v>
      </c>
    </row>
    <row r="2187" spans="1:14" ht="12" customHeight="1">
      <c r="A2187" s="3906"/>
      <c r="C2187" s="231"/>
      <c r="D2187" s="3910" t="s">
        <v>2262</v>
      </c>
      <c r="E2187" s="3910"/>
      <c r="F2187" s="3910"/>
      <c r="G2187" s="3910"/>
      <c r="H2187" s="3910"/>
      <c r="I2187" s="3910"/>
      <c r="J2187" s="3910"/>
      <c r="K2187" s="232"/>
      <c r="L2187" s="232"/>
      <c r="N2187" s="212">
        <f t="shared" si="38"/>
        <v>1560</v>
      </c>
    </row>
    <row r="2188" spans="1:14" ht="12" customHeight="1">
      <c r="A2188" s="3906"/>
      <c r="C2188" s="231"/>
      <c r="D2188" s="3910" t="s">
        <v>2264</v>
      </c>
      <c r="E2188" s="3910"/>
      <c r="F2188" s="3910"/>
      <c r="G2188" s="3910"/>
      <c r="H2188" s="3910"/>
      <c r="I2188" s="3910"/>
      <c r="J2188" s="3910"/>
      <c r="K2188" s="232"/>
      <c r="L2188" s="232"/>
      <c r="N2188" s="212">
        <f t="shared" si="38"/>
        <v>1561</v>
      </c>
    </row>
    <row r="2189" spans="1:14" ht="12" customHeight="1">
      <c r="A2189" s="3906"/>
      <c r="C2189" s="231"/>
      <c r="D2189" s="3910" t="s">
        <v>2268</v>
      </c>
      <c r="E2189" s="3910"/>
      <c r="F2189" s="3910"/>
      <c r="G2189" s="3910"/>
      <c r="H2189" s="3910"/>
      <c r="I2189" s="3910"/>
      <c r="J2189" s="3910"/>
      <c r="K2189" s="232"/>
      <c r="L2189" s="232"/>
      <c r="N2189" s="212">
        <f t="shared" si="38"/>
        <v>1562</v>
      </c>
    </row>
    <row r="2190" spans="1:14" ht="12" customHeight="1">
      <c r="A2190" s="3906"/>
      <c r="C2190" s="231"/>
      <c r="D2190" s="3910" t="s">
        <v>2269</v>
      </c>
      <c r="E2190" s="3910"/>
      <c r="F2190" s="3910"/>
      <c r="G2190" s="3910"/>
      <c r="H2190" s="3910"/>
      <c r="I2190" s="3910"/>
      <c r="J2190" s="3910"/>
      <c r="K2190" s="232"/>
      <c r="L2190" s="232"/>
      <c r="N2190" s="212">
        <f t="shared" si="38"/>
        <v>1563</v>
      </c>
    </row>
    <row r="2191" spans="1:14" ht="12" customHeight="1">
      <c r="A2191" s="3906"/>
      <c r="C2191" s="231"/>
      <c r="D2191" s="3910"/>
      <c r="E2191" s="3910"/>
      <c r="F2191" s="3910"/>
      <c r="G2191" s="3910"/>
      <c r="H2191" s="3910"/>
      <c r="I2191" s="3910"/>
      <c r="J2191" s="3910"/>
      <c r="K2191" s="232"/>
      <c r="L2191" s="232"/>
      <c r="N2191" s="212">
        <f t="shared" si="38"/>
        <v>1563</v>
      </c>
    </row>
    <row r="2192" spans="1:14" ht="12" customHeight="1">
      <c r="A2192" s="3906"/>
      <c r="C2192" s="231"/>
      <c r="D2192" s="3910" t="s">
        <v>2263</v>
      </c>
      <c r="E2192" s="3910"/>
      <c r="F2192" s="3910"/>
      <c r="G2192" s="3910"/>
      <c r="H2192" s="3910"/>
      <c r="I2192" s="3910"/>
      <c r="J2192" s="3910"/>
      <c r="K2192" s="232"/>
      <c r="L2192" s="232"/>
      <c r="N2192" s="212">
        <f t="shared" si="38"/>
        <v>1564</v>
      </c>
    </row>
    <row r="2193" spans="1:14" ht="12" customHeight="1" thickBot="1">
      <c r="A2193" s="3906"/>
      <c r="C2193" s="231"/>
      <c r="D2193" s="3910" t="s">
        <v>2265</v>
      </c>
      <c r="E2193" s="3910"/>
      <c r="F2193" s="3910"/>
      <c r="G2193" s="3910"/>
      <c r="H2193" s="3910"/>
      <c r="I2193" s="3910"/>
      <c r="J2193" s="3910"/>
      <c r="K2193" s="232"/>
      <c r="L2193" s="232"/>
      <c r="N2193" s="212">
        <f t="shared" si="38"/>
        <v>1565</v>
      </c>
    </row>
    <row r="2194" spans="1:14" ht="12" customHeight="1" thickBot="1">
      <c r="A2194" s="3906"/>
      <c r="C2194" s="231"/>
      <c r="D2194" s="3910"/>
      <c r="E2194" s="3910"/>
      <c r="F2194" s="3910"/>
      <c r="G2194" s="3910"/>
      <c r="H2194" s="3910"/>
      <c r="I2194" s="3910"/>
      <c r="J2194" s="3910"/>
      <c r="K2194" s="197" t="s">
        <v>551</v>
      </c>
      <c r="L2194" s="232"/>
      <c r="N2194" s="212">
        <f t="shared" si="38"/>
        <v>1565</v>
      </c>
    </row>
    <row r="2195" spans="1:14" ht="12" customHeight="1">
      <c r="A2195" s="3906"/>
      <c r="C2195" s="231"/>
      <c r="D2195" s="3910"/>
      <c r="E2195" s="3910"/>
      <c r="F2195" s="3910"/>
      <c r="G2195" s="3910"/>
      <c r="H2195" s="3910"/>
      <c r="I2195" s="3910"/>
      <c r="J2195" s="3910"/>
      <c r="K2195" s="232"/>
      <c r="L2195" s="232"/>
      <c r="N2195" s="212">
        <f t="shared" si="38"/>
        <v>1565</v>
      </c>
    </row>
    <row r="2196" spans="1:14" ht="12" customHeight="1">
      <c r="A2196" s="3906"/>
      <c r="C2196" s="231"/>
      <c r="D2196" s="3904"/>
      <c r="E2196" s="3905"/>
      <c r="F2196" s="3905"/>
      <c r="G2196" s="3905"/>
      <c r="H2196" s="3905"/>
      <c r="I2196" s="3905"/>
      <c r="J2196" s="232"/>
      <c r="K2196" s="232"/>
      <c r="L2196" s="232"/>
      <c r="N2196" s="212">
        <f t="shared" si="38"/>
        <v>1565</v>
      </c>
    </row>
    <row r="2197" spans="1:14" ht="12" customHeight="1">
      <c r="A2197" s="3906"/>
      <c r="C2197" s="231"/>
      <c r="D2197" s="3904"/>
      <c r="E2197" s="3905"/>
      <c r="F2197" s="3905"/>
      <c r="G2197" s="3905"/>
      <c r="H2197" s="3905"/>
      <c r="I2197" s="3905"/>
      <c r="J2197" s="232"/>
      <c r="K2197" s="232"/>
      <c r="L2197" s="232"/>
      <c r="N2197" s="212">
        <f t="shared" si="38"/>
        <v>1565</v>
      </c>
    </row>
    <row r="2198" spans="1:14" ht="12" customHeight="1">
      <c r="C2198" s="231"/>
      <c r="D2198" s="3904"/>
      <c r="E2198" s="3905"/>
      <c r="F2198" s="3905"/>
      <c r="G2198" s="3905"/>
      <c r="H2198" s="3905"/>
      <c r="I2198" s="3905"/>
      <c r="J2198" s="232"/>
      <c r="K2198" s="232"/>
      <c r="L2198" s="232"/>
      <c r="N2198" s="212">
        <f t="shared" si="38"/>
        <v>1565</v>
      </c>
    </row>
    <row r="2199" spans="1:14" ht="12" customHeight="1">
      <c r="A2199" s="3906"/>
      <c r="C2199" s="231"/>
      <c r="D2199" s="3904"/>
      <c r="E2199" s="3905"/>
      <c r="F2199" s="3905"/>
      <c r="G2199" s="3905"/>
      <c r="H2199" s="3905"/>
      <c r="I2199" s="3905"/>
      <c r="J2199" s="232"/>
      <c r="K2199" s="232"/>
      <c r="L2199" s="232"/>
      <c r="N2199" s="212">
        <f t="shared" si="38"/>
        <v>1565</v>
      </c>
    </row>
    <row r="2200" spans="1:14" ht="12" customHeight="1" thickBot="1">
      <c r="A2200" s="3906"/>
      <c r="B2200" s="757"/>
      <c r="C2200" s="231"/>
      <c r="D2200" s="3904"/>
      <c r="E2200" s="3905"/>
      <c r="F2200" s="3905"/>
      <c r="G2200" s="3905"/>
      <c r="H2200" s="3905"/>
      <c r="I2200" s="3905"/>
      <c r="J2200" s="232"/>
      <c r="K2200" s="232"/>
      <c r="L2200" s="232"/>
      <c r="N2200" s="212">
        <f t="shared" si="38"/>
        <v>1565</v>
      </c>
    </row>
    <row r="2201" spans="1:14" ht="22.5" customHeight="1" thickBot="1">
      <c r="A2201" s="3906"/>
      <c r="B2201" s="757"/>
      <c r="C2201" s="231"/>
      <c r="D2201" s="3933" t="s">
        <v>983</v>
      </c>
      <c r="E2201" s="3934"/>
      <c r="F2201" s="3934"/>
      <c r="G2201" s="3934"/>
      <c r="H2201" s="3934"/>
      <c r="I2201" s="3934"/>
      <c r="J2201" s="232"/>
      <c r="K2201" s="195" t="s">
        <v>576</v>
      </c>
      <c r="L2201" s="232"/>
      <c r="N2201" s="212">
        <f t="shared" si="38"/>
        <v>1566</v>
      </c>
    </row>
    <row r="2202" spans="1:14" ht="9" customHeight="1">
      <c r="A2202" s="3906"/>
      <c r="B2202" s="757"/>
      <c r="C2202" s="231"/>
      <c r="D2202" s="3929" t="s">
        <v>1967</v>
      </c>
      <c r="E2202" s="3930"/>
      <c r="F2202" s="3930"/>
      <c r="G2202" s="3930"/>
      <c r="H2202" s="3930"/>
      <c r="I2202" s="3930"/>
      <c r="J2202" s="232"/>
      <c r="K2202" s="232"/>
      <c r="L2202" s="232"/>
      <c r="N2202" s="212">
        <f t="shared" si="38"/>
        <v>1567</v>
      </c>
    </row>
    <row r="2203" spans="1:14" ht="12" customHeight="1">
      <c r="A2203" s="3906"/>
      <c r="B2203" s="757"/>
      <c r="C2203" s="231"/>
      <c r="D2203" s="3929" t="s">
        <v>1964</v>
      </c>
      <c r="E2203" s="3930"/>
      <c r="F2203" s="3930"/>
      <c r="G2203" s="3930"/>
      <c r="H2203" s="3930"/>
      <c r="I2203" s="3930"/>
      <c r="J2203" s="232"/>
      <c r="K2203" s="232"/>
      <c r="L2203" s="232"/>
      <c r="N2203" s="212">
        <f t="shared" si="38"/>
        <v>1568</v>
      </c>
    </row>
    <row r="2204" spans="1:14" ht="12" customHeight="1">
      <c r="A2204" s="3906"/>
      <c r="B2204" s="757"/>
      <c r="C2204" s="231"/>
      <c r="D2204" s="3929" t="s">
        <v>1965</v>
      </c>
      <c r="E2204" s="3930"/>
      <c r="F2204" s="3930"/>
      <c r="G2204" s="3930"/>
      <c r="H2204" s="3930"/>
      <c r="I2204" s="3930"/>
      <c r="J2204" s="232"/>
      <c r="K2204" s="232"/>
      <c r="L2204" s="232"/>
      <c r="N2204" s="212">
        <f t="shared" si="38"/>
        <v>1569</v>
      </c>
    </row>
    <row r="2205" spans="1:14" ht="12" customHeight="1">
      <c r="A2205" s="3906"/>
      <c r="B2205" s="757"/>
      <c r="C2205" s="231"/>
      <c r="D2205" s="3929" t="s">
        <v>1966</v>
      </c>
      <c r="E2205" s="3930"/>
      <c r="F2205" s="3930"/>
      <c r="G2205" s="3930"/>
      <c r="H2205" s="3930"/>
      <c r="I2205" s="3930"/>
      <c r="J2205" s="232"/>
      <c r="K2205" s="232"/>
      <c r="L2205" s="232"/>
      <c r="N2205" s="212">
        <f t="shared" si="38"/>
        <v>1570</v>
      </c>
    </row>
    <row r="2206" spans="1:14" ht="11.25" customHeight="1">
      <c r="A2206" s="3906"/>
      <c r="B2206" s="757"/>
      <c r="C2206" s="231"/>
      <c r="D2206" s="3931"/>
      <c r="E2206" s="3932"/>
      <c r="F2206" s="3932"/>
      <c r="G2206" s="3932"/>
      <c r="H2206" s="3932"/>
      <c r="I2206" s="3932"/>
      <c r="J2206" s="232"/>
      <c r="K2206" s="232"/>
      <c r="L2206" s="232"/>
      <c r="N2206" s="212">
        <f t="shared" si="38"/>
        <v>1570</v>
      </c>
    </row>
    <row r="2207" spans="1:14" ht="12" customHeight="1">
      <c r="A2207" s="3906"/>
      <c r="B2207" s="757"/>
      <c r="C2207" s="231"/>
      <c r="D2207" s="3931" t="s">
        <v>1962</v>
      </c>
      <c r="E2207" s="3932"/>
      <c r="F2207" s="3932"/>
      <c r="G2207" s="3932"/>
      <c r="H2207" s="3932"/>
      <c r="I2207" s="3932"/>
      <c r="J2207" s="232"/>
      <c r="K2207" s="232"/>
      <c r="L2207" s="232"/>
      <c r="N2207" s="212">
        <f t="shared" si="38"/>
        <v>1571</v>
      </c>
    </row>
    <row r="2208" spans="1:14" ht="12" customHeight="1">
      <c r="A2208" s="3906"/>
      <c r="B2208" s="757"/>
      <c r="C2208" s="231"/>
      <c r="D2208" s="3929" t="s">
        <v>1968</v>
      </c>
      <c r="E2208" s="3930"/>
      <c r="F2208" s="3930"/>
      <c r="G2208" s="3930"/>
      <c r="H2208" s="3930"/>
      <c r="I2208" s="3930"/>
      <c r="J2208" s="232"/>
      <c r="K2208" s="232"/>
      <c r="L2208" s="232"/>
      <c r="N2208" s="212">
        <f t="shared" si="38"/>
        <v>1572</v>
      </c>
    </row>
    <row r="2209" spans="1:18" ht="12" customHeight="1">
      <c r="A2209" s="3906"/>
      <c r="B2209" s="757"/>
      <c r="C2209" s="231"/>
      <c r="D2209" s="3929" t="s">
        <v>1969</v>
      </c>
      <c r="E2209" s="3930"/>
      <c r="F2209" s="3930"/>
      <c r="G2209" s="3930"/>
      <c r="H2209" s="3930"/>
      <c r="I2209" s="3930"/>
      <c r="J2209" s="232"/>
      <c r="K2209" s="232"/>
      <c r="L2209" s="232"/>
      <c r="N2209" s="212">
        <f t="shared" si="38"/>
        <v>1573</v>
      </c>
    </row>
    <row r="2210" spans="1:18" ht="12" customHeight="1">
      <c r="A2210" s="3906"/>
      <c r="B2210" s="757"/>
      <c r="C2210" s="231"/>
      <c r="D2210" s="3929" t="s">
        <v>1970</v>
      </c>
      <c r="E2210" s="3930"/>
      <c r="F2210" s="3930"/>
      <c r="G2210" s="3930"/>
      <c r="H2210" s="3930"/>
      <c r="I2210" s="3930"/>
      <c r="J2210" s="232"/>
      <c r="K2210" s="232"/>
      <c r="L2210" s="232"/>
      <c r="N2210" s="212">
        <f t="shared" si="38"/>
        <v>1574</v>
      </c>
    </row>
    <row r="2211" spans="1:18" ht="12" customHeight="1">
      <c r="A2211" s="3906"/>
      <c r="B2211" s="757"/>
      <c r="C2211" s="231"/>
      <c r="D2211" s="3931"/>
      <c r="E2211" s="3932"/>
      <c r="F2211" s="3932"/>
      <c r="G2211" s="3932"/>
      <c r="H2211" s="3932"/>
      <c r="I2211" s="3932"/>
      <c r="J2211" s="232"/>
      <c r="K2211" s="232"/>
      <c r="L2211" s="232"/>
      <c r="N2211" s="212">
        <f t="shared" si="38"/>
        <v>1574</v>
      </c>
    </row>
    <row r="2212" spans="1:18" ht="12" customHeight="1">
      <c r="A2212" s="3906"/>
      <c r="B2212" s="757"/>
      <c r="C2212" s="231"/>
      <c r="D2212" s="3931" t="s">
        <v>1963</v>
      </c>
      <c r="E2212" s="3932"/>
      <c r="F2212" s="3932"/>
      <c r="G2212" s="3932"/>
      <c r="H2212" s="3932"/>
      <c r="I2212" s="3932"/>
      <c r="J2212" s="232"/>
      <c r="K2212" s="232"/>
      <c r="L2212" s="232"/>
      <c r="N2212" s="212">
        <f t="shared" si="38"/>
        <v>1575</v>
      </c>
    </row>
    <row r="2213" spans="1:18" ht="12" customHeight="1">
      <c r="A2213" s="3906"/>
      <c r="B2213" s="757"/>
      <c r="C2213" s="231"/>
      <c r="D2213" s="3942" t="s">
        <v>1971</v>
      </c>
      <c r="E2213" s="3943"/>
      <c r="F2213" s="3943"/>
      <c r="G2213" s="3943"/>
      <c r="H2213" s="3943"/>
      <c r="I2213" s="3943"/>
      <c r="J2213" s="232"/>
      <c r="K2213" s="232"/>
      <c r="L2213" s="232"/>
      <c r="N2213" s="212">
        <f t="shared" si="38"/>
        <v>1576</v>
      </c>
      <c r="R2213" s="209" t="s">
        <v>937</v>
      </c>
    </row>
    <row r="2214" spans="1:18" ht="12" customHeight="1">
      <c r="A2214" s="3906"/>
      <c r="B2214" s="757"/>
      <c r="C2214" s="231"/>
      <c r="D2214" s="3929" t="s">
        <v>1972</v>
      </c>
      <c r="E2214" s="3930"/>
      <c r="F2214" s="3930"/>
      <c r="G2214" s="3930"/>
      <c r="H2214" s="3930"/>
      <c r="I2214" s="3930"/>
      <c r="J2214" s="232"/>
      <c r="K2214" s="232"/>
      <c r="L2214" s="232"/>
      <c r="N2214" s="212">
        <f t="shared" si="38"/>
        <v>1577</v>
      </c>
    </row>
    <row r="2215" spans="1:18" ht="12" customHeight="1">
      <c r="A2215" s="3906"/>
      <c r="B2215" s="757"/>
      <c r="C2215" s="231"/>
      <c r="D2215" s="3929" t="s">
        <v>1973</v>
      </c>
      <c r="E2215" s="3930"/>
      <c r="F2215" s="3930"/>
      <c r="G2215" s="3930"/>
      <c r="H2215" s="3930"/>
      <c r="I2215" s="3930"/>
      <c r="J2215" s="232"/>
      <c r="K2215" s="232"/>
      <c r="L2215" s="232"/>
      <c r="N2215" s="212">
        <f t="shared" si="38"/>
        <v>1578</v>
      </c>
    </row>
    <row r="2216" spans="1:18" ht="12" customHeight="1">
      <c r="A2216" s="3906"/>
      <c r="B2216" s="757"/>
      <c r="C2216" s="231"/>
      <c r="D2216" s="3929"/>
      <c r="E2216" s="3930"/>
      <c r="F2216" s="3930"/>
      <c r="G2216" s="3930"/>
      <c r="H2216" s="3930"/>
      <c r="I2216" s="3930"/>
      <c r="J2216" s="232"/>
      <c r="K2216" s="232"/>
      <c r="L2216" s="232"/>
      <c r="N2216" s="212">
        <f t="shared" si="38"/>
        <v>1578</v>
      </c>
    </row>
    <row r="2217" spans="1:18" ht="12" customHeight="1">
      <c r="A2217" s="3906"/>
      <c r="B2217" s="757"/>
      <c r="C2217" s="231"/>
      <c r="D2217" s="3929" t="s">
        <v>1974</v>
      </c>
      <c r="E2217" s="3930"/>
      <c r="F2217" s="3930"/>
      <c r="G2217" s="3930"/>
      <c r="H2217" s="3930"/>
      <c r="I2217" s="3930"/>
      <c r="J2217" s="232"/>
      <c r="K2217" s="232"/>
      <c r="L2217" s="232"/>
      <c r="N2217" s="212">
        <f t="shared" si="38"/>
        <v>1579</v>
      </c>
    </row>
    <row r="2218" spans="1:18" ht="12" customHeight="1">
      <c r="A2218" s="3906"/>
      <c r="B2218" s="757"/>
      <c r="C2218" s="231"/>
      <c r="D2218" s="3914"/>
      <c r="E2218" s="3915"/>
      <c r="F2218" s="3915"/>
      <c r="G2218" s="3915"/>
      <c r="H2218" s="3915"/>
      <c r="I2218" s="3915"/>
      <c r="J2218" s="232"/>
      <c r="K2218" s="232"/>
      <c r="L2218" s="232"/>
      <c r="N2218" s="212">
        <f t="shared" si="38"/>
        <v>1579</v>
      </c>
    </row>
    <row r="2219" spans="1:18" ht="12" customHeight="1">
      <c r="A2219" s="3906"/>
      <c r="B2219" s="757"/>
      <c r="C2219" s="231"/>
      <c r="D2219" s="746"/>
      <c r="E2219" s="747"/>
      <c r="F2219" s="1717"/>
      <c r="G2219" s="747"/>
      <c r="H2219" s="747"/>
      <c r="I2219" s="747"/>
      <c r="J2219" s="232"/>
      <c r="K2219" s="232"/>
      <c r="L2219" s="232"/>
      <c r="N2219" s="212">
        <f t="shared" si="38"/>
        <v>1579</v>
      </c>
    </row>
    <row r="2220" spans="1:18" ht="12" customHeight="1">
      <c r="A2220" s="3906"/>
      <c r="B2220" s="757"/>
      <c r="C2220" s="231"/>
      <c r="D2220" s="3914"/>
      <c r="E2220" s="3915"/>
      <c r="F2220" s="3915"/>
      <c r="G2220" s="3915"/>
      <c r="H2220" s="3915"/>
      <c r="I2220" s="3915"/>
      <c r="J2220" s="232"/>
      <c r="K2220" s="232"/>
      <c r="L2220" s="232"/>
      <c r="N2220" s="212">
        <f t="shared" si="38"/>
        <v>1579</v>
      </c>
    </row>
    <row r="2221" spans="1:18" ht="12" customHeight="1">
      <c r="A2221" s="3906"/>
      <c r="B2221" s="757"/>
      <c r="C2221" s="231"/>
      <c r="D2221" s="3902" t="s">
        <v>1975</v>
      </c>
      <c r="E2221" s="3903"/>
      <c r="F2221" s="3903"/>
      <c r="G2221" s="3903"/>
      <c r="H2221" s="3903"/>
      <c r="I2221" s="3903"/>
      <c r="J2221" s="232"/>
      <c r="K2221" s="232"/>
      <c r="L2221" s="232"/>
      <c r="N2221" s="212">
        <f t="shared" si="38"/>
        <v>1580</v>
      </c>
    </row>
    <row r="2222" spans="1:18" ht="12" customHeight="1">
      <c r="A2222" s="3906"/>
      <c r="B2222" s="757"/>
      <c r="C2222" s="231"/>
      <c r="D2222" s="3939" t="s">
        <v>1976</v>
      </c>
      <c r="E2222" s="3940"/>
      <c r="F2222" s="3940"/>
      <c r="G2222" s="3940"/>
      <c r="H2222" s="3940"/>
      <c r="I2222" s="3940"/>
      <c r="J2222" s="232"/>
      <c r="K2222" s="232"/>
      <c r="L2222" s="232"/>
      <c r="N2222" s="212">
        <f t="shared" si="38"/>
        <v>1581</v>
      </c>
    </row>
    <row r="2223" spans="1:18" ht="12" customHeight="1">
      <c r="A2223" s="3906"/>
      <c r="B2223" s="757"/>
      <c r="C2223" s="231"/>
      <c r="D2223" s="3902" t="s">
        <v>2284</v>
      </c>
      <c r="E2223" s="3903"/>
      <c r="F2223" s="3903"/>
      <c r="G2223" s="3903"/>
      <c r="H2223" s="3903"/>
      <c r="I2223" s="3903"/>
      <c r="J2223" s="232"/>
      <c r="K2223" s="232"/>
      <c r="L2223" s="232"/>
      <c r="N2223" s="212">
        <f t="shared" si="38"/>
        <v>1582</v>
      </c>
    </row>
    <row r="2224" spans="1:18" ht="12" customHeight="1">
      <c r="A2224" s="3906"/>
      <c r="B2224" s="757"/>
      <c r="C2224" s="231"/>
      <c r="D2224" s="3902" t="s">
        <v>2285</v>
      </c>
      <c r="E2224" s="3903"/>
      <c r="F2224" s="3903"/>
      <c r="G2224" s="3903"/>
      <c r="H2224" s="3903"/>
      <c r="I2224" s="3903"/>
      <c r="J2224" s="232"/>
      <c r="K2224" s="232"/>
      <c r="L2224" s="232"/>
      <c r="N2224" s="212"/>
    </row>
    <row r="2225" spans="1:14" ht="12" customHeight="1">
      <c r="A2225" s="3906"/>
      <c r="B2225" s="757"/>
      <c r="C2225" s="231"/>
      <c r="D2225" s="3902" t="s">
        <v>2279</v>
      </c>
      <c r="E2225" s="3903"/>
      <c r="F2225" s="3903"/>
      <c r="G2225" s="3903"/>
      <c r="H2225" s="3903"/>
      <c r="I2225" s="3903"/>
      <c r="J2225" s="232"/>
      <c r="K2225" s="232"/>
      <c r="L2225" s="232"/>
      <c r="N2225" s="212">
        <f>IF(D2225="",N2223,N2223+1)</f>
        <v>1583</v>
      </c>
    </row>
    <row r="2226" spans="1:14" ht="12" customHeight="1">
      <c r="A2226" s="3906"/>
      <c r="B2226" s="757"/>
      <c r="C2226" s="231"/>
      <c r="D2226" s="3941"/>
      <c r="E2226" s="3941"/>
      <c r="F2226" s="3941"/>
      <c r="G2226" s="3941"/>
      <c r="H2226" s="3941"/>
      <c r="I2226" s="3941"/>
      <c r="J2226" s="232"/>
      <c r="K2226" s="232"/>
      <c r="L2226" s="232"/>
      <c r="N2226" s="212">
        <f t="shared" si="38"/>
        <v>1583</v>
      </c>
    </row>
    <row r="2227" spans="1:14" ht="13.5" customHeight="1">
      <c r="A2227" s="3906"/>
      <c r="B2227" s="757"/>
      <c r="C2227" s="231"/>
      <c r="D2227" s="3937" t="s">
        <v>1978</v>
      </c>
      <c r="E2227" s="3938"/>
      <c r="F2227" s="3938"/>
      <c r="G2227" s="3938"/>
      <c r="H2227" s="3938"/>
      <c r="I2227" s="3938"/>
      <c r="J2227" s="232"/>
      <c r="K2227" s="232"/>
      <c r="L2227" s="232"/>
      <c r="N2227" s="212">
        <f t="shared" si="38"/>
        <v>1584</v>
      </c>
    </row>
    <row r="2228" spans="1:14" ht="12" customHeight="1">
      <c r="A2228" s="3906"/>
      <c r="B2228" s="757"/>
      <c r="C2228" s="231"/>
      <c r="D2228" s="3937" t="s">
        <v>1977</v>
      </c>
      <c r="E2228" s="3938"/>
      <c r="F2228" s="3938"/>
      <c r="G2228" s="3938"/>
      <c r="H2228" s="3938"/>
      <c r="I2228" s="3938"/>
      <c r="J2228" s="232"/>
      <c r="K2228" s="232"/>
      <c r="L2228" s="232"/>
      <c r="N2228" s="212">
        <f t="shared" si="38"/>
        <v>1585</v>
      </c>
    </row>
    <row r="2229" spans="1:14" ht="13.5" customHeight="1">
      <c r="A2229" s="3906"/>
      <c r="B2229" s="757"/>
      <c r="C2229" s="231"/>
      <c r="D2229" s="3902" t="s">
        <v>2187</v>
      </c>
      <c r="E2229" s="3903"/>
      <c r="F2229" s="3903"/>
      <c r="G2229" s="3903"/>
      <c r="H2229" s="3903"/>
      <c r="I2229" s="3903"/>
      <c r="J2229" s="232"/>
      <c r="K2229" s="232"/>
      <c r="L2229" s="232"/>
      <c r="N2229" s="212">
        <f t="shared" si="38"/>
        <v>1586</v>
      </c>
    </row>
    <row r="2230" spans="1:14" ht="12" customHeight="1">
      <c r="A2230" s="3906"/>
      <c r="B2230" s="757"/>
      <c r="C2230" s="231"/>
      <c r="D2230" s="3914"/>
      <c r="E2230" s="3915"/>
      <c r="F2230" s="3915"/>
      <c r="G2230" s="3915"/>
      <c r="H2230" s="3915"/>
      <c r="I2230" s="3915"/>
      <c r="J2230" s="232"/>
      <c r="K2230" s="232"/>
      <c r="L2230" s="232"/>
      <c r="N2230" s="212">
        <f t="shared" si="38"/>
        <v>1586</v>
      </c>
    </row>
    <row r="2231" spans="1:14" ht="12" customHeight="1">
      <c r="A2231" s="3906"/>
      <c r="B2231" s="757"/>
      <c r="C2231" s="231"/>
      <c r="D2231" s="3914"/>
      <c r="E2231" s="3914"/>
      <c r="F2231" s="3914"/>
      <c r="G2231" s="3914"/>
      <c r="H2231" s="3914"/>
      <c r="I2231" s="3914"/>
      <c r="J2231" s="232"/>
      <c r="K2231" s="232"/>
      <c r="L2231" s="232"/>
      <c r="N2231" s="212">
        <f t="shared" si="38"/>
        <v>1586</v>
      </c>
    </row>
    <row r="2232" spans="1:14" ht="12" customHeight="1">
      <c r="A2232" s="3906"/>
      <c r="B2232" s="757"/>
      <c r="C2232" s="231"/>
      <c r="D2232" s="3914"/>
      <c r="E2232" s="3915"/>
      <c r="F2232" s="3915"/>
      <c r="G2232" s="3915"/>
      <c r="H2232" s="3915"/>
      <c r="I2232" s="3915"/>
      <c r="J2232" s="232"/>
      <c r="K2232" s="232"/>
      <c r="L2232" s="232"/>
      <c r="N2232" s="212">
        <f t="shared" si="38"/>
        <v>1586</v>
      </c>
    </row>
    <row r="2233" spans="1:14" ht="12" customHeight="1">
      <c r="A2233" s="3906"/>
      <c r="B2233" s="757"/>
      <c r="C2233" s="231"/>
      <c r="D2233" s="3904"/>
      <c r="E2233" s="3905"/>
      <c r="F2233" s="3905"/>
      <c r="G2233" s="3905"/>
      <c r="H2233" s="3905"/>
      <c r="I2233" s="3905"/>
      <c r="J2233" s="232"/>
      <c r="K2233" s="232"/>
      <c r="L2233" s="232"/>
      <c r="N2233" s="212">
        <f t="shared" si="38"/>
        <v>1586</v>
      </c>
    </row>
    <row r="2234" spans="1:14" ht="12" customHeight="1">
      <c r="A2234" s="230"/>
      <c r="B2234" s="757"/>
      <c r="C2234" s="231"/>
      <c r="D2234" s="3904"/>
      <c r="E2234" s="3905"/>
      <c r="F2234" s="3905"/>
      <c r="G2234" s="3905"/>
      <c r="H2234" s="3905"/>
      <c r="I2234" s="3905"/>
      <c r="J2234" s="232"/>
      <c r="K2234" s="232"/>
      <c r="L2234" s="232"/>
      <c r="N2234" s="212">
        <f t="shared" si="38"/>
        <v>1586</v>
      </c>
    </row>
    <row r="2235" spans="1:14" ht="12" customHeight="1">
      <c r="A2235" s="230"/>
      <c r="B2235" s="757"/>
      <c r="C2235" s="231"/>
      <c r="D2235" s="3904"/>
      <c r="E2235" s="3905"/>
      <c r="F2235" s="3905"/>
      <c r="G2235" s="3905"/>
      <c r="H2235" s="3905"/>
      <c r="I2235" s="3905"/>
      <c r="J2235" s="232"/>
      <c r="K2235" s="232"/>
      <c r="L2235" s="232"/>
      <c r="N2235" s="212">
        <f t="shared" si="38"/>
        <v>1586</v>
      </c>
    </row>
    <row r="2236" spans="1:14" ht="12" customHeight="1">
      <c r="A2236" s="230"/>
      <c r="B2236" s="757"/>
      <c r="C2236" s="231"/>
      <c r="D2236" s="3904"/>
      <c r="E2236" s="3905"/>
      <c r="F2236" s="3905"/>
      <c r="G2236" s="3905"/>
      <c r="H2236" s="3905"/>
      <c r="I2236" s="3905"/>
      <c r="J2236" s="232"/>
      <c r="K2236" s="232"/>
      <c r="L2236" s="232"/>
      <c r="N2236" s="212">
        <f t="shared" si="38"/>
        <v>1586</v>
      </c>
    </row>
    <row r="2237" spans="1:14" ht="12" customHeight="1">
      <c r="A2237" s="230"/>
      <c r="B2237" s="757"/>
      <c r="C2237" s="231"/>
      <c r="D2237" s="3904"/>
      <c r="E2237" s="3905"/>
      <c r="F2237" s="3905"/>
      <c r="G2237" s="3905"/>
      <c r="H2237" s="3905"/>
      <c r="I2237" s="3905"/>
      <c r="J2237" s="232"/>
      <c r="K2237" s="232"/>
      <c r="L2237" s="232"/>
      <c r="N2237" s="212">
        <f t="shared" si="38"/>
        <v>1586</v>
      </c>
    </row>
    <row r="2238" spans="1:14" ht="12" customHeight="1">
      <c r="A2238" s="230"/>
      <c r="B2238" s="757"/>
      <c r="C2238" s="231"/>
      <c r="D2238" s="3904"/>
      <c r="E2238" s="3905"/>
      <c r="F2238" s="3905"/>
      <c r="G2238" s="3905"/>
      <c r="H2238" s="3905"/>
      <c r="I2238" s="3905"/>
      <c r="J2238" s="232"/>
      <c r="K2238" s="232"/>
      <c r="L2238" s="232"/>
      <c r="N2238" s="212">
        <f t="shared" ref="N2238:N2263" si="39">IF(D2238="",N2237,N2237+1)</f>
        <v>1586</v>
      </c>
    </row>
    <row r="2239" spans="1:14" ht="12" customHeight="1">
      <c r="A2239" s="230"/>
      <c r="B2239" s="757"/>
      <c r="C2239" s="231"/>
      <c r="D2239" s="742"/>
      <c r="E2239" s="743"/>
      <c r="F2239" s="1714"/>
      <c r="G2239" s="743"/>
      <c r="H2239" s="743"/>
      <c r="I2239" s="743"/>
      <c r="J2239" s="232"/>
      <c r="K2239" s="232"/>
      <c r="L2239" s="232"/>
      <c r="N2239" s="212">
        <f t="shared" si="39"/>
        <v>1586</v>
      </c>
    </row>
    <row r="2240" spans="1:14" ht="12" customHeight="1">
      <c r="A2240" s="230"/>
      <c r="B2240" s="757"/>
      <c r="C2240" s="231"/>
      <c r="D2240" s="742"/>
      <c r="E2240" s="743"/>
      <c r="F2240" s="1714"/>
      <c r="G2240" s="743"/>
      <c r="H2240" s="743"/>
      <c r="I2240" s="743"/>
      <c r="J2240" s="232"/>
      <c r="K2240" s="232"/>
      <c r="L2240" s="232"/>
      <c r="N2240" s="212">
        <f t="shared" si="39"/>
        <v>1586</v>
      </c>
    </row>
    <row r="2241" spans="1:14" ht="12" customHeight="1">
      <c r="A2241" s="230"/>
      <c r="B2241" s="757"/>
      <c r="C2241" s="231"/>
      <c r="D2241" s="742"/>
      <c r="E2241" s="743"/>
      <c r="F2241" s="1714"/>
      <c r="G2241" s="743"/>
      <c r="H2241" s="743"/>
      <c r="I2241" s="743"/>
      <c r="J2241" s="232"/>
      <c r="K2241" s="232"/>
      <c r="L2241" s="232"/>
      <c r="N2241" s="212">
        <f t="shared" si="39"/>
        <v>1586</v>
      </c>
    </row>
    <row r="2242" spans="1:14" ht="12" customHeight="1">
      <c r="A2242" s="230"/>
      <c r="B2242" s="757"/>
      <c r="C2242" s="231"/>
      <c r="D2242" s="742"/>
      <c r="E2242" s="743"/>
      <c r="F2242" s="1714"/>
      <c r="G2242" s="743"/>
      <c r="H2242" s="743"/>
      <c r="I2242" s="743"/>
      <c r="J2242" s="232"/>
      <c r="K2242" s="232"/>
      <c r="L2242" s="232"/>
      <c r="N2242" s="212">
        <f t="shared" si="39"/>
        <v>1586</v>
      </c>
    </row>
    <row r="2243" spans="1:14" ht="12" customHeight="1">
      <c r="A2243" s="230"/>
      <c r="B2243" s="757"/>
      <c r="C2243" s="231"/>
      <c r="D2243" s="742"/>
      <c r="E2243" s="743"/>
      <c r="F2243" s="1714"/>
      <c r="G2243" s="743"/>
      <c r="H2243" s="743"/>
      <c r="I2243" s="743"/>
      <c r="J2243" s="232"/>
      <c r="K2243" s="232"/>
      <c r="L2243" s="232"/>
      <c r="N2243" s="212">
        <f t="shared" si="39"/>
        <v>1586</v>
      </c>
    </row>
    <row r="2244" spans="1:14" ht="12" customHeight="1">
      <c r="A2244" s="230"/>
      <c r="B2244" s="757"/>
      <c r="C2244" s="231"/>
      <c r="D2244" s="742"/>
      <c r="E2244" s="743"/>
      <c r="F2244" s="1714"/>
      <c r="G2244" s="743"/>
      <c r="H2244" s="743"/>
      <c r="I2244" s="743"/>
      <c r="J2244" s="232"/>
      <c r="K2244" s="232"/>
      <c r="L2244" s="232"/>
      <c r="N2244" s="212">
        <f t="shared" si="39"/>
        <v>1586</v>
      </c>
    </row>
    <row r="2245" spans="1:14" ht="12" customHeight="1">
      <c r="A2245" s="230"/>
      <c r="B2245" s="757"/>
      <c r="C2245" s="231"/>
      <c r="D2245" s="742"/>
      <c r="E2245" s="743"/>
      <c r="F2245" s="1714"/>
      <c r="G2245" s="743"/>
      <c r="H2245" s="743"/>
      <c r="I2245" s="743"/>
      <c r="J2245" s="232"/>
      <c r="K2245" s="232"/>
      <c r="L2245" s="232"/>
      <c r="N2245" s="212">
        <f t="shared" si="39"/>
        <v>1586</v>
      </c>
    </row>
    <row r="2246" spans="1:14" ht="12" customHeight="1">
      <c r="A2246" s="230"/>
      <c r="B2246" s="757"/>
      <c r="C2246" s="231"/>
      <c r="D2246" s="742"/>
      <c r="E2246" s="743"/>
      <c r="F2246" s="1714"/>
      <c r="G2246" s="743"/>
      <c r="H2246" s="743"/>
      <c r="I2246" s="743"/>
      <c r="J2246" s="232"/>
      <c r="K2246" s="232"/>
      <c r="L2246" s="232"/>
      <c r="N2246" s="212">
        <f t="shared" si="39"/>
        <v>1586</v>
      </c>
    </row>
    <row r="2247" spans="1:14" ht="12" customHeight="1">
      <c r="A2247" s="230"/>
      <c r="B2247" s="757"/>
      <c r="C2247" s="231"/>
      <c r="D2247" s="742"/>
      <c r="E2247" s="743"/>
      <c r="F2247" s="1714"/>
      <c r="G2247" s="743"/>
      <c r="H2247" s="743"/>
      <c r="I2247" s="743"/>
      <c r="J2247" s="232"/>
      <c r="K2247" s="232"/>
      <c r="L2247" s="232"/>
      <c r="N2247" s="212">
        <f t="shared" si="39"/>
        <v>1586</v>
      </c>
    </row>
    <row r="2248" spans="1:14" ht="12" customHeight="1">
      <c r="A2248" s="230"/>
      <c r="B2248" s="757"/>
      <c r="C2248" s="231"/>
      <c r="D2248" s="742"/>
      <c r="E2248" s="743"/>
      <c r="F2248" s="1714"/>
      <c r="G2248" s="743"/>
      <c r="H2248" s="743"/>
      <c r="I2248" s="743"/>
      <c r="J2248" s="232"/>
      <c r="K2248" s="232"/>
      <c r="L2248" s="232"/>
      <c r="N2248" s="212">
        <f t="shared" si="39"/>
        <v>1586</v>
      </c>
    </row>
    <row r="2249" spans="1:14" ht="12" customHeight="1">
      <c r="C2249" s="231"/>
      <c r="D2249" s="742"/>
      <c r="E2249" s="743"/>
      <c r="F2249" s="1714"/>
      <c r="G2249" s="743"/>
      <c r="H2249" s="743"/>
      <c r="I2249" s="743"/>
      <c r="J2249" s="232"/>
      <c r="K2249" s="232"/>
      <c r="L2249" s="232"/>
      <c r="N2249" s="212">
        <f t="shared" si="39"/>
        <v>1586</v>
      </c>
    </row>
    <row r="2250" spans="1:14" ht="12" customHeight="1">
      <c r="C2250" s="231"/>
      <c r="D2250" s="742"/>
      <c r="E2250" s="743"/>
      <c r="F2250" s="1714"/>
      <c r="G2250" s="743"/>
      <c r="H2250" s="743"/>
      <c r="I2250" s="743"/>
      <c r="J2250" s="232"/>
      <c r="K2250" s="232"/>
      <c r="L2250" s="232"/>
      <c r="N2250" s="212">
        <f t="shared" si="39"/>
        <v>1586</v>
      </c>
    </row>
    <row r="2251" spans="1:14" ht="12" customHeight="1">
      <c r="C2251" s="231"/>
      <c r="D2251" s="742"/>
      <c r="E2251" s="743"/>
      <c r="F2251" s="1714"/>
      <c r="G2251" s="743"/>
      <c r="H2251" s="743"/>
      <c r="I2251" s="743"/>
      <c r="J2251" s="232"/>
      <c r="K2251" s="232"/>
      <c r="L2251" s="232"/>
      <c r="N2251" s="212">
        <f t="shared" si="39"/>
        <v>1586</v>
      </c>
    </row>
    <row r="2252" spans="1:14" ht="12" customHeight="1">
      <c r="C2252" s="231"/>
      <c r="D2252" s="742"/>
      <c r="E2252" s="743"/>
      <c r="F2252" s="1714"/>
      <c r="G2252" s="743"/>
      <c r="H2252" s="743"/>
      <c r="I2252" s="743"/>
      <c r="J2252" s="232"/>
      <c r="K2252" s="232"/>
      <c r="L2252" s="232"/>
      <c r="N2252" s="212">
        <f t="shared" si="39"/>
        <v>1586</v>
      </c>
    </row>
    <row r="2253" spans="1:14" ht="12" customHeight="1">
      <c r="C2253" s="231"/>
      <c r="D2253" s="742"/>
      <c r="E2253" s="743"/>
      <c r="F2253" s="1714"/>
      <c r="G2253" s="743"/>
      <c r="H2253" s="743"/>
      <c r="I2253" s="743"/>
      <c r="J2253" s="232"/>
      <c r="K2253" s="232"/>
      <c r="L2253" s="232"/>
      <c r="N2253" s="212">
        <f t="shared" si="39"/>
        <v>1586</v>
      </c>
    </row>
    <row r="2254" spans="1:14" ht="12" customHeight="1">
      <c r="C2254" s="231"/>
      <c r="D2254" s="742"/>
      <c r="E2254" s="743"/>
      <c r="F2254" s="1714"/>
      <c r="G2254" s="743"/>
      <c r="H2254" s="743"/>
      <c r="I2254" s="743"/>
      <c r="J2254" s="232"/>
      <c r="K2254" s="232"/>
      <c r="L2254" s="232"/>
      <c r="N2254" s="212" t="e">
        <f>IF(D2254="",#REF!,#REF!+1)</f>
        <v>#REF!</v>
      </c>
    </row>
    <row r="2255" spans="1:14" ht="12" customHeight="1">
      <c r="C2255" s="231"/>
      <c r="D2255" s="742"/>
      <c r="E2255" s="743"/>
      <c r="F2255" s="1714"/>
      <c r="G2255" s="743"/>
      <c r="H2255" s="743"/>
      <c r="I2255" s="743"/>
      <c r="J2255" s="232"/>
      <c r="K2255" s="232"/>
      <c r="L2255" s="232"/>
      <c r="N2255" s="212" t="e">
        <f t="shared" si="39"/>
        <v>#REF!</v>
      </c>
    </row>
    <row r="2256" spans="1:14" ht="12" customHeight="1">
      <c r="C2256" s="231"/>
      <c r="D2256" s="742"/>
      <c r="E2256" s="743"/>
      <c r="F2256" s="1714"/>
      <c r="G2256" s="743"/>
      <c r="H2256" s="743"/>
      <c r="I2256" s="743"/>
      <c r="J2256" s="232"/>
      <c r="K2256" s="232"/>
      <c r="L2256" s="232"/>
      <c r="N2256" s="212" t="e">
        <f t="shared" si="39"/>
        <v>#REF!</v>
      </c>
    </row>
    <row r="2257" spans="3:14" ht="12" customHeight="1">
      <c r="C2257" s="231"/>
      <c r="D2257" s="742"/>
      <c r="E2257" s="743"/>
      <c r="F2257" s="1714"/>
      <c r="G2257" s="743"/>
      <c r="H2257" s="743"/>
      <c r="I2257" s="743"/>
      <c r="J2257" s="232"/>
      <c r="K2257" s="232"/>
      <c r="L2257" s="232"/>
      <c r="N2257" s="212" t="e">
        <f t="shared" si="39"/>
        <v>#REF!</v>
      </c>
    </row>
    <row r="2258" spans="3:14" ht="12" customHeight="1">
      <c r="C2258" s="231"/>
      <c r="D2258" s="742"/>
      <c r="E2258" s="743"/>
      <c r="F2258" s="1714"/>
      <c r="G2258" s="743"/>
      <c r="H2258" s="743"/>
      <c r="I2258" s="743"/>
      <c r="J2258" s="232"/>
      <c r="K2258" s="232"/>
      <c r="L2258" s="232"/>
      <c r="N2258" s="212" t="e">
        <f t="shared" si="39"/>
        <v>#REF!</v>
      </c>
    </row>
    <row r="2259" spans="3:14" ht="12" customHeight="1">
      <c r="C2259" s="231"/>
      <c r="D2259" s="742"/>
      <c r="E2259" s="743"/>
      <c r="F2259" s="1714"/>
      <c r="G2259" s="743"/>
      <c r="H2259" s="743"/>
      <c r="I2259" s="743"/>
      <c r="J2259" s="232"/>
      <c r="K2259" s="232"/>
      <c r="L2259" s="232"/>
      <c r="N2259" s="212" t="e">
        <f t="shared" si="39"/>
        <v>#REF!</v>
      </c>
    </row>
    <row r="2260" spans="3:14" ht="12" customHeight="1">
      <c r="C2260" s="231"/>
      <c r="D2260" s="742"/>
      <c r="E2260" s="743"/>
      <c r="F2260" s="1714"/>
      <c r="G2260" s="743"/>
      <c r="H2260" s="743"/>
      <c r="I2260" s="743"/>
      <c r="J2260" s="232"/>
      <c r="K2260" s="232"/>
      <c r="L2260" s="232"/>
      <c r="N2260" s="212" t="e">
        <f t="shared" si="39"/>
        <v>#REF!</v>
      </c>
    </row>
    <row r="2261" spans="3:14" ht="12" customHeight="1">
      <c r="C2261" s="231"/>
      <c r="D2261" s="742"/>
      <c r="E2261" s="743"/>
      <c r="F2261" s="1714"/>
      <c r="G2261" s="743"/>
      <c r="H2261" s="743"/>
      <c r="I2261" s="743"/>
      <c r="J2261" s="232"/>
      <c r="K2261" s="232"/>
      <c r="L2261" s="232"/>
      <c r="N2261" s="212" t="e">
        <f t="shared" si="39"/>
        <v>#REF!</v>
      </c>
    </row>
    <row r="2262" spans="3:14" ht="12" customHeight="1">
      <c r="C2262" s="231"/>
      <c r="D2262" s="742"/>
      <c r="E2262" s="743"/>
      <c r="F2262" s="1714"/>
      <c r="G2262" s="743"/>
      <c r="H2262" s="743"/>
      <c r="I2262" s="743"/>
      <c r="J2262" s="232"/>
      <c r="K2262" s="232"/>
      <c r="L2262" s="232"/>
      <c r="N2262" s="212" t="e">
        <f t="shared" si="39"/>
        <v>#REF!</v>
      </c>
    </row>
    <row r="2263" spans="3:14" ht="12" customHeight="1">
      <c r="C2263" s="231"/>
      <c r="D2263" s="742"/>
      <c r="E2263" s="743"/>
      <c r="F2263" s="1714"/>
      <c r="G2263" s="743"/>
      <c r="H2263" s="743"/>
      <c r="I2263" s="743"/>
      <c r="J2263" s="232"/>
      <c r="K2263" s="232"/>
      <c r="L2263" s="232"/>
      <c r="N2263" s="212" t="e">
        <f t="shared" si="39"/>
        <v>#REF!</v>
      </c>
    </row>
    <row r="2264" spans="3:14" ht="12" customHeight="1">
      <c r="C2264" s="210"/>
      <c r="D2264" s="207"/>
      <c r="E2264" s="208"/>
      <c r="F2264" s="1720"/>
      <c r="G2264" s="208"/>
      <c r="H2264" s="208"/>
      <c r="I2264" s="208"/>
      <c r="J2264" s="211"/>
      <c r="K2264" s="211"/>
      <c r="L2264" s="211"/>
      <c r="N2264" s="212"/>
    </row>
    <row r="2265" spans="3:14" ht="12" customHeight="1">
      <c r="C2265" s="210"/>
      <c r="D2265" s="207"/>
      <c r="E2265" s="208"/>
      <c r="F2265" s="1720"/>
      <c r="G2265" s="208"/>
      <c r="H2265" s="208"/>
      <c r="I2265" s="208"/>
      <c r="J2265" s="211"/>
      <c r="K2265" s="211"/>
      <c r="L2265" s="211"/>
      <c r="N2265" s="212"/>
    </row>
    <row r="2266" spans="3:14" ht="12" customHeight="1">
      <c r="C2266" s="210"/>
      <c r="D2266" s="207"/>
      <c r="E2266" s="208"/>
      <c r="F2266" s="1720"/>
      <c r="G2266" s="208"/>
      <c r="H2266" s="208"/>
      <c r="I2266" s="208"/>
      <c r="J2266" s="211"/>
      <c r="K2266" s="211"/>
      <c r="L2266" s="211"/>
      <c r="N2266" s="212"/>
    </row>
    <row r="2267" spans="3:14" ht="12" customHeight="1">
      <c r="C2267" s="210"/>
      <c r="D2267" s="207"/>
      <c r="E2267" s="208"/>
      <c r="F2267" s="1720"/>
      <c r="G2267" s="208"/>
      <c r="H2267" s="208"/>
      <c r="I2267" s="208"/>
      <c r="J2267" s="211"/>
      <c r="K2267" s="211"/>
      <c r="L2267" s="211"/>
      <c r="N2267" s="212"/>
    </row>
    <row r="2268" spans="3:14" ht="12" customHeight="1">
      <c r="C2268" s="210"/>
      <c r="D2268" s="207"/>
      <c r="E2268" s="208"/>
      <c r="F2268" s="1720"/>
      <c r="G2268" s="208"/>
      <c r="H2268" s="208"/>
      <c r="I2268" s="208"/>
      <c r="J2268" s="211"/>
      <c r="K2268" s="211"/>
      <c r="L2268" s="211"/>
      <c r="N2268" s="212"/>
    </row>
    <row r="2269" spans="3:14" ht="12" customHeight="1">
      <c r="C2269" s="210"/>
      <c r="D2269" s="207"/>
      <c r="E2269" s="208"/>
      <c r="F2269" s="1720"/>
      <c r="G2269" s="208"/>
      <c r="H2269" s="208"/>
      <c r="I2269" s="208"/>
      <c r="J2269" s="211"/>
      <c r="K2269" s="211"/>
      <c r="L2269" s="211"/>
      <c r="N2269" s="212"/>
    </row>
    <row r="2270" spans="3:14" ht="12" customHeight="1">
      <c r="C2270" s="210"/>
      <c r="D2270" s="3935"/>
      <c r="E2270" s="3936"/>
      <c r="F2270" s="3936"/>
      <c r="G2270" s="3936"/>
      <c r="H2270" s="3936"/>
      <c r="I2270" s="3936"/>
      <c r="J2270" s="211"/>
      <c r="K2270" s="211"/>
      <c r="L2270" s="211"/>
      <c r="N2270" s="212"/>
    </row>
    <row r="2271" spans="3:14" ht="12" customHeight="1">
      <c r="C2271" s="210"/>
      <c r="D2271" s="3935"/>
      <c r="E2271" s="3936"/>
      <c r="F2271" s="3936"/>
      <c r="G2271" s="3936"/>
      <c r="H2271" s="3936"/>
      <c r="I2271" s="3936"/>
      <c r="J2271" s="211"/>
      <c r="K2271" s="211"/>
      <c r="L2271" s="211"/>
      <c r="N2271" s="212"/>
    </row>
    <row r="2272" spans="3:14">
      <c r="N2272" s="212"/>
    </row>
    <row r="2273" spans="14:14">
      <c r="N2273" s="212"/>
    </row>
    <row r="2274" spans="14:14">
      <c r="N2274" s="212"/>
    </row>
    <row r="2275" spans="14:14">
      <c r="N2275" s="212"/>
    </row>
    <row r="2276" spans="14:14">
      <c r="N2276" s="212"/>
    </row>
    <row r="2277" spans="14:14">
      <c r="N2277" s="212"/>
    </row>
  </sheetData>
  <sheetProtection password="80A0" sheet="1" objects="1" scenarios="1"/>
  <mergeCells count="2096">
    <mergeCell ref="D1007:K1007"/>
    <mergeCell ref="E998:K998"/>
    <mergeCell ref="D1046:K1046"/>
    <mergeCell ref="D1139:K1139"/>
    <mergeCell ref="D1272:K1272"/>
    <mergeCell ref="D1314:K1314"/>
    <mergeCell ref="D1320:K1320"/>
    <mergeCell ref="D1324:K1324"/>
    <mergeCell ref="D1330:K1330"/>
    <mergeCell ref="D1332:K1332"/>
    <mergeCell ref="D1334:K1334"/>
    <mergeCell ref="D1335:K1335"/>
    <mergeCell ref="D1337:K1337"/>
    <mergeCell ref="D1342:K1342"/>
    <mergeCell ref="D1347:K1347"/>
    <mergeCell ref="D1350:K1350"/>
    <mergeCell ref="D1354:K1354"/>
    <mergeCell ref="E999:J999"/>
    <mergeCell ref="E1000:J1000"/>
    <mergeCell ref="E1001:J1001"/>
    <mergeCell ref="D1035:I1035"/>
    <mergeCell ref="D1036:I1036"/>
    <mergeCell ref="D1037:I1037"/>
    <mergeCell ref="D1038:I1038"/>
    <mergeCell ref="D1039:I1039"/>
    <mergeCell ref="D1040:I1040"/>
    <mergeCell ref="D1029:I1029"/>
    <mergeCell ref="D1030:I1030"/>
    <mergeCell ref="D1031:I1031"/>
    <mergeCell ref="D1032:I1032"/>
    <mergeCell ref="D1033:I1033"/>
    <mergeCell ref="D1034:I1034"/>
    <mergeCell ref="D967:K967"/>
    <mergeCell ref="D968:K968"/>
    <mergeCell ref="D971:K971"/>
    <mergeCell ref="D972:K972"/>
    <mergeCell ref="D973:K973"/>
    <mergeCell ref="D974:K974"/>
    <mergeCell ref="D978:K978"/>
    <mergeCell ref="D979:K979"/>
    <mergeCell ref="D980:K980"/>
    <mergeCell ref="D984:K984"/>
    <mergeCell ref="D985:K985"/>
    <mergeCell ref="D986:K986"/>
    <mergeCell ref="D990:K990"/>
    <mergeCell ref="D991:K991"/>
    <mergeCell ref="D982:I982"/>
    <mergeCell ref="D983:I983"/>
    <mergeCell ref="D962:I962"/>
    <mergeCell ref="D975:I975"/>
    <mergeCell ref="D976:I976"/>
    <mergeCell ref="D977:I977"/>
    <mergeCell ref="D810:K810"/>
    <mergeCell ref="D814:K814"/>
    <mergeCell ref="D816:K816"/>
    <mergeCell ref="D817:K817"/>
    <mergeCell ref="D818:K818"/>
    <mergeCell ref="D823:K823"/>
    <mergeCell ref="D825:K825"/>
    <mergeCell ref="D843:K843"/>
    <mergeCell ref="D844:K844"/>
    <mergeCell ref="D848:K848"/>
    <mergeCell ref="D849:K849"/>
    <mergeCell ref="D850:K850"/>
    <mergeCell ref="D851:K851"/>
    <mergeCell ref="D864:K864"/>
    <mergeCell ref="D865:K865"/>
    <mergeCell ref="D868:K868"/>
    <mergeCell ref="D882:K882"/>
    <mergeCell ref="D815:I815"/>
    <mergeCell ref="D869:I869"/>
    <mergeCell ref="D870:I870"/>
    <mergeCell ref="D881:I881"/>
    <mergeCell ref="D862:I862"/>
    <mergeCell ref="D863:I863"/>
    <mergeCell ref="D866:I866"/>
    <mergeCell ref="D867:I867"/>
    <mergeCell ref="D856:I856"/>
    <mergeCell ref="D857:I857"/>
    <mergeCell ref="D858:I858"/>
    <mergeCell ref="D859:I859"/>
    <mergeCell ref="D860:I860"/>
    <mergeCell ref="D861:I861"/>
    <mergeCell ref="D842:I842"/>
    <mergeCell ref="D395:I395"/>
    <mergeCell ref="D396:I396"/>
    <mergeCell ref="D422:I422"/>
    <mergeCell ref="D424:I424"/>
    <mergeCell ref="D540:K540"/>
    <mergeCell ref="D541:K541"/>
    <mergeCell ref="D596:K596"/>
    <mergeCell ref="D601:K601"/>
    <mergeCell ref="D602:K602"/>
    <mergeCell ref="D611:K611"/>
    <mergeCell ref="D645:K645"/>
    <mergeCell ref="D644:K644"/>
    <mergeCell ref="D650:K650"/>
    <mergeCell ref="D651:K651"/>
    <mergeCell ref="D653:K653"/>
    <mergeCell ref="D657:K657"/>
    <mergeCell ref="D528:I528"/>
    <mergeCell ref="D529:I529"/>
    <mergeCell ref="D583:I583"/>
    <mergeCell ref="D584:I584"/>
    <mergeCell ref="D585:I585"/>
    <mergeCell ref="D586:I586"/>
    <mergeCell ref="D589:I589"/>
    <mergeCell ref="D590:I590"/>
    <mergeCell ref="D591:I591"/>
    <mergeCell ref="D592:I592"/>
    <mergeCell ref="D593:I593"/>
    <mergeCell ref="D594:I594"/>
    <mergeCell ref="D619:I619"/>
    <mergeCell ref="D620:I620"/>
    <mergeCell ref="D587:I587"/>
    <mergeCell ref="D588:I588"/>
    <mergeCell ref="D397:K397"/>
    <mergeCell ref="D412:K412"/>
    <mergeCell ref="D421:K421"/>
    <mergeCell ref="D429:K429"/>
    <mergeCell ref="D432:K432"/>
    <mergeCell ref="D464:K464"/>
    <mergeCell ref="D468:K468"/>
    <mergeCell ref="D488:K488"/>
    <mergeCell ref="D489:K489"/>
    <mergeCell ref="D513:K513"/>
    <mergeCell ref="D514:K514"/>
    <mergeCell ref="D403:I403"/>
    <mergeCell ref="D404:I404"/>
    <mergeCell ref="D405:I405"/>
    <mergeCell ref="D407:I407"/>
    <mergeCell ref="D408:I408"/>
    <mergeCell ref="D409:I409"/>
    <mergeCell ref="D398:I398"/>
    <mergeCell ref="E399:I399"/>
    <mergeCell ref="D400:I400"/>
    <mergeCell ref="D401:I401"/>
    <mergeCell ref="D402:I402"/>
    <mergeCell ref="D425:I425"/>
    <mergeCell ref="D426:I426"/>
    <mergeCell ref="D427:I427"/>
    <mergeCell ref="D428:I428"/>
    <mergeCell ref="D416:I416"/>
    <mergeCell ref="D417:I417"/>
    <mergeCell ref="D418:I418"/>
    <mergeCell ref="D419:I419"/>
    <mergeCell ref="D420:I420"/>
    <mergeCell ref="D410:I410"/>
    <mergeCell ref="D206:I206"/>
    <mergeCell ref="D209:I209"/>
    <mergeCell ref="D212:I212"/>
    <mergeCell ref="D213:I213"/>
    <mergeCell ref="D214:I214"/>
    <mergeCell ref="D215:I215"/>
    <mergeCell ref="D225:I225"/>
    <mergeCell ref="D226:I226"/>
    <mergeCell ref="D227:I227"/>
    <mergeCell ref="D269:I269"/>
    <mergeCell ref="D358:K358"/>
    <mergeCell ref="D372:K372"/>
    <mergeCell ref="D376:K376"/>
    <mergeCell ref="D381:K381"/>
    <mergeCell ref="D388:K388"/>
    <mergeCell ref="D389:K389"/>
    <mergeCell ref="D208:K208"/>
    <mergeCell ref="D216:K216"/>
    <mergeCell ref="D223:K223"/>
    <mergeCell ref="D228:K228"/>
    <mergeCell ref="D237:K237"/>
    <mergeCell ref="D250:K250"/>
    <mergeCell ref="D251:K251"/>
    <mergeCell ref="D268:K268"/>
    <mergeCell ref="D270:K270"/>
    <mergeCell ref="D287:K287"/>
    <mergeCell ref="D288:K288"/>
    <mergeCell ref="D293:K293"/>
    <mergeCell ref="D294:K294"/>
    <mergeCell ref="D317:K317"/>
    <mergeCell ref="D217:I217"/>
    <mergeCell ref="D219:I219"/>
    <mergeCell ref="D220:I220"/>
    <mergeCell ref="D221:I221"/>
    <mergeCell ref="D1962:K1962"/>
    <mergeCell ref="D1963:K1963"/>
    <mergeCell ref="D1964:K1964"/>
    <mergeCell ref="D1965:K1965"/>
    <mergeCell ref="C1947:K1947"/>
    <mergeCell ref="D1958:K1958"/>
    <mergeCell ref="D2040:K2040"/>
    <mergeCell ref="D2038:K2038"/>
    <mergeCell ref="D2036:K2036"/>
    <mergeCell ref="D54:K54"/>
    <mergeCell ref="D69:K69"/>
    <mergeCell ref="D93:K93"/>
    <mergeCell ref="D98:K98"/>
    <mergeCell ref="D99:K99"/>
    <mergeCell ref="D100:K100"/>
    <mergeCell ref="D104:K104"/>
    <mergeCell ref="D114:K114"/>
    <mergeCell ref="D132:K132"/>
    <mergeCell ref="D136:K136"/>
    <mergeCell ref="D144:K144"/>
    <mergeCell ref="D151:K151"/>
    <mergeCell ref="D153:K153"/>
    <mergeCell ref="D156:K156"/>
    <mergeCell ref="D157:K157"/>
    <mergeCell ref="D181:K181"/>
    <mergeCell ref="D187:K187"/>
    <mergeCell ref="D189:K189"/>
    <mergeCell ref="D190:K190"/>
    <mergeCell ref="D205:I205"/>
    <mergeCell ref="D201:K201"/>
    <mergeCell ref="D204:K204"/>
    <mergeCell ref="D207:K207"/>
    <mergeCell ref="D2150:K2150"/>
    <mergeCell ref="D2155:K2155"/>
    <mergeCell ref="D2158:K2158"/>
    <mergeCell ref="D1765:K1765"/>
    <mergeCell ref="D1782:K1782"/>
    <mergeCell ref="D1778:K1778"/>
    <mergeCell ref="D1777:K1777"/>
    <mergeCell ref="D1799:K1799"/>
    <mergeCell ref="D1800:K1800"/>
    <mergeCell ref="D1804:K1804"/>
    <mergeCell ref="D1805:K1805"/>
    <mergeCell ref="D1806:K1806"/>
    <mergeCell ref="D1807:K1807"/>
    <mergeCell ref="D1808:K1808"/>
    <mergeCell ref="D1809:K1809"/>
    <mergeCell ref="D1811:K1811"/>
    <mergeCell ref="D1814:K1814"/>
    <mergeCell ref="D1815:K1815"/>
    <mergeCell ref="D1846:K1846"/>
    <mergeCell ref="D1847:K1847"/>
    <mergeCell ref="D1848:K1848"/>
    <mergeCell ref="D1849:K1849"/>
    <mergeCell ref="D1852:K1852"/>
    <mergeCell ref="D1853:K1853"/>
    <mergeCell ref="D1854:K1854"/>
    <mergeCell ref="D1886:K1886"/>
    <mergeCell ref="D1902:K1902"/>
    <mergeCell ref="D1919:K1919"/>
    <mergeCell ref="D218:I218"/>
    <mergeCell ref="D1959:K1959"/>
    <mergeCell ref="D1960:K1960"/>
    <mergeCell ref="D1961:K1961"/>
    <mergeCell ref="D2124:K2124"/>
    <mergeCell ref="D2128:K2128"/>
    <mergeCell ref="D2145:K2145"/>
    <mergeCell ref="D2056:I2056"/>
    <mergeCell ref="D2057:I2057"/>
    <mergeCell ref="D2061:I2061"/>
    <mergeCell ref="D2062:I2062"/>
    <mergeCell ref="D2063:I2063"/>
    <mergeCell ref="D2076:I2076"/>
    <mergeCell ref="D2081:I2081"/>
    <mergeCell ref="D2070:I2070"/>
    <mergeCell ref="D2071:I2071"/>
    <mergeCell ref="D2073:I2073"/>
    <mergeCell ref="D2074:I2074"/>
    <mergeCell ref="D2075:I2075"/>
    <mergeCell ref="D2126:I2126"/>
    <mergeCell ref="D2131:I2131"/>
    <mergeCell ref="D2130:I2130"/>
    <mergeCell ref="D2098:I2098"/>
    <mergeCell ref="D2099:I2099"/>
    <mergeCell ref="D2100:I2100"/>
    <mergeCell ref="D2119:I2119"/>
    <mergeCell ref="D2120:I2120"/>
    <mergeCell ref="D2123:I2123"/>
    <mergeCell ref="D2113:I2113"/>
    <mergeCell ref="D2114:I2114"/>
    <mergeCell ref="D2116:I2116"/>
    <mergeCell ref="D2097:J2097"/>
    <mergeCell ref="D2105:K2105"/>
    <mergeCell ref="D2115:K2115"/>
    <mergeCell ref="D2117:K2117"/>
    <mergeCell ref="D2118:K2118"/>
    <mergeCell ref="E3:G3"/>
    <mergeCell ref="A626:A651"/>
    <mergeCell ref="A800:A826"/>
    <mergeCell ref="A1437:A1463"/>
    <mergeCell ref="A1530:A1560"/>
    <mergeCell ref="A1864:A1891"/>
    <mergeCell ref="A1909:A1932"/>
    <mergeCell ref="B1930:B1961"/>
    <mergeCell ref="A2199:A2233"/>
    <mergeCell ref="D229:J229"/>
    <mergeCell ref="D362:I362"/>
    <mergeCell ref="D386:I386"/>
    <mergeCell ref="D390:I390"/>
    <mergeCell ref="D391:I391"/>
    <mergeCell ref="I12:J12"/>
    <mergeCell ref="I13:J13"/>
    <mergeCell ref="I14:J14"/>
    <mergeCell ref="I15:J15"/>
    <mergeCell ref="I16:J16"/>
    <mergeCell ref="I17:J17"/>
    <mergeCell ref="A2:A25"/>
    <mergeCell ref="D2:I2"/>
    <mergeCell ref="I5:J5"/>
    <mergeCell ref="I6:J6"/>
    <mergeCell ref="I7:J7"/>
    <mergeCell ref="I8:J8"/>
    <mergeCell ref="I9:J9"/>
    <mergeCell ref="I10:J10"/>
    <mergeCell ref="I11:J11"/>
    <mergeCell ref="D33:G33"/>
    <mergeCell ref="D34:G34"/>
    <mergeCell ref="D2019:K2019"/>
    <mergeCell ref="D35:G35"/>
    <mergeCell ref="D36:E36"/>
    <mergeCell ref="F36:G36"/>
    <mergeCell ref="D37:G37"/>
    <mergeCell ref="D27:I27"/>
    <mergeCell ref="A28:A50"/>
    <mergeCell ref="D28:I28"/>
    <mergeCell ref="D29:I29"/>
    <mergeCell ref="D30:I30"/>
    <mergeCell ref="D31:G31"/>
    <mergeCell ref="D32:G32"/>
    <mergeCell ref="I18:J18"/>
    <mergeCell ref="I19:J19"/>
    <mergeCell ref="I20:J20"/>
    <mergeCell ref="I21:J21"/>
    <mergeCell ref="I22:J22"/>
    <mergeCell ref="D53:I53"/>
    <mergeCell ref="D55:I55"/>
    <mergeCell ref="D56:I56"/>
    <mergeCell ref="D57:I57"/>
    <mergeCell ref="D58:I58"/>
    <mergeCell ref="D47:I47"/>
    <mergeCell ref="D48:I48"/>
    <mergeCell ref="D49:I49"/>
    <mergeCell ref="D50:I50"/>
    <mergeCell ref="D51:I51"/>
    <mergeCell ref="D52:I52"/>
    <mergeCell ref="B38:B66"/>
    <mergeCell ref="D38:I38"/>
    <mergeCell ref="D39:I39"/>
    <mergeCell ref="D40:I40"/>
    <mergeCell ref="D41:I41"/>
    <mergeCell ref="D42:I42"/>
    <mergeCell ref="D43:I43"/>
    <mergeCell ref="D44:I44"/>
    <mergeCell ref="D45:I45"/>
    <mergeCell ref="D46:I46"/>
    <mergeCell ref="D66:J66"/>
    <mergeCell ref="D72:I72"/>
    <mergeCell ref="D73:I73"/>
    <mergeCell ref="D74:I74"/>
    <mergeCell ref="D75:I75"/>
    <mergeCell ref="D76:I76"/>
    <mergeCell ref="D77:I77"/>
    <mergeCell ref="D67:I67"/>
    <mergeCell ref="D68:I68"/>
    <mergeCell ref="D70:I70"/>
    <mergeCell ref="D71:I71"/>
    <mergeCell ref="D59:I59"/>
    <mergeCell ref="D60:I60"/>
    <mergeCell ref="D61:I61"/>
    <mergeCell ref="D62:I62"/>
    <mergeCell ref="D63:I63"/>
    <mergeCell ref="D65:I65"/>
    <mergeCell ref="D94:I94"/>
    <mergeCell ref="D96:I96"/>
    <mergeCell ref="D97:I97"/>
    <mergeCell ref="D88:I88"/>
    <mergeCell ref="D89:I89"/>
    <mergeCell ref="D90:I90"/>
    <mergeCell ref="D91:I91"/>
    <mergeCell ref="D92:I92"/>
    <mergeCell ref="D78:I78"/>
    <mergeCell ref="D79:I79"/>
    <mergeCell ref="D80:I80"/>
    <mergeCell ref="A81:A107"/>
    <mergeCell ref="D81:I81"/>
    <mergeCell ref="D83:I83"/>
    <mergeCell ref="D84:I84"/>
    <mergeCell ref="D85:I85"/>
    <mergeCell ref="D86:I86"/>
    <mergeCell ref="D87:I87"/>
    <mergeCell ref="D101:I101"/>
    <mergeCell ref="D115:I115"/>
    <mergeCell ref="D116:I116"/>
    <mergeCell ref="D118:I118"/>
    <mergeCell ref="D119:I119"/>
    <mergeCell ref="D120:I120"/>
    <mergeCell ref="D121:I121"/>
    <mergeCell ref="D108:I108"/>
    <mergeCell ref="D109:I109"/>
    <mergeCell ref="D111:I111"/>
    <mergeCell ref="D112:I112"/>
    <mergeCell ref="D113:I113"/>
    <mergeCell ref="D102:I102"/>
    <mergeCell ref="D103:I103"/>
    <mergeCell ref="D105:I105"/>
    <mergeCell ref="D106:I106"/>
    <mergeCell ref="D107:I107"/>
    <mergeCell ref="D139:I139"/>
    <mergeCell ref="D140:I140"/>
    <mergeCell ref="D141:I141"/>
    <mergeCell ref="D142:I142"/>
    <mergeCell ref="D143:I143"/>
    <mergeCell ref="D133:I133"/>
    <mergeCell ref="D134:I134"/>
    <mergeCell ref="D135:I135"/>
    <mergeCell ref="D137:I137"/>
    <mergeCell ref="D123:I123"/>
    <mergeCell ref="D124:I124"/>
    <mergeCell ref="D125:I125"/>
    <mergeCell ref="D126:I126"/>
    <mergeCell ref="D130:I130"/>
    <mergeCell ref="D131:I131"/>
    <mergeCell ref="D152:I152"/>
    <mergeCell ref="D154:I154"/>
    <mergeCell ref="D155:I155"/>
    <mergeCell ref="D145:I145"/>
    <mergeCell ref="D146:I146"/>
    <mergeCell ref="D147:I147"/>
    <mergeCell ref="D148:I148"/>
    <mergeCell ref="D149:I149"/>
    <mergeCell ref="D150:I150"/>
    <mergeCell ref="D180:I180"/>
    <mergeCell ref="D182:I182"/>
    <mergeCell ref="D183:I183"/>
    <mergeCell ref="D184:I184"/>
    <mergeCell ref="D174:I174"/>
    <mergeCell ref="D175:I175"/>
    <mergeCell ref="D176:I176"/>
    <mergeCell ref="D177:I177"/>
    <mergeCell ref="D158:I158"/>
    <mergeCell ref="D198:I198"/>
    <mergeCell ref="D186:I186"/>
    <mergeCell ref="D188:I188"/>
    <mergeCell ref="D191:I191"/>
    <mergeCell ref="D159:I159"/>
    <mergeCell ref="D160:I160"/>
    <mergeCell ref="A161:A187"/>
    <mergeCell ref="D161:I161"/>
    <mergeCell ref="D163:I163"/>
    <mergeCell ref="D164:I164"/>
    <mergeCell ref="D165:I165"/>
    <mergeCell ref="D166:I166"/>
    <mergeCell ref="D167:I167"/>
    <mergeCell ref="D185:I185"/>
    <mergeCell ref="D178:I178"/>
    <mergeCell ref="D179:I179"/>
    <mergeCell ref="D168:I168"/>
    <mergeCell ref="D169:I169"/>
    <mergeCell ref="D170:I170"/>
    <mergeCell ref="D171:I171"/>
    <mergeCell ref="D172:I172"/>
    <mergeCell ref="D173:I173"/>
    <mergeCell ref="D195:K195"/>
    <mergeCell ref="D199:I199"/>
    <mergeCell ref="D200:I200"/>
    <mergeCell ref="D202:I202"/>
    <mergeCell ref="D203:I203"/>
    <mergeCell ref="D192:I192"/>
    <mergeCell ref="D193:I193"/>
    <mergeCell ref="D194:I194"/>
    <mergeCell ref="D196:I196"/>
    <mergeCell ref="D246:I246"/>
    <mergeCell ref="D247:I247"/>
    <mergeCell ref="D248:I248"/>
    <mergeCell ref="D249:I249"/>
    <mergeCell ref="A238:A266"/>
    <mergeCell ref="D238:I238"/>
    <mergeCell ref="D239:I239"/>
    <mergeCell ref="D240:I240"/>
    <mergeCell ref="D241:I241"/>
    <mergeCell ref="D242:I242"/>
    <mergeCell ref="D243:I243"/>
    <mergeCell ref="D244:I244"/>
    <mergeCell ref="D245:I245"/>
    <mergeCell ref="B230:B254"/>
    <mergeCell ref="D230:I230"/>
    <mergeCell ref="D231:I231"/>
    <mergeCell ref="D232:I232"/>
    <mergeCell ref="D233:I233"/>
    <mergeCell ref="D234:I234"/>
    <mergeCell ref="D235:I235"/>
    <mergeCell ref="D236:I236"/>
    <mergeCell ref="A211:A235"/>
    <mergeCell ref="D222:I222"/>
    <mergeCell ref="D224:I224"/>
    <mergeCell ref="D271:I271"/>
    <mergeCell ref="D272:I272"/>
    <mergeCell ref="D273:I273"/>
    <mergeCell ref="D258:I258"/>
    <mergeCell ref="D259:I259"/>
    <mergeCell ref="D260:I260"/>
    <mergeCell ref="D261:I261"/>
    <mergeCell ref="E262:I262"/>
    <mergeCell ref="B264:B293"/>
    <mergeCell ref="D264:I264"/>
    <mergeCell ref="D265:I265"/>
    <mergeCell ref="D266:I266"/>
    <mergeCell ref="D267:I267"/>
    <mergeCell ref="E252:I252"/>
    <mergeCell ref="D253:I253"/>
    <mergeCell ref="D254:I254"/>
    <mergeCell ref="D255:I255"/>
    <mergeCell ref="D256:I256"/>
    <mergeCell ref="D257:I257"/>
    <mergeCell ref="D289:I289"/>
    <mergeCell ref="D290:I290"/>
    <mergeCell ref="D291:I291"/>
    <mergeCell ref="D292:I292"/>
    <mergeCell ref="D280:I280"/>
    <mergeCell ref="D283:I283"/>
    <mergeCell ref="D284:I284"/>
    <mergeCell ref="D285:I285"/>
    <mergeCell ref="D286:I286"/>
    <mergeCell ref="D274:I274"/>
    <mergeCell ref="D275:I275"/>
    <mergeCell ref="D276:I276"/>
    <mergeCell ref="D277:I277"/>
    <mergeCell ref="D278:I278"/>
    <mergeCell ref="D279:I279"/>
    <mergeCell ref="D306:I306"/>
    <mergeCell ref="D307:I307"/>
    <mergeCell ref="D308:I308"/>
    <mergeCell ref="D309:I309"/>
    <mergeCell ref="D310:I310"/>
    <mergeCell ref="D311:I311"/>
    <mergeCell ref="D300:I300"/>
    <mergeCell ref="D301:I301"/>
    <mergeCell ref="D302:I302"/>
    <mergeCell ref="D303:I303"/>
    <mergeCell ref="D304:I304"/>
    <mergeCell ref="D305:I305"/>
    <mergeCell ref="E295:I295"/>
    <mergeCell ref="D296:I296"/>
    <mergeCell ref="D297:I297"/>
    <mergeCell ref="D298:I298"/>
    <mergeCell ref="D299:I299"/>
    <mergeCell ref="D328:I328"/>
    <mergeCell ref="D332:I332"/>
    <mergeCell ref="D333:I333"/>
    <mergeCell ref="D334:I334"/>
    <mergeCell ref="D335:I335"/>
    <mergeCell ref="D322:I322"/>
    <mergeCell ref="D323:I323"/>
    <mergeCell ref="D324:I324"/>
    <mergeCell ref="D325:I325"/>
    <mergeCell ref="D326:I326"/>
    <mergeCell ref="D327:I327"/>
    <mergeCell ref="D312:I312"/>
    <mergeCell ref="A314:A342"/>
    <mergeCell ref="D314:I314"/>
    <mergeCell ref="D315:I315"/>
    <mergeCell ref="D316:I316"/>
    <mergeCell ref="D318:I318"/>
    <mergeCell ref="D319:I319"/>
    <mergeCell ref="D320:I320"/>
    <mergeCell ref="D321:I321"/>
    <mergeCell ref="D336:K336"/>
    <mergeCell ref="D349:I349"/>
    <mergeCell ref="D350:I350"/>
    <mergeCell ref="D351:I351"/>
    <mergeCell ref="D352:I352"/>
    <mergeCell ref="D353:I353"/>
    <mergeCell ref="D354:I354"/>
    <mergeCell ref="D343:I343"/>
    <mergeCell ref="D344:I344"/>
    <mergeCell ref="D345:I345"/>
    <mergeCell ref="D346:I346"/>
    <mergeCell ref="D347:I347"/>
    <mergeCell ref="D348:I348"/>
    <mergeCell ref="D337:I337"/>
    <mergeCell ref="D338:I338"/>
    <mergeCell ref="D339:I339"/>
    <mergeCell ref="D340:I340"/>
    <mergeCell ref="D341:I341"/>
    <mergeCell ref="D342:I342"/>
    <mergeCell ref="L364:L390"/>
    <mergeCell ref="D365:I365"/>
    <mergeCell ref="D366:I366"/>
    <mergeCell ref="D367:I367"/>
    <mergeCell ref="B368:B395"/>
    <mergeCell ref="D368:I368"/>
    <mergeCell ref="D369:I369"/>
    <mergeCell ref="D370:I370"/>
    <mergeCell ref="D371:I371"/>
    <mergeCell ref="A355:A379"/>
    <mergeCell ref="D356:I356"/>
    <mergeCell ref="D357:I357"/>
    <mergeCell ref="D359:I359"/>
    <mergeCell ref="D360:I360"/>
    <mergeCell ref="D361:I361"/>
    <mergeCell ref="D363:I363"/>
    <mergeCell ref="D364:I364"/>
    <mergeCell ref="D385:I385"/>
    <mergeCell ref="D387:I387"/>
    <mergeCell ref="D379:I379"/>
    <mergeCell ref="D380:I380"/>
    <mergeCell ref="D382:I382"/>
    <mergeCell ref="D383:I383"/>
    <mergeCell ref="D384:I384"/>
    <mergeCell ref="D373:I373"/>
    <mergeCell ref="D374:I374"/>
    <mergeCell ref="D375:I375"/>
    <mergeCell ref="D377:I377"/>
    <mergeCell ref="D378:I378"/>
    <mergeCell ref="E392:I392"/>
    <mergeCell ref="D393:I393"/>
    <mergeCell ref="D394:I394"/>
    <mergeCell ref="D411:I411"/>
    <mergeCell ref="D413:I413"/>
    <mergeCell ref="D414:I414"/>
    <mergeCell ref="D415:I415"/>
    <mergeCell ref="A441:A463"/>
    <mergeCell ref="D441:I441"/>
    <mergeCell ref="D442:I442"/>
    <mergeCell ref="D443:I443"/>
    <mergeCell ref="D444:I444"/>
    <mergeCell ref="D445:I445"/>
    <mergeCell ref="D446:I446"/>
    <mergeCell ref="D447:I447"/>
    <mergeCell ref="D448:I448"/>
    <mergeCell ref="D449:I449"/>
    <mergeCell ref="D435:I435"/>
    <mergeCell ref="D436:I436"/>
    <mergeCell ref="D437:I437"/>
    <mergeCell ref="D438:I438"/>
    <mergeCell ref="D439:I439"/>
    <mergeCell ref="D440:I440"/>
    <mergeCell ref="D430:I430"/>
    <mergeCell ref="D431:I431"/>
    <mergeCell ref="D433:I433"/>
    <mergeCell ref="D434:I434"/>
    <mergeCell ref="D460:I460"/>
    <mergeCell ref="D461:I461"/>
    <mergeCell ref="D462:I462"/>
    <mergeCell ref="D463:I463"/>
    <mergeCell ref="B457:B481"/>
    <mergeCell ref="D465:I465"/>
    <mergeCell ref="D456:I456"/>
    <mergeCell ref="D457:I457"/>
    <mergeCell ref="D458:I458"/>
    <mergeCell ref="D459:I459"/>
    <mergeCell ref="D450:I450"/>
    <mergeCell ref="D451:I451"/>
    <mergeCell ref="D452:I452"/>
    <mergeCell ref="D453:I453"/>
    <mergeCell ref="D454:I454"/>
    <mergeCell ref="D455:I455"/>
    <mergeCell ref="D483:I483"/>
    <mergeCell ref="D484:I484"/>
    <mergeCell ref="D485:I485"/>
    <mergeCell ref="D503:I503"/>
    <mergeCell ref="D504:I504"/>
    <mergeCell ref="D505:I505"/>
    <mergeCell ref="D490:I490"/>
    <mergeCell ref="D492:I492"/>
    <mergeCell ref="D493:I493"/>
    <mergeCell ref="D494:I494"/>
    <mergeCell ref="D495:I495"/>
    <mergeCell ref="D486:I486"/>
    <mergeCell ref="D487:I487"/>
    <mergeCell ref="D471:I471"/>
    <mergeCell ref="D472:I472"/>
    <mergeCell ref="D475:I475"/>
    <mergeCell ref="D476:I476"/>
    <mergeCell ref="A477:A507"/>
    <mergeCell ref="D478:I478"/>
    <mergeCell ref="D479:I479"/>
    <mergeCell ref="D480:I480"/>
    <mergeCell ref="D481:I481"/>
    <mergeCell ref="D482:I482"/>
    <mergeCell ref="D466:I466"/>
    <mergeCell ref="D467:I467"/>
    <mergeCell ref="D469:I469"/>
    <mergeCell ref="D470:I470"/>
    <mergeCell ref="D506:I506"/>
    <mergeCell ref="D507:I507"/>
    <mergeCell ref="D508:I508"/>
    <mergeCell ref="D509:I509"/>
    <mergeCell ref="D510:I510"/>
    <mergeCell ref="D511:I511"/>
    <mergeCell ref="D496:I496"/>
    <mergeCell ref="D497:I497"/>
    <mergeCell ref="D498:I498"/>
    <mergeCell ref="D499:I499"/>
    <mergeCell ref="D501:I501"/>
    <mergeCell ref="B502:B527"/>
    <mergeCell ref="D502:I502"/>
    <mergeCell ref="D524:I524"/>
    <mergeCell ref="D525:I525"/>
    <mergeCell ref="D526:I526"/>
    <mergeCell ref="D527:I527"/>
    <mergeCell ref="D519:I519"/>
    <mergeCell ref="D520:I520"/>
    <mergeCell ref="D522:I522"/>
    <mergeCell ref="D523:I523"/>
    <mergeCell ref="D512:I512"/>
    <mergeCell ref="D515:I515"/>
    <mergeCell ref="D516:I516"/>
    <mergeCell ref="A555:A581"/>
    <mergeCell ref="D555:I555"/>
    <mergeCell ref="D556:I556"/>
    <mergeCell ref="D557:I557"/>
    <mergeCell ref="D558:I558"/>
    <mergeCell ref="D536:I536"/>
    <mergeCell ref="D537:I537"/>
    <mergeCell ref="D538:I538"/>
    <mergeCell ref="D530:I530"/>
    <mergeCell ref="D532:I532"/>
    <mergeCell ref="D533:I533"/>
    <mergeCell ref="D534:I534"/>
    <mergeCell ref="D535:I535"/>
    <mergeCell ref="D565:I565"/>
    <mergeCell ref="D566:I566"/>
    <mergeCell ref="D567:I567"/>
    <mergeCell ref="D568:I568"/>
    <mergeCell ref="D569:I569"/>
    <mergeCell ref="D570:I570"/>
    <mergeCell ref="D559:I559"/>
    <mergeCell ref="D560:I560"/>
    <mergeCell ref="D561:I561"/>
    <mergeCell ref="D562:I562"/>
    <mergeCell ref="D563:I563"/>
    <mergeCell ref="D564:I564"/>
    <mergeCell ref="D517:K517"/>
    <mergeCell ref="D518:K518"/>
    <mergeCell ref="D521:K521"/>
    <mergeCell ref="D531:K531"/>
    <mergeCell ref="D539:K539"/>
    <mergeCell ref="D581:I581"/>
    <mergeCell ref="D582:I582"/>
    <mergeCell ref="D571:I571"/>
    <mergeCell ref="D572:I572"/>
    <mergeCell ref="D573:I573"/>
    <mergeCell ref="D574:I574"/>
    <mergeCell ref="D575:I575"/>
    <mergeCell ref="D576:I576"/>
    <mergeCell ref="D603:I603"/>
    <mergeCell ref="D613:I613"/>
    <mergeCell ref="D614:I614"/>
    <mergeCell ref="D615:I615"/>
    <mergeCell ref="D616:I616"/>
    <mergeCell ref="D617:I617"/>
    <mergeCell ref="D618:I618"/>
    <mergeCell ref="D607:I607"/>
    <mergeCell ref="D608:I608"/>
    <mergeCell ref="D609:I609"/>
    <mergeCell ref="D610:I610"/>
    <mergeCell ref="D612:I612"/>
    <mergeCell ref="D604:I604"/>
    <mergeCell ref="D605:I605"/>
    <mergeCell ref="D606:I606"/>
    <mergeCell ref="D595:I595"/>
    <mergeCell ref="D597:I597"/>
    <mergeCell ref="D598:I598"/>
    <mergeCell ref="D599:I599"/>
    <mergeCell ref="D600:I600"/>
    <mergeCell ref="D577:I577"/>
    <mergeCell ref="D578:I578"/>
    <mergeCell ref="D579:I579"/>
    <mergeCell ref="D580:I580"/>
    <mergeCell ref="D637:I637"/>
    <mergeCell ref="D638:I638"/>
    <mergeCell ref="D639:I639"/>
    <mergeCell ref="D640:I640"/>
    <mergeCell ref="D641:I641"/>
    <mergeCell ref="D642:I642"/>
    <mergeCell ref="D631:I631"/>
    <mergeCell ref="D632:I632"/>
    <mergeCell ref="D633:I633"/>
    <mergeCell ref="D634:I634"/>
    <mergeCell ref="D635:I635"/>
    <mergeCell ref="D636:I636"/>
    <mergeCell ref="D621:I621"/>
    <mergeCell ref="D626:I626"/>
    <mergeCell ref="D627:I627"/>
    <mergeCell ref="D628:I628"/>
    <mergeCell ref="D629:I629"/>
    <mergeCell ref="D630:I630"/>
    <mergeCell ref="D655:I655"/>
    <mergeCell ref="D656:I656"/>
    <mergeCell ref="D658:I658"/>
    <mergeCell ref="D659:I659"/>
    <mergeCell ref="D649:I649"/>
    <mergeCell ref="D652:I652"/>
    <mergeCell ref="D654:I654"/>
    <mergeCell ref="D643:I643"/>
    <mergeCell ref="D646:I646"/>
    <mergeCell ref="D647:I647"/>
    <mergeCell ref="D648:I648"/>
    <mergeCell ref="D674:I674"/>
    <mergeCell ref="D675:I675"/>
    <mergeCell ref="D660:K660"/>
    <mergeCell ref="D661:K661"/>
    <mergeCell ref="D662:K662"/>
    <mergeCell ref="D663:K663"/>
    <mergeCell ref="D669:K669"/>
    <mergeCell ref="D672:K672"/>
    <mergeCell ref="D673:K673"/>
    <mergeCell ref="D676:I676"/>
    <mergeCell ref="D677:I677"/>
    <mergeCell ref="D678:I678"/>
    <mergeCell ref="D668:I668"/>
    <mergeCell ref="D670:I670"/>
    <mergeCell ref="D671:I671"/>
    <mergeCell ref="D664:I664"/>
    <mergeCell ref="D666:I666"/>
    <mergeCell ref="D667:I667"/>
    <mergeCell ref="D698:I698"/>
    <mergeCell ref="D679:K679"/>
    <mergeCell ref="D682:K682"/>
    <mergeCell ref="D691:K691"/>
    <mergeCell ref="D694:K694"/>
    <mergeCell ref="D695:K695"/>
    <mergeCell ref="D699:I699"/>
    <mergeCell ref="D700:I700"/>
    <mergeCell ref="D701:I701"/>
    <mergeCell ref="D702:I702"/>
    <mergeCell ref="D703:I703"/>
    <mergeCell ref="D692:I692"/>
    <mergeCell ref="D696:I696"/>
    <mergeCell ref="D697:I697"/>
    <mergeCell ref="D680:I680"/>
    <mergeCell ref="D683:I683"/>
    <mergeCell ref="D684:I684"/>
    <mergeCell ref="D686:I686"/>
    <mergeCell ref="D690:I690"/>
    <mergeCell ref="D716:I716"/>
    <mergeCell ref="D718:I718"/>
    <mergeCell ref="D719:I719"/>
    <mergeCell ref="D720:I720"/>
    <mergeCell ref="D721:I721"/>
    <mergeCell ref="D710:I710"/>
    <mergeCell ref="D712:I712"/>
    <mergeCell ref="D713:I713"/>
    <mergeCell ref="D714:I714"/>
    <mergeCell ref="D715:I715"/>
    <mergeCell ref="D704:I704"/>
    <mergeCell ref="D705:I705"/>
    <mergeCell ref="D707:I707"/>
    <mergeCell ref="D709:I709"/>
    <mergeCell ref="D706:K706"/>
    <mergeCell ref="D708:K708"/>
    <mergeCell ref="D711:K711"/>
    <mergeCell ref="D717:K717"/>
    <mergeCell ref="D734:I734"/>
    <mergeCell ref="D735:I735"/>
    <mergeCell ref="D736:I736"/>
    <mergeCell ref="D737:I737"/>
    <mergeCell ref="D738:I738"/>
    <mergeCell ref="D739:I739"/>
    <mergeCell ref="D728:I728"/>
    <mergeCell ref="D729:I729"/>
    <mergeCell ref="D730:I730"/>
    <mergeCell ref="D731:I731"/>
    <mergeCell ref="D732:I732"/>
    <mergeCell ref="D733:I733"/>
    <mergeCell ref="D722:I722"/>
    <mergeCell ref="D723:I723"/>
    <mergeCell ref="D724:I724"/>
    <mergeCell ref="D725:I725"/>
    <mergeCell ref="D726:I726"/>
    <mergeCell ref="D727:I727"/>
    <mergeCell ref="D755:I755"/>
    <mergeCell ref="D756:I756"/>
    <mergeCell ref="D757:I757"/>
    <mergeCell ref="D758:I758"/>
    <mergeCell ref="D760:I760"/>
    <mergeCell ref="D746:I746"/>
    <mergeCell ref="D747:I747"/>
    <mergeCell ref="A748:A774"/>
    <mergeCell ref="D748:I748"/>
    <mergeCell ref="D749:I749"/>
    <mergeCell ref="D750:I750"/>
    <mergeCell ref="D751:I751"/>
    <mergeCell ref="D752:I752"/>
    <mergeCell ref="D753:I753"/>
    <mergeCell ref="D754:I754"/>
    <mergeCell ref="D740:I740"/>
    <mergeCell ref="D741:I741"/>
    <mergeCell ref="D742:I742"/>
    <mergeCell ref="D743:I743"/>
    <mergeCell ref="D744:I744"/>
    <mergeCell ref="D745:I745"/>
    <mergeCell ref="D759:K759"/>
    <mergeCell ref="D775:I775"/>
    <mergeCell ref="D776:I776"/>
    <mergeCell ref="D777:I777"/>
    <mergeCell ref="D778:I778"/>
    <mergeCell ref="D779:I779"/>
    <mergeCell ref="D780:I780"/>
    <mergeCell ref="D769:I769"/>
    <mergeCell ref="D770:I770"/>
    <mergeCell ref="D771:I771"/>
    <mergeCell ref="D772:I772"/>
    <mergeCell ref="D773:I773"/>
    <mergeCell ref="D774:I774"/>
    <mergeCell ref="D761:I761"/>
    <mergeCell ref="D762:I762"/>
    <mergeCell ref="D763:I763"/>
    <mergeCell ref="D764:I764"/>
    <mergeCell ref="D767:I767"/>
    <mergeCell ref="D768:I768"/>
    <mergeCell ref="D793:I793"/>
    <mergeCell ref="D794:I794"/>
    <mergeCell ref="D795:I795"/>
    <mergeCell ref="D796:I796"/>
    <mergeCell ref="D797:I797"/>
    <mergeCell ref="D798:I798"/>
    <mergeCell ref="D787:I787"/>
    <mergeCell ref="D788:I788"/>
    <mergeCell ref="D789:I789"/>
    <mergeCell ref="D790:I790"/>
    <mergeCell ref="D791:I791"/>
    <mergeCell ref="D792:I792"/>
    <mergeCell ref="D781:I781"/>
    <mergeCell ref="D782:I782"/>
    <mergeCell ref="D783:I783"/>
    <mergeCell ref="D784:I784"/>
    <mergeCell ref="D785:I785"/>
    <mergeCell ref="D786:I786"/>
    <mergeCell ref="D799:I799"/>
    <mergeCell ref="D800:I800"/>
    <mergeCell ref="D801:I801"/>
    <mergeCell ref="D802:I802"/>
    <mergeCell ref="D803:I803"/>
    <mergeCell ref="D804:I804"/>
    <mergeCell ref="D805:I805"/>
    <mergeCell ref="D806:I806"/>
    <mergeCell ref="D807:I807"/>
    <mergeCell ref="D808:I808"/>
    <mergeCell ref="D809:I809"/>
    <mergeCell ref="D845:I845"/>
    <mergeCell ref="D847:I847"/>
    <mergeCell ref="D827:I827"/>
    <mergeCell ref="D832:I832"/>
    <mergeCell ref="D833:I833"/>
    <mergeCell ref="D834:I834"/>
    <mergeCell ref="D835:I835"/>
    <mergeCell ref="D836:I836"/>
    <mergeCell ref="D837:I837"/>
    <mergeCell ref="D831:I831"/>
    <mergeCell ref="D819:I819"/>
    <mergeCell ref="D820:I820"/>
    <mergeCell ref="D821:I821"/>
    <mergeCell ref="D811:I811"/>
    <mergeCell ref="D812:I812"/>
    <mergeCell ref="D813:I813"/>
    <mergeCell ref="D828:I828"/>
    <mergeCell ref="D829:I829"/>
    <mergeCell ref="D839:I839"/>
    <mergeCell ref="D840:I840"/>
    <mergeCell ref="D841:I841"/>
    <mergeCell ref="D822:I822"/>
    <mergeCell ref="D824:I824"/>
    <mergeCell ref="D826:I826"/>
    <mergeCell ref="D896:I896"/>
    <mergeCell ref="D897:I897"/>
    <mergeCell ref="D898:I898"/>
    <mergeCell ref="D899:I899"/>
    <mergeCell ref="D900:I900"/>
    <mergeCell ref="D901:I901"/>
    <mergeCell ref="D890:I890"/>
    <mergeCell ref="D891:I891"/>
    <mergeCell ref="D892:I892"/>
    <mergeCell ref="D893:I893"/>
    <mergeCell ref="D894:I894"/>
    <mergeCell ref="D895:I895"/>
    <mergeCell ref="D887:I887"/>
    <mergeCell ref="D889:I889"/>
    <mergeCell ref="D852:I852"/>
    <mergeCell ref="D854:I854"/>
    <mergeCell ref="D855:I855"/>
    <mergeCell ref="D883:K883"/>
    <mergeCell ref="D884:K884"/>
    <mergeCell ref="D885:K885"/>
    <mergeCell ref="D888:K888"/>
    <mergeCell ref="D914:I914"/>
    <mergeCell ref="D918:I918"/>
    <mergeCell ref="D919:I919"/>
    <mergeCell ref="D908:I908"/>
    <mergeCell ref="D909:I909"/>
    <mergeCell ref="D910:I910"/>
    <mergeCell ref="D911:I911"/>
    <mergeCell ref="D912:I912"/>
    <mergeCell ref="D913:I913"/>
    <mergeCell ref="D902:I902"/>
    <mergeCell ref="D903:I903"/>
    <mergeCell ref="D904:I904"/>
    <mergeCell ref="D905:I905"/>
    <mergeCell ref="D906:I906"/>
    <mergeCell ref="D907:I907"/>
    <mergeCell ref="D915:K915"/>
    <mergeCell ref="D916:K916"/>
    <mergeCell ref="D917:K917"/>
    <mergeCell ref="D932:I932"/>
    <mergeCell ref="D933:I933"/>
    <mergeCell ref="D934:I934"/>
    <mergeCell ref="D936:I936"/>
    <mergeCell ref="D937:I937"/>
    <mergeCell ref="D928:I928"/>
    <mergeCell ref="D929:I929"/>
    <mergeCell ref="D930:I930"/>
    <mergeCell ref="D931:I931"/>
    <mergeCell ref="D920:I920"/>
    <mergeCell ref="D921:I921"/>
    <mergeCell ref="D922:I922"/>
    <mergeCell ref="D923:I923"/>
    <mergeCell ref="D924:I924"/>
    <mergeCell ref="D925:I925"/>
    <mergeCell ref="D926:K926"/>
    <mergeCell ref="D927:K927"/>
    <mergeCell ref="D935:K935"/>
    <mergeCell ref="D951:I951"/>
    <mergeCell ref="D952:I952"/>
    <mergeCell ref="D953:I953"/>
    <mergeCell ref="D955:I955"/>
    <mergeCell ref="D944:I944"/>
    <mergeCell ref="D947:I947"/>
    <mergeCell ref="D948:I948"/>
    <mergeCell ref="D949:I949"/>
    <mergeCell ref="D941:I941"/>
    <mergeCell ref="D942:I942"/>
    <mergeCell ref="D943:I943"/>
    <mergeCell ref="D938:K938"/>
    <mergeCell ref="D939:K939"/>
    <mergeCell ref="D940:K940"/>
    <mergeCell ref="D945:K945"/>
    <mergeCell ref="D946:K946"/>
    <mergeCell ref="D954:K954"/>
    <mergeCell ref="D950:K950"/>
    <mergeCell ref="D992:J992"/>
    <mergeCell ref="D969:I969"/>
    <mergeCell ref="D970:I970"/>
    <mergeCell ref="D964:I964"/>
    <mergeCell ref="D965:I965"/>
    <mergeCell ref="D966:I966"/>
    <mergeCell ref="D993:K993"/>
    <mergeCell ref="D994:K994"/>
    <mergeCell ref="D1012:I1012"/>
    <mergeCell ref="D1013:I1013"/>
    <mergeCell ref="D1014:I1014"/>
    <mergeCell ref="D957:I957"/>
    <mergeCell ref="D960:I960"/>
    <mergeCell ref="D987:I987"/>
    <mergeCell ref="D1006:I1006"/>
    <mergeCell ref="D1008:I1008"/>
    <mergeCell ref="D1009:I1009"/>
    <mergeCell ref="D1010:I1010"/>
    <mergeCell ref="D1011:I1011"/>
    <mergeCell ref="D1003:I1003"/>
    <mergeCell ref="D1004:I1004"/>
    <mergeCell ref="D1005:I1005"/>
    <mergeCell ref="D995:I995"/>
    <mergeCell ref="D996:I996"/>
    <mergeCell ref="D997:J997"/>
    <mergeCell ref="D1002:I1002"/>
    <mergeCell ref="D988:I988"/>
    <mergeCell ref="D989:I989"/>
    <mergeCell ref="D981:I981"/>
    <mergeCell ref="D958:K958"/>
    <mergeCell ref="D959:K959"/>
    <mergeCell ref="D963:K963"/>
    <mergeCell ref="D1020:I1020"/>
    <mergeCell ref="D1021:I1021"/>
    <mergeCell ref="D1022:I1022"/>
    <mergeCell ref="A1023:A1051"/>
    <mergeCell ref="D1023:I1023"/>
    <mergeCell ref="D1024:I1024"/>
    <mergeCell ref="D1025:I1025"/>
    <mergeCell ref="D1026:I1026"/>
    <mergeCell ref="D1027:I1027"/>
    <mergeCell ref="D1028:I1028"/>
    <mergeCell ref="D1056:I1056"/>
    <mergeCell ref="D1057:I1057"/>
    <mergeCell ref="D1058:I1058"/>
    <mergeCell ref="D1059:I1059"/>
    <mergeCell ref="D1060:I1060"/>
    <mergeCell ref="D1061:I1061"/>
    <mergeCell ref="D1049:I1049"/>
    <mergeCell ref="D1050:I1050"/>
    <mergeCell ref="D1051:I1051"/>
    <mergeCell ref="D1053:I1053"/>
    <mergeCell ref="D1054:I1054"/>
    <mergeCell ref="D1055:I1055"/>
    <mergeCell ref="D1041:I1041"/>
    <mergeCell ref="D1044:I1044"/>
    <mergeCell ref="D1045:I1045"/>
    <mergeCell ref="D1047:I1047"/>
    <mergeCell ref="D1048:I1048"/>
    <mergeCell ref="D1043:I1043"/>
    <mergeCell ref="D1042:I1042"/>
    <mergeCell ref="D1082:I1082"/>
    <mergeCell ref="D1083:I1083"/>
    <mergeCell ref="D1084:I1084"/>
    <mergeCell ref="D1085:I1085"/>
    <mergeCell ref="D1086:I1086"/>
    <mergeCell ref="D1087:I1087"/>
    <mergeCell ref="D1068:I1068"/>
    <mergeCell ref="D1069:I1069"/>
    <mergeCell ref="D1070:I1070"/>
    <mergeCell ref="D1071:I1071"/>
    <mergeCell ref="D1074:I1074"/>
    <mergeCell ref="A1078:A1103"/>
    <mergeCell ref="D1078:I1078"/>
    <mergeCell ref="D1079:I1079"/>
    <mergeCell ref="D1080:I1080"/>
    <mergeCell ref="D1081:I1081"/>
    <mergeCell ref="D1062:I1062"/>
    <mergeCell ref="D1063:I1063"/>
    <mergeCell ref="D1064:I1064"/>
    <mergeCell ref="D1065:I1065"/>
    <mergeCell ref="D1066:I1066"/>
    <mergeCell ref="D1067:I1067"/>
    <mergeCell ref="D1101:I1101"/>
    <mergeCell ref="D1102:I1102"/>
    <mergeCell ref="D1103:I1103"/>
    <mergeCell ref="D1100:I1100"/>
    <mergeCell ref="D1104:I1104"/>
    <mergeCell ref="D1105:I1105"/>
    <mergeCell ref="D1094:I1094"/>
    <mergeCell ref="D1095:I1095"/>
    <mergeCell ref="D1096:I1096"/>
    <mergeCell ref="D1097:I1097"/>
    <mergeCell ref="D1098:I1098"/>
    <mergeCell ref="D1099:I1099"/>
    <mergeCell ref="D1088:I1088"/>
    <mergeCell ref="D1089:I1089"/>
    <mergeCell ref="D1090:I1090"/>
    <mergeCell ref="D1091:I1091"/>
    <mergeCell ref="D1092:I1092"/>
    <mergeCell ref="D1093:I1093"/>
    <mergeCell ref="D1118:I1118"/>
    <mergeCell ref="D1119:I1119"/>
    <mergeCell ref="D1120:I1120"/>
    <mergeCell ref="D1121:I1121"/>
    <mergeCell ref="D1122:I1122"/>
    <mergeCell ref="D1123:I1123"/>
    <mergeCell ref="D1112:I1112"/>
    <mergeCell ref="D1113:I1113"/>
    <mergeCell ref="D1114:I1114"/>
    <mergeCell ref="D1115:I1115"/>
    <mergeCell ref="D1116:I1116"/>
    <mergeCell ref="D1117:I1117"/>
    <mergeCell ref="D1106:I1106"/>
    <mergeCell ref="D1107:I1107"/>
    <mergeCell ref="D1108:I1108"/>
    <mergeCell ref="D1109:I1109"/>
    <mergeCell ref="D1110:I1110"/>
    <mergeCell ref="D1111:I1111"/>
    <mergeCell ref="D1140:I1140"/>
    <mergeCell ref="D1141:I1141"/>
    <mergeCell ref="D1142:I1142"/>
    <mergeCell ref="D1143:I1143"/>
    <mergeCell ref="D1144:I1144"/>
    <mergeCell ref="D1145:I1145"/>
    <mergeCell ref="D1131:I1131"/>
    <mergeCell ref="D1133:I1133"/>
    <mergeCell ref="D1134:I1134"/>
    <mergeCell ref="D1136:I1136"/>
    <mergeCell ref="D1137:I1137"/>
    <mergeCell ref="D1124:I1124"/>
    <mergeCell ref="D1125:I1125"/>
    <mergeCell ref="D1126:I1126"/>
    <mergeCell ref="D1127:I1127"/>
    <mergeCell ref="D1128:I1128"/>
    <mergeCell ref="D1130:I1130"/>
    <mergeCell ref="D1158:I1158"/>
    <mergeCell ref="D1159:I1159"/>
    <mergeCell ref="D1160:I1160"/>
    <mergeCell ref="D1161:I1161"/>
    <mergeCell ref="D1164:I1164"/>
    <mergeCell ref="D1152:I1152"/>
    <mergeCell ref="D1153:I1153"/>
    <mergeCell ref="D1154:I1154"/>
    <mergeCell ref="D1155:I1155"/>
    <mergeCell ref="D1156:I1156"/>
    <mergeCell ref="D1157:I1157"/>
    <mergeCell ref="D1146:I1146"/>
    <mergeCell ref="D1147:I1147"/>
    <mergeCell ref="D1148:I1148"/>
    <mergeCell ref="D1149:I1149"/>
    <mergeCell ref="D1150:I1150"/>
    <mergeCell ref="D1151:I1151"/>
    <mergeCell ref="D1186:I1186"/>
    <mergeCell ref="D1187:I1187"/>
    <mergeCell ref="D1188:I1188"/>
    <mergeCell ref="D1189:I1189"/>
    <mergeCell ref="D1190:I1190"/>
    <mergeCell ref="D1191:I1191"/>
    <mergeCell ref="D1180:I1180"/>
    <mergeCell ref="D1181:I1181"/>
    <mergeCell ref="D1182:I1182"/>
    <mergeCell ref="D1183:I1183"/>
    <mergeCell ref="D1184:I1184"/>
    <mergeCell ref="D1185:I1185"/>
    <mergeCell ref="D1172:I1172"/>
    <mergeCell ref="A1173:A1198"/>
    <mergeCell ref="D1173:I1173"/>
    <mergeCell ref="D1174:I1174"/>
    <mergeCell ref="D1175:I1175"/>
    <mergeCell ref="D1176:I1176"/>
    <mergeCell ref="D1177:I1177"/>
    <mergeCell ref="D1178:I1178"/>
    <mergeCell ref="D1179:I1179"/>
    <mergeCell ref="D1203:I1203"/>
    <mergeCell ref="D1204:I1204"/>
    <mergeCell ref="D1205:I1205"/>
    <mergeCell ref="D1206:I1206"/>
    <mergeCell ref="D1207:I1207"/>
    <mergeCell ref="D1208:I1208"/>
    <mergeCell ref="D1197:I1197"/>
    <mergeCell ref="D1198:I1198"/>
    <mergeCell ref="D1199:I1199"/>
    <mergeCell ref="D1200:I1200"/>
    <mergeCell ref="D1201:I1201"/>
    <mergeCell ref="D1202:I1202"/>
    <mergeCell ref="D1192:I1192"/>
    <mergeCell ref="D1193:I1193"/>
    <mergeCell ref="D1194:I1194"/>
    <mergeCell ref="D1195:I1195"/>
    <mergeCell ref="D1196:I1196"/>
    <mergeCell ref="D1221:I1221"/>
    <mergeCell ref="D1222:I1222"/>
    <mergeCell ref="D1223:I1223"/>
    <mergeCell ref="D1224:I1224"/>
    <mergeCell ref="D1225:I1225"/>
    <mergeCell ref="D1226:I1226"/>
    <mergeCell ref="D1215:I1215"/>
    <mergeCell ref="D1216:I1216"/>
    <mergeCell ref="D1217:I1217"/>
    <mergeCell ref="D1218:I1218"/>
    <mergeCell ref="D1219:I1219"/>
    <mergeCell ref="D1220:I1220"/>
    <mergeCell ref="D1209:I1209"/>
    <mergeCell ref="D1210:I1210"/>
    <mergeCell ref="D1211:I1211"/>
    <mergeCell ref="D1212:I1212"/>
    <mergeCell ref="D1213:I1213"/>
    <mergeCell ref="D1214:I1214"/>
    <mergeCell ref="D1239:I1239"/>
    <mergeCell ref="D1240:I1240"/>
    <mergeCell ref="A1241:A1267"/>
    <mergeCell ref="D1242:I1242"/>
    <mergeCell ref="D1243:I1243"/>
    <mergeCell ref="D1244:I1244"/>
    <mergeCell ref="D1245:I1245"/>
    <mergeCell ref="D1246:I1246"/>
    <mergeCell ref="D1247:I1247"/>
    <mergeCell ref="D1248:I1248"/>
    <mergeCell ref="D1233:I1233"/>
    <mergeCell ref="D1234:I1234"/>
    <mergeCell ref="D1235:I1235"/>
    <mergeCell ref="D1236:I1236"/>
    <mergeCell ref="D1237:I1237"/>
    <mergeCell ref="D1238:I1238"/>
    <mergeCell ref="D1227:I1227"/>
    <mergeCell ref="D1228:I1228"/>
    <mergeCell ref="D1229:I1229"/>
    <mergeCell ref="D1230:I1230"/>
    <mergeCell ref="D1231:I1231"/>
    <mergeCell ref="D1232:I1232"/>
    <mergeCell ref="D1261:I1261"/>
    <mergeCell ref="D1262:I1262"/>
    <mergeCell ref="D1263:I1263"/>
    <mergeCell ref="D1264:I1264"/>
    <mergeCell ref="D1265:I1265"/>
    <mergeCell ref="D1266:I1266"/>
    <mergeCell ref="D1255:I1255"/>
    <mergeCell ref="D1256:I1256"/>
    <mergeCell ref="D1257:I1257"/>
    <mergeCell ref="D1258:I1258"/>
    <mergeCell ref="D1259:I1259"/>
    <mergeCell ref="D1260:I1260"/>
    <mergeCell ref="D1249:I1249"/>
    <mergeCell ref="D1250:I1250"/>
    <mergeCell ref="D1251:I1251"/>
    <mergeCell ref="D1252:I1252"/>
    <mergeCell ref="D1253:I1253"/>
    <mergeCell ref="D1254:I1254"/>
    <mergeCell ref="D1279:I1279"/>
    <mergeCell ref="D1280:I1280"/>
    <mergeCell ref="D1281:I1281"/>
    <mergeCell ref="D1282:I1282"/>
    <mergeCell ref="D1283:I1283"/>
    <mergeCell ref="D1284:I1284"/>
    <mergeCell ref="D1273:I1273"/>
    <mergeCell ref="D1274:I1274"/>
    <mergeCell ref="D1275:I1275"/>
    <mergeCell ref="D1276:I1276"/>
    <mergeCell ref="D1277:I1277"/>
    <mergeCell ref="D1278:I1278"/>
    <mergeCell ref="D1267:I1267"/>
    <mergeCell ref="D1268:I1268"/>
    <mergeCell ref="D1269:I1269"/>
    <mergeCell ref="D1270:I1270"/>
    <mergeCell ref="D1271:I1271"/>
    <mergeCell ref="D1303:I1303"/>
    <mergeCell ref="D1304:I1304"/>
    <mergeCell ref="D1305:I1305"/>
    <mergeCell ref="D1306:I1306"/>
    <mergeCell ref="D1307:I1307"/>
    <mergeCell ref="D1308:I1308"/>
    <mergeCell ref="D1297:I1297"/>
    <mergeCell ref="D1298:I1298"/>
    <mergeCell ref="D1299:I1299"/>
    <mergeCell ref="D1300:I1300"/>
    <mergeCell ref="D1301:I1301"/>
    <mergeCell ref="D1302:I1302"/>
    <mergeCell ref="D1288:I1288"/>
    <mergeCell ref="D1289:I1289"/>
    <mergeCell ref="A1290:A1315"/>
    <mergeCell ref="D1290:I1290"/>
    <mergeCell ref="D1291:I1291"/>
    <mergeCell ref="D1292:I1292"/>
    <mergeCell ref="D1293:I1293"/>
    <mergeCell ref="D1294:I1294"/>
    <mergeCell ref="D1295:I1295"/>
    <mergeCell ref="D1296:I1296"/>
    <mergeCell ref="D1321:I1321"/>
    <mergeCell ref="D1322:I1322"/>
    <mergeCell ref="D1323:I1323"/>
    <mergeCell ref="D1325:I1325"/>
    <mergeCell ref="D1326:I1326"/>
    <mergeCell ref="D1315:I1315"/>
    <mergeCell ref="D1316:I1316"/>
    <mergeCell ref="D1317:I1317"/>
    <mergeCell ref="D1318:I1318"/>
    <mergeCell ref="D1319:I1319"/>
    <mergeCell ref="D1309:I1309"/>
    <mergeCell ref="D1310:I1310"/>
    <mergeCell ref="D1311:I1311"/>
    <mergeCell ref="D1312:I1312"/>
    <mergeCell ref="D1313:I1313"/>
    <mergeCell ref="D1339:I1339"/>
    <mergeCell ref="D1340:I1340"/>
    <mergeCell ref="D1341:I1341"/>
    <mergeCell ref="D1343:I1343"/>
    <mergeCell ref="D1344:I1344"/>
    <mergeCell ref="D1333:I1333"/>
    <mergeCell ref="D1336:I1336"/>
    <mergeCell ref="D1338:I1338"/>
    <mergeCell ref="D1327:I1327"/>
    <mergeCell ref="D1328:I1328"/>
    <mergeCell ref="D1329:I1329"/>
    <mergeCell ref="D1331:I1331"/>
    <mergeCell ref="D1357:I1357"/>
    <mergeCell ref="D1359:I1359"/>
    <mergeCell ref="D1360:I1360"/>
    <mergeCell ref="D1361:I1361"/>
    <mergeCell ref="D1362:I1362"/>
    <mergeCell ref="D1351:I1351"/>
    <mergeCell ref="D1352:I1352"/>
    <mergeCell ref="D1353:I1353"/>
    <mergeCell ref="D1355:I1355"/>
    <mergeCell ref="D1356:I1356"/>
    <mergeCell ref="D1345:I1345"/>
    <mergeCell ref="D1346:I1346"/>
    <mergeCell ref="D1348:I1348"/>
    <mergeCell ref="D1349:I1349"/>
    <mergeCell ref="D1358:K1358"/>
    <mergeCell ref="D1375:I1375"/>
    <mergeCell ref="D1376:I1376"/>
    <mergeCell ref="D1377:I1377"/>
    <mergeCell ref="D1379:I1379"/>
    <mergeCell ref="D1380:I1380"/>
    <mergeCell ref="D1381:I1381"/>
    <mergeCell ref="D1370:I1370"/>
    <mergeCell ref="D1371:I1371"/>
    <mergeCell ref="D1373:I1373"/>
    <mergeCell ref="D1374:I1374"/>
    <mergeCell ref="D1363:I1363"/>
    <mergeCell ref="D1365:I1365"/>
    <mergeCell ref="D1366:I1366"/>
    <mergeCell ref="D1367:I1367"/>
    <mergeCell ref="D1364:K1364"/>
    <mergeCell ref="D1368:K1368"/>
    <mergeCell ref="D1369:K1369"/>
    <mergeCell ref="D1372:K1372"/>
    <mergeCell ref="D1394:I1394"/>
    <mergeCell ref="D1396:I1396"/>
    <mergeCell ref="D1397:I1397"/>
    <mergeCell ref="D1398:I1398"/>
    <mergeCell ref="D1399:I1399"/>
    <mergeCell ref="D1388:I1388"/>
    <mergeCell ref="D1389:I1389"/>
    <mergeCell ref="D1390:I1390"/>
    <mergeCell ref="D1392:I1392"/>
    <mergeCell ref="D1393:I1393"/>
    <mergeCell ref="D1382:I1382"/>
    <mergeCell ref="D1383:I1383"/>
    <mergeCell ref="D1384:I1384"/>
    <mergeCell ref="D1385:I1385"/>
    <mergeCell ref="D1386:I1386"/>
    <mergeCell ref="D1387:I1387"/>
    <mergeCell ref="D1391:K1391"/>
    <mergeCell ref="D1395:K1395"/>
    <mergeCell ref="D1412:I1412"/>
    <mergeCell ref="D1413:I1413"/>
    <mergeCell ref="D1414:I1414"/>
    <mergeCell ref="D1415:I1415"/>
    <mergeCell ref="D1416:I1416"/>
    <mergeCell ref="D1417:I1417"/>
    <mergeCell ref="D1406:I1406"/>
    <mergeCell ref="D1407:I1407"/>
    <mergeCell ref="D1408:I1408"/>
    <mergeCell ref="D1409:I1409"/>
    <mergeCell ref="D1410:I1410"/>
    <mergeCell ref="D1411:I1411"/>
    <mergeCell ref="D1400:H1400"/>
    <mergeCell ref="D1404:H1404"/>
    <mergeCell ref="D1405:H1405"/>
    <mergeCell ref="D1401:I1401"/>
    <mergeCell ref="D1402:I1402"/>
    <mergeCell ref="D1403:I1403"/>
    <mergeCell ref="D1440:I1440"/>
    <mergeCell ref="D1441:I1441"/>
    <mergeCell ref="D1442:I1442"/>
    <mergeCell ref="D1443:I1443"/>
    <mergeCell ref="D1444:I1444"/>
    <mergeCell ref="D1445:I1445"/>
    <mergeCell ref="D1434:I1434"/>
    <mergeCell ref="D1435:I1435"/>
    <mergeCell ref="D1436:I1436"/>
    <mergeCell ref="D1437:I1437"/>
    <mergeCell ref="D1438:I1438"/>
    <mergeCell ref="D1439:I1439"/>
    <mergeCell ref="D1418:I1418"/>
    <mergeCell ref="D1419:I1419"/>
    <mergeCell ref="D1420:I1420"/>
    <mergeCell ref="D1421:I1421"/>
    <mergeCell ref="D1422:I1422"/>
    <mergeCell ref="D1432:I1432"/>
    <mergeCell ref="D1458:I1458"/>
    <mergeCell ref="D1459:I1459"/>
    <mergeCell ref="D1460:I1460"/>
    <mergeCell ref="D1461:I1461"/>
    <mergeCell ref="D1462:I1462"/>
    <mergeCell ref="D1463:I1463"/>
    <mergeCell ref="D1452:I1452"/>
    <mergeCell ref="D1453:I1453"/>
    <mergeCell ref="D1454:I1454"/>
    <mergeCell ref="D1455:I1455"/>
    <mergeCell ref="D1456:I1456"/>
    <mergeCell ref="D1457:I1457"/>
    <mergeCell ref="D1446:I1446"/>
    <mergeCell ref="D1447:I1447"/>
    <mergeCell ref="D1448:I1448"/>
    <mergeCell ref="D1449:I1449"/>
    <mergeCell ref="D1450:I1450"/>
    <mergeCell ref="D1451:I1451"/>
    <mergeCell ref="D1476:I1476"/>
    <mergeCell ref="D1477:I1477"/>
    <mergeCell ref="D1478:I1478"/>
    <mergeCell ref="D1479:I1479"/>
    <mergeCell ref="D1480:I1480"/>
    <mergeCell ref="D1481:I1481"/>
    <mergeCell ref="D1470:I1470"/>
    <mergeCell ref="D1471:I1471"/>
    <mergeCell ref="D1472:I1472"/>
    <mergeCell ref="D1473:I1473"/>
    <mergeCell ref="D1474:I1474"/>
    <mergeCell ref="D1475:I1475"/>
    <mergeCell ref="D1464:I1464"/>
    <mergeCell ref="D1465:I1465"/>
    <mergeCell ref="D1466:I1466"/>
    <mergeCell ref="D1467:I1467"/>
    <mergeCell ref="D1468:I1468"/>
    <mergeCell ref="D1469:I1469"/>
    <mergeCell ref="D1505:I1505"/>
    <mergeCell ref="D1506:I1506"/>
    <mergeCell ref="D1507:I1507"/>
    <mergeCell ref="D1496:I1496"/>
    <mergeCell ref="D1497:I1497"/>
    <mergeCell ref="D1498:I1498"/>
    <mergeCell ref="D1499:I1499"/>
    <mergeCell ref="D1500:I1500"/>
    <mergeCell ref="D1501:I1501"/>
    <mergeCell ref="D1488:I1488"/>
    <mergeCell ref="D1489:I1489"/>
    <mergeCell ref="D1490:I1490"/>
    <mergeCell ref="D1493:I1493"/>
    <mergeCell ref="D1494:I1494"/>
    <mergeCell ref="D1495:I1495"/>
    <mergeCell ref="D1482:I1482"/>
    <mergeCell ref="D1483:I1483"/>
    <mergeCell ref="D1484:I1484"/>
    <mergeCell ref="D1485:I1485"/>
    <mergeCell ref="D1486:I1486"/>
    <mergeCell ref="D1487:I1487"/>
    <mergeCell ref="D1492:I1492"/>
    <mergeCell ref="D1502:I1502"/>
    <mergeCell ref="D1503:I1503"/>
    <mergeCell ref="D1504:I1504"/>
    <mergeCell ref="D1617:I1617"/>
    <mergeCell ref="D1630:I1630"/>
    <mergeCell ref="D1631:I1631"/>
    <mergeCell ref="D1632:I1632"/>
    <mergeCell ref="D1633:I1633"/>
    <mergeCell ref="D1634:I1634"/>
    <mergeCell ref="D1527:I1527"/>
    <mergeCell ref="D1528:I1528"/>
    <mergeCell ref="D1529:I1529"/>
    <mergeCell ref="D1531:I1531"/>
    <mergeCell ref="D1611:I1611"/>
    <mergeCell ref="D1520:I1520"/>
    <mergeCell ref="D1521:I1521"/>
    <mergeCell ref="D1522:I1522"/>
    <mergeCell ref="D1523:I1523"/>
    <mergeCell ref="D1524:I1524"/>
    <mergeCell ref="D1525:I1525"/>
    <mergeCell ref="D1533:I1533"/>
    <mergeCell ref="D1534:I1534"/>
    <mergeCell ref="D1535:I1535"/>
    <mergeCell ref="D1536:I1536"/>
    <mergeCell ref="D1537:I1537"/>
    <mergeCell ref="D1538:I1538"/>
    <mergeCell ref="D1539:I1539"/>
    <mergeCell ref="D1540:I1540"/>
    <mergeCell ref="D1541:I1541"/>
    <mergeCell ref="D1542:I1542"/>
    <mergeCell ref="D1543:I1543"/>
    <mergeCell ref="D1544:I1544"/>
    <mergeCell ref="D1545:I1545"/>
    <mergeCell ref="D1546:I1546"/>
    <mergeCell ref="D1564:I1564"/>
    <mergeCell ref="D1650:I1650"/>
    <mergeCell ref="D1651:I1651"/>
    <mergeCell ref="D1652:I1652"/>
    <mergeCell ref="D1653:I1653"/>
    <mergeCell ref="D1654:I1654"/>
    <mergeCell ref="D1655:I1655"/>
    <mergeCell ref="D1644:I1644"/>
    <mergeCell ref="D1645:I1645"/>
    <mergeCell ref="D1646:I1646"/>
    <mergeCell ref="D1647:I1647"/>
    <mergeCell ref="D1648:I1648"/>
    <mergeCell ref="D1649:I1649"/>
    <mergeCell ref="A1635:A1661"/>
    <mergeCell ref="D1635:I1635"/>
    <mergeCell ref="D1636:I1636"/>
    <mergeCell ref="D1637:I1637"/>
    <mergeCell ref="D1638:I1638"/>
    <mergeCell ref="D1639:I1639"/>
    <mergeCell ref="D1641:I1641"/>
    <mergeCell ref="D1642:I1642"/>
    <mergeCell ref="D1643:I1643"/>
    <mergeCell ref="D1640:J1640"/>
    <mergeCell ref="D1668:I1668"/>
    <mergeCell ref="D1669:I1669"/>
    <mergeCell ref="D1670:I1670"/>
    <mergeCell ref="D1673:I1673"/>
    <mergeCell ref="D1662:I1662"/>
    <mergeCell ref="D1663:I1663"/>
    <mergeCell ref="D1664:I1664"/>
    <mergeCell ref="D1665:I1665"/>
    <mergeCell ref="D1666:I1666"/>
    <mergeCell ref="D1667:I1667"/>
    <mergeCell ref="D1656:I1656"/>
    <mergeCell ref="D1657:I1657"/>
    <mergeCell ref="D1658:I1658"/>
    <mergeCell ref="D1659:I1659"/>
    <mergeCell ref="D1660:I1660"/>
    <mergeCell ref="D1661:I1661"/>
    <mergeCell ref="D1672:J1672"/>
    <mergeCell ref="D1671:K1671"/>
    <mergeCell ref="D1687:I1687"/>
    <mergeCell ref="D1688:I1688"/>
    <mergeCell ref="D1689:I1689"/>
    <mergeCell ref="D1690:I1690"/>
    <mergeCell ref="D1691:I1691"/>
    <mergeCell ref="D1692:I1692"/>
    <mergeCell ref="D1681:I1681"/>
    <mergeCell ref="D1682:I1682"/>
    <mergeCell ref="D1683:I1683"/>
    <mergeCell ref="D1684:I1684"/>
    <mergeCell ref="D1685:I1685"/>
    <mergeCell ref="D1686:I1686"/>
    <mergeCell ref="D1674:I1674"/>
    <mergeCell ref="D1675:I1675"/>
    <mergeCell ref="D1676:I1676"/>
    <mergeCell ref="D1678:I1678"/>
    <mergeCell ref="D1679:I1679"/>
    <mergeCell ref="D1680:I1680"/>
    <mergeCell ref="D1705:I1705"/>
    <mergeCell ref="D1706:I1706"/>
    <mergeCell ref="D1707:I1707"/>
    <mergeCell ref="D1708:I1708"/>
    <mergeCell ref="D1709:I1709"/>
    <mergeCell ref="D1710:I1710"/>
    <mergeCell ref="D1699:I1699"/>
    <mergeCell ref="D1700:I1700"/>
    <mergeCell ref="D1701:I1701"/>
    <mergeCell ref="D1702:I1702"/>
    <mergeCell ref="D1703:I1703"/>
    <mergeCell ref="D1704:I1704"/>
    <mergeCell ref="D1693:I1693"/>
    <mergeCell ref="D1694:I1694"/>
    <mergeCell ref="D1695:I1695"/>
    <mergeCell ref="D1696:I1696"/>
    <mergeCell ref="D1697:I1697"/>
    <mergeCell ref="D1698:I1698"/>
    <mergeCell ref="D1723:I1723"/>
    <mergeCell ref="D1724:I1724"/>
    <mergeCell ref="D1725:I1725"/>
    <mergeCell ref="D1726:I1726"/>
    <mergeCell ref="D1727:I1727"/>
    <mergeCell ref="D1728:I1728"/>
    <mergeCell ref="D1717:I1717"/>
    <mergeCell ref="D1718:I1718"/>
    <mergeCell ref="D1719:I1719"/>
    <mergeCell ref="D1720:I1720"/>
    <mergeCell ref="D1721:I1721"/>
    <mergeCell ref="D1722:I1722"/>
    <mergeCell ref="D1711:I1711"/>
    <mergeCell ref="D1712:I1712"/>
    <mergeCell ref="D1713:I1713"/>
    <mergeCell ref="D1714:I1714"/>
    <mergeCell ref="D1715:I1715"/>
    <mergeCell ref="D1716:I1716"/>
    <mergeCell ref="A1748:A1776"/>
    <mergeCell ref="D1749:I1749"/>
    <mergeCell ref="D1751:I1751"/>
    <mergeCell ref="D1752:I1752"/>
    <mergeCell ref="D1753:I1753"/>
    <mergeCell ref="D1735:I1735"/>
    <mergeCell ref="D1736:I1736"/>
    <mergeCell ref="D1737:I1737"/>
    <mergeCell ref="D1738:I1738"/>
    <mergeCell ref="D1739:I1739"/>
    <mergeCell ref="D1740:I1740"/>
    <mergeCell ref="D1729:I1729"/>
    <mergeCell ref="D1730:I1730"/>
    <mergeCell ref="D1731:I1731"/>
    <mergeCell ref="D1732:I1732"/>
    <mergeCell ref="D1733:I1733"/>
    <mergeCell ref="D1734:I1734"/>
    <mergeCell ref="D1760:I1760"/>
    <mergeCell ref="D1761:I1761"/>
    <mergeCell ref="D1762:I1762"/>
    <mergeCell ref="D1763:I1763"/>
    <mergeCell ref="D1764:I1764"/>
    <mergeCell ref="D1754:I1754"/>
    <mergeCell ref="D1755:I1755"/>
    <mergeCell ref="D1756:I1756"/>
    <mergeCell ref="D1757:I1757"/>
    <mergeCell ref="D1758:I1758"/>
    <mergeCell ref="D1759:I1759"/>
    <mergeCell ref="D1741:I1741"/>
    <mergeCell ref="D1742:I1742"/>
    <mergeCell ref="D1743:I1743"/>
    <mergeCell ref="D1787:I1787"/>
    <mergeCell ref="D1788:I1788"/>
    <mergeCell ref="D1789:I1789"/>
    <mergeCell ref="D1744:I1744"/>
    <mergeCell ref="D1746:I1746"/>
    <mergeCell ref="D1779:I1779"/>
    <mergeCell ref="D1780:I1780"/>
    <mergeCell ref="D1781:I1781"/>
    <mergeCell ref="D1783:I1783"/>
    <mergeCell ref="D1772:I1772"/>
    <mergeCell ref="D1773:I1773"/>
    <mergeCell ref="D1774:I1774"/>
    <mergeCell ref="D1775:I1775"/>
    <mergeCell ref="D1776:I1776"/>
    <mergeCell ref="D1766:I1766"/>
    <mergeCell ref="D1767:I1767"/>
    <mergeCell ref="D1768:I1768"/>
    <mergeCell ref="D1769:I1769"/>
    <mergeCell ref="D1770:I1770"/>
    <mergeCell ref="D1771:I1771"/>
    <mergeCell ref="D1796:I1796"/>
    <mergeCell ref="D1797:I1797"/>
    <mergeCell ref="D1785:I1785"/>
    <mergeCell ref="A1823:A1859"/>
    <mergeCell ref="D1823:I1823"/>
    <mergeCell ref="D1824:I1824"/>
    <mergeCell ref="D1825:I1825"/>
    <mergeCell ref="D1826:I1826"/>
    <mergeCell ref="D1827:I1827"/>
    <mergeCell ref="D1828:I1828"/>
    <mergeCell ref="D1829:I1829"/>
    <mergeCell ref="D1813:I1813"/>
    <mergeCell ref="D1802:I1802"/>
    <mergeCell ref="D1803:I1803"/>
    <mergeCell ref="D1855:I1855"/>
    <mergeCell ref="D1856:I1856"/>
    <mergeCell ref="D1857:I1857"/>
    <mergeCell ref="D1858:I1858"/>
    <mergeCell ref="D1859:I1859"/>
    <mergeCell ref="D1810:J1810"/>
    <mergeCell ref="D1812:J1812"/>
    <mergeCell ref="D1841:I1841"/>
    <mergeCell ref="D1842:I1842"/>
    <mergeCell ref="D1843:I1843"/>
    <mergeCell ref="D1844:I1844"/>
    <mergeCell ref="D1845:I1845"/>
    <mergeCell ref="D1830:I1830"/>
    <mergeCell ref="D1831:I1831"/>
    <mergeCell ref="D1832:I1832"/>
    <mergeCell ref="D1833:I1833"/>
    <mergeCell ref="D1840:I1840"/>
    <mergeCell ref="D1786:I1786"/>
    <mergeCell ref="D1850:I1850"/>
    <mergeCell ref="D1851:I1851"/>
    <mergeCell ref="D1860:I1860"/>
    <mergeCell ref="D1861:I1861"/>
    <mergeCell ref="D1862:I1862"/>
    <mergeCell ref="D1863:I1863"/>
    <mergeCell ref="D1864:I1864"/>
    <mergeCell ref="D1865:I1865"/>
    <mergeCell ref="D1866:I1866"/>
    <mergeCell ref="D1867:I1867"/>
    <mergeCell ref="D1868:I1868"/>
    <mergeCell ref="B1840:B1869"/>
    <mergeCell ref="D1903:I1903"/>
    <mergeCell ref="D1908:I1908"/>
    <mergeCell ref="D1798:I1798"/>
    <mergeCell ref="D1871:I1871"/>
    <mergeCell ref="D1872:I1872"/>
    <mergeCell ref="D1873:I1873"/>
    <mergeCell ref="D1874:I1874"/>
    <mergeCell ref="D1893:I1893"/>
    <mergeCell ref="D1894:I1894"/>
    <mergeCell ref="D1895:I1895"/>
    <mergeCell ref="D1897:I1897"/>
    <mergeCell ref="D1869:I1869"/>
    <mergeCell ref="D1870:I1870"/>
    <mergeCell ref="D1882:I1882"/>
    <mergeCell ref="D1883:I1883"/>
    <mergeCell ref="D1884:I1884"/>
    <mergeCell ref="D1885:I1885"/>
    <mergeCell ref="D1887:I1887"/>
    <mergeCell ref="D1888:I1888"/>
    <mergeCell ref="D1889:I1889"/>
    <mergeCell ref="D1875:I1875"/>
    <mergeCell ref="D1876:I1876"/>
    <mergeCell ref="D1877:I1877"/>
    <mergeCell ref="D1878:I1878"/>
    <mergeCell ref="D1880:I1880"/>
    <mergeCell ref="D1881:I1881"/>
    <mergeCell ref="D1896:I1896"/>
    <mergeCell ref="L1897:L1929"/>
    <mergeCell ref="D1898:I1898"/>
    <mergeCell ref="D1899:I1899"/>
    <mergeCell ref="D1900:I1900"/>
    <mergeCell ref="D1901:I1901"/>
    <mergeCell ref="D1922:I1922"/>
    <mergeCell ref="D1923:I1923"/>
    <mergeCell ref="D1926:I1926"/>
    <mergeCell ref="D1915:I1915"/>
    <mergeCell ref="D1916:I1916"/>
    <mergeCell ref="D1917:I1917"/>
    <mergeCell ref="D1918:I1918"/>
    <mergeCell ref="D1920:I1920"/>
    <mergeCell ref="D1914:I1914"/>
    <mergeCell ref="D1924:K1924"/>
    <mergeCell ref="D1925:K1925"/>
    <mergeCell ref="D1912:I1912"/>
    <mergeCell ref="D1913:I1913"/>
    <mergeCell ref="D1909:I1909"/>
    <mergeCell ref="D1910:I1910"/>
    <mergeCell ref="D1911:I1911"/>
    <mergeCell ref="D1928:K1928"/>
    <mergeCell ref="D1929:K1929"/>
    <mergeCell ref="D1935:K1935"/>
    <mergeCell ref="D1933:I1933"/>
    <mergeCell ref="D1940:I1940"/>
    <mergeCell ref="D1921:K1921"/>
    <mergeCell ref="D1938:I1938"/>
    <mergeCell ref="D1939:I1939"/>
    <mergeCell ref="D1927:I1927"/>
    <mergeCell ref="D1936:K1936"/>
    <mergeCell ref="D1953:I1953"/>
    <mergeCell ref="D1890:I1890"/>
    <mergeCell ref="D1954:I1954"/>
    <mergeCell ref="D1955:I1955"/>
    <mergeCell ref="D1956:I1956"/>
    <mergeCell ref="D1957:I1957"/>
    <mergeCell ref="D1946:I1946"/>
    <mergeCell ref="D1948:I1948"/>
    <mergeCell ref="D1949:I1949"/>
    <mergeCell ref="D1950:I1950"/>
    <mergeCell ref="D1951:I1951"/>
    <mergeCell ref="D1930:I1930"/>
    <mergeCell ref="D1931:I1931"/>
    <mergeCell ref="D1932:I1932"/>
    <mergeCell ref="D1942:I1942"/>
    <mergeCell ref="D1943:I1943"/>
    <mergeCell ref="D1945:I1945"/>
    <mergeCell ref="D1934:I1934"/>
    <mergeCell ref="D1937:K1937"/>
    <mergeCell ref="D1944:K1944"/>
    <mergeCell ref="D1941:I1941"/>
    <mergeCell ref="D1952:I1952"/>
    <mergeCell ref="D1997:I1997"/>
    <mergeCell ref="D1977:I1977"/>
    <mergeCell ref="D1978:I1978"/>
    <mergeCell ref="D1979:I1979"/>
    <mergeCell ref="D1980:I1980"/>
    <mergeCell ref="D1981:I1981"/>
    <mergeCell ref="D1982:I1982"/>
    <mergeCell ref="D1970:I1970"/>
    <mergeCell ref="D1971:I1971"/>
    <mergeCell ref="D1972:I1972"/>
    <mergeCell ref="D1973:I1973"/>
    <mergeCell ref="D1974:I1974"/>
    <mergeCell ref="D1975:I1975"/>
    <mergeCell ref="D1966:I1966"/>
    <mergeCell ref="D1967:I1967"/>
    <mergeCell ref="D1968:I1968"/>
    <mergeCell ref="D1969:I1969"/>
    <mergeCell ref="D2012:I2012"/>
    <mergeCell ref="D2013:I2013"/>
    <mergeCell ref="D2015:I2015"/>
    <mergeCell ref="D2016:I2016"/>
    <mergeCell ref="D1989:I1989"/>
    <mergeCell ref="D1990:I1990"/>
    <mergeCell ref="D1991:I1991"/>
    <mergeCell ref="D1992:I1992"/>
    <mergeCell ref="D1993:I1993"/>
    <mergeCell ref="D1994:I1994"/>
    <mergeCell ref="D2002:K2002"/>
    <mergeCell ref="D2003:K2003"/>
    <mergeCell ref="D2006:K2006"/>
    <mergeCell ref="D2007:K2007"/>
    <mergeCell ref="D2014:K2014"/>
    <mergeCell ref="D1983:I1983"/>
    <mergeCell ref="D1984:I1984"/>
    <mergeCell ref="D1985:I1985"/>
    <mergeCell ref="D1986:I1986"/>
    <mergeCell ref="D1987:I1987"/>
    <mergeCell ref="D1988:I1988"/>
    <mergeCell ref="D1998:I1998"/>
    <mergeCell ref="D1999:I1999"/>
    <mergeCell ref="D2008:I2008"/>
    <mergeCell ref="D2009:I2009"/>
    <mergeCell ref="D2010:I2010"/>
    <mergeCell ref="D2011:I2011"/>
    <mergeCell ref="D2000:I2000"/>
    <mergeCell ref="D2001:I2001"/>
    <mergeCell ref="D2004:I2004"/>
    <mergeCell ref="D2005:I2005"/>
    <mergeCell ref="D1996:I1996"/>
    <mergeCell ref="D2028:I2028"/>
    <mergeCell ref="D2029:I2029"/>
    <mergeCell ref="D2030:I2030"/>
    <mergeCell ref="D2031:I2031"/>
    <mergeCell ref="D2052:K2052"/>
    <mergeCell ref="D2054:K2054"/>
    <mergeCell ref="D2055:J2055"/>
    <mergeCell ref="D2058:K2058"/>
    <mergeCell ref="D2067:K2067"/>
    <mergeCell ref="D2069:K2069"/>
    <mergeCell ref="D2072:K2072"/>
    <mergeCell ref="D2096:J2096"/>
    <mergeCell ref="D2050:I2050"/>
    <mergeCell ref="D2051:I2051"/>
    <mergeCell ref="D2053:I2053"/>
    <mergeCell ref="D2018:I2018"/>
    <mergeCell ref="D2020:I2020"/>
    <mergeCell ref="D2021:I2021"/>
    <mergeCell ref="D2022:I2022"/>
    <mergeCell ref="D2024:I2024"/>
    <mergeCell ref="D2025:I2025"/>
    <mergeCell ref="D2213:I2213"/>
    <mergeCell ref="D2214:I2214"/>
    <mergeCell ref="D2215:I2215"/>
    <mergeCell ref="D2216:I2216"/>
    <mergeCell ref="D2217:I2217"/>
    <mergeCell ref="D2218:I2218"/>
    <mergeCell ref="D2207:I2207"/>
    <mergeCell ref="D2208:I2208"/>
    <mergeCell ref="D2141:I2141"/>
    <mergeCell ref="A2082:A2112"/>
    <mergeCell ref="D2082:I2082"/>
    <mergeCell ref="D2083:I2083"/>
    <mergeCell ref="D2084:I2084"/>
    <mergeCell ref="D2085:I2085"/>
    <mergeCell ref="D2086:I2086"/>
    <mergeCell ref="D2087:I2087"/>
    <mergeCell ref="D2088:I2088"/>
    <mergeCell ref="D2122:I2122"/>
    <mergeCell ref="D2121:I2121"/>
    <mergeCell ref="D2089:I2089"/>
    <mergeCell ref="D2090:I2090"/>
    <mergeCell ref="D2091:I2091"/>
    <mergeCell ref="D2092:I2092"/>
    <mergeCell ref="D2093:I2093"/>
    <mergeCell ref="D2094:I2094"/>
    <mergeCell ref="D2125:I2125"/>
    <mergeCell ref="D2101:I2101"/>
    <mergeCell ref="D2102:I2102"/>
    <mergeCell ref="D2103:I2103"/>
    <mergeCell ref="D2104:I2104"/>
    <mergeCell ref="D2106:I2106"/>
    <mergeCell ref="D2095:I2095"/>
    <mergeCell ref="D2271:I2271"/>
    <mergeCell ref="D2233:I2233"/>
    <mergeCell ref="D2234:I2234"/>
    <mergeCell ref="D2235:I2235"/>
    <mergeCell ref="D2236:I2236"/>
    <mergeCell ref="D2237:I2237"/>
    <mergeCell ref="D2238:I2238"/>
    <mergeCell ref="D2227:I2227"/>
    <mergeCell ref="D2228:I2228"/>
    <mergeCell ref="D2229:I2229"/>
    <mergeCell ref="D2230:I2230"/>
    <mergeCell ref="D2231:I2231"/>
    <mergeCell ref="D2232:I2232"/>
    <mergeCell ref="D2220:I2220"/>
    <mergeCell ref="D2221:I2221"/>
    <mergeCell ref="D2222:I2222"/>
    <mergeCell ref="D2223:I2223"/>
    <mergeCell ref="D2225:I2225"/>
    <mergeCell ref="D2226:I2226"/>
    <mergeCell ref="D2270:I2270"/>
    <mergeCell ref="D2224:I2224"/>
    <mergeCell ref="D2209:I2209"/>
    <mergeCell ref="D2210:I2210"/>
    <mergeCell ref="D2211:I2211"/>
    <mergeCell ref="D2212:I2212"/>
    <mergeCell ref="D2199:I2199"/>
    <mergeCell ref="D2162:I2162"/>
    <mergeCell ref="D2163:I2163"/>
    <mergeCell ref="D2164:I2164"/>
    <mergeCell ref="D2165:I2165"/>
    <mergeCell ref="D2166:I2166"/>
    <mergeCell ref="D2200:I2200"/>
    <mergeCell ref="D2201:I2201"/>
    <mergeCell ref="D2202:I2202"/>
    <mergeCell ref="D2203:I2203"/>
    <mergeCell ref="D2204:I2204"/>
    <mergeCell ref="D2205:I2205"/>
    <mergeCell ref="D2206:I2206"/>
    <mergeCell ref="D2196:I2196"/>
    <mergeCell ref="D2197:I2197"/>
    <mergeCell ref="D2183:J2183"/>
    <mergeCell ref="D2184:J2184"/>
    <mergeCell ref="D2185:J2185"/>
    <mergeCell ref="D2186:J2186"/>
    <mergeCell ref="D2187:J2187"/>
    <mergeCell ref="D2188:J2188"/>
    <mergeCell ref="D2189:J2189"/>
    <mergeCell ref="D2190:J2190"/>
    <mergeCell ref="D2191:J2191"/>
    <mergeCell ref="D2192:J2192"/>
    <mergeCell ref="D2193:J2193"/>
    <mergeCell ref="D2194:J2194"/>
    <mergeCell ref="D2195:J2195"/>
    <mergeCell ref="C364:C391"/>
    <mergeCell ref="D1801:I1801"/>
    <mergeCell ref="D1790:I1790"/>
    <mergeCell ref="D1791:I1791"/>
    <mergeCell ref="D1792:I1792"/>
    <mergeCell ref="D1793:I1793"/>
    <mergeCell ref="D1794:I1794"/>
    <mergeCell ref="D1795:I1795"/>
    <mergeCell ref="D1784:I1784"/>
    <mergeCell ref="D2161:I2161"/>
    <mergeCell ref="D1018:I1018"/>
    <mergeCell ref="D1019:I1019"/>
    <mergeCell ref="D2156:I2156"/>
    <mergeCell ref="D2157:I2157"/>
    <mergeCell ref="D2159:I2159"/>
    <mergeCell ref="D2160:I2160"/>
    <mergeCell ref="D2151:I2151"/>
    <mergeCell ref="D2152:I2152"/>
    <mergeCell ref="D2153:I2153"/>
    <mergeCell ref="D2154:I2154"/>
    <mergeCell ref="D2143:I2143"/>
    <mergeCell ref="D2144:I2144"/>
    <mergeCell ref="D2140:I2140"/>
    <mergeCell ref="D2064:I2064"/>
    <mergeCell ref="D2065:I2065"/>
    <mergeCell ref="D2066:I2066"/>
    <mergeCell ref="D2068:I2068"/>
    <mergeCell ref="D2129:I2129"/>
    <mergeCell ref="D2133:I2133"/>
    <mergeCell ref="D2135:I2135"/>
    <mergeCell ref="D1562:I1562"/>
    <mergeCell ref="D1563:I1563"/>
    <mergeCell ref="D2146:I2146"/>
    <mergeCell ref="D2147:I2147"/>
    <mergeCell ref="D2148:I2148"/>
    <mergeCell ref="D2137:I2137"/>
    <mergeCell ref="D2138:I2138"/>
    <mergeCell ref="D2139:I2139"/>
    <mergeCell ref="B1882:B1906"/>
    <mergeCell ref="D2198:I2198"/>
    <mergeCell ref="D2168:I2168"/>
    <mergeCell ref="D2142:I2142"/>
    <mergeCell ref="D2134:I2134"/>
    <mergeCell ref="D2149:K2149"/>
    <mergeCell ref="D2127:I2127"/>
    <mergeCell ref="D2107:I2107"/>
    <mergeCell ref="D2108:I2108"/>
    <mergeCell ref="D2109:I2109"/>
    <mergeCell ref="D2110:I2110"/>
    <mergeCell ref="D2111:I2111"/>
    <mergeCell ref="D2017:K2017"/>
    <mergeCell ref="D2041:I2041"/>
    <mergeCell ref="D2042:I2042"/>
    <mergeCell ref="D2047:I2047"/>
    <mergeCell ref="D2048:I2048"/>
    <mergeCell ref="D2049:I2049"/>
    <mergeCell ref="D1995:I1995"/>
    <mergeCell ref="D2132:I2132"/>
    <mergeCell ref="D2136:I2136"/>
    <mergeCell ref="D2032:I2032"/>
    <mergeCell ref="D2033:I2033"/>
    <mergeCell ref="D2037:I2037"/>
    <mergeCell ref="D2039:I2039"/>
    <mergeCell ref="D2027:I2027"/>
    <mergeCell ref="D1584:I1584"/>
    <mergeCell ref="D1547:I1547"/>
    <mergeCell ref="D1548:I1548"/>
    <mergeCell ref="D1549:I1549"/>
    <mergeCell ref="D1550:I1550"/>
    <mergeCell ref="D1551:I1551"/>
    <mergeCell ref="D1552:I1552"/>
    <mergeCell ref="D1553:I1553"/>
    <mergeCell ref="D1554:I1554"/>
    <mergeCell ref="D1555:I1555"/>
    <mergeCell ref="D1556:I1556"/>
    <mergeCell ref="D1557:I1557"/>
    <mergeCell ref="D1558:I1558"/>
    <mergeCell ref="D1559:I1559"/>
    <mergeCell ref="D1560:I1560"/>
    <mergeCell ref="D1561:I1561"/>
    <mergeCell ref="D1578:I1578"/>
    <mergeCell ref="D1600:I1600"/>
    <mergeCell ref="D1604:I1604"/>
    <mergeCell ref="D1605:I1605"/>
    <mergeCell ref="D1601:I1601"/>
    <mergeCell ref="D1585:I1585"/>
    <mergeCell ref="D1586:I1586"/>
    <mergeCell ref="D1587:I1587"/>
    <mergeCell ref="D1514:I1514"/>
    <mergeCell ref="D1515:I1515"/>
    <mergeCell ref="D1516:I1516"/>
    <mergeCell ref="D1517:I1517"/>
    <mergeCell ref="D1518:I1518"/>
    <mergeCell ref="D1566:I1566"/>
    <mergeCell ref="D1567:I1567"/>
    <mergeCell ref="D1568:I1568"/>
    <mergeCell ref="D1569:I1569"/>
    <mergeCell ref="D1570:I1570"/>
    <mergeCell ref="D1571:I1571"/>
    <mergeCell ref="D1572:I1572"/>
    <mergeCell ref="D1573:I1573"/>
    <mergeCell ref="D1574:I1574"/>
    <mergeCell ref="D1575:I1575"/>
    <mergeCell ref="D1576:I1576"/>
    <mergeCell ref="D1577:I1577"/>
    <mergeCell ref="D1588:I1588"/>
    <mergeCell ref="D1589:I1589"/>
    <mergeCell ref="D1590:I1590"/>
    <mergeCell ref="D1591:I1591"/>
    <mergeCell ref="D1579:I1579"/>
    <mergeCell ref="D1580:I1580"/>
    <mergeCell ref="D1581:I1581"/>
    <mergeCell ref="D1582:I1582"/>
    <mergeCell ref="D1592:I1592"/>
    <mergeCell ref="D1593:I1593"/>
    <mergeCell ref="D1594:I1594"/>
    <mergeCell ref="D1595:I1595"/>
    <mergeCell ref="D1596:I1596"/>
    <mergeCell ref="D1597:I1597"/>
    <mergeCell ref="D1565:I1565"/>
    <mergeCell ref="D1508:I1508"/>
    <mergeCell ref="D1509:I1509"/>
    <mergeCell ref="D1510:I1510"/>
    <mergeCell ref="D1511:I1511"/>
    <mergeCell ref="D1512:I1512"/>
    <mergeCell ref="D1513:I1513"/>
    <mergeCell ref="D1519:I1519"/>
    <mergeCell ref="A2166:A2197"/>
    <mergeCell ref="D1016:I1016"/>
    <mergeCell ref="C2167:I2167"/>
    <mergeCell ref="D2169:J2169"/>
    <mergeCell ref="D2170:J2170"/>
    <mergeCell ref="D2171:J2171"/>
    <mergeCell ref="D2172:J2172"/>
    <mergeCell ref="D2173:J2173"/>
    <mergeCell ref="D2174:J2174"/>
    <mergeCell ref="D2176:J2176"/>
    <mergeCell ref="D2177:J2177"/>
    <mergeCell ref="D2178:J2178"/>
    <mergeCell ref="D2179:J2179"/>
    <mergeCell ref="D2180:J2180"/>
    <mergeCell ref="D2181:J2181"/>
    <mergeCell ref="D2182:J2182"/>
    <mergeCell ref="D1598:I1598"/>
    <mergeCell ref="D1599:I1599"/>
  </mergeCells>
  <phoneticPr fontId="1"/>
  <hyperlinks>
    <hyperlink ref="K39" location="Help!B39" display="RECS概要"/>
    <hyperlink ref="K82" location="Help!B39" display="戻　る"/>
    <hyperlink ref="K163" location="Help!A212" display="避雷･排煙"/>
    <hyperlink ref="K162" location="Help!A162" display="非常照明"/>
    <hyperlink ref="K164:K171" location="Help!E2" display="Help目次"/>
    <hyperlink ref="K41" location="Help!A162" display="法的規制"/>
    <hyperlink ref="K40" location="Help!A82" display="基本登録"/>
    <hyperlink ref="K164" location="Help!B231" display="誘 導 灯"/>
    <hyperlink ref="K165" location="Help!A239" display="警報･通報"/>
    <hyperlink ref="K166" location="Help!B265" display="自 火 報"/>
    <hyperlink ref="K167" location="Help!A315" display="収容人員"/>
    <hyperlink ref="K168" location="Help!A356" display="ガス漏れ"/>
    <hyperlink ref="K169" location="Help!L365" display="非常コン"/>
    <hyperlink ref="K170" location="Help!B369" display="消火設備"/>
    <hyperlink ref="K171" location="Help!A442" display="非常電源"/>
    <hyperlink ref="F5" location="Help!A29" display="ト　　ッ　　プ　　・　　ペ　　ー　　ジ        "/>
    <hyperlink ref="K83" location="Help!A1" display="Help目次"/>
    <hyperlink ref="K174" location="Help!A1" display="Help目次"/>
    <hyperlink ref="F7" location="Help!B503" display="原 価 用 内 訳 書　　"/>
    <hyperlink ref="K556" location="Help!A1" display="Help目次"/>
    <hyperlink ref="F8" location="Help!A556" display="引  込  工  事  　　　"/>
    <hyperlink ref="K627" location="Help!A1" display="Help目次"/>
    <hyperlink ref="F9" location="Help!A627" display="受　　変　　電　　設　　備　　工　　事"/>
    <hyperlink ref="K749" location="Help!A1" display="Help目次"/>
    <hyperlink ref="F10" location="Help!A749" display="自  家  用  発  電  設  備  工  事    "/>
    <hyperlink ref="K42" location="Help!B458" display="動作環境"/>
    <hyperlink ref="K801" location="Help!A1" display="Help目次"/>
    <hyperlink ref="F11" location="Help!A801" display="低  圧  幹  線  設  備  工  事"/>
    <hyperlink ref="K1024" location="Help!A1" display="Help目次"/>
    <hyperlink ref="F12" location="Help!A1033" display="動 力 配 線 工 事      "/>
    <hyperlink ref="K1079" location="Help!A1" display="Help目次"/>
    <hyperlink ref="F13" location="Help!A1080" display="照明コンセント設備工事"/>
    <hyperlink ref="K1174" location="Help!A1" display="Help目次"/>
    <hyperlink ref="F14" location="Help!A1174" display="非 常 照 明・誘 導 灯 設 備 工 事"/>
    <hyperlink ref="K1242" location="Help!A1" display="Help目次"/>
    <hyperlink ref="F15" location="Help!A1244" display="自 火 報 防 排 煙 設 備 工 事"/>
    <hyperlink ref="K1291" location="Help!A1" display="Help目次"/>
    <hyperlink ref="F16" location="Help!A1293" display="雷　　保　　護　　設　　備　　工　　事"/>
    <hyperlink ref="K1438" location="Help!A1" display="Help目次"/>
    <hyperlink ref="K1531" location="Help!A1" display="Help目次"/>
    <hyperlink ref="K1636" location="Help!A1" display="Help目次"/>
    <hyperlink ref="F19" location="Help!A1638" display="テ 　レ 　ビ 　共　聴　設　備　工　事"/>
    <hyperlink ref="K1749" location="Help!A1" display="Help目次"/>
    <hyperlink ref="F20" location="Help!A1751" display="建　　設　　物　　価　  　デ　　ー　　タ"/>
    <hyperlink ref="K1865" location="Help!A1" display="Help目次"/>
    <hyperlink ref="K1883" location="Help!A1" display="Help目次"/>
    <hyperlink ref="K1898" location="Help!A1" display="Help目次"/>
    <hyperlink ref="K1910" location="Help!A1" display="Help目次"/>
    <hyperlink ref="K1931" location="Help!A1" display="Help目次"/>
    <hyperlink ref="K2083" location="Help!A1" display="Help目次"/>
    <hyperlink ref="F21" location="Help!A1826" display="(参考)  技  術  計  算　他"/>
    <hyperlink ref="K1825" location="Help!A1867" display="換気風量"/>
    <hyperlink ref="K1826" location="Help!B1885" display="耐震措置"/>
    <hyperlink ref="K1827" location="Help!L1900" display="励磁突入"/>
    <hyperlink ref="K1828" location="Help!A1922" display="許容電流"/>
    <hyperlink ref="K1829" location="Help!B1933" display="簡易計算"/>
    <hyperlink ref="K1830" location="Help!A2085" display="架線弛度"/>
    <hyperlink ref="K1866" location="Help!A1826" display="戻 る"/>
    <hyperlink ref="F22" location="Help!A2202" display="ESE　Service   (Developer)"/>
    <hyperlink ref="H7" location="原価!B2" display="戻 る"/>
    <hyperlink ref="F17" location="Help!A1440" display="構  内  電  話  設  備  工  事"/>
    <hyperlink ref="K44" location="Help!A1" display="Help目次"/>
    <hyperlink ref="K2201" location="Help!A1" display="Help目次"/>
    <hyperlink ref="H5" location="Top!A48" display="戻 る"/>
    <hyperlink ref="K173" location="Help!A38" display="戻　る"/>
    <hyperlink ref="K209" location="Help!A162" display="戻　る"/>
    <hyperlink ref="K45" location="Top!C48" display="戻 る"/>
    <hyperlink ref="F6" location="Help!A478" display="提 出 用 内 訳 書　　"/>
    <hyperlink ref="K1824" location="Help!A1" display="Help目次"/>
    <hyperlink ref="K1750" location="Top!B44" display="戻 る"/>
    <hyperlink ref="K479" location="提出!B2" display="戻 る"/>
    <hyperlink ref="K504" location="原価!B2" display="戻 る"/>
    <hyperlink ref="K503" location="Help!A1" display="Help目次"/>
    <hyperlink ref="K478" location="Help!A1" display="Help目次"/>
    <hyperlink ref="F18" location="Help!A1533" display="構  内  放  送  設  備  工  事"/>
    <hyperlink ref="K1899" location="Help!A1826" display="戻 る"/>
    <hyperlink ref="K1911" location="Help!A1826" display="戻 る"/>
    <hyperlink ref="K1932" location="Help!A1826" display="戻 る"/>
    <hyperlink ref="K2084" location="Help!A1826" display="戻 る"/>
    <hyperlink ref="K2164" location="Help!A1826" display="戻 る"/>
    <hyperlink ref="K1831" location="Help!B1843" display="歩 掛 り"/>
    <hyperlink ref="K1843" location="Help!A1826" display="戻 る"/>
    <hyperlink ref="H6" location="提出!A1" display="戻 る"/>
    <hyperlink ref="K215" location="Help!A162" display="戻　る"/>
    <hyperlink ref="K231" location="Help!A162" display="戻　る"/>
    <hyperlink ref="K239" location="Help!A162" display="戻　る"/>
    <hyperlink ref="K265" location="Help!A162" display="戻　る"/>
    <hyperlink ref="K315" location="Help!A162" display="戻　る"/>
    <hyperlink ref="K363" location="Help!A162" display="戻　る"/>
    <hyperlink ref="K440" location="Help!A162" display="戻　る"/>
    <hyperlink ref="K369" location="Help!A162" display="戻　る"/>
    <hyperlink ref="K159" location="Help!B39" display="戻　る"/>
    <hyperlink ref="K472" location="Help!B39" display="戻　る"/>
    <hyperlink ref="K458" location="Help!B39" display="戻　る"/>
    <hyperlink ref="K1175" r:id="rId1" location="非誘!A1"/>
    <hyperlink ref="K1243" r:id="rId2" location="火煙!A1"/>
    <hyperlink ref="K1292" r:id="rId3" location="雷保!A1"/>
    <hyperlink ref="K557" r:id="rId4" location="引込!A1"/>
    <hyperlink ref="K628" r:id="rId5" location="受変!A1"/>
    <hyperlink ref="K750" r:id="rId6" location="発電!A1"/>
    <hyperlink ref="K1884" r:id="rId7" location="S4!A1"/>
    <hyperlink ref="H8" r:id="rId8" location="引込!A1"/>
    <hyperlink ref="H9" r:id="rId9" location="受変!A1"/>
    <hyperlink ref="H10" r:id="rId10" location="発電!A1"/>
    <hyperlink ref="H11" r:id="rId11" location="低幹!A1"/>
    <hyperlink ref="H12" r:id="rId12" location="動配!A1"/>
    <hyperlink ref="H13" r:id="rId13" location="照差!A1"/>
    <hyperlink ref="H14" r:id="rId14" location="非誘!A1"/>
    <hyperlink ref="H15" r:id="rId15" location="火煙!A1"/>
    <hyperlink ref="H16" r:id="rId16" location="雷保!A1"/>
    <hyperlink ref="H17" r:id="rId17" location="電話!A1"/>
    <hyperlink ref="H18" r:id="rId18" location="放送!A1"/>
    <hyperlink ref="H19" r:id="rId19" location="TV!A1"/>
    <hyperlink ref="H20" r:id="rId20" location="建物1802!A1"/>
    <hyperlink ref="K1834" location="Top!B44" display="戻 る"/>
    <hyperlink ref="K1832" location="Help!A2166" display="混触事故"/>
    <hyperlink ref="K2194" location="Help!A1826" display="戻 る"/>
    <hyperlink ref="K1439" r:id="rId21" location="電話!A1"/>
    <hyperlink ref="K1533" r:id="rId22" location="放送!A1"/>
    <hyperlink ref="K1637" r:id="rId23" location="TV!A1"/>
    <hyperlink ref="K802" r:id="rId24" location="低幹!A1"/>
    <hyperlink ref="K1025" r:id="rId25" location="動配!A1"/>
    <hyperlink ref="K1080" r:id="rId26" location="照差!A1"/>
  </hyperlinks>
  <pageMargins left="0.6692913385826772" right="0.39370078740157483" top="0.59055118110236227" bottom="0.59055118110236227" header="0.31496062992125984" footer="0.31496062992125984"/>
  <pageSetup paperSize="9" fitToHeight="0" orientation="portrait" r:id="rId27"/>
  <rowBreaks count="33" manualBreakCount="33">
    <brk id="63" max="16383" man="1"/>
    <brk id="130" max="16383" man="1"/>
    <brk id="197" max="16383" man="1"/>
    <brk id="264" max="16383" man="1"/>
    <brk id="331" max="16383" man="1"/>
    <brk id="398" max="16383" man="1"/>
    <brk id="465" max="16383" man="1"/>
    <brk id="531" min="2" max="11" man="1"/>
    <brk id="598" min="2" max="11" man="1"/>
    <brk id="664" min="2" max="11" man="1"/>
    <brk id="731" min="2" max="11" man="1"/>
    <brk id="798" min="2" max="11" man="1"/>
    <brk id="865" min="2" max="11" man="1"/>
    <brk id="927" min="2" max="11" man="1"/>
    <brk id="994" min="2" max="11" man="1"/>
    <brk id="1061" min="2" max="11" man="1"/>
    <brk id="1128" min="2" max="11" man="1"/>
    <brk id="1195" min="2" max="11" man="1"/>
    <brk id="1262" min="2" max="11" man="1"/>
    <brk id="1328" max="16383" man="1"/>
    <brk id="1395" min="2" max="11" man="1"/>
    <brk id="1462" min="2" max="11" man="1"/>
    <brk id="1529" min="2" max="11" man="1"/>
    <brk id="1596" min="2" max="11" man="1"/>
    <brk id="1663" min="2" max="11" man="1"/>
    <brk id="1730" min="2" max="11" man="1"/>
    <brk id="1796" min="2" max="11" man="1"/>
    <brk id="1863" min="2" max="11" man="1"/>
    <brk id="1929" min="2" max="11" man="1"/>
    <brk id="1996" min="2" max="11" man="1"/>
    <brk id="2063" min="2" max="11" man="1"/>
    <brk id="2130" min="2" max="11" man="1"/>
    <brk id="2197" min="2" max="11" man="1"/>
  </rowBreaks>
  <colBreaks count="1" manualBreakCount="1">
    <brk id="12" max="2211" man="1"/>
  </colBreaks>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I91"/>
  <sheetViews>
    <sheetView view="pageBreakPreview" zoomScale="130" zoomScaleSheetLayoutView="130" workbookViewId="0"/>
  </sheetViews>
  <sheetFormatPr defaultRowHeight="14.25"/>
  <cols>
    <col min="1" max="1" width="1.42578125" style="337" customWidth="1"/>
    <col min="2" max="2" width="6.28515625" style="337" customWidth="1"/>
    <col min="3" max="4" width="2.85546875" style="337" customWidth="1"/>
    <col min="5" max="5" width="0.85546875" style="337" customWidth="1"/>
    <col min="6" max="6" width="88.140625" style="337" customWidth="1"/>
    <col min="7" max="8" width="5.7109375" style="337" customWidth="1"/>
    <col min="9" max="10" width="5.7109375" style="337" hidden="1" customWidth="1"/>
    <col min="11" max="14" width="7.7109375" style="337" hidden="1" customWidth="1"/>
    <col min="15" max="18" width="3.7109375" style="337" customWidth="1"/>
    <col min="19" max="19" width="6.140625" style="337" customWidth="1"/>
    <col min="20" max="59" width="3.7109375" style="337" customWidth="1"/>
    <col min="60" max="16384" width="9.140625" style="337"/>
  </cols>
  <sheetData>
    <row r="1" spans="2:35" ht="15" customHeight="1">
      <c r="B1" s="661">
        <f ca="1">IF(AND(Top!BZ10="済",Top!BZ16="済",Top!BZ63="済",Top!BS130="済",L8=1),1,0)</f>
        <v>1</v>
      </c>
      <c r="C1" s="681"/>
      <c r="D1" s="681"/>
      <c r="F1" s="702" t="str">
        <f ca="1">IF(別表!L8=0,"このコンピュータの ''日付'' を正しくセットして下さい","")</f>
        <v/>
      </c>
    </row>
    <row r="2" spans="2:35" ht="15" customHeight="1">
      <c r="B2" s="2578" t="s">
        <v>2091</v>
      </c>
      <c r="C2" s="2579"/>
      <c r="D2" s="2579"/>
      <c r="E2" s="2576" t="s">
        <v>2090</v>
      </c>
      <c r="F2" s="2576"/>
      <c r="G2" s="2577"/>
      <c r="H2" s="872"/>
      <c r="J2" s="309"/>
      <c r="K2" s="821">
        <f ca="1">B1</f>
        <v>1</v>
      </c>
      <c r="L2" s="691"/>
      <c r="M2" s="309"/>
      <c r="N2" s="309"/>
    </row>
    <row r="3" spans="2:35" ht="15" customHeight="1">
      <c r="B3" s="2560" t="s">
        <v>388</v>
      </c>
      <c r="C3" s="2561"/>
      <c r="D3" s="338"/>
      <c r="E3" s="2562" t="s">
        <v>1001</v>
      </c>
      <c r="F3" s="2563"/>
      <c r="G3" s="2564"/>
      <c r="H3" s="873"/>
      <c r="J3" s="700">
        <f ca="1">IF(L5-L4+1&gt;0,L5-L4,0)</f>
        <v>1930</v>
      </c>
      <c r="K3" s="685" t="s">
        <v>2088</v>
      </c>
      <c r="L3" s="688"/>
      <c r="M3" s="687"/>
      <c r="N3" s="687"/>
      <c r="O3" s="686"/>
      <c r="P3" s="686"/>
      <c r="Q3" s="686"/>
      <c r="R3" s="686"/>
      <c r="S3" s="686"/>
      <c r="T3" s="686"/>
      <c r="U3" s="686"/>
      <c r="V3" s="686"/>
      <c r="W3" s="686"/>
      <c r="X3" s="686"/>
      <c r="Y3" s="686"/>
      <c r="Z3" s="686"/>
      <c r="AA3" s="686"/>
      <c r="AB3" s="686"/>
      <c r="AC3" s="686"/>
      <c r="AD3" s="686"/>
      <c r="AE3" s="686"/>
      <c r="AF3" s="686"/>
      <c r="AG3" s="686"/>
      <c r="AH3" s="686"/>
      <c r="AI3" s="683"/>
    </row>
    <row r="4" spans="2:35" ht="15" customHeight="1">
      <c r="B4" s="2565" t="s">
        <v>449</v>
      </c>
      <c r="C4" s="765" t="s">
        <v>397</v>
      </c>
      <c r="D4" s="340" t="s">
        <v>392</v>
      </c>
      <c r="E4" s="341"/>
      <c r="F4" s="342" t="s">
        <v>450</v>
      </c>
      <c r="G4" s="343"/>
      <c r="H4" s="874"/>
      <c r="J4" s="684">
        <f ca="1">IF(AND(Top!K5&lt;&gt;"",Top!AU5&lt;&gt;"",Top!BM5&lt;&gt;""),NOW(),1)</f>
        <v>44092.92644722222</v>
      </c>
      <c r="K4" s="685" t="s">
        <v>2087</v>
      </c>
      <c r="L4" s="696">
        <f ca="1">INT(NOW())</f>
        <v>44092</v>
      </c>
      <c r="M4" s="686"/>
      <c r="N4" s="692"/>
      <c r="O4" s="2575"/>
      <c r="P4" s="2575"/>
      <c r="Q4" s="692"/>
      <c r="R4" s="692"/>
      <c r="S4" s="692"/>
      <c r="T4" s="693"/>
      <c r="U4" s="686"/>
      <c r="V4" s="686"/>
      <c r="W4" s="686"/>
      <c r="X4" s="686"/>
      <c r="Y4" s="686"/>
      <c r="Z4" s="686"/>
      <c r="AA4" s="686"/>
      <c r="AB4" s="686"/>
      <c r="AC4" s="686"/>
      <c r="AD4" s="686"/>
      <c r="AE4" s="686"/>
      <c r="AF4" s="686"/>
      <c r="AG4" s="686"/>
      <c r="AH4" s="686"/>
      <c r="AI4" s="683"/>
    </row>
    <row r="5" spans="2:35" ht="15" customHeight="1">
      <c r="B5" s="2566"/>
      <c r="C5" s="766" t="s">
        <v>399</v>
      </c>
      <c r="D5" s="345" t="s">
        <v>392</v>
      </c>
      <c r="E5" s="346"/>
      <c r="F5" s="347" t="s">
        <v>389</v>
      </c>
      <c r="G5" s="348"/>
      <c r="H5" s="875"/>
      <c r="J5" s="697">
        <v>46022</v>
      </c>
      <c r="K5" s="698" t="s">
        <v>2089</v>
      </c>
      <c r="L5" s="689">
        <f>INT(J5)</f>
        <v>46022</v>
      </c>
      <c r="M5" s="686"/>
      <c r="N5" s="309"/>
      <c r="S5" s="826"/>
      <c r="T5" s="841"/>
      <c r="U5" s="842"/>
      <c r="V5" s="842"/>
      <c r="W5" s="686"/>
      <c r="X5" s="686"/>
      <c r="Y5" s="686"/>
      <c r="Z5" s="686"/>
      <c r="AA5" s="686"/>
      <c r="AB5" s="686"/>
      <c r="AC5" s="686"/>
      <c r="AD5" s="686"/>
      <c r="AE5" s="686"/>
      <c r="AF5" s="686"/>
      <c r="AG5" s="686"/>
      <c r="AH5" s="686"/>
      <c r="AI5" s="683"/>
    </row>
    <row r="6" spans="2:35" ht="15" customHeight="1">
      <c r="B6" s="767" t="s">
        <v>451</v>
      </c>
      <c r="C6" s="768" t="s">
        <v>397</v>
      </c>
      <c r="D6" s="350" t="s">
        <v>392</v>
      </c>
      <c r="E6" s="351"/>
      <c r="F6" s="352" t="s">
        <v>452</v>
      </c>
      <c r="G6" s="353"/>
      <c r="H6" s="875"/>
      <c r="J6" s="829"/>
      <c r="K6" s="686"/>
      <c r="L6" s="845">
        <f ca="1">IF(L37=0,INT(NOW()),K84)</f>
        <v>44092</v>
      </c>
      <c r="M6" s="847"/>
      <c r="N6" s="687"/>
      <c r="O6" s="686"/>
      <c r="P6" s="686"/>
      <c r="Q6" s="686"/>
      <c r="R6" s="686"/>
      <c r="S6" s="686"/>
      <c r="T6" s="843"/>
      <c r="U6" s="843"/>
      <c r="V6" s="843"/>
      <c r="W6" s="686"/>
      <c r="X6" s="686"/>
      <c r="Y6" s="686"/>
      <c r="Z6" s="686"/>
      <c r="AA6" s="686"/>
      <c r="AB6" s="686"/>
      <c r="AC6" s="686"/>
      <c r="AD6" s="686"/>
      <c r="AE6" s="686"/>
      <c r="AF6" s="686"/>
      <c r="AG6" s="686"/>
      <c r="AH6" s="686"/>
      <c r="AI6" s="683"/>
    </row>
    <row r="7" spans="2:35" ht="15" customHeight="1" thickBot="1">
      <c r="B7" s="769"/>
      <c r="C7" s="770" t="s">
        <v>399</v>
      </c>
      <c r="D7" s="354" t="s">
        <v>392</v>
      </c>
      <c r="E7" s="355"/>
      <c r="F7" s="356" t="s">
        <v>390</v>
      </c>
      <c r="G7" s="357"/>
      <c r="H7" s="875"/>
      <c r="J7" s="792"/>
      <c r="K7" s="690"/>
      <c r="L7" s="840"/>
      <c r="M7" s="692"/>
      <c r="N7" s="692"/>
      <c r="O7" s="2575"/>
      <c r="P7" s="2575"/>
      <c r="Q7" s="692"/>
      <c r="R7" s="692"/>
      <c r="S7" s="692"/>
      <c r="T7" s="827"/>
      <c r="U7" s="686"/>
      <c r="V7" s="686"/>
      <c r="W7" s="686"/>
      <c r="X7" s="686"/>
      <c r="Y7" s="686"/>
      <c r="Z7" s="686"/>
      <c r="AA7" s="686"/>
      <c r="AB7" s="686"/>
      <c r="AC7" s="686"/>
      <c r="AD7" s="686"/>
      <c r="AE7" s="686"/>
      <c r="AF7" s="686"/>
      <c r="AG7" s="686"/>
      <c r="AH7" s="686"/>
      <c r="AI7" s="683"/>
    </row>
    <row r="8" spans="2:35" ht="37.5" customHeight="1" thickBot="1">
      <c r="B8" s="769"/>
      <c r="C8" s="770" t="s">
        <v>391</v>
      </c>
      <c r="D8" s="354" t="s">
        <v>392</v>
      </c>
      <c r="E8" s="355"/>
      <c r="F8" s="356" t="s">
        <v>393</v>
      </c>
      <c r="G8" s="357"/>
      <c r="H8" s="875"/>
      <c r="J8" s="793"/>
      <c r="K8" s="694"/>
      <c r="L8" s="828">
        <f ca="1">IF(OR(L4&lt;K9,L4&gt;L5),0,1)</f>
        <v>1</v>
      </c>
      <c r="M8" s="824"/>
      <c r="O8" s="836"/>
      <c r="P8" s="837"/>
    </row>
    <row r="9" spans="2:35" ht="27" customHeight="1">
      <c r="B9" s="771"/>
      <c r="C9" s="766" t="s">
        <v>394</v>
      </c>
      <c r="D9" s="345" t="s">
        <v>392</v>
      </c>
      <c r="E9" s="346"/>
      <c r="F9" s="347" t="s">
        <v>395</v>
      </c>
      <c r="G9" s="348"/>
      <c r="H9" s="875"/>
      <c r="J9" s="699">
        <v>44042</v>
      </c>
      <c r="K9" s="695">
        <f>INT(J9)</f>
        <v>44042</v>
      </c>
      <c r="L9" s="839">
        <f ca="1">IF(L5-L4+1&gt;0,L5-L4,0)</f>
        <v>1930</v>
      </c>
      <c r="M9" s="834"/>
      <c r="N9" s="836"/>
      <c r="O9" s="836"/>
      <c r="P9" s="837"/>
      <c r="S9" s="829"/>
      <c r="T9" s="840"/>
      <c r="U9" s="840"/>
      <c r="V9" s="829"/>
      <c r="W9" s="840"/>
    </row>
    <row r="10" spans="2:35" ht="15" customHeight="1">
      <c r="B10" s="2567" t="s">
        <v>396</v>
      </c>
      <c r="C10" s="768" t="s">
        <v>397</v>
      </c>
      <c r="D10" s="350" t="s">
        <v>392</v>
      </c>
      <c r="E10" s="351"/>
      <c r="F10" s="352" t="s">
        <v>398</v>
      </c>
      <c r="G10" s="353"/>
      <c r="H10" s="875"/>
      <c r="J10" s="830"/>
      <c r="K10" s="831"/>
      <c r="L10" s="832"/>
      <c r="M10" s="834"/>
      <c r="N10" s="836"/>
      <c r="O10" s="836"/>
      <c r="P10" s="837"/>
      <c r="S10" s="829"/>
      <c r="T10" s="840"/>
      <c r="U10" s="840"/>
      <c r="V10" s="829"/>
      <c r="W10" s="840"/>
    </row>
    <row r="11" spans="2:35" ht="15" customHeight="1">
      <c r="B11" s="2566"/>
      <c r="C11" s="766" t="s">
        <v>399</v>
      </c>
      <c r="D11" s="345" t="s">
        <v>392</v>
      </c>
      <c r="E11" s="346"/>
      <c r="F11" s="347" t="s">
        <v>400</v>
      </c>
      <c r="G11" s="348"/>
      <c r="H11" s="875"/>
      <c r="J11" s="833"/>
      <c r="K11" s="834"/>
      <c r="L11" s="835"/>
      <c r="M11" s="834"/>
      <c r="N11" s="836"/>
      <c r="O11" s="836"/>
      <c r="P11" s="837"/>
      <c r="S11" s="829"/>
      <c r="T11" s="840"/>
      <c r="U11" s="840"/>
      <c r="V11" s="829"/>
      <c r="W11" s="840"/>
    </row>
    <row r="12" spans="2:35" ht="15" customHeight="1">
      <c r="B12" s="772" t="s">
        <v>401</v>
      </c>
      <c r="C12" s="773"/>
      <c r="D12" s="360" t="s">
        <v>392</v>
      </c>
      <c r="E12" s="361"/>
      <c r="F12" s="362" t="s">
        <v>402</v>
      </c>
      <c r="G12" s="363"/>
      <c r="H12" s="875"/>
      <c r="J12" s="833"/>
      <c r="K12" s="834"/>
      <c r="L12" s="835"/>
      <c r="M12" s="834"/>
      <c r="N12" s="836"/>
      <c r="O12" s="836"/>
      <c r="P12" s="837"/>
      <c r="S12" s="829"/>
      <c r="T12" s="840"/>
      <c r="U12" s="840"/>
      <c r="V12" s="829"/>
      <c r="W12" s="840"/>
    </row>
    <row r="13" spans="2:35" ht="15" customHeight="1">
      <c r="B13" s="2567" t="s">
        <v>403</v>
      </c>
      <c r="C13" s="768" t="s">
        <v>397</v>
      </c>
      <c r="D13" s="350" t="s">
        <v>392</v>
      </c>
      <c r="E13" s="351"/>
      <c r="F13" s="352" t="s">
        <v>404</v>
      </c>
      <c r="G13" s="353"/>
      <c r="H13" s="875"/>
      <c r="J13" s="833"/>
      <c r="K13" s="834"/>
      <c r="L13" s="835"/>
      <c r="M13" s="834"/>
      <c r="N13" s="836"/>
      <c r="O13" s="836"/>
      <c r="P13" s="837"/>
      <c r="S13" s="829"/>
      <c r="T13" s="840"/>
      <c r="U13" s="840"/>
      <c r="V13" s="829"/>
      <c r="W13" s="840"/>
    </row>
    <row r="14" spans="2:35" ht="15" customHeight="1">
      <c r="B14" s="2566"/>
      <c r="C14" s="344" t="s">
        <v>399</v>
      </c>
      <c r="D14" s="345" t="s">
        <v>405</v>
      </c>
      <c r="E14" s="346"/>
      <c r="F14" s="347" t="s">
        <v>406</v>
      </c>
      <c r="G14" s="348"/>
      <c r="H14" s="875"/>
      <c r="J14" s="833"/>
      <c r="K14" s="834"/>
      <c r="L14" s="835"/>
      <c r="M14" s="834"/>
      <c r="N14" s="836"/>
      <c r="O14" s="836"/>
      <c r="P14" s="837"/>
      <c r="S14" s="829"/>
      <c r="T14" s="840"/>
      <c r="U14" s="840"/>
      <c r="V14" s="829"/>
      <c r="W14" s="840"/>
    </row>
    <row r="15" spans="2:35" ht="15" customHeight="1">
      <c r="B15" s="2567" t="s">
        <v>407</v>
      </c>
      <c r="C15" s="768" t="s">
        <v>397</v>
      </c>
      <c r="D15" s="350" t="s">
        <v>392</v>
      </c>
      <c r="E15" s="351"/>
      <c r="F15" s="352" t="s">
        <v>408</v>
      </c>
      <c r="G15" s="353"/>
      <c r="H15" s="875"/>
      <c r="J15" s="833"/>
      <c r="K15" s="834"/>
      <c r="L15" s="835"/>
      <c r="M15" s="834"/>
      <c r="N15" s="836"/>
      <c r="O15" s="836"/>
      <c r="P15" s="837"/>
      <c r="S15" s="829"/>
      <c r="T15" s="840"/>
      <c r="U15" s="840"/>
      <c r="V15" s="829"/>
      <c r="W15" s="840"/>
    </row>
    <row r="16" spans="2:35" ht="68.25" customHeight="1">
      <c r="B16" s="2568"/>
      <c r="C16" s="770" t="s">
        <v>399</v>
      </c>
      <c r="D16" s="354" t="s">
        <v>392</v>
      </c>
      <c r="E16" s="355"/>
      <c r="F16" s="364" t="s">
        <v>409</v>
      </c>
      <c r="G16" s="365"/>
      <c r="H16" s="876"/>
      <c r="J16" s="838"/>
      <c r="K16" s="838"/>
      <c r="L16" s="838"/>
      <c r="M16" s="834"/>
      <c r="N16" s="836"/>
      <c r="O16" s="836"/>
      <c r="P16" s="838"/>
    </row>
    <row r="17" spans="2:8" ht="91.5" customHeight="1">
      <c r="B17" s="2568"/>
      <c r="C17" s="770" t="s">
        <v>391</v>
      </c>
      <c r="D17" s="354" t="s">
        <v>392</v>
      </c>
      <c r="E17" s="355"/>
      <c r="F17" s="364" t="s">
        <v>410</v>
      </c>
      <c r="G17" s="357"/>
      <c r="H17" s="875"/>
    </row>
    <row r="18" spans="2:8" ht="15" customHeight="1">
      <c r="B18" s="2566"/>
      <c r="C18" s="766" t="s">
        <v>394</v>
      </c>
      <c r="D18" s="345" t="s">
        <v>392</v>
      </c>
      <c r="E18" s="346"/>
      <c r="F18" s="347" t="s">
        <v>411</v>
      </c>
      <c r="G18" s="348"/>
      <c r="H18" s="875"/>
    </row>
    <row r="19" spans="2:8" ht="24.75" customHeight="1">
      <c r="B19" s="774" t="s">
        <v>412</v>
      </c>
      <c r="C19" s="765"/>
      <c r="D19" s="340" t="s">
        <v>405</v>
      </c>
      <c r="E19" s="367"/>
      <c r="F19" s="368" t="s">
        <v>413</v>
      </c>
      <c r="G19" s="369"/>
      <c r="H19" s="875"/>
    </row>
    <row r="20" spans="2:8" ht="15" customHeight="1">
      <c r="B20" s="772" t="s">
        <v>414</v>
      </c>
      <c r="C20" s="773"/>
      <c r="D20" s="360" t="s">
        <v>405</v>
      </c>
      <c r="E20" s="361"/>
      <c r="F20" s="362" t="s">
        <v>415</v>
      </c>
      <c r="G20" s="363"/>
      <c r="H20" s="875"/>
    </row>
    <row r="21" spans="2:8" ht="15" customHeight="1">
      <c r="B21" s="2569" t="s">
        <v>416</v>
      </c>
      <c r="C21" s="349" t="s">
        <v>397</v>
      </c>
      <c r="D21" s="350" t="s">
        <v>392</v>
      </c>
      <c r="E21" s="351"/>
      <c r="F21" s="352" t="s">
        <v>417</v>
      </c>
      <c r="G21" s="353"/>
      <c r="H21" s="875"/>
    </row>
    <row r="22" spans="2:8" ht="15" customHeight="1">
      <c r="B22" s="2570"/>
      <c r="C22" s="344" t="s">
        <v>399</v>
      </c>
      <c r="D22" s="345" t="s">
        <v>405</v>
      </c>
      <c r="E22" s="346"/>
      <c r="F22" s="347" t="s">
        <v>418</v>
      </c>
      <c r="G22" s="348"/>
      <c r="H22" s="875"/>
    </row>
    <row r="23" spans="2:8" ht="15" customHeight="1">
      <c r="B23" s="774" t="s">
        <v>419</v>
      </c>
      <c r="C23" s="765"/>
      <c r="D23" s="340" t="s">
        <v>405</v>
      </c>
      <c r="E23" s="367"/>
      <c r="F23" s="370" t="s">
        <v>420</v>
      </c>
      <c r="G23" s="369"/>
      <c r="H23" s="875"/>
    </row>
    <row r="24" spans="2:8" ht="15" customHeight="1">
      <c r="B24" s="358" t="s">
        <v>421</v>
      </c>
      <c r="C24" s="359"/>
      <c r="D24" s="360" t="s">
        <v>405</v>
      </c>
      <c r="E24" s="361"/>
      <c r="F24" s="362" t="s">
        <v>422</v>
      </c>
      <c r="G24" s="363"/>
      <c r="H24" s="875"/>
    </row>
    <row r="25" spans="2:8" ht="15" customHeight="1">
      <c r="B25" s="2567" t="s">
        <v>423</v>
      </c>
      <c r="C25" s="768" t="s">
        <v>397</v>
      </c>
      <c r="D25" s="350" t="s">
        <v>405</v>
      </c>
      <c r="E25" s="351"/>
      <c r="F25" s="352" t="s">
        <v>424</v>
      </c>
      <c r="G25" s="353"/>
      <c r="H25" s="875"/>
    </row>
    <row r="26" spans="2:8" ht="15" customHeight="1">
      <c r="B26" s="2566"/>
      <c r="C26" s="344" t="s">
        <v>399</v>
      </c>
      <c r="D26" s="345" t="s">
        <v>405</v>
      </c>
      <c r="E26" s="346"/>
      <c r="F26" s="347" t="s">
        <v>425</v>
      </c>
      <c r="G26" s="348"/>
      <c r="H26" s="875"/>
    </row>
    <row r="27" spans="2:8" ht="15" customHeight="1">
      <c r="B27" s="2567" t="s">
        <v>426</v>
      </c>
      <c r="C27" s="768" t="s">
        <v>397</v>
      </c>
      <c r="D27" s="350" t="s">
        <v>405</v>
      </c>
      <c r="E27" s="351"/>
      <c r="F27" s="352" t="s">
        <v>427</v>
      </c>
      <c r="G27" s="353"/>
      <c r="H27" s="875"/>
    </row>
    <row r="28" spans="2:8" ht="15" customHeight="1">
      <c r="B28" s="2566"/>
      <c r="C28" s="775" t="s">
        <v>399</v>
      </c>
      <c r="D28" s="371" t="s">
        <v>405</v>
      </c>
      <c r="E28" s="372"/>
      <c r="F28" s="373" t="s">
        <v>428</v>
      </c>
      <c r="G28" s="374"/>
      <c r="H28" s="875"/>
    </row>
    <row r="29" spans="2:8" ht="15" customHeight="1">
      <c r="B29" s="772" t="s">
        <v>429</v>
      </c>
      <c r="C29" s="773"/>
      <c r="D29" s="360" t="s">
        <v>405</v>
      </c>
      <c r="E29" s="361"/>
      <c r="F29" s="362" t="s">
        <v>430</v>
      </c>
      <c r="G29" s="363"/>
      <c r="H29" s="875"/>
    </row>
    <row r="30" spans="2:8" ht="15" customHeight="1">
      <c r="B30" s="772" t="s">
        <v>431</v>
      </c>
      <c r="C30" s="773"/>
      <c r="D30" s="360" t="s">
        <v>405</v>
      </c>
      <c r="E30" s="361"/>
      <c r="F30" s="362" t="s">
        <v>432</v>
      </c>
      <c r="G30" s="363"/>
      <c r="H30" s="875"/>
    </row>
    <row r="31" spans="2:8" ht="22.5" customHeight="1">
      <c r="B31" s="2567" t="s">
        <v>433</v>
      </c>
      <c r="C31" s="768" t="s">
        <v>397</v>
      </c>
      <c r="D31" s="350" t="s">
        <v>392</v>
      </c>
      <c r="E31" s="351"/>
      <c r="F31" s="352" t="s">
        <v>434</v>
      </c>
      <c r="G31" s="353"/>
      <c r="H31" s="875"/>
    </row>
    <row r="32" spans="2:8" ht="15" customHeight="1">
      <c r="B32" s="2566"/>
      <c r="C32" s="766" t="s">
        <v>399</v>
      </c>
      <c r="D32" s="345" t="s">
        <v>405</v>
      </c>
      <c r="E32" s="346"/>
      <c r="F32" s="347" t="s">
        <v>435</v>
      </c>
      <c r="G32" s="348"/>
      <c r="H32" s="875"/>
    </row>
    <row r="33" spans="2:16" ht="15" customHeight="1">
      <c r="B33" s="358" t="s">
        <v>436</v>
      </c>
      <c r="C33" s="359"/>
      <c r="D33" s="360" t="s">
        <v>392</v>
      </c>
      <c r="E33" s="361"/>
      <c r="F33" s="362" t="s">
        <v>437</v>
      </c>
      <c r="G33" s="363"/>
      <c r="H33" s="875"/>
    </row>
    <row r="34" spans="2:16" ht="36" customHeight="1">
      <c r="B34" s="366" t="s">
        <v>438</v>
      </c>
      <c r="C34" s="339"/>
      <c r="D34" s="340" t="s">
        <v>392</v>
      </c>
      <c r="E34" s="367"/>
      <c r="F34" s="368" t="s">
        <v>439</v>
      </c>
      <c r="G34" s="369"/>
      <c r="H34" s="875"/>
    </row>
    <row r="35" spans="2:16" ht="36" customHeight="1">
      <c r="B35" s="375" t="s">
        <v>440</v>
      </c>
      <c r="C35" s="376"/>
      <c r="D35" s="360" t="s">
        <v>405</v>
      </c>
      <c r="E35" s="361"/>
      <c r="F35" s="377" t="s">
        <v>441</v>
      </c>
      <c r="G35" s="363"/>
      <c r="H35" s="875"/>
    </row>
    <row r="36" spans="2:16" ht="15" customHeight="1">
      <c r="B36" s="375" t="s">
        <v>442</v>
      </c>
      <c r="C36" s="376"/>
      <c r="D36" s="360" t="s">
        <v>405</v>
      </c>
      <c r="E36" s="361"/>
      <c r="F36" s="362" t="s">
        <v>1002</v>
      </c>
      <c r="G36" s="363"/>
      <c r="H36" s="875"/>
    </row>
    <row r="37" spans="2:16" ht="15" customHeight="1">
      <c r="B37" s="375" t="s">
        <v>443</v>
      </c>
      <c r="C37" s="376"/>
      <c r="D37" s="360" t="s">
        <v>405</v>
      </c>
      <c r="E37" s="361"/>
      <c r="F37" s="362" t="s">
        <v>444</v>
      </c>
      <c r="G37" s="363"/>
      <c r="H37" s="875"/>
      <c r="K37" s="702"/>
    </row>
    <row r="38" spans="2:16" ht="15" customHeight="1">
      <c r="B38" s="375" t="s">
        <v>445</v>
      </c>
      <c r="C38" s="376"/>
      <c r="D38" s="360" t="s">
        <v>405</v>
      </c>
      <c r="E38" s="361"/>
      <c r="F38" s="362" t="s">
        <v>446</v>
      </c>
      <c r="G38" s="363"/>
      <c r="H38" s="875"/>
    </row>
    <row r="39" spans="2:16" ht="15" customHeight="1">
      <c r="B39" s="2573" t="s">
        <v>2191</v>
      </c>
      <c r="C39" s="2574"/>
      <c r="D39" s="2571" t="s">
        <v>2192</v>
      </c>
      <c r="E39" s="2571"/>
      <c r="F39" s="2571"/>
      <c r="G39" s="2572"/>
      <c r="H39" s="877"/>
      <c r="K39" s="844">
        <f>TIME(7,0,0)</f>
        <v>0.29166666666666669</v>
      </c>
      <c r="L39" s="871">
        <f>HOUR(0)</f>
        <v>0</v>
      </c>
      <c r="M39" s="845">
        <f>TIME(7,0,0)</f>
        <v>0.29166666666666669</v>
      </c>
      <c r="N39" s="846">
        <f ca="1">NOW()-INT(NOW())</f>
        <v>0.92644722222030396</v>
      </c>
    </row>
    <row r="40" spans="2:16" ht="11.25" customHeight="1">
      <c r="B40" s="776"/>
      <c r="C40" s="777" t="s">
        <v>447</v>
      </c>
      <c r="D40" s="777"/>
      <c r="E40" s="778"/>
      <c r="F40" s="778"/>
      <c r="G40" s="779"/>
      <c r="H40" s="878"/>
    </row>
    <row r="41" spans="2:16" ht="40.5" customHeight="1">
      <c r="B41" s="378"/>
      <c r="C41" s="2558" t="s">
        <v>448</v>
      </c>
      <c r="D41" s="2559"/>
      <c r="E41" s="2559"/>
      <c r="F41" s="2559"/>
      <c r="G41" s="379"/>
      <c r="H41" s="879"/>
      <c r="K41" s="849">
        <f ca="1">VLOOKUP(0,日付,2,FALSE)</f>
        <v>43465</v>
      </c>
      <c r="L41" s="695">
        <f ca="1">IF(K41&lt;&gt;0,K41,K41)</f>
        <v>43465</v>
      </c>
      <c r="M41" s="852">
        <f ca="1">VLOOKUP(L41,日付1,3,FALSE)</f>
        <v>1</v>
      </c>
    </row>
    <row r="43" spans="2:16">
      <c r="I43" s="686">
        <f ca="1">L43</f>
        <v>0</v>
      </c>
      <c r="J43" s="699">
        <v>43465</v>
      </c>
      <c r="K43" s="695">
        <f>INT(J43)</f>
        <v>43465</v>
      </c>
      <c r="L43" s="823">
        <f ca="1">IF(K43=$L$4,1,0)</f>
        <v>0</v>
      </c>
      <c r="M43" s="850">
        <v>1</v>
      </c>
      <c r="N43" s="825"/>
      <c r="O43" s="840"/>
      <c r="P43" s="838"/>
    </row>
    <row r="44" spans="2:16">
      <c r="I44" s="686">
        <f t="shared" ref="I44:I91" ca="1" si="0">L44</f>
        <v>0</v>
      </c>
      <c r="J44" s="699">
        <f>J43+1</f>
        <v>43466</v>
      </c>
      <c r="K44" s="822">
        <f>K43+1</f>
        <v>43466</v>
      </c>
      <c r="L44" s="823">
        <f ca="1">IF(K44=$L$4,1,0)</f>
        <v>0</v>
      </c>
      <c r="M44" s="850">
        <f ca="1">IF(L44=1,0,M43)</f>
        <v>1</v>
      </c>
      <c r="N44" s="825"/>
      <c r="O44" s="840"/>
      <c r="P44" s="838"/>
    </row>
    <row r="45" spans="2:16">
      <c r="I45" s="686">
        <f t="shared" ca="1" si="0"/>
        <v>0</v>
      </c>
      <c r="J45" s="699">
        <f t="shared" ref="J45:J54" si="1">J44+1</f>
        <v>43467</v>
      </c>
      <c r="K45" s="822">
        <f t="shared" ref="K45:K54" si="2">K44+1</f>
        <v>43467</v>
      </c>
      <c r="L45" s="823">
        <f t="shared" ref="L45:L58" ca="1" si="3">IF(K45=$L$4,1,0)</f>
        <v>0</v>
      </c>
      <c r="M45" s="850">
        <f ca="1">IF(L45=1,0,M44)</f>
        <v>1</v>
      </c>
      <c r="N45" s="825"/>
      <c r="O45" s="840"/>
      <c r="P45" s="838"/>
    </row>
    <row r="46" spans="2:16">
      <c r="I46" s="686">
        <f ca="1">L46</f>
        <v>0</v>
      </c>
      <c r="J46" s="699">
        <f t="shared" si="1"/>
        <v>43468</v>
      </c>
      <c r="K46" s="822">
        <f t="shared" si="2"/>
        <v>43468</v>
      </c>
      <c r="L46" s="823">
        <f t="shared" ca="1" si="3"/>
        <v>0</v>
      </c>
      <c r="M46" s="850">
        <f ca="1">IF(L46=1,0,M45)</f>
        <v>1</v>
      </c>
      <c r="N46" s="825"/>
      <c r="O46" s="840"/>
      <c r="P46" s="838"/>
    </row>
    <row r="47" spans="2:16">
      <c r="I47" s="686">
        <f t="shared" ca="1" si="0"/>
        <v>0</v>
      </c>
      <c r="J47" s="699">
        <f t="shared" si="1"/>
        <v>43469</v>
      </c>
      <c r="K47" s="822">
        <f t="shared" si="2"/>
        <v>43469</v>
      </c>
      <c r="L47" s="823">
        <f t="shared" ca="1" si="3"/>
        <v>0</v>
      </c>
      <c r="M47" s="850">
        <f t="shared" ref="M47:M59" ca="1" si="4">IF(L47=1,0,M46)</f>
        <v>1</v>
      </c>
      <c r="N47" s="825"/>
      <c r="O47" s="838"/>
      <c r="P47" s="838"/>
    </row>
    <row r="48" spans="2:16">
      <c r="I48" s="686">
        <f t="shared" ca="1" si="0"/>
        <v>0</v>
      </c>
      <c r="J48" s="699">
        <f t="shared" si="1"/>
        <v>43470</v>
      </c>
      <c r="K48" s="822">
        <f t="shared" si="2"/>
        <v>43470</v>
      </c>
      <c r="L48" s="823">
        <f ca="1">IF(K48=$L$4,1,0)</f>
        <v>0</v>
      </c>
      <c r="M48" s="850">
        <f t="shared" ca="1" si="4"/>
        <v>1</v>
      </c>
      <c r="N48" s="825"/>
      <c r="O48" s="838"/>
      <c r="P48" s="838"/>
    </row>
    <row r="49" spans="9:16">
      <c r="I49" s="686">
        <f t="shared" ca="1" si="0"/>
        <v>0</v>
      </c>
      <c r="J49" s="699">
        <f t="shared" si="1"/>
        <v>43471</v>
      </c>
      <c r="K49" s="822">
        <f t="shared" si="2"/>
        <v>43471</v>
      </c>
      <c r="L49" s="823">
        <f t="shared" ca="1" si="3"/>
        <v>0</v>
      </c>
      <c r="M49" s="850">
        <f t="shared" ca="1" si="4"/>
        <v>1</v>
      </c>
      <c r="N49" s="825"/>
      <c r="O49" s="838"/>
      <c r="P49" s="838"/>
    </row>
    <row r="50" spans="9:16">
      <c r="I50" s="686">
        <f t="shared" ca="1" si="0"/>
        <v>0</v>
      </c>
      <c r="J50" s="699">
        <f t="shared" si="1"/>
        <v>43472</v>
      </c>
      <c r="K50" s="822">
        <f t="shared" si="2"/>
        <v>43472</v>
      </c>
      <c r="L50" s="823">
        <f t="shared" ca="1" si="3"/>
        <v>0</v>
      </c>
      <c r="M50" s="850">
        <f t="shared" ca="1" si="4"/>
        <v>1</v>
      </c>
      <c r="N50" s="825"/>
      <c r="O50" s="838"/>
      <c r="P50" s="838"/>
    </row>
    <row r="51" spans="9:16">
      <c r="I51" s="686">
        <f t="shared" ca="1" si="0"/>
        <v>0</v>
      </c>
      <c r="J51" s="699">
        <f t="shared" si="1"/>
        <v>43473</v>
      </c>
      <c r="K51" s="822">
        <f t="shared" si="2"/>
        <v>43473</v>
      </c>
      <c r="L51" s="823">
        <f t="shared" ca="1" si="3"/>
        <v>0</v>
      </c>
      <c r="M51" s="850">
        <f t="shared" ca="1" si="4"/>
        <v>1</v>
      </c>
      <c r="N51" s="825"/>
      <c r="O51" s="838"/>
      <c r="P51" s="838"/>
    </row>
    <row r="52" spans="9:16">
      <c r="I52" s="686">
        <f t="shared" ca="1" si="0"/>
        <v>0</v>
      </c>
      <c r="J52" s="699">
        <f t="shared" si="1"/>
        <v>43474</v>
      </c>
      <c r="K52" s="822">
        <f t="shared" si="2"/>
        <v>43474</v>
      </c>
      <c r="L52" s="823">
        <f t="shared" ca="1" si="3"/>
        <v>0</v>
      </c>
      <c r="M52" s="851">
        <f t="shared" ca="1" si="4"/>
        <v>1</v>
      </c>
      <c r="N52" s="848" t="b">
        <f ca="1">M51=IF(M52=0,42831,42831)</f>
        <v>0</v>
      </c>
    </row>
    <row r="53" spans="9:16">
      <c r="I53" s="686">
        <f t="shared" ca="1" si="0"/>
        <v>0</v>
      </c>
      <c r="J53" s="699">
        <f t="shared" si="1"/>
        <v>43475</v>
      </c>
      <c r="K53" s="822">
        <f t="shared" si="2"/>
        <v>43475</v>
      </c>
      <c r="L53" s="823">
        <f t="shared" ca="1" si="3"/>
        <v>0</v>
      </c>
      <c r="M53" s="851">
        <f t="shared" ca="1" si="4"/>
        <v>1</v>
      </c>
      <c r="N53" s="825" t="b">
        <f t="shared" ref="N53:N91" ca="1" si="5">M52=IF(M53=0,42831,42831)</f>
        <v>0</v>
      </c>
    </row>
    <row r="54" spans="9:16">
      <c r="I54" s="686">
        <f t="shared" ca="1" si="0"/>
        <v>0</v>
      </c>
      <c r="J54" s="699">
        <f t="shared" si="1"/>
        <v>43476</v>
      </c>
      <c r="K54" s="822">
        <f t="shared" si="2"/>
        <v>43476</v>
      </c>
      <c r="L54" s="823">
        <f t="shared" ca="1" si="3"/>
        <v>0</v>
      </c>
      <c r="M54" s="851">
        <f t="shared" ca="1" si="4"/>
        <v>1</v>
      </c>
      <c r="N54" s="825" t="b">
        <f t="shared" ca="1" si="5"/>
        <v>0</v>
      </c>
    </row>
    <row r="55" spans="9:16">
      <c r="I55" s="686">
        <f t="shared" ca="1" si="0"/>
        <v>0</v>
      </c>
      <c r="J55" s="699">
        <f>J54+1</f>
        <v>43477</v>
      </c>
      <c r="K55" s="822">
        <f>K54+1</f>
        <v>43477</v>
      </c>
      <c r="L55" s="823">
        <f t="shared" ca="1" si="3"/>
        <v>0</v>
      </c>
      <c r="M55" s="851">
        <f t="shared" ca="1" si="4"/>
        <v>1</v>
      </c>
      <c r="N55" s="825" t="b">
        <f t="shared" ca="1" si="5"/>
        <v>0</v>
      </c>
    </row>
    <row r="56" spans="9:16">
      <c r="I56" s="686">
        <f t="shared" ca="1" si="0"/>
        <v>0</v>
      </c>
      <c r="J56" s="699">
        <f>J55+1</f>
        <v>43478</v>
      </c>
      <c r="K56" s="822">
        <f>K55+1</f>
        <v>43478</v>
      </c>
      <c r="L56" s="823">
        <f t="shared" ca="1" si="3"/>
        <v>0</v>
      </c>
      <c r="M56" s="851">
        <f t="shared" ca="1" si="4"/>
        <v>1</v>
      </c>
      <c r="N56" s="825" t="b">
        <f t="shared" ca="1" si="5"/>
        <v>0</v>
      </c>
    </row>
    <row r="57" spans="9:16">
      <c r="I57" s="686">
        <f t="shared" ca="1" si="0"/>
        <v>0</v>
      </c>
      <c r="J57" s="699">
        <f t="shared" ref="J57:J70" si="6">J56+1</f>
        <v>43479</v>
      </c>
      <c r="K57" s="822">
        <f t="shared" ref="K57:K70" si="7">K56+1</f>
        <v>43479</v>
      </c>
      <c r="L57" s="823">
        <f t="shared" ca="1" si="3"/>
        <v>0</v>
      </c>
      <c r="M57" s="851">
        <f t="shared" ca="1" si="4"/>
        <v>1</v>
      </c>
      <c r="N57" s="825" t="b">
        <f t="shared" ca="1" si="5"/>
        <v>0</v>
      </c>
    </row>
    <row r="58" spans="9:16">
      <c r="I58" s="686">
        <f t="shared" ca="1" si="0"/>
        <v>0</v>
      </c>
      <c r="J58" s="699">
        <f t="shared" si="6"/>
        <v>43480</v>
      </c>
      <c r="K58" s="822">
        <f t="shared" si="7"/>
        <v>43480</v>
      </c>
      <c r="L58" s="823">
        <f t="shared" ca="1" si="3"/>
        <v>0</v>
      </c>
      <c r="M58" s="851">
        <f t="shared" ca="1" si="4"/>
        <v>1</v>
      </c>
      <c r="N58" s="825" t="b">
        <f t="shared" ca="1" si="5"/>
        <v>0</v>
      </c>
    </row>
    <row r="59" spans="9:16">
      <c r="I59" s="686">
        <f t="shared" si="0"/>
        <v>0</v>
      </c>
      <c r="J59" s="699">
        <f t="shared" si="6"/>
        <v>43481</v>
      </c>
      <c r="K59" s="822">
        <f t="shared" si="7"/>
        <v>43481</v>
      </c>
      <c r="L59" s="823">
        <f t="shared" ref="L59:L91" si="8">IF(K59=$JK19,1,0)</f>
        <v>0</v>
      </c>
      <c r="M59" s="851">
        <f t="shared" ca="1" si="4"/>
        <v>1</v>
      </c>
      <c r="N59" s="825" t="b">
        <f t="shared" ca="1" si="5"/>
        <v>0</v>
      </c>
    </row>
    <row r="60" spans="9:16">
      <c r="I60" s="686">
        <f t="shared" si="0"/>
        <v>0</v>
      </c>
      <c r="J60" s="699">
        <f t="shared" si="6"/>
        <v>43482</v>
      </c>
      <c r="K60" s="822">
        <f t="shared" si="7"/>
        <v>43482</v>
      </c>
      <c r="L60" s="823">
        <f t="shared" si="8"/>
        <v>0</v>
      </c>
      <c r="M60" s="851">
        <f t="shared" ref="M60:M91" si="9">IF(M61=999,999,IF(AND(L60=0,L61=1),999,0))</f>
        <v>0</v>
      </c>
      <c r="N60" s="825" t="b">
        <f t="shared" ca="1" si="5"/>
        <v>0</v>
      </c>
    </row>
    <row r="61" spans="9:16">
      <c r="I61" s="686">
        <f t="shared" si="0"/>
        <v>0</v>
      </c>
      <c r="J61" s="699">
        <f t="shared" si="6"/>
        <v>43483</v>
      </c>
      <c r="K61" s="822">
        <f t="shared" si="7"/>
        <v>43483</v>
      </c>
      <c r="L61" s="823">
        <f t="shared" si="8"/>
        <v>0</v>
      </c>
      <c r="M61" s="851">
        <f t="shared" si="9"/>
        <v>0</v>
      </c>
      <c r="N61" s="825" t="b">
        <f t="shared" si="5"/>
        <v>0</v>
      </c>
    </row>
    <row r="62" spans="9:16">
      <c r="I62" s="686">
        <f t="shared" si="0"/>
        <v>0</v>
      </c>
      <c r="J62" s="699">
        <f t="shared" si="6"/>
        <v>43484</v>
      </c>
      <c r="K62" s="822">
        <f t="shared" si="7"/>
        <v>43484</v>
      </c>
      <c r="L62" s="823">
        <f t="shared" si="8"/>
        <v>0</v>
      </c>
      <c r="M62" s="851">
        <f t="shared" si="9"/>
        <v>0</v>
      </c>
      <c r="N62" s="825" t="b">
        <f t="shared" si="5"/>
        <v>0</v>
      </c>
    </row>
    <row r="63" spans="9:16">
      <c r="I63" s="686">
        <f t="shared" si="0"/>
        <v>0</v>
      </c>
      <c r="J63" s="699">
        <f t="shared" si="6"/>
        <v>43485</v>
      </c>
      <c r="K63" s="822">
        <f t="shared" si="7"/>
        <v>43485</v>
      </c>
      <c r="L63" s="823">
        <f t="shared" si="8"/>
        <v>0</v>
      </c>
      <c r="M63" s="851">
        <f t="shared" si="9"/>
        <v>0</v>
      </c>
      <c r="N63" s="825" t="b">
        <f t="shared" si="5"/>
        <v>0</v>
      </c>
    </row>
    <row r="64" spans="9:16">
      <c r="I64" s="686">
        <f t="shared" si="0"/>
        <v>0</v>
      </c>
      <c r="J64" s="699">
        <f t="shared" si="6"/>
        <v>43486</v>
      </c>
      <c r="K64" s="822">
        <f t="shared" si="7"/>
        <v>43486</v>
      </c>
      <c r="L64" s="823">
        <f t="shared" si="8"/>
        <v>0</v>
      </c>
      <c r="M64" s="851">
        <f t="shared" si="9"/>
        <v>0</v>
      </c>
      <c r="N64" s="825" t="b">
        <f t="shared" si="5"/>
        <v>0</v>
      </c>
    </row>
    <row r="65" spans="9:14">
      <c r="I65" s="686">
        <f t="shared" si="0"/>
        <v>0</v>
      </c>
      <c r="J65" s="699">
        <f t="shared" si="6"/>
        <v>43487</v>
      </c>
      <c r="K65" s="822">
        <f t="shared" si="7"/>
        <v>43487</v>
      </c>
      <c r="L65" s="823">
        <f t="shared" si="8"/>
        <v>0</v>
      </c>
      <c r="M65" s="851">
        <f t="shared" si="9"/>
        <v>0</v>
      </c>
      <c r="N65" s="825" t="b">
        <f t="shared" si="5"/>
        <v>0</v>
      </c>
    </row>
    <row r="66" spans="9:14">
      <c r="I66" s="686">
        <f t="shared" si="0"/>
        <v>0</v>
      </c>
      <c r="J66" s="699">
        <f t="shared" si="6"/>
        <v>43488</v>
      </c>
      <c r="K66" s="822">
        <f t="shared" si="7"/>
        <v>43488</v>
      </c>
      <c r="L66" s="823">
        <f t="shared" si="8"/>
        <v>0</v>
      </c>
      <c r="M66" s="851">
        <f t="shared" si="9"/>
        <v>0</v>
      </c>
      <c r="N66" s="825" t="b">
        <f t="shared" si="5"/>
        <v>0</v>
      </c>
    </row>
    <row r="67" spans="9:14">
      <c r="I67" s="686">
        <f t="shared" si="0"/>
        <v>0</v>
      </c>
      <c r="J67" s="699">
        <f t="shared" si="6"/>
        <v>43489</v>
      </c>
      <c r="K67" s="822">
        <f t="shared" si="7"/>
        <v>43489</v>
      </c>
      <c r="L67" s="823">
        <f t="shared" si="8"/>
        <v>0</v>
      </c>
      <c r="M67" s="851">
        <f t="shared" si="9"/>
        <v>0</v>
      </c>
      <c r="N67" s="825" t="b">
        <f t="shared" si="5"/>
        <v>0</v>
      </c>
    </row>
    <row r="68" spans="9:14">
      <c r="I68" s="686">
        <f t="shared" si="0"/>
        <v>0</v>
      </c>
      <c r="J68" s="699">
        <f t="shared" si="6"/>
        <v>43490</v>
      </c>
      <c r="K68" s="822">
        <f t="shared" si="7"/>
        <v>43490</v>
      </c>
      <c r="L68" s="823">
        <f t="shared" si="8"/>
        <v>0</v>
      </c>
      <c r="M68" s="851">
        <f t="shared" si="9"/>
        <v>0</v>
      </c>
      <c r="N68" s="825" t="b">
        <f t="shared" si="5"/>
        <v>0</v>
      </c>
    </row>
    <row r="69" spans="9:14">
      <c r="I69" s="686">
        <f t="shared" si="0"/>
        <v>0</v>
      </c>
      <c r="J69" s="699">
        <f t="shared" si="6"/>
        <v>43491</v>
      </c>
      <c r="K69" s="822">
        <f t="shared" si="7"/>
        <v>43491</v>
      </c>
      <c r="L69" s="823">
        <f t="shared" si="8"/>
        <v>0</v>
      </c>
      <c r="M69" s="851">
        <f t="shared" si="9"/>
        <v>0</v>
      </c>
      <c r="N69" s="825" t="b">
        <f t="shared" si="5"/>
        <v>0</v>
      </c>
    </row>
    <row r="70" spans="9:14">
      <c r="I70" s="686">
        <f t="shared" si="0"/>
        <v>0</v>
      </c>
      <c r="J70" s="699">
        <f t="shared" si="6"/>
        <v>43492</v>
      </c>
      <c r="K70" s="822">
        <f t="shared" si="7"/>
        <v>43492</v>
      </c>
      <c r="L70" s="823">
        <f t="shared" si="8"/>
        <v>0</v>
      </c>
      <c r="M70" s="851">
        <f t="shared" si="9"/>
        <v>0</v>
      </c>
      <c r="N70" s="825" t="b">
        <f t="shared" si="5"/>
        <v>0</v>
      </c>
    </row>
    <row r="71" spans="9:14">
      <c r="I71" s="686">
        <f t="shared" si="0"/>
        <v>0</v>
      </c>
      <c r="J71" s="699">
        <f>J70+1</f>
        <v>43493</v>
      </c>
      <c r="K71" s="822">
        <f>K70+1</f>
        <v>43493</v>
      </c>
      <c r="L71" s="823">
        <f t="shared" si="8"/>
        <v>0</v>
      </c>
      <c r="M71" s="851">
        <f t="shared" si="9"/>
        <v>0</v>
      </c>
      <c r="N71" s="825" t="b">
        <f t="shared" si="5"/>
        <v>0</v>
      </c>
    </row>
    <row r="72" spans="9:14">
      <c r="I72" s="686">
        <f t="shared" si="0"/>
        <v>0</v>
      </c>
      <c r="J72" s="699">
        <f t="shared" ref="J72:J91" si="10">J71+1</f>
        <v>43494</v>
      </c>
      <c r="K72" s="822">
        <f t="shared" ref="K72:K91" si="11">K71+1</f>
        <v>43494</v>
      </c>
      <c r="L72" s="823">
        <f t="shared" si="8"/>
        <v>0</v>
      </c>
      <c r="M72" s="851">
        <f t="shared" si="9"/>
        <v>0</v>
      </c>
      <c r="N72" s="825" t="b">
        <f t="shared" si="5"/>
        <v>0</v>
      </c>
    </row>
    <row r="73" spans="9:14">
      <c r="I73" s="686">
        <f t="shared" si="0"/>
        <v>0</v>
      </c>
      <c r="J73" s="699">
        <f t="shared" si="10"/>
        <v>43495</v>
      </c>
      <c r="K73" s="822">
        <f t="shared" si="11"/>
        <v>43495</v>
      </c>
      <c r="L73" s="823">
        <f t="shared" si="8"/>
        <v>0</v>
      </c>
      <c r="M73" s="851">
        <f t="shared" si="9"/>
        <v>0</v>
      </c>
      <c r="N73" s="825" t="b">
        <f t="shared" si="5"/>
        <v>0</v>
      </c>
    </row>
    <row r="74" spans="9:14">
      <c r="I74" s="686">
        <f t="shared" si="0"/>
        <v>0</v>
      </c>
      <c r="J74" s="699">
        <f t="shared" si="10"/>
        <v>43496</v>
      </c>
      <c r="K74" s="822">
        <f t="shared" si="11"/>
        <v>43496</v>
      </c>
      <c r="L74" s="823">
        <f t="shared" si="8"/>
        <v>0</v>
      </c>
      <c r="M74" s="851">
        <f t="shared" si="9"/>
        <v>0</v>
      </c>
      <c r="N74" s="825" t="b">
        <f t="shared" si="5"/>
        <v>0</v>
      </c>
    </row>
    <row r="75" spans="9:14">
      <c r="I75" s="686">
        <f t="shared" si="0"/>
        <v>0</v>
      </c>
      <c r="J75" s="699">
        <f t="shared" si="10"/>
        <v>43497</v>
      </c>
      <c r="K75" s="822">
        <f t="shared" si="11"/>
        <v>43497</v>
      </c>
      <c r="L75" s="823">
        <f t="shared" si="8"/>
        <v>0</v>
      </c>
      <c r="M75" s="851">
        <f t="shared" si="9"/>
        <v>0</v>
      </c>
      <c r="N75" s="825" t="b">
        <f t="shared" si="5"/>
        <v>0</v>
      </c>
    </row>
    <row r="76" spans="9:14">
      <c r="I76" s="686">
        <f t="shared" si="0"/>
        <v>0</v>
      </c>
      <c r="J76" s="699">
        <f t="shared" si="10"/>
        <v>43498</v>
      </c>
      <c r="K76" s="822">
        <f t="shared" si="11"/>
        <v>43498</v>
      </c>
      <c r="L76" s="823">
        <f t="shared" si="8"/>
        <v>0</v>
      </c>
      <c r="M76" s="851">
        <f t="shared" si="9"/>
        <v>0</v>
      </c>
      <c r="N76" s="825" t="b">
        <f t="shared" si="5"/>
        <v>0</v>
      </c>
    </row>
    <row r="77" spans="9:14">
      <c r="I77" s="686">
        <f t="shared" si="0"/>
        <v>0</v>
      </c>
      <c r="J77" s="699">
        <f t="shared" si="10"/>
        <v>43499</v>
      </c>
      <c r="K77" s="822">
        <f t="shared" si="11"/>
        <v>43499</v>
      </c>
      <c r="L77" s="823">
        <f t="shared" si="8"/>
        <v>0</v>
      </c>
      <c r="M77" s="851">
        <f t="shared" si="9"/>
        <v>0</v>
      </c>
      <c r="N77" s="825" t="b">
        <f t="shared" si="5"/>
        <v>0</v>
      </c>
    </row>
    <row r="78" spans="9:14">
      <c r="I78" s="686">
        <f t="shared" si="0"/>
        <v>0</v>
      </c>
      <c r="J78" s="699">
        <f t="shared" si="10"/>
        <v>43500</v>
      </c>
      <c r="K78" s="822">
        <f t="shared" si="11"/>
        <v>43500</v>
      </c>
      <c r="L78" s="823">
        <f t="shared" si="8"/>
        <v>0</v>
      </c>
      <c r="M78" s="851">
        <f t="shared" si="9"/>
        <v>0</v>
      </c>
      <c r="N78" s="825" t="b">
        <f t="shared" si="5"/>
        <v>0</v>
      </c>
    </row>
    <row r="79" spans="9:14">
      <c r="I79" s="686">
        <f t="shared" si="0"/>
        <v>0</v>
      </c>
      <c r="J79" s="699">
        <f t="shared" si="10"/>
        <v>43501</v>
      </c>
      <c r="K79" s="822">
        <f t="shared" si="11"/>
        <v>43501</v>
      </c>
      <c r="L79" s="823">
        <f t="shared" si="8"/>
        <v>0</v>
      </c>
      <c r="M79" s="851">
        <f t="shared" si="9"/>
        <v>0</v>
      </c>
      <c r="N79" s="825" t="b">
        <f t="shared" si="5"/>
        <v>0</v>
      </c>
    </row>
    <row r="80" spans="9:14">
      <c r="I80" s="686">
        <f t="shared" si="0"/>
        <v>0</v>
      </c>
      <c r="J80" s="699">
        <f t="shared" si="10"/>
        <v>43502</v>
      </c>
      <c r="K80" s="822">
        <f t="shared" si="11"/>
        <v>43502</v>
      </c>
      <c r="L80" s="823">
        <f t="shared" si="8"/>
        <v>0</v>
      </c>
      <c r="M80" s="851">
        <f t="shared" si="9"/>
        <v>0</v>
      </c>
      <c r="N80" s="825" t="b">
        <f t="shared" si="5"/>
        <v>0</v>
      </c>
    </row>
    <row r="81" spans="9:14">
      <c r="I81" s="686">
        <f t="shared" si="0"/>
        <v>0</v>
      </c>
      <c r="J81" s="699">
        <f t="shared" si="10"/>
        <v>43503</v>
      </c>
      <c r="K81" s="822">
        <f t="shared" si="11"/>
        <v>43503</v>
      </c>
      <c r="L81" s="823">
        <f t="shared" si="8"/>
        <v>0</v>
      </c>
      <c r="M81" s="851">
        <f t="shared" si="9"/>
        <v>0</v>
      </c>
      <c r="N81" s="825" t="b">
        <f t="shared" si="5"/>
        <v>0</v>
      </c>
    </row>
    <row r="82" spans="9:14">
      <c r="I82" s="686">
        <f t="shared" si="0"/>
        <v>0</v>
      </c>
      <c r="J82" s="699">
        <f t="shared" si="10"/>
        <v>43504</v>
      </c>
      <c r="K82" s="822">
        <f t="shared" si="11"/>
        <v>43504</v>
      </c>
      <c r="L82" s="823">
        <f t="shared" si="8"/>
        <v>0</v>
      </c>
      <c r="M82" s="851">
        <f t="shared" si="9"/>
        <v>0</v>
      </c>
      <c r="N82" s="825" t="b">
        <f t="shared" si="5"/>
        <v>0</v>
      </c>
    </row>
    <row r="83" spans="9:14">
      <c r="I83" s="686">
        <f t="shared" si="0"/>
        <v>0</v>
      </c>
      <c r="J83" s="699">
        <f t="shared" si="10"/>
        <v>43505</v>
      </c>
      <c r="K83" s="822">
        <f t="shared" si="11"/>
        <v>43505</v>
      </c>
      <c r="L83" s="823">
        <f t="shared" si="8"/>
        <v>0</v>
      </c>
      <c r="M83" s="851">
        <f t="shared" si="9"/>
        <v>0</v>
      </c>
      <c r="N83" s="825" t="b">
        <f t="shared" si="5"/>
        <v>0</v>
      </c>
    </row>
    <row r="84" spans="9:14">
      <c r="I84" s="686">
        <f t="shared" si="0"/>
        <v>0</v>
      </c>
      <c r="J84" s="699">
        <f t="shared" si="10"/>
        <v>43506</v>
      </c>
      <c r="K84" s="822">
        <f t="shared" si="11"/>
        <v>43506</v>
      </c>
      <c r="L84" s="823">
        <f t="shared" si="8"/>
        <v>0</v>
      </c>
      <c r="M84" s="851">
        <f t="shared" si="9"/>
        <v>0</v>
      </c>
      <c r="N84" s="825" t="b">
        <f t="shared" si="5"/>
        <v>0</v>
      </c>
    </row>
    <row r="85" spans="9:14">
      <c r="I85" s="686">
        <f t="shared" si="0"/>
        <v>0</v>
      </c>
      <c r="J85" s="699">
        <f t="shared" si="10"/>
        <v>43507</v>
      </c>
      <c r="K85" s="822">
        <f t="shared" si="11"/>
        <v>43507</v>
      </c>
      <c r="L85" s="823">
        <f t="shared" si="8"/>
        <v>0</v>
      </c>
      <c r="M85" s="851">
        <f t="shared" si="9"/>
        <v>0</v>
      </c>
      <c r="N85" s="825" t="b">
        <f t="shared" si="5"/>
        <v>0</v>
      </c>
    </row>
    <row r="86" spans="9:14">
      <c r="I86" s="686">
        <f t="shared" si="0"/>
        <v>0</v>
      </c>
      <c r="J86" s="699">
        <f t="shared" si="10"/>
        <v>43508</v>
      </c>
      <c r="K86" s="822">
        <f t="shared" si="11"/>
        <v>43508</v>
      </c>
      <c r="L86" s="823">
        <f t="shared" si="8"/>
        <v>0</v>
      </c>
      <c r="M86" s="851">
        <f t="shared" si="9"/>
        <v>0</v>
      </c>
      <c r="N86" s="825" t="b">
        <f t="shared" si="5"/>
        <v>0</v>
      </c>
    </row>
    <row r="87" spans="9:14">
      <c r="I87" s="686">
        <f t="shared" si="0"/>
        <v>0</v>
      </c>
      <c r="J87" s="699">
        <f t="shared" si="10"/>
        <v>43509</v>
      </c>
      <c r="K87" s="822">
        <f t="shared" si="11"/>
        <v>43509</v>
      </c>
      <c r="L87" s="823">
        <f t="shared" si="8"/>
        <v>0</v>
      </c>
      <c r="M87" s="851">
        <f t="shared" si="9"/>
        <v>0</v>
      </c>
      <c r="N87" s="825" t="b">
        <f t="shared" si="5"/>
        <v>0</v>
      </c>
    </row>
    <row r="88" spans="9:14">
      <c r="I88" s="686">
        <f t="shared" si="0"/>
        <v>0</v>
      </c>
      <c r="J88" s="699">
        <f t="shared" si="10"/>
        <v>43510</v>
      </c>
      <c r="K88" s="822">
        <f t="shared" si="11"/>
        <v>43510</v>
      </c>
      <c r="L88" s="823">
        <f t="shared" si="8"/>
        <v>0</v>
      </c>
      <c r="M88" s="851">
        <f t="shared" si="9"/>
        <v>0</v>
      </c>
      <c r="N88" s="825" t="b">
        <f t="shared" si="5"/>
        <v>0</v>
      </c>
    </row>
    <row r="89" spans="9:14">
      <c r="I89" s="686">
        <f t="shared" si="0"/>
        <v>0</v>
      </c>
      <c r="J89" s="699">
        <f t="shared" si="10"/>
        <v>43511</v>
      </c>
      <c r="K89" s="822">
        <f t="shared" si="11"/>
        <v>43511</v>
      </c>
      <c r="L89" s="823">
        <f t="shared" si="8"/>
        <v>0</v>
      </c>
      <c r="M89" s="851">
        <f t="shared" si="9"/>
        <v>0</v>
      </c>
      <c r="N89" s="825" t="b">
        <f t="shared" si="5"/>
        <v>0</v>
      </c>
    </row>
    <row r="90" spans="9:14">
      <c r="I90" s="686">
        <f t="shared" si="0"/>
        <v>0</v>
      </c>
      <c r="J90" s="699">
        <f t="shared" si="10"/>
        <v>43512</v>
      </c>
      <c r="K90" s="822">
        <f t="shared" si="11"/>
        <v>43512</v>
      </c>
      <c r="L90" s="823">
        <f t="shared" si="8"/>
        <v>0</v>
      </c>
      <c r="M90" s="851">
        <f t="shared" si="9"/>
        <v>0</v>
      </c>
      <c r="N90" s="825" t="b">
        <f t="shared" si="5"/>
        <v>0</v>
      </c>
    </row>
    <row r="91" spans="9:14">
      <c r="I91" s="686">
        <f t="shared" si="0"/>
        <v>0</v>
      </c>
      <c r="J91" s="699">
        <f t="shared" si="10"/>
        <v>43513</v>
      </c>
      <c r="K91" s="822">
        <f t="shared" si="11"/>
        <v>43513</v>
      </c>
      <c r="L91" s="823">
        <f t="shared" si="8"/>
        <v>0</v>
      </c>
      <c r="M91" s="851">
        <f t="shared" si="9"/>
        <v>0</v>
      </c>
      <c r="N91" s="825" t="b">
        <f t="shared" si="5"/>
        <v>0</v>
      </c>
    </row>
  </sheetData>
  <sheetProtection password="80A0" sheet="1" objects="1" scenarios="1"/>
  <mergeCells count="17">
    <mergeCell ref="O4:P4"/>
    <mergeCell ref="O7:P7"/>
    <mergeCell ref="E2:G2"/>
    <mergeCell ref="B2:D2"/>
    <mergeCell ref="C41:F41"/>
    <mergeCell ref="B3:C3"/>
    <mergeCell ref="E3:G3"/>
    <mergeCell ref="B4:B5"/>
    <mergeCell ref="B10:B11"/>
    <mergeCell ref="B13:B14"/>
    <mergeCell ref="B15:B18"/>
    <mergeCell ref="B21:B22"/>
    <mergeCell ref="B25:B26"/>
    <mergeCell ref="B27:B28"/>
    <mergeCell ref="B31:B32"/>
    <mergeCell ref="D39:G39"/>
    <mergeCell ref="B39:C39"/>
  </mergeCells>
  <phoneticPr fontId="1"/>
  <hyperlinks>
    <hyperlink ref="B2:D2" r:id="rId1" location="Top!A43" display="TopPage"/>
  </hyperlinks>
  <pageMargins left="0.78740157480314965" right="3.937007874015748E-2" top="0.70866141732283472" bottom="0.59055118110236227" header="0.31496062992125984" footer="0.31496062992125984"/>
  <pageSetup paperSize="9" scale="95" orientation="portrait" r:id="rId2"/>
  <colBreaks count="1" manualBreakCount="1">
    <brk id="8" min="1" max="39"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V148"/>
  <sheetViews>
    <sheetView view="pageBreakPreview" zoomScale="120" zoomScaleSheetLayoutView="120" workbookViewId="0"/>
  </sheetViews>
  <sheetFormatPr defaultRowHeight="15.75"/>
  <cols>
    <col min="1" max="1" width="1.42578125" style="240" customWidth="1"/>
    <col min="2" max="2" width="2.42578125" style="240" customWidth="1"/>
    <col min="3" max="3" width="3.85546875" style="240" customWidth="1"/>
    <col min="4" max="27" width="4.28515625" style="240" customWidth="1"/>
    <col min="28" max="28" width="11.42578125" style="240" customWidth="1"/>
    <col min="29" max="29" width="12.85546875" style="240" customWidth="1"/>
    <col min="30" max="30" width="8.5703125" style="240" customWidth="1"/>
    <col min="31" max="31" width="1.7109375" style="240" customWidth="1"/>
    <col min="32" max="33" width="7.140625" style="240" customWidth="1"/>
    <col min="34" max="34" width="1.7109375" style="240" customWidth="1"/>
    <col min="35" max="35" width="7.140625" style="240" customWidth="1"/>
    <col min="36" max="36" width="4.28515625" style="240" customWidth="1"/>
    <col min="37" max="37" width="1.7109375" style="240" customWidth="1"/>
    <col min="38" max="39" width="4.28515625" style="240" customWidth="1"/>
    <col min="40" max="40" width="1.7109375" style="240" customWidth="1"/>
    <col min="41" max="42" width="4.28515625" style="240" customWidth="1"/>
    <col min="43" max="43" width="1.7109375" style="240" customWidth="1"/>
    <col min="44" max="45" width="4.28515625" style="240" customWidth="1"/>
    <col min="46" max="46" width="1.7109375" style="240" customWidth="1"/>
    <col min="47" max="47" width="4.28515625" style="240" customWidth="1"/>
    <col min="48" max="51" width="7.140625" style="240" customWidth="1"/>
    <col min="52" max="52" width="4.7109375" style="240" customWidth="1"/>
    <col min="53" max="73" width="4.7109375" style="240" hidden="1" customWidth="1"/>
    <col min="74" max="74" width="4.7109375" style="240" customWidth="1"/>
    <col min="75" max="79" width="4.28515625" style="240" customWidth="1"/>
    <col min="80" max="285" width="9.140625" style="240"/>
    <col min="286" max="286" width="2.42578125" style="240" customWidth="1"/>
    <col min="287" max="287" width="3.85546875" style="240" customWidth="1"/>
    <col min="288" max="311" width="4.28515625" style="240" customWidth="1"/>
    <col min="312" max="541" width="9.140625" style="240"/>
    <col min="542" max="542" width="2.42578125" style="240" customWidth="1"/>
    <col min="543" max="543" width="3.85546875" style="240" customWidth="1"/>
    <col min="544" max="567" width="4.28515625" style="240" customWidth="1"/>
    <col min="568" max="797" width="9.140625" style="240"/>
    <col min="798" max="798" width="2.42578125" style="240" customWidth="1"/>
    <col min="799" max="799" width="3.85546875" style="240" customWidth="1"/>
    <col min="800" max="823" width="4.28515625" style="240" customWidth="1"/>
    <col min="824" max="1053" width="9.140625" style="240"/>
    <col min="1054" max="1054" width="2.42578125" style="240" customWidth="1"/>
    <col min="1055" max="1055" width="3.85546875" style="240" customWidth="1"/>
    <col min="1056" max="1079" width="4.28515625" style="240" customWidth="1"/>
    <col min="1080" max="1309" width="9.140625" style="240"/>
    <col min="1310" max="1310" width="2.42578125" style="240" customWidth="1"/>
    <col min="1311" max="1311" width="3.85546875" style="240" customWidth="1"/>
    <col min="1312" max="1335" width="4.28515625" style="240" customWidth="1"/>
    <col min="1336" max="1565" width="9.140625" style="240"/>
    <col min="1566" max="1566" width="2.42578125" style="240" customWidth="1"/>
    <col min="1567" max="1567" width="3.85546875" style="240" customWidth="1"/>
    <col min="1568" max="1591" width="4.28515625" style="240" customWidth="1"/>
    <col min="1592" max="1821" width="9.140625" style="240"/>
    <col min="1822" max="1822" width="2.42578125" style="240" customWidth="1"/>
    <col min="1823" max="1823" width="3.85546875" style="240" customWidth="1"/>
    <col min="1824" max="1847" width="4.28515625" style="240" customWidth="1"/>
    <col min="1848" max="2077" width="9.140625" style="240"/>
    <col min="2078" max="2078" width="2.42578125" style="240" customWidth="1"/>
    <col min="2079" max="2079" width="3.85546875" style="240" customWidth="1"/>
    <col min="2080" max="2103" width="4.28515625" style="240" customWidth="1"/>
    <col min="2104" max="2333" width="9.140625" style="240"/>
    <col min="2334" max="2334" width="2.42578125" style="240" customWidth="1"/>
    <col min="2335" max="2335" width="3.85546875" style="240" customWidth="1"/>
    <col min="2336" max="2359" width="4.28515625" style="240" customWidth="1"/>
    <col min="2360" max="2589" width="9.140625" style="240"/>
    <col min="2590" max="2590" width="2.42578125" style="240" customWidth="1"/>
    <col min="2591" max="2591" width="3.85546875" style="240" customWidth="1"/>
    <col min="2592" max="2615" width="4.28515625" style="240" customWidth="1"/>
    <col min="2616" max="2845" width="9.140625" style="240"/>
    <col min="2846" max="2846" width="2.42578125" style="240" customWidth="1"/>
    <col min="2847" max="2847" width="3.85546875" style="240" customWidth="1"/>
    <col min="2848" max="2871" width="4.28515625" style="240" customWidth="1"/>
    <col min="2872" max="3101" width="9.140625" style="240"/>
    <col min="3102" max="3102" width="2.42578125" style="240" customWidth="1"/>
    <col min="3103" max="3103" width="3.85546875" style="240" customWidth="1"/>
    <col min="3104" max="3127" width="4.28515625" style="240" customWidth="1"/>
    <col min="3128" max="3357" width="9.140625" style="240"/>
    <col min="3358" max="3358" width="2.42578125" style="240" customWidth="1"/>
    <col min="3359" max="3359" width="3.85546875" style="240" customWidth="1"/>
    <col min="3360" max="3383" width="4.28515625" style="240" customWidth="1"/>
    <col min="3384" max="3613" width="9.140625" style="240"/>
    <col min="3614" max="3614" width="2.42578125" style="240" customWidth="1"/>
    <col min="3615" max="3615" width="3.85546875" style="240" customWidth="1"/>
    <col min="3616" max="3639" width="4.28515625" style="240" customWidth="1"/>
    <col min="3640" max="3869" width="9.140625" style="240"/>
    <col min="3870" max="3870" width="2.42578125" style="240" customWidth="1"/>
    <col min="3871" max="3871" width="3.85546875" style="240" customWidth="1"/>
    <col min="3872" max="3895" width="4.28515625" style="240" customWidth="1"/>
    <col min="3896" max="4125" width="9.140625" style="240"/>
    <col min="4126" max="4126" width="2.42578125" style="240" customWidth="1"/>
    <col min="4127" max="4127" width="3.85546875" style="240" customWidth="1"/>
    <col min="4128" max="4151" width="4.28515625" style="240" customWidth="1"/>
    <col min="4152" max="4381" width="9.140625" style="240"/>
    <col min="4382" max="4382" width="2.42578125" style="240" customWidth="1"/>
    <col min="4383" max="4383" width="3.85546875" style="240" customWidth="1"/>
    <col min="4384" max="4407" width="4.28515625" style="240" customWidth="1"/>
    <col min="4408" max="4637" width="9.140625" style="240"/>
    <col min="4638" max="4638" width="2.42578125" style="240" customWidth="1"/>
    <col min="4639" max="4639" width="3.85546875" style="240" customWidth="1"/>
    <col min="4640" max="4663" width="4.28515625" style="240" customWidth="1"/>
    <col min="4664" max="4893" width="9.140625" style="240"/>
    <col min="4894" max="4894" width="2.42578125" style="240" customWidth="1"/>
    <col min="4895" max="4895" width="3.85546875" style="240" customWidth="1"/>
    <col min="4896" max="4919" width="4.28515625" style="240" customWidth="1"/>
    <col min="4920" max="5149" width="9.140625" style="240"/>
    <col min="5150" max="5150" width="2.42578125" style="240" customWidth="1"/>
    <col min="5151" max="5151" width="3.85546875" style="240" customWidth="1"/>
    <col min="5152" max="5175" width="4.28515625" style="240" customWidth="1"/>
    <col min="5176" max="5405" width="9.140625" style="240"/>
    <col min="5406" max="5406" width="2.42578125" style="240" customWidth="1"/>
    <col min="5407" max="5407" width="3.85546875" style="240" customWidth="1"/>
    <col min="5408" max="5431" width="4.28515625" style="240" customWidth="1"/>
    <col min="5432" max="5661" width="9.140625" style="240"/>
    <col min="5662" max="5662" width="2.42578125" style="240" customWidth="1"/>
    <col min="5663" max="5663" width="3.85546875" style="240" customWidth="1"/>
    <col min="5664" max="5687" width="4.28515625" style="240" customWidth="1"/>
    <col min="5688" max="5917" width="9.140625" style="240"/>
    <col min="5918" max="5918" width="2.42578125" style="240" customWidth="1"/>
    <col min="5919" max="5919" width="3.85546875" style="240" customWidth="1"/>
    <col min="5920" max="5943" width="4.28515625" style="240" customWidth="1"/>
    <col min="5944" max="6173" width="9.140625" style="240"/>
    <col min="6174" max="6174" width="2.42578125" style="240" customWidth="1"/>
    <col min="6175" max="6175" width="3.85546875" style="240" customWidth="1"/>
    <col min="6176" max="6199" width="4.28515625" style="240" customWidth="1"/>
    <col min="6200" max="6429" width="9.140625" style="240"/>
    <col min="6430" max="6430" width="2.42578125" style="240" customWidth="1"/>
    <col min="6431" max="6431" width="3.85546875" style="240" customWidth="1"/>
    <col min="6432" max="6455" width="4.28515625" style="240" customWidth="1"/>
    <col min="6456" max="6685" width="9.140625" style="240"/>
    <col min="6686" max="6686" width="2.42578125" style="240" customWidth="1"/>
    <col min="6687" max="6687" width="3.85546875" style="240" customWidth="1"/>
    <col min="6688" max="6711" width="4.28515625" style="240" customWidth="1"/>
    <col min="6712" max="6941" width="9.140625" style="240"/>
    <col min="6942" max="6942" width="2.42578125" style="240" customWidth="1"/>
    <col min="6943" max="6943" width="3.85546875" style="240" customWidth="1"/>
    <col min="6944" max="6967" width="4.28515625" style="240" customWidth="1"/>
    <col min="6968" max="7197" width="9.140625" style="240"/>
    <col min="7198" max="7198" width="2.42578125" style="240" customWidth="1"/>
    <col min="7199" max="7199" width="3.85546875" style="240" customWidth="1"/>
    <col min="7200" max="7223" width="4.28515625" style="240" customWidth="1"/>
    <col min="7224" max="7453" width="9.140625" style="240"/>
    <col min="7454" max="7454" width="2.42578125" style="240" customWidth="1"/>
    <col min="7455" max="7455" width="3.85546875" style="240" customWidth="1"/>
    <col min="7456" max="7479" width="4.28515625" style="240" customWidth="1"/>
    <col min="7480" max="7709" width="9.140625" style="240"/>
    <col min="7710" max="7710" width="2.42578125" style="240" customWidth="1"/>
    <col min="7711" max="7711" width="3.85546875" style="240" customWidth="1"/>
    <col min="7712" max="7735" width="4.28515625" style="240" customWidth="1"/>
    <col min="7736" max="7965" width="9.140625" style="240"/>
    <col min="7966" max="7966" width="2.42578125" style="240" customWidth="1"/>
    <col min="7967" max="7967" width="3.85546875" style="240" customWidth="1"/>
    <col min="7968" max="7991" width="4.28515625" style="240" customWidth="1"/>
    <col min="7992" max="8221" width="9.140625" style="240"/>
    <col min="8222" max="8222" width="2.42578125" style="240" customWidth="1"/>
    <col min="8223" max="8223" width="3.85546875" style="240" customWidth="1"/>
    <col min="8224" max="8247" width="4.28515625" style="240" customWidth="1"/>
    <col min="8248" max="8477" width="9.140625" style="240"/>
    <col min="8478" max="8478" width="2.42578125" style="240" customWidth="1"/>
    <col min="8479" max="8479" width="3.85546875" style="240" customWidth="1"/>
    <col min="8480" max="8503" width="4.28515625" style="240" customWidth="1"/>
    <col min="8504" max="8733" width="9.140625" style="240"/>
    <col min="8734" max="8734" width="2.42578125" style="240" customWidth="1"/>
    <col min="8735" max="8735" width="3.85546875" style="240" customWidth="1"/>
    <col min="8736" max="8759" width="4.28515625" style="240" customWidth="1"/>
    <col min="8760" max="8989" width="9.140625" style="240"/>
    <col min="8990" max="8990" width="2.42578125" style="240" customWidth="1"/>
    <col min="8991" max="8991" width="3.85546875" style="240" customWidth="1"/>
    <col min="8992" max="9015" width="4.28515625" style="240" customWidth="1"/>
    <col min="9016" max="9245" width="9.140625" style="240"/>
    <col min="9246" max="9246" width="2.42578125" style="240" customWidth="1"/>
    <col min="9247" max="9247" width="3.85546875" style="240" customWidth="1"/>
    <col min="9248" max="9271" width="4.28515625" style="240" customWidth="1"/>
    <col min="9272" max="9501" width="9.140625" style="240"/>
    <col min="9502" max="9502" width="2.42578125" style="240" customWidth="1"/>
    <col min="9503" max="9503" width="3.85546875" style="240" customWidth="1"/>
    <col min="9504" max="9527" width="4.28515625" style="240" customWidth="1"/>
    <col min="9528" max="9757" width="9.140625" style="240"/>
    <col min="9758" max="9758" width="2.42578125" style="240" customWidth="1"/>
    <col min="9759" max="9759" width="3.85546875" style="240" customWidth="1"/>
    <col min="9760" max="9783" width="4.28515625" style="240" customWidth="1"/>
    <col min="9784" max="10013" width="9.140625" style="240"/>
    <col min="10014" max="10014" width="2.42578125" style="240" customWidth="1"/>
    <col min="10015" max="10015" width="3.85546875" style="240" customWidth="1"/>
    <col min="10016" max="10039" width="4.28515625" style="240" customWidth="1"/>
    <col min="10040" max="10269" width="9.140625" style="240"/>
    <col min="10270" max="10270" width="2.42578125" style="240" customWidth="1"/>
    <col min="10271" max="10271" width="3.85546875" style="240" customWidth="1"/>
    <col min="10272" max="10295" width="4.28515625" style="240" customWidth="1"/>
    <col min="10296" max="10525" width="9.140625" style="240"/>
    <col min="10526" max="10526" width="2.42578125" style="240" customWidth="1"/>
    <col min="10527" max="10527" width="3.85546875" style="240" customWidth="1"/>
    <col min="10528" max="10551" width="4.28515625" style="240" customWidth="1"/>
    <col min="10552" max="10781" width="9.140625" style="240"/>
    <col min="10782" max="10782" width="2.42578125" style="240" customWidth="1"/>
    <col min="10783" max="10783" width="3.85546875" style="240" customWidth="1"/>
    <col min="10784" max="10807" width="4.28515625" style="240" customWidth="1"/>
    <col min="10808" max="11037" width="9.140625" style="240"/>
    <col min="11038" max="11038" width="2.42578125" style="240" customWidth="1"/>
    <col min="11039" max="11039" width="3.85546875" style="240" customWidth="1"/>
    <col min="11040" max="11063" width="4.28515625" style="240" customWidth="1"/>
    <col min="11064" max="11293" width="9.140625" style="240"/>
    <col min="11294" max="11294" width="2.42578125" style="240" customWidth="1"/>
    <col min="11295" max="11295" width="3.85546875" style="240" customWidth="1"/>
    <col min="11296" max="11319" width="4.28515625" style="240" customWidth="1"/>
    <col min="11320" max="11549" width="9.140625" style="240"/>
    <col min="11550" max="11550" width="2.42578125" style="240" customWidth="1"/>
    <col min="11551" max="11551" width="3.85546875" style="240" customWidth="1"/>
    <col min="11552" max="11575" width="4.28515625" style="240" customWidth="1"/>
    <col min="11576" max="11805" width="9.140625" style="240"/>
    <col min="11806" max="11806" width="2.42578125" style="240" customWidth="1"/>
    <col min="11807" max="11807" width="3.85546875" style="240" customWidth="1"/>
    <col min="11808" max="11831" width="4.28515625" style="240" customWidth="1"/>
    <col min="11832" max="12061" width="9.140625" style="240"/>
    <col min="12062" max="12062" width="2.42578125" style="240" customWidth="1"/>
    <col min="12063" max="12063" width="3.85546875" style="240" customWidth="1"/>
    <col min="12064" max="12087" width="4.28515625" style="240" customWidth="1"/>
    <col min="12088" max="12317" width="9.140625" style="240"/>
    <col min="12318" max="12318" width="2.42578125" style="240" customWidth="1"/>
    <col min="12319" max="12319" width="3.85546875" style="240" customWidth="1"/>
    <col min="12320" max="12343" width="4.28515625" style="240" customWidth="1"/>
    <col min="12344" max="12573" width="9.140625" style="240"/>
    <col min="12574" max="12574" width="2.42578125" style="240" customWidth="1"/>
    <col min="12575" max="12575" width="3.85546875" style="240" customWidth="1"/>
    <col min="12576" max="12599" width="4.28515625" style="240" customWidth="1"/>
    <col min="12600" max="12829" width="9.140625" style="240"/>
    <col min="12830" max="12830" width="2.42578125" style="240" customWidth="1"/>
    <col min="12831" max="12831" width="3.85546875" style="240" customWidth="1"/>
    <col min="12832" max="12855" width="4.28515625" style="240" customWidth="1"/>
    <col min="12856" max="13085" width="9.140625" style="240"/>
    <col min="13086" max="13086" width="2.42578125" style="240" customWidth="1"/>
    <col min="13087" max="13087" width="3.85546875" style="240" customWidth="1"/>
    <col min="13088" max="13111" width="4.28515625" style="240" customWidth="1"/>
    <col min="13112" max="13341" width="9.140625" style="240"/>
    <col min="13342" max="13342" width="2.42578125" style="240" customWidth="1"/>
    <col min="13343" max="13343" width="3.85546875" style="240" customWidth="1"/>
    <col min="13344" max="13367" width="4.28515625" style="240" customWidth="1"/>
    <col min="13368" max="13597" width="9.140625" style="240"/>
    <col min="13598" max="13598" width="2.42578125" style="240" customWidth="1"/>
    <col min="13599" max="13599" width="3.85546875" style="240" customWidth="1"/>
    <col min="13600" max="13623" width="4.28515625" style="240" customWidth="1"/>
    <col min="13624" max="13853" width="9.140625" style="240"/>
    <col min="13854" max="13854" width="2.42578125" style="240" customWidth="1"/>
    <col min="13855" max="13855" width="3.85546875" style="240" customWidth="1"/>
    <col min="13856" max="13879" width="4.28515625" style="240" customWidth="1"/>
    <col min="13880" max="14109" width="9.140625" style="240"/>
    <col min="14110" max="14110" width="2.42578125" style="240" customWidth="1"/>
    <col min="14111" max="14111" width="3.85546875" style="240" customWidth="1"/>
    <col min="14112" max="14135" width="4.28515625" style="240" customWidth="1"/>
    <col min="14136" max="14365" width="9.140625" style="240"/>
    <col min="14366" max="14366" width="2.42578125" style="240" customWidth="1"/>
    <col min="14367" max="14367" width="3.85546875" style="240" customWidth="1"/>
    <col min="14368" max="14391" width="4.28515625" style="240" customWidth="1"/>
    <col min="14392" max="14621" width="9.140625" style="240"/>
    <col min="14622" max="14622" width="2.42578125" style="240" customWidth="1"/>
    <col min="14623" max="14623" width="3.85546875" style="240" customWidth="1"/>
    <col min="14624" max="14647" width="4.28515625" style="240" customWidth="1"/>
    <col min="14648" max="14877" width="9.140625" style="240"/>
    <col min="14878" max="14878" width="2.42578125" style="240" customWidth="1"/>
    <col min="14879" max="14879" width="3.85546875" style="240" customWidth="1"/>
    <col min="14880" max="14903" width="4.28515625" style="240" customWidth="1"/>
    <col min="14904" max="15133" width="9.140625" style="240"/>
    <col min="15134" max="15134" width="2.42578125" style="240" customWidth="1"/>
    <col min="15135" max="15135" width="3.85546875" style="240" customWidth="1"/>
    <col min="15136" max="15159" width="4.28515625" style="240" customWidth="1"/>
    <col min="15160" max="15389" width="9.140625" style="240"/>
    <col min="15390" max="15390" width="2.42578125" style="240" customWidth="1"/>
    <col min="15391" max="15391" width="3.85546875" style="240" customWidth="1"/>
    <col min="15392" max="15415" width="4.28515625" style="240" customWidth="1"/>
    <col min="15416" max="15645" width="9.140625" style="240"/>
    <col min="15646" max="15646" width="2.42578125" style="240" customWidth="1"/>
    <col min="15647" max="15647" width="3.85546875" style="240" customWidth="1"/>
    <col min="15648" max="15671" width="4.28515625" style="240" customWidth="1"/>
    <col min="15672" max="15901" width="9.140625" style="240"/>
    <col min="15902" max="15902" width="2.42578125" style="240" customWidth="1"/>
    <col min="15903" max="15903" width="3.85546875" style="240" customWidth="1"/>
    <col min="15904" max="15927" width="4.28515625" style="240" customWidth="1"/>
    <col min="15928" max="16157" width="9.140625" style="240"/>
    <col min="16158" max="16158" width="2.42578125" style="240" customWidth="1"/>
    <col min="16159" max="16159" width="3.85546875" style="240" customWidth="1"/>
    <col min="16160" max="16183" width="4.28515625" style="240" customWidth="1"/>
    <col min="16184" max="16384" width="9.140625" style="240"/>
  </cols>
  <sheetData>
    <row r="1" spans="1:74" ht="15" customHeight="1" thickBot="1">
      <c r="B1" s="569">
        <f ca="1">別表!B1</f>
        <v>1</v>
      </c>
      <c r="J1" s="701" t="str">
        <f ca="1">IF(別表!L8=0,"このコンピュータの ''日付'' を正しくセットして下さい","")</f>
        <v/>
      </c>
    </row>
    <row r="2" spans="1:74" ht="12.75" customHeight="1" thickBot="1">
      <c r="B2" s="2587" t="s">
        <v>453</v>
      </c>
      <c r="C2" s="788" t="s">
        <v>454</v>
      </c>
      <c r="D2" s="789">
        <v>1</v>
      </c>
      <c r="E2" s="2679" t="str">
        <f>原価!F2</f>
        <v xml:space="preserve"> (原価セル番号[F2],[F3],[F4] )  この三行は、入力可能"セル"です。</v>
      </c>
      <c r="F2" s="2680"/>
      <c r="G2" s="2680"/>
      <c r="H2" s="2680"/>
      <c r="I2" s="2680"/>
      <c r="J2" s="2680"/>
      <c r="K2" s="2680"/>
      <c r="L2" s="2680"/>
      <c r="M2" s="2680"/>
      <c r="N2" s="2680"/>
      <c r="O2" s="2680"/>
      <c r="P2" s="2680"/>
      <c r="Q2" s="2680"/>
      <c r="R2" s="2680"/>
      <c r="S2" s="2680"/>
      <c r="T2" s="2680"/>
      <c r="U2" s="303"/>
      <c r="V2" s="304"/>
      <c r="W2" s="2681" t="s">
        <v>999</v>
      </c>
      <c r="X2" s="2681"/>
      <c r="Y2" s="2682" t="s">
        <v>949</v>
      </c>
      <c r="Z2" s="2683"/>
      <c r="AA2" s="2683"/>
      <c r="AB2" s="253" t="s">
        <v>455</v>
      </c>
      <c r="AC2" s="260" t="s">
        <v>456</v>
      </c>
      <c r="AD2" s="244"/>
      <c r="AE2" s="244"/>
      <c r="AF2" s="244"/>
      <c r="AG2" s="244"/>
      <c r="AH2" s="244"/>
      <c r="AI2" s="244"/>
      <c r="AJ2" s="244"/>
      <c r="AK2" s="244"/>
      <c r="AL2" s="244"/>
      <c r="AM2" s="244"/>
      <c r="AN2" s="244"/>
      <c r="AO2" s="244"/>
      <c r="AP2" s="244"/>
      <c r="AQ2" s="244"/>
      <c r="AR2" s="244"/>
      <c r="AS2" s="244"/>
      <c r="AT2" s="244"/>
      <c r="AU2" s="244"/>
      <c r="AV2" s="244" t="str">
        <f>LEFT(BH6,1)</f>
        <v xml:space="preserve"> </v>
      </c>
      <c r="AW2" s="244"/>
      <c r="AX2" s="244"/>
      <c r="AY2" s="244"/>
      <c r="AZ2" s="244"/>
    </row>
    <row r="3" spans="1:74" ht="12" customHeight="1" thickBot="1">
      <c r="B3" s="2587"/>
      <c r="C3" s="791"/>
      <c r="D3" s="791"/>
      <c r="E3" s="2684" t="str">
        <f>原価!F3</f>
        <v>Cell No.[E2]～[E4]の範囲のセルには、企業情報・ロゴ等の表示に、活用</v>
      </c>
      <c r="F3" s="2684"/>
      <c r="G3" s="2684"/>
      <c r="H3" s="2684"/>
      <c r="I3" s="2684"/>
      <c r="J3" s="2684"/>
      <c r="K3" s="2684"/>
      <c r="L3" s="2684"/>
      <c r="M3" s="2684"/>
      <c r="N3" s="2684"/>
      <c r="O3" s="2684"/>
      <c r="P3" s="2684"/>
      <c r="Q3" s="2684"/>
      <c r="R3" s="2684"/>
      <c r="S3" s="2684"/>
      <c r="T3" s="2684"/>
      <c r="U3" s="305"/>
      <c r="V3" s="246"/>
      <c r="W3" s="790"/>
      <c r="X3" s="790" t="s">
        <v>1000</v>
      </c>
      <c r="Y3" s="2685" t="str">
        <f>原価!Y3</f>
        <v>0nn-nnn-nnnn</v>
      </c>
      <c r="Z3" s="2685"/>
      <c r="AA3" s="2685"/>
      <c r="AB3" s="241"/>
      <c r="AC3" s="306">
        <f>Top!AQ85</f>
        <v>1</v>
      </c>
      <c r="AD3" s="241"/>
      <c r="AE3" s="241"/>
      <c r="AF3" s="241"/>
      <c r="AG3" s="241"/>
      <c r="AH3" s="241"/>
      <c r="AI3" s="241"/>
      <c r="AJ3" s="241"/>
      <c r="AK3" s="241"/>
      <c r="AL3" s="241"/>
      <c r="AM3" s="241"/>
      <c r="AN3" s="241"/>
      <c r="AO3" s="241"/>
      <c r="AP3" s="241"/>
      <c r="AQ3" s="241"/>
      <c r="AR3" s="241"/>
      <c r="AS3" s="241"/>
      <c r="AT3" s="241"/>
      <c r="AU3" s="241"/>
      <c r="AV3" s="241"/>
      <c r="AW3" s="241"/>
      <c r="AX3" s="241"/>
      <c r="AY3" s="241"/>
      <c r="AZ3" s="241"/>
    </row>
    <row r="4" spans="1:74" ht="16.5" customHeight="1" thickBot="1">
      <c r="B4" s="2587"/>
      <c r="C4" s="307"/>
      <c r="D4" s="307"/>
      <c r="E4" s="2684" t="str">
        <f>原価!F4</f>
        <v>できます。 　ここに入力したデータは、関連する各ページに自動転記されます。</v>
      </c>
      <c r="F4" s="2684"/>
      <c r="G4" s="2684"/>
      <c r="H4" s="2684"/>
      <c r="I4" s="2684"/>
      <c r="J4" s="2684"/>
      <c r="K4" s="2684"/>
      <c r="L4" s="2684"/>
      <c r="M4" s="2684"/>
      <c r="N4" s="2684"/>
      <c r="O4" s="2684"/>
      <c r="P4" s="2684"/>
      <c r="Q4" s="2684"/>
      <c r="R4" s="2684"/>
      <c r="S4" s="2684"/>
      <c r="T4" s="2684"/>
      <c r="U4" s="308"/>
      <c r="V4" s="251"/>
      <c r="W4" s="490"/>
      <c r="X4" s="490" t="s">
        <v>459</v>
      </c>
      <c r="Y4" s="2594" t="str">
        <f>原価!Y4</f>
        <v>0nn-nnn-nnnn</v>
      </c>
      <c r="Z4" s="2594"/>
      <c r="AA4" s="2594"/>
      <c r="AB4" s="2669" t="s">
        <v>460</v>
      </c>
      <c r="AC4" s="2670"/>
      <c r="AD4" s="2671" t="s">
        <v>461</v>
      </c>
      <c r="AE4" s="2672"/>
      <c r="AF4" s="2673"/>
      <c r="AG4" s="2671" t="s">
        <v>461</v>
      </c>
      <c r="AH4" s="2672"/>
      <c r="AI4" s="2673"/>
      <c r="AJ4" s="2674" t="s">
        <v>462</v>
      </c>
      <c r="AK4" s="2675"/>
      <c r="AL4" s="2675"/>
      <c r="AM4" s="2675"/>
      <c r="AN4" s="2675"/>
      <c r="AO4" s="2675"/>
      <c r="AP4" s="2675"/>
      <c r="AQ4" s="2675"/>
      <c r="AR4" s="2675"/>
      <c r="AS4" s="2675"/>
      <c r="AT4" s="2675"/>
      <c r="AU4" s="2676"/>
      <c r="AV4" s="2677" t="s">
        <v>463</v>
      </c>
      <c r="AW4" s="2661" t="s">
        <v>464</v>
      </c>
      <c r="AX4" s="2661" t="s">
        <v>465</v>
      </c>
      <c r="AY4" s="2661" t="s">
        <v>466</v>
      </c>
      <c r="AZ4" s="309"/>
      <c r="BA4" s="309"/>
      <c r="BB4" s="309"/>
      <c r="BC4" s="309"/>
    </row>
    <row r="5" spans="1:74" ht="18.75" customHeight="1" thickBot="1">
      <c r="B5" s="2587"/>
      <c r="C5" s="258">
        <v>1</v>
      </c>
      <c r="D5" s="310" t="s">
        <v>467</v>
      </c>
      <c r="E5" s="2618" t="s">
        <v>468</v>
      </c>
      <c r="F5" s="2618"/>
      <c r="G5" s="2618"/>
      <c r="H5" s="2618"/>
      <c r="I5" s="2618"/>
      <c r="J5" s="2618"/>
      <c r="K5" s="2618"/>
      <c r="L5" s="310" t="s">
        <v>469</v>
      </c>
      <c r="M5" s="311" t="s">
        <v>470</v>
      </c>
      <c r="N5" s="2620" t="s">
        <v>471</v>
      </c>
      <c r="O5" s="2621"/>
      <c r="P5" s="2621"/>
      <c r="Q5" s="2621"/>
      <c r="R5" s="2622"/>
      <c r="S5" s="2618" t="s">
        <v>472</v>
      </c>
      <c r="T5" s="2618"/>
      <c r="U5" s="2618"/>
      <c r="V5" s="2618"/>
      <c r="W5" s="2618"/>
      <c r="X5" s="2618" t="s">
        <v>473</v>
      </c>
      <c r="Y5" s="2618"/>
      <c r="Z5" s="2618"/>
      <c r="AA5" s="2619"/>
      <c r="AB5" s="2662" t="s">
        <v>474</v>
      </c>
      <c r="AC5" s="2663"/>
      <c r="AD5" s="2664" t="s">
        <v>475</v>
      </c>
      <c r="AE5" s="2664"/>
      <c r="AF5" s="2665"/>
      <c r="AG5" s="2666" t="s">
        <v>476</v>
      </c>
      <c r="AH5" s="2666"/>
      <c r="AI5" s="2667"/>
      <c r="AJ5" s="2668" t="s">
        <v>477</v>
      </c>
      <c r="AK5" s="2668"/>
      <c r="AL5" s="2668"/>
      <c r="AM5" s="2660" t="s">
        <v>479</v>
      </c>
      <c r="AN5" s="2660"/>
      <c r="AO5" s="2660"/>
      <c r="AP5" s="2660" t="s">
        <v>481</v>
      </c>
      <c r="AQ5" s="2660"/>
      <c r="AR5" s="2660"/>
      <c r="AS5" s="2660" t="s">
        <v>483</v>
      </c>
      <c r="AT5" s="2660"/>
      <c r="AU5" s="2660"/>
      <c r="AV5" s="2661"/>
      <c r="AW5" s="2661"/>
      <c r="AX5" s="2661"/>
      <c r="AY5" s="2661"/>
      <c r="AZ5" s="309"/>
      <c r="BA5" s="309"/>
      <c r="BB5" s="309"/>
      <c r="BC5" s="309"/>
      <c r="BP5" s="161" t="s">
        <v>484</v>
      </c>
      <c r="BQ5" s="161" t="s">
        <v>485</v>
      </c>
      <c r="BR5" s="161" t="s">
        <v>486</v>
      </c>
      <c r="BS5" s="161" t="s">
        <v>487</v>
      </c>
    </row>
    <row r="6" spans="1:74" ht="18.75" customHeight="1" thickBot="1">
      <c r="A6" s="240">
        <f ca="1">IF(E6&lt;&gt;"",1,"")</f>
        <v>1</v>
      </c>
      <c r="B6" s="2587"/>
      <c r="C6" s="262">
        <v>2</v>
      </c>
      <c r="D6" s="464">
        <f ca="1">IF(E6="","",原価!D6)</f>
        <v>1</v>
      </c>
      <c r="E6" s="2636" t="str">
        <f ca="1">原価!E6</f>
        <v xml:space="preserve"> 引込工事</v>
      </c>
      <c r="F6" s="2637"/>
      <c r="G6" s="2637"/>
      <c r="H6" s="2637"/>
      <c r="I6" s="2637"/>
      <c r="J6" s="2637"/>
      <c r="K6" s="2638"/>
      <c r="L6" s="467">
        <f t="shared" ref="L6:L31" ca="1" si="0">IF(E6="","",IF(OR(E6="　　　　　　　　　　(小計)",E6="　　　　　　　　　　(合計)"),"",1))</f>
        <v>1</v>
      </c>
      <c r="M6" s="467" t="str">
        <f t="shared" ref="M6:M33" ca="1" si="1">IF(L6&lt;&gt;"","式","")</f>
        <v>式</v>
      </c>
      <c r="N6" s="2686"/>
      <c r="O6" s="2687"/>
      <c r="P6" s="2687"/>
      <c r="Q6" s="2687"/>
      <c r="R6" s="2688"/>
      <c r="S6" s="2652">
        <f t="shared" ref="S6:S38" ca="1" si="2">IF($B$1=0,"",IF(E6=" 諸　経　費",$BS$43,IF(E6=" 現場管理費",$BS$42,IF(E6=" 運　搬　費",$BS$41,IF(E6=" 雑材消耗費",$BS$40,IF(E6="　　　　　　　　　　(小計)",$BS$39,IF(E6="　　　 　　　　　　(合計)",$BS$44,IF(A6&lt;&gt;"",VLOOKUP(A6,提出,13,FALSE),""))))))))</f>
        <v>3529000</v>
      </c>
      <c r="T6" s="2643"/>
      <c r="U6" s="2643"/>
      <c r="V6" s="2643"/>
      <c r="W6" s="2644"/>
      <c r="X6" s="2689"/>
      <c r="Y6" s="2689"/>
      <c r="Z6" s="2689"/>
      <c r="AA6" s="2690"/>
      <c r="AB6" s="199">
        <f ca="1">IF(AND(E6&lt;&gt;"",E6&lt;&gt;" 　"),A6,"")</f>
        <v>1</v>
      </c>
      <c r="AC6" s="513">
        <f>VLOOKUP(BG6,原価!内訳,13,FALSE)</f>
        <v>3207000</v>
      </c>
      <c r="AD6" s="484">
        <f>IF(BG6="","",IF(AF6="",$AD$43*100,AF6))</f>
        <v>7.0000000000000009</v>
      </c>
      <c r="AE6" s="162" t="s">
        <v>488</v>
      </c>
      <c r="AF6" s="163"/>
      <c r="AG6" s="483">
        <f>IF(BG6="","",IF(AI6="",$AD$44,AI6))</f>
        <v>6000</v>
      </c>
      <c r="AH6" s="162" t="s">
        <v>488</v>
      </c>
      <c r="AI6" s="164"/>
      <c r="AJ6" s="479">
        <f t="shared" ref="AJ6:AJ38" si="3">IF(BG6="","",IF(AL6="",$AD$46*100,AL6))</f>
        <v>3</v>
      </c>
      <c r="AK6" s="165" t="s">
        <v>488</v>
      </c>
      <c r="AL6" s="264"/>
      <c r="AM6" s="480">
        <f>IF(BG6="","",IF(AO6="",$AD$47*100,AO6))</f>
        <v>1.5</v>
      </c>
      <c r="AN6" s="165" t="s">
        <v>488</v>
      </c>
      <c r="AO6" s="264"/>
      <c r="AP6" s="480">
        <f>IF(BG6="","",IF(AR6&lt;&gt;"",AR6,IF(OR(LEFT(BH6,2)=" 引",LEFT(BH6,2)=" 受",LEFT(BH6,2)=" 自",LEFT(BH6,2)=" 蓄",LEFT(BH6,2)=" Ｕ",LEFT(BH6,2)=" 太",LEFT(BH6,2)=" 低",LEFT(BH6,2)=" 動",LEFT(BH6,2)=" 照",LEFT(BH6,2)=" 非"),2,$AD$48*100)))</f>
        <v>2</v>
      </c>
      <c r="AQ6" s="165" t="s">
        <v>488</v>
      </c>
      <c r="AR6" s="264"/>
      <c r="AS6" s="480">
        <f t="shared" ref="AS6:AS38" si="4">IF(BG6="","",IF(AU6="",$AD$49*100,AU6))</f>
        <v>10</v>
      </c>
      <c r="AT6" s="165" t="s">
        <v>488</v>
      </c>
      <c r="AU6" s="264"/>
      <c r="AV6" s="481">
        <f>IF(BG6="","",INT(BP6*AJ6/100))</f>
        <v>42300</v>
      </c>
      <c r="AW6" s="481">
        <f>IF(BG6="","",INT((BP6+BQ6)*AM6/100))</f>
        <v>37875</v>
      </c>
      <c r="AX6" s="481">
        <f>IF(BG6="","",INT(BS6*AP6/100))</f>
        <v>70580</v>
      </c>
      <c r="AY6" s="481">
        <f>IF(BG6="","",INT(BS6*AS6/100))</f>
        <v>352900</v>
      </c>
      <c r="AZ6" s="175"/>
      <c r="BA6" s="267">
        <v>1</v>
      </c>
      <c r="BB6" s="166" t="str">
        <f>IF(Top!G86&lt;&gt;"",Top!L86,"")</f>
        <v xml:space="preserve"> 引込工事</v>
      </c>
      <c r="BC6" s="166"/>
      <c r="BD6" s="166"/>
      <c r="BE6" s="166"/>
      <c r="BF6" s="267">
        <v>1</v>
      </c>
      <c r="BG6" s="267">
        <f t="shared" ref="BG6:BG12" si="5">IF(BB6&lt;&gt;"",BF6,"")</f>
        <v>1</v>
      </c>
      <c r="BH6" s="166" t="str">
        <f>IF(COUNTIF($BB$4:BB5,BB6)&gt;0,"",BB6)</f>
        <v xml:space="preserve"> 引込工事</v>
      </c>
      <c r="BI6" s="166"/>
      <c r="BJ6" s="268"/>
      <c r="BK6" s="268"/>
      <c r="BL6" s="268"/>
      <c r="BM6" s="460" t="s">
        <v>1044</v>
      </c>
      <c r="BN6" s="269" t="s">
        <v>490</v>
      </c>
      <c r="BO6" s="270" t="s">
        <v>491</v>
      </c>
      <c r="BP6" s="459">
        <f>1000*INT(原価!BM6*(100+AD6)/100000)</f>
        <v>1410000</v>
      </c>
      <c r="BQ6" s="459">
        <f>原価!BN6</f>
        <v>1115000</v>
      </c>
      <c r="BR6" s="459">
        <f>原価!BO6*AG6/原価!$AD$44</f>
        <v>774000</v>
      </c>
      <c r="BS6" s="459">
        <f>1000*INT(SUM(BP6:BR6)*(100+AD6)/100000)</f>
        <v>3529000</v>
      </c>
      <c r="BT6" s="571">
        <f>AD6</f>
        <v>7.0000000000000009</v>
      </c>
      <c r="BU6" s="312">
        <f>AG6</f>
        <v>6000</v>
      </c>
      <c r="BV6" s="271"/>
    </row>
    <row r="7" spans="1:74" ht="18.75" customHeight="1" thickBot="1">
      <c r="A7" s="240">
        <f ca="1">IF(E7&lt;&gt;"",A6+1,"")</f>
        <v>2</v>
      </c>
      <c r="B7" s="2587"/>
      <c r="C7" s="272">
        <v>3</v>
      </c>
      <c r="D7" s="464">
        <f ca="1">IF(E7="","",原価!D7)</f>
        <v>2</v>
      </c>
      <c r="E7" s="2636" t="str">
        <f ca="1">原価!E7</f>
        <v xml:space="preserve"> 受変電設備工事</v>
      </c>
      <c r="F7" s="2637"/>
      <c r="G7" s="2637"/>
      <c r="H7" s="2637"/>
      <c r="I7" s="2637"/>
      <c r="J7" s="2637"/>
      <c r="K7" s="2638"/>
      <c r="L7" s="468">
        <f t="shared" ca="1" si="0"/>
        <v>1</v>
      </c>
      <c r="M7" s="468" t="str">
        <f t="shared" ca="1" si="1"/>
        <v>式</v>
      </c>
      <c r="N7" s="2639"/>
      <c r="O7" s="2640"/>
      <c r="P7" s="2640"/>
      <c r="Q7" s="2640"/>
      <c r="R7" s="2641"/>
      <c r="S7" s="2652">
        <f t="shared" ca="1" si="2"/>
        <v>42423000</v>
      </c>
      <c r="T7" s="2643"/>
      <c r="U7" s="2643"/>
      <c r="V7" s="2643"/>
      <c r="W7" s="2644"/>
      <c r="X7" s="2645"/>
      <c r="Y7" s="2645"/>
      <c r="Z7" s="2645"/>
      <c r="AA7" s="2646"/>
      <c r="AB7" s="199">
        <f ca="1">IF(AND(E7&lt;&gt;"",E7&lt;&gt;" 　"),A7,"")</f>
        <v>2</v>
      </c>
      <c r="AC7" s="513">
        <f>VLOOKUP(BG7,原価!内訳,13,FALSE)</f>
        <v>39397000</v>
      </c>
      <c r="AD7" s="484">
        <f>IF(BG7="","",IF(AF7="",$AD$43*100,AF7))</f>
        <v>7.0000000000000009</v>
      </c>
      <c r="AE7" s="162" t="s">
        <v>52</v>
      </c>
      <c r="AF7" s="163"/>
      <c r="AG7" s="483">
        <f>IF(BG7="","",IF(AI7="",$AD$44,AI7))</f>
        <v>6000</v>
      </c>
      <c r="AH7" s="162" t="s">
        <v>52</v>
      </c>
      <c r="AI7" s="164"/>
      <c r="AJ7" s="479">
        <f t="shared" si="3"/>
        <v>3</v>
      </c>
      <c r="AK7" s="165" t="s">
        <v>52</v>
      </c>
      <c r="AL7" s="264"/>
      <c r="AM7" s="480">
        <f t="shared" ref="AM7:AM38" si="6">IF(BG7="","",IF(AO7="",$AD$47*100,AO7))</f>
        <v>1.5</v>
      </c>
      <c r="AN7" s="165" t="s">
        <v>52</v>
      </c>
      <c r="AO7" s="264"/>
      <c r="AP7" s="480">
        <f>IF(BG7="","",IF(AR7&lt;&gt;"",AR7,IF(OR(LEFT(BH7,2)=" 引",LEFT(BH7,2)=" 受",LEFT(BH7,2)=" 自",LEFT(BH7,2)=" 蓄",LEFT(BH7,2)=" Ｕ",LEFT(BH7,2)=" 太",LEFT(BH7,2)=" 低",LEFT(BH7,2)=" 動",LEFT(BH7,2)=" 照",LEFT(BH7,2)=" 非"),2,$AD$48*100)))</f>
        <v>2</v>
      </c>
      <c r="AQ7" s="165" t="s">
        <v>52</v>
      </c>
      <c r="AR7" s="264"/>
      <c r="AS7" s="480">
        <f t="shared" si="4"/>
        <v>10</v>
      </c>
      <c r="AT7" s="165" t="s">
        <v>52</v>
      </c>
      <c r="AU7" s="264"/>
      <c r="AV7" s="481">
        <f t="shared" ref="AV7:AV38" si="7">IF(BG7="","",INT(BP7*AJ7/100))</f>
        <v>115230</v>
      </c>
      <c r="AW7" s="481">
        <f t="shared" ref="AW7:AW38" si="8">IF(BG7="","",INT((BP7+BQ7)*AM7/100))</f>
        <v>543630</v>
      </c>
      <c r="AX7" s="481">
        <f t="shared" ref="AX7:AX38" si="9">IF(BG7="","",INT(BS7*AP7/100))</f>
        <v>848460</v>
      </c>
      <c r="AY7" s="481">
        <f t="shared" ref="AY7:AY38" si="10">IF(BG7="","",INT(BS7*AS7/100))</f>
        <v>4242300</v>
      </c>
      <c r="AZ7" s="175"/>
      <c r="BA7" s="267">
        <v>2</v>
      </c>
      <c r="BB7" s="166" t="str">
        <f>IF(Top!G87&lt;&gt;"",Top!L87,"")</f>
        <v xml:space="preserve"> 受変電設備工事</v>
      </c>
      <c r="BC7" s="166"/>
      <c r="BD7" s="166"/>
      <c r="BE7" s="166"/>
      <c r="BF7" s="267">
        <f t="shared" ref="BF7:BF16" si="11">IF(AND(BB7&lt;&gt;"",BB7&lt;&gt;" 　"),BF6+1,BF6)</f>
        <v>2</v>
      </c>
      <c r="BG7" s="267">
        <f t="shared" si="5"/>
        <v>2</v>
      </c>
      <c r="BH7" s="166" t="str">
        <f>IF(COUNTIF($BB$4:BB6,BB7)&gt;0,"",BB7)</f>
        <v xml:space="preserve"> 受変電設備工事</v>
      </c>
      <c r="BI7" s="166"/>
      <c r="BJ7" s="268"/>
      <c r="BK7" s="268"/>
      <c r="BL7" s="268"/>
      <c r="BM7" s="460" t="s">
        <v>489</v>
      </c>
      <c r="BN7" s="269" t="s">
        <v>490</v>
      </c>
      <c r="BO7" s="270" t="s">
        <v>491</v>
      </c>
      <c r="BP7" s="459">
        <f>IF(BH7="",0,1000*INT(原価!BM7*(100+AD7)/100000))</f>
        <v>3841000</v>
      </c>
      <c r="BQ7" s="459">
        <f>原価!BN7</f>
        <v>32401000</v>
      </c>
      <c r="BR7" s="459">
        <f>IF(BH7="",0,原価!BO7*AG7/原価!$AD$44)</f>
        <v>3406000</v>
      </c>
      <c r="BS7" s="459">
        <f>IF(BH7="",0,1000*INT(SUM(BP7:BR7)*(100+AD7)/100000))</f>
        <v>42423000</v>
      </c>
      <c r="BT7" s="312">
        <f t="shared" ref="BT7:BT37" si="12">AD7</f>
        <v>7.0000000000000009</v>
      </c>
      <c r="BU7" s="312">
        <f>AG7</f>
        <v>6000</v>
      </c>
      <c r="BV7" s="271"/>
    </row>
    <row r="8" spans="1:74" ht="18.75" customHeight="1" thickBot="1">
      <c r="A8" s="240">
        <f t="shared" ref="A8:A38" ca="1" si="13">IF(E8&lt;&gt;"",A7+1,"")</f>
        <v>3</v>
      </c>
      <c r="B8" s="2587"/>
      <c r="C8" s="272">
        <v>4</v>
      </c>
      <c r="D8" s="464">
        <f ca="1">IF(E8="","",原価!D8)</f>
        <v>3</v>
      </c>
      <c r="E8" s="2636" t="str">
        <f ca="1">原価!E8</f>
        <v xml:space="preserve"> 自家用発電設備工事</v>
      </c>
      <c r="F8" s="2637"/>
      <c r="G8" s="2637"/>
      <c r="H8" s="2637"/>
      <c r="I8" s="2637"/>
      <c r="J8" s="2637"/>
      <c r="K8" s="2638"/>
      <c r="L8" s="468">
        <f t="shared" ca="1" si="0"/>
        <v>1</v>
      </c>
      <c r="M8" s="468" t="str">
        <f t="shared" ca="1" si="1"/>
        <v>式</v>
      </c>
      <c r="N8" s="2639"/>
      <c r="O8" s="2640"/>
      <c r="P8" s="2640"/>
      <c r="Q8" s="2640"/>
      <c r="R8" s="2641"/>
      <c r="S8" s="2652">
        <f t="shared" ca="1" si="2"/>
        <v>9266000</v>
      </c>
      <c r="T8" s="2643"/>
      <c r="U8" s="2643"/>
      <c r="V8" s="2643"/>
      <c r="W8" s="2644"/>
      <c r="X8" s="2645"/>
      <c r="Y8" s="2645"/>
      <c r="Z8" s="2645"/>
      <c r="AA8" s="2646"/>
      <c r="AB8" s="199">
        <f ca="1">IF(AND(E8&lt;&gt;"",E8&lt;&gt;" 　"),A8,"")</f>
        <v>3</v>
      </c>
      <c r="AC8" s="513">
        <f>VLOOKUP(BG8,原価!内訳,13,FALSE)</f>
        <v>8638000</v>
      </c>
      <c r="AD8" s="484">
        <f t="shared" ref="AD8:AD38" si="14">IF(BG8="","",IF(AF8="",$AD$43*100,AF8))</f>
        <v>7.0000000000000009</v>
      </c>
      <c r="AE8" s="162" t="s">
        <v>52</v>
      </c>
      <c r="AF8" s="163"/>
      <c r="AG8" s="483">
        <f>IF(BG8="","",IF(AI8="",$AD$44,AI8))</f>
        <v>6000</v>
      </c>
      <c r="AH8" s="162"/>
      <c r="AI8" s="164"/>
      <c r="AJ8" s="479">
        <f t="shared" si="3"/>
        <v>3</v>
      </c>
      <c r="AK8" s="165" t="s">
        <v>52</v>
      </c>
      <c r="AL8" s="264"/>
      <c r="AM8" s="480">
        <f t="shared" si="6"/>
        <v>1.5</v>
      </c>
      <c r="AN8" s="165" t="s">
        <v>52</v>
      </c>
      <c r="AO8" s="264"/>
      <c r="AP8" s="480">
        <f>IF(BG8="","",IF(AR8&lt;&gt;"",AR8,IF(OR(LEFT(BH8,2)=" 引",LEFT(BH8,2)=" 受",LEFT(BH8,2)=" 自",LEFT(BH8,2)=" 蓄",LEFT(BH8,2)=" Ｕ",LEFT(BH8,2)=" 太",LEFT(BH8,2)=" 低",LEFT(BH8,2)=" 動",LEFT(BH8,2)=" 照",LEFT(BH8,2)=" 非"),2,$AD$48*100)))</f>
        <v>2</v>
      </c>
      <c r="AQ8" s="165" t="s">
        <v>52</v>
      </c>
      <c r="AR8" s="264"/>
      <c r="AS8" s="480">
        <f t="shared" si="4"/>
        <v>10</v>
      </c>
      <c r="AT8" s="165" t="s">
        <v>52</v>
      </c>
      <c r="AU8" s="264"/>
      <c r="AV8" s="481">
        <f>IF(BG8="","",INT(BP8*AJ8/100))</f>
        <v>10140</v>
      </c>
      <c r="AW8" s="481">
        <f t="shared" si="8"/>
        <v>102270</v>
      </c>
      <c r="AX8" s="481">
        <f t="shared" si="9"/>
        <v>185320</v>
      </c>
      <c r="AY8" s="481">
        <f t="shared" si="10"/>
        <v>926600</v>
      </c>
      <c r="AZ8" s="175"/>
      <c r="BA8" s="267">
        <v>3</v>
      </c>
      <c r="BB8" s="166" t="str">
        <f>IF(Top!G88&lt;&gt;"",Top!L88,"")</f>
        <v xml:space="preserve"> 自家用発電設備工事</v>
      </c>
      <c r="BC8" s="166"/>
      <c r="BD8" s="166"/>
      <c r="BE8" s="166"/>
      <c r="BF8" s="267">
        <f t="shared" si="11"/>
        <v>3</v>
      </c>
      <c r="BG8" s="267">
        <f t="shared" si="5"/>
        <v>3</v>
      </c>
      <c r="BH8" s="166" t="str">
        <f>IF(COUNTIF($AY$4:BB7,BB8)&gt;0,"",BB8)</f>
        <v xml:space="preserve"> 自家用発電設備工事</v>
      </c>
      <c r="BI8" s="166"/>
      <c r="BJ8" s="268"/>
      <c r="BK8" s="268"/>
      <c r="BL8" s="268"/>
      <c r="BM8" s="460" t="s">
        <v>489</v>
      </c>
      <c r="BN8" s="269" t="s">
        <v>490</v>
      </c>
      <c r="BO8" s="270" t="s">
        <v>491</v>
      </c>
      <c r="BP8" s="459">
        <f>IF(BH8="",0,1000*INT(原価!BM8*(100+AD8)/100000))</f>
        <v>338000</v>
      </c>
      <c r="BQ8" s="459">
        <f>原価!BN8</f>
        <v>6480000</v>
      </c>
      <c r="BR8" s="459">
        <f>IF(BH8="",0,原価!BO8*AG8/原価!$AD$44)</f>
        <v>1842000</v>
      </c>
      <c r="BS8" s="459">
        <f>IF(BH8="",0,1000*INT(SUM(BP8:BR8)*(100+AD8)/100000))</f>
        <v>9266000</v>
      </c>
      <c r="BT8" s="312">
        <f>AD8</f>
        <v>7.0000000000000009</v>
      </c>
      <c r="BU8" s="312"/>
      <c r="BV8" s="271"/>
    </row>
    <row r="9" spans="1:74" ht="18.75" customHeight="1" thickBot="1">
      <c r="A9" s="240">
        <f t="shared" ca="1" si="13"/>
        <v>4</v>
      </c>
      <c r="B9" s="2587"/>
      <c r="C9" s="272">
        <v>5</v>
      </c>
      <c r="D9" s="464">
        <f ca="1">IF(E9="","",原価!D9)</f>
        <v>4</v>
      </c>
      <c r="E9" s="2636" t="str">
        <f ca="1">原価!E9</f>
        <v xml:space="preserve"> 低圧幹線設備工事</v>
      </c>
      <c r="F9" s="2637"/>
      <c r="G9" s="2637"/>
      <c r="H9" s="2637"/>
      <c r="I9" s="2637"/>
      <c r="J9" s="2637"/>
      <c r="K9" s="2638"/>
      <c r="L9" s="468">
        <f t="shared" ca="1" si="0"/>
        <v>1</v>
      </c>
      <c r="M9" s="468" t="str">
        <f t="shared" ca="1" si="1"/>
        <v>式</v>
      </c>
      <c r="N9" s="2639"/>
      <c r="O9" s="2640"/>
      <c r="P9" s="2640"/>
      <c r="Q9" s="2640"/>
      <c r="R9" s="2641"/>
      <c r="S9" s="2652">
        <f t="shared" ca="1" si="2"/>
        <v>93535000</v>
      </c>
      <c r="T9" s="2643"/>
      <c r="U9" s="2643"/>
      <c r="V9" s="2643"/>
      <c r="W9" s="2644"/>
      <c r="X9" s="2645"/>
      <c r="Y9" s="2645"/>
      <c r="Z9" s="2645"/>
      <c r="AA9" s="2646"/>
      <c r="AB9" s="199" t="str">
        <f t="shared" ref="AB9:AB22" si="15">BG9</f>
        <v/>
      </c>
      <c r="AC9" s="513">
        <f>VLOOKUP(BG9,原価!内訳,13,FALSE)</f>
        <v>0</v>
      </c>
      <c r="AD9" s="484" t="str">
        <f t="shared" si="14"/>
        <v/>
      </c>
      <c r="AE9" s="162" t="s">
        <v>52</v>
      </c>
      <c r="AF9" s="163"/>
      <c r="AG9" s="483" t="str">
        <f t="shared" ref="AG9:AG26" si="16">IF(BG9="","",IF(AI9="",$AD$44,AI9))</f>
        <v/>
      </c>
      <c r="AH9" s="162" t="s">
        <v>52</v>
      </c>
      <c r="AI9" s="164"/>
      <c r="AJ9" s="479" t="str">
        <f t="shared" si="3"/>
        <v/>
      </c>
      <c r="AK9" s="165" t="s">
        <v>52</v>
      </c>
      <c r="AL9" s="264"/>
      <c r="AM9" s="480" t="str">
        <f t="shared" si="6"/>
        <v/>
      </c>
      <c r="AN9" s="165" t="s">
        <v>52</v>
      </c>
      <c r="AO9" s="264"/>
      <c r="AP9" s="480" t="str">
        <f>IF(BG9="","",IF(AR9&lt;&gt;"",AR9,IF(OR(LEFT(BH9,2)=" 引",LEFT(BH9,2)=" 受",LEFT(BH9,2)=" 自",LEFT(BH9,2)=" 蓄",LEFT(BH9,2)=" Ｕ",LEFT(BH9,2)=" 太",LEFT(BH9,2)=" 低",LEFT(BH9,2)=" 動",LEFT(BH9,2)=" 照",LEFT(BH9,2)=" 非"),2,$AD$48*100)))</f>
        <v/>
      </c>
      <c r="AQ9" s="165" t="s">
        <v>52</v>
      </c>
      <c r="AR9" s="264"/>
      <c r="AS9" s="480" t="str">
        <f t="shared" si="4"/>
        <v/>
      </c>
      <c r="AT9" s="165" t="s">
        <v>52</v>
      </c>
      <c r="AU9" s="264"/>
      <c r="AV9" s="481" t="str">
        <f t="shared" si="7"/>
        <v/>
      </c>
      <c r="AW9" s="481" t="str">
        <f t="shared" si="8"/>
        <v/>
      </c>
      <c r="AX9" s="481" t="str">
        <f t="shared" si="9"/>
        <v/>
      </c>
      <c r="AY9" s="481" t="str">
        <f t="shared" si="10"/>
        <v/>
      </c>
      <c r="AZ9" s="175"/>
      <c r="BA9" s="267">
        <v>4</v>
      </c>
      <c r="BB9" s="166" t="str">
        <f>IF(Top!G89&lt;&gt;"",Top!L89,"")</f>
        <v/>
      </c>
      <c r="BC9" s="166"/>
      <c r="BD9" s="166"/>
      <c r="BE9" s="166"/>
      <c r="BF9" s="267">
        <f t="shared" si="11"/>
        <v>3</v>
      </c>
      <c r="BG9" s="267" t="str">
        <f t="shared" si="5"/>
        <v/>
      </c>
      <c r="BH9" s="166" t="str">
        <f>IF(COUNTIF($BB$4:BB8,BB9)&gt;0,"",BB9)</f>
        <v/>
      </c>
      <c r="BI9" s="166"/>
      <c r="BJ9" s="268"/>
      <c r="BK9" s="268"/>
      <c r="BL9" s="268"/>
      <c r="BM9" s="460" t="s">
        <v>489</v>
      </c>
      <c r="BN9" s="269" t="s">
        <v>490</v>
      </c>
      <c r="BO9" s="270" t="s">
        <v>491</v>
      </c>
      <c r="BP9" s="459" t="str">
        <f>IF(BG9="","",1000*INT(原価!BM9*(100+AD9)/100000))</f>
        <v/>
      </c>
      <c r="BQ9" s="459">
        <f>原価!BN9</f>
        <v>0</v>
      </c>
      <c r="BR9" s="459">
        <f>IF(AG9="",0,原価!BO9*AG9/原価!$AD$44)</f>
        <v>0</v>
      </c>
      <c r="BS9" s="459" t="str">
        <f>IF(BG9="","",1000*INT(SUM(BP9:BR9)*(100+AD9)/100000))</f>
        <v/>
      </c>
      <c r="BT9" s="312" t="str">
        <f t="shared" si="12"/>
        <v/>
      </c>
      <c r="BU9" s="312" t="str">
        <f t="shared" ref="BU9:BU38" si="17">AG9</f>
        <v/>
      </c>
      <c r="BV9" s="271"/>
    </row>
    <row r="10" spans="1:74" ht="18.75" customHeight="1" thickBot="1">
      <c r="A10" s="240">
        <f t="shared" ca="1" si="13"/>
        <v>5</v>
      </c>
      <c r="B10" s="2587"/>
      <c r="C10" s="272">
        <v>6</v>
      </c>
      <c r="D10" s="464">
        <f ca="1">IF(E10="","",原価!D10)</f>
        <v>5</v>
      </c>
      <c r="E10" s="2636" t="str">
        <f ca="1">原価!E10</f>
        <v xml:space="preserve"> 動力配線工事</v>
      </c>
      <c r="F10" s="2637"/>
      <c r="G10" s="2637"/>
      <c r="H10" s="2637"/>
      <c r="I10" s="2637"/>
      <c r="J10" s="2637"/>
      <c r="K10" s="2638"/>
      <c r="L10" s="468">
        <f t="shared" ca="1" si="0"/>
        <v>1</v>
      </c>
      <c r="M10" s="468" t="str">
        <f t="shared" ca="1" si="1"/>
        <v>式</v>
      </c>
      <c r="N10" s="2639"/>
      <c r="O10" s="2640"/>
      <c r="P10" s="2640"/>
      <c r="Q10" s="2640"/>
      <c r="R10" s="2641"/>
      <c r="S10" s="2652">
        <f t="shared" ca="1" si="2"/>
        <v>32830000</v>
      </c>
      <c r="T10" s="2643"/>
      <c r="U10" s="2643"/>
      <c r="V10" s="2643"/>
      <c r="W10" s="2644"/>
      <c r="X10" s="2645"/>
      <c r="Y10" s="2645"/>
      <c r="Z10" s="2645"/>
      <c r="AA10" s="2646"/>
      <c r="AB10" s="199" t="str">
        <f t="shared" si="15"/>
        <v/>
      </c>
      <c r="AC10" s="513">
        <f>VLOOKUP(BG10,原価!内訳,13,FALSE)</f>
        <v>0</v>
      </c>
      <c r="AD10" s="484" t="str">
        <f t="shared" si="14"/>
        <v/>
      </c>
      <c r="AE10" s="162" t="s">
        <v>492</v>
      </c>
      <c r="AF10" s="163"/>
      <c r="AG10" s="483" t="str">
        <f>IF(BG10="","",IF(AI10="",$AD$44,AI10))</f>
        <v/>
      </c>
      <c r="AH10" s="162" t="s">
        <v>492</v>
      </c>
      <c r="AI10" s="164"/>
      <c r="AJ10" s="479" t="str">
        <f t="shared" si="3"/>
        <v/>
      </c>
      <c r="AK10" s="165" t="s">
        <v>492</v>
      </c>
      <c r="AL10" s="264"/>
      <c r="AM10" s="480" t="str">
        <f t="shared" si="6"/>
        <v/>
      </c>
      <c r="AN10" s="165" t="s">
        <v>492</v>
      </c>
      <c r="AO10" s="264"/>
      <c r="AP10" s="480" t="str">
        <f>IF(BG10="","",IF(AR10&lt;&gt;"",AR10,IF(OR(LEFT(BH10,2)=" 引",LEFT(BH10,2)=" 受",LEFT(BH10,2)=" 自",LEFT(BH10,2)=" 蓄",LEFT(BH10,2)=" Ｕ",LEFT(BH10,2)=" 太",LEFT(BH10,2)=" 低",LEFT(BH10,2)=" 動",LEFT(BH10,2)=" 照",LEFT(BH10,2)=" 非"),2,$AD$48*100)))</f>
        <v/>
      </c>
      <c r="AQ10" s="165" t="s">
        <v>492</v>
      </c>
      <c r="AR10" s="264"/>
      <c r="AS10" s="480" t="str">
        <f t="shared" si="4"/>
        <v/>
      </c>
      <c r="AT10" s="165" t="s">
        <v>492</v>
      </c>
      <c r="AU10" s="264"/>
      <c r="AV10" s="481" t="str">
        <f t="shared" si="7"/>
        <v/>
      </c>
      <c r="AW10" s="481" t="str">
        <f t="shared" si="8"/>
        <v/>
      </c>
      <c r="AX10" s="481" t="str">
        <f t="shared" si="9"/>
        <v/>
      </c>
      <c r="AY10" s="481" t="str">
        <f t="shared" si="10"/>
        <v/>
      </c>
      <c r="AZ10" s="175"/>
      <c r="BA10" s="267">
        <v>5</v>
      </c>
      <c r="BB10" s="166" t="str">
        <f>IF(Top!G90&lt;&gt;"",Top!L90,"")</f>
        <v/>
      </c>
      <c r="BC10" s="166"/>
      <c r="BD10" s="166"/>
      <c r="BE10" s="166"/>
      <c r="BF10" s="267">
        <f t="shared" si="11"/>
        <v>3</v>
      </c>
      <c r="BG10" s="267" t="str">
        <f t="shared" si="5"/>
        <v/>
      </c>
      <c r="BH10" s="166" t="str">
        <f>IF(COUNTIF($BB$4:BB9,BB10)&gt;0,"",BB10)</f>
        <v/>
      </c>
      <c r="BI10" s="166"/>
      <c r="BJ10" s="268"/>
      <c r="BK10" s="268"/>
      <c r="BL10" s="268"/>
      <c r="BM10" s="460" t="s">
        <v>493</v>
      </c>
      <c r="BN10" s="269" t="s">
        <v>494</v>
      </c>
      <c r="BO10" s="270" t="s">
        <v>495</v>
      </c>
      <c r="BP10" s="459" t="str">
        <f>IF(BG10="","",1000*INT(原価!BM10*(100+AD10)/100000))</f>
        <v/>
      </c>
      <c r="BQ10" s="459">
        <f>原価!BN10</f>
        <v>0</v>
      </c>
      <c r="BR10" s="459">
        <f>IF(AG10="",0,原価!BO10*AG10/原価!$AD$44)</f>
        <v>0</v>
      </c>
      <c r="BS10" s="459" t="str">
        <f t="shared" ref="BS10:BS38" si="18">IF(BG10="","",1000*INT(SUM(BP10:BR10)*(100+AD10)/100000))</f>
        <v/>
      </c>
      <c r="BT10" s="312" t="str">
        <f t="shared" si="12"/>
        <v/>
      </c>
      <c r="BU10" s="312" t="str">
        <f t="shared" si="17"/>
        <v/>
      </c>
      <c r="BV10" s="271"/>
    </row>
    <row r="11" spans="1:74" ht="18.75" customHeight="1" thickBot="1">
      <c r="A11" s="240">
        <f t="shared" ca="1" si="13"/>
        <v>6</v>
      </c>
      <c r="B11" s="2587"/>
      <c r="C11" s="272">
        <v>7</v>
      </c>
      <c r="D11" s="464">
        <f ca="1">IF(E11="","",原価!D11)</f>
        <v>6</v>
      </c>
      <c r="E11" s="2636" t="str">
        <f ca="1">原価!E11</f>
        <v xml:space="preserve"> 照明コンセント設備工事</v>
      </c>
      <c r="F11" s="2637"/>
      <c r="G11" s="2637"/>
      <c r="H11" s="2637"/>
      <c r="I11" s="2637"/>
      <c r="J11" s="2637"/>
      <c r="K11" s="2638"/>
      <c r="L11" s="468">
        <f t="shared" ca="1" si="0"/>
        <v>1</v>
      </c>
      <c r="M11" s="468" t="str">
        <f t="shared" ca="1" si="1"/>
        <v>式</v>
      </c>
      <c r="N11" s="2639"/>
      <c r="O11" s="2640"/>
      <c r="P11" s="2640"/>
      <c r="Q11" s="2640"/>
      <c r="R11" s="2641"/>
      <c r="S11" s="2652">
        <f t="shared" ca="1" si="2"/>
        <v>26687000</v>
      </c>
      <c r="T11" s="2643"/>
      <c r="U11" s="2643"/>
      <c r="V11" s="2643"/>
      <c r="W11" s="2644"/>
      <c r="X11" s="2645"/>
      <c r="Y11" s="2645"/>
      <c r="Z11" s="2645"/>
      <c r="AA11" s="2646"/>
      <c r="AB11" s="199" t="str">
        <f t="shared" si="15"/>
        <v/>
      </c>
      <c r="AC11" s="513">
        <f>VLOOKUP(BG11,原価!内訳,13,FALSE)</f>
        <v>0</v>
      </c>
      <c r="AD11" s="484" t="str">
        <f t="shared" si="14"/>
        <v/>
      </c>
      <c r="AE11" s="162" t="s">
        <v>492</v>
      </c>
      <c r="AF11" s="163"/>
      <c r="AG11" s="483" t="str">
        <f t="shared" si="16"/>
        <v/>
      </c>
      <c r="AH11" s="162" t="s">
        <v>492</v>
      </c>
      <c r="AI11" s="164"/>
      <c r="AJ11" s="479" t="str">
        <f t="shared" si="3"/>
        <v/>
      </c>
      <c r="AK11" s="165" t="s">
        <v>492</v>
      </c>
      <c r="AL11" s="264"/>
      <c r="AM11" s="480" t="str">
        <f t="shared" si="6"/>
        <v/>
      </c>
      <c r="AN11" s="165" t="s">
        <v>492</v>
      </c>
      <c r="AO11" s="264"/>
      <c r="AP11" s="480" t="str">
        <f t="shared" ref="AP11:AP38" si="19">IF(BG11="","",IF(AR11&lt;&gt;"",AR11,IF(OR(LEFT(BH11,2)=" 引",LEFT(BH11,2)=" 受",LEFT(BH11,2)=" 自",LEFT(BH11,2)=" 蓄",LEFT(BH11,2)=" Ｕ",LEFT(BH11,2)=" 太",LEFT(BH11,2)=" 低",LEFT(BH11,2)=" 動",LEFT(BH11,2)=" 照",LEFT(BH11,2)=" 非"),2,$AD$48*100)))</f>
        <v/>
      </c>
      <c r="AQ11" s="165" t="s">
        <v>492</v>
      </c>
      <c r="AR11" s="264"/>
      <c r="AS11" s="480" t="str">
        <f t="shared" si="4"/>
        <v/>
      </c>
      <c r="AT11" s="165" t="s">
        <v>492</v>
      </c>
      <c r="AU11" s="264"/>
      <c r="AV11" s="481" t="str">
        <f t="shared" si="7"/>
        <v/>
      </c>
      <c r="AW11" s="481" t="str">
        <f t="shared" si="8"/>
        <v/>
      </c>
      <c r="AX11" s="481" t="str">
        <f t="shared" si="9"/>
        <v/>
      </c>
      <c r="AY11" s="481" t="str">
        <f t="shared" si="10"/>
        <v/>
      </c>
      <c r="AZ11" s="175"/>
      <c r="BA11" s="267">
        <v>6</v>
      </c>
      <c r="BB11" s="166" t="str">
        <f>IF(Top!G91&lt;&gt;"",Top!L91,"")</f>
        <v/>
      </c>
      <c r="BC11" s="166"/>
      <c r="BD11" s="166"/>
      <c r="BE11" s="166"/>
      <c r="BF11" s="267">
        <f t="shared" si="11"/>
        <v>3</v>
      </c>
      <c r="BG11" s="267" t="str">
        <f t="shared" si="5"/>
        <v/>
      </c>
      <c r="BH11" s="166" t="str">
        <f>IF(COUNTIF($BB$4:BB10,BB11)&gt;0,"",BB11)</f>
        <v/>
      </c>
      <c r="BI11" s="166"/>
      <c r="BJ11" s="268"/>
      <c r="BK11" s="268"/>
      <c r="BL11" s="268"/>
      <c r="BM11" s="460"/>
      <c r="BN11" s="269"/>
      <c r="BO11" s="270"/>
      <c r="BP11" s="459" t="str">
        <f>IF(BG11="","",1000*INT(原価!BM11*(100+AD11)/100000))</f>
        <v/>
      </c>
      <c r="BQ11" s="459">
        <f>原価!BN11</f>
        <v>0</v>
      </c>
      <c r="BR11" s="459">
        <f>IF(AG11="",0,原価!BO11*AG11/原価!$AD$44)</f>
        <v>0</v>
      </c>
      <c r="BS11" s="459" t="str">
        <f t="shared" si="18"/>
        <v/>
      </c>
      <c r="BT11" s="312" t="str">
        <f t="shared" si="12"/>
        <v/>
      </c>
      <c r="BU11" s="312" t="str">
        <f t="shared" si="17"/>
        <v/>
      </c>
      <c r="BV11" s="271"/>
    </row>
    <row r="12" spans="1:74" ht="18.75" customHeight="1" thickBot="1">
      <c r="A12" s="240">
        <f t="shared" ca="1" si="13"/>
        <v>7</v>
      </c>
      <c r="B12" s="2587"/>
      <c r="C12" s="272">
        <v>8</v>
      </c>
      <c r="D12" s="464">
        <f ca="1">IF(E12="","",原価!D12)</f>
        <v>7</v>
      </c>
      <c r="E12" s="2636" t="str">
        <f ca="1">原価!E12</f>
        <v xml:space="preserve"> 照明器具取付工事</v>
      </c>
      <c r="F12" s="2637"/>
      <c r="G12" s="2637"/>
      <c r="H12" s="2637"/>
      <c r="I12" s="2637"/>
      <c r="J12" s="2637"/>
      <c r="K12" s="2638"/>
      <c r="L12" s="468">
        <f t="shared" ca="1" si="0"/>
        <v>1</v>
      </c>
      <c r="M12" s="468" t="str">
        <f t="shared" ca="1" si="1"/>
        <v>式</v>
      </c>
      <c r="N12" s="2657"/>
      <c r="O12" s="2658"/>
      <c r="P12" s="2658"/>
      <c r="Q12" s="2658"/>
      <c r="R12" s="2659"/>
      <c r="S12" s="2652">
        <f t="shared" ca="1" si="2"/>
        <v>43094000</v>
      </c>
      <c r="T12" s="2643"/>
      <c r="U12" s="2643"/>
      <c r="V12" s="2643"/>
      <c r="W12" s="2644"/>
      <c r="X12" s="2645"/>
      <c r="Y12" s="2645"/>
      <c r="Z12" s="2645"/>
      <c r="AA12" s="2646"/>
      <c r="AB12" s="199" t="str">
        <f t="shared" si="15"/>
        <v/>
      </c>
      <c r="AC12" s="513">
        <f>VLOOKUP(BG12,原価!内訳,13,FALSE)</f>
        <v>0</v>
      </c>
      <c r="AD12" s="484" t="str">
        <f t="shared" si="14"/>
        <v/>
      </c>
      <c r="AE12" s="162" t="s">
        <v>492</v>
      </c>
      <c r="AF12" s="163"/>
      <c r="AG12" s="483" t="str">
        <f t="shared" si="16"/>
        <v/>
      </c>
      <c r="AH12" s="162" t="s">
        <v>492</v>
      </c>
      <c r="AI12" s="164"/>
      <c r="AJ12" s="479" t="str">
        <f t="shared" si="3"/>
        <v/>
      </c>
      <c r="AK12" s="165" t="s">
        <v>492</v>
      </c>
      <c r="AL12" s="264"/>
      <c r="AM12" s="480" t="str">
        <f t="shared" si="6"/>
        <v/>
      </c>
      <c r="AN12" s="165" t="s">
        <v>492</v>
      </c>
      <c r="AO12" s="264"/>
      <c r="AP12" s="480" t="str">
        <f t="shared" si="19"/>
        <v/>
      </c>
      <c r="AQ12" s="165" t="s">
        <v>492</v>
      </c>
      <c r="AR12" s="264"/>
      <c r="AS12" s="480" t="str">
        <f t="shared" si="4"/>
        <v/>
      </c>
      <c r="AT12" s="165" t="s">
        <v>492</v>
      </c>
      <c r="AU12" s="264"/>
      <c r="AV12" s="481" t="str">
        <f t="shared" si="7"/>
        <v/>
      </c>
      <c r="AW12" s="481" t="str">
        <f t="shared" si="8"/>
        <v/>
      </c>
      <c r="AX12" s="481" t="str">
        <f t="shared" si="9"/>
        <v/>
      </c>
      <c r="AY12" s="481" t="str">
        <f t="shared" si="10"/>
        <v/>
      </c>
      <c r="AZ12" s="175"/>
      <c r="BA12" s="267">
        <v>7</v>
      </c>
      <c r="BB12" s="166" t="str">
        <f>IF(Top!G92&lt;&gt;"",Top!L92,"")</f>
        <v/>
      </c>
      <c r="BC12" s="166"/>
      <c r="BD12" s="166"/>
      <c r="BE12" s="166"/>
      <c r="BF12" s="267">
        <f t="shared" si="11"/>
        <v>3</v>
      </c>
      <c r="BG12" s="267" t="str">
        <f t="shared" si="5"/>
        <v/>
      </c>
      <c r="BH12" s="166" t="str">
        <f>IF(COUNTIF($BB$4:BB11,BB12)&gt;0,"",BB12)</f>
        <v/>
      </c>
      <c r="BI12" s="166"/>
      <c r="BJ12" s="268"/>
      <c r="BK12" s="268"/>
      <c r="BL12" s="268"/>
      <c r="BM12" s="460" t="s">
        <v>493</v>
      </c>
      <c r="BN12" s="269" t="s">
        <v>494</v>
      </c>
      <c r="BO12" s="270" t="s">
        <v>495</v>
      </c>
      <c r="BP12" s="459" t="str">
        <f>IF(BG12="","",1000*INT(原価!BM12*(100+AD12)/100000))</f>
        <v/>
      </c>
      <c r="BQ12" s="459">
        <f>原価!BN12</f>
        <v>0</v>
      </c>
      <c r="BR12" s="459">
        <f>IF(AG12="",0,原価!BO12*AG12/原価!$AD$44)</f>
        <v>0</v>
      </c>
      <c r="BS12" s="459" t="str">
        <f t="shared" si="18"/>
        <v/>
      </c>
      <c r="BT12" s="312" t="str">
        <f t="shared" si="12"/>
        <v/>
      </c>
      <c r="BU12" s="312" t="str">
        <f t="shared" si="17"/>
        <v/>
      </c>
      <c r="BV12" s="271"/>
    </row>
    <row r="13" spans="1:74" ht="18.75" customHeight="1" thickBot="1">
      <c r="A13" s="240">
        <f t="shared" ca="1" si="13"/>
        <v>8</v>
      </c>
      <c r="B13" s="2587"/>
      <c r="C13" s="272">
        <v>9</v>
      </c>
      <c r="D13" s="464">
        <f ca="1">IF(E13="","",原価!D13)</f>
        <v>8</v>
      </c>
      <c r="E13" s="2636" t="str">
        <f ca="1">原価!E13</f>
        <v xml:space="preserve"> 非常照明・誘導灯設備工事</v>
      </c>
      <c r="F13" s="2637"/>
      <c r="G13" s="2637"/>
      <c r="H13" s="2637"/>
      <c r="I13" s="2637"/>
      <c r="J13" s="2637"/>
      <c r="K13" s="2638"/>
      <c r="L13" s="468">
        <f t="shared" ca="1" si="0"/>
        <v>1</v>
      </c>
      <c r="M13" s="468" t="str">
        <f t="shared" ca="1" si="1"/>
        <v>式</v>
      </c>
      <c r="N13" s="2639"/>
      <c r="O13" s="2640"/>
      <c r="P13" s="2640"/>
      <c r="Q13" s="2640"/>
      <c r="R13" s="2641"/>
      <c r="S13" s="2652">
        <f t="shared" ca="1" si="2"/>
        <v>20259000</v>
      </c>
      <c r="T13" s="2643"/>
      <c r="U13" s="2643"/>
      <c r="V13" s="2643"/>
      <c r="W13" s="2644"/>
      <c r="X13" s="2645"/>
      <c r="Y13" s="2645"/>
      <c r="Z13" s="2645"/>
      <c r="AA13" s="2646"/>
      <c r="AB13" s="199">
        <f>BG13</f>
        <v>4</v>
      </c>
      <c r="AC13" s="513">
        <f>VLOOKUP(BG13,原価!内訳,13,FALSE)</f>
        <v>85741000</v>
      </c>
      <c r="AD13" s="484">
        <f t="shared" si="14"/>
        <v>7.0000000000000009</v>
      </c>
      <c r="AE13" s="162" t="s">
        <v>492</v>
      </c>
      <c r="AF13" s="163"/>
      <c r="AG13" s="483">
        <f t="shared" si="16"/>
        <v>6000</v>
      </c>
      <c r="AH13" s="162" t="s">
        <v>492</v>
      </c>
      <c r="AI13" s="164"/>
      <c r="AJ13" s="479">
        <f t="shared" si="3"/>
        <v>3</v>
      </c>
      <c r="AK13" s="165" t="s">
        <v>492</v>
      </c>
      <c r="AL13" s="264"/>
      <c r="AM13" s="480">
        <f t="shared" si="6"/>
        <v>1.5</v>
      </c>
      <c r="AN13" s="165" t="s">
        <v>492</v>
      </c>
      <c r="AO13" s="264"/>
      <c r="AP13" s="480">
        <f t="shared" si="19"/>
        <v>2</v>
      </c>
      <c r="AQ13" s="165" t="s">
        <v>492</v>
      </c>
      <c r="AR13" s="264"/>
      <c r="AS13" s="480">
        <f t="shared" si="4"/>
        <v>10</v>
      </c>
      <c r="AT13" s="165" t="s">
        <v>492</v>
      </c>
      <c r="AU13" s="264"/>
      <c r="AV13" s="481">
        <f t="shared" si="7"/>
        <v>768390</v>
      </c>
      <c r="AW13" s="481">
        <f t="shared" si="8"/>
        <v>1215765</v>
      </c>
      <c r="AX13" s="481">
        <f t="shared" si="9"/>
        <v>1870700</v>
      </c>
      <c r="AY13" s="481">
        <f t="shared" si="10"/>
        <v>9353500</v>
      </c>
      <c r="AZ13" s="175"/>
      <c r="BA13" s="267">
        <v>8</v>
      </c>
      <c r="BB13" s="166" t="str">
        <f>IF(Top!G93&lt;&gt;"",Top!L93,"")</f>
        <v xml:space="preserve"> 低圧幹線設備工事</v>
      </c>
      <c r="BC13" s="166"/>
      <c r="BD13" s="166"/>
      <c r="BE13" s="166"/>
      <c r="BF13" s="267">
        <f t="shared" si="11"/>
        <v>4</v>
      </c>
      <c r="BG13" s="267">
        <f t="shared" ref="BG13:BG44" si="20">IF(AND(BB13&lt;&gt;"",BB13&lt;&gt;" 　"),BF13,"")</f>
        <v>4</v>
      </c>
      <c r="BH13" s="166" t="str">
        <f>IF(COUNTIF($BB$4:BB12,BB13)&gt;0,"",BB13)</f>
        <v xml:space="preserve"> 低圧幹線設備工事</v>
      </c>
      <c r="BI13" s="166"/>
      <c r="BJ13" s="268"/>
      <c r="BK13" s="268"/>
      <c r="BL13" s="268"/>
      <c r="BM13" s="460" t="s">
        <v>493</v>
      </c>
      <c r="BN13" s="269" t="s">
        <v>494</v>
      </c>
      <c r="BO13" s="270" t="s">
        <v>495</v>
      </c>
      <c r="BP13" s="459">
        <f>IF(BG13="","",1000*INT(原価!BM13*(100+AD13)/100000))</f>
        <v>25613000</v>
      </c>
      <c r="BQ13" s="459">
        <f>原価!BN13</f>
        <v>55438000</v>
      </c>
      <c r="BR13" s="459">
        <f>IF(AG13="",0,原価!BO13*AG13/原価!$AD$44)</f>
        <v>6365000</v>
      </c>
      <c r="BS13" s="459">
        <f t="shared" si="18"/>
        <v>93535000</v>
      </c>
      <c r="BT13" s="571">
        <f>AD13</f>
        <v>7.0000000000000009</v>
      </c>
      <c r="BU13" s="312">
        <f t="shared" si="17"/>
        <v>6000</v>
      </c>
      <c r="BV13" s="271"/>
    </row>
    <row r="14" spans="1:74" ht="18.75" customHeight="1" thickBot="1">
      <c r="A14" s="240">
        <f t="shared" ca="1" si="13"/>
        <v>9</v>
      </c>
      <c r="B14" s="2587"/>
      <c r="C14" s="272">
        <v>10</v>
      </c>
      <c r="D14" s="464">
        <f ca="1">IF(E14="","",原価!D14)</f>
        <v>9</v>
      </c>
      <c r="E14" s="2636" t="str">
        <f ca="1">原価!E14</f>
        <v xml:space="preserve"> 自火報防排煙設備工事</v>
      </c>
      <c r="F14" s="2637"/>
      <c r="G14" s="2637"/>
      <c r="H14" s="2637"/>
      <c r="I14" s="2637"/>
      <c r="J14" s="2637"/>
      <c r="K14" s="2638"/>
      <c r="L14" s="468">
        <f t="shared" ca="1" si="0"/>
        <v>1</v>
      </c>
      <c r="M14" s="468" t="str">
        <f t="shared" ca="1" si="1"/>
        <v>式</v>
      </c>
      <c r="N14" s="2639"/>
      <c r="O14" s="2640"/>
      <c r="P14" s="2640"/>
      <c r="Q14" s="2640"/>
      <c r="R14" s="2641"/>
      <c r="S14" s="2652">
        <f t="shared" ca="1" si="2"/>
        <v>15950000</v>
      </c>
      <c r="T14" s="2643"/>
      <c r="U14" s="2643"/>
      <c r="V14" s="2643"/>
      <c r="W14" s="2644"/>
      <c r="X14" s="2645"/>
      <c r="Y14" s="2645"/>
      <c r="Z14" s="2645"/>
      <c r="AA14" s="2646"/>
      <c r="AB14" s="199">
        <f t="shared" si="15"/>
        <v>5</v>
      </c>
      <c r="AC14" s="513">
        <f>VLOOKUP(BG14,原価!内訳,13,FALSE)</f>
        <v>29321000</v>
      </c>
      <c r="AD14" s="484">
        <f t="shared" si="14"/>
        <v>7.0000000000000009</v>
      </c>
      <c r="AE14" s="162" t="s">
        <v>52</v>
      </c>
      <c r="AF14" s="163"/>
      <c r="AG14" s="483">
        <f t="shared" si="16"/>
        <v>6000</v>
      </c>
      <c r="AH14" s="162" t="s">
        <v>52</v>
      </c>
      <c r="AI14" s="164"/>
      <c r="AJ14" s="479">
        <f t="shared" si="3"/>
        <v>3</v>
      </c>
      <c r="AK14" s="165" t="s">
        <v>52</v>
      </c>
      <c r="AL14" s="264"/>
      <c r="AM14" s="480">
        <f t="shared" si="6"/>
        <v>1.5</v>
      </c>
      <c r="AN14" s="165" t="s">
        <v>52</v>
      </c>
      <c r="AO14" s="264"/>
      <c r="AP14" s="480">
        <f t="shared" si="19"/>
        <v>2</v>
      </c>
      <c r="AQ14" s="165" t="s">
        <v>52</v>
      </c>
      <c r="AR14" s="264"/>
      <c r="AS14" s="480">
        <f t="shared" si="4"/>
        <v>10</v>
      </c>
      <c r="AT14" s="165" t="s">
        <v>52</v>
      </c>
      <c r="AU14" s="264"/>
      <c r="AV14" s="481">
        <f t="shared" si="7"/>
        <v>624750</v>
      </c>
      <c r="AW14" s="481">
        <f t="shared" si="8"/>
        <v>312375</v>
      </c>
      <c r="AX14" s="481">
        <f t="shared" si="9"/>
        <v>656600</v>
      </c>
      <c r="AY14" s="481">
        <f t="shared" si="10"/>
        <v>3283000</v>
      </c>
      <c r="AZ14" s="175"/>
      <c r="BA14" s="267">
        <v>9</v>
      </c>
      <c r="BB14" s="166" t="str">
        <f>IF(Top!G94&lt;&gt;"",Top!L94,"")</f>
        <v xml:space="preserve"> 動力配線工事</v>
      </c>
      <c r="BC14" s="166"/>
      <c r="BD14" s="166"/>
      <c r="BE14" s="166"/>
      <c r="BF14" s="267">
        <f t="shared" si="11"/>
        <v>5</v>
      </c>
      <c r="BG14" s="267">
        <f t="shared" si="20"/>
        <v>5</v>
      </c>
      <c r="BH14" s="166" t="str">
        <f>IF(COUNTIF($BB$4:BB13,BB14)&gt;0,"",BB14)</f>
        <v xml:space="preserve"> 動力配線工事</v>
      </c>
      <c r="BI14" s="166"/>
      <c r="BJ14" s="268"/>
      <c r="BK14" s="268"/>
      <c r="BL14" s="268"/>
      <c r="BM14" s="460" t="s">
        <v>489</v>
      </c>
      <c r="BN14" s="269" t="s">
        <v>496</v>
      </c>
      <c r="BO14" s="270" t="s">
        <v>491</v>
      </c>
      <c r="BP14" s="459">
        <f>IF(BG14="","",1000*INT(原価!BM14*(100+AD14)/100000))</f>
        <v>20825000</v>
      </c>
      <c r="BQ14" s="459">
        <f>原価!BN14</f>
        <v>0</v>
      </c>
      <c r="BR14" s="459">
        <f>IF(AG14="",0,原価!BO14*AG14/原価!$AD$44)</f>
        <v>9858000</v>
      </c>
      <c r="BS14" s="459">
        <f t="shared" si="18"/>
        <v>32830000</v>
      </c>
      <c r="BT14" s="571">
        <f>AD14</f>
        <v>7.0000000000000009</v>
      </c>
      <c r="BU14" s="312">
        <f t="shared" si="17"/>
        <v>6000</v>
      </c>
      <c r="BV14" s="271"/>
    </row>
    <row r="15" spans="1:74" ht="18.75" customHeight="1" thickBot="1">
      <c r="A15" s="240">
        <f t="shared" ca="1" si="13"/>
        <v>10</v>
      </c>
      <c r="B15" s="2587"/>
      <c r="C15" s="272">
        <v>11</v>
      </c>
      <c r="D15" s="464">
        <f ca="1">IF(E15="","",原価!D15)</f>
        <v>10</v>
      </c>
      <c r="E15" s="2636" t="str">
        <f ca="1">原価!E15</f>
        <v xml:space="preserve"> 雷保護設備工事</v>
      </c>
      <c r="F15" s="2637"/>
      <c r="G15" s="2637"/>
      <c r="H15" s="2637"/>
      <c r="I15" s="2637"/>
      <c r="J15" s="2637"/>
      <c r="K15" s="2638"/>
      <c r="L15" s="468">
        <f t="shared" ca="1" si="0"/>
        <v>1</v>
      </c>
      <c r="M15" s="468" t="str">
        <f t="shared" ca="1" si="1"/>
        <v>式</v>
      </c>
      <c r="N15" s="2639"/>
      <c r="O15" s="2640"/>
      <c r="P15" s="2640"/>
      <c r="Q15" s="2640"/>
      <c r="R15" s="2641"/>
      <c r="S15" s="2652">
        <f t="shared" ca="1" si="2"/>
        <v>6081000</v>
      </c>
      <c r="T15" s="2643"/>
      <c r="U15" s="2643"/>
      <c r="V15" s="2643"/>
      <c r="W15" s="2644"/>
      <c r="X15" s="2645"/>
      <c r="Y15" s="2645"/>
      <c r="Z15" s="2645"/>
      <c r="AA15" s="2646"/>
      <c r="AB15" s="199" t="str">
        <f t="shared" si="15"/>
        <v/>
      </c>
      <c r="AC15" s="513">
        <f>VLOOKUP(BG15,原価!内訳,13,FALSE)</f>
        <v>0</v>
      </c>
      <c r="AD15" s="484" t="str">
        <f t="shared" si="14"/>
        <v/>
      </c>
      <c r="AE15" s="162" t="s">
        <v>52</v>
      </c>
      <c r="AF15" s="163"/>
      <c r="AG15" s="483" t="str">
        <f t="shared" si="16"/>
        <v/>
      </c>
      <c r="AH15" s="162" t="s">
        <v>52</v>
      </c>
      <c r="AI15" s="164"/>
      <c r="AJ15" s="479" t="str">
        <f t="shared" si="3"/>
        <v/>
      </c>
      <c r="AK15" s="165" t="s">
        <v>52</v>
      </c>
      <c r="AL15" s="264"/>
      <c r="AM15" s="480" t="str">
        <f t="shared" si="6"/>
        <v/>
      </c>
      <c r="AN15" s="165" t="s">
        <v>52</v>
      </c>
      <c r="AO15" s="264"/>
      <c r="AP15" s="480" t="str">
        <f t="shared" si="19"/>
        <v/>
      </c>
      <c r="AQ15" s="165" t="s">
        <v>52</v>
      </c>
      <c r="AR15" s="264"/>
      <c r="AS15" s="480" t="str">
        <f t="shared" si="4"/>
        <v/>
      </c>
      <c r="AT15" s="165" t="s">
        <v>52</v>
      </c>
      <c r="AU15" s="264"/>
      <c r="AV15" s="481" t="str">
        <f t="shared" si="7"/>
        <v/>
      </c>
      <c r="AW15" s="481" t="str">
        <f t="shared" si="8"/>
        <v/>
      </c>
      <c r="AX15" s="481" t="str">
        <f t="shared" si="9"/>
        <v/>
      </c>
      <c r="AY15" s="481" t="str">
        <f t="shared" si="10"/>
        <v/>
      </c>
      <c r="AZ15" s="175"/>
      <c r="BA15" s="267">
        <v>10</v>
      </c>
      <c r="BB15" s="166" t="str">
        <f>IF(Top!G95&lt;&gt;"",Top!L95,"")</f>
        <v/>
      </c>
      <c r="BC15" s="166"/>
      <c r="BD15" s="166"/>
      <c r="BE15" s="166"/>
      <c r="BF15" s="267">
        <f t="shared" si="11"/>
        <v>5</v>
      </c>
      <c r="BG15" s="267" t="str">
        <f t="shared" si="20"/>
        <v/>
      </c>
      <c r="BH15" s="166" t="str">
        <f>IF(COUNTIF($BB$4:BB14,BB15)&gt;0,"",BB15)</f>
        <v/>
      </c>
      <c r="BI15" s="166"/>
      <c r="BJ15" s="268"/>
      <c r="BK15" s="268"/>
      <c r="BL15" s="268"/>
      <c r="BM15" s="460" t="s">
        <v>489</v>
      </c>
      <c r="BN15" s="269" t="s">
        <v>490</v>
      </c>
      <c r="BO15" s="270" t="s">
        <v>491</v>
      </c>
      <c r="BP15" s="459" t="str">
        <f>IF(BG15="","",1000*INT(原価!BM15*(100+AD15)/100000))</f>
        <v/>
      </c>
      <c r="BQ15" s="459">
        <f>原価!BN15</f>
        <v>0</v>
      </c>
      <c r="BR15" s="459">
        <f>IF(AG15="",0,原価!BO15*AG15/原価!$AD$44)</f>
        <v>0</v>
      </c>
      <c r="BS15" s="459" t="str">
        <f t="shared" si="18"/>
        <v/>
      </c>
      <c r="BT15" s="312" t="str">
        <f t="shared" si="12"/>
        <v/>
      </c>
      <c r="BU15" s="312" t="str">
        <f t="shared" si="17"/>
        <v/>
      </c>
      <c r="BV15" s="271"/>
    </row>
    <row r="16" spans="1:74" ht="18.75" customHeight="1" thickBot="1">
      <c r="A16" s="240">
        <f t="shared" ca="1" si="13"/>
        <v>11</v>
      </c>
      <c r="B16" s="2587"/>
      <c r="C16" s="272">
        <v>12</v>
      </c>
      <c r="D16" s="464">
        <f ca="1">IF(E16="","",原価!D16)</f>
        <v>11</v>
      </c>
      <c r="E16" s="2636" t="str">
        <f ca="1">原価!E16</f>
        <v xml:space="preserve"> 構内電話設備工事</v>
      </c>
      <c r="F16" s="2637"/>
      <c r="G16" s="2637"/>
      <c r="H16" s="2637"/>
      <c r="I16" s="2637"/>
      <c r="J16" s="2637"/>
      <c r="K16" s="2638"/>
      <c r="L16" s="468">
        <f t="shared" ca="1" si="0"/>
        <v>1</v>
      </c>
      <c r="M16" s="468" t="str">
        <f t="shared" ca="1" si="1"/>
        <v>式</v>
      </c>
      <c r="N16" s="2639"/>
      <c r="O16" s="2640"/>
      <c r="P16" s="2640"/>
      <c r="Q16" s="2640"/>
      <c r="R16" s="2641"/>
      <c r="S16" s="2652">
        <f t="shared" ca="1" si="2"/>
        <v>91467000</v>
      </c>
      <c r="T16" s="2643"/>
      <c r="U16" s="2643"/>
      <c r="V16" s="2643"/>
      <c r="W16" s="2644"/>
      <c r="X16" s="2645"/>
      <c r="Y16" s="2645"/>
      <c r="Z16" s="2645"/>
      <c r="AA16" s="2646"/>
      <c r="AB16" s="199" t="str">
        <f t="shared" si="15"/>
        <v/>
      </c>
      <c r="AC16" s="513">
        <f>VLOOKUP(BG16,原価!内訳,13,FALSE)</f>
        <v>0</v>
      </c>
      <c r="AD16" s="484" t="str">
        <f t="shared" si="14"/>
        <v/>
      </c>
      <c r="AE16" s="162" t="s">
        <v>52</v>
      </c>
      <c r="AF16" s="163"/>
      <c r="AG16" s="483" t="str">
        <f t="shared" si="16"/>
        <v/>
      </c>
      <c r="AH16" s="162" t="s">
        <v>52</v>
      </c>
      <c r="AI16" s="164"/>
      <c r="AJ16" s="479" t="str">
        <f t="shared" si="3"/>
        <v/>
      </c>
      <c r="AK16" s="165" t="s">
        <v>52</v>
      </c>
      <c r="AL16" s="264"/>
      <c r="AM16" s="480" t="str">
        <f t="shared" si="6"/>
        <v/>
      </c>
      <c r="AN16" s="165" t="s">
        <v>52</v>
      </c>
      <c r="AO16" s="264"/>
      <c r="AP16" s="480" t="str">
        <f t="shared" si="19"/>
        <v/>
      </c>
      <c r="AQ16" s="165" t="s">
        <v>52</v>
      </c>
      <c r="AR16" s="264"/>
      <c r="AS16" s="480" t="str">
        <f t="shared" si="4"/>
        <v/>
      </c>
      <c r="AT16" s="165" t="s">
        <v>52</v>
      </c>
      <c r="AU16" s="264"/>
      <c r="AV16" s="481" t="str">
        <f t="shared" si="7"/>
        <v/>
      </c>
      <c r="AW16" s="481" t="str">
        <f t="shared" si="8"/>
        <v/>
      </c>
      <c r="AX16" s="481" t="str">
        <f t="shared" si="9"/>
        <v/>
      </c>
      <c r="AY16" s="481" t="str">
        <f t="shared" si="10"/>
        <v/>
      </c>
      <c r="AZ16" s="175"/>
      <c r="BA16" s="267">
        <v>11</v>
      </c>
      <c r="BB16" s="166" t="str">
        <f>IF(Top!G96&lt;&gt;"",Top!L96,"")</f>
        <v/>
      </c>
      <c r="BC16" s="166"/>
      <c r="BD16" s="166"/>
      <c r="BE16" s="166"/>
      <c r="BF16" s="267">
        <f t="shared" si="11"/>
        <v>5</v>
      </c>
      <c r="BG16" s="267" t="str">
        <f t="shared" si="20"/>
        <v/>
      </c>
      <c r="BH16" s="166" t="str">
        <f>IF(COUNTIF($BB$4:BB15,BB16)&gt;0,"",BB16)</f>
        <v/>
      </c>
      <c r="BI16" s="166"/>
      <c r="BJ16" s="268"/>
      <c r="BK16" s="268"/>
      <c r="BL16" s="268"/>
      <c r="BM16" s="460"/>
      <c r="BN16" s="269"/>
      <c r="BO16" s="270"/>
      <c r="BP16" s="459" t="str">
        <f>IF(BG16="","",1000*INT(原価!BM16*(100+AD16)/100000))</f>
        <v/>
      </c>
      <c r="BQ16" s="459">
        <f>原価!BN16</f>
        <v>0</v>
      </c>
      <c r="BR16" s="459">
        <f>IF(AG16="",0,原価!BO16*AG16/原価!$AD$44)</f>
        <v>0</v>
      </c>
      <c r="BS16" s="459" t="str">
        <f t="shared" si="18"/>
        <v/>
      </c>
      <c r="BT16" s="312" t="str">
        <f t="shared" si="12"/>
        <v/>
      </c>
      <c r="BU16" s="312" t="str">
        <f t="shared" si="17"/>
        <v/>
      </c>
      <c r="BV16" s="271"/>
    </row>
    <row r="17" spans="1:74" ht="18.75" customHeight="1" thickBot="1">
      <c r="A17" s="240">
        <f t="shared" ca="1" si="13"/>
        <v>12</v>
      </c>
      <c r="B17" s="2587"/>
      <c r="C17" s="272">
        <v>13</v>
      </c>
      <c r="D17" s="464">
        <f ca="1">IF(E17="","",原価!D17)</f>
        <v>12</v>
      </c>
      <c r="E17" s="2636" t="str">
        <f ca="1">原価!E17</f>
        <v xml:space="preserve"> 構内放送設備工事</v>
      </c>
      <c r="F17" s="2637"/>
      <c r="G17" s="2637"/>
      <c r="H17" s="2637"/>
      <c r="I17" s="2637"/>
      <c r="J17" s="2637"/>
      <c r="K17" s="2638"/>
      <c r="L17" s="468">
        <f t="shared" ca="1" si="0"/>
        <v>1</v>
      </c>
      <c r="M17" s="468" t="str">
        <f t="shared" ca="1" si="1"/>
        <v>式</v>
      </c>
      <c r="N17" s="2656"/>
      <c r="O17" s="2640"/>
      <c r="P17" s="2640"/>
      <c r="Q17" s="2640"/>
      <c r="R17" s="2641"/>
      <c r="S17" s="2652">
        <f t="shared" ca="1" si="2"/>
        <v>14327000</v>
      </c>
      <c r="T17" s="2643"/>
      <c r="U17" s="2643"/>
      <c r="V17" s="2643"/>
      <c r="W17" s="2644"/>
      <c r="X17" s="2645"/>
      <c r="Y17" s="2645"/>
      <c r="Z17" s="2645"/>
      <c r="AA17" s="2646"/>
      <c r="AB17" s="199">
        <f t="shared" si="15"/>
        <v>6</v>
      </c>
      <c r="AC17" s="513">
        <f>VLOOKUP(BG17,原価!内訳,13,FALSE)</f>
        <v>23954000</v>
      </c>
      <c r="AD17" s="484">
        <f t="shared" si="14"/>
        <v>7.0000000000000009</v>
      </c>
      <c r="AE17" s="162" t="s">
        <v>52</v>
      </c>
      <c r="AF17" s="163"/>
      <c r="AG17" s="483">
        <f t="shared" si="16"/>
        <v>6000</v>
      </c>
      <c r="AH17" s="162" t="s">
        <v>52</v>
      </c>
      <c r="AI17" s="164"/>
      <c r="AJ17" s="479">
        <f t="shared" si="3"/>
        <v>3</v>
      </c>
      <c r="AK17" s="165" t="s">
        <v>52</v>
      </c>
      <c r="AL17" s="264"/>
      <c r="AM17" s="480">
        <f t="shared" si="6"/>
        <v>1.5</v>
      </c>
      <c r="AN17" s="165" t="s">
        <v>52</v>
      </c>
      <c r="AO17" s="264"/>
      <c r="AP17" s="480">
        <f t="shared" si="19"/>
        <v>2</v>
      </c>
      <c r="AQ17" s="165" t="s">
        <v>52</v>
      </c>
      <c r="AR17" s="264"/>
      <c r="AS17" s="480">
        <f t="shared" si="4"/>
        <v>10</v>
      </c>
      <c r="AT17" s="165" t="s">
        <v>52</v>
      </c>
      <c r="AU17" s="264"/>
      <c r="AV17" s="481">
        <f t="shared" si="7"/>
        <v>453210</v>
      </c>
      <c r="AW17" s="481">
        <f t="shared" si="8"/>
        <v>226605</v>
      </c>
      <c r="AX17" s="481">
        <f t="shared" si="9"/>
        <v>533740</v>
      </c>
      <c r="AY17" s="481">
        <f t="shared" si="10"/>
        <v>2668700</v>
      </c>
      <c r="AZ17" s="175"/>
      <c r="BA17" s="267">
        <v>12</v>
      </c>
      <c r="BB17" s="166" t="str">
        <f>IF(Top!G97&lt;&gt;"",Top!L97,"")</f>
        <v xml:space="preserve"> 照明コンセント設備工事</v>
      </c>
      <c r="BC17" s="166"/>
      <c r="BD17" s="166"/>
      <c r="BE17" s="166"/>
      <c r="BF17" s="267">
        <f t="shared" ref="BF17:BF44" si="21">IF(AND(BB17&lt;&gt;"",BB17&lt;&gt;" 　"),BF16+1,BF16)</f>
        <v>6</v>
      </c>
      <c r="BG17" s="267">
        <f t="shared" si="20"/>
        <v>6</v>
      </c>
      <c r="BH17" s="166" t="str">
        <f>IF(COUNTIF($BB$4:BB16,BB17)&gt;0,"",BB17)</f>
        <v xml:space="preserve"> 照明コンセント設備工事</v>
      </c>
      <c r="BI17" s="166"/>
      <c r="BJ17" s="268"/>
      <c r="BK17" s="268"/>
      <c r="BL17" s="268"/>
      <c r="BM17" s="460" t="s">
        <v>489</v>
      </c>
      <c r="BN17" s="269" t="s">
        <v>497</v>
      </c>
      <c r="BO17" s="270" t="s">
        <v>491</v>
      </c>
      <c r="BP17" s="459">
        <f>IF(BG17="","",1000*INT(原価!BM17*(100+AD17)/100000))</f>
        <v>15107000</v>
      </c>
      <c r="BQ17" s="459">
        <f>原価!BN17</f>
        <v>0</v>
      </c>
      <c r="BR17" s="459">
        <f>IF(AG17="",0,原価!BO17*AG17/原価!$AD$44)</f>
        <v>9835000</v>
      </c>
      <c r="BS17" s="459">
        <f t="shared" si="18"/>
        <v>26687000</v>
      </c>
      <c r="BT17" s="312">
        <f t="shared" si="12"/>
        <v>7.0000000000000009</v>
      </c>
      <c r="BU17" s="312">
        <f t="shared" si="17"/>
        <v>6000</v>
      </c>
      <c r="BV17" s="271"/>
    </row>
    <row r="18" spans="1:74" ht="18.75" customHeight="1" thickBot="1">
      <c r="A18" s="240">
        <f t="shared" ca="1" si="13"/>
        <v>13</v>
      </c>
      <c r="B18" s="2587"/>
      <c r="C18" s="272">
        <v>14</v>
      </c>
      <c r="D18" s="464">
        <f ca="1">IF(E18="","",原価!D18)</f>
        <v>13</v>
      </c>
      <c r="E18" s="2636" t="str">
        <f ca="1">原価!E18</f>
        <v xml:space="preserve"> テレビ共聴設備工事</v>
      </c>
      <c r="F18" s="2637"/>
      <c r="G18" s="2637"/>
      <c r="H18" s="2637"/>
      <c r="I18" s="2637"/>
      <c r="J18" s="2637"/>
      <c r="K18" s="2638"/>
      <c r="L18" s="468">
        <f t="shared" ca="1" si="0"/>
        <v>1</v>
      </c>
      <c r="M18" s="468" t="str">
        <f t="shared" ca="1" si="1"/>
        <v>式</v>
      </c>
      <c r="N18" s="2639"/>
      <c r="O18" s="2640"/>
      <c r="P18" s="2640"/>
      <c r="Q18" s="2640"/>
      <c r="R18" s="2641"/>
      <c r="S18" s="2652">
        <f t="shared" ca="1" si="2"/>
        <v>6592000</v>
      </c>
      <c r="T18" s="2643"/>
      <c r="U18" s="2643"/>
      <c r="V18" s="2643"/>
      <c r="W18" s="2644"/>
      <c r="X18" s="2645"/>
      <c r="Y18" s="2645"/>
      <c r="Z18" s="2645"/>
      <c r="AA18" s="2646"/>
      <c r="AB18" s="199">
        <f t="shared" si="15"/>
        <v>7</v>
      </c>
      <c r="AC18" s="513">
        <f>VLOOKUP(BG18,原価!内訳,13,FALSE)</f>
        <v>40225000</v>
      </c>
      <c r="AD18" s="484">
        <f t="shared" si="14"/>
        <v>7.0000000000000009</v>
      </c>
      <c r="AE18" s="162" t="s">
        <v>52</v>
      </c>
      <c r="AF18" s="163"/>
      <c r="AG18" s="483">
        <f t="shared" si="16"/>
        <v>6000</v>
      </c>
      <c r="AH18" s="162" t="s">
        <v>52</v>
      </c>
      <c r="AI18" s="164"/>
      <c r="AJ18" s="479">
        <f t="shared" si="3"/>
        <v>3</v>
      </c>
      <c r="AK18" s="165" t="s">
        <v>52</v>
      </c>
      <c r="AL18" s="264"/>
      <c r="AM18" s="480">
        <f t="shared" si="6"/>
        <v>1.5</v>
      </c>
      <c r="AN18" s="165" t="s">
        <v>52</v>
      </c>
      <c r="AO18" s="264"/>
      <c r="AP18" s="480">
        <f t="shared" si="19"/>
        <v>2</v>
      </c>
      <c r="AQ18" s="165" t="s">
        <v>52</v>
      </c>
      <c r="AR18" s="264"/>
      <c r="AS18" s="480">
        <f t="shared" si="4"/>
        <v>10</v>
      </c>
      <c r="AT18" s="165" t="s">
        <v>52</v>
      </c>
      <c r="AU18" s="264"/>
      <c r="AV18" s="481">
        <f t="shared" si="7"/>
        <v>23220</v>
      </c>
      <c r="AW18" s="481">
        <f t="shared" si="8"/>
        <v>554685</v>
      </c>
      <c r="AX18" s="481">
        <f t="shared" si="9"/>
        <v>861880</v>
      </c>
      <c r="AY18" s="481">
        <f t="shared" si="10"/>
        <v>4309400</v>
      </c>
      <c r="AZ18" s="175"/>
      <c r="BA18" s="267">
        <v>13</v>
      </c>
      <c r="BB18" s="166" t="str">
        <f>IF(Top!G98&lt;&gt;"",Top!L98,"")</f>
        <v xml:space="preserve"> 照明器具取付工事</v>
      </c>
      <c r="BC18" s="166"/>
      <c r="BD18" s="166"/>
      <c r="BE18" s="166"/>
      <c r="BF18" s="267">
        <f t="shared" si="21"/>
        <v>7</v>
      </c>
      <c r="BG18" s="267">
        <f t="shared" si="20"/>
        <v>7</v>
      </c>
      <c r="BH18" s="166" t="str">
        <f>IF(COUNTIF($BB$4:BB17,BB18)&gt;0,"",BB18)</f>
        <v xml:space="preserve"> 照明器具取付工事</v>
      </c>
      <c r="BI18" s="166"/>
      <c r="BJ18" s="268"/>
      <c r="BK18" s="268"/>
      <c r="BL18" s="268"/>
      <c r="BM18" s="460" t="s">
        <v>498</v>
      </c>
      <c r="BN18" s="269" t="s">
        <v>499</v>
      </c>
      <c r="BO18" s="270" t="s">
        <v>491</v>
      </c>
      <c r="BP18" s="459">
        <f>IF(BG18="","",1000*INT(原価!BM18*(100+AD18)/100000))</f>
        <v>774000</v>
      </c>
      <c r="BQ18" s="459">
        <f>原価!BN18</f>
        <v>36205000</v>
      </c>
      <c r="BR18" s="459">
        <f>IF(AG18="",0,原価!BO18*AG18/原価!$AD$44)</f>
        <v>3296000</v>
      </c>
      <c r="BS18" s="459">
        <f t="shared" si="18"/>
        <v>43094000</v>
      </c>
      <c r="BT18" s="312">
        <f t="shared" si="12"/>
        <v>7.0000000000000009</v>
      </c>
      <c r="BU18" s="312">
        <f t="shared" si="17"/>
        <v>6000</v>
      </c>
      <c r="BV18" s="271"/>
    </row>
    <row r="19" spans="1:74" ht="18.75" customHeight="1" thickBot="1">
      <c r="A19" s="240">
        <f t="shared" ca="1" si="13"/>
        <v>14</v>
      </c>
      <c r="B19" s="2587"/>
      <c r="C19" s="272">
        <v>15</v>
      </c>
      <c r="D19" s="464" t="str">
        <f ca="1">IF(E19="","",原価!D19)</f>
        <v/>
      </c>
      <c r="E19" s="2636" t="str">
        <f ca="1">原価!E19</f>
        <v>　　　 　　　　　　(小計)</v>
      </c>
      <c r="F19" s="2637"/>
      <c r="G19" s="2637"/>
      <c r="H19" s="2637"/>
      <c r="I19" s="2637"/>
      <c r="J19" s="2637"/>
      <c r="K19" s="2638"/>
      <c r="L19" s="468">
        <f t="shared" ca="1" si="0"/>
        <v>1</v>
      </c>
      <c r="M19" s="468" t="str">
        <f t="shared" ca="1" si="1"/>
        <v>式</v>
      </c>
      <c r="N19" s="2639"/>
      <c r="O19" s="2640"/>
      <c r="P19" s="2640"/>
      <c r="Q19" s="2640"/>
      <c r="R19" s="2641"/>
      <c r="S19" s="2652">
        <f t="shared" ca="1" si="2"/>
        <v>406040000</v>
      </c>
      <c r="T19" s="2643"/>
      <c r="U19" s="2643"/>
      <c r="V19" s="2643"/>
      <c r="W19" s="2644"/>
      <c r="X19" s="2645"/>
      <c r="Y19" s="2645"/>
      <c r="Z19" s="2645"/>
      <c r="AA19" s="2646"/>
      <c r="AB19" s="199">
        <f t="shared" si="15"/>
        <v>8</v>
      </c>
      <c r="AC19" s="513">
        <f>VLOOKUP(BG19,原価!内訳,13,FALSE)</f>
        <v>18854000</v>
      </c>
      <c r="AD19" s="484">
        <f t="shared" si="14"/>
        <v>7.0000000000000009</v>
      </c>
      <c r="AE19" s="162" t="s">
        <v>52</v>
      </c>
      <c r="AF19" s="163"/>
      <c r="AG19" s="483">
        <f t="shared" si="16"/>
        <v>6000</v>
      </c>
      <c r="AH19" s="162" t="s">
        <v>52</v>
      </c>
      <c r="AI19" s="164"/>
      <c r="AJ19" s="479">
        <f t="shared" si="3"/>
        <v>3</v>
      </c>
      <c r="AK19" s="165" t="s">
        <v>52</v>
      </c>
      <c r="AL19" s="264"/>
      <c r="AM19" s="480">
        <f t="shared" si="6"/>
        <v>1.5</v>
      </c>
      <c r="AN19" s="165" t="s">
        <v>52</v>
      </c>
      <c r="AO19" s="264"/>
      <c r="AP19" s="480">
        <f t="shared" si="19"/>
        <v>2</v>
      </c>
      <c r="AQ19" s="165" t="s">
        <v>52</v>
      </c>
      <c r="AR19" s="264"/>
      <c r="AS19" s="480">
        <f t="shared" si="4"/>
        <v>10</v>
      </c>
      <c r="AT19" s="165" t="s">
        <v>52</v>
      </c>
      <c r="AU19" s="264"/>
      <c r="AV19" s="481">
        <f t="shared" si="7"/>
        <v>36960</v>
      </c>
      <c r="AW19" s="481">
        <f t="shared" si="8"/>
        <v>235335</v>
      </c>
      <c r="AX19" s="481">
        <f t="shared" si="9"/>
        <v>405180</v>
      </c>
      <c r="AY19" s="481">
        <f t="shared" si="10"/>
        <v>2025900</v>
      </c>
      <c r="AZ19" s="175"/>
      <c r="BA19" s="267">
        <v>14</v>
      </c>
      <c r="BB19" s="166" t="str">
        <f>IF(Top!G99&lt;&gt;"",Top!L99,"")</f>
        <v xml:space="preserve"> 非常照明・誘導灯設備工事</v>
      </c>
      <c r="BC19" s="166"/>
      <c r="BD19" s="166"/>
      <c r="BE19" s="166"/>
      <c r="BF19" s="267">
        <f t="shared" si="21"/>
        <v>8</v>
      </c>
      <c r="BG19" s="267">
        <f t="shared" si="20"/>
        <v>8</v>
      </c>
      <c r="BH19" s="166" t="str">
        <f>IF(COUNTIF($BB$4:BB18,BB19)&gt;0,"",BB19)</f>
        <v xml:space="preserve"> 非常照明・誘導灯設備工事</v>
      </c>
      <c r="BI19" s="166"/>
      <c r="BJ19" s="268"/>
      <c r="BK19" s="268"/>
      <c r="BL19" s="268"/>
      <c r="BM19" s="460" t="s">
        <v>489</v>
      </c>
      <c r="BN19" s="269" t="s">
        <v>498</v>
      </c>
      <c r="BO19" s="270" t="s">
        <v>491</v>
      </c>
      <c r="BP19" s="459">
        <f>IF(BG19="","",1000*INT(原価!BM19*(100+AD19)/100000))</f>
        <v>1232000</v>
      </c>
      <c r="BQ19" s="459">
        <f>原価!BN19</f>
        <v>14457000</v>
      </c>
      <c r="BR19" s="459">
        <f>IF(AG19="",0,原価!BO19*AG19/原価!$AD$44)</f>
        <v>3245000</v>
      </c>
      <c r="BS19" s="459">
        <f t="shared" si="18"/>
        <v>20259000</v>
      </c>
      <c r="BT19" s="312">
        <f t="shared" si="12"/>
        <v>7.0000000000000009</v>
      </c>
      <c r="BU19" s="312">
        <f t="shared" si="17"/>
        <v>6000</v>
      </c>
      <c r="BV19" s="271"/>
    </row>
    <row r="20" spans="1:74" ht="18.75" customHeight="1" thickBot="1">
      <c r="A20" s="240">
        <f t="shared" ca="1" si="13"/>
        <v>15</v>
      </c>
      <c r="B20" s="2587"/>
      <c r="C20" s="272">
        <v>16</v>
      </c>
      <c r="D20" s="464" t="str">
        <f ca="1">IF(E20="","",原価!D20)</f>
        <v/>
      </c>
      <c r="E20" s="2636" t="str">
        <f ca="1">原価!E20</f>
        <v xml:space="preserve"> 雑材消耗費</v>
      </c>
      <c r="F20" s="2637"/>
      <c r="G20" s="2637"/>
      <c r="H20" s="2637"/>
      <c r="I20" s="2637"/>
      <c r="J20" s="2637"/>
      <c r="K20" s="2638"/>
      <c r="L20" s="468">
        <f t="shared" ca="1" si="0"/>
        <v>1</v>
      </c>
      <c r="M20" s="468" t="str">
        <f t="shared" ca="1" si="1"/>
        <v>式</v>
      </c>
      <c r="N20" s="2639"/>
      <c r="O20" s="2640"/>
      <c r="P20" s="2640"/>
      <c r="Q20" s="2640"/>
      <c r="R20" s="2641"/>
      <c r="S20" s="2652">
        <f t="shared" ca="1" si="2"/>
        <v>2997000</v>
      </c>
      <c r="T20" s="2643"/>
      <c r="U20" s="2643"/>
      <c r="V20" s="2643"/>
      <c r="W20" s="2644"/>
      <c r="X20" s="2645"/>
      <c r="Y20" s="2645"/>
      <c r="Z20" s="2645"/>
      <c r="AA20" s="2646"/>
      <c r="AB20" s="199" t="str">
        <f t="shared" si="15"/>
        <v/>
      </c>
      <c r="AC20" s="513">
        <f>VLOOKUP(BG20,原価!内訳,13,FALSE)</f>
        <v>0</v>
      </c>
      <c r="AD20" s="484" t="str">
        <f t="shared" si="14"/>
        <v/>
      </c>
      <c r="AE20" s="162" t="s">
        <v>488</v>
      </c>
      <c r="AF20" s="163"/>
      <c r="AG20" s="483" t="str">
        <f>IF(BG20="","",IF(AI20="",$AD$44,AI20))</f>
        <v/>
      </c>
      <c r="AH20" s="162" t="s">
        <v>52</v>
      </c>
      <c r="AI20" s="164"/>
      <c r="AJ20" s="479" t="str">
        <f t="shared" si="3"/>
        <v/>
      </c>
      <c r="AK20" s="165" t="s">
        <v>52</v>
      </c>
      <c r="AL20" s="264"/>
      <c r="AM20" s="480" t="str">
        <f t="shared" si="6"/>
        <v/>
      </c>
      <c r="AN20" s="165" t="s">
        <v>52</v>
      </c>
      <c r="AO20" s="264"/>
      <c r="AP20" s="480" t="str">
        <f t="shared" si="19"/>
        <v/>
      </c>
      <c r="AQ20" s="165" t="s">
        <v>52</v>
      </c>
      <c r="AR20" s="264"/>
      <c r="AS20" s="480" t="str">
        <f t="shared" si="4"/>
        <v/>
      </c>
      <c r="AT20" s="165" t="s">
        <v>52</v>
      </c>
      <c r="AU20" s="264"/>
      <c r="AV20" s="481" t="str">
        <f t="shared" si="7"/>
        <v/>
      </c>
      <c r="AW20" s="481" t="str">
        <f t="shared" si="8"/>
        <v/>
      </c>
      <c r="AX20" s="481" t="str">
        <f t="shared" si="9"/>
        <v/>
      </c>
      <c r="AY20" s="481" t="str">
        <f t="shared" si="10"/>
        <v/>
      </c>
      <c r="AZ20" s="175"/>
      <c r="BA20" s="267">
        <v>15</v>
      </c>
      <c r="BB20" s="166" t="str">
        <f>IF(Top!G100&lt;&gt;"",Top!L100,"")</f>
        <v/>
      </c>
      <c r="BC20" s="166"/>
      <c r="BD20" s="166"/>
      <c r="BE20" s="166"/>
      <c r="BF20" s="267">
        <f t="shared" si="21"/>
        <v>8</v>
      </c>
      <c r="BG20" s="267" t="str">
        <f t="shared" si="20"/>
        <v/>
      </c>
      <c r="BH20" s="166" t="str">
        <f>IF(COUNTIF($BB$4:BB19,BB20)&gt;0,"",BB20)</f>
        <v/>
      </c>
      <c r="BI20" s="166"/>
      <c r="BJ20" s="268"/>
      <c r="BK20" s="268"/>
      <c r="BL20" s="268"/>
      <c r="BM20" s="460"/>
      <c r="BN20" s="269"/>
      <c r="BO20" s="270"/>
      <c r="BP20" s="459">
        <f>IF(BH20="",0,1000*INT(原価!BM20*(100+AD20)/100000))</f>
        <v>0</v>
      </c>
      <c r="BQ20" s="459">
        <f>原価!BN20</f>
        <v>0</v>
      </c>
      <c r="BR20" s="459">
        <f>IF(AG20="",0,原価!BO20*AG20/原価!$AD$44)</f>
        <v>0</v>
      </c>
      <c r="BS20" s="459">
        <f>IF(BH20="",0,1000*INT(SUM(BP20:BR20)*(100+AD20)/100000))</f>
        <v>0</v>
      </c>
      <c r="BT20" s="312" t="str">
        <f t="shared" si="12"/>
        <v/>
      </c>
      <c r="BU20" s="312" t="str">
        <f t="shared" si="17"/>
        <v/>
      </c>
      <c r="BV20" s="271"/>
    </row>
    <row r="21" spans="1:74" ht="18.75" customHeight="1" thickBot="1">
      <c r="A21" s="240">
        <f t="shared" ca="1" si="13"/>
        <v>16</v>
      </c>
      <c r="B21" s="2587"/>
      <c r="C21" s="272">
        <v>17</v>
      </c>
      <c r="D21" s="464" t="str">
        <f ca="1">IF(E21="","",原価!D21)</f>
        <v/>
      </c>
      <c r="E21" s="2636" t="str">
        <f ca="1">原価!E21</f>
        <v xml:space="preserve"> 運　搬　費</v>
      </c>
      <c r="F21" s="2637"/>
      <c r="G21" s="2637"/>
      <c r="H21" s="2637"/>
      <c r="I21" s="2637"/>
      <c r="J21" s="2637"/>
      <c r="K21" s="2638"/>
      <c r="L21" s="468">
        <f t="shared" ca="1" si="0"/>
        <v>1</v>
      </c>
      <c r="M21" s="468" t="str">
        <f t="shared" ca="1" si="1"/>
        <v>式</v>
      </c>
      <c r="N21" s="2639"/>
      <c r="O21" s="2640"/>
      <c r="P21" s="2640"/>
      <c r="Q21" s="2640"/>
      <c r="R21" s="2641"/>
      <c r="S21" s="2652">
        <f t="shared" ca="1" si="2"/>
        <v>4558000</v>
      </c>
      <c r="T21" s="2643"/>
      <c r="U21" s="2643"/>
      <c r="V21" s="2643"/>
      <c r="W21" s="2644"/>
      <c r="X21" s="2645"/>
      <c r="Y21" s="2645"/>
      <c r="Z21" s="2645"/>
      <c r="AA21" s="2646"/>
      <c r="AB21" s="199">
        <f t="shared" si="15"/>
        <v>9</v>
      </c>
      <c r="AC21" s="513">
        <f>VLOOKUP(BG21,原価!内訳,13,FALSE)</f>
        <v>14637000</v>
      </c>
      <c r="AD21" s="484">
        <f t="shared" si="14"/>
        <v>7.0000000000000009</v>
      </c>
      <c r="AE21" s="162" t="s">
        <v>52</v>
      </c>
      <c r="AF21" s="163"/>
      <c r="AG21" s="483">
        <f>IF(BG21="","",IF(AI21="",$AD$44,AI21))</f>
        <v>6000</v>
      </c>
      <c r="AH21" s="162" t="s">
        <v>52</v>
      </c>
      <c r="AI21" s="164"/>
      <c r="AJ21" s="479">
        <f t="shared" si="3"/>
        <v>3</v>
      </c>
      <c r="AK21" s="165" t="s">
        <v>52</v>
      </c>
      <c r="AL21" s="264"/>
      <c r="AM21" s="480">
        <f t="shared" si="6"/>
        <v>1.5</v>
      </c>
      <c r="AN21" s="165" t="s">
        <v>52</v>
      </c>
      <c r="AO21" s="264"/>
      <c r="AP21" s="480">
        <f t="shared" si="19"/>
        <v>2</v>
      </c>
      <c r="AQ21" s="165" t="s">
        <v>52</v>
      </c>
      <c r="AR21" s="264"/>
      <c r="AS21" s="480">
        <f t="shared" si="4"/>
        <v>10</v>
      </c>
      <c r="AT21" s="165" t="s">
        <v>52</v>
      </c>
      <c r="AU21" s="264"/>
      <c r="AV21" s="481">
        <f t="shared" si="7"/>
        <v>124170</v>
      </c>
      <c r="AW21" s="481">
        <f t="shared" si="8"/>
        <v>134595</v>
      </c>
      <c r="AX21" s="481">
        <f t="shared" si="9"/>
        <v>319000</v>
      </c>
      <c r="AY21" s="481">
        <f t="shared" si="10"/>
        <v>1595000</v>
      </c>
      <c r="AZ21" s="175"/>
      <c r="BA21" s="267">
        <v>16</v>
      </c>
      <c r="BB21" s="166" t="str">
        <f>IF(原価!BP21=0,"",IF(Top!G101&lt;&gt;"",Top!L101,""))</f>
        <v xml:space="preserve"> 自火報防排煙設備工事</v>
      </c>
      <c r="BC21" s="166"/>
      <c r="BD21" s="166"/>
      <c r="BE21" s="166"/>
      <c r="BF21" s="267">
        <f t="shared" si="21"/>
        <v>9</v>
      </c>
      <c r="BG21" s="267">
        <f t="shared" si="20"/>
        <v>9</v>
      </c>
      <c r="BH21" s="166" t="str">
        <f>IF(COUNTIF($BB$4:BB20,BB21)&gt;0,"",BB21)</f>
        <v xml:space="preserve"> 自火報防排煙設備工事</v>
      </c>
      <c r="BI21" s="166"/>
      <c r="BJ21" s="268"/>
      <c r="BK21" s="268"/>
      <c r="BL21" s="268"/>
      <c r="BM21" s="460" t="s">
        <v>489</v>
      </c>
      <c r="BN21" s="269" t="s">
        <v>500</v>
      </c>
      <c r="BO21" s="270" t="s">
        <v>491</v>
      </c>
      <c r="BP21" s="459">
        <f>IF(原価!BP21=0,0,1000*INT(原価!BM21*(100+AD21)/100000))</f>
        <v>4139000</v>
      </c>
      <c r="BQ21" s="459">
        <f>IF(原価!BN21="",0,原価!BN21)</f>
        <v>4834000</v>
      </c>
      <c r="BR21" s="459">
        <f>IF(原価!BO21="",0,原価!BO21*AG21/原価!$AD$44)</f>
        <v>5934000</v>
      </c>
      <c r="BS21" s="459">
        <f>IF(BH21="",0,1000*INT(SUM(BP21:BR21)*(100+AD21)/100000))</f>
        <v>15950000</v>
      </c>
      <c r="BT21" s="312">
        <f t="shared" si="12"/>
        <v>7.0000000000000009</v>
      </c>
      <c r="BU21" s="312">
        <f t="shared" si="17"/>
        <v>6000</v>
      </c>
      <c r="BV21" s="271"/>
    </row>
    <row r="22" spans="1:74" ht="18.75" customHeight="1" thickBot="1">
      <c r="A22" s="240">
        <f t="shared" ca="1" si="13"/>
        <v>17</v>
      </c>
      <c r="B22" s="2587"/>
      <c r="C22" s="272">
        <v>18</v>
      </c>
      <c r="D22" s="464" t="str">
        <f ca="1">IF(E22="","",原価!D22)</f>
        <v/>
      </c>
      <c r="E22" s="2636" t="str">
        <f ca="1">原価!E22</f>
        <v xml:space="preserve"> 現場管理費</v>
      </c>
      <c r="F22" s="2637"/>
      <c r="G22" s="2637"/>
      <c r="H22" s="2637"/>
      <c r="I22" s="2637"/>
      <c r="J22" s="2637"/>
      <c r="K22" s="2638"/>
      <c r="L22" s="468">
        <f t="shared" ca="1" si="0"/>
        <v>1</v>
      </c>
      <c r="M22" s="468" t="str">
        <f t="shared" ca="1" si="1"/>
        <v>式</v>
      </c>
      <c r="N22" s="2639"/>
      <c r="O22" s="2640"/>
      <c r="P22" s="2640"/>
      <c r="Q22" s="2640"/>
      <c r="R22" s="2641"/>
      <c r="S22" s="2652">
        <f t="shared" ca="1" si="2"/>
        <v>11674000</v>
      </c>
      <c r="T22" s="2643"/>
      <c r="U22" s="2643"/>
      <c r="V22" s="2643"/>
      <c r="W22" s="2644"/>
      <c r="X22" s="2645"/>
      <c r="Y22" s="2645"/>
      <c r="Z22" s="2645"/>
      <c r="AA22" s="2646"/>
      <c r="AB22" s="199">
        <f t="shared" si="15"/>
        <v>10</v>
      </c>
      <c r="AC22" s="513">
        <f>VLOOKUP(BG22,原価!内訳,13,FALSE)</f>
        <v>5587100</v>
      </c>
      <c r="AD22" s="484">
        <f t="shared" si="14"/>
        <v>7.0000000000000009</v>
      </c>
      <c r="AE22" s="162" t="s">
        <v>52</v>
      </c>
      <c r="AF22" s="163"/>
      <c r="AG22" s="483">
        <f>IF(BG22="","",IF(AI22="",$AD$44,AI22))</f>
        <v>6000</v>
      </c>
      <c r="AH22" s="162" t="s">
        <v>52</v>
      </c>
      <c r="AI22" s="164"/>
      <c r="AJ22" s="479">
        <f t="shared" si="3"/>
        <v>3</v>
      </c>
      <c r="AK22" s="165" t="s">
        <v>52</v>
      </c>
      <c r="AL22" s="264"/>
      <c r="AM22" s="480">
        <f t="shared" si="6"/>
        <v>1.5</v>
      </c>
      <c r="AN22" s="165" t="s">
        <v>52</v>
      </c>
      <c r="AO22" s="264"/>
      <c r="AP22" s="480">
        <f t="shared" si="19"/>
        <v>5</v>
      </c>
      <c r="AQ22" s="165" t="s">
        <v>52</v>
      </c>
      <c r="AR22" s="264"/>
      <c r="AS22" s="480">
        <f t="shared" si="4"/>
        <v>10</v>
      </c>
      <c r="AT22" s="165" t="s">
        <v>52</v>
      </c>
      <c r="AU22" s="264"/>
      <c r="AV22" s="481">
        <f t="shared" si="7"/>
        <v>44550</v>
      </c>
      <c r="AW22" s="481">
        <f t="shared" si="8"/>
        <v>66735</v>
      </c>
      <c r="AX22" s="481">
        <f t="shared" si="9"/>
        <v>304050</v>
      </c>
      <c r="AY22" s="481">
        <f t="shared" si="10"/>
        <v>608100</v>
      </c>
      <c r="AZ22" s="175"/>
      <c r="BA22" s="267">
        <v>17</v>
      </c>
      <c r="BB22" s="166" t="str">
        <f>IF(Top!G102&lt;&gt;"",Top!L102,"")</f>
        <v xml:space="preserve"> 雷保護設備工事</v>
      </c>
      <c r="BC22" s="166"/>
      <c r="BD22" s="166"/>
      <c r="BE22" s="166"/>
      <c r="BF22" s="267">
        <f t="shared" si="21"/>
        <v>10</v>
      </c>
      <c r="BG22" s="267">
        <f t="shared" si="20"/>
        <v>10</v>
      </c>
      <c r="BH22" s="166" t="str">
        <f>IF(COUNTIF($BB$4:BB21,BB22)&gt;0,"",BB22)</f>
        <v xml:space="preserve"> 雷保護設備工事</v>
      </c>
      <c r="BI22" s="166"/>
      <c r="BJ22" s="268"/>
      <c r="BK22" s="268"/>
      <c r="BL22" s="268"/>
      <c r="BM22" s="460" t="s">
        <v>489</v>
      </c>
      <c r="BN22" s="269" t="s">
        <v>500</v>
      </c>
      <c r="BO22" s="270" t="s">
        <v>491</v>
      </c>
      <c r="BP22" s="459">
        <f>IF(BG22="","",1000*INT(原価!BM22*(100+AD22)/100000))</f>
        <v>1485000</v>
      </c>
      <c r="BQ22" s="459">
        <f>原価!BN22</f>
        <v>2964000</v>
      </c>
      <c r="BR22" s="459">
        <f>IF(AG22="",0,原価!BO22*AG22/原価!$AD$44)</f>
        <v>1235099.9999999998</v>
      </c>
      <c r="BS22" s="459">
        <f t="shared" si="18"/>
        <v>6081000</v>
      </c>
      <c r="BT22" s="312">
        <f t="shared" si="12"/>
        <v>7.0000000000000009</v>
      </c>
      <c r="BU22" s="312">
        <f t="shared" si="17"/>
        <v>6000</v>
      </c>
      <c r="BV22" s="271"/>
    </row>
    <row r="23" spans="1:74" ht="18.75" customHeight="1" thickBot="1">
      <c r="A23" s="240">
        <f t="shared" ca="1" si="13"/>
        <v>18</v>
      </c>
      <c r="B23" s="2587"/>
      <c r="C23" s="272">
        <v>19</v>
      </c>
      <c r="D23" s="464" t="str">
        <f ca="1">IF(E23="","",原価!D23)</f>
        <v/>
      </c>
      <c r="E23" s="2636" t="str">
        <f ca="1">原価!E23</f>
        <v xml:space="preserve"> 諸　経　費</v>
      </c>
      <c r="F23" s="2637"/>
      <c r="G23" s="2637"/>
      <c r="H23" s="2637"/>
      <c r="I23" s="2637"/>
      <c r="J23" s="2637"/>
      <c r="K23" s="2638"/>
      <c r="L23" s="468">
        <f t="shared" ca="1" si="0"/>
        <v>1</v>
      </c>
      <c r="M23" s="468" t="str">
        <f t="shared" ca="1" si="1"/>
        <v>式</v>
      </c>
      <c r="N23" s="2639"/>
      <c r="O23" s="2640"/>
      <c r="P23" s="2640"/>
      <c r="Q23" s="2640"/>
      <c r="R23" s="2641"/>
      <c r="S23" s="2652">
        <f t="shared" ca="1" si="2"/>
        <v>40604000</v>
      </c>
      <c r="T23" s="2643"/>
      <c r="U23" s="2643"/>
      <c r="V23" s="2643"/>
      <c r="W23" s="2644"/>
      <c r="X23" s="2645"/>
      <c r="Y23" s="2645"/>
      <c r="Z23" s="2645"/>
      <c r="AA23" s="2646"/>
      <c r="AB23" s="199">
        <f>BG23</f>
        <v>11</v>
      </c>
      <c r="AC23" s="513">
        <f>VLOOKUP(BG23,原価!内訳,13,FALSE)</f>
        <v>84089000</v>
      </c>
      <c r="AD23" s="484">
        <f t="shared" si="14"/>
        <v>7.0000000000000009</v>
      </c>
      <c r="AE23" s="162" t="s">
        <v>52</v>
      </c>
      <c r="AF23" s="163"/>
      <c r="AG23" s="483">
        <f>IF(BG23="","",IF(AI23="",$AD$44,AI23))</f>
        <v>6000</v>
      </c>
      <c r="AH23" s="162" t="s">
        <v>52</v>
      </c>
      <c r="AI23" s="164"/>
      <c r="AJ23" s="479">
        <f t="shared" si="3"/>
        <v>3</v>
      </c>
      <c r="AK23" s="165" t="s">
        <v>52</v>
      </c>
      <c r="AL23" s="264"/>
      <c r="AM23" s="480">
        <f t="shared" si="6"/>
        <v>1.5</v>
      </c>
      <c r="AN23" s="165" t="s">
        <v>52</v>
      </c>
      <c r="AO23" s="264"/>
      <c r="AP23" s="480">
        <f t="shared" si="19"/>
        <v>5</v>
      </c>
      <c r="AQ23" s="165" t="s">
        <v>52</v>
      </c>
      <c r="AR23" s="264"/>
      <c r="AS23" s="480">
        <f t="shared" si="4"/>
        <v>10</v>
      </c>
      <c r="AT23" s="165" t="s">
        <v>52</v>
      </c>
      <c r="AU23" s="264"/>
      <c r="AV23" s="481">
        <f t="shared" si="7"/>
        <v>639990</v>
      </c>
      <c r="AW23" s="481">
        <f t="shared" si="8"/>
        <v>954660</v>
      </c>
      <c r="AX23" s="481">
        <f t="shared" si="9"/>
        <v>4573350</v>
      </c>
      <c r="AY23" s="481">
        <f t="shared" si="10"/>
        <v>9146700</v>
      </c>
      <c r="AZ23" s="175"/>
      <c r="BA23" s="267">
        <v>18</v>
      </c>
      <c r="BB23" s="166" t="str">
        <f>IF(Top!AV86&lt;&gt;"",Top!BA86,"")</f>
        <v xml:space="preserve"> 構内電話設備工事</v>
      </c>
      <c r="BC23" s="166"/>
      <c r="BD23" s="166"/>
      <c r="BE23" s="166"/>
      <c r="BF23" s="267">
        <f t="shared" si="21"/>
        <v>11</v>
      </c>
      <c r="BG23" s="267">
        <f t="shared" si="20"/>
        <v>11</v>
      </c>
      <c r="BH23" s="166" t="str">
        <f>IF(COUNTIF($BB$4:BB22,BB23)&gt;0,"",BB23)</f>
        <v xml:space="preserve"> 構内電話設備工事</v>
      </c>
      <c r="BI23" s="166"/>
      <c r="BJ23" s="268"/>
      <c r="BK23" s="268"/>
      <c r="BL23" s="268"/>
      <c r="BM23" s="460" t="s">
        <v>489</v>
      </c>
      <c r="BN23" s="269" t="s">
        <v>500</v>
      </c>
      <c r="BO23" s="270" t="s">
        <v>491</v>
      </c>
      <c r="BP23" s="459">
        <f>IF(BG23="","",1000*INT(原価!BM23*(100+AD23)/100000))</f>
        <v>21333000</v>
      </c>
      <c r="BQ23" s="459">
        <f>原価!BN23</f>
        <v>42311000</v>
      </c>
      <c r="BR23" s="459">
        <f>IF(AG23="",0,原価!BO23*AG23/原価!$AD$44)</f>
        <v>21840000</v>
      </c>
      <c r="BS23" s="459">
        <f t="shared" si="18"/>
        <v>91467000</v>
      </c>
      <c r="BT23" s="312">
        <f t="shared" si="12"/>
        <v>7.0000000000000009</v>
      </c>
      <c r="BU23" s="312">
        <f t="shared" si="17"/>
        <v>6000</v>
      </c>
      <c r="BV23" s="271"/>
    </row>
    <row r="24" spans="1:74" ht="18.75" customHeight="1" thickBot="1">
      <c r="A24" s="240">
        <f t="shared" ca="1" si="13"/>
        <v>19</v>
      </c>
      <c r="B24" s="2587"/>
      <c r="C24" s="272">
        <v>20</v>
      </c>
      <c r="D24" s="464" t="str">
        <f ca="1">IF(E24="","",原価!D24)</f>
        <v/>
      </c>
      <c r="E24" s="2636" t="str">
        <f ca="1">原価!E24</f>
        <v>　　　 　　　　　　(合計)</v>
      </c>
      <c r="F24" s="2637"/>
      <c r="G24" s="2637"/>
      <c r="H24" s="2637"/>
      <c r="I24" s="2637"/>
      <c r="J24" s="2637"/>
      <c r="K24" s="2638"/>
      <c r="L24" s="468">
        <f t="shared" ca="1" si="0"/>
        <v>1</v>
      </c>
      <c r="M24" s="468" t="str">
        <f t="shared" ca="1" si="1"/>
        <v>式</v>
      </c>
      <c r="N24" s="2639"/>
      <c r="O24" s="2640"/>
      <c r="P24" s="2640"/>
      <c r="Q24" s="2640"/>
      <c r="R24" s="2641"/>
      <c r="S24" s="2652">
        <f t="shared" ca="1" si="2"/>
        <v>465873000</v>
      </c>
      <c r="T24" s="2643"/>
      <c r="U24" s="2643"/>
      <c r="V24" s="2643"/>
      <c r="W24" s="2644"/>
      <c r="X24" s="2645"/>
      <c r="Y24" s="2645"/>
      <c r="Z24" s="2645"/>
      <c r="AA24" s="2646"/>
      <c r="AB24" s="199">
        <f t="shared" ref="AB24:AB38" si="22">BG24</f>
        <v>12</v>
      </c>
      <c r="AC24" s="513">
        <f>VLOOKUP(BG24,原価!内訳,13,FALSE)</f>
        <v>13180000</v>
      </c>
      <c r="AD24" s="484">
        <f t="shared" si="14"/>
        <v>7.0000000000000009</v>
      </c>
      <c r="AE24" s="162" t="s">
        <v>52</v>
      </c>
      <c r="AF24" s="163"/>
      <c r="AG24" s="483">
        <f>IF(BG24="","",IF(AI24="",$AD$44,AI24))</f>
        <v>6000</v>
      </c>
      <c r="AH24" s="162" t="s">
        <v>52</v>
      </c>
      <c r="AI24" s="164"/>
      <c r="AJ24" s="479">
        <f t="shared" si="3"/>
        <v>3</v>
      </c>
      <c r="AK24" s="165" t="s">
        <v>52</v>
      </c>
      <c r="AL24" s="264"/>
      <c r="AM24" s="480">
        <f t="shared" si="6"/>
        <v>1.5</v>
      </c>
      <c r="AN24" s="165" t="s">
        <v>52</v>
      </c>
      <c r="AO24" s="264"/>
      <c r="AP24" s="480">
        <f t="shared" si="19"/>
        <v>5</v>
      </c>
      <c r="AQ24" s="165" t="s">
        <v>52</v>
      </c>
      <c r="AR24" s="264"/>
      <c r="AS24" s="480">
        <f t="shared" si="4"/>
        <v>10</v>
      </c>
      <c r="AT24" s="165" t="s">
        <v>52</v>
      </c>
      <c r="AU24" s="264"/>
      <c r="AV24" s="481">
        <f t="shared" si="7"/>
        <v>96660</v>
      </c>
      <c r="AW24" s="481">
        <f t="shared" si="8"/>
        <v>131640</v>
      </c>
      <c r="AX24" s="481">
        <f t="shared" si="9"/>
        <v>716350</v>
      </c>
      <c r="AY24" s="481">
        <f t="shared" si="10"/>
        <v>1432700</v>
      </c>
      <c r="AZ24" s="175"/>
      <c r="BA24" s="267">
        <v>19</v>
      </c>
      <c r="BB24" s="166" t="str">
        <f>IF(Top!AV87&lt;&gt;"",Top!BA87,"")</f>
        <v xml:space="preserve"> 構内放送設備工事</v>
      </c>
      <c r="BC24" s="166"/>
      <c r="BD24" s="166"/>
      <c r="BE24" s="166"/>
      <c r="BF24" s="267">
        <f t="shared" si="21"/>
        <v>12</v>
      </c>
      <c r="BG24" s="267">
        <f t="shared" si="20"/>
        <v>12</v>
      </c>
      <c r="BH24" s="166" t="str">
        <f>IF(COUNTIF($BB$4:BB23,BB24)&gt;0,"",BB24)</f>
        <v xml:space="preserve"> 構内放送設備工事</v>
      </c>
      <c r="BI24" s="166"/>
      <c r="BJ24" s="268"/>
      <c r="BK24" s="268"/>
      <c r="BL24" s="268"/>
      <c r="BM24" s="460" t="s">
        <v>489</v>
      </c>
      <c r="BN24" s="269" t="s">
        <v>500</v>
      </c>
      <c r="BO24" s="270" t="s">
        <v>491</v>
      </c>
      <c r="BP24" s="459">
        <f>IF(BG24="","",1000*INT(原価!BM24*(100+AD24)/100000))</f>
        <v>3222000</v>
      </c>
      <c r="BQ24" s="459">
        <f>原価!BN24</f>
        <v>5554000</v>
      </c>
      <c r="BR24" s="459">
        <f>IF(AG24="",0,原価!BO24*AG24/原価!$AD$44)</f>
        <v>4614000</v>
      </c>
      <c r="BS24" s="459">
        <f t="shared" si="18"/>
        <v>14327000</v>
      </c>
      <c r="BT24" s="312">
        <f t="shared" si="12"/>
        <v>7.0000000000000009</v>
      </c>
      <c r="BU24" s="312">
        <f t="shared" si="17"/>
        <v>6000</v>
      </c>
      <c r="BV24" s="271"/>
    </row>
    <row r="25" spans="1:74" ht="18.75" customHeight="1" thickBot="1">
      <c r="A25" s="240" t="str">
        <f t="shared" ca="1" si="13"/>
        <v/>
      </c>
      <c r="B25" s="2587"/>
      <c r="C25" s="272">
        <v>21</v>
      </c>
      <c r="D25" s="464" t="str">
        <f ca="1">IF(E25="","",原価!D25)</f>
        <v/>
      </c>
      <c r="E25" s="2636" t="str">
        <f ca="1">原価!E25</f>
        <v/>
      </c>
      <c r="F25" s="2637"/>
      <c r="G25" s="2637"/>
      <c r="H25" s="2637"/>
      <c r="I25" s="2637"/>
      <c r="J25" s="2637"/>
      <c r="K25" s="2638"/>
      <c r="L25" s="468" t="str">
        <f t="shared" ca="1" si="0"/>
        <v/>
      </c>
      <c r="M25" s="468" t="str">
        <f t="shared" ca="1" si="1"/>
        <v/>
      </c>
      <c r="N25" s="2639"/>
      <c r="O25" s="2640"/>
      <c r="P25" s="2640"/>
      <c r="Q25" s="2640"/>
      <c r="R25" s="2641"/>
      <c r="S25" s="2652" t="str">
        <f t="shared" ca="1" si="2"/>
        <v/>
      </c>
      <c r="T25" s="2643"/>
      <c r="U25" s="2643"/>
      <c r="V25" s="2643"/>
      <c r="W25" s="2644"/>
      <c r="X25" s="2645"/>
      <c r="Y25" s="2645"/>
      <c r="Z25" s="2645"/>
      <c r="AA25" s="2646"/>
      <c r="AB25" s="199" t="str">
        <f t="shared" si="22"/>
        <v/>
      </c>
      <c r="AC25" s="513">
        <f>VLOOKUP(BG25,原価!内訳,13,FALSE)</f>
        <v>0</v>
      </c>
      <c r="AD25" s="484" t="str">
        <f t="shared" si="14"/>
        <v/>
      </c>
      <c r="AE25" s="162" t="s">
        <v>52</v>
      </c>
      <c r="AF25" s="163"/>
      <c r="AG25" s="483" t="str">
        <f t="shared" si="16"/>
        <v/>
      </c>
      <c r="AH25" s="162" t="s">
        <v>52</v>
      </c>
      <c r="AI25" s="164"/>
      <c r="AJ25" s="479" t="str">
        <f t="shared" si="3"/>
        <v/>
      </c>
      <c r="AK25" s="165" t="s">
        <v>52</v>
      </c>
      <c r="AL25" s="264"/>
      <c r="AM25" s="480" t="str">
        <f t="shared" si="6"/>
        <v/>
      </c>
      <c r="AN25" s="165" t="s">
        <v>52</v>
      </c>
      <c r="AO25" s="264"/>
      <c r="AP25" s="480" t="str">
        <f t="shared" si="19"/>
        <v/>
      </c>
      <c r="AQ25" s="165" t="s">
        <v>52</v>
      </c>
      <c r="AR25" s="264"/>
      <c r="AS25" s="480" t="str">
        <f t="shared" si="4"/>
        <v/>
      </c>
      <c r="AT25" s="165" t="s">
        <v>52</v>
      </c>
      <c r="AU25" s="264"/>
      <c r="AV25" s="481" t="str">
        <f t="shared" si="7"/>
        <v/>
      </c>
      <c r="AW25" s="481" t="str">
        <f t="shared" si="8"/>
        <v/>
      </c>
      <c r="AX25" s="481" t="str">
        <f t="shared" si="9"/>
        <v/>
      </c>
      <c r="AY25" s="481" t="str">
        <f t="shared" si="10"/>
        <v/>
      </c>
      <c r="AZ25" s="175"/>
      <c r="BA25" s="267">
        <v>20</v>
      </c>
      <c r="BB25" s="166" t="str">
        <f>IF(Top!AV88&lt;&gt;"",Top!BA88,"")</f>
        <v/>
      </c>
      <c r="BC25" s="166"/>
      <c r="BD25" s="166"/>
      <c r="BE25" s="166"/>
      <c r="BF25" s="267">
        <f t="shared" si="21"/>
        <v>12</v>
      </c>
      <c r="BG25" s="267" t="str">
        <f t="shared" si="20"/>
        <v/>
      </c>
      <c r="BH25" s="166" t="str">
        <f>IF(COUNTIF($BB$4:BB24,BB25)&gt;0,"",BB25)</f>
        <v/>
      </c>
      <c r="BI25" s="166"/>
      <c r="BJ25" s="268"/>
      <c r="BK25" s="268"/>
      <c r="BL25" s="268"/>
      <c r="BM25" s="460" t="s">
        <v>489</v>
      </c>
      <c r="BN25" s="269" t="s">
        <v>500</v>
      </c>
      <c r="BO25" s="270" t="s">
        <v>491</v>
      </c>
      <c r="BP25" s="459" t="str">
        <f>IF(BG25="","",1000*INT(原価!BM25*(100+AD25)/100000))</f>
        <v/>
      </c>
      <c r="BQ25" s="459">
        <f>原価!BN25</f>
        <v>0</v>
      </c>
      <c r="BR25" s="459">
        <f>IF(AG25="",0,原価!BO25*AG25/原価!$AD$44)</f>
        <v>0</v>
      </c>
      <c r="BS25" s="459" t="str">
        <f t="shared" si="18"/>
        <v/>
      </c>
      <c r="BT25" s="312" t="str">
        <f t="shared" si="12"/>
        <v/>
      </c>
      <c r="BU25" s="312" t="str">
        <f t="shared" si="17"/>
        <v/>
      </c>
      <c r="BV25" s="271"/>
    </row>
    <row r="26" spans="1:74" ht="18.75" customHeight="1" thickBot="1">
      <c r="A26" s="240" t="str">
        <f t="shared" ca="1" si="13"/>
        <v/>
      </c>
      <c r="B26" s="2587"/>
      <c r="C26" s="272">
        <v>22</v>
      </c>
      <c r="D26" s="464" t="str">
        <f ca="1">IF(E26="","",原価!D26)</f>
        <v/>
      </c>
      <c r="E26" s="2636" t="str">
        <f ca="1">原価!E26</f>
        <v/>
      </c>
      <c r="F26" s="2637"/>
      <c r="G26" s="2637"/>
      <c r="H26" s="2637"/>
      <c r="I26" s="2637"/>
      <c r="J26" s="2637"/>
      <c r="K26" s="2638"/>
      <c r="L26" s="468" t="str">
        <f t="shared" ca="1" si="0"/>
        <v/>
      </c>
      <c r="M26" s="468" t="str">
        <f t="shared" ca="1" si="1"/>
        <v/>
      </c>
      <c r="N26" s="2639"/>
      <c r="O26" s="2640"/>
      <c r="P26" s="2640"/>
      <c r="Q26" s="2640"/>
      <c r="R26" s="2641"/>
      <c r="S26" s="2652" t="str">
        <f t="shared" ca="1" si="2"/>
        <v/>
      </c>
      <c r="T26" s="2643"/>
      <c r="U26" s="2643"/>
      <c r="V26" s="2643"/>
      <c r="W26" s="2644"/>
      <c r="X26" s="2645"/>
      <c r="Y26" s="2645"/>
      <c r="Z26" s="2645"/>
      <c r="AA26" s="2646"/>
      <c r="AB26" s="199" t="str">
        <f t="shared" si="22"/>
        <v/>
      </c>
      <c r="AC26" s="513">
        <f>VLOOKUP(BG26,原価!内訳,13,FALSE)</f>
        <v>0</v>
      </c>
      <c r="AD26" s="484" t="str">
        <f>IF(BG26="","",IF(AF26="",$AD$43*100,AF26))</f>
        <v/>
      </c>
      <c r="AE26" s="162" t="s">
        <v>52</v>
      </c>
      <c r="AF26" s="163"/>
      <c r="AG26" s="483" t="str">
        <f t="shared" si="16"/>
        <v/>
      </c>
      <c r="AH26" s="162" t="s">
        <v>52</v>
      </c>
      <c r="AI26" s="164"/>
      <c r="AJ26" s="479" t="str">
        <f t="shared" si="3"/>
        <v/>
      </c>
      <c r="AK26" s="165" t="s">
        <v>52</v>
      </c>
      <c r="AL26" s="264"/>
      <c r="AM26" s="480" t="str">
        <f t="shared" si="6"/>
        <v/>
      </c>
      <c r="AN26" s="165" t="s">
        <v>52</v>
      </c>
      <c r="AO26" s="264"/>
      <c r="AP26" s="480" t="str">
        <f t="shared" si="19"/>
        <v/>
      </c>
      <c r="AQ26" s="165" t="s">
        <v>52</v>
      </c>
      <c r="AR26" s="264"/>
      <c r="AS26" s="480" t="str">
        <f t="shared" si="4"/>
        <v/>
      </c>
      <c r="AT26" s="165" t="s">
        <v>52</v>
      </c>
      <c r="AU26" s="264"/>
      <c r="AV26" s="481" t="str">
        <f t="shared" si="7"/>
        <v/>
      </c>
      <c r="AW26" s="481" t="str">
        <f t="shared" si="8"/>
        <v/>
      </c>
      <c r="AX26" s="481" t="str">
        <f t="shared" si="9"/>
        <v/>
      </c>
      <c r="AY26" s="481" t="str">
        <f t="shared" si="10"/>
        <v/>
      </c>
      <c r="AZ26" s="175"/>
      <c r="BA26" s="267">
        <v>21</v>
      </c>
      <c r="BB26" s="166" t="str">
        <f>IF(Top!AV89&lt;&gt;"",Top!BA89,"")</f>
        <v/>
      </c>
      <c r="BC26" s="166"/>
      <c r="BD26" s="166"/>
      <c r="BE26" s="166"/>
      <c r="BF26" s="267">
        <f t="shared" si="21"/>
        <v>12</v>
      </c>
      <c r="BG26" s="267" t="str">
        <f t="shared" si="20"/>
        <v/>
      </c>
      <c r="BH26" s="166" t="str">
        <f>IF(COUNTIF($BB$4:BB25,BB26)&gt;0,"",BB26)</f>
        <v/>
      </c>
      <c r="BI26" s="166"/>
      <c r="BJ26" s="268"/>
      <c r="BK26" s="268"/>
      <c r="BL26" s="268"/>
      <c r="BM26" s="460" t="s">
        <v>489</v>
      </c>
      <c r="BN26" s="269" t="s">
        <v>500</v>
      </c>
      <c r="BO26" s="270" t="s">
        <v>491</v>
      </c>
      <c r="BP26" s="459" t="str">
        <f>IF(BG26="","",1000*INT(原価!BM26*(100+AD26)/100000))</f>
        <v/>
      </c>
      <c r="BQ26" s="459">
        <f>原価!BN26</f>
        <v>0</v>
      </c>
      <c r="BR26" s="459">
        <f>IF(AG26="",0,原価!BO26*AG26/原価!$AD$44)</f>
        <v>0</v>
      </c>
      <c r="BS26" s="459" t="str">
        <f t="shared" si="18"/>
        <v/>
      </c>
      <c r="BT26" s="312" t="str">
        <f>AD26</f>
        <v/>
      </c>
      <c r="BU26" s="312" t="str">
        <f t="shared" si="17"/>
        <v/>
      </c>
      <c r="BV26" s="271"/>
    </row>
    <row r="27" spans="1:74" ht="18.75" customHeight="1" thickBot="1">
      <c r="A27" s="240" t="str">
        <f t="shared" ca="1" si="13"/>
        <v/>
      </c>
      <c r="B27" s="2587"/>
      <c r="C27" s="272">
        <v>23</v>
      </c>
      <c r="D27" s="464" t="str">
        <f ca="1">IF(E27="","",原価!D27)</f>
        <v/>
      </c>
      <c r="E27" s="2636" t="str">
        <f ca="1">原価!E27</f>
        <v/>
      </c>
      <c r="F27" s="2637"/>
      <c r="G27" s="2637"/>
      <c r="H27" s="2637"/>
      <c r="I27" s="2637"/>
      <c r="J27" s="2637"/>
      <c r="K27" s="2638"/>
      <c r="L27" s="468" t="str">
        <f t="shared" ca="1" si="0"/>
        <v/>
      </c>
      <c r="M27" s="468" t="str">
        <f t="shared" ca="1" si="1"/>
        <v/>
      </c>
      <c r="N27" s="2639"/>
      <c r="O27" s="2640"/>
      <c r="P27" s="2640"/>
      <c r="Q27" s="2640"/>
      <c r="R27" s="2641"/>
      <c r="S27" s="2652" t="str">
        <f t="shared" ca="1" si="2"/>
        <v/>
      </c>
      <c r="T27" s="2643"/>
      <c r="U27" s="2643"/>
      <c r="V27" s="2643"/>
      <c r="W27" s="2644"/>
      <c r="X27" s="2645"/>
      <c r="Y27" s="2645"/>
      <c r="Z27" s="2645"/>
      <c r="AA27" s="2646"/>
      <c r="AB27" s="199">
        <f t="shared" si="22"/>
        <v>13</v>
      </c>
      <c r="AC27" s="513">
        <f>VLOOKUP(BG27,原価!内訳,13,FALSE)</f>
        <v>6121000</v>
      </c>
      <c r="AD27" s="484">
        <f>IF(BG27="","",IF(AF27="",$AD$43*100,AF27))</f>
        <v>7.0000000000000009</v>
      </c>
      <c r="AE27" s="162" t="s">
        <v>52</v>
      </c>
      <c r="AF27" s="163"/>
      <c r="AG27" s="483">
        <f>IF(BG27="","",IF(AI27="",$AD$44,AI27))</f>
        <v>6000</v>
      </c>
      <c r="AH27" s="162" t="s">
        <v>52</v>
      </c>
      <c r="AI27" s="164"/>
      <c r="AJ27" s="479">
        <f t="shared" si="3"/>
        <v>3</v>
      </c>
      <c r="AK27" s="165" t="s">
        <v>52</v>
      </c>
      <c r="AL27" s="264"/>
      <c r="AM27" s="480">
        <f t="shared" si="6"/>
        <v>1.5</v>
      </c>
      <c r="AN27" s="165" t="s">
        <v>52</v>
      </c>
      <c r="AO27" s="264"/>
      <c r="AP27" s="480">
        <f t="shared" si="19"/>
        <v>5</v>
      </c>
      <c r="AQ27" s="165" t="s">
        <v>52</v>
      </c>
      <c r="AR27" s="264"/>
      <c r="AS27" s="480">
        <f t="shared" si="4"/>
        <v>10</v>
      </c>
      <c r="AT27" s="165" t="s">
        <v>52</v>
      </c>
      <c r="AU27" s="264"/>
      <c r="AV27" s="481">
        <f>IF(BG27="","",INT(BP27*AJ27/100))</f>
        <v>18360</v>
      </c>
      <c r="AW27" s="481">
        <f>IF(BG27="","",INT((BP27+BQ27)*AM27/100))</f>
        <v>42015</v>
      </c>
      <c r="AX27" s="481">
        <f>IF(BG27="","",INT(BS27*AP27/100))</f>
        <v>329600</v>
      </c>
      <c r="AY27" s="481">
        <f>IF(BG27="","",INT(BS27*AS27/100))</f>
        <v>659200</v>
      </c>
      <c r="AZ27" s="175"/>
      <c r="BA27" s="267">
        <v>22</v>
      </c>
      <c r="BB27" s="166" t="str">
        <f>IF(Top!AV90&lt;&gt;"",Top!BA90,"")</f>
        <v xml:space="preserve"> テレビ共聴設備工事</v>
      </c>
      <c r="BC27" s="166"/>
      <c r="BD27" s="166"/>
      <c r="BE27" s="166"/>
      <c r="BF27" s="267">
        <f>IF(AND(BB27&lt;&gt;"",BB27&lt;&gt;" 　"),BF26+1,BF26)</f>
        <v>13</v>
      </c>
      <c r="BG27" s="267">
        <f>IF(AND(BB27&lt;&gt;"",BB27&lt;&gt;" 　"),BF27,"")</f>
        <v>13</v>
      </c>
      <c r="BH27" s="166" t="str">
        <f>IF(COUNTIF($BB$4:BB26,BB27)&gt;0,"",BB27)</f>
        <v xml:space="preserve"> テレビ共聴設備工事</v>
      </c>
      <c r="BI27" s="166"/>
      <c r="BJ27" s="268"/>
      <c r="BK27" s="268"/>
      <c r="BL27" s="268"/>
      <c r="BM27" s="460" t="s">
        <v>489</v>
      </c>
      <c r="BN27" s="269" t="s">
        <v>500</v>
      </c>
      <c r="BO27" s="270" t="s">
        <v>491</v>
      </c>
      <c r="BP27" s="459">
        <f>IF(BG27="","",1000*INT(原価!BM27*(100+AD27)/100000))</f>
        <v>612000</v>
      </c>
      <c r="BQ27" s="459">
        <f>原価!BN27</f>
        <v>2189000</v>
      </c>
      <c r="BR27" s="459">
        <f>IF(AG27="",0,原価!BO27*AG27/原価!$AD$44)</f>
        <v>3360000</v>
      </c>
      <c r="BS27" s="459">
        <f t="shared" si="18"/>
        <v>6592000</v>
      </c>
      <c r="BT27" s="312">
        <f t="shared" si="12"/>
        <v>7.0000000000000009</v>
      </c>
      <c r="BU27" s="312">
        <f t="shared" si="17"/>
        <v>6000</v>
      </c>
      <c r="BV27" s="271"/>
    </row>
    <row r="28" spans="1:74" ht="18.75" customHeight="1" thickBot="1">
      <c r="A28" s="240" t="str">
        <f t="shared" ca="1" si="13"/>
        <v/>
      </c>
      <c r="B28" s="2587"/>
      <c r="C28" s="272">
        <v>24</v>
      </c>
      <c r="D28" s="464" t="str">
        <f ca="1">IF(E28="","",原価!D28)</f>
        <v/>
      </c>
      <c r="E28" s="2636" t="str">
        <f ca="1">原価!E28</f>
        <v/>
      </c>
      <c r="F28" s="2637"/>
      <c r="G28" s="2637"/>
      <c r="H28" s="2637"/>
      <c r="I28" s="2637"/>
      <c r="J28" s="2637"/>
      <c r="K28" s="2638"/>
      <c r="L28" s="468" t="str">
        <f t="shared" ca="1" si="0"/>
        <v/>
      </c>
      <c r="M28" s="468" t="str">
        <f t="shared" ca="1" si="1"/>
        <v/>
      </c>
      <c r="N28" s="2639"/>
      <c r="O28" s="2640"/>
      <c r="P28" s="2640"/>
      <c r="Q28" s="2640"/>
      <c r="R28" s="2641"/>
      <c r="S28" s="2652" t="str">
        <f t="shared" ca="1" si="2"/>
        <v/>
      </c>
      <c r="T28" s="2643"/>
      <c r="U28" s="2643"/>
      <c r="V28" s="2643"/>
      <c r="W28" s="2644"/>
      <c r="X28" s="2645"/>
      <c r="Y28" s="2645"/>
      <c r="Z28" s="2645"/>
      <c r="AA28" s="2646"/>
      <c r="AB28" s="199" t="str">
        <f t="shared" si="22"/>
        <v/>
      </c>
      <c r="AC28" s="513">
        <f>VLOOKUP(BG28,原価!内訳,13,FALSE)</f>
        <v>0</v>
      </c>
      <c r="AD28" s="484" t="str">
        <f t="shared" si="14"/>
        <v/>
      </c>
      <c r="AE28" s="162" t="s">
        <v>52</v>
      </c>
      <c r="AF28" s="163"/>
      <c r="AG28" s="483" t="str">
        <f t="shared" ref="AG28:AG38" si="23">IF(BG28="","",IF(AI28="",$AD$44,AI28))</f>
        <v/>
      </c>
      <c r="AH28" s="162" t="s">
        <v>52</v>
      </c>
      <c r="AI28" s="164"/>
      <c r="AJ28" s="479" t="str">
        <f t="shared" si="3"/>
        <v/>
      </c>
      <c r="AK28" s="165" t="s">
        <v>52</v>
      </c>
      <c r="AL28" s="264"/>
      <c r="AM28" s="480" t="str">
        <f t="shared" si="6"/>
        <v/>
      </c>
      <c r="AN28" s="165" t="s">
        <v>52</v>
      </c>
      <c r="AO28" s="264"/>
      <c r="AP28" s="480" t="str">
        <f t="shared" si="19"/>
        <v/>
      </c>
      <c r="AQ28" s="165" t="s">
        <v>52</v>
      </c>
      <c r="AR28" s="264"/>
      <c r="AS28" s="480" t="str">
        <f t="shared" si="4"/>
        <v/>
      </c>
      <c r="AT28" s="165" t="s">
        <v>52</v>
      </c>
      <c r="AU28" s="264"/>
      <c r="AV28" s="481" t="str">
        <f t="shared" si="7"/>
        <v/>
      </c>
      <c r="AW28" s="481" t="str">
        <f t="shared" si="8"/>
        <v/>
      </c>
      <c r="AX28" s="481" t="str">
        <f t="shared" si="9"/>
        <v/>
      </c>
      <c r="AY28" s="481" t="str">
        <f t="shared" si="10"/>
        <v/>
      </c>
      <c r="AZ28" s="175"/>
      <c r="BA28" s="267">
        <v>23</v>
      </c>
      <c r="BB28" s="166" t="str">
        <f>IF(Top!AV91&lt;&gt;"",Top!BA91,"")</f>
        <v/>
      </c>
      <c r="BC28" s="166"/>
      <c r="BD28" s="166"/>
      <c r="BE28" s="166"/>
      <c r="BF28" s="267">
        <f t="shared" si="21"/>
        <v>13</v>
      </c>
      <c r="BG28" s="267" t="str">
        <f t="shared" si="20"/>
        <v/>
      </c>
      <c r="BH28" s="166" t="str">
        <f>IF(COUNTIF($BB$4:BB27,BB28)&gt;0,"",BB28)</f>
        <v/>
      </c>
      <c r="BI28" s="166"/>
      <c r="BJ28" s="268"/>
      <c r="BK28" s="268"/>
      <c r="BL28" s="268"/>
      <c r="BM28" s="460" t="s">
        <v>489</v>
      </c>
      <c r="BN28" s="269" t="s">
        <v>500</v>
      </c>
      <c r="BO28" s="270" t="s">
        <v>491</v>
      </c>
      <c r="BP28" s="459" t="str">
        <f>IF(BG28="","",1000*INT(原価!BM28*(100+AD28)/100000))</f>
        <v/>
      </c>
      <c r="BQ28" s="459">
        <f>原価!BN28</f>
        <v>0</v>
      </c>
      <c r="BR28" s="459">
        <f>IF(AG28="",0,原価!BO28*AG28/原価!$AD$44)</f>
        <v>0</v>
      </c>
      <c r="BS28" s="459" t="str">
        <f t="shared" si="18"/>
        <v/>
      </c>
      <c r="BT28" s="312" t="str">
        <f t="shared" si="12"/>
        <v/>
      </c>
      <c r="BU28" s="312" t="str">
        <f t="shared" si="17"/>
        <v/>
      </c>
      <c r="BV28" s="271"/>
    </row>
    <row r="29" spans="1:74" ht="18.75" customHeight="1" thickBot="1">
      <c r="A29" s="240" t="str">
        <f t="shared" ca="1" si="13"/>
        <v/>
      </c>
      <c r="B29" s="2587"/>
      <c r="C29" s="272">
        <v>25</v>
      </c>
      <c r="D29" s="464" t="str">
        <f ca="1">IF(E29="","",原価!D29)</f>
        <v/>
      </c>
      <c r="E29" s="2636" t="str">
        <f ca="1">原価!E29</f>
        <v/>
      </c>
      <c r="F29" s="2637"/>
      <c r="G29" s="2637"/>
      <c r="H29" s="2637"/>
      <c r="I29" s="2637"/>
      <c r="J29" s="2637"/>
      <c r="K29" s="2638"/>
      <c r="L29" s="468" t="str">
        <f t="shared" ca="1" si="0"/>
        <v/>
      </c>
      <c r="M29" s="468" t="str">
        <f t="shared" ca="1" si="1"/>
        <v/>
      </c>
      <c r="N29" s="2639"/>
      <c r="O29" s="2640"/>
      <c r="P29" s="2640"/>
      <c r="Q29" s="2640"/>
      <c r="R29" s="2641"/>
      <c r="S29" s="2652" t="str">
        <f t="shared" ca="1" si="2"/>
        <v/>
      </c>
      <c r="T29" s="2643"/>
      <c r="U29" s="2643"/>
      <c r="V29" s="2643"/>
      <c r="W29" s="2644"/>
      <c r="X29" s="2645"/>
      <c r="Y29" s="2645"/>
      <c r="Z29" s="2645"/>
      <c r="AA29" s="2646"/>
      <c r="AB29" s="199" t="str">
        <f t="shared" si="22"/>
        <v/>
      </c>
      <c r="AC29" s="513">
        <f>VLOOKUP(BG29,原価!内訳,13,FALSE)</f>
        <v>0</v>
      </c>
      <c r="AD29" s="484" t="str">
        <f t="shared" si="14"/>
        <v/>
      </c>
      <c r="AE29" s="162" t="s">
        <v>52</v>
      </c>
      <c r="AF29" s="163"/>
      <c r="AG29" s="483" t="str">
        <f t="shared" si="23"/>
        <v/>
      </c>
      <c r="AH29" s="162" t="s">
        <v>52</v>
      </c>
      <c r="AI29" s="164"/>
      <c r="AJ29" s="479" t="str">
        <f t="shared" si="3"/>
        <v/>
      </c>
      <c r="AK29" s="165" t="s">
        <v>52</v>
      </c>
      <c r="AL29" s="264"/>
      <c r="AM29" s="480" t="str">
        <f t="shared" si="6"/>
        <v/>
      </c>
      <c r="AN29" s="165" t="s">
        <v>52</v>
      </c>
      <c r="AO29" s="264"/>
      <c r="AP29" s="480" t="str">
        <f t="shared" si="19"/>
        <v/>
      </c>
      <c r="AQ29" s="165" t="s">
        <v>52</v>
      </c>
      <c r="AR29" s="264"/>
      <c r="AS29" s="480" t="str">
        <f t="shared" si="4"/>
        <v/>
      </c>
      <c r="AT29" s="165" t="s">
        <v>52</v>
      </c>
      <c r="AU29" s="264"/>
      <c r="AV29" s="481" t="str">
        <f t="shared" si="7"/>
        <v/>
      </c>
      <c r="AW29" s="481" t="str">
        <f t="shared" si="8"/>
        <v/>
      </c>
      <c r="AX29" s="481" t="str">
        <f t="shared" si="9"/>
        <v/>
      </c>
      <c r="AY29" s="481" t="str">
        <f t="shared" si="10"/>
        <v/>
      </c>
      <c r="AZ29" s="175"/>
      <c r="BA29" s="267">
        <v>24</v>
      </c>
      <c r="BB29" s="166" t="str">
        <f>IF(Top!AV92&lt;&gt;"",Top!BA92,"")</f>
        <v/>
      </c>
      <c r="BC29" s="166"/>
      <c r="BD29" s="166"/>
      <c r="BE29" s="166"/>
      <c r="BF29" s="267">
        <f t="shared" si="21"/>
        <v>13</v>
      </c>
      <c r="BG29" s="267" t="str">
        <f t="shared" si="20"/>
        <v/>
      </c>
      <c r="BH29" s="166" t="str">
        <f>IF(COUNTIF($BB$4:BB28,BB29)&gt;0,"",BB29)</f>
        <v/>
      </c>
      <c r="BI29" s="166"/>
      <c r="BJ29" s="268"/>
      <c r="BK29" s="268"/>
      <c r="BL29" s="268"/>
      <c r="BM29" s="460" t="s">
        <v>489</v>
      </c>
      <c r="BN29" s="269"/>
      <c r="BO29" s="270"/>
      <c r="BP29" s="459" t="str">
        <f>IF(BG29="","",1000*INT(原価!BM29*(100+AD29)/100000))</f>
        <v/>
      </c>
      <c r="BQ29" s="459">
        <f>原価!BN29</f>
        <v>0</v>
      </c>
      <c r="BR29" s="459">
        <f>IF(AG29="",0,原価!BO29*AG29/原価!$AD$44)</f>
        <v>0</v>
      </c>
      <c r="BS29" s="459" t="str">
        <f t="shared" si="18"/>
        <v/>
      </c>
      <c r="BT29" s="312" t="str">
        <f t="shared" si="12"/>
        <v/>
      </c>
      <c r="BU29" s="312" t="str">
        <f t="shared" si="17"/>
        <v/>
      </c>
      <c r="BV29" s="271"/>
    </row>
    <row r="30" spans="1:74" ht="18.75" customHeight="1" thickBot="1">
      <c r="A30" s="240" t="str">
        <f t="shared" ca="1" si="13"/>
        <v/>
      </c>
      <c r="B30" s="2587"/>
      <c r="C30" s="272">
        <v>26</v>
      </c>
      <c r="D30" s="464" t="str">
        <f ca="1">IF(E30="","",原価!D30)</f>
        <v/>
      </c>
      <c r="E30" s="2636" t="str">
        <f ca="1">原価!E30</f>
        <v/>
      </c>
      <c r="F30" s="2637"/>
      <c r="G30" s="2637"/>
      <c r="H30" s="2637"/>
      <c r="I30" s="2637"/>
      <c r="J30" s="2637"/>
      <c r="K30" s="2638"/>
      <c r="L30" s="468" t="str">
        <f t="shared" ca="1" si="0"/>
        <v/>
      </c>
      <c r="M30" s="468" t="str">
        <f t="shared" ca="1" si="1"/>
        <v/>
      </c>
      <c r="N30" s="2639"/>
      <c r="O30" s="2640"/>
      <c r="P30" s="2640"/>
      <c r="Q30" s="2640"/>
      <c r="R30" s="2641"/>
      <c r="S30" s="2652" t="str">
        <f t="shared" ca="1" si="2"/>
        <v/>
      </c>
      <c r="T30" s="2643"/>
      <c r="U30" s="2643"/>
      <c r="V30" s="2643"/>
      <c r="W30" s="2644"/>
      <c r="X30" s="2645"/>
      <c r="Y30" s="2645"/>
      <c r="Z30" s="2645"/>
      <c r="AA30" s="2646"/>
      <c r="AB30" s="199" t="str">
        <f t="shared" si="22"/>
        <v/>
      </c>
      <c r="AC30" s="513">
        <f>VLOOKUP(BG30,原価!内訳,13,FALSE)</f>
        <v>0</v>
      </c>
      <c r="AD30" s="484" t="str">
        <f t="shared" si="14"/>
        <v/>
      </c>
      <c r="AE30" s="162" t="s">
        <v>52</v>
      </c>
      <c r="AF30" s="163"/>
      <c r="AG30" s="483" t="str">
        <f t="shared" si="23"/>
        <v/>
      </c>
      <c r="AH30" s="162" t="s">
        <v>52</v>
      </c>
      <c r="AI30" s="164"/>
      <c r="AJ30" s="479" t="str">
        <f t="shared" si="3"/>
        <v/>
      </c>
      <c r="AK30" s="165" t="s">
        <v>52</v>
      </c>
      <c r="AL30" s="264"/>
      <c r="AM30" s="480" t="str">
        <f t="shared" si="6"/>
        <v/>
      </c>
      <c r="AN30" s="165" t="s">
        <v>52</v>
      </c>
      <c r="AO30" s="264"/>
      <c r="AP30" s="480" t="str">
        <f t="shared" si="19"/>
        <v/>
      </c>
      <c r="AQ30" s="165" t="s">
        <v>52</v>
      </c>
      <c r="AR30" s="264"/>
      <c r="AS30" s="480" t="str">
        <f t="shared" si="4"/>
        <v/>
      </c>
      <c r="AT30" s="165" t="s">
        <v>52</v>
      </c>
      <c r="AU30" s="264"/>
      <c r="AV30" s="481" t="str">
        <f t="shared" si="7"/>
        <v/>
      </c>
      <c r="AW30" s="481" t="str">
        <f t="shared" si="8"/>
        <v/>
      </c>
      <c r="AX30" s="481" t="str">
        <f t="shared" si="9"/>
        <v/>
      </c>
      <c r="AY30" s="481" t="str">
        <f t="shared" si="10"/>
        <v/>
      </c>
      <c r="AZ30" s="175"/>
      <c r="BA30" s="267">
        <v>25</v>
      </c>
      <c r="BB30" s="166" t="str">
        <f>IF(Top!AV93&lt;&gt;"",Top!BA93,"")</f>
        <v/>
      </c>
      <c r="BC30" s="166"/>
      <c r="BD30" s="166"/>
      <c r="BE30" s="166"/>
      <c r="BF30" s="267">
        <f t="shared" si="21"/>
        <v>13</v>
      </c>
      <c r="BG30" s="267" t="str">
        <f t="shared" si="20"/>
        <v/>
      </c>
      <c r="BH30" s="166" t="str">
        <f>IF(COUNTIF($BB$4:BB29,BB30)&gt;0,"",BB30)</f>
        <v/>
      </c>
      <c r="BI30" s="166"/>
      <c r="BJ30" s="268"/>
      <c r="BK30" s="268"/>
      <c r="BL30" s="268"/>
      <c r="BM30" s="460" t="s">
        <v>489</v>
      </c>
      <c r="BN30" s="269" t="s">
        <v>500</v>
      </c>
      <c r="BO30" s="270" t="s">
        <v>491</v>
      </c>
      <c r="BP30" s="459" t="str">
        <f>IF(BG30="","",1000*INT(原価!BM30*(100+AD30)/100000))</f>
        <v/>
      </c>
      <c r="BQ30" s="459">
        <f>原価!BN30</f>
        <v>0</v>
      </c>
      <c r="BR30" s="459">
        <f>IF(AG30="",0,原価!BO30*AG30/原価!$AD$44)</f>
        <v>0</v>
      </c>
      <c r="BS30" s="459" t="str">
        <f t="shared" si="18"/>
        <v/>
      </c>
      <c r="BT30" s="312" t="str">
        <f t="shared" si="12"/>
        <v/>
      </c>
      <c r="BU30" s="312" t="str">
        <f t="shared" si="17"/>
        <v/>
      </c>
      <c r="BV30" s="271"/>
    </row>
    <row r="31" spans="1:74" ht="18.75" customHeight="1" thickBot="1">
      <c r="A31" s="240" t="str">
        <f t="shared" ca="1" si="13"/>
        <v/>
      </c>
      <c r="B31" s="2587"/>
      <c r="C31" s="272">
        <v>27</v>
      </c>
      <c r="D31" s="464" t="str">
        <f ca="1">IF(E31="","",原価!D31)</f>
        <v/>
      </c>
      <c r="E31" s="2636" t="str">
        <f ca="1">原価!E31</f>
        <v/>
      </c>
      <c r="F31" s="2637"/>
      <c r="G31" s="2637"/>
      <c r="H31" s="2637"/>
      <c r="I31" s="2637"/>
      <c r="J31" s="2637"/>
      <c r="K31" s="2638"/>
      <c r="L31" s="468" t="str">
        <f t="shared" ca="1" si="0"/>
        <v/>
      </c>
      <c r="M31" s="468" t="str">
        <f t="shared" ca="1" si="1"/>
        <v/>
      </c>
      <c r="N31" s="2639"/>
      <c r="O31" s="2640"/>
      <c r="P31" s="2640"/>
      <c r="Q31" s="2640"/>
      <c r="R31" s="2641"/>
      <c r="S31" s="2652" t="str">
        <f t="shared" ca="1" si="2"/>
        <v/>
      </c>
      <c r="T31" s="2643"/>
      <c r="U31" s="2643"/>
      <c r="V31" s="2643"/>
      <c r="W31" s="2644"/>
      <c r="X31" s="2645"/>
      <c r="Y31" s="2645"/>
      <c r="Z31" s="2645"/>
      <c r="AA31" s="2646"/>
      <c r="AB31" s="199" t="str">
        <f t="shared" si="22"/>
        <v/>
      </c>
      <c r="AC31" s="513">
        <f>VLOOKUP(BG31,原価!内訳,13,FALSE)</f>
        <v>0</v>
      </c>
      <c r="AD31" s="484" t="str">
        <f t="shared" si="14"/>
        <v/>
      </c>
      <c r="AE31" s="162" t="s">
        <v>52</v>
      </c>
      <c r="AF31" s="163"/>
      <c r="AG31" s="483" t="str">
        <f t="shared" si="23"/>
        <v/>
      </c>
      <c r="AH31" s="162" t="s">
        <v>52</v>
      </c>
      <c r="AI31" s="164"/>
      <c r="AJ31" s="479" t="str">
        <f t="shared" si="3"/>
        <v/>
      </c>
      <c r="AK31" s="165" t="s">
        <v>52</v>
      </c>
      <c r="AL31" s="264"/>
      <c r="AM31" s="480" t="str">
        <f t="shared" si="6"/>
        <v/>
      </c>
      <c r="AN31" s="165" t="s">
        <v>52</v>
      </c>
      <c r="AO31" s="264"/>
      <c r="AP31" s="480" t="str">
        <f t="shared" si="19"/>
        <v/>
      </c>
      <c r="AQ31" s="165" t="s">
        <v>52</v>
      </c>
      <c r="AR31" s="264"/>
      <c r="AS31" s="480" t="str">
        <f t="shared" si="4"/>
        <v/>
      </c>
      <c r="AT31" s="165" t="s">
        <v>52</v>
      </c>
      <c r="AU31" s="264"/>
      <c r="AV31" s="481" t="str">
        <f t="shared" si="7"/>
        <v/>
      </c>
      <c r="AW31" s="481" t="str">
        <f t="shared" si="8"/>
        <v/>
      </c>
      <c r="AX31" s="481" t="str">
        <f t="shared" si="9"/>
        <v/>
      </c>
      <c r="AY31" s="481" t="str">
        <f t="shared" si="10"/>
        <v/>
      </c>
      <c r="AZ31" s="175"/>
      <c r="BA31" s="267">
        <v>26</v>
      </c>
      <c r="BB31" s="166" t="str">
        <f>IF(Top!AV94&lt;&gt;"",Top!BA94,"")</f>
        <v/>
      </c>
      <c r="BC31" s="166"/>
      <c r="BD31" s="166"/>
      <c r="BE31" s="166"/>
      <c r="BF31" s="267">
        <f t="shared" si="21"/>
        <v>13</v>
      </c>
      <c r="BG31" s="267" t="str">
        <f t="shared" si="20"/>
        <v/>
      </c>
      <c r="BH31" s="166" t="str">
        <f>IF(COUNTIF($BB$4:BB30,BB31)&gt;0,"",BB31)</f>
        <v/>
      </c>
      <c r="BI31" s="166"/>
      <c r="BJ31" s="268"/>
      <c r="BK31" s="268"/>
      <c r="BL31" s="268"/>
      <c r="BM31" s="460" t="s">
        <v>489</v>
      </c>
      <c r="BN31" s="269" t="s">
        <v>500</v>
      </c>
      <c r="BO31" s="270" t="s">
        <v>491</v>
      </c>
      <c r="BP31" s="459" t="str">
        <f>IF(BG31="","",1000*INT(原価!BM31*(100+AD31)/100000))</f>
        <v/>
      </c>
      <c r="BQ31" s="459">
        <f>原価!BN31</f>
        <v>0</v>
      </c>
      <c r="BR31" s="459">
        <f>IF(AG31="",0,原価!BO31*AG31/原価!$AD$44)</f>
        <v>0</v>
      </c>
      <c r="BS31" s="459" t="str">
        <f t="shared" si="18"/>
        <v/>
      </c>
      <c r="BT31" s="312" t="str">
        <f t="shared" si="12"/>
        <v/>
      </c>
      <c r="BU31" s="312" t="str">
        <f t="shared" si="17"/>
        <v/>
      </c>
      <c r="BV31" s="271"/>
    </row>
    <row r="32" spans="1:74" ht="18.75" customHeight="1" thickBot="1">
      <c r="A32" s="240" t="str">
        <f t="shared" ca="1" si="13"/>
        <v/>
      </c>
      <c r="B32" s="2587"/>
      <c r="C32" s="272">
        <v>28</v>
      </c>
      <c r="D32" s="464" t="str">
        <f ca="1">IF(E32="","",原価!D32)</f>
        <v/>
      </c>
      <c r="E32" s="2636" t="str">
        <f ca="1">原価!E32</f>
        <v/>
      </c>
      <c r="F32" s="2637"/>
      <c r="G32" s="2637"/>
      <c r="H32" s="2637"/>
      <c r="I32" s="2637"/>
      <c r="J32" s="2637"/>
      <c r="K32" s="2638"/>
      <c r="L32" s="468" t="str">
        <f ca="1">IF(E32="","",IF(OR(E32="　　　　　　　　　　(小計)",E32="　　　　　　　　　　(合計)"),"",1))</f>
        <v/>
      </c>
      <c r="M32" s="468" t="str">
        <f ca="1">IF(L32&lt;&gt;"","式","")</f>
        <v/>
      </c>
      <c r="N32" s="2639"/>
      <c r="O32" s="2640"/>
      <c r="P32" s="2640"/>
      <c r="Q32" s="2640"/>
      <c r="R32" s="2641"/>
      <c r="S32" s="2652" t="str">
        <f t="shared" ca="1" si="2"/>
        <v/>
      </c>
      <c r="T32" s="2643"/>
      <c r="U32" s="2643"/>
      <c r="V32" s="2643"/>
      <c r="W32" s="2644"/>
      <c r="X32" s="2645"/>
      <c r="Y32" s="2645"/>
      <c r="Z32" s="2645"/>
      <c r="AA32" s="2646"/>
      <c r="AB32" s="199" t="str">
        <f t="shared" si="22"/>
        <v/>
      </c>
      <c r="AC32" s="513">
        <f>VLOOKUP(BG32,原価!内訳,13,FALSE)</f>
        <v>0</v>
      </c>
      <c r="AD32" s="484" t="str">
        <f t="shared" si="14"/>
        <v/>
      </c>
      <c r="AE32" s="162" t="s">
        <v>52</v>
      </c>
      <c r="AF32" s="163"/>
      <c r="AG32" s="483" t="str">
        <f t="shared" si="23"/>
        <v/>
      </c>
      <c r="AH32" s="162" t="s">
        <v>52</v>
      </c>
      <c r="AI32" s="164"/>
      <c r="AJ32" s="479" t="str">
        <f t="shared" si="3"/>
        <v/>
      </c>
      <c r="AK32" s="165" t="s">
        <v>52</v>
      </c>
      <c r="AL32" s="264"/>
      <c r="AM32" s="480" t="str">
        <f t="shared" si="6"/>
        <v/>
      </c>
      <c r="AN32" s="165" t="s">
        <v>52</v>
      </c>
      <c r="AO32" s="264"/>
      <c r="AP32" s="480" t="str">
        <f t="shared" si="19"/>
        <v/>
      </c>
      <c r="AQ32" s="165" t="s">
        <v>52</v>
      </c>
      <c r="AR32" s="264"/>
      <c r="AS32" s="480" t="str">
        <f t="shared" si="4"/>
        <v/>
      </c>
      <c r="AT32" s="165" t="s">
        <v>52</v>
      </c>
      <c r="AU32" s="264"/>
      <c r="AV32" s="481" t="str">
        <f t="shared" si="7"/>
        <v/>
      </c>
      <c r="AW32" s="481" t="str">
        <f t="shared" si="8"/>
        <v/>
      </c>
      <c r="AX32" s="481" t="str">
        <f t="shared" si="9"/>
        <v/>
      </c>
      <c r="AY32" s="481" t="str">
        <f t="shared" si="10"/>
        <v/>
      </c>
      <c r="AZ32" s="175"/>
      <c r="BA32" s="267">
        <v>27</v>
      </c>
      <c r="BB32" s="166" t="str">
        <f>IF(Top!AV95&lt;&gt;"",Top!BA95,"")</f>
        <v/>
      </c>
      <c r="BC32" s="166"/>
      <c r="BD32" s="166"/>
      <c r="BE32" s="166"/>
      <c r="BF32" s="267">
        <f t="shared" si="21"/>
        <v>13</v>
      </c>
      <c r="BG32" s="267" t="str">
        <f t="shared" si="20"/>
        <v/>
      </c>
      <c r="BH32" s="166" t="str">
        <f>IF(COUNTIF($BB$4:BB31,BB32)&gt;0,"",BB32)</f>
        <v/>
      </c>
      <c r="BI32" s="166"/>
      <c r="BJ32" s="268"/>
      <c r="BK32" s="268"/>
      <c r="BL32" s="268"/>
      <c r="BM32" s="460" t="s">
        <v>489</v>
      </c>
      <c r="BN32" s="269"/>
      <c r="BO32" s="270"/>
      <c r="BP32" s="459" t="str">
        <f>IF(BG32="","",1000*INT(原価!BM32*(100+AD32)/100000))</f>
        <v/>
      </c>
      <c r="BQ32" s="459">
        <f>原価!BN32</f>
        <v>0</v>
      </c>
      <c r="BR32" s="459">
        <f>IF(AG32="",0,原価!BO32*AG32/原価!$AD$44)</f>
        <v>0</v>
      </c>
      <c r="BS32" s="459" t="str">
        <f t="shared" si="18"/>
        <v/>
      </c>
      <c r="BT32" s="312" t="str">
        <f t="shared" si="12"/>
        <v/>
      </c>
      <c r="BU32" s="312" t="str">
        <f t="shared" si="17"/>
        <v/>
      </c>
      <c r="BV32" s="271"/>
    </row>
    <row r="33" spans="1:74" ht="18.75" customHeight="1" thickBot="1">
      <c r="A33" s="240" t="str">
        <f t="shared" ca="1" si="13"/>
        <v/>
      </c>
      <c r="B33" s="2587"/>
      <c r="C33" s="272">
        <v>29</v>
      </c>
      <c r="D33" s="464" t="str">
        <f ca="1">IF(E33="","",原価!D33)</f>
        <v/>
      </c>
      <c r="E33" s="2636" t="str">
        <f ca="1">原価!E33</f>
        <v/>
      </c>
      <c r="F33" s="2637"/>
      <c r="G33" s="2637"/>
      <c r="H33" s="2637"/>
      <c r="I33" s="2637"/>
      <c r="J33" s="2637"/>
      <c r="K33" s="2638"/>
      <c r="L33" s="468" t="str">
        <f t="shared" ref="L33:L38" ca="1" si="24">IF(E33="","",IF(OR(E33="　　　　　　　　　　(小計)",E33="　　　　　　　　　　(合計)"),"",1))</f>
        <v/>
      </c>
      <c r="M33" s="468" t="str">
        <f t="shared" ca="1" si="1"/>
        <v/>
      </c>
      <c r="N33" s="2639"/>
      <c r="O33" s="2640"/>
      <c r="P33" s="2640"/>
      <c r="Q33" s="2640"/>
      <c r="R33" s="2641"/>
      <c r="S33" s="2652" t="str">
        <f t="shared" ca="1" si="2"/>
        <v/>
      </c>
      <c r="T33" s="2643"/>
      <c r="U33" s="2643"/>
      <c r="V33" s="2643"/>
      <c r="W33" s="2644"/>
      <c r="X33" s="2645"/>
      <c r="Y33" s="2645"/>
      <c r="Z33" s="2645"/>
      <c r="AA33" s="2646"/>
      <c r="AB33" s="199" t="str">
        <f t="shared" si="22"/>
        <v/>
      </c>
      <c r="AC33" s="513">
        <f>VLOOKUP(BG33,原価!内訳,13,FALSE)</f>
        <v>0</v>
      </c>
      <c r="AD33" s="484" t="str">
        <f t="shared" si="14"/>
        <v/>
      </c>
      <c r="AE33" s="162" t="s">
        <v>52</v>
      </c>
      <c r="AF33" s="163"/>
      <c r="AG33" s="483" t="str">
        <f t="shared" si="23"/>
        <v/>
      </c>
      <c r="AH33" s="162" t="s">
        <v>52</v>
      </c>
      <c r="AI33" s="164"/>
      <c r="AJ33" s="479" t="str">
        <f t="shared" si="3"/>
        <v/>
      </c>
      <c r="AK33" s="165" t="s">
        <v>52</v>
      </c>
      <c r="AL33" s="264"/>
      <c r="AM33" s="480" t="str">
        <f t="shared" si="6"/>
        <v/>
      </c>
      <c r="AN33" s="165" t="s">
        <v>52</v>
      </c>
      <c r="AO33" s="264"/>
      <c r="AP33" s="480" t="str">
        <f t="shared" si="19"/>
        <v/>
      </c>
      <c r="AQ33" s="165" t="s">
        <v>52</v>
      </c>
      <c r="AR33" s="264"/>
      <c r="AS33" s="480" t="str">
        <f t="shared" si="4"/>
        <v/>
      </c>
      <c r="AT33" s="165" t="s">
        <v>52</v>
      </c>
      <c r="AU33" s="264"/>
      <c r="AV33" s="481" t="str">
        <f t="shared" si="7"/>
        <v/>
      </c>
      <c r="AW33" s="481" t="str">
        <f t="shared" si="8"/>
        <v/>
      </c>
      <c r="AX33" s="481" t="str">
        <f t="shared" si="9"/>
        <v/>
      </c>
      <c r="AY33" s="481" t="str">
        <f t="shared" si="10"/>
        <v/>
      </c>
      <c r="AZ33" s="175"/>
      <c r="BA33" s="267">
        <v>28</v>
      </c>
      <c r="BB33" s="166" t="str">
        <f>IF(Top!AV96&lt;&gt;"",Top!BA96,"")</f>
        <v/>
      </c>
      <c r="BC33" s="166"/>
      <c r="BD33" s="166"/>
      <c r="BE33" s="166"/>
      <c r="BF33" s="267">
        <f t="shared" si="21"/>
        <v>13</v>
      </c>
      <c r="BG33" s="267" t="str">
        <f t="shared" si="20"/>
        <v/>
      </c>
      <c r="BH33" s="166" t="str">
        <f>IF(COUNTIF($BB$4:BB32,BB33)&gt;0,"",BB33)</f>
        <v/>
      </c>
      <c r="BI33" s="166"/>
      <c r="BJ33" s="268"/>
      <c r="BK33" s="268"/>
      <c r="BL33" s="268"/>
      <c r="BM33" s="460" t="s">
        <v>489</v>
      </c>
      <c r="BN33" s="269" t="s">
        <v>500</v>
      </c>
      <c r="BO33" s="270" t="s">
        <v>491</v>
      </c>
      <c r="BP33" s="459" t="str">
        <f>IF(BG33="","",1000*INT(原価!BM33*(100+AD33)/100000))</f>
        <v/>
      </c>
      <c r="BQ33" s="459">
        <f>原価!BN33</f>
        <v>0</v>
      </c>
      <c r="BR33" s="459">
        <f>IF(AG33="",0,原価!BO33*AG33/原価!$AD$44)</f>
        <v>0</v>
      </c>
      <c r="BS33" s="459" t="str">
        <f t="shared" si="18"/>
        <v/>
      </c>
      <c r="BT33" s="312" t="str">
        <f>AD33</f>
        <v/>
      </c>
      <c r="BU33" s="312" t="str">
        <f t="shared" si="17"/>
        <v/>
      </c>
      <c r="BV33" s="271"/>
    </row>
    <row r="34" spans="1:74" ht="18.75" customHeight="1" thickBot="1">
      <c r="A34" s="240" t="str">
        <f t="shared" ca="1" si="13"/>
        <v/>
      </c>
      <c r="B34" s="2587"/>
      <c r="C34" s="272">
        <v>30</v>
      </c>
      <c r="D34" s="464" t="str">
        <f ca="1">IF(E34="","",原価!D34)</f>
        <v/>
      </c>
      <c r="E34" s="2636" t="str">
        <f ca="1">原価!E34</f>
        <v/>
      </c>
      <c r="F34" s="2637"/>
      <c r="G34" s="2637"/>
      <c r="H34" s="2637"/>
      <c r="I34" s="2637"/>
      <c r="J34" s="2637"/>
      <c r="K34" s="2638"/>
      <c r="L34" s="468" t="str">
        <f t="shared" ca="1" si="24"/>
        <v/>
      </c>
      <c r="M34" s="468" t="str">
        <f ca="1">IF(L34&lt;&gt;"","式","")</f>
        <v/>
      </c>
      <c r="N34" s="2639"/>
      <c r="O34" s="2640"/>
      <c r="P34" s="2640"/>
      <c r="Q34" s="2640"/>
      <c r="R34" s="2641"/>
      <c r="S34" s="2652" t="str">
        <f t="shared" ca="1" si="2"/>
        <v/>
      </c>
      <c r="T34" s="2643"/>
      <c r="U34" s="2643"/>
      <c r="V34" s="2643"/>
      <c r="W34" s="2644"/>
      <c r="X34" s="2645"/>
      <c r="Y34" s="2645"/>
      <c r="Z34" s="2645"/>
      <c r="AA34" s="2646"/>
      <c r="AB34" s="199" t="str">
        <f t="shared" si="22"/>
        <v/>
      </c>
      <c r="AC34" s="513">
        <f>VLOOKUP(BG34,原価!内訳,13,FALSE)</f>
        <v>0</v>
      </c>
      <c r="AD34" s="484" t="str">
        <f t="shared" si="14"/>
        <v/>
      </c>
      <c r="AE34" s="162" t="s">
        <v>52</v>
      </c>
      <c r="AF34" s="163"/>
      <c r="AG34" s="483" t="str">
        <f t="shared" si="23"/>
        <v/>
      </c>
      <c r="AH34" s="162" t="s">
        <v>52</v>
      </c>
      <c r="AI34" s="164"/>
      <c r="AJ34" s="479" t="str">
        <f t="shared" si="3"/>
        <v/>
      </c>
      <c r="AK34" s="165" t="s">
        <v>52</v>
      </c>
      <c r="AL34" s="264"/>
      <c r="AM34" s="480" t="str">
        <f t="shared" si="6"/>
        <v/>
      </c>
      <c r="AN34" s="165" t="s">
        <v>52</v>
      </c>
      <c r="AO34" s="264"/>
      <c r="AP34" s="480" t="str">
        <f t="shared" si="19"/>
        <v/>
      </c>
      <c r="AQ34" s="165" t="s">
        <v>52</v>
      </c>
      <c r="AR34" s="264"/>
      <c r="AS34" s="480" t="str">
        <f t="shared" si="4"/>
        <v/>
      </c>
      <c r="AT34" s="165" t="s">
        <v>52</v>
      </c>
      <c r="AU34" s="264"/>
      <c r="AV34" s="481" t="str">
        <f t="shared" si="7"/>
        <v/>
      </c>
      <c r="AW34" s="481" t="str">
        <f t="shared" si="8"/>
        <v/>
      </c>
      <c r="AX34" s="481" t="str">
        <f t="shared" si="9"/>
        <v/>
      </c>
      <c r="AY34" s="481" t="str">
        <f t="shared" si="10"/>
        <v/>
      </c>
      <c r="AZ34" s="175"/>
      <c r="BA34" s="267">
        <v>29</v>
      </c>
      <c r="BB34" s="166" t="str">
        <f>IF(Top!AV97&lt;&gt;"",Top!BA97,"")</f>
        <v/>
      </c>
      <c r="BC34" s="166"/>
      <c r="BD34" s="166"/>
      <c r="BE34" s="166"/>
      <c r="BF34" s="267">
        <f t="shared" si="21"/>
        <v>13</v>
      </c>
      <c r="BG34" s="267" t="str">
        <f t="shared" si="20"/>
        <v/>
      </c>
      <c r="BH34" s="166" t="str">
        <f>IF(COUNTIF($BB$4:BB33,BB34)&gt;0,"",BB34)</f>
        <v/>
      </c>
      <c r="BI34" s="166"/>
      <c r="BJ34" s="268"/>
      <c r="BK34" s="268"/>
      <c r="BL34" s="268"/>
      <c r="BM34" s="460" t="s">
        <v>489</v>
      </c>
      <c r="BN34" s="269" t="s">
        <v>500</v>
      </c>
      <c r="BO34" s="270" t="s">
        <v>491</v>
      </c>
      <c r="BP34" s="459" t="str">
        <f>IF(BG34="","",1000*INT(原価!BM34*(100+AD34)/100000))</f>
        <v/>
      </c>
      <c r="BQ34" s="459">
        <f>原価!BN34</f>
        <v>0</v>
      </c>
      <c r="BR34" s="459">
        <f>IF(AG34="",0,原価!BO34*AG34/原価!$AD$44)</f>
        <v>0</v>
      </c>
      <c r="BS34" s="459" t="str">
        <f t="shared" si="18"/>
        <v/>
      </c>
      <c r="BT34" s="312" t="str">
        <f t="shared" si="12"/>
        <v/>
      </c>
      <c r="BU34" s="312" t="str">
        <f t="shared" si="17"/>
        <v/>
      </c>
      <c r="BV34" s="271"/>
    </row>
    <row r="35" spans="1:74" ht="18.75" customHeight="1" thickBot="1">
      <c r="A35" s="240" t="str">
        <f t="shared" ca="1" si="13"/>
        <v/>
      </c>
      <c r="B35" s="2587"/>
      <c r="C35" s="272">
        <v>31</v>
      </c>
      <c r="D35" s="464" t="str">
        <f ca="1">IF(E35="","",原価!D35)</f>
        <v/>
      </c>
      <c r="E35" s="2636" t="str">
        <f ca="1">原価!E35</f>
        <v/>
      </c>
      <c r="F35" s="2637"/>
      <c r="G35" s="2637"/>
      <c r="H35" s="2637"/>
      <c r="I35" s="2637"/>
      <c r="J35" s="2637"/>
      <c r="K35" s="2638"/>
      <c r="L35" s="468" t="str">
        <f t="shared" ca="1" si="24"/>
        <v/>
      </c>
      <c r="M35" s="468" t="str">
        <f ca="1">IF(L35&lt;&gt;"","式","")</f>
        <v/>
      </c>
      <c r="N35" s="2639"/>
      <c r="O35" s="2640"/>
      <c r="P35" s="2640"/>
      <c r="Q35" s="2640"/>
      <c r="R35" s="2641"/>
      <c r="S35" s="2652" t="str">
        <f t="shared" ca="1" si="2"/>
        <v/>
      </c>
      <c r="T35" s="2643"/>
      <c r="U35" s="2643"/>
      <c r="V35" s="2643"/>
      <c r="W35" s="2644"/>
      <c r="X35" s="2645"/>
      <c r="Y35" s="2645"/>
      <c r="Z35" s="2645"/>
      <c r="AA35" s="2646"/>
      <c r="AB35" s="199" t="str">
        <f t="shared" si="22"/>
        <v/>
      </c>
      <c r="AC35" s="513">
        <f>VLOOKUP(BG35,原価!内訳,13,FALSE)</f>
        <v>0</v>
      </c>
      <c r="AD35" s="484" t="str">
        <f t="shared" si="14"/>
        <v/>
      </c>
      <c r="AE35" s="162" t="s">
        <v>52</v>
      </c>
      <c r="AF35" s="163"/>
      <c r="AG35" s="483" t="str">
        <f t="shared" si="23"/>
        <v/>
      </c>
      <c r="AH35" s="162" t="s">
        <v>52</v>
      </c>
      <c r="AI35" s="164"/>
      <c r="AJ35" s="479" t="str">
        <f t="shared" si="3"/>
        <v/>
      </c>
      <c r="AK35" s="165" t="s">
        <v>52</v>
      </c>
      <c r="AL35" s="264"/>
      <c r="AM35" s="480" t="str">
        <f t="shared" si="6"/>
        <v/>
      </c>
      <c r="AN35" s="165" t="s">
        <v>52</v>
      </c>
      <c r="AO35" s="264"/>
      <c r="AP35" s="480" t="str">
        <f t="shared" si="19"/>
        <v/>
      </c>
      <c r="AQ35" s="165" t="s">
        <v>52</v>
      </c>
      <c r="AR35" s="264"/>
      <c r="AS35" s="480" t="str">
        <f t="shared" si="4"/>
        <v/>
      </c>
      <c r="AT35" s="165" t="s">
        <v>52</v>
      </c>
      <c r="AU35" s="264"/>
      <c r="AV35" s="481" t="str">
        <f t="shared" si="7"/>
        <v/>
      </c>
      <c r="AW35" s="481" t="str">
        <f t="shared" si="8"/>
        <v/>
      </c>
      <c r="AX35" s="481" t="str">
        <f t="shared" si="9"/>
        <v/>
      </c>
      <c r="AY35" s="481" t="str">
        <f t="shared" si="10"/>
        <v/>
      </c>
      <c r="AZ35" s="175"/>
      <c r="BA35" s="267">
        <v>30</v>
      </c>
      <c r="BB35" s="166" t="str">
        <f>IF(Top!AV98&lt;&gt;"",Top!BA98,"")</f>
        <v/>
      </c>
      <c r="BC35" s="166"/>
      <c r="BD35" s="166"/>
      <c r="BE35" s="166"/>
      <c r="BF35" s="267">
        <f t="shared" si="21"/>
        <v>13</v>
      </c>
      <c r="BG35" s="267" t="str">
        <f t="shared" si="20"/>
        <v/>
      </c>
      <c r="BH35" s="166" t="str">
        <f>IF(COUNTIF($BB$4:BB34,BB35)&gt;0,"",BB35)</f>
        <v/>
      </c>
      <c r="BI35" s="166"/>
      <c r="BJ35" s="268"/>
      <c r="BK35" s="268"/>
      <c r="BL35" s="268"/>
      <c r="BM35" s="460" t="s">
        <v>489</v>
      </c>
      <c r="BN35" s="269" t="s">
        <v>500</v>
      </c>
      <c r="BO35" s="270" t="s">
        <v>491</v>
      </c>
      <c r="BP35" s="459" t="str">
        <f>IF(BG35="","",1000*INT(原価!BM35*(100+AD35)/100000))</f>
        <v/>
      </c>
      <c r="BQ35" s="459">
        <f>原価!BN35</f>
        <v>0</v>
      </c>
      <c r="BR35" s="459">
        <f>IF(AG35="",0,原価!BO35*AG35/原価!$AD$44)</f>
        <v>0</v>
      </c>
      <c r="BS35" s="459" t="str">
        <f t="shared" si="18"/>
        <v/>
      </c>
      <c r="BT35" s="312" t="str">
        <f t="shared" si="12"/>
        <v/>
      </c>
      <c r="BU35" s="312" t="str">
        <f t="shared" si="17"/>
        <v/>
      </c>
      <c r="BV35" s="271"/>
    </row>
    <row r="36" spans="1:74" ht="18.75" customHeight="1" thickBot="1">
      <c r="A36" s="240" t="str">
        <f t="shared" ca="1" si="13"/>
        <v/>
      </c>
      <c r="B36" s="2587"/>
      <c r="C36" s="272">
        <v>32</v>
      </c>
      <c r="D36" s="464" t="str">
        <f ca="1">IF(E36="","",原価!D36)</f>
        <v/>
      </c>
      <c r="E36" s="2636" t="str">
        <f ca="1">原価!E36</f>
        <v/>
      </c>
      <c r="F36" s="2637"/>
      <c r="G36" s="2637"/>
      <c r="H36" s="2637"/>
      <c r="I36" s="2637"/>
      <c r="J36" s="2637"/>
      <c r="K36" s="2638"/>
      <c r="L36" s="468" t="str">
        <f t="shared" ca="1" si="24"/>
        <v/>
      </c>
      <c r="M36" s="468" t="str">
        <f ca="1">IF(L36&lt;&gt;"","式","")</f>
        <v/>
      </c>
      <c r="N36" s="2656"/>
      <c r="O36" s="2640"/>
      <c r="P36" s="2640"/>
      <c r="Q36" s="2640"/>
      <c r="R36" s="2641"/>
      <c r="S36" s="2652" t="str">
        <f t="shared" ca="1" si="2"/>
        <v/>
      </c>
      <c r="T36" s="2643"/>
      <c r="U36" s="2643"/>
      <c r="V36" s="2643"/>
      <c r="W36" s="2644"/>
      <c r="X36" s="2645"/>
      <c r="Y36" s="2645"/>
      <c r="Z36" s="2645"/>
      <c r="AA36" s="2646"/>
      <c r="AB36" s="199" t="str">
        <f t="shared" si="22"/>
        <v/>
      </c>
      <c r="AC36" s="513">
        <f>VLOOKUP(BG36,原価!内訳,13,FALSE)</f>
        <v>0</v>
      </c>
      <c r="AD36" s="484" t="str">
        <f t="shared" si="14"/>
        <v/>
      </c>
      <c r="AE36" s="162" t="s">
        <v>52</v>
      </c>
      <c r="AF36" s="163"/>
      <c r="AG36" s="483" t="str">
        <f t="shared" si="23"/>
        <v/>
      </c>
      <c r="AH36" s="162" t="s">
        <v>52</v>
      </c>
      <c r="AI36" s="164"/>
      <c r="AJ36" s="479" t="str">
        <f t="shared" si="3"/>
        <v/>
      </c>
      <c r="AK36" s="165" t="s">
        <v>52</v>
      </c>
      <c r="AL36" s="264"/>
      <c r="AM36" s="480" t="str">
        <f t="shared" si="6"/>
        <v/>
      </c>
      <c r="AN36" s="165" t="s">
        <v>52</v>
      </c>
      <c r="AO36" s="264"/>
      <c r="AP36" s="480" t="str">
        <f t="shared" si="19"/>
        <v/>
      </c>
      <c r="AQ36" s="165" t="s">
        <v>52</v>
      </c>
      <c r="AR36" s="264"/>
      <c r="AS36" s="480" t="str">
        <f t="shared" si="4"/>
        <v/>
      </c>
      <c r="AT36" s="165" t="s">
        <v>52</v>
      </c>
      <c r="AU36" s="264"/>
      <c r="AV36" s="481" t="str">
        <f t="shared" si="7"/>
        <v/>
      </c>
      <c r="AW36" s="481" t="str">
        <f t="shared" si="8"/>
        <v/>
      </c>
      <c r="AX36" s="481" t="str">
        <f t="shared" si="9"/>
        <v/>
      </c>
      <c r="AY36" s="481" t="str">
        <f t="shared" si="10"/>
        <v/>
      </c>
      <c r="AZ36" s="175"/>
      <c r="BA36" s="267">
        <v>31</v>
      </c>
      <c r="BB36" s="166" t="str">
        <f>IF(Top!AV99&lt;&gt;"",Top!BA99,"")</f>
        <v/>
      </c>
      <c r="BC36" s="166"/>
      <c r="BD36" s="166"/>
      <c r="BE36" s="166"/>
      <c r="BF36" s="267">
        <f t="shared" si="21"/>
        <v>13</v>
      </c>
      <c r="BG36" s="267" t="str">
        <f t="shared" si="20"/>
        <v/>
      </c>
      <c r="BH36" s="166" t="str">
        <f>IF(COUNTIF($BB$4:BB35,BB36)&gt;0,"",BB36)</f>
        <v/>
      </c>
      <c r="BI36" s="166"/>
      <c r="BJ36" s="268"/>
      <c r="BK36" s="268"/>
      <c r="BL36" s="268"/>
      <c r="BM36" s="460" t="s">
        <v>489</v>
      </c>
      <c r="BN36" s="269" t="s">
        <v>500</v>
      </c>
      <c r="BO36" s="270" t="s">
        <v>491</v>
      </c>
      <c r="BP36" s="459" t="str">
        <f>IF(BG36="","",1000*INT(原価!BM36*(100+AD36)/100000))</f>
        <v/>
      </c>
      <c r="BQ36" s="459">
        <f>原価!BN36</f>
        <v>0</v>
      </c>
      <c r="BR36" s="459">
        <f>IF(AG36="",0,原価!BO36*AG36/原価!$AD$44)</f>
        <v>0</v>
      </c>
      <c r="BS36" s="459" t="str">
        <f t="shared" si="18"/>
        <v/>
      </c>
      <c r="BT36" s="312" t="str">
        <f t="shared" si="12"/>
        <v/>
      </c>
      <c r="BU36" s="312" t="str">
        <f t="shared" si="17"/>
        <v/>
      </c>
      <c r="BV36" s="271"/>
    </row>
    <row r="37" spans="1:74" ht="18.75" customHeight="1" thickBot="1">
      <c r="A37" s="240" t="str">
        <f t="shared" ca="1" si="13"/>
        <v/>
      </c>
      <c r="B37" s="2587"/>
      <c r="C37" s="272">
        <v>33</v>
      </c>
      <c r="D37" s="464" t="str">
        <f ca="1">IF(E37="","",原価!D37)</f>
        <v/>
      </c>
      <c r="E37" s="2636" t="str">
        <f ca="1">原価!E37</f>
        <v/>
      </c>
      <c r="F37" s="2637"/>
      <c r="G37" s="2637"/>
      <c r="H37" s="2637"/>
      <c r="I37" s="2637"/>
      <c r="J37" s="2637"/>
      <c r="K37" s="2638"/>
      <c r="L37" s="468" t="str">
        <f t="shared" ca="1" si="24"/>
        <v/>
      </c>
      <c r="M37" s="468" t="str">
        <f ca="1">IF(L37&lt;&gt;"","式","")</f>
        <v/>
      </c>
      <c r="N37" s="2656"/>
      <c r="O37" s="2640"/>
      <c r="P37" s="2640"/>
      <c r="Q37" s="2640"/>
      <c r="R37" s="2641"/>
      <c r="S37" s="2652" t="str">
        <f t="shared" ca="1" si="2"/>
        <v/>
      </c>
      <c r="T37" s="2643"/>
      <c r="U37" s="2643"/>
      <c r="V37" s="2643"/>
      <c r="W37" s="2644"/>
      <c r="X37" s="2645"/>
      <c r="Y37" s="2645"/>
      <c r="Z37" s="2645"/>
      <c r="AA37" s="2646"/>
      <c r="AB37" s="199" t="str">
        <f t="shared" si="22"/>
        <v/>
      </c>
      <c r="AC37" s="513">
        <f>VLOOKUP(BG37,原価!内訳,13,FALSE)</f>
        <v>0</v>
      </c>
      <c r="AD37" s="484" t="str">
        <f>IF(BG37="","",IF(AF37="",$AD$43*100,AF37))</f>
        <v/>
      </c>
      <c r="AE37" s="162" t="s">
        <v>52</v>
      </c>
      <c r="AF37" s="163"/>
      <c r="AG37" s="483" t="str">
        <f t="shared" si="23"/>
        <v/>
      </c>
      <c r="AH37" s="162" t="s">
        <v>52</v>
      </c>
      <c r="AI37" s="164"/>
      <c r="AJ37" s="479" t="str">
        <f t="shared" si="3"/>
        <v/>
      </c>
      <c r="AK37" s="165" t="s">
        <v>52</v>
      </c>
      <c r="AL37" s="264"/>
      <c r="AM37" s="480" t="str">
        <f t="shared" si="6"/>
        <v/>
      </c>
      <c r="AN37" s="165" t="s">
        <v>52</v>
      </c>
      <c r="AO37" s="264"/>
      <c r="AP37" s="480" t="str">
        <f t="shared" si="19"/>
        <v/>
      </c>
      <c r="AQ37" s="165" t="s">
        <v>52</v>
      </c>
      <c r="AR37" s="264"/>
      <c r="AS37" s="480" t="str">
        <f t="shared" si="4"/>
        <v/>
      </c>
      <c r="AT37" s="165" t="s">
        <v>52</v>
      </c>
      <c r="AU37" s="264"/>
      <c r="AV37" s="481" t="str">
        <f t="shared" si="7"/>
        <v/>
      </c>
      <c r="AW37" s="481" t="str">
        <f t="shared" si="8"/>
        <v/>
      </c>
      <c r="AX37" s="481" t="str">
        <f t="shared" si="9"/>
        <v/>
      </c>
      <c r="AY37" s="481" t="str">
        <f t="shared" si="10"/>
        <v/>
      </c>
      <c r="AZ37" s="175"/>
      <c r="BA37" s="267">
        <v>32</v>
      </c>
      <c r="BB37" s="166" t="str">
        <f>IF(Top!AV100&lt;&gt;"",Top!BA100,"")</f>
        <v/>
      </c>
      <c r="BC37" s="166"/>
      <c r="BD37" s="166"/>
      <c r="BE37" s="166"/>
      <c r="BF37" s="267">
        <f t="shared" si="21"/>
        <v>13</v>
      </c>
      <c r="BG37" s="267" t="str">
        <f t="shared" si="20"/>
        <v/>
      </c>
      <c r="BH37" s="166" t="str">
        <f>IF(COUNTIF($BB$4:BB36,BB37)&gt;0,"",BB37)</f>
        <v/>
      </c>
      <c r="BI37" s="166"/>
      <c r="BJ37" s="268"/>
      <c r="BK37" s="268"/>
      <c r="BL37" s="268"/>
      <c r="BM37" s="460" t="s">
        <v>489</v>
      </c>
      <c r="BN37" s="269" t="s">
        <v>500</v>
      </c>
      <c r="BO37" s="270" t="s">
        <v>491</v>
      </c>
      <c r="BP37" s="459" t="str">
        <f>IF(BG37="","",1000*INT(原価!BM37*(100+AD37)/100000))</f>
        <v/>
      </c>
      <c r="BQ37" s="459">
        <f>原価!BN37</f>
        <v>0</v>
      </c>
      <c r="BR37" s="459">
        <f>IF(AG37="",0,原価!BO37*AG37/原価!$AD$44)</f>
        <v>0</v>
      </c>
      <c r="BS37" s="459" t="str">
        <f t="shared" si="18"/>
        <v/>
      </c>
      <c r="BT37" s="312" t="str">
        <f t="shared" si="12"/>
        <v/>
      </c>
      <c r="BU37" s="312" t="str">
        <f t="shared" si="17"/>
        <v/>
      </c>
      <c r="BV37" s="271"/>
    </row>
    <row r="38" spans="1:74" ht="18.75" customHeight="1" thickBot="1">
      <c r="A38" s="240" t="str">
        <f t="shared" ca="1" si="13"/>
        <v/>
      </c>
      <c r="B38" s="2587"/>
      <c r="C38" s="272">
        <v>34</v>
      </c>
      <c r="D38" s="464" t="str">
        <f ca="1">IF(E38="","",原価!D38)</f>
        <v/>
      </c>
      <c r="E38" s="2636" t="str">
        <f ca="1">原価!E38</f>
        <v/>
      </c>
      <c r="F38" s="2637"/>
      <c r="G38" s="2637"/>
      <c r="H38" s="2637"/>
      <c r="I38" s="2637"/>
      <c r="J38" s="2637"/>
      <c r="K38" s="2638"/>
      <c r="L38" s="468" t="str">
        <f t="shared" ca="1" si="24"/>
        <v/>
      </c>
      <c r="M38" s="468" t="str">
        <f ca="1">IF(L38&lt;&gt;"","式","")</f>
        <v/>
      </c>
      <c r="N38" s="2639"/>
      <c r="O38" s="2640"/>
      <c r="P38" s="2640"/>
      <c r="Q38" s="2640"/>
      <c r="R38" s="2641"/>
      <c r="S38" s="2652" t="str">
        <f t="shared" ca="1" si="2"/>
        <v/>
      </c>
      <c r="T38" s="2643"/>
      <c r="U38" s="2643"/>
      <c r="V38" s="2643"/>
      <c r="W38" s="2644"/>
      <c r="X38" s="2645"/>
      <c r="Y38" s="2645"/>
      <c r="Z38" s="2645"/>
      <c r="AA38" s="2646"/>
      <c r="AB38" s="199" t="str">
        <f t="shared" si="22"/>
        <v/>
      </c>
      <c r="AC38" s="513">
        <f>VLOOKUP(BG38,原価!内訳,13,FALSE)</f>
        <v>0</v>
      </c>
      <c r="AD38" s="485" t="str">
        <f t="shared" si="14"/>
        <v/>
      </c>
      <c r="AE38" s="206" t="s">
        <v>52</v>
      </c>
      <c r="AF38" s="163"/>
      <c r="AG38" s="483" t="str">
        <f t="shared" si="23"/>
        <v/>
      </c>
      <c r="AH38" s="162" t="s">
        <v>52</v>
      </c>
      <c r="AI38" s="164"/>
      <c r="AJ38" s="479" t="str">
        <f t="shared" si="3"/>
        <v/>
      </c>
      <c r="AK38" s="165" t="s">
        <v>52</v>
      </c>
      <c r="AL38" s="264"/>
      <c r="AM38" s="480" t="str">
        <f t="shared" si="6"/>
        <v/>
      </c>
      <c r="AN38" s="165" t="s">
        <v>52</v>
      </c>
      <c r="AO38" s="264"/>
      <c r="AP38" s="480" t="str">
        <f t="shared" si="19"/>
        <v/>
      </c>
      <c r="AQ38" s="165" t="s">
        <v>52</v>
      </c>
      <c r="AR38" s="264"/>
      <c r="AS38" s="480" t="str">
        <f t="shared" si="4"/>
        <v/>
      </c>
      <c r="AT38" s="165" t="s">
        <v>52</v>
      </c>
      <c r="AU38" s="264"/>
      <c r="AV38" s="481" t="str">
        <f t="shared" si="7"/>
        <v/>
      </c>
      <c r="AW38" s="481" t="str">
        <f t="shared" si="8"/>
        <v/>
      </c>
      <c r="AX38" s="481" t="str">
        <f t="shared" si="9"/>
        <v/>
      </c>
      <c r="AY38" s="481" t="str">
        <f t="shared" si="10"/>
        <v/>
      </c>
      <c r="AZ38" s="175"/>
      <c r="BA38" s="267">
        <v>33</v>
      </c>
      <c r="BB38" s="166" t="str">
        <f>IF(Top!AV101&lt;&gt;"",Top!BA101,"")</f>
        <v/>
      </c>
      <c r="BC38" s="166"/>
      <c r="BD38" s="166"/>
      <c r="BE38" s="166"/>
      <c r="BF38" s="267">
        <f t="shared" si="21"/>
        <v>13</v>
      </c>
      <c r="BG38" s="267" t="str">
        <f t="shared" si="20"/>
        <v/>
      </c>
      <c r="BH38" s="166" t="str">
        <f>IF(COUNTIF($BB$4:BB37,BB38)&gt;0,"",BB38)</f>
        <v/>
      </c>
      <c r="BI38" s="166"/>
      <c r="BJ38" s="268"/>
      <c r="BK38" s="268"/>
      <c r="BL38" s="268"/>
      <c r="BM38" s="460" t="s">
        <v>489</v>
      </c>
      <c r="BN38" s="269" t="s">
        <v>500</v>
      </c>
      <c r="BO38" s="270" t="s">
        <v>491</v>
      </c>
      <c r="BP38" s="459" t="str">
        <f>IF(BG38="","",1000*INT(原価!BM38*(100+AD38)/100000))</f>
        <v/>
      </c>
      <c r="BQ38" s="459">
        <f>原価!BN38</f>
        <v>0</v>
      </c>
      <c r="BR38" s="459">
        <f>IF(AG38="",0,原価!BO38*AG38/原価!$AD$44)</f>
        <v>0</v>
      </c>
      <c r="BS38" s="459" t="str">
        <f t="shared" si="18"/>
        <v/>
      </c>
      <c r="BT38" s="312" t="str">
        <f>AD38</f>
        <v/>
      </c>
      <c r="BU38" s="312" t="str">
        <f t="shared" si="17"/>
        <v/>
      </c>
      <c r="BV38" s="271"/>
    </row>
    <row r="39" spans="1:74" ht="18.75" customHeight="1" thickBot="1">
      <c r="B39" s="2587"/>
      <c r="C39" s="272">
        <v>35</v>
      </c>
      <c r="D39" s="464"/>
      <c r="E39" s="2636" t="str">
        <f ca="1">原価!E39</f>
        <v xml:space="preserve"> 消費税相当額</v>
      </c>
      <c r="F39" s="2637"/>
      <c r="G39" s="2637"/>
      <c r="H39" s="2637"/>
      <c r="I39" s="2637"/>
      <c r="J39" s="2637"/>
      <c r="K39" s="2638"/>
      <c r="L39" s="468">
        <f ca="1">IF(E39&lt;&gt;"",1,"")</f>
        <v>1</v>
      </c>
      <c r="M39" s="468" t="str">
        <f ca="1">IF(E39&lt;&gt;"","式","")</f>
        <v>式</v>
      </c>
      <c r="N39" s="2639"/>
      <c r="O39" s="2640"/>
      <c r="P39" s="2640"/>
      <c r="Q39" s="2640"/>
      <c r="R39" s="2641"/>
      <c r="S39" s="2652" t="str">
        <f>IF(B33=0,"",IF(E39=" 諸　経　費",$BS$43,IF(E39=" 現場管理費",$BS$42,IF(E39=" 運　搬　費",$BS$41,IF(E39=" 雑材消耗費",$BS$40,IF(E39="　　　　　　　　　　(小計)",$BS$39,IF(E39="　　　 　　　　　　(合計)",$BS$44,IF(A39&lt;&gt;"",VLOOKUP(A39,提出,13,FALSE),""))))))))</f>
        <v/>
      </c>
      <c r="T39" s="2643"/>
      <c r="U39" s="2643"/>
      <c r="V39" s="2643"/>
      <c r="W39" s="2644"/>
      <c r="X39" s="2645" t="str">
        <f ca="1">原価!X39</f>
        <v xml:space="preserve"> 消費税率 10％</v>
      </c>
      <c r="Y39" s="2645"/>
      <c r="Z39" s="2645"/>
      <c r="AA39" s="2646"/>
      <c r="AB39" s="200" t="s">
        <v>501</v>
      </c>
      <c r="AC39" s="514">
        <f ca="1">IF($AC$3=0,"",VLOOKUP(BG39,原価!内訳,13,FALSE))</f>
        <v>372951100</v>
      </c>
      <c r="AD39" s="2633">
        <f>IF($AC$3=0,"",1000*INT(BS39/1000))</f>
        <v>406040000</v>
      </c>
      <c r="AE39" s="2634"/>
      <c r="AF39" s="2635"/>
      <c r="AG39" s="175"/>
      <c r="AH39" s="175"/>
      <c r="AI39" s="175"/>
      <c r="AJ39" s="175"/>
      <c r="AK39" s="175"/>
      <c r="AL39" s="175"/>
      <c r="AM39" s="175"/>
      <c r="AN39" s="175"/>
      <c r="AO39" s="175"/>
      <c r="AP39" s="175"/>
      <c r="AQ39" s="175"/>
      <c r="AR39" s="175"/>
      <c r="AS39" s="175"/>
      <c r="AT39" s="175"/>
      <c r="AU39" s="175"/>
      <c r="AV39" s="482">
        <f>1000*INT((SUM(AV6:AV38)/1000))</f>
        <v>2997000</v>
      </c>
      <c r="AW39" s="482">
        <f>1000*INT((SUM(AW6:AW38)/1000))</f>
        <v>4558000</v>
      </c>
      <c r="AX39" s="482">
        <f>1000*INT((SUM(AX6:AX38)/1000))</f>
        <v>11674000</v>
      </c>
      <c r="AY39" s="482">
        <f>1000*INT((SUM(AY6:AY38)/1000))</f>
        <v>40604000</v>
      </c>
      <c r="AZ39" s="175"/>
      <c r="BA39" s="267">
        <v>34</v>
      </c>
      <c r="BB39" s="166" t="str">
        <f>"　　　　　　　　　　(小計)"</f>
        <v>　　　　　　　　　　(小計)</v>
      </c>
      <c r="BC39" s="166"/>
      <c r="BD39" s="166"/>
      <c r="BE39" s="166"/>
      <c r="BF39" s="267">
        <f t="shared" si="21"/>
        <v>14</v>
      </c>
      <c r="BG39" s="267">
        <f t="shared" si="20"/>
        <v>14</v>
      </c>
      <c r="BH39" s="166" t="str">
        <f>IF(COUNTIF($BB$4:BB38,BB39)&gt;0,"",BB39)</f>
        <v>　　　　　　　　　　(小計)</v>
      </c>
      <c r="BI39" s="166"/>
      <c r="BJ39" s="268"/>
      <c r="BK39" s="268"/>
      <c r="BL39" s="268"/>
      <c r="BM39" s="269"/>
      <c r="BN39" s="269"/>
      <c r="BO39" s="270"/>
      <c r="BP39" s="459"/>
      <c r="BQ39" s="459"/>
      <c r="BR39" s="459"/>
      <c r="BS39" s="459">
        <f>SUM(BS6:BS38)</f>
        <v>406040000</v>
      </c>
      <c r="BT39" s="312"/>
      <c r="BU39" s="312"/>
      <c r="BV39" s="271"/>
    </row>
    <row r="40" spans="1:74" ht="18.75" customHeight="1">
      <c r="B40" s="2587"/>
      <c r="C40" s="272">
        <v>36</v>
      </c>
      <c r="D40" s="464"/>
      <c r="E40" s="2636" t="str">
        <f ca="1">原価!E40</f>
        <v/>
      </c>
      <c r="F40" s="2637"/>
      <c r="G40" s="2637"/>
      <c r="H40" s="2637"/>
      <c r="I40" s="2637"/>
      <c r="J40" s="2637"/>
      <c r="K40" s="2638"/>
      <c r="L40" s="468" t="str">
        <f ca="1">IF(E40&lt;&gt;"",1,"")</f>
        <v/>
      </c>
      <c r="M40" s="468" t="str">
        <f ca="1">IF(E40&lt;&gt;"","式","")</f>
        <v/>
      </c>
      <c r="N40" s="2639"/>
      <c r="O40" s="2640"/>
      <c r="P40" s="2640"/>
      <c r="Q40" s="2640"/>
      <c r="R40" s="2641"/>
      <c r="S40" s="2642" t="str">
        <f ca="1">IF(B1=0,"",原価!S40)</f>
        <v/>
      </c>
      <c r="T40" s="2643"/>
      <c r="U40" s="2643"/>
      <c r="V40" s="2643"/>
      <c r="W40" s="2644"/>
      <c r="X40" s="2645"/>
      <c r="Y40" s="2645"/>
      <c r="Z40" s="2645"/>
      <c r="AA40" s="2646"/>
      <c r="AB40" s="200" t="s">
        <v>502</v>
      </c>
      <c r="AC40" s="514">
        <f>IF($AC$3=0,"",原価!BO40)</f>
        <v>75604100</v>
      </c>
      <c r="AD40" s="2647">
        <f>IF($AC$3=0,"",BR40)</f>
        <v>75604100</v>
      </c>
      <c r="AE40" s="2648"/>
      <c r="AF40" s="2649"/>
      <c r="AG40" s="493"/>
      <c r="AH40" s="493"/>
      <c r="AI40" s="493"/>
      <c r="AJ40" s="167"/>
      <c r="AK40" s="167"/>
      <c r="AL40" s="167"/>
      <c r="AM40" s="167"/>
      <c r="AN40" s="167"/>
      <c r="AO40" s="167"/>
      <c r="AP40" s="167"/>
      <c r="AQ40" s="167"/>
      <c r="AR40" s="167"/>
      <c r="AS40" s="167"/>
      <c r="AT40" s="167"/>
      <c r="AU40" s="167"/>
      <c r="AV40" s="167"/>
      <c r="AW40" s="167"/>
      <c r="AX40" s="167"/>
      <c r="AY40" s="167"/>
      <c r="AZ40" s="175"/>
      <c r="BA40" s="267">
        <v>35</v>
      </c>
      <c r="BB40" s="166" t="str">
        <f>" 雑材消耗費"</f>
        <v xml:space="preserve"> 雑材消耗費</v>
      </c>
      <c r="BF40" s="267">
        <f t="shared" si="21"/>
        <v>15</v>
      </c>
      <c r="BG40" s="267">
        <f t="shared" si="20"/>
        <v>15</v>
      </c>
      <c r="BH40" s="166" t="str">
        <f>IF(COUNTIF($BB$4:BB39,BB40)&gt;0,"",BB40)</f>
        <v xml:space="preserve"> 雑材消耗費</v>
      </c>
      <c r="BO40" s="271"/>
      <c r="BP40" s="498"/>
      <c r="BQ40" s="498"/>
      <c r="BR40" s="499">
        <f>IF($AC$3=0,"",SUM(BR6:BR39))</f>
        <v>75604100</v>
      </c>
      <c r="BS40" s="499">
        <f>IF($AC$3=0,"",INT(AV39/1000)*1000)</f>
        <v>2997000</v>
      </c>
      <c r="BT40" s="312"/>
      <c r="BU40" s="312"/>
      <c r="BV40" s="271"/>
    </row>
    <row r="41" spans="1:74" ht="18.75" customHeight="1">
      <c r="B41" s="2587"/>
      <c r="C41" s="272">
        <v>37</v>
      </c>
      <c r="D41" s="464"/>
      <c r="E41" s="2636" t="str">
        <f ca="1">原価!E41</f>
        <v>　　　 　 　　　　 合 計</v>
      </c>
      <c r="F41" s="2637"/>
      <c r="G41" s="2637"/>
      <c r="H41" s="2637"/>
      <c r="I41" s="2637"/>
      <c r="J41" s="2637"/>
      <c r="K41" s="2638"/>
      <c r="L41" s="466"/>
      <c r="M41" s="469"/>
      <c r="N41" s="466"/>
      <c r="O41" s="466"/>
      <c r="P41" s="466"/>
      <c r="Q41" s="466"/>
      <c r="R41" s="466"/>
      <c r="S41" s="2652">
        <f ca="1">IF(B1=0,"",BS45)</f>
        <v>512460300</v>
      </c>
      <c r="T41" s="2643"/>
      <c r="U41" s="2643"/>
      <c r="V41" s="2643"/>
      <c r="W41" s="2644"/>
      <c r="X41" s="314"/>
      <c r="Y41" s="314"/>
      <c r="Z41" s="314"/>
      <c r="AA41" s="315"/>
      <c r="AB41" s="200" t="s">
        <v>503</v>
      </c>
      <c r="AC41" s="512">
        <f ca="1">IF($AC$3=0,"",原価!S41)</f>
        <v>479263510</v>
      </c>
      <c r="AD41" s="2647">
        <f ca="1">IF($AC$3=0,"",S41)</f>
        <v>512460300</v>
      </c>
      <c r="AE41" s="2648"/>
      <c r="AF41" s="2649"/>
      <c r="AG41" s="493"/>
      <c r="AH41" s="493"/>
      <c r="AI41" s="493"/>
      <c r="AJ41" s="168"/>
      <c r="AK41" s="168"/>
      <c r="AL41" s="168"/>
      <c r="AM41" s="168"/>
      <c r="AN41" s="168"/>
      <c r="AO41" s="168"/>
      <c r="AP41" s="168"/>
      <c r="AQ41" s="168"/>
      <c r="AR41" s="168"/>
      <c r="AS41" s="168"/>
      <c r="AT41" s="168"/>
      <c r="AU41" s="168"/>
      <c r="AV41" s="168"/>
      <c r="AW41" s="168"/>
      <c r="AX41" s="168"/>
      <c r="AY41" s="168"/>
      <c r="AZ41" s="175"/>
      <c r="BA41" s="267">
        <v>36</v>
      </c>
      <c r="BB41" s="166" t="str">
        <f>" 運　搬　費"</f>
        <v xml:space="preserve"> 運　搬　費</v>
      </c>
      <c r="BF41" s="267">
        <f t="shared" si="21"/>
        <v>16</v>
      </c>
      <c r="BG41" s="267">
        <f t="shared" si="20"/>
        <v>16</v>
      </c>
      <c r="BH41" s="166" t="str">
        <f>IF(COUNTIF($BB$4:BB40,BB41)&gt;0,"",BB41)</f>
        <v xml:space="preserve"> 運　搬　費</v>
      </c>
      <c r="BO41" s="271"/>
      <c r="BP41" s="498"/>
      <c r="BQ41" s="498"/>
      <c r="BR41" s="498"/>
      <c r="BS41" s="499">
        <f>IF($AC$3=0,"",INT(AW39/1000)*1000)</f>
        <v>4558000</v>
      </c>
      <c r="BT41" s="271"/>
      <c r="BU41" s="271"/>
      <c r="BV41" s="271"/>
    </row>
    <row r="42" spans="1:74" ht="18.75" customHeight="1" thickBot="1">
      <c r="B42" s="2587"/>
      <c r="C42" s="272">
        <v>38</v>
      </c>
      <c r="D42" s="313"/>
      <c r="E42" s="314"/>
      <c r="F42" s="316"/>
      <c r="G42" s="316"/>
      <c r="H42" s="316"/>
      <c r="I42" s="316"/>
      <c r="J42" s="317"/>
      <c r="K42" s="316"/>
      <c r="L42" s="314"/>
      <c r="M42" s="314"/>
      <c r="N42" s="314"/>
      <c r="O42" s="314"/>
      <c r="P42" s="314"/>
      <c r="Q42" s="314"/>
      <c r="R42" s="314"/>
      <c r="S42" s="314"/>
      <c r="T42" s="314"/>
      <c r="U42" s="314"/>
      <c r="V42" s="314"/>
      <c r="W42" s="314"/>
      <c r="X42" s="314"/>
      <c r="Y42" s="314"/>
      <c r="Z42" s="314"/>
      <c r="AA42" s="315"/>
      <c r="AB42" s="175"/>
      <c r="AC42" s="175"/>
      <c r="AD42" s="175"/>
      <c r="AE42" s="175"/>
      <c r="AF42" s="175"/>
      <c r="AG42" s="493"/>
      <c r="AH42" s="493"/>
      <c r="AI42" s="493"/>
      <c r="AJ42" s="169"/>
      <c r="AK42" s="169"/>
      <c r="AL42" s="169"/>
      <c r="AM42" s="169"/>
      <c r="AN42" s="169"/>
      <c r="AO42" s="169"/>
      <c r="AP42" s="169"/>
      <c r="AQ42" s="169"/>
      <c r="AR42" s="169"/>
      <c r="AS42" s="169"/>
      <c r="AT42" s="169"/>
      <c r="AU42" s="169"/>
      <c r="AV42" s="169"/>
      <c r="AW42" s="169"/>
      <c r="AX42" s="169"/>
      <c r="AY42" s="169"/>
      <c r="AZ42" s="175"/>
      <c r="BA42" s="267">
        <v>37</v>
      </c>
      <c r="BB42" s="166" t="str">
        <f>" 現場管理費"</f>
        <v xml:space="preserve"> 現場管理費</v>
      </c>
      <c r="BF42" s="267">
        <f t="shared" si="21"/>
        <v>17</v>
      </c>
      <c r="BG42" s="267">
        <f t="shared" si="20"/>
        <v>17</v>
      </c>
      <c r="BH42" s="166" t="str">
        <f>IF(COUNTIF($BB$4:BB41,BB42)&gt;0,"",BB42)</f>
        <v xml:space="preserve"> 現場管理費</v>
      </c>
      <c r="BO42" s="271"/>
      <c r="BP42" s="498"/>
      <c r="BQ42" s="498"/>
      <c r="BR42" s="498"/>
      <c r="BS42" s="499">
        <f>IF($AC$3=0,"",INT(AX39/1000)*1000)</f>
        <v>11674000</v>
      </c>
      <c r="BT42" s="271"/>
      <c r="BU42" s="271"/>
      <c r="BV42" s="271"/>
    </row>
    <row r="43" spans="1:74" ht="18.75" customHeight="1" thickBot="1">
      <c r="B43" s="2587"/>
      <c r="C43" s="272">
        <v>39</v>
      </c>
      <c r="D43" s="2653" t="str">
        <f ca="1">IF(OR(S41="",AG51=0),"","単位面積当たり単価")</f>
        <v>単位面積当たり単価</v>
      </c>
      <c r="E43" s="2654"/>
      <c r="F43" s="2654"/>
      <c r="G43" s="2654"/>
      <c r="H43" s="2654"/>
      <c r="I43" s="2655">
        <f ca="1">IF(D43="","",INT(S41/Top!$AA$63))</f>
        <v>18024</v>
      </c>
      <c r="J43" s="2655"/>
      <c r="K43" s="2655"/>
      <c r="L43" s="505" t="str">
        <f ca="1">IF(I43="","","／ｍ2")</f>
        <v>／ｍ2</v>
      </c>
      <c r="M43" s="505"/>
      <c r="N43" s="2655">
        <f ca="1">IF(D43="","",INT(I43/0.3025))</f>
        <v>59583</v>
      </c>
      <c r="O43" s="2655"/>
      <c r="P43" s="2655"/>
      <c r="Q43" s="505" t="str">
        <f ca="1">IF(N43="","","／坪")</f>
        <v>／坪</v>
      </c>
      <c r="R43" s="314"/>
      <c r="S43" s="314"/>
      <c r="T43" s="319"/>
      <c r="U43" s="314"/>
      <c r="V43" s="314"/>
      <c r="W43" s="314"/>
      <c r="X43" s="314"/>
      <c r="Y43" s="314"/>
      <c r="Z43" s="314"/>
      <c r="AA43" s="315"/>
      <c r="AB43" s="175"/>
      <c r="AC43" s="170" t="s">
        <v>504</v>
      </c>
      <c r="AD43" s="289">
        <f>IF(AF43&lt;&gt;"",AF43,7%)</f>
        <v>7.0000000000000007E-2</v>
      </c>
      <c r="AE43" s="162" t="s">
        <v>52</v>
      </c>
      <c r="AF43" s="171"/>
      <c r="AG43" s="175"/>
      <c r="AH43" s="175"/>
      <c r="AI43" s="175"/>
      <c r="AJ43" s="175"/>
      <c r="AK43" s="175"/>
      <c r="AL43" s="175"/>
      <c r="AM43" s="175"/>
      <c r="AN43" s="175"/>
      <c r="AO43" s="175"/>
      <c r="AP43" s="175"/>
      <c r="AQ43" s="175"/>
      <c r="AR43" s="175"/>
      <c r="AS43" s="175"/>
      <c r="AT43" s="175"/>
      <c r="AU43" s="175"/>
      <c r="AV43" s="175"/>
      <c r="AW43" s="284"/>
      <c r="AX43" s="284"/>
      <c r="AY43" s="175"/>
      <c r="AZ43" s="175"/>
      <c r="BA43" s="267">
        <v>38</v>
      </c>
      <c r="BB43" s="166" t="str">
        <f>" 諸　経　費"</f>
        <v xml:space="preserve"> 諸　経　費</v>
      </c>
      <c r="BF43" s="267">
        <f t="shared" si="21"/>
        <v>18</v>
      </c>
      <c r="BG43" s="267">
        <f t="shared" si="20"/>
        <v>18</v>
      </c>
      <c r="BH43" s="166" t="str">
        <f>IF(COUNTIF($BB$4:BB42,BB43)&gt;0,"",BB43)</f>
        <v xml:space="preserve"> 諸　経　費</v>
      </c>
      <c r="BO43" s="271"/>
      <c r="BP43" s="498"/>
      <c r="BQ43" s="498"/>
      <c r="BR43" s="498"/>
      <c r="BS43" s="499">
        <f>IF($AC$3=0,"",INT(AY39/1000)*1000)</f>
        <v>40604000</v>
      </c>
      <c r="BT43" s="271"/>
      <c r="BU43" s="271"/>
      <c r="BV43" s="271"/>
    </row>
    <row r="44" spans="1:74" ht="18.75" customHeight="1" thickBot="1">
      <c r="B44" s="2587"/>
      <c r="C44" s="272">
        <v>40</v>
      </c>
      <c r="D44" s="313"/>
      <c r="E44" s="314"/>
      <c r="F44" s="314"/>
      <c r="G44" s="314"/>
      <c r="H44" s="318"/>
      <c r="I44" s="314"/>
      <c r="J44" s="314"/>
      <c r="K44" s="314"/>
      <c r="L44" s="314"/>
      <c r="M44" s="314"/>
      <c r="N44" s="314"/>
      <c r="O44" s="314"/>
      <c r="P44" s="314"/>
      <c r="Q44" s="314"/>
      <c r="R44" s="314"/>
      <c r="S44" s="314"/>
      <c r="T44" s="319"/>
      <c r="U44" s="314"/>
      <c r="V44" s="314"/>
      <c r="W44" s="314"/>
      <c r="X44" s="314"/>
      <c r="Y44" s="314"/>
      <c r="Z44" s="314"/>
      <c r="AA44" s="315"/>
      <c r="AB44" s="175"/>
      <c r="AC44" s="170" t="s">
        <v>505</v>
      </c>
      <c r="AD44" s="287">
        <f>IF(AF44&lt;&gt;"",AF44,原価!AD44)</f>
        <v>6000</v>
      </c>
      <c r="AE44" s="162" t="s">
        <v>52</v>
      </c>
      <c r="AF44" s="172"/>
      <c r="AG44" s="320"/>
      <c r="AH44" s="320"/>
      <c r="AI44" s="320"/>
      <c r="AJ44" s="320"/>
      <c r="AK44" s="320"/>
      <c r="AL44" s="320"/>
      <c r="AM44" s="320"/>
      <c r="AN44" s="320"/>
      <c r="AO44" s="320"/>
      <c r="AP44" s="320"/>
      <c r="AQ44" s="320"/>
      <c r="AR44" s="320"/>
      <c r="AS44" s="320"/>
      <c r="AT44" s="320"/>
      <c r="AU44" s="320"/>
      <c r="AV44" s="320"/>
      <c r="AW44" s="320"/>
      <c r="AX44" s="320"/>
      <c r="AY44" s="320"/>
      <c r="AZ44" s="320"/>
      <c r="BA44" s="267">
        <v>39</v>
      </c>
      <c r="BB44" s="166" t="str">
        <f>"　　　　　　　　　　(合計)"</f>
        <v>　　　　　　　　　　(合計)</v>
      </c>
      <c r="BF44" s="267">
        <f t="shared" si="21"/>
        <v>19</v>
      </c>
      <c r="BG44" s="267">
        <f t="shared" si="20"/>
        <v>19</v>
      </c>
      <c r="BH44" s="166" t="str">
        <f>IF(COUNTIF($BB$4:BB43,BB44)&gt;0,"",BB44)</f>
        <v>　　　　　　　　　　(合計)</v>
      </c>
      <c r="BL44" s="501"/>
      <c r="BM44" s="501"/>
      <c r="BN44" s="501"/>
      <c r="BO44" s="271"/>
      <c r="BP44" s="498"/>
      <c r="BQ44" s="498"/>
      <c r="BR44" s="498"/>
      <c r="BS44" s="499">
        <f>IF($AC$3=0,"",INT(SUM(BS39:BS43)/1000)*1000)</f>
        <v>465873000</v>
      </c>
      <c r="BT44" s="271"/>
      <c r="BU44" s="271"/>
      <c r="BV44" s="271"/>
    </row>
    <row r="45" spans="1:74" ht="18.75" customHeight="1" thickBot="1">
      <c r="B45" s="2587"/>
      <c r="C45" s="272">
        <v>41</v>
      </c>
      <c r="D45" s="313"/>
      <c r="E45" s="314"/>
      <c r="F45" s="314"/>
      <c r="G45" s="314"/>
      <c r="H45" s="318"/>
      <c r="I45" s="314"/>
      <c r="J45" s="314"/>
      <c r="K45" s="314"/>
      <c r="L45" s="314"/>
      <c r="M45" s="314"/>
      <c r="N45" s="314"/>
      <c r="O45" s="314"/>
      <c r="P45" s="314"/>
      <c r="Q45" s="319"/>
      <c r="R45" s="314"/>
      <c r="S45" s="314"/>
      <c r="T45" s="314"/>
      <c r="U45" s="314"/>
      <c r="V45" s="314"/>
      <c r="W45" s="314"/>
      <c r="X45" s="314"/>
      <c r="Y45" s="314"/>
      <c r="Z45" s="314"/>
      <c r="AA45" s="315"/>
      <c r="AB45" s="175"/>
      <c r="AC45" s="175"/>
      <c r="AD45" s="175"/>
      <c r="AE45" s="175"/>
      <c r="AF45" s="321"/>
      <c r="AG45" s="175"/>
      <c r="AH45" s="175"/>
      <c r="AI45" s="175"/>
      <c r="AJ45" s="175"/>
      <c r="AK45" s="175"/>
      <c r="AL45" s="175"/>
      <c r="AM45" s="175"/>
      <c r="AN45" s="175"/>
      <c r="AO45" s="175"/>
      <c r="AP45" s="175"/>
      <c r="AQ45" s="175"/>
      <c r="AR45" s="175"/>
      <c r="AS45" s="175"/>
      <c r="AT45" s="175"/>
      <c r="AU45" s="175"/>
      <c r="AV45" s="175"/>
      <c r="AW45" s="175"/>
      <c r="AX45" s="175"/>
      <c r="AY45" s="175"/>
      <c r="AZ45" s="175"/>
      <c r="BA45" s="267"/>
      <c r="BP45" s="461"/>
      <c r="BQ45" s="461"/>
      <c r="BR45" s="461"/>
      <c r="BS45" s="499">
        <f>IF($AC$3=0,"",BS44+BS46)</f>
        <v>512460300</v>
      </c>
    </row>
    <row r="46" spans="1:74" ht="18.75" customHeight="1" thickBot="1">
      <c r="B46" s="2587"/>
      <c r="C46" s="272">
        <v>42</v>
      </c>
      <c r="D46" s="313"/>
      <c r="E46" s="314"/>
      <c r="F46" s="314"/>
      <c r="G46" s="314"/>
      <c r="H46" s="318"/>
      <c r="I46" s="314"/>
      <c r="J46" s="314"/>
      <c r="K46" s="314"/>
      <c r="L46" s="314"/>
      <c r="M46" s="314"/>
      <c r="N46" s="314"/>
      <c r="O46" s="314"/>
      <c r="P46" s="314"/>
      <c r="Q46" s="319"/>
      <c r="R46" s="314"/>
      <c r="S46" s="314"/>
      <c r="T46" s="314"/>
      <c r="U46" s="314"/>
      <c r="V46" s="314"/>
      <c r="W46" s="314"/>
      <c r="X46" s="314"/>
      <c r="Y46" s="314"/>
      <c r="Z46" s="314"/>
      <c r="AA46" s="315"/>
      <c r="AB46" s="175"/>
      <c r="AC46" s="170" t="s">
        <v>506</v>
      </c>
      <c r="AD46" s="289">
        <f>IF(AF46&lt;&gt;"",AF46,0.03)</f>
        <v>0.03</v>
      </c>
      <c r="AE46" s="162" t="s">
        <v>52</v>
      </c>
      <c r="AF46" s="173"/>
      <c r="AG46" s="322"/>
      <c r="AH46" s="322"/>
      <c r="AI46" s="322"/>
      <c r="AJ46" s="322"/>
      <c r="AK46" s="322"/>
      <c r="AL46" s="322"/>
      <c r="AM46" s="322"/>
      <c r="AN46" s="322"/>
      <c r="AO46" s="322"/>
      <c r="AP46" s="322"/>
      <c r="AQ46" s="322"/>
      <c r="AR46" s="322"/>
      <c r="AS46" s="322"/>
      <c r="AT46" s="322"/>
      <c r="AU46" s="322"/>
      <c r="AV46" s="322"/>
      <c r="AW46" s="322"/>
      <c r="AX46" s="322"/>
      <c r="AY46" s="2678"/>
      <c r="AZ46" s="2678"/>
      <c r="BA46" s="323"/>
      <c r="BB46" s="323"/>
      <c r="BC46" s="323"/>
      <c r="BD46" s="290"/>
      <c r="BE46" s="290"/>
      <c r="BO46" s="166" t="str">
        <f>"消費税相当額"</f>
        <v>消費税相当額</v>
      </c>
      <c r="BP46" s="461"/>
      <c r="BQ46" s="461"/>
      <c r="BR46" s="461"/>
      <c r="BS46" s="500">
        <f>IF($AC$3=0,"",BS44*原価!AD51)</f>
        <v>46587300</v>
      </c>
    </row>
    <row r="47" spans="1:74" ht="18.75" customHeight="1" thickBot="1">
      <c r="B47" s="2587"/>
      <c r="C47" s="272">
        <v>43</v>
      </c>
      <c r="D47" s="313"/>
      <c r="E47" s="314"/>
      <c r="F47" s="314"/>
      <c r="G47" s="314"/>
      <c r="H47" s="318"/>
      <c r="I47" s="314"/>
      <c r="J47" s="314"/>
      <c r="K47" s="314"/>
      <c r="L47" s="314"/>
      <c r="M47" s="314"/>
      <c r="N47" s="314"/>
      <c r="O47" s="314"/>
      <c r="P47" s="314"/>
      <c r="Q47" s="314"/>
      <c r="R47" s="314"/>
      <c r="S47" s="314"/>
      <c r="T47" s="314"/>
      <c r="U47" s="314"/>
      <c r="V47" s="314"/>
      <c r="W47" s="314"/>
      <c r="X47" s="319"/>
      <c r="Y47" s="319"/>
      <c r="Z47" s="314"/>
      <c r="AA47" s="315"/>
      <c r="AB47" s="175"/>
      <c r="AC47" s="170" t="s">
        <v>478</v>
      </c>
      <c r="AD47" s="289">
        <f>IF(AF47&lt;&gt;"",AF47,0.015)</f>
        <v>1.4999999999999999E-2</v>
      </c>
      <c r="AE47" s="162" t="s">
        <v>52</v>
      </c>
      <c r="AF47" s="173"/>
      <c r="AG47" s="322"/>
      <c r="AH47" s="322"/>
      <c r="AI47" s="322"/>
      <c r="AJ47" s="322"/>
      <c r="AK47" s="322"/>
      <c r="AL47" s="322"/>
      <c r="AM47" s="322"/>
      <c r="AN47" s="322"/>
      <c r="AO47" s="322"/>
      <c r="AP47" s="322"/>
      <c r="AQ47" s="322"/>
      <c r="AR47" s="322"/>
      <c r="AS47" s="322"/>
      <c r="AT47" s="322"/>
      <c r="AU47" s="322"/>
      <c r="AV47" s="322"/>
      <c r="AW47" s="322"/>
      <c r="AX47" s="322"/>
      <c r="AY47" s="322"/>
      <c r="AZ47" s="322"/>
      <c r="BA47" s="323"/>
      <c r="BB47" s="323"/>
      <c r="BC47" s="323"/>
      <c r="BD47" s="290"/>
      <c r="BE47" s="290"/>
    </row>
    <row r="48" spans="1:74" ht="18.75" customHeight="1" thickBot="1">
      <c r="B48" s="2587"/>
      <c r="C48" s="272">
        <v>44</v>
      </c>
      <c r="D48" s="313"/>
      <c r="E48" s="314"/>
      <c r="F48" s="314"/>
      <c r="G48" s="314"/>
      <c r="H48" s="314"/>
      <c r="I48" s="314"/>
      <c r="J48" s="314"/>
      <c r="K48" s="314"/>
      <c r="L48" s="314"/>
      <c r="M48" s="314"/>
      <c r="N48" s="314"/>
      <c r="O48" s="314"/>
      <c r="P48" s="314"/>
      <c r="Q48" s="314"/>
      <c r="R48" s="314"/>
      <c r="S48" s="319"/>
      <c r="T48" s="319"/>
      <c r="U48" s="319"/>
      <c r="V48" s="319"/>
      <c r="W48" s="319"/>
      <c r="X48" s="314"/>
      <c r="Y48" s="314"/>
      <c r="Z48" s="314"/>
      <c r="AA48" s="315"/>
      <c r="AB48" s="175"/>
      <c r="AC48" s="170" t="s">
        <v>480</v>
      </c>
      <c r="AD48" s="289">
        <f>IF(AF48&lt;&gt;"",AF48,0.05)</f>
        <v>0.05</v>
      </c>
      <c r="AE48" s="162" t="s">
        <v>52</v>
      </c>
      <c r="AF48" s="173"/>
      <c r="AG48" s="322"/>
      <c r="AH48" s="322"/>
      <c r="AI48" s="322"/>
      <c r="AJ48" s="322"/>
      <c r="AK48" s="322"/>
      <c r="AL48" s="322"/>
      <c r="AM48" s="322"/>
      <c r="AN48" s="322"/>
      <c r="AO48" s="322"/>
      <c r="AP48" s="322"/>
      <c r="AQ48" s="322"/>
      <c r="AR48" s="322"/>
      <c r="AS48" s="322"/>
      <c r="AT48" s="322"/>
      <c r="AU48" s="322"/>
      <c r="AV48" s="322"/>
      <c r="AW48" s="322"/>
      <c r="AX48" s="322"/>
      <c r="AY48" s="322"/>
      <c r="AZ48" s="322"/>
      <c r="BA48" s="323"/>
      <c r="BB48" s="323"/>
      <c r="BC48" s="323"/>
      <c r="BD48" s="290"/>
      <c r="BE48" s="290"/>
    </row>
    <row r="49" spans="2:64" ht="18.75" customHeight="1" thickBot="1">
      <c r="B49" s="2587"/>
      <c r="C49" s="291">
        <v>45</v>
      </c>
      <c r="D49" s="324"/>
      <c r="E49" s="325"/>
      <c r="F49" s="325"/>
      <c r="G49" s="325"/>
      <c r="H49" s="325"/>
      <c r="I49" s="325"/>
      <c r="J49" s="325"/>
      <c r="K49" s="325"/>
      <c r="L49" s="325"/>
      <c r="M49" s="325"/>
      <c r="N49" s="325"/>
      <c r="O49" s="325"/>
      <c r="P49" s="325"/>
      <c r="Q49" s="325"/>
      <c r="R49" s="325"/>
      <c r="S49" s="325"/>
      <c r="T49" s="325"/>
      <c r="U49" s="325"/>
      <c r="V49" s="325"/>
      <c r="W49" s="325"/>
      <c r="X49" s="325"/>
      <c r="Y49" s="325"/>
      <c r="Z49" s="325"/>
      <c r="AA49" s="326"/>
      <c r="AB49" s="175"/>
      <c r="AC49" s="170" t="s">
        <v>482</v>
      </c>
      <c r="AD49" s="289">
        <f>IF(AF49&lt;&gt;"",AF49,0.1)</f>
        <v>0.1</v>
      </c>
      <c r="AE49" s="162" t="s">
        <v>52</v>
      </c>
      <c r="AF49" s="173"/>
      <c r="AG49" s="322"/>
      <c r="AH49" s="322"/>
      <c r="AI49" s="322"/>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row>
    <row r="50" spans="2:64" ht="4.5" customHeight="1" thickBot="1">
      <c r="B50" s="2587"/>
      <c r="AF50" s="328"/>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row>
    <row r="51" spans="2:64" ht="12.75" customHeight="1" thickBot="1">
      <c r="B51" s="2587" t="s">
        <v>507</v>
      </c>
      <c r="C51" s="507" t="s">
        <v>508</v>
      </c>
      <c r="D51" s="508">
        <f ca="1">IF(SUM(D55:D90)=0,"",2)</f>
        <v>2</v>
      </c>
      <c r="E51" s="2588" t="str">
        <f>IF($E$2="","",$E$2)</f>
        <v xml:space="preserve"> (原価セル番号[F2],[F3],[F4] )  この三行は、入力可能"セル"です。</v>
      </c>
      <c r="F51" s="2588"/>
      <c r="G51" s="2588"/>
      <c r="H51" s="2588"/>
      <c r="I51" s="2588"/>
      <c r="J51" s="2588"/>
      <c r="K51" s="2588"/>
      <c r="L51" s="2588"/>
      <c r="M51" s="2588"/>
      <c r="N51" s="2588"/>
      <c r="O51" s="2588"/>
      <c r="P51" s="2588"/>
      <c r="Q51" s="2588"/>
      <c r="R51" s="2588"/>
      <c r="S51" s="2588"/>
      <c r="T51" s="2588"/>
      <c r="U51" s="329" t="str">
        <f>IF($U$2="","",$U$2)</f>
        <v/>
      </c>
      <c r="V51" s="330"/>
      <c r="W51" s="2589" t="str">
        <f>IF($W$2="","",$W$2)</f>
        <v>date:</v>
      </c>
      <c r="X51" s="2589"/>
      <c r="Y51" s="2590" t="str">
        <f>Y2</f>
        <v>yyyy.mm/dd</v>
      </c>
      <c r="Z51" s="2590"/>
      <c r="AA51" s="2590"/>
      <c r="AB51" s="244"/>
      <c r="AC51" s="497" t="s">
        <v>1046</v>
      </c>
      <c r="AD51" s="494" t="str">
        <f>IF(AF51&lt;&gt;"",AF51,"非表示")</f>
        <v>表示</v>
      </c>
      <c r="AE51" s="162" t="s">
        <v>52</v>
      </c>
      <c r="AF51" s="495" t="s">
        <v>1048</v>
      </c>
      <c r="AG51" s="496">
        <f>IF(AD51="表示",1,0)</f>
        <v>1</v>
      </c>
      <c r="AH51" s="244"/>
      <c r="AI51" s="244"/>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row>
    <row r="52" spans="2:64" ht="12" customHeight="1">
      <c r="B52" s="2587"/>
      <c r="C52" s="329" t="str">
        <f>IF($C$3="","",$C$3)</f>
        <v/>
      </c>
      <c r="D52" s="329" t="str">
        <f>IF($D$3="","",$D$3)</f>
        <v/>
      </c>
      <c r="E52" s="2588" t="str">
        <f>IF($E$3="","",$E$3)</f>
        <v>Cell No.[E2]～[E4]の範囲のセルには、企業情報・ロゴ等の表示に、活用</v>
      </c>
      <c r="F52" s="2588"/>
      <c r="G52" s="2588"/>
      <c r="H52" s="2588"/>
      <c r="I52" s="2588"/>
      <c r="J52" s="2588"/>
      <c r="K52" s="2588"/>
      <c r="L52" s="2588"/>
      <c r="M52" s="2588"/>
      <c r="N52" s="2588"/>
      <c r="O52" s="2588"/>
      <c r="P52" s="2588"/>
      <c r="Q52" s="2588"/>
      <c r="R52" s="2588"/>
      <c r="S52" s="2588"/>
      <c r="T52" s="2588"/>
      <c r="U52" s="329" t="str">
        <f>IF(U3="","",U3)</f>
        <v/>
      </c>
      <c r="V52" s="331"/>
      <c r="W52" s="509"/>
      <c r="X52" s="489" t="str">
        <f>$X$3</f>
        <v xml:space="preserve">    TELEPHONE:</v>
      </c>
      <c r="Y52" s="2631" t="str">
        <f>$Y$3</f>
        <v>0nn-nnn-nnnn</v>
      </c>
      <c r="Z52" s="2632"/>
      <c r="AA52" s="2632"/>
      <c r="AB52" s="241"/>
      <c r="AC52" s="241"/>
      <c r="AD52" s="506">
        <f ca="1">S41/BS39</f>
        <v>1.2620931435326568</v>
      </c>
      <c r="AE52" s="241"/>
      <c r="AF52" s="241"/>
      <c r="AG52" s="241"/>
      <c r="AH52" s="241"/>
      <c r="AI52" s="241"/>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row>
    <row r="53" spans="2:64" ht="16.5" customHeight="1" thickBot="1">
      <c r="B53" s="2587"/>
      <c r="C53" s="332" t="str">
        <f>IF(C4="","",C4)</f>
        <v/>
      </c>
      <c r="D53" s="332" t="str">
        <f>IF(D4="","",D4)</f>
        <v/>
      </c>
      <c r="E53" s="2588" t="str">
        <f>IF($E$4="","",$E$4)</f>
        <v>できます。 　ここに入力したデータは、関連する各ページに自動転記されます。</v>
      </c>
      <c r="F53" s="2588"/>
      <c r="G53" s="2588"/>
      <c r="H53" s="2588"/>
      <c r="I53" s="2588"/>
      <c r="J53" s="2588"/>
      <c r="K53" s="2588"/>
      <c r="L53" s="2588"/>
      <c r="M53" s="2588"/>
      <c r="N53" s="2588"/>
      <c r="O53" s="2588"/>
      <c r="P53" s="2588"/>
      <c r="Q53" s="2588"/>
      <c r="R53" s="2588"/>
      <c r="S53" s="2588"/>
      <c r="T53" s="2588"/>
      <c r="U53" s="332" t="str">
        <f>IF(U4="","",U4)</f>
        <v/>
      </c>
      <c r="V53" s="333"/>
      <c r="W53" s="510"/>
      <c r="X53" s="511" t="str">
        <f>$X$4</f>
        <v>　　FACSIMILE:</v>
      </c>
      <c r="Y53" s="2650" t="str">
        <f>$Y$4</f>
        <v>0nn-nnn-nnnn</v>
      </c>
      <c r="Z53" s="2651"/>
      <c r="AA53" s="2651"/>
      <c r="AB53" s="241"/>
      <c r="AC53" s="241"/>
      <c r="AD53" s="241"/>
      <c r="AE53" s="241"/>
      <c r="AF53" s="241"/>
      <c r="AG53" s="241"/>
      <c r="AH53" s="241"/>
      <c r="AI53" s="241"/>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row>
    <row r="54" spans="2:64" ht="18.75" customHeight="1">
      <c r="B54" s="2587"/>
      <c r="C54" s="258">
        <v>1</v>
      </c>
      <c r="D54" s="310" t="s">
        <v>467</v>
      </c>
      <c r="E54" s="2618" t="s">
        <v>468</v>
      </c>
      <c r="F54" s="2618"/>
      <c r="G54" s="2618"/>
      <c r="H54" s="2618"/>
      <c r="I54" s="2618"/>
      <c r="J54" s="2618"/>
      <c r="K54" s="2618"/>
      <c r="L54" s="310" t="s">
        <v>469</v>
      </c>
      <c r="M54" s="311" t="s">
        <v>470</v>
      </c>
      <c r="N54" s="2620" t="s">
        <v>471</v>
      </c>
      <c r="O54" s="2621"/>
      <c r="P54" s="2621"/>
      <c r="Q54" s="2621"/>
      <c r="R54" s="2622"/>
      <c r="S54" s="2618" t="s">
        <v>472</v>
      </c>
      <c r="T54" s="2618"/>
      <c r="U54" s="2618"/>
      <c r="V54" s="2618"/>
      <c r="W54" s="2618"/>
      <c r="X54" s="2618" t="s">
        <v>473</v>
      </c>
      <c r="Y54" s="2618"/>
      <c r="Z54" s="2618"/>
      <c r="AA54" s="2619"/>
      <c r="AB54" s="298"/>
      <c r="AC54" s="298"/>
      <c r="AD54" s="298"/>
      <c r="AE54" s="298"/>
      <c r="AF54" s="298"/>
      <c r="AG54" s="298"/>
      <c r="AH54" s="298"/>
      <c r="AI54" s="298"/>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row>
    <row r="55" spans="2:64" ht="18.75" customHeight="1">
      <c r="B55" s="2587"/>
      <c r="C55" s="262">
        <v>2</v>
      </c>
      <c r="D55" s="464">
        <f ca="1">D6</f>
        <v>1</v>
      </c>
      <c r="E55" s="2623" t="str">
        <f ca="1">IF(D6="","",E6)</f>
        <v xml:space="preserve"> 引込工事</v>
      </c>
      <c r="F55" s="2624"/>
      <c r="G55" s="2624"/>
      <c r="H55" s="2624"/>
      <c r="I55" s="2624"/>
      <c r="J55" s="2624"/>
      <c r="K55" s="2624"/>
      <c r="L55" s="2625">
        <f ca="1">IF(OR(D55="",$AG$51=0),"",INT(S59/Top!$AA$63))</f>
        <v>124</v>
      </c>
      <c r="M55" s="2625"/>
      <c r="N55" s="456" t="str">
        <f ca="1">IF(L55="","","／ｍ2")</f>
        <v>／ｍ2</v>
      </c>
      <c r="O55" s="456"/>
      <c r="P55" s="2626">
        <f ca="1">IF(L55="","",INT(L55/0.3025))</f>
        <v>409</v>
      </c>
      <c r="Q55" s="2626"/>
      <c r="R55" s="456" t="str">
        <f ca="1">IF(P55="","","／坪")</f>
        <v>／坪</v>
      </c>
      <c r="S55" s="2607" t="str">
        <f ca="1">IF(L55="","","合計金額に対する割合；")</f>
        <v>合計金額に対する割合；</v>
      </c>
      <c r="T55" s="2607"/>
      <c r="U55" s="2607"/>
      <c r="V55" s="2607"/>
      <c r="W55" s="2607"/>
      <c r="X55" s="2607"/>
      <c r="Y55" s="2608">
        <f ca="1">IF(L55="","",$AD$52*100*S59/$S$41)</f>
        <v>0.86912619446359962</v>
      </c>
      <c r="Z55" s="2608"/>
      <c r="AA55" s="471" t="str">
        <f ca="1">IF(L55="","","％")</f>
        <v>％</v>
      </c>
      <c r="AB55" s="301"/>
      <c r="AC55" s="301"/>
      <c r="AD55" s="301"/>
      <c r="AE55" s="301"/>
      <c r="AF55" s="301"/>
      <c r="AG55" s="301"/>
      <c r="AH55" s="301"/>
      <c r="AI55" s="301"/>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row>
    <row r="56" spans="2:64" ht="18.75" customHeight="1">
      <c r="B56" s="2587"/>
      <c r="C56" s="272">
        <v>3</v>
      </c>
      <c r="D56" s="455"/>
      <c r="E56" s="2614" t="str">
        <f ca="1">IF(D55&lt;&gt;"",VLOOKUP(D55,提出,7,FALSE),"")</f>
        <v>配管配線材料</v>
      </c>
      <c r="F56" s="2615"/>
      <c r="G56" s="2615"/>
      <c r="H56" s="2615"/>
      <c r="I56" s="2615"/>
      <c r="J56" s="2615"/>
      <c r="K56" s="2616"/>
      <c r="L56" s="468">
        <f ca="1">IF(E56&lt;&gt;"",1,"")</f>
        <v>1</v>
      </c>
      <c r="M56" s="468" t="str">
        <f ca="1">IF(E56&lt;&gt;"","式","")</f>
        <v>式</v>
      </c>
      <c r="N56" s="2617">
        <f ca="1">IF(D55&lt;&gt;"",VLOOKUP(D55,提出,10,FALSE),"")</f>
        <v>1410000</v>
      </c>
      <c r="O56" s="2617"/>
      <c r="P56" s="2617"/>
      <c r="Q56" s="2617"/>
      <c r="R56" s="2617"/>
      <c r="S56" s="2583"/>
      <c r="T56" s="2583"/>
      <c r="U56" s="2583"/>
      <c r="V56" s="2583"/>
      <c r="W56" s="2583"/>
      <c r="X56" s="2584"/>
      <c r="Y56" s="2585"/>
      <c r="Z56" s="2585"/>
      <c r="AA56" s="2586"/>
      <c r="AB56" s="175"/>
      <c r="AC56" s="175"/>
      <c r="AD56" s="175"/>
      <c r="AE56" s="175"/>
      <c r="AF56" s="175"/>
      <c r="AG56" s="175"/>
      <c r="AH56" s="175"/>
      <c r="AI56" s="175"/>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row>
    <row r="57" spans="2:64" ht="18.75" customHeight="1">
      <c r="B57" s="2587"/>
      <c r="C57" s="272">
        <v>4</v>
      </c>
      <c r="D57" s="335"/>
      <c r="E57" s="2614" t="str">
        <f ca="1">IF(D55&lt;&gt;"",VLOOKUP(D55,提出,8,FALSE),"")</f>
        <v>機 　器　 類</v>
      </c>
      <c r="F57" s="2615"/>
      <c r="G57" s="2615"/>
      <c r="H57" s="2615"/>
      <c r="I57" s="2615"/>
      <c r="J57" s="2615"/>
      <c r="K57" s="2616"/>
      <c r="L57" s="468">
        <f ca="1">IF(E57&lt;&gt;"",1,"")</f>
        <v>1</v>
      </c>
      <c r="M57" s="468" t="str">
        <f ca="1">IF(E57&lt;&gt;"","式","")</f>
        <v>式</v>
      </c>
      <c r="N57" s="2617">
        <f ca="1">IF(D55&lt;&gt;"",VLOOKUP(D55,提出,11,FALSE),"")</f>
        <v>1115000</v>
      </c>
      <c r="O57" s="2617"/>
      <c r="P57" s="2617"/>
      <c r="Q57" s="2617"/>
      <c r="R57" s="2617"/>
      <c r="S57" s="2583"/>
      <c r="T57" s="2583"/>
      <c r="U57" s="2583"/>
      <c r="V57" s="2583"/>
      <c r="W57" s="2583"/>
      <c r="X57" s="2584"/>
      <c r="Y57" s="2585"/>
      <c r="Z57" s="2585"/>
      <c r="AA57" s="2586"/>
      <c r="AB57" s="175"/>
      <c r="AC57" s="175"/>
      <c r="AD57" s="175"/>
      <c r="AE57" s="175"/>
      <c r="AF57" s="175"/>
      <c r="AG57" s="175"/>
      <c r="AH57" s="175"/>
      <c r="AI57" s="175"/>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row>
    <row r="58" spans="2:64" ht="18.75" customHeight="1">
      <c r="B58" s="2587"/>
      <c r="C58" s="272">
        <v>5</v>
      </c>
      <c r="D58" s="336"/>
      <c r="E58" s="2614" t="str">
        <f ca="1">IF(D55&lt;&gt;"",VLOOKUP(D55,提出,9,FALSE),"")</f>
        <v>電 　工　 費</v>
      </c>
      <c r="F58" s="2615"/>
      <c r="G58" s="2615"/>
      <c r="H58" s="2615"/>
      <c r="I58" s="2615"/>
      <c r="J58" s="2615"/>
      <c r="K58" s="2616"/>
      <c r="L58" s="468">
        <f ca="1">IF(E58&lt;&gt;"",1,"")</f>
        <v>1</v>
      </c>
      <c r="M58" s="468" t="str">
        <f ca="1">IF(E58&lt;&gt;"","式","")</f>
        <v>式</v>
      </c>
      <c r="N58" s="2617">
        <f ca="1">IF(D55&lt;&gt;"",VLOOKUP(D55,提出,12,FALSE),"")</f>
        <v>774000</v>
      </c>
      <c r="O58" s="2617"/>
      <c r="P58" s="2617"/>
      <c r="Q58" s="2617"/>
      <c r="R58" s="2617"/>
      <c r="S58" s="2583"/>
      <c r="T58" s="2583"/>
      <c r="U58" s="2583"/>
      <c r="V58" s="2583"/>
      <c r="W58" s="2583"/>
      <c r="X58" s="2584"/>
      <c r="Y58" s="2585"/>
      <c r="Z58" s="2585"/>
      <c r="AA58" s="2586"/>
      <c r="AB58" s="175"/>
      <c r="AC58" s="175"/>
      <c r="AD58" s="175"/>
      <c r="AE58" s="175"/>
      <c r="AF58" s="175"/>
      <c r="AG58" s="175"/>
      <c r="AH58" s="175"/>
      <c r="AI58" s="175"/>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row>
    <row r="59" spans="2:64" ht="18.75" customHeight="1">
      <c r="B59" s="2587"/>
      <c r="C59" s="575">
        <v>6</v>
      </c>
      <c r="D59" s="573"/>
      <c r="E59" s="2609" t="str">
        <f ca="1">IF(E55&lt;&gt;"",D55&amp;" の 計","")</f>
        <v>1 の 計</v>
      </c>
      <c r="F59" s="2610"/>
      <c r="G59" s="2610"/>
      <c r="H59" s="2610"/>
      <c r="I59" s="2610"/>
      <c r="J59" s="2610"/>
      <c r="K59" s="2611"/>
      <c r="L59" s="574"/>
      <c r="M59" s="574"/>
      <c r="N59" s="2598"/>
      <c r="O59" s="2598"/>
      <c r="P59" s="2598"/>
      <c r="Q59" s="2598"/>
      <c r="R59" s="2598"/>
      <c r="S59" s="2612">
        <f ca="1">IF(D55&lt;&gt;"",VLOOKUP(D55,提出,13,FALSE),"")</f>
        <v>3529000</v>
      </c>
      <c r="T59" s="2612"/>
      <c r="U59" s="2612"/>
      <c r="V59" s="2612"/>
      <c r="W59" s="2612"/>
      <c r="X59" s="2628"/>
      <c r="Y59" s="2629"/>
      <c r="Z59" s="2629"/>
      <c r="AA59" s="2630"/>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G59" s="248"/>
      <c r="BH59" s="248"/>
      <c r="BI59" s="248"/>
      <c r="BJ59" s="248"/>
      <c r="BK59" s="248"/>
      <c r="BL59" s="248"/>
    </row>
    <row r="60" spans="2:64" ht="18.75" customHeight="1">
      <c r="B60" s="2587"/>
      <c r="C60" s="262">
        <v>7</v>
      </c>
      <c r="D60" s="464">
        <f ca="1">D7</f>
        <v>2</v>
      </c>
      <c r="E60" s="2604" t="str">
        <f ca="1">IF(D7="","",E7)</f>
        <v xml:space="preserve"> 受変電設備工事</v>
      </c>
      <c r="F60" s="2605"/>
      <c r="G60" s="2605"/>
      <c r="H60" s="2605"/>
      <c r="I60" s="2605"/>
      <c r="J60" s="2605"/>
      <c r="K60" s="2605"/>
      <c r="L60" s="2606">
        <f ca="1">IF(OR(D60="",$AG$51=0),"",INT(S64/Top!$AA$63))</f>
        <v>1492</v>
      </c>
      <c r="M60" s="2606"/>
      <c r="N60" s="319" t="str">
        <f ca="1">IF(L60="","","／ｍ2")</f>
        <v>／ｍ2</v>
      </c>
      <c r="O60" s="319"/>
      <c r="P60" s="2613">
        <f ca="1">IF(L60="","",INT(L60/0.3025))</f>
        <v>4932</v>
      </c>
      <c r="Q60" s="2613"/>
      <c r="R60" s="319" t="str">
        <f ca="1">IF(P60="","","／坪")</f>
        <v>／坪</v>
      </c>
      <c r="S60" s="2607" t="str">
        <f ca="1">IF(L60="","","合計金額に対する割合；")</f>
        <v>合計金額に対する割合；</v>
      </c>
      <c r="T60" s="2607"/>
      <c r="U60" s="2607"/>
      <c r="V60" s="2607"/>
      <c r="W60" s="2607"/>
      <c r="X60" s="2607"/>
      <c r="Y60" s="2608">
        <f ca="1">IF(L60="","",$AD$52*100*S64/$S$41)</f>
        <v>10.447985420155648</v>
      </c>
      <c r="Z60" s="2608"/>
      <c r="AA60" s="471" t="str">
        <f ca="1">IF(L60="","","％")</f>
        <v>％</v>
      </c>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row>
    <row r="61" spans="2:64" ht="18.75" customHeight="1">
      <c r="B61" s="2587"/>
      <c r="C61" s="272">
        <v>8</v>
      </c>
      <c r="D61" s="205"/>
      <c r="E61" s="2614" t="str">
        <f ca="1">IF(D60&lt;&gt;"",VLOOKUP(D60,提出,7,FALSE),"")</f>
        <v>配管配線材料</v>
      </c>
      <c r="F61" s="2615"/>
      <c r="G61" s="2615"/>
      <c r="H61" s="2615"/>
      <c r="I61" s="2615"/>
      <c r="J61" s="2615"/>
      <c r="K61" s="2616"/>
      <c r="L61" s="468">
        <f ca="1">IF(E61&lt;&gt;"",1,"")</f>
        <v>1</v>
      </c>
      <c r="M61" s="468" t="str">
        <f ca="1">IF(E61&lt;&gt;"","式","")</f>
        <v>式</v>
      </c>
      <c r="N61" s="2617">
        <f ca="1">IF(D60&lt;&gt;"",VLOOKUP(D60,提出,10,FALSE),"")</f>
        <v>3841000</v>
      </c>
      <c r="O61" s="2617"/>
      <c r="P61" s="2617"/>
      <c r="Q61" s="2617"/>
      <c r="R61" s="2617"/>
      <c r="S61" s="2583"/>
      <c r="T61" s="2583"/>
      <c r="U61" s="2583"/>
      <c r="V61" s="2583"/>
      <c r="W61" s="2583"/>
      <c r="X61" s="2584"/>
      <c r="Y61" s="2585"/>
      <c r="Z61" s="2585"/>
      <c r="AA61" s="2586"/>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175"/>
      <c r="AX61" s="175"/>
      <c r="AY61" s="175"/>
      <c r="AZ61" s="175"/>
    </row>
    <row r="62" spans="2:64" ht="18.75" customHeight="1">
      <c r="B62" s="2587"/>
      <c r="C62" s="272">
        <v>9</v>
      </c>
      <c r="D62" s="336"/>
      <c r="E62" s="2614" t="str">
        <f ca="1">IF(D60&lt;&gt;"",VLOOKUP(D60,提出,8,FALSE),"")</f>
        <v>機 　器　 類</v>
      </c>
      <c r="F62" s="2615"/>
      <c r="G62" s="2615"/>
      <c r="H62" s="2615"/>
      <c r="I62" s="2615"/>
      <c r="J62" s="2615"/>
      <c r="K62" s="2616"/>
      <c r="L62" s="468">
        <f ca="1">IF(E62&lt;&gt;"",1,"")</f>
        <v>1</v>
      </c>
      <c r="M62" s="468" t="str">
        <f ca="1">IF(E62&lt;&gt;"","式","")</f>
        <v>式</v>
      </c>
      <c r="N62" s="2617">
        <f ca="1">IF(D60&lt;&gt;"",VLOOKUP(D60,提出,11,FALSE),"")</f>
        <v>32401000</v>
      </c>
      <c r="O62" s="2617"/>
      <c r="P62" s="2617"/>
      <c r="Q62" s="2617"/>
      <c r="R62" s="2617"/>
      <c r="S62" s="2583"/>
      <c r="T62" s="2583"/>
      <c r="U62" s="2583"/>
      <c r="V62" s="2583"/>
      <c r="W62" s="2583"/>
      <c r="X62" s="2584"/>
      <c r="Y62" s="2585"/>
      <c r="Z62" s="2585"/>
      <c r="AA62" s="2586"/>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175"/>
      <c r="AX62" s="175"/>
      <c r="AY62" s="175"/>
      <c r="AZ62" s="175"/>
    </row>
    <row r="63" spans="2:64" ht="18.75" customHeight="1">
      <c r="B63" s="2587"/>
      <c r="C63" s="272">
        <v>10</v>
      </c>
      <c r="D63" s="336"/>
      <c r="E63" s="2614" t="str">
        <f ca="1">IF(D60&lt;&gt;"",VLOOKUP(D60,提出,9,FALSE),"")</f>
        <v>電 　工　 費</v>
      </c>
      <c r="F63" s="2615"/>
      <c r="G63" s="2615"/>
      <c r="H63" s="2615"/>
      <c r="I63" s="2615"/>
      <c r="J63" s="2615"/>
      <c r="K63" s="2616"/>
      <c r="L63" s="468">
        <f ca="1">IF(E63&lt;&gt;"",1,"")</f>
        <v>1</v>
      </c>
      <c r="M63" s="468" t="str">
        <f ca="1">IF(E63&lt;&gt;"","式","")</f>
        <v>式</v>
      </c>
      <c r="N63" s="2617">
        <f ca="1">IF(D60&lt;&gt;"",VLOOKUP(D60,提出,12,FALSE),"")</f>
        <v>3406000</v>
      </c>
      <c r="O63" s="2617"/>
      <c r="P63" s="2617"/>
      <c r="Q63" s="2617"/>
      <c r="R63" s="2617"/>
      <c r="S63" s="2583"/>
      <c r="T63" s="2583"/>
      <c r="U63" s="2583"/>
      <c r="V63" s="2583"/>
      <c r="W63" s="2583"/>
      <c r="X63" s="2584"/>
      <c r="Y63" s="2585"/>
      <c r="Z63" s="2585"/>
      <c r="AA63" s="2586"/>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175"/>
      <c r="AX63" s="175"/>
      <c r="AY63" s="175"/>
      <c r="AZ63" s="175"/>
    </row>
    <row r="64" spans="2:64" ht="18.75" customHeight="1">
      <c r="B64" s="2587"/>
      <c r="C64" s="575">
        <v>11</v>
      </c>
      <c r="D64" s="573"/>
      <c r="E64" s="2609" t="str">
        <f ca="1">IF(E60&lt;&gt;"",D60&amp;" の 計","")</f>
        <v>2 の 計</v>
      </c>
      <c r="F64" s="2610"/>
      <c r="G64" s="2610"/>
      <c r="H64" s="2610"/>
      <c r="I64" s="2610"/>
      <c r="J64" s="2610"/>
      <c r="K64" s="2611"/>
      <c r="L64" s="574"/>
      <c r="M64" s="574"/>
      <c r="N64" s="2598"/>
      <c r="O64" s="2598"/>
      <c r="P64" s="2598"/>
      <c r="Q64" s="2598"/>
      <c r="R64" s="2598"/>
      <c r="S64" s="2612">
        <f ca="1">IF(D60&lt;&gt;"",VLOOKUP(D60,提出,13,FALSE),"")</f>
        <v>42423000</v>
      </c>
      <c r="T64" s="2612"/>
      <c r="U64" s="2612"/>
      <c r="V64" s="2612"/>
      <c r="W64" s="2612"/>
      <c r="X64" s="2584"/>
      <c r="Y64" s="2585"/>
      <c r="Z64" s="2585"/>
      <c r="AA64" s="2586"/>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175"/>
      <c r="AX64" s="175"/>
      <c r="AY64" s="175"/>
      <c r="AZ64" s="175"/>
    </row>
    <row r="65" spans="2:52" ht="18.75" customHeight="1">
      <c r="B65" s="2587"/>
      <c r="C65" s="262">
        <v>12</v>
      </c>
      <c r="D65" s="464">
        <f ca="1">D8</f>
        <v>3</v>
      </c>
      <c r="E65" s="2604" t="str">
        <f ca="1">IF(D8="","",E8)</f>
        <v xml:space="preserve"> 自家用発電設備工事</v>
      </c>
      <c r="F65" s="2605"/>
      <c r="G65" s="2605"/>
      <c r="H65" s="2605"/>
      <c r="I65" s="2605"/>
      <c r="J65" s="2605"/>
      <c r="K65" s="2605"/>
      <c r="L65" s="2606">
        <f ca="1">IF(OR(D65="",$AG$51=0),"",INT(S69/Top!$AA$63))</f>
        <v>325</v>
      </c>
      <c r="M65" s="2606"/>
      <c r="N65" s="319" t="str">
        <f ca="1">IF(L65="","","／ｍ2")</f>
        <v>／ｍ2</v>
      </c>
      <c r="O65" s="319"/>
      <c r="P65" s="2613">
        <f ca="1">IF(L65="","",INT(L65/0.3025))</f>
        <v>1074</v>
      </c>
      <c r="Q65" s="2613"/>
      <c r="R65" s="319" t="str">
        <f ca="1">IF(P65="","","／坪")</f>
        <v>／坪</v>
      </c>
      <c r="S65" s="2607" t="str">
        <f ca="1">IF(L65="","","合計金額に対する割合；")</f>
        <v>合計金額に対する割合；</v>
      </c>
      <c r="T65" s="2607"/>
      <c r="U65" s="2607"/>
      <c r="V65" s="2607"/>
      <c r="W65" s="2607"/>
      <c r="X65" s="2607"/>
      <c r="Y65" s="2608">
        <f ca="1">IF(L65="","",$AD$52*100*S69/$S$41)</f>
        <v>2.2820411782090431</v>
      </c>
      <c r="Z65" s="2608"/>
      <c r="AA65" s="471" t="str">
        <f ca="1">IF(L65="","","％")</f>
        <v>％</v>
      </c>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301"/>
      <c r="AX65" s="301"/>
      <c r="AY65" s="301"/>
      <c r="AZ65" s="301"/>
    </row>
    <row r="66" spans="2:52" ht="18.75" customHeight="1">
      <c r="B66" s="2587"/>
      <c r="C66" s="272">
        <v>13</v>
      </c>
      <c r="D66" s="205"/>
      <c r="E66" s="2614" t="str">
        <f ca="1">IF(D65&lt;&gt;"",VLOOKUP(D65,提出,7,FALSE),"")</f>
        <v>配管配線材料</v>
      </c>
      <c r="F66" s="2615"/>
      <c r="G66" s="2615"/>
      <c r="H66" s="2615"/>
      <c r="I66" s="2615"/>
      <c r="J66" s="2615"/>
      <c r="K66" s="2616"/>
      <c r="L66" s="468">
        <f ca="1">IF(E66&lt;&gt;"",1,"")</f>
        <v>1</v>
      </c>
      <c r="M66" s="468" t="str">
        <f ca="1">IF(E66&lt;&gt;"","式","")</f>
        <v>式</v>
      </c>
      <c r="N66" s="2617">
        <f ca="1">IF(D65&lt;&gt;"",VLOOKUP(D65,提出,10,FALSE),"")</f>
        <v>338000</v>
      </c>
      <c r="O66" s="2617"/>
      <c r="P66" s="2617"/>
      <c r="Q66" s="2617"/>
      <c r="R66" s="2617"/>
      <c r="S66" s="2583"/>
      <c r="T66" s="2583"/>
      <c r="U66" s="2583"/>
      <c r="V66" s="2583"/>
      <c r="W66" s="2583"/>
      <c r="X66" s="2584"/>
      <c r="Y66" s="2585"/>
      <c r="Z66" s="2585"/>
      <c r="AA66" s="2586"/>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175"/>
      <c r="AX66" s="175"/>
      <c r="AY66" s="175"/>
      <c r="AZ66" s="175"/>
    </row>
    <row r="67" spans="2:52" ht="18.75" customHeight="1">
      <c r="B67" s="2587"/>
      <c r="C67" s="272">
        <v>14</v>
      </c>
      <c r="D67" s="336"/>
      <c r="E67" s="2614" t="str">
        <f ca="1">IF(D65&lt;&gt;"",VLOOKUP(D65,提出,8,FALSE),"")</f>
        <v>機 　器　 類</v>
      </c>
      <c r="F67" s="2615"/>
      <c r="G67" s="2615"/>
      <c r="H67" s="2615"/>
      <c r="I67" s="2615"/>
      <c r="J67" s="2615"/>
      <c r="K67" s="2616"/>
      <c r="L67" s="468">
        <f ca="1">IF(E67&lt;&gt;"",1,"")</f>
        <v>1</v>
      </c>
      <c r="M67" s="468" t="str">
        <f ca="1">IF(E67&lt;&gt;"","式","")</f>
        <v>式</v>
      </c>
      <c r="N67" s="2617">
        <f ca="1">IF(D65&lt;&gt;"",VLOOKUP(D65,提出,11,FALSE),"")</f>
        <v>6480000</v>
      </c>
      <c r="O67" s="2617"/>
      <c r="P67" s="2617"/>
      <c r="Q67" s="2617"/>
      <c r="R67" s="2617"/>
      <c r="S67" s="2583"/>
      <c r="T67" s="2583"/>
      <c r="U67" s="2583"/>
      <c r="V67" s="2583"/>
      <c r="W67" s="2583"/>
      <c r="X67" s="2584"/>
      <c r="Y67" s="2585"/>
      <c r="Z67" s="2585"/>
      <c r="AA67" s="2586"/>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175"/>
      <c r="AX67" s="175"/>
      <c r="AY67" s="175"/>
      <c r="AZ67" s="175"/>
    </row>
    <row r="68" spans="2:52" ht="18.75" customHeight="1">
      <c r="B68" s="2587"/>
      <c r="C68" s="272">
        <v>15</v>
      </c>
      <c r="D68" s="336"/>
      <c r="E68" s="2614" t="str">
        <f ca="1">IF(D65&lt;&gt;"",VLOOKUP(D65,提出,9,FALSE),"")</f>
        <v>電 　工　 費</v>
      </c>
      <c r="F68" s="2615"/>
      <c r="G68" s="2615"/>
      <c r="H68" s="2615"/>
      <c r="I68" s="2615"/>
      <c r="J68" s="2615"/>
      <c r="K68" s="2616"/>
      <c r="L68" s="468">
        <f ca="1">IF(E68&lt;&gt;"",1,"")</f>
        <v>1</v>
      </c>
      <c r="M68" s="468" t="str">
        <f ca="1">IF(E68&lt;&gt;"","式","")</f>
        <v>式</v>
      </c>
      <c r="N68" s="2617">
        <f ca="1">IF(D65&lt;&gt;"",VLOOKUP(D65,提出,12,FALSE),"")</f>
        <v>1842000</v>
      </c>
      <c r="O68" s="2617"/>
      <c r="P68" s="2617"/>
      <c r="Q68" s="2617"/>
      <c r="R68" s="2617"/>
      <c r="S68" s="2583"/>
      <c r="T68" s="2583"/>
      <c r="U68" s="2583"/>
      <c r="V68" s="2583"/>
      <c r="W68" s="2583"/>
      <c r="X68" s="2584"/>
      <c r="Y68" s="2585"/>
      <c r="Z68" s="2585"/>
      <c r="AA68" s="2586"/>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175"/>
      <c r="AX68" s="175"/>
      <c r="AY68" s="175"/>
      <c r="AZ68" s="175"/>
    </row>
    <row r="69" spans="2:52" ht="18.75" customHeight="1">
      <c r="B69" s="2587"/>
      <c r="C69" s="575">
        <v>16</v>
      </c>
      <c r="D69" s="573"/>
      <c r="E69" s="2609" t="str">
        <f ca="1">IF(E65&lt;&gt;"",D65&amp;" の 計","")</f>
        <v>3 の 計</v>
      </c>
      <c r="F69" s="2610"/>
      <c r="G69" s="2610"/>
      <c r="H69" s="2610"/>
      <c r="I69" s="2610"/>
      <c r="J69" s="2610"/>
      <c r="K69" s="2611"/>
      <c r="L69" s="574"/>
      <c r="M69" s="574"/>
      <c r="N69" s="2598"/>
      <c r="O69" s="2598"/>
      <c r="P69" s="2598"/>
      <c r="Q69" s="2598"/>
      <c r="R69" s="2598"/>
      <c r="S69" s="2612">
        <f ca="1">IF(D65&lt;&gt;"",VLOOKUP(D65,提出,13,FALSE),"")</f>
        <v>9266000</v>
      </c>
      <c r="T69" s="2612"/>
      <c r="U69" s="2612"/>
      <c r="V69" s="2612"/>
      <c r="W69" s="2612"/>
      <c r="X69" s="2584"/>
      <c r="Y69" s="2585"/>
      <c r="Z69" s="2585"/>
      <c r="AA69" s="2586"/>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175"/>
      <c r="AX69" s="175"/>
      <c r="AY69" s="175"/>
      <c r="AZ69" s="175"/>
    </row>
    <row r="70" spans="2:52" ht="18.75" customHeight="1">
      <c r="B70" s="2587"/>
      <c r="C70" s="262">
        <v>17</v>
      </c>
      <c r="D70" s="464">
        <f ca="1">D9</f>
        <v>4</v>
      </c>
      <c r="E70" s="2604" t="str">
        <f ca="1">IF(D9="","",E9)</f>
        <v xml:space="preserve"> 低圧幹線設備工事</v>
      </c>
      <c r="F70" s="2605"/>
      <c r="G70" s="2605"/>
      <c r="H70" s="2605"/>
      <c r="I70" s="2605"/>
      <c r="J70" s="2605"/>
      <c r="K70" s="2605"/>
      <c r="L70" s="2606">
        <f ca="1">IF(OR(D70="",$AG$51=0),"",INT(S74/Top!$AA$63))</f>
        <v>3289</v>
      </c>
      <c r="M70" s="2606"/>
      <c r="N70" s="319" t="str">
        <f ca="1">IF(L70="","","／ｍ2")</f>
        <v>／ｍ2</v>
      </c>
      <c r="O70" s="319"/>
      <c r="P70" s="2613">
        <f ca="1">IF(L70="","",INT(L70/0.3025))</f>
        <v>10872</v>
      </c>
      <c r="Q70" s="2613"/>
      <c r="R70" s="319" t="str">
        <f ca="1">IF(P70="","","／坪")</f>
        <v>／坪</v>
      </c>
      <c r="S70" s="2607" t="str">
        <f ca="1">IF(L70="","","合計金額に対する割合；")</f>
        <v>合計金額に対する割合；</v>
      </c>
      <c r="T70" s="2607"/>
      <c r="U70" s="2607"/>
      <c r="V70" s="2607"/>
      <c r="W70" s="2607"/>
      <c r="X70" s="2607"/>
      <c r="Y70" s="2608">
        <f ca="1">IF(L70="","",$AD$52*100*S74/$S$41)</f>
        <v>23.035907792335728</v>
      </c>
      <c r="Z70" s="2608"/>
      <c r="AA70" s="471" t="str">
        <f ca="1">IF(L70="","","％")</f>
        <v>％</v>
      </c>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301"/>
      <c r="AX70" s="301"/>
      <c r="AY70" s="301"/>
      <c r="AZ70" s="301"/>
    </row>
    <row r="71" spans="2:52" ht="18.75" customHeight="1">
      <c r="B71" s="2587"/>
      <c r="C71" s="272">
        <v>18</v>
      </c>
      <c r="D71" s="205"/>
      <c r="E71" s="2614" t="str">
        <f ca="1">IF(D70&lt;&gt;"",VLOOKUP(D70,提出,7,FALSE),"")</f>
        <v>配管配線材料</v>
      </c>
      <c r="F71" s="2615"/>
      <c r="G71" s="2615"/>
      <c r="H71" s="2615"/>
      <c r="I71" s="2615"/>
      <c r="J71" s="2615"/>
      <c r="K71" s="2616"/>
      <c r="L71" s="468">
        <f ca="1">IF(E71&lt;&gt;"",1,"")</f>
        <v>1</v>
      </c>
      <c r="M71" s="468" t="str">
        <f ca="1">IF(E71&lt;&gt;"","式","")</f>
        <v>式</v>
      </c>
      <c r="N71" s="2617">
        <f ca="1">IF(D70&lt;&gt;"",VLOOKUP(D70,提出,10,FALSE),"")</f>
        <v>25613000</v>
      </c>
      <c r="O71" s="2617"/>
      <c r="P71" s="2617"/>
      <c r="Q71" s="2617"/>
      <c r="R71" s="2617"/>
      <c r="S71" s="2583"/>
      <c r="T71" s="2583"/>
      <c r="U71" s="2583"/>
      <c r="V71" s="2583"/>
      <c r="W71" s="2583"/>
      <c r="X71" s="2584"/>
      <c r="Y71" s="2585"/>
      <c r="Z71" s="2585"/>
      <c r="AA71" s="2586"/>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175"/>
      <c r="AX71" s="175"/>
      <c r="AY71" s="175"/>
      <c r="AZ71" s="175"/>
    </row>
    <row r="72" spans="2:52" ht="18.75" customHeight="1">
      <c r="B72" s="2587"/>
      <c r="C72" s="272">
        <v>19</v>
      </c>
      <c r="D72" s="336"/>
      <c r="E72" s="2614" t="str">
        <f ca="1">IF(D70&lt;&gt;"",VLOOKUP(D70,提出,8,FALSE),"")</f>
        <v>機 　器　 類</v>
      </c>
      <c r="F72" s="2615"/>
      <c r="G72" s="2615"/>
      <c r="H72" s="2615"/>
      <c r="I72" s="2615"/>
      <c r="J72" s="2615"/>
      <c r="K72" s="2616"/>
      <c r="L72" s="468">
        <f ca="1">IF(E72&lt;&gt;"",1,"")</f>
        <v>1</v>
      </c>
      <c r="M72" s="468" t="str">
        <f ca="1">IF(E72&lt;&gt;"","式","")</f>
        <v>式</v>
      </c>
      <c r="N72" s="2617">
        <f ca="1">IF(D70&lt;&gt;"",VLOOKUP(D70,提出,11,FALSE),"")</f>
        <v>55438000</v>
      </c>
      <c r="O72" s="2617"/>
      <c r="P72" s="2617"/>
      <c r="Q72" s="2617"/>
      <c r="R72" s="2617"/>
      <c r="S72" s="2583"/>
      <c r="T72" s="2583"/>
      <c r="U72" s="2583"/>
      <c r="V72" s="2583"/>
      <c r="W72" s="2583"/>
      <c r="X72" s="2584"/>
      <c r="Y72" s="2585"/>
      <c r="Z72" s="2585"/>
      <c r="AA72" s="2586"/>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175"/>
      <c r="AX72" s="175"/>
      <c r="AY72" s="175"/>
      <c r="AZ72" s="175"/>
    </row>
    <row r="73" spans="2:52" ht="18.75" customHeight="1">
      <c r="B73" s="2587"/>
      <c r="C73" s="272">
        <v>20</v>
      </c>
      <c r="D73" s="336"/>
      <c r="E73" s="2614" t="str">
        <f ca="1">IF(D70&lt;&gt;"",VLOOKUP(D70,提出,9,FALSE),"")</f>
        <v>電 　工　 費</v>
      </c>
      <c r="F73" s="2615"/>
      <c r="G73" s="2615"/>
      <c r="H73" s="2615"/>
      <c r="I73" s="2615"/>
      <c r="J73" s="2615"/>
      <c r="K73" s="2616"/>
      <c r="L73" s="468">
        <f ca="1">IF(E73&lt;&gt;"",1,"")</f>
        <v>1</v>
      </c>
      <c r="M73" s="468" t="str">
        <f ca="1">IF(E73&lt;&gt;"","式","")</f>
        <v>式</v>
      </c>
      <c r="N73" s="2617">
        <f ca="1">IF(D70&lt;&gt;"",VLOOKUP(D70,提出,12,FALSE),"")</f>
        <v>6365000</v>
      </c>
      <c r="O73" s="2617"/>
      <c r="P73" s="2617"/>
      <c r="Q73" s="2617"/>
      <c r="R73" s="2617"/>
      <c r="S73" s="2583"/>
      <c r="T73" s="2583"/>
      <c r="U73" s="2583"/>
      <c r="V73" s="2583"/>
      <c r="W73" s="2583"/>
      <c r="X73" s="2584"/>
      <c r="Y73" s="2585"/>
      <c r="Z73" s="2585"/>
      <c r="AA73" s="2586"/>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row>
    <row r="74" spans="2:52" ht="18.75" customHeight="1">
      <c r="B74" s="2587"/>
      <c r="C74" s="575">
        <v>21</v>
      </c>
      <c r="D74" s="573"/>
      <c r="E74" s="2609" t="str">
        <f ca="1">IF(E70&lt;&gt;"",D70&amp;" の 計","")</f>
        <v>4 の 計</v>
      </c>
      <c r="F74" s="2610"/>
      <c r="G74" s="2610"/>
      <c r="H74" s="2610"/>
      <c r="I74" s="2610"/>
      <c r="J74" s="2610"/>
      <c r="K74" s="2611"/>
      <c r="L74" s="574"/>
      <c r="M74" s="574"/>
      <c r="N74" s="2598"/>
      <c r="O74" s="2598"/>
      <c r="P74" s="2598"/>
      <c r="Q74" s="2598"/>
      <c r="R74" s="2598"/>
      <c r="S74" s="2612">
        <f ca="1">IF(D70&lt;&gt;"",VLOOKUP(D70,提出,13,FALSE),"")</f>
        <v>93535000</v>
      </c>
      <c r="T74" s="2612"/>
      <c r="U74" s="2612"/>
      <c r="V74" s="2612"/>
      <c r="W74" s="2612"/>
      <c r="X74" s="2584"/>
      <c r="Y74" s="2585"/>
      <c r="Z74" s="2585"/>
      <c r="AA74" s="2586"/>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2:52" ht="18.75" customHeight="1">
      <c r="B75" s="2587"/>
      <c r="C75" s="262">
        <v>22</v>
      </c>
      <c r="D75" s="464">
        <f ca="1">D10</f>
        <v>5</v>
      </c>
      <c r="E75" s="2604" t="str">
        <f ca="1">IF(D10="","",E10)</f>
        <v xml:space="preserve"> 動力配線工事</v>
      </c>
      <c r="F75" s="2605"/>
      <c r="G75" s="2605"/>
      <c r="H75" s="2605"/>
      <c r="I75" s="2605"/>
      <c r="J75" s="2605"/>
      <c r="K75" s="2605"/>
      <c r="L75" s="2606">
        <f ca="1">IF(OR(D75="",$AG$51=0),"",INT(S79/Top!$AA$63))</f>
        <v>1154</v>
      </c>
      <c r="M75" s="2606"/>
      <c r="N75" s="319" t="str">
        <f ca="1">IF(L75="","","／ｍ2")</f>
        <v>／ｍ2</v>
      </c>
      <c r="O75" s="319"/>
      <c r="P75" s="2613">
        <f ca="1">IF(L75="","",INT(L75/0.3025))</f>
        <v>3814</v>
      </c>
      <c r="Q75" s="2613"/>
      <c r="R75" s="319" t="str">
        <f ca="1">IF(P75="","","／坪")</f>
        <v>／坪</v>
      </c>
      <c r="S75" s="2607" t="str">
        <f ca="1">IF(L75="","","合計金額に対する割合；")</f>
        <v>合計金額に対する割合；</v>
      </c>
      <c r="T75" s="2607"/>
      <c r="U75" s="2607"/>
      <c r="V75" s="2607"/>
      <c r="W75" s="2607"/>
      <c r="X75" s="2607"/>
      <c r="Y75" s="2608">
        <f ca="1">IF(L75="","",$AD$52*100*S79/$S$41)</f>
        <v>8.0854103044035064</v>
      </c>
      <c r="Z75" s="2608"/>
      <c r="AA75" s="471" t="str">
        <f ca="1">IF(L75="","","％")</f>
        <v>％</v>
      </c>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row>
    <row r="76" spans="2:52" ht="18.75" customHeight="1">
      <c r="B76" s="2587"/>
      <c r="C76" s="272">
        <v>23</v>
      </c>
      <c r="D76" s="205"/>
      <c r="E76" s="2614" t="str">
        <f ca="1">IF(D75&lt;&gt;"",VLOOKUP(D75,提出,7,FALSE),"")</f>
        <v>配管配線材料</v>
      </c>
      <c r="F76" s="2615"/>
      <c r="G76" s="2615"/>
      <c r="H76" s="2615"/>
      <c r="I76" s="2615"/>
      <c r="J76" s="2615"/>
      <c r="K76" s="2616"/>
      <c r="L76" s="468">
        <f ca="1">IF(E76&lt;&gt;"",1,"")</f>
        <v>1</v>
      </c>
      <c r="M76" s="468" t="str">
        <f ca="1">IF(E76&lt;&gt;"","式","")</f>
        <v>式</v>
      </c>
      <c r="N76" s="2617">
        <f ca="1">IF(D75&lt;&gt;"",VLOOKUP(D75,提出,10,FALSE),"")</f>
        <v>20825000</v>
      </c>
      <c r="O76" s="2617"/>
      <c r="P76" s="2617"/>
      <c r="Q76" s="2617"/>
      <c r="R76" s="2617"/>
      <c r="S76" s="2583"/>
      <c r="T76" s="2583"/>
      <c r="U76" s="2583"/>
      <c r="V76" s="2583"/>
      <c r="W76" s="2583"/>
      <c r="X76" s="2584"/>
      <c r="Y76" s="2585"/>
      <c r="Z76" s="2585"/>
      <c r="AA76" s="2586"/>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2:52" ht="18.75" customHeight="1">
      <c r="B77" s="2587"/>
      <c r="C77" s="272">
        <v>24</v>
      </c>
      <c r="D77" s="336"/>
      <c r="E77" s="2614" t="str">
        <f ca="1">IF(D75&lt;&gt;"",VLOOKUP(D75,提出,8,FALSE),"")</f>
        <v>配管付属品・支持材</v>
      </c>
      <c r="F77" s="2615"/>
      <c r="G77" s="2615"/>
      <c r="H77" s="2615"/>
      <c r="I77" s="2615"/>
      <c r="J77" s="2615"/>
      <c r="K77" s="2616"/>
      <c r="L77" s="468">
        <f ca="1">IF(E77&lt;&gt;"",1,"")</f>
        <v>1</v>
      </c>
      <c r="M77" s="468" t="str">
        <f ca="1">IF(E77&lt;&gt;"","式","")</f>
        <v>式</v>
      </c>
      <c r="N77" s="2617">
        <f ca="1">IF(D75&lt;&gt;"",VLOOKUP(D75,提出,11,FALSE),"")</f>
        <v>0</v>
      </c>
      <c r="O77" s="2617"/>
      <c r="P77" s="2617"/>
      <c r="Q77" s="2617"/>
      <c r="R77" s="2617"/>
      <c r="S77" s="2583"/>
      <c r="T77" s="2583"/>
      <c r="U77" s="2583"/>
      <c r="V77" s="2583"/>
      <c r="W77" s="2583"/>
      <c r="X77" s="2584"/>
      <c r="Y77" s="2585"/>
      <c r="Z77" s="2585"/>
      <c r="AA77" s="2586"/>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2:52" ht="18.75" customHeight="1">
      <c r="B78" s="2587"/>
      <c r="C78" s="272">
        <v>25</v>
      </c>
      <c r="D78" s="336"/>
      <c r="E78" s="2614" t="str">
        <f ca="1">IF(D75&lt;&gt;"",VLOOKUP(D75,提出,9,FALSE),"")</f>
        <v>電 　工　 費</v>
      </c>
      <c r="F78" s="2615"/>
      <c r="G78" s="2615"/>
      <c r="H78" s="2615"/>
      <c r="I78" s="2615"/>
      <c r="J78" s="2615"/>
      <c r="K78" s="2616"/>
      <c r="L78" s="468">
        <f ca="1">IF(E78&lt;&gt;"",1,"")</f>
        <v>1</v>
      </c>
      <c r="M78" s="468" t="str">
        <f ca="1">IF(E78&lt;&gt;"","式","")</f>
        <v>式</v>
      </c>
      <c r="N78" s="2617">
        <f ca="1">IF(D75&lt;&gt;"",VLOOKUP(D75,提出,12,FALSE),"")</f>
        <v>9858000</v>
      </c>
      <c r="O78" s="2617"/>
      <c r="P78" s="2617"/>
      <c r="Q78" s="2617"/>
      <c r="R78" s="2617"/>
      <c r="S78" s="2583"/>
      <c r="T78" s="2583"/>
      <c r="U78" s="2583"/>
      <c r="V78" s="2583"/>
      <c r="W78" s="2583"/>
      <c r="X78" s="2584"/>
      <c r="Y78" s="2585"/>
      <c r="Z78" s="2585"/>
      <c r="AA78" s="2586"/>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2:52" ht="18.75" customHeight="1">
      <c r="B79" s="2587"/>
      <c r="C79" s="575">
        <v>26</v>
      </c>
      <c r="D79" s="573"/>
      <c r="E79" s="2609" t="str">
        <f ca="1">IF(E75&lt;&gt;"",D75&amp;" の 計","")</f>
        <v>5 の 計</v>
      </c>
      <c r="F79" s="2610"/>
      <c r="G79" s="2610"/>
      <c r="H79" s="2610"/>
      <c r="I79" s="2610"/>
      <c r="J79" s="2610"/>
      <c r="K79" s="2611"/>
      <c r="L79" s="574"/>
      <c r="M79" s="574"/>
      <c r="N79" s="2598"/>
      <c r="O79" s="2598"/>
      <c r="P79" s="2598"/>
      <c r="Q79" s="2598"/>
      <c r="R79" s="2598"/>
      <c r="S79" s="2612">
        <f ca="1">IF(D75&lt;&gt;"",VLOOKUP(D75,提出,13,FALSE),"")</f>
        <v>32830000</v>
      </c>
      <c r="T79" s="2612"/>
      <c r="U79" s="2612"/>
      <c r="V79" s="2612"/>
      <c r="W79" s="2612"/>
      <c r="X79" s="2584"/>
      <c r="Y79" s="2585"/>
      <c r="Z79" s="2585"/>
      <c r="AA79" s="2586"/>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2:52" ht="18.75" customHeight="1">
      <c r="B80" s="2587"/>
      <c r="C80" s="262">
        <v>27</v>
      </c>
      <c r="D80" s="464">
        <f ca="1">D11</f>
        <v>6</v>
      </c>
      <c r="E80" s="2604" t="str">
        <f ca="1">IF(D11="","",E11)</f>
        <v xml:space="preserve"> 照明コンセント設備工事</v>
      </c>
      <c r="F80" s="2605"/>
      <c r="G80" s="2605"/>
      <c r="H80" s="2605"/>
      <c r="I80" s="2605"/>
      <c r="J80" s="2605"/>
      <c r="K80" s="2605"/>
      <c r="L80" s="2606">
        <f ca="1">IF(OR(D80="",$AG$51=0),"",INT(S84/Top!$AA$63))</f>
        <v>938</v>
      </c>
      <c r="M80" s="2606"/>
      <c r="N80" s="319" t="str">
        <f ca="1">IF(L80="","","／ｍ2")</f>
        <v>／ｍ2</v>
      </c>
      <c r="O80" s="319"/>
      <c r="P80" s="2613">
        <f ca="1">IF(L80="","",INT(L80/0.3025))</f>
        <v>3100</v>
      </c>
      <c r="Q80" s="2613"/>
      <c r="R80" s="319" t="str">
        <f ca="1">IF(P80="","","／坪")</f>
        <v>／坪</v>
      </c>
      <c r="S80" s="2607" t="str">
        <f ca="1">IF(L80="","","合計金額に対する割合；")</f>
        <v>合計金額に対する割合；</v>
      </c>
      <c r="T80" s="2607"/>
      <c r="U80" s="2607"/>
      <c r="V80" s="2607"/>
      <c r="W80" s="2607"/>
      <c r="X80" s="2607"/>
      <c r="Y80" s="2608">
        <f ca="1">IF(L80="","",$AD$52*100*S84/$S$41)</f>
        <v>6.572505171904246</v>
      </c>
      <c r="Z80" s="2608"/>
      <c r="AA80" s="471" t="str">
        <f ca="1">IF(L80="","","％")</f>
        <v>％</v>
      </c>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row>
    <row r="81" spans="2:52" ht="18.75" customHeight="1">
      <c r="B81" s="2587"/>
      <c r="C81" s="272">
        <v>28</v>
      </c>
      <c r="D81" s="205"/>
      <c r="E81" s="2614" t="str">
        <f ca="1">IF(D80&lt;&gt;"",VLOOKUP(D80,提出,7,FALSE),"")</f>
        <v>配管配線材料</v>
      </c>
      <c r="F81" s="2615"/>
      <c r="G81" s="2615"/>
      <c r="H81" s="2615"/>
      <c r="I81" s="2615"/>
      <c r="J81" s="2615"/>
      <c r="K81" s="2616"/>
      <c r="L81" s="468">
        <f ca="1">IF(E81&lt;&gt;"",1,"")</f>
        <v>1</v>
      </c>
      <c r="M81" s="468" t="str">
        <f ca="1">IF(E81&lt;&gt;"","式","")</f>
        <v>式</v>
      </c>
      <c r="N81" s="2617">
        <f ca="1">IF(D80&lt;&gt;"",VLOOKUP(D80,提出,10,FALSE),"")</f>
        <v>15107000</v>
      </c>
      <c r="O81" s="2617"/>
      <c r="P81" s="2617"/>
      <c r="Q81" s="2617"/>
      <c r="R81" s="2617"/>
      <c r="S81" s="2583"/>
      <c r="T81" s="2583"/>
      <c r="U81" s="2583"/>
      <c r="V81" s="2583"/>
      <c r="W81" s="2583"/>
      <c r="X81" s="2584"/>
      <c r="Y81" s="2585"/>
      <c r="Z81" s="2585"/>
      <c r="AA81" s="2586"/>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2:52" ht="18.75" customHeight="1">
      <c r="B82" s="2587"/>
      <c r="C82" s="272">
        <v>29</v>
      </c>
      <c r="D82" s="336"/>
      <c r="E82" s="2614" t="str">
        <f ca="1">IF(D80&lt;&gt;"",VLOOKUP(D80,提出,8,FALSE),"")</f>
        <v>配線 器具 類</v>
      </c>
      <c r="F82" s="2615"/>
      <c r="G82" s="2615"/>
      <c r="H82" s="2615"/>
      <c r="I82" s="2615"/>
      <c r="J82" s="2615"/>
      <c r="K82" s="2616"/>
      <c r="L82" s="468">
        <f ca="1">IF(E82&lt;&gt;"",1,"")</f>
        <v>1</v>
      </c>
      <c r="M82" s="468" t="str">
        <f ca="1">IF(E82&lt;&gt;"","式","")</f>
        <v>式</v>
      </c>
      <c r="N82" s="2617">
        <f ca="1">IF(D80&lt;&gt;"",VLOOKUP(D80,提出,11,FALSE),"")</f>
        <v>0</v>
      </c>
      <c r="O82" s="2617"/>
      <c r="P82" s="2617"/>
      <c r="Q82" s="2617"/>
      <c r="R82" s="2617"/>
      <c r="S82" s="2583"/>
      <c r="T82" s="2583"/>
      <c r="U82" s="2583"/>
      <c r="V82" s="2583"/>
      <c r="W82" s="2583"/>
      <c r="X82" s="2584" t="str">
        <f ca="1">IF(E80=" 低圧幹線設備工事"," 低圧盤を含む","")</f>
        <v/>
      </c>
      <c r="Y82" s="2585"/>
      <c r="Z82" s="2585"/>
      <c r="AA82" s="2586"/>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2:52" ht="18.75" customHeight="1">
      <c r="B83" s="2587"/>
      <c r="C83" s="272">
        <v>30</v>
      </c>
      <c r="D83" s="336"/>
      <c r="E83" s="2614" t="str">
        <f ca="1">IF(D80&lt;&gt;"",VLOOKUP(D80,提出,9,FALSE),"")</f>
        <v>電 　工　 費</v>
      </c>
      <c r="F83" s="2615"/>
      <c r="G83" s="2615"/>
      <c r="H83" s="2615"/>
      <c r="I83" s="2615"/>
      <c r="J83" s="2615"/>
      <c r="K83" s="2616"/>
      <c r="L83" s="468">
        <f ca="1">IF(E83&lt;&gt;"",1,"")</f>
        <v>1</v>
      </c>
      <c r="M83" s="468" t="str">
        <f ca="1">IF(E83&lt;&gt;"","式","")</f>
        <v>式</v>
      </c>
      <c r="N83" s="2617">
        <f ca="1">IF(D80&lt;&gt;"",VLOOKUP(D80,提出,12,FALSE),"")</f>
        <v>9835000</v>
      </c>
      <c r="O83" s="2617"/>
      <c r="P83" s="2617"/>
      <c r="Q83" s="2617"/>
      <c r="R83" s="2617"/>
      <c r="S83" s="2583"/>
      <c r="T83" s="2583"/>
      <c r="U83" s="2583"/>
      <c r="V83" s="2583"/>
      <c r="W83" s="2583"/>
      <c r="X83" s="2584"/>
      <c r="Y83" s="2585"/>
      <c r="Z83" s="2585"/>
      <c r="AA83" s="2586"/>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2:52" ht="18.75" customHeight="1">
      <c r="B84" s="2587"/>
      <c r="C84" s="575">
        <v>31</v>
      </c>
      <c r="D84" s="573"/>
      <c r="E84" s="2609" t="str">
        <f ca="1">IF(E80&lt;&gt;"",D80&amp;" の 計","")</f>
        <v>6 の 計</v>
      </c>
      <c r="F84" s="2610"/>
      <c r="G84" s="2610"/>
      <c r="H84" s="2610"/>
      <c r="I84" s="2610"/>
      <c r="J84" s="2610"/>
      <c r="K84" s="2611"/>
      <c r="L84" s="574"/>
      <c r="M84" s="574"/>
      <c r="N84" s="2598"/>
      <c r="O84" s="2598"/>
      <c r="P84" s="2598"/>
      <c r="Q84" s="2598"/>
      <c r="R84" s="2598"/>
      <c r="S84" s="2612">
        <f ca="1">IF(D80&lt;&gt;"",VLOOKUP(D80,提出,13,FALSE),"")</f>
        <v>26687000</v>
      </c>
      <c r="T84" s="2612"/>
      <c r="U84" s="2612"/>
      <c r="V84" s="2612"/>
      <c r="W84" s="2612"/>
      <c r="X84" s="2584"/>
      <c r="Y84" s="2585"/>
      <c r="Z84" s="2585"/>
      <c r="AA84" s="2586"/>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2:52" ht="18.75" customHeight="1">
      <c r="B85" s="2587"/>
      <c r="C85" s="262">
        <v>32</v>
      </c>
      <c r="D85" s="464">
        <f ca="1">D12</f>
        <v>7</v>
      </c>
      <c r="E85" s="2604" t="str">
        <f ca="1">IF(D12="","",E12)</f>
        <v xml:space="preserve"> 照明器具取付工事</v>
      </c>
      <c r="F85" s="2605"/>
      <c r="G85" s="2605"/>
      <c r="H85" s="2605"/>
      <c r="I85" s="2605"/>
      <c r="J85" s="2605"/>
      <c r="K85" s="2605"/>
      <c r="L85" s="2606">
        <f ca="1">IF(OR(D85="",$AG$51=0),"",INT(S89/Top!$AA$63))</f>
        <v>1515</v>
      </c>
      <c r="M85" s="2606"/>
      <c r="N85" s="319" t="str">
        <f ca="1">IF(L85="","","／ｍ2")</f>
        <v>／ｍ2</v>
      </c>
      <c r="O85" s="319"/>
      <c r="P85" s="2613">
        <f ca="1">IF(L85="","",INT(L85/0.3025))</f>
        <v>5008</v>
      </c>
      <c r="Q85" s="2613"/>
      <c r="R85" s="319" t="str">
        <f ca="1">IF(P85="","","／坪")</f>
        <v>／坪</v>
      </c>
      <c r="S85" s="2607" t="str">
        <f ca="1">IF(L85="","","合計金額に対する割合；")</f>
        <v>合計金額に対する割合；</v>
      </c>
      <c r="T85" s="2607"/>
      <c r="U85" s="2607"/>
      <c r="V85" s="2607"/>
      <c r="W85" s="2607"/>
      <c r="X85" s="2607"/>
      <c r="Y85" s="2608">
        <f ca="1">IF(L85="","",$AD$52*100*S89/$S$41)</f>
        <v>10.613240074869472</v>
      </c>
      <c r="Z85" s="2608"/>
      <c r="AA85" s="471" t="str">
        <f ca="1">IF(L85="","","％")</f>
        <v>％</v>
      </c>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row>
    <row r="86" spans="2:52" ht="18.75" customHeight="1">
      <c r="B86" s="2587"/>
      <c r="C86" s="272">
        <v>33</v>
      </c>
      <c r="D86" s="205"/>
      <c r="E86" s="2614" t="str">
        <f ca="1">IF(D85&lt;&gt;"",VLOOKUP(D85,提出,7,FALSE),"")</f>
        <v>照 明　器 具</v>
      </c>
      <c r="F86" s="2615"/>
      <c r="G86" s="2615"/>
      <c r="H86" s="2615"/>
      <c r="I86" s="2615"/>
      <c r="J86" s="2615"/>
      <c r="K86" s="2616"/>
      <c r="L86" s="468">
        <f ca="1">IF(E86&lt;&gt;"",1,"")</f>
        <v>1</v>
      </c>
      <c r="M86" s="468" t="str">
        <f ca="1">IF(E86&lt;&gt;"","式","")</f>
        <v>式</v>
      </c>
      <c r="N86" s="2617">
        <f ca="1">IF(D85&lt;&gt;"",VLOOKUP(D85,提出,10,FALSE),"")</f>
        <v>774000</v>
      </c>
      <c r="O86" s="2617"/>
      <c r="P86" s="2617"/>
      <c r="Q86" s="2617"/>
      <c r="R86" s="2617"/>
      <c r="S86" s="2583"/>
      <c r="T86" s="2583"/>
      <c r="U86" s="2583"/>
      <c r="V86" s="2583"/>
      <c r="W86" s="2583"/>
      <c r="X86" s="2584"/>
      <c r="Y86" s="2585"/>
      <c r="Z86" s="2585"/>
      <c r="AA86" s="2586"/>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2:52" ht="18.75" customHeight="1">
      <c r="B87" s="2587"/>
      <c r="C87" s="272">
        <v>34</v>
      </c>
      <c r="D87" s="336"/>
      <c r="E87" s="2614" t="str">
        <f ca="1">IF(D85&lt;&gt;"",VLOOKUP(D85,提出,8,FALSE),"")</f>
        <v>照明器具取付材料</v>
      </c>
      <c r="F87" s="2615"/>
      <c r="G87" s="2615"/>
      <c r="H87" s="2615"/>
      <c r="I87" s="2615"/>
      <c r="J87" s="2615"/>
      <c r="K87" s="2616"/>
      <c r="L87" s="468">
        <f ca="1">IF(E87&lt;&gt;"",1,"")</f>
        <v>1</v>
      </c>
      <c r="M87" s="468" t="str">
        <f ca="1">IF(E87&lt;&gt;"","式","")</f>
        <v>式</v>
      </c>
      <c r="N87" s="2617">
        <f ca="1">IF(D85&lt;&gt;"",VLOOKUP(D85,提出,11,FALSE),"")</f>
        <v>36205000</v>
      </c>
      <c r="O87" s="2617"/>
      <c r="P87" s="2617"/>
      <c r="Q87" s="2617"/>
      <c r="R87" s="2617"/>
      <c r="S87" s="2583"/>
      <c r="T87" s="2583"/>
      <c r="U87" s="2583"/>
      <c r="V87" s="2583"/>
      <c r="W87" s="2583"/>
      <c r="X87" s="2584"/>
      <c r="Y87" s="2585"/>
      <c r="Z87" s="2585"/>
      <c r="AA87" s="2586"/>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2:52" ht="18.75" customHeight="1">
      <c r="B88" s="2587"/>
      <c r="C88" s="272">
        <v>35</v>
      </c>
      <c r="D88" s="336"/>
      <c r="E88" s="2614" t="str">
        <f ca="1">IF(D85&lt;&gt;"",VLOOKUP(D85,提出,9,FALSE),"")</f>
        <v>電 　工　 費</v>
      </c>
      <c r="F88" s="2615"/>
      <c r="G88" s="2615"/>
      <c r="H88" s="2615"/>
      <c r="I88" s="2615"/>
      <c r="J88" s="2615"/>
      <c r="K88" s="2616"/>
      <c r="L88" s="468">
        <f ca="1">IF(E88&lt;&gt;"",1,"")</f>
        <v>1</v>
      </c>
      <c r="M88" s="468" t="str">
        <f ca="1">IF(E88&lt;&gt;"","式","")</f>
        <v>式</v>
      </c>
      <c r="N88" s="2617">
        <f ca="1">IF(D85&lt;&gt;"",VLOOKUP(D85,提出,12,FALSE),"")</f>
        <v>3296000</v>
      </c>
      <c r="O88" s="2617"/>
      <c r="P88" s="2617"/>
      <c r="Q88" s="2617"/>
      <c r="R88" s="2617"/>
      <c r="S88" s="2583"/>
      <c r="T88" s="2583"/>
      <c r="U88" s="2583"/>
      <c r="V88" s="2583"/>
      <c r="W88" s="2583"/>
      <c r="X88" s="2584"/>
      <c r="Y88" s="2585"/>
      <c r="Z88" s="2585"/>
      <c r="AA88" s="2586"/>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2:52" ht="18.75" customHeight="1">
      <c r="B89" s="2587"/>
      <c r="C89" s="575">
        <v>36</v>
      </c>
      <c r="D89" s="573"/>
      <c r="E89" s="2609" t="str">
        <f ca="1">IF(E85&lt;&gt;"",D85&amp;" の 計","")</f>
        <v>7 の 計</v>
      </c>
      <c r="F89" s="2610"/>
      <c r="G89" s="2610"/>
      <c r="H89" s="2610"/>
      <c r="I89" s="2610"/>
      <c r="J89" s="2610"/>
      <c r="K89" s="2611"/>
      <c r="L89" s="574"/>
      <c r="M89" s="574"/>
      <c r="N89" s="2598"/>
      <c r="O89" s="2598"/>
      <c r="P89" s="2598"/>
      <c r="Q89" s="2598"/>
      <c r="R89" s="2598"/>
      <c r="S89" s="2612">
        <f ca="1">IF(D85&lt;&gt;"",VLOOKUP(D85,提出,13,FALSE),"")</f>
        <v>43094000</v>
      </c>
      <c r="T89" s="2612"/>
      <c r="U89" s="2612"/>
      <c r="V89" s="2612"/>
      <c r="W89" s="2612"/>
      <c r="X89" s="2584"/>
      <c r="Y89" s="2585"/>
      <c r="Z89" s="2585"/>
      <c r="AA89" s="2586"/>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2:52" ht="18.75" customHeight="1">
      <c r="B90" s="2587"/>
      <c r="C90" s="262">
        <v>37</v>
      </c>
      <c r="D90" s="464">
        <f ca="1">D13</f>
        <v>8</v>
      </c>
      <c r="E90" s="2604" t="str">
        <f ca="1">IF(D13="","",E13)</f>
        <v xml:space="preserve"> 非常照明・誘導灯設備工事</v>
      </c>
      <c r="F90" s="2605"/>
      <c r="G90" s="2605"/>
      <c r="H90" s="2605"/>
      <c r="I90" s="2605"/>
      <c r="J90" s="2605"/>
      <c r="K90" s="2605"/>
      <c r="L90" s="2606">
        <f ca="1">IF(OR(D90="",$AG$51=0),"",INT(S94/Top!$AA$63))</f>
        <v>712</v>
      </c>
      <c r="M90" s="2606"/>
      <c r="N90" s="319" t="str">
        <f ca="1">IF(L90="","","／ｍ2")</f>
        <v>／ｍ2</v>
      </c>
      <c r="O90" s="319"/>
      <c r="P90" s="2613">
        <f ca="1">IF(L90="","",INT(L90/0.3025))</f>
        <v>2353</v>
      </c>
      <c r="Q90" s="2613"/>
      <c r="R90" s="319" t="str">
        <f ca="1">IF(P90="","","／坪")</f>
        <v>／坪</v>
      </c>
      <c r="S90" s="2607" t="str">
        <f ca="1">IF(L90="","","合計金額に対する割合；")</f>
        <v>合計金額に対する割合；</v>
      </c>
      <c r="T90" s="2607"/>
      <c r="U90" s="2607"/>
      <c r="V90" s="2607"/>
      <c r="W90" s="2607"/>
      <c r="X90" s="2607"/>
      <c r="Y90" s="2608">
        <f ca="1">IF(L90="","",$AD$52*100*S94/$S$41)</f>
        <v>4.9894099103536593</v>
      </c>
      <c r="Z90" s="2608"/>
      <c r="AA90" s="471" t="str">
        <f ca="1">IF(L90="","","％")</f>
        <v>％</v>
      </c>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row>
    <row r="91" spans="2:52" ht="18.75" customHeight="1">
      <c r="B91" s="2587"/>
      <c r="C91" s="272">
        <v>38</v>
      </c>
      <c r="D91" s="205"/>
      <c r="E91" s="2614" t="str">
        <f ca="1">IF(D90&lt;&gt;"",VLOOKUP(D90,提出,7,FALSE),"")</f>
        <v>配管配線材料</v>
      </c>
      <c r="F91" s="2615"/>
      <c r="G91" s="2615"/>
      <c r="H91" s="2615"/>
      <c r="I91" s="2615"/>
      <c r="J91" s="2615"/>
      <c r="K91" s="2616"/>
      <c r="L91" s="468">
        <f ca="1">IF(E91&lt;&gt;"",1,"")</f>
        <v>1</v>
      </c>
      <c r="M91" s="468" t="str">
        <f ca="1">IF(E91&lt;&gt;"","式","")</f>
        <v>式</v>
      </c>
      <c r="N91" s="2617">
        <f ca="1">IF(D90&lt;&gt;"",VLOOKUP(D90,提出,10,FALSE),"")</f>
        <v>1232000</v>
      </c>
      <c r="O91" s="2617"/>
      <c r="P91" s="2617"/>
      <c r="Q91" s="2617"/>
      <c r="R91" s="2617"/>
      <c r="S91" s="2583"/>
      <c r="T91" s="2583"/>
      <c r="U91" s="2583"/>
      <c r="V91" s="2583"/>
      <c r="W91" s="2583"/>
      <c r="X91" s="2584"/>
      <c r="Y91" s="2585"/>
      <c r="Z91" s="2585"/>
      <c r="AA91" s="2586"/>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2:52" ht="18.75" customHeight="1">
      <c r="B92" s="2587"/>
      <c r="C92" s="272">
        <v>39</v>
      </c>
      <c r="D92" s="336"/>
      <c r="E92" s="2614" t="str">
        <f ca="1">IF(D90&lt;&gt;"",VLOOKUP(D90,提出,8,FALSE),"")</f>
        <v>照 明　器 具</v>
      </c>
      <c r="F92" s="2615"/>
      <c r="G92" s="2615"/>
      <c r="H92" s="2615"/>
      <c r="I92" s="2615"/>
      <c r="J92" s="2615"/>
      <c r="K92" s="2616"/>
      <c r="L92" s="468">
        <f ca="1">IF(E92&lt;&gt;"",1,"")</f>
        <v>1</v>
      </c>
      <c r="M92" s="468" t="str">
        <f ca="1">IF(E92&lt;&gt;"","式","")</f>
        <v>式</v>
      </c>
      <c r="N92" s="2617">
        <f ca="1">IF(D90&lt;&gt;"",VLOOKUP(D90,提出,11,FALSE),"")</f>
        <v>14457000</v>
      </c>
      <c r="O92" s="2617"/>
      <c r="P92" s="2617"/>
      <c r="Q92" s="2617"/>
      <c r="R92" s="2617"/>
      <c r="S92" s="2583"/>
      <c r="T92" s="2583"/>
      <c r="U92" s="2583"/>
      <c r="V92" s="2583"/>
      <c r="W92" s="2583"/>
      <c r="X92" s="2584"/>
      <c r="Y92" s="2585"/>
      <c r="Z92" s="2585"/>
      <c r="AA92" s="2586"/>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2:52" ht="18.75" customHeight="1">
      <c r="B93" s="2587"/>
      <c r="C93" s="272">
        <v>40</v>
      </c>
      <c r="D93" s="336"/>
      <c r="E93" s="2614" t="str">
        <f ca="1">IF(D90&lt;&gt;"",VLOOKUP(D90,提出,9,FALSE),"")</f>
        <v>電 　工　 費</v>
      </c>
      <c r="F93" s="2615"/>
      <c r="G93" s="2615"/>
      <c r="H93" s="2615"/>
      <c r="I93" s="2615"/>
      <c r="J93" s="2615"/>
      <c r="K93" s="2616"/>
      <c r="L93" s="468">
        <f ca="1">IF(E93&lt;&gt;"",1,"")</f>
        <v>1</v>
      </c>
      <c r="M93" s="468" t="str">
        <f ca="1">IF(E93&lt;&gt;"","式","")</f>
        <v>式</v>
      </c>
      <c r="N93" s="2617">
        <f ca="1">IF(D90&lt;&gt;"",VLOOKUP(D90,提出,12,FALSE),"")</f>
        <v>3245000</v>
      </c>
      <c r="O93" s="2617"/>
      <c r="P93" s="2617"/>
      <c r="Q93" s="2617"/>
      <c r="R93" s="2617"/>
      <c r="S93" s="2583"/>
      <c r="T93" s="2583"/>
      <c r="U93" s="2583"/>
      <c r="V93" s="2583"/>
      <c r="W93" s="2583"/>
      <c r="X93" s="2584"/>
      <c r="Y93" s="2585"/>
      <c r="Z93" s="2585"/>
      <c r="AA93" s="2586"/>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2:52" ht="18.75" customHeight="1">
      <c r="B94" s="2587"/>
      <c r="C94" s="575">
        <v>41</v>
      </c>
      <c r="D94" s="573"/>
      <c r="E94" s="2609" t="str">
        <f ca="1">IF(E90&lt;&gt;"",D90&amp;" の 計","")</f>
        <v>8 の 計</v>
      </c>
      <c r="F94" s="2610"/>
      <c r="G94" s="2610"/>
      <c r="H94" s="2610"/>
      <c r="I94" s="2610"/>
      <c r="J94" s="2610"/>
      <c r="K94" s="2611"/>
      <c r="L94" s="574"/>
      <c r="M94" s="574"/>
      <c r="N94" s="2598"/>
      <c r="O94" s="2598"/>
      <c r="P94" s="2598"/>
      <c r="Q94" s="2598"/>
      <c r="R94" s="2598"/>
      <c r="S94" s="2627">
        <f ca="1">IF(D90&lt;&gt;"",VLOOKUP(D90,提出,13,FALSE),"")</f>
        <v>20259000</v>
      </c>
      <c r="T94" s="2627"/>
      <c r="U94" s="2627"/>
      <c r="V94" s="2627"/>
      <c r="W94" s="2627"/>
      <c r="X94" s="2600"/>
      <c r="Y94" s="2601"/>
      <c r="Z94" s="2601"/>
      <c r="AA94" s="2602"/>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2:52" ht="18.75" customHeight="1">
      <c r="B95" s="2587"/>
      <c r="C95" s="262">
        <v>42</v>
      </c>
      <c r="D95" s="319"/>
      <c r="E95" s="319"/>
      <c r="F95" s="319"/>
      <c r="G95" s="319"/>
      <c r="H95" s="504"/>
      <c r="I95" s="319"/>
      <c r="J95" s="319"/>
      <c r="K95" s="319"/>
      <c r="L95" s="319"/>
      <c r="M95" s="319"/>
      <c r="N95" s="319"/>
      <c r="O95" s="319"/>
      <c r="P95" s="319"/>
      <c r="Q95" s="319"/>
      <c r="R95" s="319"/>
      <c r="S95" s="319"/>
      <c r="T95" s="319"/>
      <c r="U95" s="319"/>
      <c r="V95" s="319"/>
      <c r="W95" s="319"/>
      <c r="X95" s="319"/>
      <c r="Y95" s="319"/>
      <c r="Z95" s="319"/>
      <c r="AA95" s="578"/>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2:52" ht="18.75" customHeight="1">
      <c r="B96" s="2587"/>
      <c r="C96" s="272">
        <v>43</v>
      </c>
      <c r="D96" s="314"/>
      <c r="E96" s="314"/>
      <c r="F96" s="314"/>
      <c r="G96" s="314"/>
      <c r="H96" s="318"/>
      <c r="I96" s="314"/>
      <c r="J96" s="314"/>
      <c r="K96" s="314"/>
      <c r="L96" s="314"/>
      <c r="M96" s="314"/>
      <c r="N96" s="314"/>
      <c r="O96" s="314"/>
      <c r="P96" s="314"/>
      <c r="Q96" s="319"/>
      <c r="R96" s="314"/>
      <c r="S96" s="314"/>
      <c r="T96" s="314"/>
      <c r="U96" s="314"/>
      <c r="V96" s="314"/>
      <c r="W96" s="314"/>
      <c r="X96" s="314"/>
      <c r="Y96" s="314"/>
      <c r="Z96" s="314"/>
      <c r="AA96" s="31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2:52" ht="18.75" customHeight="1">
      <c r="B97" s="2587"/>
      <c r="C97" s="272">
        <v>44</v>
      </c>
      <c r="D97" s="314"/>
      <c r="E97" s="314"/>
      <c r="F97" s="314"/>
      <c r="G97" s="314"/>
      <c r="H97" s="314"/>
      <c r="I97" s="314"/>
      <c r="J97" s="314"/>
      <c r="K97" s="314"/>
      <c r="L97" s="314"/>
      <c r="M97" s="314"/>
      <c r="N97" s="314"/>
      <c r="O97" s="314"/>
      <c r="P97" s="314"/>
      <c r="Q97" s="314"/>
      <c r="R97" s="314"/>
      <c r="S97" s="319"/>
      <c r="T97" s="319"/>
      <c r="U97" s="319"/>
      <c r="V97" s="319"/>
      <c r="W97" s="319"/>
      <c r="X97" s="314"/>
      <c r="Y97" s="314"/>
      <c r="Z97" s="314"/>
      <c r="AA97" s="31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2:52" ht="18.75" customHeight="1" thickBot="1">
      <c r="B98" s="2587"/>
      <c r="C98" s="291">
        <v>45</v>
      </c>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6"/>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2:52" ht="4.5" customHeight="1">
      <c r="B99" s="2587"/>
    </row>
    <row r="100" spans="2:52" ht="12.75" customHeight="1">
      <c r="B100" s="2587" t="s">
        <v>507</v>
      </c>
      <c r="C100" s="507" t="s">
        <v>508</v>
      </c>
      <c r="D100" s="508">
        <f ca="1">IF(SUM(D104:D139)=0,"",3)</f>
        <v>3</v>
      </c>
      <c r="E100" s="2588" t="str">
        <f>IF($E$2="","",$E$2)</f>
        <v xml:space="preserve"> (原価セル番号[F2],[F3],[F4] )  この三行は、入力可能"セル"です。</v>
      </c>
      <c r="F100" s="2588"/>
      <c r="G100" s="2588"/>
      <c r="H100" s="2588"/>
      <c r="I100" s="2588"/>
      <c r="J100" s="2588"/>
      <c r="K100" s="2588"/>
      <c r="L100" s="2588"/>
      <c r="M100" s="2588"/>
      <c r="N100" s="2588"/>
      <c r="O100" s="2588"/>
      <c r="P100" s="2588"/>
      <c r="Q100" s="2588"/>
      <c r="R100" s="2588"/>
      <c r="S100" s="2588"/>
      <c r="T100" s="2588"/>
      <c r="U100" s="329" t="str">
        <f t="shared" ref="U100:V102" si="25">IF(U51="","",U51)</f>
        <v/>
      </c>
      <c r="V100" s="330" t="str">
        <f t="shared" si="25"/>
        <v/>
      </c>
      <c r="W100" s="2589" t="str">
        <f>IF($W$2="","",$W$2)</f>
        <v>date:</v>
      </c>
      <c r="X100" s="2589"/>
      <c r="Y100" s="2590" t="str">
        <f>Y2</f>
        <v>yyyy.mm/dd</v>
      </c>
      <c r="Z100" s="2590"/>
      <c r="AA100" s="2590"/>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row>
    <row r="101" spans="2:52" ht="12" customHeight="1">
      <c r="B101" s="2587"/>
      <c r="C101" s="329" t="str">
        <f>IF(C52="","",C52)</f>
        <v/>
      </c>
      <c r="D101" s="329" t="str">
        <f>IF(D52="","",D52)</f>
        <v/>
      </c>
      <c r="E101" s="2588" t="str">
        <f>IF($E$3="","",$E$3)</f>
        <v>Cell No.[E2]～[E4]の範囲のセルには、企業情報・ロゴ等の表示に、活用</v>
      </c>
      <c r="F101" s="2588"/>
      <c r="G101" s="2588"/>
      <c r="H101" s="2588"/>
      <c r="I101" s="2588"/>
      <c r="J101" s="2588"/>
      <c r="K101" s="2588"/>
      <c r="L101" s="2588"/>
      <c r="M101" s="2588"/>
      <c r="N101" s="2588"/>
      <c r="O101" s="2588"/>
      <c r="P101" s="2588"/>
      <c r="Q101" s="2588"/>
      <c r="R101" s="2588"/>
      <c r="S101" s="2588"/>
      <c r="T101" s="2588"/>
      <c r="U101" s="329" t="str">
        <f t="shared" si="25"/>
        <v/>
      </c>
      <c r="V101" s="331"/>
      <c r="W101" s="509"/>
      <c r="X101" s="489" t="str">
        <f>$X$3</f>
        <v xml:space="preserve">    TELEPHONE:</v>
      </c>
      <c r="Y101" s="2591" t="str">
        <f>$Y$3</f>
        <v>0nn-nnn-nnnn</v>
      </c>
      <c r="Z101" s="2592"/>
      <c r="AA101" s="2592"/>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row>
    <row r="102" spans="2:52" ht="16.5" customHeight="1" thickBot="1">
      <c r="B102" s="2587"/>
      <c r="C102" s="332" t="str">
        <f>IF(C53="","",C53)</f>
        <v/>
      </c>
      <c r="D102" s="332" t="str">
        <f>IF(D53="","",D53)</f>
        <v/>
      </c>
      <c r="E102" s="2588" t="str">
        <f>IF($E$4="","",$E$4)</f>
        <v>できます。 　ここに入力したデータは、関連する各ページに自動転記されます。</v>
      </c>
      <c r="F102" s="2588"/>
      <c r="G102" s="2588"/>
      <c r="H102" s="2588"/>
      <c r="I102" s="2588"/>
      <c r="J102" s="2588"/>
      <c r="K102" s="2588"/>
      <c r="L102" s="2588"/>
      <c r="M102" s="2588"/>
      <c r="N102" s="2588"/>
      <c r="O102" s="2588"/>
      <c r="P102" s="2588"/>
      <c r="Q102" s="2588"/>
      <c r="R102" s="2588"/>
      <c r="S102" s="2588"/>
      <c r="T102" s="2588"/>
      <c r="U102" s="332" t="str">
        <f t="shared" si="25"/>
        <v/>
      </c>
      <c r="V102" s="333"/>
      <c r="W102" s="510"/>
      <c r="X102" s="511" t="str">
        <f>$X$4</f>
        <v>　　FACSIMILE:</v>
      </c>
      <c r="Y102" s="2593" t="str">
        <f>$Y$4</f>
        <v>0nn-nnn-nnnn</v>
      </c>
      <c r="Z102" s="2594"/>
      <c r="AA102" s="2594"/>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row>
    <row r="103" spans="2:52" ht="18.75" customHeight="1">
      <c r="B103" s="2587"/>
      <c r="C103" s="258">
        <v>1</v>
      </c>
      <c r="D103" s="310" t="s">
        <v>467</v>
      </c>
      <c r="E103" s="2618" t="s">
        <v>468</v>
      </c>
      <c r="F103" s="2618"/>
      <c r="G103" s="2618"/>
      <c r="H103" s="2618"/>
      <c r="I103" s="2618"/>
      <c r="J103" s="2618"/>
      <c r="K103" s="2618"/>
      <c r="L103" s="310" t="s">
        <v>469</v>
      </c>
      <c r="M103" s="311" t="s">
        <v>470</v>
      </c>
      <c r="N103" s="2620" t="s">
        <v>471</v>
      </c>
      <c r="O103" s="2621"/>
      <c r="P103" s="2621"/>
      <c r="Q103" s="2621"/>
      <c r="R103" s="2622"/>
      <c r="S103" s="2618" t="s">
        <v>472</v>
      </c>
      <c r="T103" s="2618"/>
      <c r="U103" s="2618"/>
      <c r="V103" s="2618"/>
      <c r="W103" s="2618"/>
      <c r="X103" s="2618" t="s">
        <v>473</v>
      </c>
      <c r="Y103" s="2618"/>
      <c r="Z103" s="2618"/>
      <c r="AA103" s="2619"/>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row>
    <row r="104" spans="2:52" ht="18.75" customHeight="1">
      <c r="B104" s="2587"/>
      <c r="C104" s="262">
        <v>2</v>
      </c>
      <c r="D104" s="464">
        <f ca="1">D14</f>
        <v>9</v>
      </c>
      <c r="E104" s="2623" t="str">
        <f ca="1">IF(D14="","",E14)</f>
        <v xml:space="preserve"> 自火報防排煙設備工事</v>
      </c>
      <c r="F104" s="2624"/>
      <c r="G104" s="2624"/>
      <c r="H104" s="2624"/>
      <c r="I104" s="2624"/>
      <c r="J104" s="2624"/>
      <c r="K104" s="2624"/>
      <c r="L104" s="2625">
        <f ca="1">IF(OR(D104="",$AG$51=0),"",INT(S108/Top!$AA$63))</f>
        <v>560</v>
      </c>
      <c r="M104" s="2625"/>
      <c r="N104" s="568" t="str">
        <f ca="1">IF(L104="","","／ｍ2")</f>
        <v>／ｍ2</v>
      </c>
      <c r="O104" s="568"/>
      <c r="P104" s="2626">
        <f ca="1">IF(L104="","",INT(L104/0.3025))</f>
        <v>1851</v>
      </c>
      <c r="Q104" s="2626"/>
      <c r="R104" s="568" t="str">
        <f ca="1">IF(P104="","","／坪")</f>
        <v>／坪</v>
      </c>
      <c r="S104" s="2607" t="str">
        <f ca="1">IF(L104="","","合計金額に対する割合；")</f>
        <v>合計金額に対する割合；</v>
      </c>
      <c r="T104" s="2607"/>
      <c r="U104" s="2607"/>
      <c r="V104" s="2607"/>
      <c r="W104" s="2607"/>
      <c r="X104" s="2607"/>
      <c r="Y104" s="2608">
        <f ca="1">IF(L104="","",$AD$52*100*S108/$S$41)</f>
        <v>3.928184415328539</v>
      </c>
      <c r="Z104" s="2608"/>
      <c r="AA104" s="471" t="str">
        <f ca="1">IF(L104="","","％")</f>
        <v>％</v>
      </c>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row>
    <row r="105" spans="2:52" ht="18.75" customHeight="1">
      <c r="B105" s="2587"/>
      <c r="C105" s="272">
        <v>3</v>
      </c>
      <c r="D105" s="205"/>
      <c r="E105" s="2614" t="str">
        <f ca="1">IF(D104&lt;&gt;"",VLOOKUP(D104,提出,7,FALSE),"")</f>
        <v>配管配線材料</v>
      </c>
      <c r="F105" s="2615"/>
      <c r="G105" s="2615"/>
      <c r="H105" s="2615"/>
      <c r="I105" s="2615"/>
      <c r="J105" s="2615"/>
      <c r="K105" s="2616"/>
      <c r="L105" s="468">
        <f ca="1">IF(E105&lt;&gt;"",1,"")</f>
        <v>1</v>
      </c>
      <c r="M105" s="468" t="str">
        <f ca="1">IF(E105&lt;&gt;"","式","")</f>
        <v>式</v>
      </c>
      <c r="N105" s="2617">
        <f ca="1">IF(D104&lt;&gt;"",VLOOKUP(D104,提出,10,FALSE),"")</f>
        <v>4139000</v>
      </c>
      <c r="O105" s="2617"/>
      <c r="P105" s="2617"/>
      <c r="Q105" s="2617"/>
      <c r="R105" s="2617"/>
      <c r="S105" s="2583"/>
      <c r="T105" s="2583"/>
      <c r="U105" s="2583"/>
      <c r="V105" s="2583"/>
      <c r="W105" s="2583"/>
      <c r="X105" s="2584"/>
      <c r="Y105" s="2585"/>
      <c r="Z105" s="2585"/>
      <c r="AA105" s="2586"/>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2:52" ht="18.75" customHeight="1">
      <c r="B106" s="2587"/>
      <c r="C106" s="272">
        <v>4</v>
      </c>
      <c r="D106" s="335"/>
      <c r="E106" s="2614" t="str">
        <f ca="1">IF(D104&lt;&gt;"",VLOOKUP(D104,提出,8,FALSE),"")</f>
        <v>機器、取付調整費</v>
      </c>
      <c r="F106" s="2615"/>
      <c r="G106" s="2615"/>
      <c r="H106" s="2615"/>
      <c r="I106" s="2615"/>
      <c r="J106" s="2615"/>
      <c r="K106" s="2616"/>
      <c r="L106" s="468">
        <f ca="1">IF(E106&lt;&gt;"",1,"")</f>
        <v>1</v>
      </c>
      <c r="M106" s="468" t="str">
        <f ca="1">IF(E106&lt;&gt;"","式","")</f>
        <v>式</v>
      </c>
      <c r="N106" s="2617">
        <f ca="1">IF(D104&lt;&gt;"",VLOOKUP(D104,提出,11,FALSE),"")</f>
        <v>4834000</v>
      </c>
      <c r="O106" s="2617"/>
      <c r="P106" s="2617"/>
      <c r="Q106" s="2617"/>
      <c r="R106" s="2617"/>
      <c r="S106" s="2583"/>
      <c r="T106" s="2583"/>
      <c r="U106" s="2583"/>
      <c r="V106" s="2583"/>
      <c r="W106" s="2583"/>
      <c r="X106" s="2584"/>
      <c r="Y106" s="2585"/>
      <c r="Z106" s="2585"/>
      <c r="AA106" s="2586"/>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2:52" ht="18.75" customHeight="1">
      <c r="B107" s="2587"/>
      <c r="C107" s="272">
        <v>5</v>
      </c>
      <c r="D107" s="336"/>
      <c r="E107" s="2614" t="str">
        <f ca="1">IF(D104&lt;&gt;"",VLOOKUP(D104,提出,9,FALSE),"")</f>
        <v>電 　工　 費</v>
      </c>
      <c r="F107" s="2615"/>
      <c r="G107" s="2615"/>
      <c r="H107" s="2615"/>
      <c r="I107" s="2615"/>
      <c r="J107" s="2615"/>
      <c r="K107" s="2616"/>
      <c r="L107" s="468">
        <f ca="1">IF(E107&lt;&gt;"",1,"")</f>
        <v>1</v>
      </c>
      <c r="M107" s="468" t="str">
        <f ca="1">IF(E107&lt;&gt;"","式","")</f>
        <v>式</v>
      </c>
      <c r="N107" s="2617">
        <f ca="1">IF(D104&lt;&gt;"",VLOOKUP(D104,提出,12,FALSE),"")</f>
        <v>5934000</v>
      </c>
      <c r="O107" s="2617"/>
      <c r="P107" s="2617"/>
      <c r="Q107" s="2617"/>
      <c r="R107" s="2617"/>
      <c r="S107" s="2583"/>
      <c r="T107" s="2583"/>
      <c r="U107" s="2583"/>
      <c r="V107" s="2583"/>
      <c r="W107" s="2583"/>
      <c r="X107" s="2584"/>
      <c r="Y107" s="2585"/>
      <c r="Z107" s="2585"/>
      <c r="AA107" s="2586"/>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2:52" ht="18.75" customHeight="1">
      <c r="B108" s="2587"/>
      <c r="C108" s="575">
        <v>6</v>
      </c>
      <c r="D108" s="573"/>
      <c r="E108" s="2609" t="str">
        <f ca="1">IF(E104&lt;&gt;"",D104&amp;" の 計","")</f>
        <v>9 の 計</v>
      </c>
      <c r="F108" s="2610"/>
      <c r="G108" s="2610"/>
      <c r="H108" s="2610"/>
      <c r="I108" s="2610"/>
      <c r="J108" s="2610"/>
      <c r="K108" s="2611"/>
      <c r="L108" s="574"/>
      <c r="M108" s="574"/>
      <c r="N108" s="2598"/>
      <c r="O108" s="2598"/>
      <c r="P108" s="2598"/>
      <c r="Q108" s="2598"/>
      <c r="R108" s="2598"/>
      <c r="S108" s="2612">
        <f ca="1">IF(D104&lt;&gt;"",VLOOKUP(D104,提出,13,FALSE),"")</f>
        <v>15950000</v>
      </c>
      <c r="T108" s="2612"/>
      <c r="U108" s="2612"/>
      <c r="V108" s="2612"/>
      <c r="W108" s="2612"/>
      <c r="X108" s="2584"/>
      <c r="Y108" s="2585"/>
      <c r="Z108" s="2585"/>
      <c r="AA108" s="2586"/>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2:52" ht="18.75" customHeight="1">
      <c r="B109" s="2587"/>
      <c r="C109" s="262">
        <v>7</v>
      </c>
      <c r="D109" s="464">
        <f ca="1">D15</f>
        <v>10</v>
      </c>
      <c r="E109" s="2604" t="str">
        <f ca="1">IF(D15="","",E15)</f>
        <v xml:space="preserve"> 雷保護設備工事</v>
      </c>
      <c r="F109" s="2605"/>
      <c r="G109" s="2605"/>
      <c r="H109" s="2605"/>
      <c r="I109" s="2605"/>
      <c r="J109" s="2605"/>
      <c r="K109" s="2605"/>
      <c r="L109" s="2606">
        <f ca="1">IF(OR(D109="",$AG$51=0),"",INT(S113/Top!$AA$63))</f>
        <v>213</v>
      </c>
      <c r="M109" s="2606"/>
      <c r="N109" s="319" t="str">
        <f ca="1">IF(L109="","","／ｍ2")</f>
        <v>／ｍ2</v>
      </c>
      <c r="O109" s="319"/>
      <c r="P109" s="2613">
        <f ca="1">IF(L109="","",INT(L109/0.3025))</f>
        <v>704</v>
      </c>
      <c r="Q109" s="2613"/>
      <c r="R109" s="319" t="str">
        <f ca="1">IF(P109="","","／坪")</f>
        <v>／坪</v>
      </c>
      <c r="S109" s="2607" t="str">
        <f ca="1">IF(L109="","","合計金額に対する割合；")</f>
        <v>合計金額に対する割合；</v>
      </c>
      <c r="T109" s="2607"/>
      <c r="U109" s="2607"/>
      <c r="V109" s="2607"/>
      <c r="W109" s="2607"/>
      <c r="X109" s="2607"/>
      <c r="Y109" s="2608">
        <f ca="1">IF(L109="","",$AD$52*100*S113/$S$41)</f>
        <v>1.4976357009161658</v>
      </c>
      <c r="Z109" s="2608"/>
      <c r="AA109" s="471" t="str">
        <f ca="1">IF(L109="","","％")</f>
        <v>％</v>
      </c>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row>
    <row r="110" spans="2:52" ht="18.75" customHeight="1">
      <c r="B110" s="2587"/>
      <c r="C110" s="272">
        <v>8</v>
      </c>
      <c r="D110" s="205"/>
      <c r="E110" s="2614" t="str">
        <f ca="1">IF(D109&lt;&gt;"",VLOOKUP(D109,提出,7,FALSE),"")</f>
        <v>配管配線材料</v>
      </c>
      <c r="F110" s="2615"/>
      <c r="G110" s="2615"/>
      <c r="H110" s="2615"/>
      <c r="I110" s="2615"/>
      <c r="J110" s="2615"/>
      <c r="K110" s="2616"/>
      <c r="L110" s="468">
        <f ca="1">IF(E110&lt;&gt;"",1,"")</f>
        <v>1</v>
      </c>
      <c r="M110" s="468" t="str">
        <f ca="1">IF(E110&lt;&gt;"","式","")</f>
        <v>式</v>
      </c>
      <c r="N110" s="2617">
        <f ca="1">IF(D109&lt;&gt;"",VLOOKUP(D109,提出,10,FALSE),"")</f>
        <v>1485000</v>
      </c>
      <c r="O110" s="2617"/>
      <c r="P110" s="2617"/>
      <c r="Q110" s="2617"/>
      <c r="R110" s="2617"/>
      <c r="S110" s="2583"/>
      <c r="T110" s="2583"/>
      <c r="U110" s="2583"/>
      <c r="V110" s="2583"/>
      <c r="W110" s="2583"/>
      <c r="X110" s="2584"/>
      <c r="Y110" s="2585"/>
      <c r="Z110" s="2585"/>
      <c r="AA110" s="2586"/>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row>
    <row r="111" spans="2:52" ht="18.75" customHeight="1">
      <c r="B111" s="2587"/>
      <c r="C111" s="272">
        <v>9</v>
      </c>
      <c r="D111" s="335"/>
      <c r="E111" s="2614" t="str">
        <f ca="1">IF(D109&lt;&gt;"",VLOOKUP(D109,提出,8,FALSE),"")</f>
        <v>機器、取付調整費</v>
      </c>
      <c r="F111" s="2615"/>
      <c r="G111" s="2615"/>
      <c r="H111" s="2615"/>
      <c r="I111" s="2615"/>
      <c r="J111" s="2615"/>
      <c r="K111" s="2616"/>
      <c r="L111" s="468">
        <f ca="1">IF(E111&lt;&gt;"",1,"")</f>
        <v>1</v>
      </c>
      <c r="M111" s="468" t="str">
        <f ca="1">IF(E111&lt;&gt;"","式","")</f>
        <v>式</v>
      </c>
      <c r="N111" s="2617">
        <f ca="1">IF(D109&lt;&gt;"",VLOOKUP(D109,提出,11,FALSE),"")</f>
        <v>2964000</v>
      </c>
      <c r="O111" s="2617"/>
      <c r="P111" s="2617"/>
      <c r="Q111" s="2617"/>
      <c r="R111" s="2617"/>
      <c r="S111" s="2583"/>
      <c r="T111" s="2583"/>
      <c r="U111" s="2583"/>
      <c r="V111" s="2583"/>
      <c r="W111" s="2583"/>
      <c r="X111" s="2584"/>
      <c r="Y111" s="2585"/>
      <c r="Z111" s="2585"/>
      <c r="AA111" s="2586"/>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row>
    <row r="112" spans="2:52" ht="18.75" customHeight="1">
      <c r="B112" s="2587"/>
      <c r="C112" s="272">
        <v>10</v>
      </c>
      <c r="D112" s="336"/>
      <c r="E112" s="2614" t="str">
        <f ca="1">IF(D109&lt;&gt;"",VLOOKUP(D109,提出,9,FALSE),"")</f>
        <v>電 　工　 費</v>
      </c>
      <c r="F112" s="2615"/>
      <c r="G112" s="2615"/>
      <c r="H112" s="2615"/>
      <c r="I112" s="2615"/>
      <c r="J112" s="2615"/>
      <c r="K112" s="2616"/>
      <c r="L112" s="468">
        <f ca="1">IF(E112&lt;&gt;"",1,"")</f>
        <v>1</v>
      </c>
      <c r="M112" s="468" t="str">
        <f ca="1">IF(E112&lt;&gt;"","式","")</f>
        <v>式</v>
      </c>
      <c r="N112" s="2617">
        <f ca="1">IF(D109&lt;&gt;"",VLOOKUP(D109,提出,12,FALSE),"")</f>
        <v>1235099.9999999998</v>
      </c>
      <c r="O112" s="2617"/>
      <c r="P112" s="2617"/>
      <c r="Q112" s="2617"/>
      <c r="R112" s="2617"/>
      <c r="S112" s="2583"/>
      <c r="T112" s="2583"/>
      <c r="U112" s="2583"/>
      <c r="V112" s="2583"/>
      <c r="W112" s="2583"/>
      <c r="X112" s="2584"/>
      <c r="Y112" s="2585"/>
      <c r="Z112" s="2585"/>
      <c r="AA112" s="2586"/>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row>
    <row r="113" spans="2:52" ht="18.75" customHeight="1">
      <c r="B113" s="2587"/>
      <c r="C113" s="575">
        <v>11</v>
      </c>
      <c r="D113" s="573"/>
      <c r="E113" s="2609" t="str">
        <f ca="1">IF(E109&lt;&gt;"",D109&amp;" の 計","")</f>
        <v>10 の 計</v>
      </c>
      <c r="F113" s="2610"/>
      <c r="G113" s="2610"/>
      <c r="H113" s="2610"/>
      <c r="I113" s="2610"/>
      <c r="J113" s="2610"/>
      <c r="K113" s="2611"/>
      <c r="L113" s="574"/>
      <c r="M113" s="574"/>
      <c r="N113" s="2598"/>
      <c r="O113" s="2598"/>
      <c r="P113" s="2598"/>
      <c r="Q113" s="2598"/>
      <c r="R113" s="2598"/>
      <c r="S113" s="2612">
        <f ca="1">IF(D109&lt;&gt;"",VLOOKUP(D109,提出,13,FALSE),"")</f>
        <v>6081000</v>
      </c>
      <c r="T113" s="2612"/>
      <c r="U113" s="2612"/>
      <c r="V113" s="2612"/>
      <c r="W113" s="2612"/>
      <c r="X113" s="2584"/>
      <c r="Y113" s="2585"/>
      <c r="Z113" s="2585"/>
      <c r="AA113" s="2586"/>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row>
    <row r="114" spans="2:52" ht="18.75" customHeight="1">
      <c r="B114" s="2587"/>
      <c r="C114" s="262">
        <v>12</v>
      </c>
      <c r="D114" s="464">
        <f ca="1">D16</f>
        <v>11</v>
      </c>
      <c r="E114" s="2604" t="str">
        <f ca="1">IF(D16="","",E16)</f>
        <v xml:space="preserve"> 構内電話設備工事</v>
      </c>
      <c r="F114" s="2605"/>
      <c r="G114" s="2605"/>
      <c r="H114" s="2605"/>
      <c r="I114" s="2605"/>
      <c r="J114" s="2605"/>
      <c r="K114" s="2605"/>
      <c r="L114" s="2606">
        <f ca="1">IF(OR(D114="",$AG$51=0),"",INT(S118/Top!$AA$63))</f>
        <v>3217</v>
      </c>
      <c r="M114" s="2606"/>
      <c r="N114" s="319" t="str">
        <f ca="1">IF(L114="","","／ｍ2")</f>
        <v>／ｍ2</v>
      </c>
      <c r="O114" s="319"/>
      <c r="P114" s="2613">
        <f ca="1">IF(L114="","",INT(L114/0.3025))</f>
        <v>10634</v>
      </c>
      <c r="Q114" s="2613"/>
      <c r="R114" s="319" t="str">
        <f ca="1">IF(P114="","","／坪")</f>
        <v>／坪</v>
      </c>
      <c r="S114" s="2607" t="str">
        <f ca="1">IF(L114="","","合計金額に対する割合；")</f>
        <v>合計金額に対する割合；</v>
      </c>
      <c r="T114" s="2607"/>
      <c r="U114" s="2607"/>
      <c r="V114" s="2607"/>
      <c r="W114" s="2607"/>
      <c r="X114" s="2607"/>
      <c r="Y114" s="2608">
        <f ca="1">IF(L114="","",$AD$52*100*S118/$S$41)</f>
        <v>22.526598364693132</v>
      </c>
      <c r="Z114" s="2608"/>
      <c r="AA114" s="471" t="str">
        <f ca="1">IF(L114="","","％")</f>
        <v>％</v>
      </c>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row>
    <row r="115" spans="2:52" ht="18.75" customHeight="1">
      <c r="B115" s="2587"/>
      <c r="C115" s="272">
        <v>13</v>
      </c>
      <c r="D115" s="205"/>
      <c r="E115" s="2614" t="str">
        <f ca="1">IF(D114&lt;&gt;"",VLOOKUP(D114,提出,7,FALSE),"")</f>
        <v>配管配線材料</v>
      </c>
      <c r="F115" s="2615"/>
      <c r="G115" s="2615"/>
      <c r="H115" s="2615"/>
      <c r="I115" s="2615"/>
      <c r="J115" s="2615"/>
      <c r="K115" s="2616"/>
      <c r="L115" s="468">
        <f ca="1">IF(E115&lt;&gt;"",1,"")</f>
        <v>1</v>
      </c>
      <c r="M115" s="468" t="str">
        <f ca="1">IF(E115&lt;&gt;"","式","")</f>
        <v>式</v>
      </c>
      <c r="N115" s="2617">
        <f ca="1">IF(D114&lt;&gt;"",VLOOKUP(D114,提出,10,FALSE),"")</f>
        <v>21333000</v>
      </c>
      <c r="O115" s="2617"/>
      <c r="P115" s="2617"/>
      <c r="Q115" s="2617"/>
      <c r="R115" s="2617"/>
      <c r="S115" s="2583"/>
      <c r="T115" s="2583"/>
      <c r="U115" s="2583"/>
      <c r="V115" s="2583"/>
      <c r="W115" s="2583"/>
      <c r="X115" s="2584"/>
      <c r="Y115" s="2585"/>
      <c r="Z115" s="2585"/>
      <c r="AA115" s="2586"/>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row>
    <row r="116" spans="2:52" ht="18.75" customHeight="1">
      <c r="B116" s="2587"/>
      <c r="C116" s="272">
        <v>14</v>
      </c>
      <c r="D116" s="335"/>
      <c r="E116" s="2614" t="str">
        <f ca="1">IF(D114&lt;&gt;"",VLOOKUP(D114,提出,8,FALSE),"")</f>
        <v>機器、取付調整費</v>
      </c>
      <c r="F116" s="2615"/>
      <c r="G116" s="2615"/>
      <c r="H116" s="2615"/>
      <c r="I116" s="2615"/>
      <c r="J116" s="2615"/>
      <c r="K116" s="2616"/>
      <c r="L116" s="468">
        <f ca="1">IF(E116&lt;&gt;"",1,"")</f>
        <v>1</v>
      </c>
      <c r="M116" s="468" t="str">
        <f ca="1">IF(E116&lt;&gt;"","式","")</f>
        <v>式</v>
      </c>
      <c r="N116" s="2617">
        <f ca="1">IF(D114&lt;&gt;"",VLOOKUP(D114,提出,11,FALSE),"")</f>
        <v>42311000</v>
      </c>
      <c r="O116" s="2617"/>
      <c r="P116" s="2617"/>
      <c r="Q116" s="2617"/>
      <c r="R116" s="2617"/>
      <c r="S116" s="2583"/>
      <c r="T116" s="2583"/>
      <c r="U116" s="2583"/>
      <c r="V116" s="2583"/>
      <c r="W116" s="2583"/>
      <c r="X116" s="2584"/>
      <c r="Y116" s="2585"/>
      <c r="Z116" s="2585"/>
      <c r="AA116" s="2586"/>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row>
    <row r="117" spans="2:52" ht="18.75" customHeight="1">
      <c r="B117" s="2587"/>
      <c r="C117" s="272">
        <v>15</v>
      </c>
      <c r="D117" s="336"/>
      <c r="E117" s="2614" t="str">
        <f ca="1">IF(D114&lt;&gt;"",VLOOKUP(D114,提出,9,FALSE),"")</f>
        <v>電 　工　 費</v>
      </c>
      <c r="F117" s="2615"/>
      <c r="G117" s="2615"/>
      <c r="H117" s="2615"/>
      <c r="I117" s="2615"/>
      <c r="J117" s="2615"/>
      <c r="K117" s="2616"/>
      <c r="L117" s="468">
        <f ca="1">IF(E117&lt;&gt;"",1,"")</f>
        <v>1</v>
      </c>
      <c r="M117" s="468" t="str">
        <f ca="1">IF(E117&lt;&gt;"","式","")</f>
        <v>式</v>
      </c>
      <c r="N117" s="2617">
        <f ca="1">IF(D114&lt;&gt;"",VLOOKUP(D114,提出,12,FALSE),"")</f>
        <v>21840000</v>
      </c>
      <c r="O117" s="2617"/>
      <c r="P117" s="2617"/>
      <c r="Q117" s="2617"/>
      <c r="R117" s="2617"/>
      <c r="S117" s="2583"/>
      <c r="T117" s="2583"/>
      <c r="U117" s="2583"/>
      <c r="V117" s="2583"/>
      <c r="W117" s="2583"/>
      <c r="X117" s="2584"/>
      <c r="Y117" s="2585"/>
      <c r="Z117" s="2585"/>
      <c r="AA117" s="2586"/>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row>
    <row r="118" spans="2:52" ht="18.75" customHeight="1">
      <c r="B118" s="2587"/>
      <c r="C118" s="575">
        <v>16</v>
      </c>
      <c r="D118" s="573"/>
      <c r="E118" s="2609" t="str">
        <f ca="1">IF(E114&lt;&gt;"",D114&amp;" の 計","")</f>
        <v>11 の 計</v>
      </c>
      <c r="F118" s="2610"/>
      <c r="G118" s="2610"/>
      <c r="H118" s="2610"/>
      <c r="I118" s="2610"/>
      <c r="J118" s="2610"/>
      <c r="K118" s="2611"/>
      <c r="L118" s="574"/>
      <c r="M118" s="574"/>
      <c r="N118" s="2598"/>
      <c r="O118" s="2598"/>
      <c r="P118" s="2598"/>
      <c r="Q118" s="2598"/>
      <c r="R118" s="2598"/>
      <c r="S118" s="2612">
        <f ca="1">IF(D114&lt;&gt;"",VLOOKUP(D114,提出,13,FALSE),"")</f>
        <v>91467000</v>
      </c>
      <c r="T118" s="2612"/>
      <c r="U118" s="2612"/>
      <c r="V118" s="2612"/>
      <c r="W118" s="2612"/>
      <c r="X118" s="2584"/>
      <c r="Y118" s="2585"/>
      <c r="Z118" s="2585"/>
      <c r="AA118" s="2586"/>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row>
    <row r="119" spans="2:52" ht="18.75" customHeight="1">
      <c r="B119" s="2587"/>
      <c r="C119" s="262">
        <v>17</v>
      </c>
      <c r="D119" s="464">
        <f ca="1">D17</f>
        <v>12</v>
      </c>
      <c r="E119" s="2604" t="str">
        <f ca="1">IF(D17="","",E17)</f>
        <v xml:space="preserve"> 構内放送設備工事</v>
      </c>
      <c r="F119" s="2605"/>
      <c r="G119" s="2605"/>
      <c r="H119" s="2605"/>
      <c r="I119" s="2605"/>
      <c r="J119" s="2605"/>
      <c r="K119" s="2605"/>
      <c r="L119" s="2606">
        <f ca="1">IF(OR(D119="",$AG$51=0),"",INT(S123/Top!$AA$63))</f>
        <v>503</v>
      </c>
      <c r="M119" s="2606"/>
      <c r="N119" s="319" t="str">
        <f ca="1">IF(L119="","","／ｍ2")</f>
        <v>／ｍ2</v>
      </c>
      <c r="O119" s="319"/>
      <c r="P119" s="2613">
        <f ca="1">IF(L119="","",INT(L119/0.3025))</f>
        <v>1662</v>
      </c>
      <c r="Q119" s="2613"/>
      <c r="R119" s="319" t="str">
        <f ca="1">IF(P119="","","／坪")</f>
        <v>／坪</v>
      </c>
      <c r="S119" s="2607" t="str">
        <f ca="1">IF(L119="","","合計金額に対する割合；")</f>
        <v>合計金額に対する割合；</v>
      </c>
      <c r="T119" s="2607"/>
      <c r="U119" s="2607"/>
      <c r="V119" s="2607"/>
      <c r="W119" s="2607"/>
      <c r="X119" s="2607"/>
      <c r="Y119" s="2608">
        <f ca="1">IF(L119="","",$AD$52*100*S123/$S$41)</f>
        <v>3.5284701014678359</v>
      </c>
      <c r="Z119" s="2608"/>
      <c r="AA119" s="471" t="str">
        <f ca="1">IF(L119="","","％")</f>
        <v>％</v>
      </c>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row>
    <row r="120" spans="2:52" ht="18.75" customHeight="1">
      <c r="B120" s="2587"/>
      <c r="C120" s="272">
        <v>18</v>
      </c>
      <c r="D120" s="205"/>
      <c r="E120" s="2614" t="str">
        <f ca="1">IF(D119&lt;&gt;"",VLOOKUP(D119,提出,7,FALSE),"")</f>
        <v>配管配線材料</v>
      </c>
      <c r="F120" s="2615"/>
      <c r="G120" s="2615"/>
      <c r="H120" s="2615"/>
      <c r="I120" s="2615"/>
      <c r="J120" s="2615"/>
      <c r="K120" s="2616"/>
      <c r="L120" s="468">
        <f ca="1">IF(E120&lt;&gt;"",1,"")</f>
        <v>1</v>
      </c>
      <c r="M120" s="468" t="str">
        <f ca="1">IF(E120&lt;&gt;"","式","")</f>
        <v>式</v>
      </c>
      <c r="N120" s="2617">
        <f ca="1">IF(D119&lt;&gt;"",VLOOKUP(D119,提出,10,FALSE),"")</f>
        <v>3222000</v>
      </c>
      <c r="O120" s="2617"/>
      <c r="P120" s="2617"/>
      <c r="Q120" s="2617"/>
      <c r="R120" s="2617"/>
      <c r="S120" s="2583"/>
      <c r="T120" s="2583"/>
      <c r="U120" s="2583"/>
      <c r="V120" s="2583"/>
      <c r="W120" s="2583"/>
      <c r="X120" s="2584"/>
      <c r="Y120" s="2585"/>
      <c r="Z120" s="2585"/>
      <c r="AA120" s="2586"/>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row>
    <row r="121" spans="2:52" ht="18.75" customHeight="1">
      <c r="B121" s="2587"/>
      <c r="C121" s="272">
        <v>19</v>
      </c>
      <c r="D121" s="335"/>
      <c r="E121" s="2614" t="str">
        <f ca="1">IF(D119&lt;&gt;"",VLOOKUP(D119,提出,8,FALSE),"")</f>
        <v>機器、取付調整費</v>
      </c>
      <c r="F121" s="2615"/>
      <c r="G121" s="2615"/>
      <c r="H121" s="2615"/>
      <c r="I121" s="2615"/>
      <c r="J121" s="2615"/>
      <c r="K121" s="2616"/>
      <c r="L121" s="468">
        <f ca="1">IF(E121&lt;&gt;"",1,"")</f>
        <v>1</v>
      </c>
      <c r="M121" s="468" t="str">
        <f ca="1">IF(E121&lt;&gt;"","式","")</f>
        <v>式</v>
      </c>
      <c r="N121" s="2617">
        <f ca="1">IF(D119&lt;&gt;"",VLOOKUP(D119,提出,11,FALSE),"")</f>
        <v>5554000</v>
      </c>
      <c r="O121" s="2617"/>
      <c r="P121" s="2617"/>
      <c r="Q121" s="2617"/>
      <c r="R121" s="2617"/>
      <c r="S121" s="2583"/>
      <c r="T121" s="2583"/>
      <c r="U121" s="2583"/>
      <c r="V121" s="2583"/>
      <c r="W121" s="2583"/>
      <c r="X121" s="2584"/>
      <c r="Y121" s="2585"/>
      <c r="Z121" s="2585"/>
      <c r="AA121" s="2586"/>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row>
    <row r="122" spans="2:52" ht="18.75" customHeight="1">
      <c r="B122" s="2587"/>
      <c r="C122" s="272">
        <v>20</v>
      </c>
      <c r="D122" s="336"/>
      <c r="E122" s="2614" t="str">
        <f ca="1">IF(D119&lt;&gt;"",VLOOKUP(D119,提出,9,FALSE),"")</f>
        <v>電 　工　 費</v>
      </c>
      <c r="F122" s="2615"/>
      <c r="G122" s="2615"/>
      <c r="H122" s="2615"/>
      <c r="I122" s="2615"/>
      <c r="J122" s="2615"/>
      <c r="K122" s="2616"/>
      <c r="L122" s="468">
        <f ca="1">IF(E122&lt;&gt;"",1,"")</f>
        <v>1</v>
      </c>
      <c r="M122" s="468" t="str">
        <f ca="1">IF(E122&lt;&gt;"","式","")</f>
        <v>式</v>
      </c>
      <c r="N122" s="2617">
        <f ca="1">IF(D119&lt;&gt;"",VLOOKUP(D119,提出,12,FALSE),"")</f>
        <v>4614000</v>
      </c>
      <c r="O122" s="2617"/>
      <c r="P122" s="2617"/>
      <c r="Q122" s="2617"/>
      <c r="R122" s="2617"/>
      <c r="S122" s="2583"/>
      <c r="T122" s="2583"/>
      <c r="U122" s="2583"/>
      <c r="V122" s="2583"/>
      <c r="W122" s="2583"/>
      <c r="X122" s="2584"/>
      <c r="Y122" s="2585"/>
      <c r="Z122" s="2585"/>
      <c r="AA122" s="2586"/>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row>
    <row r="123" spans="2:52" ht="18.75" customHeight="1">
      <c r="B123" s="2587"/>
      <c r="C123" s="575">
        <v>21</v>
      </c>
      <c r="D123" s="573"/>
      <c r="E123" s="2609" t="str">
        <f ca="1">IF(E119&lt;&gt;"",D119&amp;" の 計","")</f>
        <v>12 の 計</v>
      </c>
      <c r="F123" s="2610"/>
      <c r="G123" s="2610"/>
      <c r="H123" s="2610"/>
      <c r="I123" s="2610"/>
      <c r="J123" s="2610"/>
      <c r="K123" s="2611"/>
      <c r="L123" s="574"/>
      <c r="M123" s="574"/>
      <c r="N123" s="2598"/>
      <c r="O123" s="2598"/>
      <c r="P123" s="2598"/>
      <c r="Q123" s="2598"/>
      <c r="R123" s="2598"/>
      <c r="S123" s="2612">
        <f ca="1">IF(D119&lt;&gt;"",VLOOKUP(D119,提出,13,FALSE),"")</f>
        <v>14327000</v>
      </c>
      <c r="T123" s="2612"/>
      <c r="U123" s="2612"/>
      <c r="V123" s="2612"/>
      <c r="W123" s="2612"/>
      <c r="X123" s="2584"/>
      <c r="Y123" s="2585"/>
      <c r="Z123" s="2585"/>
      <c r="AA123" s="2586"/>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row>
    <row r="124" spans="2:52" ht="18.75" customHeight="1">
      <c r="B124" s="2587"/>
      <c r="C124" s="262">
        <v>22</v>
      </c>
      <c r="D124" s="464">
        <f ca="1">D18</f>
        <v>13</v>
      </c>
      <c r="E124" s="2604" t="str">
        <f ca="1">IF(D18="","",E18)</f>
        <v xml:space="preserve"> テレビ共聴設備工事</v>
      </c>
      <c r="F124" s="2605"/>
      <c r="G124" s="2605"/>
      <c r="H124" s="2605"/>
      <c r="I124" s="2605"/>
      <c r="J124" s="2605"/>
      <c r="K124" s="2605"/>
      <c r="L124" s="2606">
        <f ca="1">IF(OR(D124="",$AG$51=0),"",INT(S128/Top!$AA$63))</f>
        <v>231</v>
      </c>
      <c r="M124" s="2606"/>
      <c r="N124" s="319" t="str">
        <f ca="1">IF(L124="","","／ｍ2")</f>
        <v>／ｍ2</v>
      </c>
      <c r="O124" s="319"/>
      <c r="P124" s="2613">
        <f ca="1">IF(L124="","",INT(L124/0.3025))</f>
        <v>763</v>
      </c>
      <c r="Q124" s="2613"/>
      <c r="R124" s="319" t="str">
        <f ca="1">IF(P124="","","／坪")</f>
        <v>／坪</v>
      </c>
      <c r="S124" s="2607" t="str">
        <f ca="1">IF(L124="","","合計金額に対する割合；")</f>
        <v>合計金額に対する割合；</v>
      </c>
      <c r="T124" s="2607"/>
      <c r="U124" s="2607"/>
      <c r="V124" s="2607"/>
      <c r="W124" s="2607"/>
      <c r="X124" s="2607"/>
      <c r="Y124" s="2608">
        <f ca="1">IF(L124="","",$AD$52*100*S128/$S$41)</f>
        <v>1.6234853708994188</v>
      </c>
      <c r="Z124" s="2608"/>
      <c r="AA124" s="471" t="str">
        <f ca="1">IF(L124="","","％")</f>
        <v>％</v>
      </c>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row>
    <row r="125" spans="2:52" ht="18.75" customHeight="1">
      <c r="B125" s="2587"/>
      <c r="C125" s="272">
        <v>23</v>
      </c>
      <c r="D125" s="205"/>
      <c r="E125" s="2580" t="str">
        <f ca="1">IF(D124&lt;&gt;"",VLOOKUP(D124,提出,7,FALSE),"")</f>
        <v>配管配線材料</v>
      </c>
      <c r="F125" s="2581"/>
      <c r="G125" s="2581"/>
      <c r="H125" s="2581"/>
      <c r="I125" s="2581"/>
      <c r="J125" s="2581"/>
      <c r="K125" s="2582"/>
      <c r="L125" s="334">
        <f ca="1">IF(E125&lt;&gt;"",1,"")</f>
        <v>1</v>
      </c>
      <c r="M125" s="334" t="str">
        <f ca="1">IF(E125&lt;&gt;"","式","")</f>
        <v>式</v>
      </c>
      <c r="N125" s="2583">
        <f ca="1">IF(D124&lt;&gt;"",VLOOKUP(D124,提出,10,FALSE),"")</f>
        <v>612000</v>
      </c>
      <c r="O125" s="2583"/>
      <c r="P125" s="2583"/>
      <c r="Q125" s="2583"/>
      <c r="R125" s="2583"/>
      <c r="S125" s="2583"/>
      <c r="T125" s="2583"/>
      <c r="U125" s="2583"/>
      <c r="V125" s="2583"/>
      <c r="W125" s="2583"/>
      <c r="X125" s="2584"/>
      <c r="Y125" s="2585"/>
      <c r="Z125" s="2585"/>
      <c r="AA125" s="2586"/>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row>
    <row r="126" spans="2:52" ht="18.75" customHeight="1">
      <c r="B126" s="2587"/>
      <c r="C126" s="272">
        <v>24</v>
      </c>
      <c r="D126" s="335"/>
      <c r="E126" s="2580" t="str">
        <f ca="1">IF(D124&lt;&gt;"",VLOOKUP(D124,提出,8,FALSE),"")</f>
        <v>機器、取付調整費</v>
      </c>
      <c r="F126" s="2581"/>
      <c r="G126" s="2581"/>
      <c r="H126" s="2581"/>
      <c r="I126" s="2581"/>
      <c r="J126" s="2581"/>
      <c r="K126" s="2582"/>
      <c r="L126" s="334">
        <f ca="1">IF(E126&lt;&gt;"",1,"")</f>
        <v>1</v>
      </c>
      <c r="M126" s="334" t="str">
        <f ca="1">IF(E126&lt;&gt;"","式","")</f>
        <v>式</v>
      </c>
      <c r="N126" s="2583">
        <f ca="1">IF(D124&lt;&gt;"",VLOOKUP(D124,提出,11,FALSE),"")</f>
        <v>2189000</v>
      </c>
      <c r="O126" s="2583"/>
      <c r="P126" s="2583"/>
      <c r="Q126" s="2583"/>
      <c r="R126" s="2583"/>
      <c r="S126" s="2583"/>
      <c r="T126" s="2583"/>
      <c r="U126" s="2583"/>
      <c r="V126" s="2583"/>
      <c r="W126" s="2583"/>
      <c r="X126" s="2584"/>
      <c r="Y126" s="2585"/>
      <c r="Z126" s="2585"/>
      <c r="AA126" s="2586"/>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row>
    <row r="127" spans="2:52" ht="18.75" customHeight="1">
      <c r="B127" s="2587"/>
      <c r="C127" s="272">
        <v>25</v>
      </c>
      <c r="D127" s="336"/>
      <c r="E127" s="2580" t="str">
        <f ca="1">IF(D124&lt;&gt;"",VLOOKUP(D124,提出,9,FALSE),"")</f>
        <v>電 　工　 費</v>
      </c>
      <c r="F127" s="2581"/>
      <c r="G127" s="2581"/>
      <c r="H127" s="2581"/>
      <c r="I127" s="2581"/>
      <c r="J127" s="2581"/>
      <c r="K127" s="2582"/>
      <c r="L127" s="334">
        <f ca="1">IF(E127&lt;&gt;"",1,"")</f>
        <v>1</v>
      </c>
      <c r="M127" s="334" t="str">
        <f ca="1">IF(E127&lt;&gt;"","式","")</f>
        <v>式</v>
      </c>
      <c r="N127" s="2583">
        <f ca="1">IF(D124&lt;&gt;"",VLOOKUP(D124,提出,12,FALSE),"")</f>
        <v>3360000</v>
      </c>
      <c r="O127" s="2583"/>
      <c r="P127" s="2583"/>
      <c r="Q127" s="2583"/>
      <c r="R127" s="2583"/>
      <c r="S127" s="2583"/>
      <c r="T127" s="2583"/>
      <c r="U127" s="2583"/>
      <c r="V127" s="2583"/>
      <c r="W127" s="2583"/>
      <c r="X127" s="2584"/>
      <c r="Y127" s="2585"/>
      <c r="Z127" s="2585"/>
      <c r="AA127" s="2586"/>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row>
    <row r="128" spans="2:52" ht="18.75" customHeight="1">
      <c r="B128" s="2587"/>
      <c r="C128" s="575">
        <v>26</v>
      </c>
      <c r="D128" s="573"/>
      <c r="E128" s="2595" t="str">
        <f ca="1">IF(E124&lt;&gt;"",D124&amp;" の 計","")</f>
        <v>13 の 計</v>
      </c>
      <c r="F128" s="2596"/>
      <c r="G128" s="2596"/>
      <c r="H128" s="2596"/>
      <c r="I128" s="2596"/>
      <c r="J128" s="2596"/>
      <c r="K128" s="2597"/>
      <c r="L128" s="574"/>
      <c r="M128" s="574"/>
      <c r="N128" s="2598"/>
      <c r="O128" s="2598"/>
      <c r="P128" s="2598"/>
      <c r="Q128" s="2598"/>
      <c r="R128" s="2598"/>
      <c r="S128" s="2603">
        <f ca="1">IF(D124&lt;&gt;"",VLOOKUP(D124,提出,13,FALSE),"")</f>
        <v>6592000</v>
      </c>
      <c r="T128" s="2603"/>
      <c r="U128" s="2603"/>
      <c r="V128" s="2603"/>
      <c r="W128" s="2603"/>
      <c r="X128" s="2584"/>
      <c r="Y128" s="2585"/>
      <c r="Z128" s="2585"/>
      <c r="AA128" s="2586"/>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row>
    <row r="129" spans="2:52" ht="18.75" customHeight="1">
      <c r="B129" s="2587"/>
      <c r="C129" s="262">
        <v>27</v>
      </c>
      <c r="D129" s="464" t="str">
        <f ca="1">D23</f>
        <v/>
      </c>
      <c r="E129" s="2604" t="str">
        <f ca="1">IF(D23="","",E23)</f>
        <v/>
      </c>
      <c r="F129" s="2605"/>
      <c r="G129" s="2605"/>
      <c r="H129" s="2605"/>
      <c r="I129" s="2605"/>
      <c r="J129" s="2605"/>
      <c r="K129" s="2605"/>
      <c r="L129" s="2606" t="str">
        <f ca="1">IF(OR(D129="",$AG$51=0),"",INT(S133/Top!$AA$63))</f>
        <v/>
      </c>
      <c r="M129" s="2606"/>
      <c r="N129" s="319" t="str">
        <f ca="1">IF(L129="","","／ｍ2")</f>
        <v/>
      </c>
      <c r="O129" s="319"/>
      <c r="P129" s="2606" t="str">
        <f ca="1">IF(L129="","",INT(L129/0.3025))</f>
        <v/>
      </c>
      <c r="Q129" s="2606"/>
      <c r="R129" s="319" t="str">
        <f ca="1">IF(P129="","","／坪")</f>
        <v/>
      </c>
      <c r="S129" s="2607" t="str">
        <f ca="1">IF(L129="","","合計金額に対する割合；")</f>
        <v/>
      </c>
      <c r="T129" s="2607"/>
      <c r="U129" s="2607"/>
      <c r="V129" s="2607"/>
      <c r="W129" s="2607"/>
      <c r="X129" s="2607"/>
      <c r="Y129" s="2608" t="str">
        <f ca="1">IF(L129="","",$AD$52*100*S133/$S$41)</f>
        <v/>
      </c>
      <c r="Z129" s="2608"/>
      <c r="AA129" s="471" t="str">
        <f ca="1">IF(L129="","","％")</f>
        <v/>
      </c>
      <c r="AB129" s="301"/>
      <c r="AC129" s="301"/>
      <c r="AD129" s="301"/>
      <c r="AE129" s="301"/>
      <c r="AF129" s="301"/>
      <c r="AG129" s="301"/>
      <c r="AH129" s="301"/>
      <c r="AI129" s="301"/>
      <c r="AJ129" s="301"/>
      <c r="AK129" s="301"/>
      <c r="AL129" s="301"/>
      <c r="AM129" s="301"/>
      <c r="AN129" s="301"/>
      <c r="AO129" s="301"/>
      <c r="AP129" s="301"/>
      <c r="AQ129" s="301"/>
      <c r="AR129" s="301"/>
      <c r="AS129" s="301"/>
      <c r="AT129" s="301"/>
      <c r="AU129" s="301"/>
      <c r="AV129" s="301"/>
      <c r="AW129" s="301"/>
      <c r="AX129" s="301"/>
      <c r="AY129" s="301"/>
      <c r="AZ129" s="301"/>
    </row>
    <row r="130" spans="2:52" ht="18.75" customHeight="1">
      <c r="B130" s="2587"/>
      <c r="C130" s="272">
        <v>28</v>
      </c>
      <c r="D130" s="705"/>
      <c r="E130" s="2580" t="str">
        <f ca="1">IF(D129&lt;&gt;"",VLOOKUP(D129,提出,7,FALSE),"")</f>
        <v/>
      </c>
      <c r="F130" s="2581"/>
      <c r="G130" s="2581"/>
      <c r="H130" s="2581"/>
      <c r="I130" s="2581"/>
      <c r="J130" s="2581"/>
      <c r="K130" s="2582"/>
      <c r="L130" s="334" t="str">
        <f ca="1">IF(E130&lt;&gt;"",1,"")</f>
        <v/>
      </c>
      <c r="M130" s="334" t="str">
        <f ca="1">IF(E130&lt;&gt;"","式","")</f>
        <v/>
      </c>
      <c r="N130" s="2583" t="str">
        <f ca="1">IF(D129&lt;&gt;"",VLOOKUP(D129,提出,10,FALSE),"")</f>
        <v/>
      </c>
      <c r="O130" s="2583"/>
      <c r="P130" s="2583"/>
      <c r="Q130" s="2583"/>
      <c r="R130" s="2583"/>
      <c r="S130" s="2583"/>
      <c r="T130" s="2583"/>
      <c r="U130" s="2583"/>
      <c r="V130" s="2583"/>
      <c r="W130" s="2583"/>
      <c r="X130" s="2584"/>
      <c r="Y130" s="2585"/>
      <c r="Z130" s="2585"/>
      <c r="AA130" s="2586"/>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row>
    <row r="131" spans="2:52" ht="18.75" customHeight="1">
      <c r="B131" s="2587"/>
      <c r="C131" s="272">
        <v>29</v>
      </c>
      <c r="D131" s="335"/>
      <c r="E131" s="2580" t="str">
        <f ca="1">IF(D129&lt;&gt;"",VLOOKUP(D129,提出,8,FALSE),"")</f>
        <v/>
      </c>
      <c r="F131" s="2581"/>
      <c r="G131" s="2581"/>
      <c r="H131" s="2581"/>
      <c r="I131" s="2581"/>
      <c r="J131" s="2581"/>
      <c r="K131" s="2582"/>
      <c r="L131" s="334" t="str">
        <f ca="1">IF(E131&lt;&gt;"",1,"")</f>
        <v/>
      </c>
      <c r="M131" s="334" t="str">
        <f ca="1">IF(E131&lt;&gt;"","式","")</f>
        <v/>
      </c>
      <c r="N131" s="2583" t="str">
        <f ca="1">IF(D129&lt;&gt;"",VLOOKUP(D129,提出,11,FALSE),"")</f>
        <v/>
      </c>
      <c r="O131" s="2583"/>
      <c r="P131" s="2583"/>
      <c r="Q131" s="2583"/>
      <c r="R131" s="2583"/>
      <c r="S131" s="2583"/>
      <c r="T131" s="2583"/>
      <c r="U131" s="2583"/>
      <c r="V131" s="2583"/>
      <c r="W131" s="2583"/>
      <c r="X131" s="2584"/>
      <c r="Y131" s="2585"/>
      <c r="Z131" s="2585"/>
      <c r="AA131" s="2586"/>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row>
    <row r="132" spans="2:52" ht="18.75" customHeight="1">
      <c r="B132" s="2587"/>
      <c r="C132" s="272">
        <v>30</v>
      </c>
      <c r="D132" s="336"/>
      <c r="E132" s="2580" t="str">
        <f ca="1">IF(D129&lt;&gt;"",VLOOKUP(D129,提出,9,FALSE),"")</f>
        <v/>
      </c>
      <c r="F132" s="2581"/>
      <c r="G132" s="2581"/>
      <c r="H132" s="2581"/>
      <c r="I132" s="2581"/>
      <c r="J132" s="2581"/>
      <c r="K132" s="2582"/>
      <c r="L132" s="334" t="str">
        <f ca="1">IF(E132&lt;&gt;"",1,"")</f>
        <v/>
      </c>
      <c r="M132" s="334" t="str">
        <f ca="1">IF(E132&lt;&gt;"","式","")</f>
        <v/>
      </c>
      <c r="N132" s="2583" t="str">
        <f ca="1">IF(D129&lt;&gt;"",VLOOKUP(D129,提出,12,FALSE),"")</f>
        <v/>
      </c>
      <c r="O132" s="2583"/>
      <c r="P132" s="2583"/>
      <c r="Q132" s="2583"/>
      <c r="R132" s="2583"/>
      <c r="S132" s="2583"/>
      <c r="T132" s="2583"/>
      <c r="U132" s="2583"/>
      <c r="V132" s="2583"/>
      <c r="W132" s="2583"/>
      <c r="X132" s="2584"/>
      <c r="Y132" s="2585"/>
      <c r="Z132" s="2585"/>
      <c r="AA132" s="2586"/>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row>
    <row r="133" spans="2:52" ht="18.75" customHeight="1">
      <c r="B133" s="2587"/>
      <c r="C133" s="575">
        <v>31</v>
      </c>
      <c r="D133" s="573"/>
      <c r="E133" s="2595" t="str">
        <f ca="1">IF(E129&lt;&gt;"",D129&amp;" の 計","")</f>
        <v/>
      </c>
      <c r="F133" s="2596"/>
      <c r="G133" s="2596"/>
      <c r="H133" s="2596"/>
      <c r="I133" s="2596"/>
      <c r="J133" s="2596"/>
      <c r="K133" s="2597"/>
      <c r="L133" s="574"/>
      <c r="M133" s="574"/>
      <c r="N133" s="2598"/>
      <c r="O133" s="2598"/>
      <c r="P133" s="2598"/>
      <c r="Q133" s="2598"/>
      <c r="R133" s="2598"/>
      <c r="S133" s="2603" t="str">
        <f ca="1">IF(D129&lt;&gt;"",VLOOKUP(D129,提出,13,FALSE),"")</f>
        <v/>
      </c>
      <c r="T133" s="2603"/>
      <c r="U133" s="2603"/>
      <c r="V133" s="2603"/>
      <c r="W133" s="2603"/>
      <c r="X133" s="2584"/>
      <c r="Y133" s="2585"/>
      <c r="Z133" s="2585"/>
      <c r="AA133" s="2586"/>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row>
    <row r="134" spans="2:52" ht="18.75" customHeight="1">
      <c r="B134" s="2587"/>
      <c r="C134" s="262">
        <v>32</v>
      </c>
      <c r="D134" s="464" t="str">
        <f ca="1">D28</f>
        <v/>
      </c>
      <c r="E134" s="2604" t="str">
        <f ca="1">IF(D28="","",E28)</f>
        <v/>
      </c>
      <c r="F134" s="2605"/>
      <c r="G134" s="2605"/>
      <c r="H134" s="2605"/>
      <c r="I134" s="2605"/>
      <c r="J134" s="2605"/>
      <c r="K134" s="2605"/>
      <c r="L134" s="2606" t="str">
        <f ca="1">IF(OR(D134="",$AG$51=0),"",INT(S138/Top!$AA$63))</f>
        <v/>
      </c>
      <c r="M134" s="2606"/>
      <c r="N134" s="319" t="str">
        <f ca="1">IF(L134="","","／ｍ2")</f>
        <v/>
      </c>
      <c r="O134" s="319"/>
      <c r="P134" s="2606" t="str">
        <f ca="1">IF(L134="","",INT(L134/0.3025))</f>
        <v/>
      </c>
      <c r="Q134" s="2606"/>
      <c r="R134" s="319" t="str">
        <f ca="1">IF(P134="","","／坪")</f>
        <v/>
      </c>
      <c r="S134" s="2607" t="str">
        <f ca="1">IF(L134="","","合計金額に対する割合；")</f>
        <v/>
      </c>
      <c r="T134" s="2607"/>
      <c r="U134" s="2607"/>
      <c r="V134" s="2607"/>
      <c r="W134" s="2607"/>
      <c r="X134" s="2607"/>
      <c r="Y134" s="2608" t="str">
        <f ca="1">IF(L134="","",$AD$52*100*S138/$S$41)</f>
        <v/>
      </c>
      <c r="Z134" s="2608"/>
      <c r="AA134" s="471" t="str">
        <f ca="1">IF(L134="","","％")</f>
        <v/>
      </c>
      <c r="AB134" s="301"/>
      <c r="AC134" s="301"/>
      <c r="AD134" s="301"/>
      <c r="AE134" s="301"/>
      <c r="AF134" s="301"/>
      <c r="AG134" s="301"/>
      <c r="AH134" s="301"/>
      <c r="AI134" s="301"/>
      <c r="AJ134" s="301"/>
      <c r="AK134" s="301"/>
      <c r="AL134" s="301"/>
      <c r="AM134" s="301"/>
      <c r="AN134" s="301"/>
      <c r="AO134" s="301"/>
      <c r="AP134" s="301"/>
      <c r="AQ134" s="301"/>
      <c r="AR134" s="301"/>
      <c r="AS134" s="301"/>
      <c r="AT134" s="301"/>
      <c r="AU134" s="301"/>
      <c r="AV134" s="301"/>
      <c r="AW134" s="301"/>
      <c r="AX134" s="301"/>
      <c r="AY134" s="301"/>
      <c r="AZ134" s="301"/>
    </row>
    <row r="135" spans="2:52" ht="18.75" customHeight="1">
      <c r="B135" s="2587"/>
      <c r="C135" s="272">
        <v>33</v>
      </c>
      <c r="D135" s="705"/>
      <c r="E135" s="2580" t="str">
        <f ca="1">IF(D134&lt;&gt;"",VLOOKUP(D134,提出,7,FALSE),"")</f>
        <v/>
      </c>
      <c r="F135" s="2581"/>
      <c r="G135" s="2581"/>
      <c r="H135" s="2581"/>
      <c r="I135" s="2581"/>
      <c r="J135" s="2581"/>
      <c r="K135" s="2582"/>
      <c r="L135" s="334" t="str">
        <f ca="1">IF(E135&lt;&gt;"",1,"")</f>
        <v/>
      </c>
      <c r="M135" s="334" t="str">
        <f ca="1">IF(E135&lt;&gt;"","式","")</f>
        <v/>
      </c>
      <c r="N135" s="2583" t="str">
        <f ca="1">IF(D134&lt;&gt;"",VLOOKUP(D134,提出,10,FALSE),"")</f>
        <v/>
      </c>
      <c r="O135" s="2583"/>
      <c r="P135" s="2583"/>
      <c r="Q135" s="2583"/>
      <c r="R135" s="2583"/>
      <c r="S135" s="2583"/>
      <c r="T135" s="2583"/>
      <c r="U135" s="2583"/>
      <c r="V135" s="2583"/>
      <c r="W135" s="2583"/>
      <c r="X135" s="2584"/>
      <c r="Y135" s="2585"/>
      <c r="Z135" s="2585"/>
      <c r="AA135" s="2586"/>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row>
    <row r="136" spans="2:52" ht="18.75" customHeight="1">
      <c r="B136" s="2587"/>
      <c r="C136" s="272">
        <v>34</v>
      </c>
      <c r="D136" s="335"/>
      <c r="E136" s="2580" t="str">
        <f ca="1">IF(D134&lt;&gt;"",VLOOKUP(D134,提出,8,FALSE),"")</f>
        <v/>
      </c>
      <c r="F136" s="2581"/>
      <c r="G136" s="2581"/>
      <c r="H136" s="2581"/>
      <c r="I136" s="2581"/>
      <c r="J136" s="2581"/>
      <c r="K136" s="2582"/>
      <c r="L136" s="334" t="str">
        <f ca="1">IF(E136&lt;&gt;"",1,"")</f>
        <v/>
      </c>
      <c r="M136" s="334" t="str">
        <f ca="1">IF(E136&lt;&gt;"","式","")</f>
        <v/>
      </c>
      <c r="N136" s="2583" t="str">
        <f ca="1">IF(D134&lt;&gt;"",VLOOKUP(D134,提出,11,FALSE),"")</f>
        <v/>
      </c>
      <c r="O136" s="2583"/>
      <c r="P136" s="2583"/>
      <c r="Q136" s="2583"/>
      <c r="R136" s="2583"/>
      <c r="S136" s="2583"/>
      <c r="T136" s="2583"/>
      <c r="U136" s="2583"/>
      <c r="V136" s="2583"/>
      <c r="W136" s="2583"/>
      <c r="X136" s="2584"/>
      <c r="Y136" s="2585"/>
      <c r="Z136" s="2585"/>
      <c r="AA136" s="2586"/>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row>
    <row r="137" spans="2:52" ht="18.75" customHeight="1">
      <c r="B137" s="2587"/>
      <c r="C137" s="272">
        <v>35</v>
      </c>
      <c r="D137" s="336"/>
      <c r="E137" s="2580" t="str">
        <f ca="1">IF(D134&lt;&gt;"",VLOOKUP(D134,提出,9,FALSE),"")</f>
        <v/>
      </c>
      <c r="F137" s="2581"/>
      <c r="G137" s="2581"/>
      <c r="H137" s="2581"/>
      <c r="I137" s="2581"/>
      <c r="J137" s="2581"/>
      <c r="K137" s="2582"/>
      <c r="L137" s="334" t="str">
        <f ca="1">IF(E137&lt;&gt;"",1,"")</f>
        <v/>
      </c>
      <c r="M137" s="334" t="str">
        <f ca="1">IF(E137&lt;&gt;"","式","")</f>
        <v/>
      </c>
      <c r="N137" s="2583" t="str">
        <f ca="1">IF(D134&lt;&gt;"",VLOOKUP(D134,提出,12,FALSE),"")</f>
        <v/>
      </c>
      <c r="O137" s="2583"/>
      <c r="P137" s="2583"/>
      <c r="Q137" s="2583"/>
      <c r="R137" s="2583"/>
      <c r="S137" s="2583"/>
      <c r="T137" s="2583"/>
      <c r="U137" s="2583"/>
      <c r="V137" s="2583"/>
      <c r="W137" s="2583"/>
      <c r="X137" s="2584"/>
      <c r="Y137" s="2585"/>
      <c r="Z137" s="2585"/>
      <c r="AA137" s="2586"/>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row>
    <row r="138" spans="2:52" ht="18.75" customHeight="1">
      <c r="B138" s="2587"/>
      <c r="C138" s="575">
        <v>36</v>
      </c>
      <c r="D138" s="573"/>
      <c r="E138" s="2595" t="str">
        <f ca="1">IF(E134&lt;&gt;"",D134&amp;" の 計","")</f>
        <v/>
      </c>
      <c r="F138" s="2596"/>
      <c r="G138" s="2596"/>
      <c r="H138" s="2596"/>
      <c r="I138" s="2596"/>
      <c r="J138" s="2596"/>
      <c r="K138" s="2597"/>
      <c r="L138" s="574"/>
      <c r="M138" s="574"/>
      <c r="N138" s="2598"/>
      <c r="O138" s="2598"/>
      <c r="P138" s="2598"/>
      <c r="Q138" s="2598"/>
      <c r="R138" s="2598"/>
      <c r="S138" s="2603" t="str">
        <f ca="1">IF(D134&lt;&gt;"",VLOOKUP(D134,提出,13,FALSE),"")</f>
        <v/>
      </c>
      <c r="T138" s="2603"/>
      <c r="U138" s="2603"/>
      <c r="V138" s="2603"/>
      <c r="W138" s="2603"/>
      <c r="X138" s="2584"/>
      <c r="Y138" s="2585"/>
      <c r="Z138" s="2585"/>
      <c r="AA138" s="2586"/>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row>
    <row r="139" spans="2:52" ht="18.75" customHeight="1">
      <c r="B139" s="2587"/>
      <c r="C139" s="262">
        <v>37</v>
      </c>
      <c r="D139" s="464" t="str">
        <f ca="1">D33</f>
        <v/>
      </c>
      <c r="E139" s="2604" t="str">
        <f ca="1">IF(D33="","",E33)</f>
        <v/>
      </c>
      <c r="F139" s="2605"/>
      <c r="G139" s="2605"/>
      <c r="H139" s="2605"/>
      <c r="I139" s="2605"/>
      <c r="J139" s="2605"/>
      <c r="K139" s="2605"/>
      <c r="L139" s="2606" t="str">
        <f ca="1">IF(OR(D139="",$AG$51=0),"",INT(S143/Top!$AA$63))</f>
        <v/>
      </c>
      <c r="M139" s="2606"/>
      <c r="N139" s="319" t="str">
        <f ca="1">IF(L139="","","／ｍ2")</f>
        <v/>
      </c>
      <c r="O139" s="319"/>
      <c r="P139" s="2606" t="str">
        <f ca="1">IF(L139="","",INT(L139/0.3025))</f>
        <v/>
      </c>
      <c r="Q139" s="2606"/>
      <c r="R139" s="319" t="str">
        <f ca="1">IF(P139="","","／坪")</f>
        <v/>
      </c>
      <c r="S139" s="2607" t="str">
        <f ca="1">IF(L139="","","合計金額に対する割合；")</f>
        <v/>
      </c>
      <c r="T139" s="2607"/>
      <c r="U139" s="2607"/>
      <c r="V139" s="2607"/>
      <c r="W139" s="2607"/>
      <c r="X139" s="2607"/>
      <c r="Y139" s="2608" t="str">
        <f ca="1">IF(L139="","",$AD$52*100*S143/$S$41)</f>
        <v/>
      </c>
      <c r="Z139" s="2608"/>
      <c r="AA139" s="471" t="str">
        <f ca="1">IF(L139="","","％")</f>
        <v/>
      </c>
      <c r="AB139" s="301"/>
      <c r="AC139" s="301"/>
      <c r="AD139" s="301"/>
      <c r="AE139" s="301"/>
      <c r="AF139" s="301"/>
      <c r="AG139" s="301"/>
      <c r="AH139" s="301"/>
      <c r="AI139" s="301"/>
      <c r="AJ139" s="301"/>
      <c r="AK139" s="301"/>
      <c r="AL139" s="301"/>
      <c r="AM139" s="301"/>
      <c r="AN139" s="301"/>
      <c r="AO139" s="301"/>
      <c r="AP139" s="301"/>
      <c r="AQ139" s="301"/>
      <c r="AR139" s="301"/>
      <c r="AS139" s="301"/>
      <c r="AT139" s="301"/>
      <c r="AU139" s="301"/>
      <c r="AV139" s="301"/>
      <c r="AW139" s="301"/>
      <c r="AX139" s="301"/>
      <c r="AY139" s="301"/>
      <c r="AZ139" s="301"/>
    </row>
    <row r="140" spans="2:52" ht="18.75" customHeight="1">
      <c r="B140" s="2587"/>
      <c r="C140" s="272">
        <v>38</v>
      </c>
      <c r="D140" s="705"/>
      <c r="E140" s="2580" t="str">
        <f ca="1">IF(D139&lt;&gt;"",VLOOKUP(D139,提出,7,FALSE),"")</f>
        <v/>
      </c>
      <c r="F140" s="2581"/>
      <c r="G140" s="2581"/>
      <c r="H140" s="2581"/>
      <c r="I140" s="2581"/>
      <c r="J140" s="2581"/>
      <c r="K140" s="2582"/>
      <c r="L140" s="334" t="str">
        <f ca="1">IF(E140&lt;&gt;"",1,"")</f>
        <v/>
      </c>
      <c r="M140" s="334" t="str">
        <f ca="1">IF(E140&lt;&gt;"","式","")</f>
        <v/>
      </c>
      <c r="N140" s="2583" t="str">
        <f ca="1">IF(D139&lt;&gt;"",VLOOKUP(D139,提出,10,FALSE),"")</f>
        <v/>
      </c>
      <c r="O140" s="2583"/>
      <c r="P140" s="2583"/>
      <c r="Q140" s="2583"/>
      <c r="R140" s="2583"/>
      <c r="S140" s="2583"/>
      <c r="T140" s="2583"/>
      <c r="U140" s="2583"/>
      <c r="V140" s="2583"/>
      <c r="W140" s="2583"/>
      <c r="X140" s="2584"/>
      <c r="Y140" s="2585"/>
      <c r="Z140" s="2585"/>
      <c r="AA140" s="2586"/>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row>
    <row r="141" spans="2:52" ht="18.75" customHeight="1">
      <c r="B141" s="2587"/>
      <c r="C141" s="272">
        <v>39</v>
      </c>
      <c r="D141" s="335"/>
      <c r="E141" s="2580" t="str">
        <f ca="1">IF(D139&lt;&gt;"",VLOOKUP(D139,提出,8,FALSE),"")</f>
        <v/>
      </c>
      <c r="F141" s="2581"/>
      <c r="G141" s="2581"/>
      <c r="H141" s="2581"/>
      <c r="I141" s="2581"/>
      <c r="J141" s="2581"/>
      <c r="K141" s="2582"/>
      <c r="L141" s="334" t="str">
        <f ca="1">IF(E141&lt;&gt;"",1,"")</f>
        <v/>
      </c>
      <c r="M141" s="334" t="str">
        <f ca="1">IF(E141&lt;&gt;"","式","")</f>
        <v/>
      </c>
      <c r="N141" s="2583" t="str">
        <f ca="1">IF(D139&lt;&gt;"",VLOOKUP(D139,提出,11,FALSE),"")</f>
        <v/>
      </c>
      <c r="O141" s="2583"/>
      <c r="P141" s="2583"/>
      <c r="Q141" s="2583"/>
      <c r="R141" s="2583"/>
      <c r="S141" s="2583"/>
      <c r="T141" s="2583"/>
      <c r="U141" s="2583"/>
      <c r="V141" s="2583"/>
      <c r="W141" s="2583"/>
      <c r="X141" s="2584"/>
      <c r="Y141" s="2585"/>
      <c r="Z141" s="2585"/>
      <c r="AA141" s="2586"/>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row>
    <row r="142" spans="2:52" ht="18.75" customHeight="1">
      <c r="B142" s="2587"/>
      <c r="C142" s="272">
        <v>40</v>
      </c>
      <c r="D142" s="336"/>
      <c r="E142" s="2580" t="str">
        <f ca="1">IF(D139&lt;&gt;"",VLOOKUP(D139,提出,9,FALSE),"")</f>
        <v/>
      </c>
      <c r="F142" s="2581"/>
      <c r="G142" s="2581"/>
      <c r="H142" s="2581"/>
      <c r="I142" s="2581"/>
      <c r="J142" s="2581"/>
      <c r="K142" s="2582"/>
      <c r="L142" s="334" t="str">
        <f ca="1">IF(E142&lt;&gt;"",1,"")</f>
        <v/>
      </c>
      <c r="M142" s="334" t="str">
        <f ca="1">IF(E142&lt;&gt;"","式","")</f>
        <v/>
      </c>
      <c r="N142" s="2583" t="str">
        <f ca="1">IF(D139&lt;&gt;"",VLOOKUP(D139,提出,12,FALSE),"")</f>
        <v/>
      </c>
      <c r="O142" s="2583"/>
      <c r="P142" s="2583"/>
      <c r="Q142" s="2583"/>
      <c r="R142" s="2583"/>
      <c r="S142" s="2583"/>
      <c r="T142" s="2583"/>
      <c r="U142" s="2583"/>
      <c r="V142" s="2583"/>
      <c r="W142" s="2583"/>
      <c r="X142" s="2584"/>
      <c r="Y142" s="2585"/>
      <c r="Z142" s="2585"/>
      <c r="AA142" s="2586"/>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row>
    <row r="143" spans="2:52" ht="18.75" customHeight="1">
      <c r="B143" s="2587"/>
      <c r="C143" s="575">
        <v>41</v>
      </c>
      <c r="D143" s="573"/>
      <c r="E143" s="2595" t="str">
        <f ca="1">IF(E139&lt;&gt;"",D139&amp;" の 計","")</f>
        <v/>
      </c>
      <c r="F143" s="2596"/>
      <c r="G143" s="2596"/>
      <c r="H143" s="2596"/>
      <c r="I143" s="2596"/>
      <c r="J143" s="2596"/>
      <c r="K143" s="2597"/>
      <c r="L143" s="574"/>
      <c r="M143" s="574"/>
      <c r="N143" s="2598"/>
      <c r="O143" s="2598"/>
      <c r="P143" s="2598"/>
      <c r="Q143" s="2598"/>
      <c r="R143" s="2598"/>
      <c r="S143" s="2599" t="str">
        <f ca="1">IF(D139&lt;&gt;"",VLOOKUP(D139,提出,13,FALSE),"")</f>
        <v/>
      </c>
      <c r="T143" s="2599"/>
      <c r="U143" s="2599"/>
      <c r="V143" s="2599"/>
      <c r="W143" s="2599"/>
      <c r="X143" s="2600"/>
      <c r="Y143" s="2601"/>
      <c r="Z143" s="2601"/>
      <c r="AA143" s="2602"/>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row>
    <row r="144" spans="2:52" ht="18.75" customHeight="1">
      <c r="B144" s="2587"/>
      <c r="C144" s="262">
        <v>42</v>
      </c>
      <c r="D144" s="319"/>
      <c r="E144" s="319"/>
      <c r="F144" s="319"/>
      <c r="G144" s="319"/>
      <c r="H144" s="504"/>
      <c r="I144" s="319"/>
      <c r="J144" s="319"/>
      <c r="K144" s="319"/>
      <c r="L144" s="319"/>
      <c r="M144" s="319"/>
      <c r="N144" s="319"/>
      <c r="O144" s="319"/>
      <c r="P144" s="319"/>
      <c r="Q144" s="319"/>
      <c r="R144" s="319"/>
      <c r="S144" s="319"/>
      <c r="T144" s="319"/>
      <c r="U144" s="319"/>
      <c r="V144" s="319"/>
      <c r="W144" s="319"/>
      <c r="X144" s="319"/>
      <c r="Y144" s="319"/>
      <c r="Z144" s="319"/>
      <c r="AA144" s="578"/>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row>
    <row r="145" spans="2:52" ht="18.75" customHeight="1">
      <c r="B145" s="2587"/>
      <c r="C145" s="272">
        <v>43</v>
      </c>
      <c r="D145" s="314"/>
      <c r="E145" s="314"/>
      <c r="F145" s="314"/>
      <c r="G145" s="314"/>
      <c r="H145" s="318"/>
      <c r="I145" s="314"/>
      <c r="J145" s="314"/>
      <c r="K145" s="314"/>
      <c r="L145" s="314"/>
      <c r="M145" s="314"/>
      <c r="N145" s="314"/>
      <c r="O145" s="314"/>
      <c r="P145" s="314"/>
      <c r="Q145" s="314"/>
      <c r="R145" s="314"/>
      <c r="S145" s="314"/>
      <c r="T145" s="314"/>
      <c r="U145" s="314"/>
      <c r="V145" s="314"/>
      <c r="W145" s="314"/>
      <c r="X145" s="319"/>
      <c r="Y145" s="319"/>
      <c r="Z145" s="314"/>
      <c r="AA145" s="31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row>
    <row r="146" spans="2:52" ht="18.75" customHeight="1">
      <c r="B146" s="2587"/>
      <c r="C146" s="272">
        <v>44</v>
      </c>
      <c r="D146" s="314"/>
      <c r="E146" s="314"/>
      <c r="F146" s="314"/>
      <c r="G146" s="314"/>
      <c r="H146" s="314"/>
      <c r="I146" s="314"/>
      <c r="J146" s="314"/>
      <c r="K146" s="314"/>
      <c r="L146" s="314"/>
      <c r="M146" s="314"/>
      <c r="N146" s="314"/>
      <c r="O146" s="314"/>
      <c r="P146" s="314"/>
      <c r="Q146" s="314"/>
      <c r="R146" s="314"/>
      <c r="S146" s="319"/>
      <c r="T146" s="319"/>
      <c r="U146" s="319"/>
      <c r="V146" s="319"/>
      <c r="W146" s="319"/>
      <c r="X146" s="314"/>
      <c r="Y146" s="314"/>
      <c r="Z146" s="314"/>
      <c r="AA146" s="31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row>
    <row r="147" spans="2:52" ht="18.75" customHeight="1" thickBot="1">
      <c r="B147" s="2587"/>
      <c r="C147" s="291">
        <v>45</v>
      </c>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c r="AA147" s="326"/>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row>
    <row r="148" spans="2:52" ht="4.5" customHeight="1">
      <c r="B148" s="2587"/>
    </row>
  </sheetData>
  <sheetProtection password="80A0" sheet="1" objects="1" scenarios="1"/>
  <mergeCells count="536">
    <mergeCell ref="AY46:AZ46"/>
    <mergeCell ref="E55:K55"/>
    <mergeCell ref="L55:M55"/>
    <mergeCell ref="P55:Q55"/>
    <mergeCell ref="S55:X55"/>
    <mergeCell ref="Y55:Z55"/>
    <mergeCell ref="N43:P43"/>
    <mergeCell ref="B2:B50"/>
    <mergeCell ref="E2:T2"/>
    <mergeCell ref="W2:X2"/>
    <mergeCell ref="Y2:AA2"/>
    <mergeCell ref="E3:T3"/>
    <mergeCell ref="Y3:AA3"/>
    <mergeCell ref="E4:T4"/>
    <mergeCell ref="Y4:AA4"/>
    <mergeCell ref="E6:K6"/>
    <mergeCell ref="N6:R6"/>
    <mergeCell ref="S6:W6"/>
    <mergeCell ref="X6:AA6"/>
    <mergeCell ref="E7:K7"/>
    <mergeCell ref="N7:R7"/>
    <mergeCell ref="S7:W7"/>
    <mergeCell ref="X7:AA7"/>
    <mergeCell ref="E10:K10"/>
    <mergeCell ref="N10:R10"/>
    <mergeCell ref="S10:W10"/>
    <mergeCell ref="X10:AA10"/>
    <mergeCell ref="E11:K11"/>
    <mergeCell ref="N11:R11"/>
    <mergeCell ref="S11:W11"/>
    <mergeCell ref="X11:AA11"/>
    <mergeCell ref="AX4:AX5"/>
    <mergeCell ref="AY4:AY5"/>
    <mergeCell ref="E5:K5"/>
    <mergeCell ref="N5:R5"/>
    <mergeCell ref="S5:W5"/>
    <mergeCell ref="X5:AA5"/>
    <mergeCell ref="AB5:AC5"/>
    <mergeCell ref="AD5:AF5"/>
    <mergeCell ref="AG5:AI5"/>
    <mergeCell ref="AJ5:AL5"/>
    <mergeCell ref="AB4:AC4"/>
    <mergeCell ref="AD4:AF4"/>
    <mergeCell ref="AG4:AI4"/>
    <mergeCell ref="AJ4:AU4"/>
    <mergeCell ref="AV4:AV5"/>
    <mergeCell ref="AW4:AW5"/>
    <mergeCell ref="AM5:AO5"/>
    <mergeCell ref="AP5:AR5"/>
    <mergeCell ref="AS5:AU5"/>
    <mergeCell ref="E8:K8"/>
    <mergeCell ref="N8:R8"/>
    <mergeCell ref="S8:W8"/>
    <mergeCell ref="X8:AA8"/>
    <mergeCell ref="E9:K9"/>
    <mergeCell ref="N9:R9"/>
    <mergeCell ref="S9:W9"/>
    <mergeCell ref="X9:AA9"/>
    <mergeCell ref="E14:K14"/>
    <mergeCell ref="N14:R14"/>
    <mergeCell ref="S14:W14"/>
    <mergeCell ref="X14:AA14"/>
    <mergeCell ref="E15:K15"/>
    <mergeCell ref="N15:R15"/>
    <mergeCell ref="S15:W15"/>
    <mergeCell ref="X15:AA15"/>
    <mergeCell ref="E12:K12"/>
    <mergeCell ref="N12:R12"/>
    <mergeCell ref="S12:W12"/>
    <mergeCell ref="X12:AA12"/>
    <mergeCell ref="E13:K13"/>
    <mergeCell ref="N13:R13"/>
    <mergeCell ref="S13:W13"/>
    <mergeCell ref="X13:AA13"/>
    <mergeCell ref="E18:K18"/>
    <mergeCell ref="N18:R18"/>
    <mergeCell ref="S18:W18"/>
    <mergeCell ref="X18:AA18"/>
    <mergeCell ref="E19:K19"/>
    <mergeCell ref="N19:R19"/>
    <mergeCell ref="S19:W19"/>
    <mergeCell ref="X19:AA19"/>
    <mergeCell ref="E16:K16"/>
    <mergeCell ref="N16:R16"/>
    <mergeCell ref="S16:W16"/>
    <mergeCell ref="X16:AA16"/>
    <mergeCell ref="E17:K17"/>
    <mergeCell ref="N17:R17"/>
    <mergeCell ref="S17:W17"/>
    <mergeCell ref="X17:AA17"/>
    <mergeCell ref="E22:K22"/>
    <mergeCell ref="N22:R22"/>
    <mergeCell ref="S22:W22"/>
    <mergeCell ref="X22:AA22"/>
    <mergeCell ref="E23:K23"/>
    <mergeCell ref="N23:R23"/>
    <mergeCell ref="S23:W23"/>
    <mergeCell ref="X23:AA23"/>
    <mergeCell ref="E20:K20"/>
    <mergeCell ref="N20:R20"/>
    <mergeCell ref="S20:W20"/>
    <mergeCell ref="X20:AA20"/>
    <mergeCell ref="E21:K21"/>
    <mergeCell ref="N21:R21"/>
    <mergeCell ref="S21:W21"/>
    <mergeCell ref="X21:AA21"/>
    <mergeCell ref="E26:K26"/>
    <mergeCell ref="N26:R26"/>
    <mergeCell ref="S26:W26"/>
    <mergeCell ref="X26:AA26"/>
    <mergeCell ref="E27:K27"/>
    <mergeCell ref="N27:R27"/>
    <mergeCell ref="S27:W27"/>
    <mergeCell ref="X27:AA27"/>
    <mergeCell ref="E24:K24"/>
    <mergeCell ref="N24:R24"/>
    <mergeCell ref="S24:W24"/>
    <mergeCell ref="X24:AA24"/>
    <mergeCell ref="E25:K25"/>
    <mergeCell ref="N25:R25"/>
    <mergeCell ref="S25:W25"/>
    <mergeCell ref="X25:AA25"/>
    <mergeCell ref="E30:K30"/>
    <mergeCell ref="N30:R30"/>
    <mergeCell ref="S30:W30"/>
    <mergeCell ref="X30:AA30"/>
    <mergeCell ref="E31:K31"/>
    <mergeCell ref="N31:R31"/>
    <mergeCell ref="S31:W31"/>
    <mergeCell ref="X31:AA31"/>
    <mergeCell ref="E28:K28"/>
    <mergeCell ref="N28:R28"/>
    <mergeCell ref="S28:W28"/>
    <mergeCell ref="X28:AA28"/>
    <mergeCell ref="E29:K29"/>
    <mergeCell ref="N29:R29"/>
    <mergeCell ref="S29:W29"/>
    <mergeCell ref="X29:AA29"/>
    <mergeCell ref="E34:K34"/>
    <mergeCell ref="N34:R34"/>
    <mergeCell ref="S34:W34"/>
    <mergeCell ref="X34:AA34"/>
    <mergeCell ref="E35:K35"/>
    <mergeCell ref="N35:R35"/>
    <mergeCell ref="S35:W35"/>
    <mergeCell ref="X35:AA35"/>
    <mergeCell ref="E32:K32"/>
    <mergeCell ref="N32:R32"/>
    <mergeCell ref="S32:W32"/>
    <mergeCell ref="X32:AA32"/>
    <mergeCell ref="E33:K33"/>
    <mergeCell ref="N33:R33"/>
    <mergeCell ref="S33:W33"/>
    <mergeCell ref="X33:AA33"/>
    <mergeCell ref="E38:K38"/>
    <mergeCell ref="N38:R38"/>
    <mergeCell ref="S38:W38"/>
    <mergeCell ref="X38:AA38"/>
    <mergeCell ref="E39:K39"/>
    <mergeCell ref="N39:R39"/>
    <mergeCell ref="S39:W39"/>
    <mergeCell ref="X39:AA39"/>
    <mergeCell ref="E36:K36"/>
    <mergeCell ref="N36:R36"/>
    <mergeCell ref="S36:W36"/>
    <mergeCell ref="X36:AA36"/>
    <mergeCell ref="E37:K37"/>
    <mergeCell ref="N37:R37"/>
    <mergeCell ref="S37:W37"/>
    <mergeCell ref="X37:AA37"/>
    <mergeCell ref="AD39:AF39"/>
    <mergeCell ref="E40:K40"/>
    <mergeCell ref="N40:R40"/>
    <mergeCell ref="S40:W40"/>
    <mergeCell ref="X40:AA40"/>
    <mergeCell ref="AD40:AF40"/>
    <mergeCell ref="Y53:AA53"/>
    <mergeCell ref="E54:K54"/>
    <mergeCell ref="N54:R54"/>
    <mergeCell ref="S54:W54"/>
    <mergeCell ref="X54:AA54"/>
    <mergeCell ref="E41:K41"/>
    <mergeCell ref="S41:W41"/>
    <mergeCell ref="AD41:AF41"/>
    <mergeCell ref="D43:H43"/>
    <mergeCell ref="I43:K43"/>
    <mergeCell ref="E56:K56"/>
    <mergeCell ref="N56:R56"/>
    <mergeCell ref="S56:W56"/>
    <mergeCell ref="X56:AA56"/>
    <mergeCell ref="E57:K57"/>
    <mergeCell ref="N57:R57"/>
    <mergeCell ref="S57:W57"/>
    <mergeCell ref="X57:AA57"/>
    <mergeCell ref="B51:B99"/>
    <mergeCell ref="E51:T51"/>
    <mergeCell ref="W51:X51"/>
    <mergeCell ref="Y51:AA51"/>
    <mergeCell ref="E52:T52"/>
    <mergeCell ref="Y52:AA52"/>
    <mergeCell ref="E53:T53"/>
    <mergeCell ref="E58:K58"/>
    <mergeCell ref="N58:R58"/>
    <mergeCell ref="S58:W58"/>
    <mergeCell ref="X61:AA61"/>
    <mergeCell ref="E62:K62"/>
    <mergeCell ref="N62:R62"/>
    <mergeCell ref="S62:W62"/>
    <mergeCell ref="X62:AA62"/>
    <mergeCell ref="X58:AA58"/>
    <mergeCell ref="E59:K59"/>
    <mergeCell ref="N59:R59"/>
    <mergeCell ref="S59:W59"/>
    <mergeCell ref="X59:AA59"/>
    <mergeCell ref="E68:K68"/>
    <mergeCell ref="N68:R68"/>
    <mergeCell ref="S68:W68"/>
    <mergeCell ref="X68:AA68"/>
    <mergeCell ref="E65:K65"/>
    <mergeCell ref="L65:M65"/>
    <mergeCell ref="P65:Q65"/>
    <mergeCell ref="S65:X65"/>
    <mergeCell ref="Y65:Z65"/>
    <mergeCell ref="E66:K66"/>
    <mergeCell ref="N66:R66"/>
    <mergeCell ref="S66:W66"/>
    <mergeCell ref="X66:AA66"/>
    <mergeCell ref="E67:K67"/>
    <mergeCell ref="N67:R67"/>
    <mergeCell ref="S67:W67"/>
    <mergeCell ref="X67:AA67"/>
    <mergeCell ref="E60:K60"/>
    <mergeCell ref="L60:M60"/>
    <mergeCell ref="P60:Q60"/>
    <mergeCell ref="S60:X60"/>
    <mergeCell ref="Y60:Z60"/>
    <mergeCell ref="E63:K63"/>
    <mergeCell ref="N63:R63"/>
    <mergeCell ref="S63:W63"/>
    <mergeCell ref="X63:AA63"/>
    <mergeCell ref="E64:K64"/>
    <mergeCell ref="N64:R64"/>
    <mergeCell ref="S64:W64"/>
    <mergeCell ref="X64:AA64"/>
    <mergeCell ref="E61:K61"/>
    <mergeCell ref="N61:R61"/>
    <mergeCell ref="S61:W61"/>
    <mergeCell ref="E69:K69"/>
    <mergeCell ref="N69:R69"/>
    <mergeCell ref="S69:W69"/>
    <mergeCell ref="X69:AA69"/>
    <mergeCell ref="E70:K70"/>
    <mergeCell ref="L70:M70"/>
    <mergeCell ref="P70:Q70"/>
    <mergeCell ref="S70:X70"/>
    <mergeCell ref="Y70:Z70"/>
    <mergeCell ref="E78:K78"/>
    <mergeCell ref="N78:R78"/>
    <mergeCell ref="S78:W78"/>
    <mergeCell ref="X78:AA78"/>
    <mergeCell ref="E75:K75"/>
    <mergeCell ref="L75:M75"/>
    <mergeCell ref="P75:Q75"/>
    <mergeCell ref="S75:X75"/>
    <mergeCell ref="Y75:Z75"/>
    <mergeCell ref="E76:K76"/>
    <mergeCell ref="N76:R76"/>
    <mergeCell ref="S76:W76"/>
    <mergeCell ref="X76:AA76"/>
    <mergeCell ref="E77:K77"/>
    <mergeCell ref="N77:R77"/>
    <mergeCell ref="S77:W77"/>
    <mergeCell ref="X77:AA77"/>
    <mergeCell ref="E73:K73"/>
    <mergeCell ref="N73:R73"/>
    <mergeCell ref="S73:W73"/>
    <mergeCell ref="X73:AA73"/>
    <mergeCell ref="E74:K74"/>
    <mergeCell ref="N74:R74"/>
    <mergeCell ref="S74:W74"/>
    <mergeCell ref="X74:AA74"/>
    <mergeCell ref="E71:K71"/>
    <mergeCell ref="N71:R71"/>
    <mergeCell ref="S71:W71"/>
    <mergeCell ref="X71:AA71"/>
    <mergeCell ref="E72:K72"/>
    <mergeCell ref="N72:R72"/>
    <mergeCell ref="S72:W72"/>
    <mergeCell ref="X72:AA72"/>
    <mergeCell ref="E79:K79"/>
    <mergeCell ref="N79:R79"/>
    <mergeCell ref="S79:W79"/>
    <mergeCell ref="X79:AA79"/>
    <mergeCell ref="E80:K80"/>
    <mergeCell ref="L80:M80"/>
    <mergeCell ref="P80:Q80"/>
    <mergeCell ref="S80:X80"/>
    <mergeCell ref="Y80:Z80"/>
    <mergeCell ref="E85:K85"/>
    <mergeCell ref="L85:M85"/>
    <mergeCell ref="P85:Q85"/>
    <mergeCell ref="S85:X85"/>
    <mergeCell ref="Y85:Z85"/>
    <mergeCell ref="S81:W81"/>
    <mergeCell ref="X81:AA81"/>
    <mergeCell ref="E82:K82"/>
    <mergeCell ref="N82:R82"/>
    <mergeCell ref="S82:W82"/>
    <mergeCell ref="X82:AA82"/>
    <mergeCell ref="E83:K83"/>
    <mergeCell ref="N83:R83"/>
    <mergeCell ref="S83:W83"/>
    <mergeCell ref="X83:AA83"/>
    <mergeCell ref="E84:K84"/>
    <mergeCell ref="N84:R84"/>
    <mergeCell ref="S84:W84"/>
    <mergeCell ref="X84:AA84"/>
    <mergeCell ref="E81:K81"/>
    <mergeCell ref="N81:R81"/>
    <mergeCell ref="E86:K86"/>
    <mergeCell ref="N86:R86"/>
    <mergeCell ref="S86:W86"/>
    <mergeCell ref="X86:AA86"/>
    <mergeCell ref="E87:K87"/>
    <mergeCell ref="N87:R87"/>
    <mergeCell ref="S87:W87"/>
    <mergeCell ref="X87:AA87"/>
    <mergeCell ref="E90:K90"/>
    <mergeCell ref="L90:M90"/>
    <mergeCell ref="P90:Q90"/>
    <mergeCell ref="S90:X90"/>
    <mergeCell ref="Y90:Z90"/>
    <mergeCell ref="E88:K88"/>
    <mergeCell ref="N88:R88"/>
    <mergeCell ref="S88:W88"/>
    <mergeCell ref="X88:AA88"/>
    <mergeCell ref="S93:W93"/>
    <mergeCell ref="X93:AA93"/>
    <mergeCell ref="E94:K94"/>
    <mergeCell ref="N94:R94"/>
    <mergeCell ref="S94:W94"/>
    <mergeCell ref="X94:AA94"/>
    <mergeCell ref="X92:AA92"/>
    <mergeCell ref="E89:K89"/>
    <mergeCell ref="N89:R89"/>
    <mergeCell ref="S89:W89"/>
    <mergeCell ref="X89:AA89"/>
    <mergeCell ref="E91:K91"/>
    <mergeCell ref="N91:R91"/>
    <mergeCell ref="S91:W91"/>
    <mergeCell ref="X91:AA91"/>
    <mergeCell ref="E92:K92"/>
    <mergeCell ref="N92:R92"/>
    <mergeCell ref="S92:W92"/>
    <mergeCell ref="E93:K93"/>
    <mergeCell ref="N93:R93"/>
    <mergeCell ref="E107:K107"/>
    <mergeCell ref="N107:R107"/>
    <mergeCell ref="S107:W107"/>
    <mergeCell ref="X107:AA107"/>
    <mergeCell ref="S103:W103"/>
    <mergeCell ref="X103:AA103"/>
    <mergeCell ref="E105:K105"/>
    <mergeCell ref="N105:R105"/>
    <mergeCell ref="S105:W105"/>
    <mergeCell ref="X105:AA105"/>
    <mergeCell ref="E103:K103"/>
    <mergeCell ref="N103:R103"/>
    <mergeCell ref="E104:K104"/>
    <mergeCell ref="L104:M104"/>
    <mergeCell ref="P104:Q104"/>
    <mergeCell ref="S104:X104"/>
    <mergeCell ref="Y104:Z104"/>
    <mergeCell ref="E106:K106"/>
    <mergeCell ref="N106:R106"/>
    <mergeCell ref="S106:W106"/>
    <mergeCell ref="X106:AA106"/>
    <mergeCell ref="E111:K111"/>
    <mergeCell ref="N111:R111"/>
    <mergeCell ref="S111:W111"/>
    <mergeCell ref="X111:AA111"/>
    <mergeCell ref="E112:K112"/>
    <mergeCell ref="N112:R112"/>
    <mergeCell ref="S112:W112"/>
    <mergeCell ref="X112:AA112"/>
    <mergeCell ref="E108:K108"/>
    <mergeCell ref="N108:R108"/>
    <mergeCell ref="S108:W108"/>
    <mergeCell ref="X108:AA108"/>
    <mergeCell ref="E110:K110"/>
    <mergeCell ref="N110:R110"/>
    <mergeCell ref="S110:W110"/>
    <mergeCell ref="X110:AA110"/>
    <mergeCell ref="E109:K109"/>
    <mergeCell ref="L109:M109"/>
    <mergeCell ref="P109:Q109"/>
    <mergeCell ref="S109:X109"/>
    <mergeCell ref="Y109:Z109"/>
    <mergeCell ref="E116:K116"/>
    <mergeCell ref="N116:R116"/>
    <mergeCell ref="S116:W116"/>
    <mergeCell ref="X116:AA116"/>
    <mergeCell ref="E117:K117"/>
    <mergeCell ref="N117:R117"/>
    <mergeCell ref="S117:W117"/>
    <mergeCell ref="X117:AA117"/>
    <mergeCell ref="E113:K113"/>
    <mergeCell ref="N113:R113"/>
    <mergeCell ref="S113:W113"/>
    <mergeCell ref="X113:AA113"/>
    <mergeCell ref="E115:K115"/>
    <mergeCell ref="N115:R115"/>
    <mergeCell ref="S115:W115"/>
    <mergeCell ref="X115:AA115"/>
    <mergeCell ref="E114:K114"/>
    <mergeCell ref="L114:M114"/>
    <mergeCell ref="P114:Q114"/>
    <mergeCell ref="S114:X114"/>
    <mergeCell ref="Y114:Z114"/>
    <mergeCell ref="E121:K121"/>
    <mergeCell ref="N121:R121"/>
    <mergeCell ref="S121:W121"/>
    <mergeCell ref="X121:AA121"/>
    <mergeCell ref="E122:K122"/>
    <mergeCell ref="N122:R122"/>
    <mergeCell ref="S122:W122"/>
    <mergeCell ref="X122:AA122"/>
    <mergeCell ref="E118:K118"/>
    <mergeCell ref="N118:R118"/>
    <mergeCell ref="S118:W118"/>
    <mergeCell ref="X118:AA118"/>
    <mergeCell ref="E120:K120"/>
    <mergeCell ref="N120:R120"/>
    <mergeCell ref="S120:W120"/>
    <mergeCell ref="X120:AA120"/>
    <mergeCell ref="E119:K119"/>
    <mergeCell ref="L119:M119"/>
    <mergeCell ref="P119:Q119"/>
    <mergeCell ref="S119:X119"/>
    <mergeCell ref="Y119:Z119"/>
    <mergeCell ref="E126:K126"/>
    <mergeCell ref="N126:R126"/>
    <mergeCell ref="S126:W126"/>
    <mergeCell ref="X126:AA126"/>
    <mergeCell ref="E127:K127"/>
    <mergeCell ref="N127:R127"/>
    <mergeCell ref="S127:W127"/>
    <mergeCell ref="X127:AA127"/>
    <mergeCell ref="E123:K123"/>
    <mergeCell ref="N123:R123"/>
    <mergeCell ref="S123:W123"/>
    <mergeCell ref="X123:AA123"/>
    <mergeCell ref="E125:K125"/>
    <mergeCell ref="N125:R125"/>
    <mergeCell ref="S125:W125"/>
    <mergeCell ref="X125:AA125"/>
    <mergeCell ref="E124:K124"/>
    <mergeCell ref="L124:M124"/>
    <mergeCell ref="P124:Q124"/>
    <mergeCell ref="S124:X124"/>
    <mergeCell ref="Y124:Z124"/>
    <mergeCell ref="E131:K131"/>
    <mergeCell ref="N131:R131"/>
    <mergeCell ref="S131:W131"/>
    <mergeCell ref="X131:AA131"/>
    <mergeCell ref="E132:K132"/>
    <mergeCell ref="N132:R132"/>
    <mergeCell ref="S132:W132"/>
    <mergeCell ref="X132:AA132"/>
    <mergeCell ref="E128:K128"/>
    <mergeCell ref="N128:R128"/>
    <mergeCell ref="S128:W128"/>
    <mergeCell ref="X128:AA128"/>
    <mergeCell ref="E130:K130"/>
    <mergeCell ref="N130:R130"/>
    <mergeCell ref="S130:W130"/>
    <mergeCell ref="X130:AA130"/>
    <mergeCell ref="E129:K129"/>
    <mergeCell ref="L129:M129"/>
    <mergeCell ref="P129:Q129"/>
    <mergeCell ref="S129:X129"/>
    <mergeCell ref="Y129:Z129"/>
    <mergeCell ref="E136:K136"/>
    <mergeCell ref="N136:R136"/>
    <mergeCell ref="S136:W136"/>
    <mergeCell ref="X136:AA136"/>
    <mergeCell ref="E137:K137"/>
    <mergeCell ref="N137:R137"/>
    <mergeCell ref="S137:W137"/>
    <mergeCell ref="X137:AA137"/>
    <mergeCell ref="E133:K133"/>
    <mergeCell ref="N133:R133"/>
    <mergeCell ref="S133:W133"/>
    <mergeCell ref="X133:AA133"/>
    <mergeCell ref="E135:K135"/>
    <mergeCell ref="N135:R135"/>
    <mergeCell ref="S135:W135"/>
    <mergeCell ref="X135:AA135"/>
    <mergeCell ref="E134:K134"/>
    <mergeCell ref="L134:M134"/>
    <mergeCell ref="P134:Q134"/>
    <mergeCell ref="S134:X134"/>
    <mergeCell ref="Y134:Z134"/>
    <mergeCell ref="E140:K140"/>
    <mergeCell ref="N140:R140"/>
    <mergeCell ref="S140:W140"/>
    <mergeCell ref="X140:AA140"/>
    <mergeCell ref="E139:K139"/>
    <mergeCell ref="L139:M139"/>
    <mergeCell ref="P139:Q139"/>
    <mergeCell ref="S139:X139"/>
    <mergeCell ref="Y139:Z139"/>
    <mergeCell ref="E141:K141"/>
    <mergeCell ref="N141:R141"/>
    <mergeCell ref="S141:W141"/>
    <mergeCell ref="X141:AA141"/>
    <mergeCell ref="E142:K142"/>
    <mergeCell ref="N142:R142"/>
    <mergeCell ref="S142:W142"/>
    <mergeCell ref="X142:AA142"/>
    <mergeCell ref="B100:B148"/>
    <mergeCell ref="E100:T100"/>
    <mergeCell ref="W100:X100"/>
    <mergeCell ref="Y100:AA100"/>
    <mergeCell ref="E101:T101"/>
    <mergeCell ref="Y101:AA101"/>
    <mergeCell ref="E102:T102"/>
    <mergeCell ref="Y102:AA102"/>
    <mergeCell ref="E143:K143"/>
    <mergeCell ref="N143:R143"/>
    <mergeCell ref="S143:W143"/>
    <mergeCell ref="X143:AA143"/>
    <mergeCell ref="E138:K138"/>
    <mergeCell ref="N138:R138"/>
    <mergeCell ref="S138:W138"/>
    <mergeCell ref="X138:AA138"/>
  </mergeCells>
  <phoneticPr fontId="1"/>
  <dataValidations count="1">
    <dataValidation type="list" allowBlank="1" showInputMessage="1" showErrorMessage="1" sqref="AF51">
      <formula1>"表示,非表示"</formula1>
    </dataValidation>
  </dataValidations>
  <hyperlinks>
    <hyperlink ref="AB2" location="Top!A48" display="TopPage"/>
    <hyperlink ref="AC2" location="Help!A478" display="Help"/>
  </hyperlinks>
  <pageMargins left="0.59055118110236227" right="0.59055118110236227" top="0.59055118110236227" bottom="0.55118110236220474" header="0.31496062992125984" footer="0.31496062992125984"/>
  <pageSetup paperSize="9" scale="91" fitToHeight="0" orientation="portrait" r:id="rId1"/>
  <rowBreaks count="2" manualBreakCount="2">
    <brk id="50" min="1" max="26" man="1"/>
    <brk id="99" min="1" max="26" man="1"/>
  </rowBreaks>
  <colBreaks count="1" manualBreakCount="1">
    <brk id="27" min="1" max="24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V148"/>
  <sheetViews>
    <sheetView view="pageBreakPreview" zoomScale="130" zoomScaleNormal="130" zoomScaleSheetLayoutView="130" workbookViewId="0"/>
  </sheetViews>
  <sheetFormatPr defaultRowHeight="15.75"/>
  <cols>
    <col min="1" max="1" width="1.42578125" style="240" customWidth="1"/>
    <col min="2" max="2" width="2.42578125" style="240" customWidth="1"/>
    <col min="3" max="3" width="3.85546875" style="240" customWidth="1"/>
    <col min="4" max="27" width="4" style="240" customWidth="1"/>
    <col min="28" max="28" width="1.42578125" style="240" customWidth="1"/>
    <col min="29" max="29" width="12.85546875" style="240" customWidth="1"/>
    <col min="30" max="30" width="6.42578125" style="240" customWidth="1"/>
    <col min="31" max="31" width="2.140625" style="240" customWidth="1"/>
    <col min="32" max="32" width="8.5703125" style="240" customWidth="1"/>
    <col min="33" max="33" width="4.28515625" style="240" customWidth="1"/>
    <col min="34" max="34" width="1.7109375" style="240" customWidth="1"/>
    <col min="35" max="36" width="4.28515625" style="240" customWidth="1"/>
    <col min="37" max="37" width="1.7109375" style="240" customWidth="1"/>
    <col min="38" max="39" width="4.28515625" style="240" customWidth="1"/>
    <col min="40" max="40" width="1.7109375" style="240" customWidth="1"/>
    <col min="41" max="42" width="4.28515625" style="240" customWidth="1"/>
    <col min="43" max="43" width="1.7109375" style="240" customWidth="1"/>
    <col min="44" max="44" width="4.28515625" style="240" customWidth="1"/>
    <col min="45" max="48" width="7.140625" style="240" customWidth="1"/>
    <col min="49" max="49" width="5.7109375" style="240" customWidth="1"/>
    <col min="50" max="64" width="5.7109375" style="240" hidden="1" customWidth="1"/>
    <col min="65" max="68" width="7.7109375" style="240" hidden="1" customWidth="1"/>
    <col min="69" max="70" width="5.7109375" style="240" hidden="1" customWidth="1"/>
    <col min="71" max="71" width="5.7109375" style="240" customWidth="1"/>
    <col min="72" max="74" width="4.28515625" style="240" hidden="1" customWidth="1"/>
    <col min="75" max="76" width="4.28515625" style="240" customWidth="1"/>
    <col min="77" max="282" width="9.140625" style="240"/>
    <col min="283" max="283" width="2.42578125" style="240" customWidth="1"/>
    <col min="284" max="284" width="3.85546875" style="240" customWidth="1"/>
    <col min="285" max="308" width="4.28515625" style="240" customWidth="1"/>
    <col min="309" max="538" width="9.140625" style="240"/>
    <col min="539" max="539" width="2.42578125" style="240" customWidth="1"/>
    <col min="540" max="540" width="3.85546875" style="240" customWidth="1"/>
    <col min="541" max="564" width="4.28515625" style="240" customWidth="1"/>
    <col min="565" max="794" width="9.140625" style="240"/>
    <col min="795" max="795" width="2.42578125" style="240" customWidth="1"/>
    <col min="796" max="796" width="3.85546875" style="240" customWidth="1"/>
    <col min="797" max="820" width="4.28515625" style="240" customWidth="1"/>
    <col min="821" max="1050" width="9.140625" style="240"/>
    <col min="1051" max="1051" width="2.42578125" style="240" customWidth="1"/>
    <col min="1052" max="1052" width="3.85546875" style="240" customWidth="1"/>
    <col min="1053" max="1076" width="4.28515625" style="240" customWidth="1"/>
    <col min="1077" max="1306" width="9.140625" style="240"/>
    <col min="1307" max="1307" width="2.42578125" style="240" customWidth="1"/>
    <col min="1308" max="1308" width="3.85546875" style="240" customWidth="1"/>
    <col min="1309" max="1332" width="4.28515625" style="240" customWidth="1"/>
    <col min="1333" max="1562" width="9.140625" style="240"/>
    <col min="1563" max="1563" width="2.42578125" style="240" customWidth="1"/>
    <col min="1564" max="1564" width="3.85546875" style="240" customWidth="1"/>
    <col min="1565" max="1588" width="4.28515625" style="240" customWidth="1"/>
    <col min="1589" max="1818" width="9.140625" style="240"/>
    <col min="1819" max="1819" width="2.42578125" style="240" customWidth="1"/>
    <col min="1820" max="1820" width="3.85546875" style="240" customWidth="1"/>
    <col min="1821" max="1844" width="4.28515625" style="240" customWidth="1"/>
    <col min="1845" max="2074" width="9.140625" style="240"/>
    <col min="2075" max="2075" width="2.42578125" style="240" customWidth="1"/>
    <col min="2076" max="2076" width="3.85546875" style="240" customWidth="1"/>
    <col min="2077" max="2100" width="4.28515625" style="240" customWidth="1"/>
    <col min="2101" max="2330" width="9.140625" style="240"/>
    <col min="2331" max="2331" width="2.42578125" style="240" customWidth="1"/>
    <col min="2332" max="2332" width="3.85546875" style="240" customWidth="1"/>
    <col min="2333" max="2356" width="4.28515625" style="240" customWidth="1"/>
    <col min="2357" max="2586" width="9.140625" style="240"/>
    <col min="2587" max="2587" width="2.42578125" style="240" customWidth="1"/>
    <col min="2588" max="2588" width="3.85546875" style="240" customWidth="1"/>
    <col min="2589" max="2612" width="4.28515625" style="240" customWidth="1"/>
    <col min="2613" max="2842" width="9.140625" style="240"/>
    <col min="2843" max="2843" width="2.42578125" style="240" customWidth="1"/>
    <col min="2844" max="2844" width="3.85546875" style="240" customWidth="1"/>
    <col min="2845" max="2868" width="4.28515625" style="240" customWidth="1"/>
    <col min="2869" max="3098" width="9.140625" style="240"/>
    <col min="3099" max="3099" width="2.42578125" style="240" customWidth="1"/>
    <col min="3100" max="3100" width="3.85546875" style="240" customWidth="1"/>
    <col min="3101" max="3124" width="4.28515625" style="240" customWidth="1"/>
    <col min="3125" max="3354" width="9.140625" style="240"/>
    <col min="3355" max="3355" width="2.42578125" style="240" customWidth="1"/>
    <col min="3356" max="3356" width="3.85546875" style="240" customWidth="1"/>
    <col min="3357" max="3380" width="4.28515625" style="240" customWidth="1"/>
    <col min="3381" max="3610" width="9.140625" style="240"/>
    <col min="3611" max="3611" width="2.42578125" style="240" customWidth="1"/>
    <col min="3612" max="3612" width="3.85546875" style="240" customWidth="1"/>
    <col min="3613" max="3636" width="4.28515625" style="240" customWidth="1"/>
    <col min="3637" max="3866" width="9.140625" style="240"/>
    <col min="3867" max="3867" width="2.42578125" style="240" customWidth="1"/>
    <col min="3868" max="3868" width="3.85546875" style="240" customWidth="1"/>
    <col min="3869" max="3892" width="4.28515625" style="240" customWidth="1"/>
    <col min="3893" max="4122" width="9.140625" style="240"/>
    <col min="4123" max="4123" width="2.42578125" style="240" customWidth="1"/>
    <col min="4124" max="4124" width="3.85546875" style="240" customWidth="1"/>
    <col min="4125" max="4148" width="4.28515625" style="240" customWidth="1"/>
    <col min="4149" max="4378" width="9.140625" style="240"/>
    <col min="4379" max="4379" width="2.42578125" style="240" customWidth="1"/>
    <col min="4380" max="4380" width="3.85546875" style="240" customWidth="1"/>
    <col min="4381" max="4404" width="4.28515625" style="240" customWidth="1"/>
    <col min="4405" max="4634" width="9.140625" style="240"/>
    <col min="4635" max="4635" width="2.42578125" style="240" customWidth="1"/>
    <col min="4636" max="4636" width="3.85546875" style="240" customWidth="1"/>
    <col min="4637" max="4660" width="4.28515625" style="240" customWidth="1"/>
    <col min="4661" max="4890" width="9.140625" style="240"/>
    <col min="4891" max="4891" width="2.42578125" style="240" customWidth="1"/>
    <col min="4892" max="4892" width="3.85546875" style="240" customWidth="1"/>
    <col min="4893" max="4916" width="4.28515625" style="240" customWidth="1"/>
    <col min="4917" max="5146" width="9.140625" style="240"/>
    <col min="5147" max="5147" width="2.42578125" style="240" customWidth="1"/>
    <col min="5148" max="5148" width="3.85546875" style="240" customWidth="1"/>
    <col min="5149" max="5172" width="4.28515625" style="240" customWidth="1"/>
    <col min="5173" max="5402" width="9.140625" style="240"/>
    <col min="5403" max="5403" width="2.42578125" style="240" customWidth="1"/>
    <col min="5404" max="5404" width="3.85546875" style="240" customWidth="1"/>
    <col min="5405" max="5428" width="4.28515625" style="240" customWidth="1"/>
    <col min="5429" max="5658" width="9.140625" style="240"/>
    <col min="5659" max="5659" width="2.42578125" style="240" customWidth="1"/>
    <col min="5660" max="5660" width="3.85546875" style="240" customWidth="1"/>
    <col min="5661" max="5684" width="4.28515625" style="240" customWidth="1"/>
    <col min="5685" max="5914" width="9.140625" style="240"/>
    <col min="5915" max="5915" width="2.42578125" style="240" customWidth="1"/>
    <col min="5916" max="5916" width="3.85546875" style="240" customWidth="1"/>
    <col min="5917" max="5940" width="4.28515625" style="240" customWidth="1"/>
    <col min="5941" max="6170" width="9.140625" style="240"/>
    <col min="6171" max="6171" width="2.42578125" style="240" customWidth="1"/>
    <col min="6172" max="6172" width="3.85546875" style="240" customWidth="1"/>
    <col min="6173" max="6196" width="4.28515625" style="240" customWidth="1"/>
    <col min="6197" max="6426" width="9.140625" style="240"/>
    <col min="6427" max="6427" width="2.42578125" style="240" customWidth="1"/>
    <col min="6428" max="6428" width="3.85546875" style="240" customWidth="1"/>
    <col min="6429" max="6452" width="4.28515625" style="240" customWidth="1"/>
    <col min="6453" max="6682" width="9.140625" style="240"/>
    <col min="6683" max="6683" width="2.42578125" style="240" customWidth="1"/>
    <col min="6684" max="6684" width="3.85546875" style="240" customWidth="1"/>
    <col min="6685" max="6708" width="4.28515625" style="240" customWidth="1"/>
    <col min="6709" max="6938" width="9.140625" style="240"/>
    <col min="6939" max="6939" width="2.42578125" style="240" customWidth="1"/>
    <col min="6940" max="6940" width="3.85546875" style="240" customWidth="1"/>
    <col min="6941" max="6964" width="4.28515625" style="240" customWidth="1"/>
    <col min="6965" max="7194" width="9.140625" style="240"/>
    <col min="7195" max="7195" width="2.42578125" style="240" customWidth="1"/>
    <col min="7196" max="7196" width="3.85546875" style="240" customWidth="1"/>
    <col min="7197" max="7220" width="4.28515625" style="240" customWidth="1"/>
    <col min="7221" max="7450" width="9.140625" style="240"/>
    <col min="7451" max="7451" width="2.42578125" style="240" customWidth="1"/>
    <col min="7452" max="7452" width="3.85546875" style="240" customWidth="1"/>
    <col min="7453" max="7476" width="4.28515625" style="240" customWidth="1"/>
    <col min="7477" max="7706" width="9.140625" style="240"/>
    <col min="7707" max="7707" width="2.42578125" style="240" customWidth="1"/>
    <col min="7708" max="7708" width="3.85546875" style="240" customWidth="1"/>
    <col min="7709" max="7732" width="4.28515625" style="240" customWidth="1"/>
    <col min="7733" max="7962" width="9.140625" style="240"/>
    <col min="7963" max="7963" width="2.42578125" style="240" customWidth="1"/>
    <col min="7964" max="7964" width="3.85546875" style="240" customWidth="1"/>
    <col min="7965" max="7988" width="4.28515625" style="240" customWidth="1"/>
    <col min="7989" max="8218" width="9.140625" style="240"/>
    <col min="8219" max="8219" width="2.42578125" style="240" customWidth="1"/>
    <col min="8220" max="8220" width="3.85546875" style="240" customWidth="1"/>
    <col min="8221" max="8244" width="4.28515625" style="240" customWidth="1"/>
    <col min="8245" max="8474" width="9.140625" style="240"/>
    <col min="8475" max="8475" width="2.42578125" style="240" customWidth="1"/>
    <col min="8476" max="8476" width="3.85546875" style="240" customWidth="1"/>
    <col min="8477" max="8500" width="4.28515625" style="240" customWidth="1"/>
    <col min="8501" max="8730" width="9.140625" style="240"/>
    <col min="8731" max="8731" width="2.42578125" style="240" customWidth="1"/>
    <col min="8732" max="8732" width="3.85546875" style="240" customWidth="1"/>
    <col min="8733" max="8756" width="4.28515625" style="240" customWidth="1"/>
    <col min="8757" max="8986" width="9.140625" style="240"/>
    <col min="8987" max="8987" width="2.42578125" style="240" customWidth="1"/>
    <col min="8988" max="8988" width="3.85546875" style="240" customWidth="1"/>
    <col min="8989" max="9012" width="4.28515625" style="240" customWidth="1"/>
    <col min="9013" max="9242" width="9.140625" style="240"/>
    <col min="9243" max="9243" width="2.42578125" style="240" customWidth="1"/>
    <col min="9244" max="9244" width="3.85546875" style="240" customWidth="1"/>
    <col min="9245" max="9268" width="4.28515625" style="240" customWidth="1"/>
    <col min="9269" max="9498" width="9.140625" style="240"/>
    <col min="9499" max="9499" width="2.42578125" style="240" customWidth="1"/>
    <col min="9500" max="9500" width="3.85546875" style="240" customWidth="1"/>
    <col min="9501" max="9524" width="4.28515625" style="240" customWidth="1"/>
    <col min="9525" max="9754" width="9.140625" style="240"/>
    <col min="9755" max="9755" width="2.42578125" style="240" customWidth="1"/>
    <col min="9756" max="9756" width="3.85546875" style="240" customWidth="1"/>
    <col min="9757" max="9780" width="4.28515625" style="240" customWidth="1"/>
    <col min="9781" max="10010" width="9.140625" style="240"/>
    <col min="10011" max="10011" width="2.42578125" style="240" customWidth="1"/>
    <col min="10012" max="10012" width="3.85546875" style="240" customWidth="1"/>
    <col min="10013" max="10036" width="4.28515625" style="240" customWidth="1"/>
    <col min="10037" max="10266" width="9.140625" style="240"/>
    <col min="10267" max="10267" width="2.42578125" style="240" customWidth="1"/>
    <col min="10268" max="10268" width="3.85546875" style="240" customWidth="1"/>
    <col min="10269" max="10292" width="4.28515625" style="240" customWidth="1"/>
    <col min="10293" max="10522" width="9.140625" style="240"/>
    <col min="10523" max="10523" width="2.42578125" style="240" customWidth="1"/>
    <col min="10524" max="10524" width="3.85546875" style="240" customWidth="1"/>
    <col min="10525" max="10548" width="4.28515625" style="240" customWidth="1"/>
    <col min="10549" max="10778" width="9.140625" style="240"/>
    <col min="10779" max="10779" width="2.42578125" style="240" customWidth="1"/>
    <col min="10780" max="10780" width="3.85546875" style="240" customWidth="1"/>
    <col min="10781" max="10804" width="4.28515625" style="240" customWidth="1"/>
    <col min="10805" max="11034" width="9.140625" style="240"/>
    <col min="11035" max="11035" width="2.42578125" style="240" customWidth="1"/>
    <col min="11036" max="11036" width="3.85546875" style="240" customWidth="1"/>
    <col min="11037" max="11060" width="4.28515625" style="240" customWidth="1"/>
    <col min="11061" max="11290" width="9.140625" style="240"/>
    <col min="11291" max="11291" width="2.42578125" style="240" customWidth="1"/>
    <col min="11292" max="11292" width="3.85546875" style="240" customWidth="1"/>
    <col min="11293" max="11316" width="4.28515625" style="240" customWidth="1"/>
    <col min="11317" max="11546" width="9.140625" style="240"/>
    <col min="11547" max="11547" width="2.42578125" style="240" customWidth="1"/>
    <col min="11548" max="11548" width="3.85546875" style="240" customWidth="1"/>
    <col min="11549" max="11572" width="4.28515625" style="240" customWidth="1"/>
    <col min="11573" max="11802" width="9.140625" style="240"/>
    <col min="11803" max="11803" width="2.42578125" style="240" customWidth="1"/>
    <col min="11804" max="11804" width="3.85546875" style="240" customWidth="1"/>
    <col min="11805" max="11828" width="4.28515625" style="240" customWidth="1"/>
    <col min="11829" max="12058" width="9.140625" style="240"/>
    <col min="12059" max="12059" width="2.42578125" style="240" customWidth="1"/>
    <col min="12060" max="12060" width="3.85546875" style="240" customWidth="1"/>
    <col min="12061" max="12084" width="4.28515625" style="240" customWidth="1"/>
    <col min="12085" max="12314" width="9.140625" style="240"/>
    <col min="12315" max="12315" width="2.42578125" style="240" customWidth="1"/>
    <col min="12316" max="12316" width="3.85546875" style="240" customWidth="1"/>
    <col min="12317" max="12340" width="4.28515625" style="240" customWidth="1"/>
    <col min="12341" max="12570" width="9.140625" style="240"/>
    <col min="12571" max="12571" width="2.42578125" style="240" customWidth="1"/>
    <col min="12572" max="12572" width="3.85546875" style="240" customWidth="1"/>
    <col min="12573" max="12596" width="4.28515625" style="240" customWidth="1"/>
    <col min="12597" max="12826" width="9.140625" style="240"/>
    <col min="12827" max="12827" width="2.42578125" style="240" customWidth="1"/>
    <col min="12828" max="12828" width="3.85546875" style="240" customWidth="1"/>
    <col min="12829" max="12852" width="4.28515625" style="240" customWidth="1"/>
    <col min="12853" max="13082" width="9.140625" style="240"/>
    <col min="13083" max="13083" width="2.42578125" style="240" customWidth="1"/>
    <col min="13084" max="13084" width="3.85546875" style="240" customWidth="1"/>
    <col min="13085" max="13108" width="4.28515625" style="240" customWidth="1"/>
    <col min="13109" max="13338" width="9.140625" style="240"/>
    <col min="13339" max="13339" width="2.42578125" style="240" customWidth="1"/>
    <col min="13340" max="13340" width="3.85546875" style="240" customWidth="1"/>
    <col min="13341" max="13364" width="4.28515625" style="240" customWidth="1"/>
    <col min="13365" max="13594" width="9.140625" style="240"/>
    <col min="13595" max="13595" width="2.42578125" style="240" customWidth="1"/>
    <col min="13596" max="13596" width="3.85546875" style="240" customWidth="1"/>
    <col min="13597" max="13620" width="4.28515625" style="240" customWidth="1"/>
    <col min="13621" max="13850" width="9.140625" style="240"/>
    <col min="13851" max="13851" width="2.42578125" style="240" customWidth="1"/>
    <col min="13852" max="13852" width="3.85546875" style="240" customWidth="1"/>
    <col min="13853" max="13876" width="4.28515625" style="240" customWidth="1"/>
    <col min="13877" max="14106" width="9.140625" style="240"/>
    <col min="14107" max="14107" width="2.42578125" style="240" customWidth="1"/>
    <col min="14108" max="14108" width="3.85546875" style="240" customWidth="1"/>
    <col min="14109" max="14132" width="4.28515625" style="240" customWidth="1"/>
    <col min="14133" max="14362" width="9.140625" style="240"/>
    <col min="14363" max="14363" width="2.42578125" style="240" customWidth="1"/>
    <col min="14364" max="14364" width="3.85546875" style="240" customWidth="1"/>
    <col min="14365" max="14388" width="4.28515625" style="240" customWidth="1"/>
    <col min="14389" max="14618" width="9.140625" style="240"/>
    <col min="14619" max="14619" width="2.42578125" style="240" customWidth="1"/>
    <col min="14620" max="14620" width="3.85546875" style="240" customWidth="1"/>
    <col min="14621" max="14644" width="4.28515625" style="240" customWidth="1"/>
    <col min="14645" max="14874" width="9.140625" style="240"/>
    <col min="14875" max="14875" width="2.42578125" style="240" customWidth="1"/>
    <col min="14876" max="14876" width="3.85546875" style="240" customWidth="1"/>
    <col min="14877" max="14900" width="4.28515625" style="240" customWidth="1"/>
    <col min="14901" max="15130" width="9.140625" style="240"/>
    <col min="15131" max="15131" width="2.42578125" style="240" customWidth="1"/>
    <col min="15132" max="15132" width="3.85546875" style="240" customWidth="1"/>
    <col min="15133" max="15156" width="4.28515625" style="240" customWidth="1"/>
    <col min="15157" max="15386" width="9.140625" style="240"/>
    <col min="15387" max="15387" width="2.42578125" style="240" customWidth="1"/>
    <col min="15388" max="15388" width="3.85546875" style="240" customWidth="1"/>
    <col min="15389" max="15412" width="4.28515625" style="240" customWidth="1"/>
    <col min="15413" max="15642" width="9.140625" style="240"/>
    <col min="15643" max="15643" width="2.42578125" style="240" customWidth="1"/>
    <col min="15644" max="15644" width="3.85546875" style="240" customWidth="1"/>
    <col min="15645" max="15668" width="4.28515625" style="240" customWidth="1"/>
    <col min="15669" max="15898" width="9.140625" style="240"/>
    <col min="15899" max="15899" width="2.42578125" style="240" customWidth="1"/>
    <col min="15900" max="15900" width="3.85546875" style="240" customWidth="1"/>
    <col min="15901" max="15924" width="4.28515625" style="240" customWidth="1"/>
    <col min="15925" max="16154" width="9.140625" style="240"/>
    <col min="16155" max="16155" width="2.42578125" style="240" customWidth="1"/>
    <col min="16156" max="16156" width="3.85546875" style="240" customWidth="1"/>
    <col min="16157" max="16180" width="4.28515625" style="240" customWidth="1"/>
    <col min="16181" max="16384" width="9.140625" style="240"/>
  </cols>
  <sheetData>
    <row r="1" spans="1:74" ht="15" customHeight="1">
      <c r="J1" s="701" t="str">
        <f ca="1">IF(別表!L8=0,"このコンピュータの ''日付'' を正しくセットして下さい","")</f>
        <v/>
      </c>
    </row>
    <row r="2" spans="1:74" ht="12.75" customHeight="1">
      <c r="B2" s="2742" t="s">
        <v>509</v>
      </c>
      <c r="C2" s="475" t="s">
        <v>510</v>
      </c>
      <c r="D2" s="474">
        <v>1</v>
      </c>
      <c r="E2" s="242"/>
      <c r="F2" s="2743" t="s">
        <v>1047</v>
      </c>
      <c r="G2" s="2743"/>
      <c r="H2" s="2743"/>
      <c r="I2" s="2743"/>
      <c r="J2" s="2743"/>
      <c r="K2" s="2743"/>
      <c r="L2" s="2743"/>
      <c r="M2" s="2743"/>
      <c r="N2" s="2743"/>
      <c r="O2" s="2743"/>
      <c r="P2" s="2743"/>
      <c r="Q2" s="2743"/>
      <c r="R2" s="2743"/>
      <c r="S2" s="2743"/>
      <c r="T2" s="2743"/>
      <c r="U2" s="2743"/>
      <c r="V2" s="241"/>
      <c r="W2" s="2681" t="s">
        <v>999</v>
      </c>
      <c r="X2" s="2681"/>
      <c r="Y2" s="2744">
        <f ca="1">NOW()</f>
        <v>44092.92644722222</v>
      </c>
      <c r="Z2" s="2705"/>
      <c r="AA2" s="2705"/>
      <c r="AB2" s="243"/>
      <c r="AC2" s="244"/>
      <c r="AD2" s="244"/>
      <c r="AE2" s="244"/>
      <c r="AF2" s="244"/>
      <c r="AG2" s="244"/>
      <c r="AH2" s="244"/>
      <c r="AI2" s="244"/>
      <c r="AJ2" s="244"/>
      <c r="AK2" s="244"/>
      <c r="AL2" s="244"/>
      <c r="AM2" s="244"/>
      <c r="AN2" s="244"/>
      <c r="AO2" s="244"/>
      <c r="AP2" s="244"/>
      <c r="AQ2" s="244"/>
      <c r="AR2" s="244"/>
      <c r="AS2" s="244"/>
      <c r="AT2" s="244"/>
      <c r="AU2" s="244"/>
      <c r="AV2" s="244"/>
      <c r="AW2" s="244"/>
    </row>
    <row r="3" spans="1:74" ht="12" customHeight="1" thickBot="1">
      <c r="B3" s="2742"/>
      <c r="C3" s="241"/>
      <c r="D3" s="241"/>
      <c r="E3" s="241"/>
      <c r="F3" s="2745" t="s">
        <v>457</v>
      </c>
      <c r="G3" s="2745"/>
      <c r="H3" s="2745"/>
      <c r="I3" s="2745"/>
      <c r="J3" s="2745"/>
      <c r="K3" s="2745"/>
      <c r="L3" s="2745"/>
      <c r="M3" s="2745"/>
      <c r="N3" s="2745"/>
      <c r="O3" s="2745"/>
      <c r="P3" s="2745"/>
      <c r="Q3" s="2745"/>
      <c r="R3" s="2745"/>
      <c r="S3" s="2745"/>
      <c r="T3" s="2745"/>
      <c r="U3" s="2745"/>
      <c r="V3" s="245"/>
      <c r="W3" s="245"/>
      <c r="X3" s="489" t="s">
        <v>1000</v>
      </c>
      <c r="Y3" s="2707" t="s">
        <v>1006</v>
      </c>
      <c r="Z3" s="2707"/>
      <c r="AA3" s="2707"/>
      <c r="AB3" s="247"/>
      <c r="AC3" s="241"/>
      <c r="AD3" s="241"/>
      <c r="AE3" s="241"/>
      <c r="AF3" s="241"/>
      <c r="AG3" s="241"/>
      <c r="AH3" s="241"/>
      <c r="AI3" s="241"/>
      <c r="AJ3" s="241"/>
      <c r="AK3" s="241"/>
      <c r="AL3" s="241"/>
      <c r="AM3" s="241"/>
      <c r="AN3" s="241"/>
      <c r="AO3" s="241"/>
      <c r="AP3" s="241"/>
      <c r="AQ3" s="241"/>
      <c r="AR3" s="241"/>
      <c r="AS3" s="241"/>
      <c r="AT3" s="241"/>
      <c r="AU3" s="241"/>
      <c r="AV3" s="241"/>
      <c r="AW3" s="241"/>
      <c r="BE3" s="248"/>
      <c r="BF3" s="248"/>
      <c r="BG3" s="248"/>
    </row>
    <row r="4" spans="1:74" ht="16.5" customHeight="1" thickBot="1">
      <c r="B4" s="2742"/>
      <c r="C4" s="241"/>
      <c r="D4" s="241"/>
      <c r="E4" s="241"/>
      <c r="F4" s="2745" t="s">
        <v>458</v>
      </c>
      <c r="G4" s="2745"/>
      <c r="H4" s="2745"/>
      <c r="I4" s="2745"/>
      <c r="J4" s="2745"/>
      <c r="K4" s="2745"/>
      <c r="L4" s="2745"/>
      <c r="M4" s="2745"/>
      <c r="N4" s="2745"/>
      <c r="O4" s="2745"/>
      <c r="P4" s="2745"/>
      <c r="Q4" s="2745"/>
      <c r="R4" s="2745"/>
      <c r="S4" s="2745"/>
      <c r="T4" s="2745"/>
      <c r="U4" s="2745"/>
      <c r="V4" s="249"/>
      <c r="W4" s="250"/>
      <c r="X4" s="490" t="s">
        <v>511</v>
      </c>
      <c r="Y4" s="2709" t="s">
        <v>1006</v>
      </c>
      <c r="Z4" s="2709"/>
      <c r="AA4" s="2709"/>
      <c r="AB4" s="252"/>
      <c r="AC4" s="1729" t="s">
        <v>512</v>
      </c>
      <c r="AD4" s="254">
        <f ca="1">別表!B1</f>
        <v>1</v>
      </c>
      <c r="AE4" s="254" t="e">
        <v>#REF!</v>
      </c>
      <c r="AF4" s="255"/>
      <c r="AG4" s="2746" t="s">
        <v>513</v>
      </c>
      <c r="AH4" s="2747"/>
      <c r="AI4" s="2747"/>
      <c r="AJ4" s="2747"/>
      <c r="AK4" s="2747"/>
      <c r="AL4" s="2747"/>
      <c r="AM4" s="2747"/>
      <c r="AN4" s="2747"/>
      <c r="AO4" s="2747"/>
      <c r="AP4" s="2747"/>
      <c r="AQ4" s="2747"/>
      <c r="AR4" s="2748"/>
      <c r="AS4" s="2677" t="s">
        <v>514</v>
      </c>
      <c r="AT4" s="2661" t="s">
        <v>515</v>
      </c>
      <c r="AU4" s="2661" t="s">
        <v>516</v>
      </c>
      <c r="AV4" s="2661" t="s">
        <v>517</v>
      </c>
      <c r="AW4" s="255"/>
      <c r="AX4" s="256"/>
      <c r="AY4" s="257"/>
      <c r="AZ4" s="257"/>
      <c r="BA4" s="257"/>
      <c r="BD4" s="2741"/>
      <c r="BE4" s="2741"/>
      <c r="BF4" s="2741"/>
    </row>
    <row r="5" spans="1:74" ht="18.75" customHeight="1" thickBot="1">
      <c r="B5" s="2742"/>
      <c r="C5" s="454">
        <v>1</v>
      </c>
      <c r="D5" s="457" t="s">
        <v>467</v>
      </c>
      <c r="E5" s="2702" t="s">
        <v>468</v>
      </c>
      <c r="F5" s="2702"/>
      <c r="G5" s="2702"/>
      <c r="H5" s="2702"/>
      <c r="I5" s="2702"/>
      <c r="J5" s="2702"/>
      <c r="K5" s="2702"/>
      <c r="L5" s="458" t="s">
        <v>469</v>
      </c>
      <c r="M5" s="458" t="s">
        <v>470</v>
      </c>
      <c r="N5" s="2702" t="s">
        <v>471</v>
      </c>
      <c r="O5" s="2702"/>
      <c r="P5" s="2702"/>
      <c r="Q5" s="2702"/>
      <c r="R5" s="2702"/>
      <c r="S5" s="2702" t="s">
        <v>472</v>
      </c>
      <c r="T5" s="2702"/>
      <c r="U5" s="2702"/>
      <c r="V5" s="2702"/>
      <c r="W5" s="2702"/>
      <c r="X5" s="2702" t="s">
        <v>473</v>
      </c>
      <c r="Y5" s="2702"/>
      <c r="Z5" s="2702"/>
      <c r="AA5" s="2703"/>
      <c r="AB5" s="259"/>
      <c r="AC5" s="1728" t="s">
        <v>518</v>
      </c>
      <c r="AD5" s="255"/>
      <c r="AE5" s="255"/>
      <c r="AF5" s="255"/>
      <c r="AG5" s="2668" t="s">
        <v>477</v>
      </c>
      <c r="AH5" s="2668"/>
      <c r="AI5" s="2668"/>
      <c r="AJ5" s="2660" t="s">
        <v>519</v>
      </c>
      <c r="AK5" s="2660"/>
      <c r="AL5" s="2660"/>
      <c r="AM5" s="2660" t="s">
        <v>520</v>
      </c>
      <c r="AN5" s="2660"/>
      <c r="AO5" s="2660"/>
      <c r="AP5" s="2660" t="s">
        <v>521</v>
      </c>
      <c r="AQ5" s="2660"/>
      <c r="AR5" s="2660"/>
      <c r="AS5" s="2661"/>
      <c r="AT5" s="2661"/>
      <c r="AU5" s="2661"/>
      <c r="AV5" s="2661"/>
      <c r="AW5" s="255"/>
      <c r="AX5" s="255"/>
      <c r="AY5" s="255"/>
      <c r="AZ5" s="255"/>
      <c r="BM5" s="161" t="s">
        <v>484</v>
      </c>
      <c r="BN5" s="161" t="s">
        <v>485</v>
      </c>
      <c r="BO5" s="161" t="s">
        <v>486</v>
      </c>
      <c r="BP5" s="161" t="s">
        <v>487</v>
      </c>
      <c r="BR5" s="261">
        <f ca="1">MAX(BR6:BR10)</f>
        <v>3</v>
      </c>
    </row>
    <row r="6" spans="1:74" ht="17.25" customHeight="1">
      <c r="A6" s="240">
        <f ca="1">IF(E6&lt;&gt;"",1,"")</f>
        <v>1</v>
      </c>
      <c r="B6" s="2742"/>
      <c r="C6" s="262">
        <v>2</v>
      </c>
      <c r="D6" s="464">
        <f ca="1">IF(E6&lt;&gt;"",1,"")</f>
        <v>1</v>
      </c>
      <c r="E6" s="2749" t="str">
        <f ca="1">IF($AD$4=0,"",IF(ISNA(VLOOKUP(AX6,内訳,2,FALSE)),"",VLOOKUP(AX6,内訳,2,FALSE)))</f>
        <v xml:space="preserve"> 引込工事</v>
      </c>
      <c r="F6" s="2750"/>
      <c r="G6" s="2750"/>
      <c r="H6" s="2750"/>
      <c r="I6" s="2750"/>
      <c r="J6" s="2750"/>
      <c r="K6" s="2751"/>
      <c r="L6" s="467">
        <f t="shared" ref="L6:L26" ca="1" si="0">IF(E6="","",IF(OR(E6="　　　　 　　　　　(小計)",E6="　　　 　　　　　　(合計)"),"",1))</f>
        <v>1</v>
      </c>
      <c r="M6" s="467" t="str">
        <f t="shared" ref="M6:M33" ca="1" si="1">IF(L6&lt;&gt;"","式","")</f>
        <v>式</v>
      </c>
      <c r="N6" s="2752"/>
      <c r="O6" s="2753"/>
      <c r="P6" s="2753"/>
      <c r="Q6" s="2753"/>
      <c r="R6" s="2754"/>
      <c r="S6" s="2735">
        <f ca="1">IF(E6="","",IF(E6="　　　 　　　　　　(合計)",VLOOKUP(A6,内訳,14,FALSE),VLOOKUP(A6,内訳,13,FALSE)))</f>
        <v>3207000</v>
      </c>
      <c r="T6" s="2736"/>
      <c r="U6" s="2736"/>
      <c r="V6" s="2736"/>
      <c r="W6" s="2737"/>
      <c r="X6" s="2689"/>
      <c r="Y6" s="2689"/>
      <c r="Z6" s="2689"/>
      <c r="AA6" s="2690"/>
      <c r="AB6" s="179"/>
      <c r="AC6" s="175"/>
      <c r="AD6" s="175"/>
      <c r="AE6" s="175"/>
      <c r="AF6" s="175"/>
      <c r="AG6" s="263">
        <f>IF(BD6="","",IF(AI6="",$AD$46*100,AI6))</f>
        <v>3</v>
      </c>
      <c r="AH6" s="165" t="s">
        <v>522</v>
      </c>
      <c r="AI6" s="264"/>
      <c r="AJ6" s="263">
        <f>IF(BD6="","",IF(AL6="",$AD$47*100,AL6))</f>
        <v>1.5</v>
      </c>
      <c r="AK6" s="165" t="s">
        <v>522</v>
      </c>
      <c r="AL6" s="264"/>
      <c r="AM6" s="263">
        <f>IF(BD6="","",IF(AO6&lt;&gt;"",AO6,IF(OR(LEFT(BE6,2)=" 引",LEFT(BE6,2)=" 受",LEFT(BE6,2)=" 自",LEFT(BE6,2)=" 蓄",LEFT(BE6,2)=" Ｕ",LEFT(BE6,2)=" 太",LEFT(BE6,2)=" 低",LEFT(BE6,2)=" 動",LEFT(BE6,2)=" 照",LEFT(BE6,2)=" 非"),2,$AD$48*100)))</f>
        <v>2</v>
      </c>
      <c r="AN6" s="165" t="s">
        <v>522</v>
      </c>
      <c r="AO6" s="264"/>
      <c r="AP6" s="263">
        <f ca="1">IF(BD6="","",IF(AR6="",$AD$49*100,AR6))</f>
        <v>12</v>
      </c>
      <c r="AQ6" s="165" t="s">
        <v>522</v>
      </c>
      <c r="AR6" s="264"/>
      <c r="AS6" s="265">
        <f>IF(BD6="","",INT(BM6*AG6/100))</f>
        <v>39540</v>
      </c>
      <c r="AT6" s="265">
        <f>IF(BD6="","",INT((BM6+BN6)*AJ6/100))</f>
        <v>36495</v>
      </c>
      <c r="AU6" s="265">
        <f>IF(BD6="","",INT(BP6*AM6/100))</f>
        <v>64140</v>
      </c>
      <c r="AV6" s="266"/>
      <c r="AW6" s="175"/>
      <c r="AX6" s="267">
        <v>1</v>
      </c>
      <c r="AY6" s="166" t="str">
        <f>IF(BP6=0,"",Top!L86)</f>
        <v xml:space="preserve"> 引込工事</v>
      </c>
      <c r="AZ6" s="166"/>
      <c r="BA6" s="166"/>
      <c r="BB6" s="166"/>
      <c r="BC6" s="267">
        <f>IF(AND(AY6&lt;&gt;"",AY6&lt;&gt;" 　"),BC5+1,BC5)</f>
        <v>1</v>
      </c>
      <c r="BD6" s="267">
        <f>IF(AND(AY6&lt;&gt;"",AY6&lt;&gt;" 　"),BC6,"")</f>
        <v>1</v>
      </c>
      <c r="BE6" s="166" t="str">
        <f>IF(COUNTIF($AY$4:AY5,AY6)&gt;0,"",AY6)</f>
        <v xml:space="preserve"> 引込工事</v>
      </c>
      <c r="BF6" s="166"/>
      <c r="BG6" s="268"/>
      <c r="BH6" s="268"/>
      <c r="BI6" s="268"/>
      <c r="BJ6" s="565" t="s">
        <v>489</v>
      </c>
      <c r="BK6" s="269" t="s">
        <v>490</v>
      </c>
      <c r="BL6" s="270" t="s">
        <v>491</v>
      </c>
      <c r="BM6" s="897">
        <f>引込!BL45</f>
        <v>1318000</v>
      </c>
      <c r="BN6" s="898">
        <f>引込!BL46</f>
        <v>1115000</v>
      </c>
      <c r="BO6" s="898">
        <f>引込!BL47</f>
        <v>774000</v>
      </c>
      <c r="BP6" s="898">
        <f>SUM(BM6:BO6)</f>
        <v>3207000</v>
      </c>
      <c r="BQ6" s="271"/>
      <c r="BR6" s="174">
        <f>D2</f>
        <v>1</v>
      </c>
      <c r="BS6" s="271"/>
      <c r="BT6" s="904" t="s">
        <v>2309</v>
      </c>
      <c r="BU6" s="904" t="s">
        <v>2310</v>
      </c>
      <c r="BV6" s="904" t="s">
        <v>2311</v>
      </c>
    </row>
    <row r="7" spans="1:74" ht="17.25" customHeight="1">
      <c r="A7" s="240">
        <f ca="1">IF(E7&lt;&gt;"",A6+1,"")</f>
        <v>2</v>
      </c>
      <c r="B7" s="2742"/>
      <c r="C7" s="272">
        <v>3</v>
      </c>
      <c r="D7" s="465">
        <f t="shared" ref="D7:D18" ca="1" si="2">IF(OR(E7="　　　 　　　　　　(小計)",E7="　　　 　　　　　　(合計)",E7=" 雑材消耗費",E7=" 運　搬　費",E7=" 現場管理費",E7=" 諸　経　費"),"",IF(E7&lt;&gt;"",D6+1,""))</f>
        <v>2</v>
      </c>
      <c r="E7" s="2717" t="str">
        <f t="shared" ref="E7:E38" ca="1" si="3">IF($AD$4=0,"",IF(ISNA(VLOOKUP(AX7,内訳,2,FALSE)),"",VLOOKUP(AX7,内訳,2,FALSE)))</f>
        <v xml:space="preserve"> 受変電設備工事</v>
      </c>
      <c r="F7" s="2718"/>
      <c r="G7" s="2718"/>
      <c r="H7" s="2718"/>
      <c r="I7" s="2718"/>
      <c r="J7" s="2718"/>
      <c r="K7" s="2719"/>
      <c r="L7" s="468">
        <f t="shared" ca="1" si="0"/>
        <v>1</v>
      </c>
      <c r="M7" s="468" t="str">
        <f t="shared" ca="1" si="1"/>
        <v>式</v>
      </c>
      <c r="N7" s="2733"/>
      <c r="O7" s="2721"/>
      <c r="P7" s="2721"/>
      <c r="Q7" s="2721"/>
      <c r="R7" s="2722"/>
      <c r="S7" s="2735">
        <f t="shared" ref="S7:S24" ca="1" si="4">IF(E7="","",IF(E7="　　　 　　　　　　(合計)",VLOOKUP(A7,内訳,14,FALSE),VLOOKUP(A7,内訳,13,FALSE)))</f>
        <v>39397000</v>
      </c>
      <c r="T7" s="2736"/>
      <c r="U7" s="2736"/>
      <c r="V7" s="2736"/>
      <c r="W7" s="2737"/>
      <c r="X7" s="2645"/>
      <c r="Y7" s="2645"/>
      <c r="Z7" s="2645"/>
      <c r="AA7" s="2646"/>
      <c r="AB7" s="179"/>
      <c r="AC7" s="570"/>
      <c r="AD7" s="175"/>
      <c r="AE7" s="175"/>
      <c r="AF7" s="175"/>
      <c r="AG7" s="263">
        <f t="shared" ref="AG7:AG38" si="5">IF(BD7="","",IF(AI7="",$AD$46*100,AI7))</f>
        <v>3</v>
      </c>
      <c r="AH7" s="165" t="s">
        <v>523</v>
      </c>
      <c r="AI7" s="264"/>
      <c r="AJ7" s="263">
        <f t="shared" ref="AJ7:AJ38" si="6">IF(BD7="","",IF(AL7="",$AD$47*100,AL7))</f>
        <v>1.5</v>
      </c>
      <c r="AK7" s="165" t="s">
        <v>523</v>
      </c>
      <c r="AL7" s="264"/>
      <c r="AM7" s="263">
        <f t="shared" ref="AM7:AM38" si="7">IF(BD7="","",IF(AO7&lt;&gt;"",AO7,IF(OR(LEFT(BE7,2)=" 引",LEFT(BE7,2)=" 受",LEFT(BE7,2)=" 自",LEFT(BE7,2)=" 蓄",LEFT(BE7,2)=" Ｕ",LEFT(BE7,2)=" 太",LEFT(BE7,2)=" 低",LEFT(BE7,2)=" 動",LEFT(BE7,2)=" 照",LEFT(BE7,2)=" 非"),2,$AD$48*100)))</f>
        <v>2</v>
      </c>
      <c r="AN7" s="165" t="s">
        <v>523</v>
      </c>
      <c r="AO7" s="264"/>
      <c r="AP7" s="263">
        <f t="shared" ref="AP7:AP38" ca="1" si="8">IF(BD7="","",IF(AR7="",$AD$49*100,AR7))</f>
        <v>12</v>
      </c>
      <c r="AQ7" s="165" t="s">
        <v>523</v>
      </c>
      <c r="AR7" s="264"/>
      <c r="AS7" s="265">
        <f t="shared" ref="AS7:AS38" si="9">IF(BD7="","",INT(BM7*AG7/100))</f>
        <v>107700</v>
      </c>
      <c r="AT7" s="265">
        <f>IF(BD7="","",INT((BM7+BN7)*AJ7/100))</f>
        <v>539865</v>
      </c>
      <c r="AU7" s="265">
        <f t="shared" ref="AU7:AU38" si="10">IF(BD7="","",INT(BP7*AM7/100))</f>
        <v>787940</v>
      </c>
      <c r="AV7" s="273"/>
      <c r="AW7" s="175"/>
      <c r="AX7" s="267">
        <v>2</v>
      </c>
      <c r="AY7" s="166" t="str">
        <f>IF(BP7=0,"",Top!L87)</f>
        <v xml:space="preserve"> 受変電設備工事</v>
      </c>
      <c r="AZ7" s="166"/>
      <c r="BA7" s="166"/>
      <c r="BB7" s="166"/>
      <c r="BC7" s="267">
        <f>IF(AND(AY7&lt;&gt;"",AY7&lt;&gt;" 　"),BC6+1,BC6)</f>
        <v>2</v>
      </c>
      <c r="BD7" s="267">
        <f>IF(AND(AY7&lt;&gt;"",AY7&lt;&gt;" 　"),BC7,"")</f>
        <v>2</v>
      </c>
      <c r="BE7" s="166" t="str">
        <f>IF(COUNTIF($AY$4:AY6,AY7)&gt;0,"",AY7)</f>
        <v xml:space="preserve"> 受変電設備工事</v>
      </c>
      <c r="BF7" s="166"/>
      <c r="BG7" s="268"/>
      <c r="BH7" s="268"/>
      <c r="BI7" s="268"/>
      <c r="BJ7" s="565" t="s">
        <v>524</v>
      </c>
      <c r="BK7" s="269" t="s">
        <v>525</v>
      </c>
      <c r="BL7" s="270" t="s">
        <v>526</v>
      </c>
      <c r="BM7" s="897">
        <f>受変!M160</f>
        <v>3590000</v>
      </c>
      <c r="BN7" s="898">
        <f>受変!M161</f>
        <v>32401000</v>
      </c>
      <c r="BO7" s="898">
        <f>受変!M162</f>
        <v>3406000</v>
      </c>
      <c r="BP7" s="898">
        <f>SUM(BM7:BO7)</f>
        <v>39397000</v>
      </c>
      <c r="BQ7" s="271"/>
      <c r="BR7" s="907">
        <f ca="1">D51</f>
        <v>2</v>
      </c>
      <c r="BS7" s="271"/>
      <c r="BT7" s="904" t="s">
        <v>2312</v>
      </c>
      <c r="BU7" s="904" t="s">
        <v>2313</v>
      </c>
      <c r="BV7" s="904" t="s">
        <v>2314</v>
      </c>
    </row>
    <row r="8" spans="1:74" ht="17.25" customHeight="1">
      <c r="A8" s="240">
        <f t="shared" ref="A8:A41" ca="1" si="11">IF(E8&lt;&gt;"",A7+1,"")</f>
        <v>3</v>
      </c>
      <c r="B8" s="2742"/>
      <c r="C8" s="272">
        <v>4</v>
      </c>
      <c r="D8" s="465">
        <f t="shared" ca="1" si="2"/>
        <v>3</v>
      </c>
      <c r="E8" s="2717" t="str">
        <f t="shared" ca="1" si="3"/>
        <v xml:space="preserve"> 自家用発電設備工事</v>
      </c>
      <c r="F8" s="2718"/>
      <c r="G8" s="2718"/>
      <c r="H8" s="2718"/>
      <c r="I8" s="2718"/>
      <c r="J8" s="2718"/>
      <c r="K8" s="2719"/>
      <c r="L8" s="468">
        <f t="shared" ca="1" si="0"/>
        <v>1</v>
      </c>
      <c r="M8" s="468" t="str">
        <f t="shared" ca="1" si="1"/>
        <v>式</v>
      </c>
      <c r="N8" s="2733"/>
      <c r="O8" s="2721"/>
      <c r="P8" s="2721"/>
      <c r="Q8" s="2721"/>
      <c r="R8" s="2722"/>
      <c r="S8" s="2735">
        <f t="shared" ca="1" si="4"/>
        <v>8638000</v>
      </c>
      <c r="T8" s="2736"/>
      <c r="U8" s="2736"/>
      <c r="V8" s="2736"/>
      <c r="W8" s="2737"/>
      <c r="X8" s="2730" t="str">
        <f t="shared" ref="X8:X38" ca="1" si="12">IF(E8=" 雑材消耗費"," 雑材消耗費 "&amp;$AD$46*100&amp;"％",IF(E8=" 運　搬　費"," 運　搬　費 "&amp;$AD$47*100&amp;"％",IF(E8=" 現場管理費"," 現場管理費 "&amp;$AD$48*100&amp;"％",IF(E8=" 諸　経　費"," 諸経費 "&amp;$AD$49*100&amp;"％",""))))</f>
        <v/>
      </c>
      <c r="Y8" s="2731"/>
      <c r="Z8" s="2731"/>
      <c r="AA8" s="2732"/>
      <c r="AB8" s="179"/>
      <c r="AC8" s="177"/>
      <c r="AD8" s="178"/>
      <c r="AE8" s="175"/>
      <c r="AF8" s="175"/>
      <c r="AG8" s="263">
        <f t="shared" si="5"/>
        <v>3</v>
      </c>
      <c r="AH8" s="165" t="s">
        <v>527</v>
      </c>
      <c r="AI8" s="264"/>
      <c r="AJ8" s="263">
        <f t="shared" si="6"/>
        <v>1.5</v>
      </c>
      <c r="AK8" s="165" t="s">
        <v>527</v>
      </c>
      <c r="AL8" s="264"/>
      <c r="AM8" s="263">
        <f t="shared" si="7"/>
        <v>2</v>
      </c>
      <c r="AN8" s="165" t="s">
        <v>527</v>
      </c>
      <c r="AO8" s="264"/>
      <c r="AP8" s="263">
        <f t="shared" ca="1" si="8"/>
        <v>12</v>
      </c>
      <c r="AQ8" s="165" t="s">
        <v>527</v>
      </c>
      <c r="AR8" s="264"/>
      <c r="AS8" s="265">
        <f t="shared" si="9"/>
        <v>9480</v>
      </c>
      <c r="AT8" s="265">
        <f t="shared" ref="AT8:AT38" si="13">IF(BD8="","",INT((BM8+BN8)*AJ8/100))</f>
        <v>101940</v>
      </c>
      <c r="AU8" s="265">
        <f t="shared" si="10"/>
        <v>172760</v>
      </c>
      <c r="AV8" s="273"/>
      <c r="AW8" s="175"/>
      <c r="AX8" s="267">
        <v>3</v>
      </c>
      <c r="AY8" s="166" t="str">
        <f>IF(BP8=0,"",Top!L88)</f>
        <v xml:space="preserve"> 自家用発電設備工事</v>
      </c>
      <c r="AZ8" s="166"/>
      <c r="BA8" s="166"/>
      <c r="BB8" s="166"/>
      <c r="BC8" s="267">
        <f>IF(AND(AY8&lt;&gt;"",AY8&lt;&gt;" 　"),BC7+1,BC7)</f>
        <v>3</v>
      </c>
      <c r="BD8" s="267">
        <f>IF(AND(AY8&lt;&gt;"",AY8&lt;&gt;" 　"),BC8,"")</f>
        <v>3</v>
      </c>
      <c r="BE8" s="166" t="str">
        <f>IF(COUNTIF($AY$4:AY7,AY8)&gt;0,"",AY8)</f>
        <v xml:space="preserve"> 自家用発電設備工事</v>
      </c>
      <c r="BF8" s="166"/>
      <c r="BG8" s="268"/>
      <c r="BH8" s="268"/>
      <c r="BI8" s="268"/>
      <c r="BJ8" s="565" t="s">
        <v>528</v>
      </c>
      <c r="BK8" s="269" t="s">
        <v>529</v>
      </c>
      <c r="BL8" s="270" t="s">
        <v>530</v>
      </c>
      <c r="BM8" s="897">
        <f>発電!BF82</f>
        <v>316000</v>
      </c>
      <c r="BN8" s="898">
        <f>発電!BF83</f>
        <v>6480000</v>
      </c>
      <c r="BO8" s="911">
        <f>発電!BF84</f>
        <v>1842000</v>
      </c>
      <c r="BP8" s="898">
        <f>SUM(BM8:BO8)</f>
        <v>8638000</v>
      </c>
      <c r="BQ8" s="271"/>
      <c r="BR8" s="176">
        <f ca="1">D100</f>
        <v>3</v>
      </c>
      <c r="BS8" s="271"/>
      <c r="BT8" s="904" t="s">
        <v>2315</v>
      </c>
      <c r="BU8" s="904" t="s">
        <v>2316</v>
      </c>
      <c r="BV8" s="904" t="s">
        <v>2317</v>
      </c>
    </row>
    <row r="9" spans="1:74" ht="17.25" customHeight="1">
      <c r="A9" s="240">
        <f t="shared" ca="1" si="11"/>
        <v>4</v>
      </c>
      <c r="B9" s="2742"/>
      <c r="C9" s="272">
        <v>5</v>
      </c>
      <c r="D9" s="465">
        <f t="shared" ca="1" si="2"/>
        <v>4</v>
      </c>
      <c r="E9" s="2717" t="str">
        <f t="shared" ca="1" si="3"/>
        <v xml:space="preserve"> 低圧幹線設備工事</v>
      </c>
      <c r="F9" s="2718"/>
      <c r="G9" s="2718"/>
      <c r="H9" s="2718"/>
      <c r="I9" s="2718"/>
      <c r="J9" s="2718"/>
      <c r="K9" s="2719"/>
      <c r="L9" s="468">
        <f t="shared" ca="1" si="0"/>
        <v>1</v>
      </c>
      <c r="M9" s="468" t="str">
        <f t="shared" ca="1" si="1"/>
        <v>式</v>
      </c>
      <c r="N9" s="2733"/>
      <c r="O9" s="2721"/>
      <c r="P9" s="2721"/>
      <c r="Q9" s="2721"/>
      <c r="R9" s="2722"/>
      <c r="S9" s="2735">
        <f ca="1">IF(E9="","",IF(E9="　　　 　　　　　　(合計)",VLOOKUP(A9,内訳,14,FALSE),VLOOKUP(A9,内訳,13,FALSE)))</f>
        <v>85741000</v>
      </c>
      <c r="T9" s="2736"/>
      <c r="U9" s="2736"/>
      <c r="V9" s="2736"/>
      <c r="W9" s="2737"/>
      <c r="X9" s="2730" t="str">
        <f t="shared" ca="1" si="12"/>
        <v/>
      </c>
      <c r="Y9" s="2731"/>
      <c r="Z9" s="2731"/>
      <c r="AA9" s="2732"/>
      <c r="AB9" s="179"/>
      <c r="AC9" s="177"/>
      <c r="AD9" s="274"/>
      <c r="AE9" s="175"/>
      <c r="AF9" s="175"/>
      <c r="AG9" s="263" t="str">
        <f t="shared" si="5"/>
        <v/>
      </c>
      <c r="AH9" s="165" t="s">
        <v>488</v>
      </c>
      <c r="AI9" s="264"/>
      <c r="AJ9" s="263" t="str">
        <f t="shared" si="6"/>
        <v/>
      </c>
      <c r="AK9" s="165" t="s">
        <v>488</v>
      </c>
      <c r="AL9" s="264"/>
      <c r="AM9" s="263" t="str">
        <f t="shared" si="7"/>
        <v/>
      </c>
      <c r="AN9" s="165" t="s">
        <v>488</v>
      </c>
      <c r="AO9" s="264"/>
      <c r="AP9" s="263" t="str">
        <f t="shared" si="8"/>
        <v/>
      </c>
      <c r="AQ9" s="165" t="s">
        <v>488</v>
      </c>
      <c r="AR9" s="264"/>
      <c r="AS9" s="265" t="str">
        <f t="shared" si="9"/>
        <v/>
      </c>
      <c r="AT9" s="265" t="str">
        <f t="shared" si="13"/>
        <v/>
      </c>
      <c r="AU9" s="265" t="str">
        <f t="shared" si="10"/>
        <v/>
      </c>
      <c r="AV9" s="273"/>
      <c r="AW9" s="175"/>
      <c r="AX9" s="267">
        <v>4</v>
      </c>
      <c r="AY9" s="166" t="str">
        <f>IF(BP9=0,"",Top!L89)</f>
        <v/>
      </c>
      <c r="AZ9" s="166"/>
      <c r="BA9" s="166"/>
      <c r="BB9" s="166"/>
      <c r="BC9" s="267">
        <f t="shared" ref="BC9:BC44" si="14">IF(AND(AY9&lt;&gt;"",AY9&lt;&gt;" 　"),BC8+1,BC8)</f>
        <v>3</v>
      </c>
      <c r="BD9" s="267" t="str">
        <f t="shared" ref="BD9:BD44" si="15">IF(AND(AY9&lt;&gt;"",AY9&lt;&gt;" 　"),BC9,"")</f>
        <v/>
      </c>
      <c r="BE9" s="166" t="str">
        <f>IF(COUNTIF($AY$4:AY8,AY9)&gt;0,"",AY9)</f>
        <v/>
      </c>
      <c r="BF9" s="166"/>
      <c r="BG9" s="268"/>
      <c r="BH9" s="268"/>
      <c r="BI9" s="268"/>
      <c r="BJ9" s="565" t="s">
        <v>531</v>
      </c>
      <c r="BK9" s="269" t="s">
        <v>532</v>
      </c>
      <c r="BL9" s="270" t="s">
        <v>533</v>
      </c>
      <c r="BM9" s="897"/>
      <c r="BN9" s="898"/>
      <c r="BO9" s="898"/>
      <c r="BP9" s="898">
        <f>SUM(BM9:BO9)</f>
        <v>0</v>
      </c>
      <c r="BQ9" s="271"/>
      <c r="BR9" s="176"/>
      <c r="BS9" s="271"/>
      <c r="BT9" s="896"/>
      <c r="BU9" s="896"/>
      <c r="BV9" s="896"/>
    </row>
    <row r="10" spans="1:74" ht="17.25" customHeight="1">
      <c r="A10" s="240">
        <f t="shared" ca="1" si="11"/>
        <v>5</v>
      </c>
      <c r="B10" s="2742"/>
      <c r="C10" s="272">
        <v>6</v>
      </c>
      <c r="D10" s="465">
        <f t="shared" ca="1" si="2"/>
        <v>5</v>
      </c>
      <c r="E10" s="2717" t="str">
        <f t="shared" ca="1" si="3"/>
        <v xml:space="preserve"> 動力配線工事</v>
      </c>
      <c r="F10" s="2718"/>
      <c r="G10" s="2718"/>
      <c r="H10" s="2718"/>
      <c r="I10" s="2718"/>
      <c r="J10" s="2718"/>
      <c r="K10" s="2719"/>
      <c r="L10" s="468">
        <f t="shared" ca="1" si="0"/>
        <v>1</v>
      </c>
      <c r="M10" s="468" t="str">
        <f t="shared" ca="1" si="1"/>
        <v>式</v>
      </c>
      <c r="N10" s="2733"/>
      <c r="O10" s="2721"/>
      <c r="P10" s="2721"/>
      <c r="Q10" s="2721"/>
      <c r="R10" s="2722"/>
      <c r="S10" s="2735">
        <f t="shared" ca="1" si="4"/>
        <v>29321000</v>
      </c>
      <c r="T10" s="2736"/>
      <c r="U10" s="2736"/>
      <c r="V10" s="2736"/>
      <c r="W10" s="2737"/>
      <c r="X10" s="2730" t="str">
        <f t="shared" ca="1" si="12"/>
        <v/>
      </c>
      <c r="Y10" s="2731"/>
      <c r="Z10" s="2731"/>
      <c r="AA10" s="2732"/>
      <c r="AB10" s="179"/>
      <c r="AC10" s="177"/>
      <c r="AD10" s="175"/>
      <c r="AE10" s="175"/>
      <c r="AF10" s="175"/>
      <c r="AG10" s="263" t="str">
        <f t="shared" si="5"/>
        <v/>
      </c>
      <c r="AH10" s="165" t="s">
        <v>534</v>
      </c>
      <c r="AI10" s="264"/>
      <c r="AJ10" s="263" t="str">
        <f t="shared" si="6"/>
        <v/>
      </c>
      <c r="AK10" s="165" t="s">
        <v>534</v>
      </c>
      <c r="AL10" s="264"/>
      <c r="AM10" s="263" t="str">
        <f t="shared" si="7"/>
        <v/>
      </c>
      <c r="AN10" s="165" t="s">
        <v>534</v>
      </c>
      <c r="AO10" s="264"/>
      <c r="AP10" s="263" t="str">
        <f t="shared" si="8"/>
        <v/>
      </c>
      <c r="AQ10" s="165" t="s">
        <v>534</v>
      </c>
      <c r="AR10" s="264"/>
      <c r="AS10" s="265" t="str">
        <f t="shared" si="9"/>
        <v/>
      </c>
      <c r="AT10" s="265" t="str">
        <f t="shared" si="13"/>
        <v/>
      </c>
      <c r="AU10" s="265" t="str">
        <f t="shared" si="10"/>
        <v/>
      </c>
      <c r="AV10" s="273"/>
      <c r="AW10" s="175"/>
      <c r="AX10" s="267">
        <v>5</v>
      </c>
      <c r="AY10" s="166" t="str">
        <f>IF(BP10=0,"",Top!L90)</f>
        <v/>
      </c>
      <c r="AZ10" s="166"/>
      <c r="BA10" s="166"/>
      <c r="BB10" s="166"/>
      <c r="BC10" s="267">
        <f t="shared" si="14"/>
        <v>3</v>
      </c>
      <c r="BD10" s="267" t="str">
        <f t="shared" si="15"/>
        <v/>
      </c>
      <c r="BE10" s="166" t="str">
        <f>IF(COUNTIF($AY$4:AY9,AY10)&gt;0,"",AY10)</f>
        <v/>
      </c>
      <c r="BF10" s="166"/>
      <c r="BG10" s="268"/>
      <c r="BH10" s="268"/>
      <c r="BI10" s="268"/>
      <c r="BJ10" s="565" t="s">
        <v>535</v>
      </c>
      <c r="BK10" s="269" t="s">
        <v>536</v>
      </c>
      <c r="BL10" s="270" t="s">
        <v>537</v>
      </c>
      <c r="BM10" s="897"/>
      <c r="BN10" s="898"/>
      <c r="BO10" s="898"/>
      <c r="BP10" s="898">
        <f t="shared" ref="BP10:BP38" si="16">SUM(BM10:BO10)</f>
        <v>0</v>
      </c>
      <c r="BQ10" s="271"/>
      <c r="BR10" s="176"/>
      <c r="BS10" s="271"/>
      <c r="BT10" s="896"/>
      <c r="BU10" s="896"/>
      <c r="BV10" s="896"/>
    </row>
    <row r="11" spans="1:74" ht="17.25" customHeight="1">
      <c r="A11" s="240">
        <f t="shared" ca="1" si="11"/>
        <v>6</v>
      </c>
      <c r="B11" s="2742"/>
      <c r="C11" s="272">
        <v>7</v>
      </c>
      <c r="D11" s="465">
        <f t="shared" ca="1" si="2"/>
        <v>6</v>
      </c>
      <c r="E11" s="2717" t="str">
        <f t="shared" ca="1" si="3"/>
        <v xml:space="preserve"> 照明コンセント設備工事</v>
      </c>
      <c r="F11" s="2718"/>
      <c r="G11" s="2718"/>
      <c r="H11" s="2718"/>
      <c r="I11" s="2718"/>
      <c r="J11" s="2718"/>
      <c r="K11" s="2719"/>
      <c r="L11" s="468">
        <f t="shared" ca="1" si="0"/>
        <v>1</v>
      </c>
      <c r="M11" s="468" t="str">
        <f t="shared" ca="1" si="1"/>
        <v>式</v>
      </c>
      <c r="N11" s="2733"/>
      <c r="O11" s="2721"/>
      <c r="P11" s="2721"/>
      <c r="Q11" s="2721"/>
      <c r="R11" s="2722"/>
      <c r="S11" s="2735">
        <f t="shared" ca="1" si="4"/>
        <v>23954000</v>
      </c>
      <c r="T11" s="2736"/>
      <c r="U11" s="2736"/>
      <c r="V11" s="2736"/>
      <c r="W11" s="2737"/>
      <c r="X11" s="2730" t="str">
        <f t="shared" ca="1" si="12"/>
        <v/>
      </c>
      <c r="Y11" s="2731"/>
      <c r="Z11" s="2731"/>
      <c r="AA11" s="2732"/>
      <c r="AB11" s="179"/>
      <c r="AC11" s="177"/>
      <c r="AD11" s="175"/>
      <c r="AE11" s="175"/>
      <c r="AF11" s="175"/>
      <c r="AG11" s="263" t="str">
        <f t="shared" si="5"/>
        <v/>
      </c>
      <c r="AH11" s="165" t="s">
        <v>492</v>
      </c>
      <c r="AI11" s="264"/>
      <c r="AJ11" s="263" t="str">
        <f t="shared" si="6"/>
        <v/>
      </c>
      <c r="AK11" s="165" t="s">
        <v>492</v>
      </c>
      <c r="AL11" s="264"/>
      <c r="AM11" s="263" t="str">
        <f t="shared" si="7"/>
        <v/>
      </c>
      <c r="AN11" s="165" t="s">
        <v>492</v>
      </c>
      <c r="AO11" s="264"/>
      <c r="AP11" s="263" t="str">
        <f t="shared" si="8"/>
        <v/>
      </c>
      <c r="AQ11" s="165" t="s">
        <v>492</v>
      </c>
      <c r="AR11" s="264"/>
      <c r="AS11" s="265" t="str">
        <f>IF(BD11="","",INT(BM11*AG11/100))</f>
        <v/>
      </c>
      <c r="AT11" s="265" t="str">
        <f t="shared" si="13"/>
        <v/>
      </c>
      <c r="AU11" s="265" t="str">
        <f t="shared" si="10"/>
        <v/>
      </c>
      <c r="AV11" s="273"/>
      <c r="AW11" s="175"/>
      <c r="AX11" s="267">
        <v>6</v>
      </c>
      <c r="AY11" s="166" t="str">
        <f>IF(BP11=0,"",Top!L91)</f>
        <v/>
      </c>
      <c r="AZ11" s="166"/>
      <c r="BA11" s="166"/>
      <c r="BB11" s="166"/>
      <c r="BC11" s="267">
        <f t="shared" si="14"/>
        <v>3</v>
      </c>
      <c r="BD11" s="267" t="str">
        <f t="shared" si="15"/>
        <v/>
      </c>
      <c r="BE11" s="166" t="str">
        <f>IF(COUNTIF($AY$4:AY10,AY11)&gt;0,"",AY11)</f>
        <v/>
      </c>
      <c r="BF11" s="166"/>
      <c r="BG11" s="268"/>
      <c r="BH11" s="268"/>
      <c r="BI11" s="268"/>
      <c r="BJ11" s="565"/>
      <c r="BK11" s="269"/>
      <c r="BL11" s="270"/>
      <c r="BM11" s="897"/>
      <c r="BN11" s="898"/>
      <c r="BO11" s="898"/>
      <c r="BP11" s="898">
        <f t="shared" si="16"/>
        <v>0</v>
      </c>
      <c r="BQ11" s="271"/>
      <c r="BR11" s="271"/>
      <c r="BS11" s="271"/>
      <c r="BT11" s="896"/>
      <c r="BU11" s="896"/>
      <c r="BV11" s="896"/>
    </row>
    <row r="12" spans="1:74" ht="17.25" customHeight="1">
      <c r="A12" s="240">
        <f t="shared" ca="1" si="11"/>
        <v>7</v>
      </c>
      <c r="B12" s="2742"/>
      <c r="C12" s="272">
        <v>8</v>
      </c>
      <c r="D12" s="465">
        <f t="shared" ca="1" si="2"/>
        <v>7</v>
      </c>
      <c r="E12" s="2717" t="str">
        <f t="shared" ca="1" si="3"/>
        <v xml:space="preserve"> 照明器具取付工事</v>
      </c>
      <c r="F12" s="2718"/>
      <c r="G12" s="2718"/>
      <c r="H12" s="2718"/>
      <c r="I12" s="2718"/>
      <c r="J12" s="2718"/>
      <c r="K12" s="2719"/>
      <c r="L12" s="468">
        <f t="shared" ca="1" si="0"/>
        <v>1</v>
      </c>
      <c r="M12" s="468" t="str">
        <f t="shared" ca="1" si="1"/>
        <v>式</v>
      </c>
      <c r="N12" s="2738"/>
      <c r="O12" s="2739"/>
      <c r="P12" s="2739"/>
      <c r="Q12" s="2739"/>
      <c r="R12" s="2740"/>
      <c r="S12" s="2735">
        <f t="shared" ca="1" si="4"/>
        <v>40225000</v>
      </c>
      <c r="T12" s="2736"/>
      <c r="U12" s="2736"/>
      <c r="V12" s="2736"/>
      <c r="W12" s="2737"/>
      <c r="X12" s="2730" t="str">
        <f t="shared" ca="1" si="12"/>
        <v/>
      </c>
      <c r="Y12" s="2731"/>
      <c r="Z12" s="2731"/>
      <c r="AA12" s="2732"/>
      <c r="AB12" s="179"/>
      <c r="AC12" s="177"/>
      <c r="AD12" s="175"/>
      <c r="AE12" s="175"/>
      <c r="AF12" s="175"/>
      <c r="AG12" s="263" t="str">
        <f t="shared" si="5"/>
        <v/>
      </c>
      <c r="AH12" s="165" t="s">
        <v>492</v>
      </c>
      <c r="AI12" s="264"/>
      <c r="AJ12" s="263" t="str">
        <f t="shared" si="6"/>
        <v/>
      </c>
      <c r="AK12" s="165" t="s">
        <v>492</v>
      </c>
      <c r="AL12" s="264"/>
      <c r="AM12" s="263" t="str">
        <f t="shared" si="7"/>
        <v/>
      </c>
      <c r="AN12" s="165" t="s">
        <v>492</v>
      </c>
      <c r="AO12" s="264"/>
      <c r="AP12" s="263" t="str">
        <f t="shared" si="8"/>
        <v/>
      </c>
      <c r="AQ12" s="165" t="s">
        <v>492</v>
      </c>
      <c r="AR12" s="264"/>
      <c r="AS12" s="265" t="str">
        <f t="shared" si="9"/>
        <v/>
      </c>
      <c r="AT12" s="265" t="str">
        <f t="shared" si="13"/>
        <v/>
      </c>
      <c r="AU12" s="265" t="str">
        <f t="shared" si="10"/>
        <v/>
      </c>
      <c r="AV12" s="273"/>
      <c r="AW12" s="175"/>
      <c r="AX12" s="267">
        <v>7</v>
      </c>
      <c r="AY12" s="166" t="str">
        <f>IF(BP12=0,"",Top!L92)</f>
        <v/>
      </c>
      <c r="AZ12" s="166"/>
      <c r="BA12" s="166"/>
      <c r="BB12" s="166"/>
      <c r="BC12" s="267">
        <f t="shared" si="14"/>
        <v>3</v>
      </c>
      <c r="BD12" s="267" t="str">
        <f t="shared" si="15"/>
        <v/>
      </c>
      <c r="BE12" s="166" t="str">
        <f>IF(COUNTIF($AY$4:AY11,AY12)&gt;0,"",AY12)</f>
        <v/>
      </c>
      <c r="BF12" s="166"/>
      <c r="BG12" s="268"/>
      <c r="BH12" s="268"/>
      <c r="BI12" s="268"/>
      <c r="BJ12" s="565" t="s">
        <v>493</v>
      </c>
      <c r="BK12" s="269" t="s">
        <v>494</v>
      </c>
      <c r="BL12" s="270" t="s">
        <v>495</v>
      </c>
      <c r="BM12" s="897"/>
      <c r="BN12" s="898"/>
      <c r="BO12" s="898"/>
      <c r="BP12" s="898">
        <f t="shared" si="16"/>
        <v>0</v>
      </c>
      <c r="BQ12" s="271"/>
      <c r="BR12" s="271"/>
      <c r="BS12" s="271"/>
      <c r="BT12" s="896"/>
      <c r="BU12" s="896"/>
      <c r="BV12" s="896"/>
    </row>
    <row r="13" spans="1:74" ht="17.25" customHeight="1">
      <c r="A13" s="240">
        <f t="shared" ca="1" si="11"/>
        <v>8</v>
      </c>
      <c r="B13" s="2742"/>
      <c r="C13" s="272">
        <v>9</v>
      </c>
      <c r="D13" s="465">
        <f t="shared" ca="1" si="2"/>
        <v>8</v>
      </c>
      <c r="E13" s="2717" t="str">
        <f t="shared" ca="1" si="3"/>
        <v xml:space="preserve"> 非常照明・誘導灯設備工事</v>
      </c>
      <c r="F13" s="2718"/>
      <c r="G13" s="2718"/>
      <c r="H13" s="2718"/>
      <c r="I13" s="2718"/>
      <c r="J13" s="2718"/>
      <c r="K13" s="2719"/>
      <c r="L13" s="468">
        <f t="shared" ca="1" si="0"/>
        <v>1</v>
      </c>
      <c r="M13" s="468" t="str">
        <f t="shared" ca="1" si="1"/>
        <v>式</v>
      </c>
      <c r="N13" s="2733"/>
      <c r="O13" s="2721"/>
      <c r="P13" s="2721"/>
      <c r="Q13" s="2721"/>
      <c r="R13" s="2722"/>
      <c r="S13" s="2735">
        <f t="shared" ca="1" si="4"/>
        <v>18854000</v>
      </c>
      <c r="T13" s="2736"/>
      <c r="U13" s="2736"/>
      <c r="V13" s="2736"/>
      <c r="W13" s="2737"/>
      <c r="X13" s="2730" t="str">
        <f t="shared" ca="1" si="12"/>
        <v/>
      </c>
      <c r="Y13" s="2731"/>
      <c r="Z13" s="2731"/>
      <c r="AA13" s="2732"/>
      <c r="AB13" s="179"/>
      <c r="AC13" s="177"/>
      <c r="AD13" s="175"/>
      <c r="AE13" s="175"/>
      <c r="AF13" s="175"/>
      <c r="AG13" s="263">
        <f t="shared" si="5"/>
        <v>3</v>
      </c>
      <c r="AH13" s="165" t="s">
        <v>492</v>
      </c>
      <c r="AI13" s="264"/>
      <c r="AJ13" s="263">
        <f t="shared" si="6"/>
        <v>1.5</v>
      </c>
      <c r="AK13" s="165" t="s">
        <v>492</v>
      </c>
      <c r="AL13" s="264"/>
      <c r="AM13" s="263">
        <f t="shared" si="7"/>
        <v>2</v>
      </c>
      <c r="AN13" s="165" t="s">
        <v>492</v>
      </c>
      <c r="AO13" s="264"/>
      <c r="AP13" s="263">
        <f t="shared" ca="1" si="8"/>
        <v>12</v>
      </c>
      <c r="AQ13" s="165" t="s">
        <v>492</v>
      </c>
      <c r="AR13" s="264"/>
      <c r="AS13" s="265">
        <f t="shared" si="9"/>
        <v>718140</v>
      </c>
      <c r="AT13" s="265">
        <f t="shared" si="13"/>
        <v>1190640</v>
      </c>
      <c r="AU13" s="265">
        <f t="shared" si="10"/>
        <v>1714820</v>
      </c>
      <c r="AV13" s="273"/>
      <c r="AW13" s="175"/>
      <c r="AX13" s="267">
        <v>8</v>
      </c>
      <c r="AY13" s="166" t="str">
        <f>IF(BP13=0,"",Top!L93)</f>
        <v xml:space="preserve"> 低圧幹線設備工事</v>
      </c>
      <c r="AZ13" s="166"/>
      <c r="BA13" s="166"/>
      <c r="BB13" s="166"/>
      <c r="BC13" s="267">
        <f>IF(AND(AY13&lt;&gt;"",AY13&lt;&gt;" 　"),BC12+1,BC12)</f>
        <v>4</v>
      </c>
      <c r="BD13" s="267">
        <f>IF(AND(AY13&lt;&gt;"",AY13&lt;&gt;" 　"),BC13,"")</f>
        <v>4</v>
      </c>
      <c r="BE13" s="166" t="str">
        <f>IF(COUNTIF($AY$4:AY12,AY13)&gt;0,"",AY13)</f>
        <v xml:space="preserve"> 低圧幹線設備工事</v>
      </c>
      <c r="BF13" s="166"/>
      <c r="BG13" s="268"/>
      <c r="BH13" s="268"/>
      <c r="BI13" s="268"/>
      <c r="BJ13" s="565" t="s">
        <v>493</v>
      </c>
      <c r="BK13" s="269" t="s">
        <v>494</v>
      </c>
      <c r="BL13" s="270" t="s">
        <v>495</v>
      </c>
      <c r="BM13" s="897">
        <f>[1]低幹!$M$747</f>
        <v>23938000</v>
      </c>
      <c r="BN13" s="898">
        <f>[1]低幹!$M$748</f>
        <v>55438000</v>
      </c>
      <c r="BO13" s="898">
        <f>[1]低幹!$M$749</f>
        <v>6365000</v>
      </c>
      <c r="BP13" s="898">
        <f t="shared" si="16"/>
        <v>85741000</v>
      </c>
      <c r="BQ13" s="271"/>
      <c r="BR13" s="271"/>
      <c r="BS13" s="271"/>
      <c r="BT13" s="904" t="s">
        <v>2318</v>
      </c>
      <c r="BU13" s="904" t="s">
        <v>2319</v>
      </c>
      <c r="BV13" s="904" t="s">
        <v>2320</v>
      </c>
    </row>
    <row r="14" spans="1:74" ht="17.25" customHeight="1">
      <c r="A14" s="240">
        <f t="shared" ca="1" si="11"/>
        <v>9</v>
      </c>
      <c r="B14" s="2742"/>
      <c r="C14" s="272">
        <v>10</v>
      </c>
      <c r="D14" s="465">
        <f t="shared" ca="1" si="2"/>
        <v>9</v>
      </c>
      <c r="E14" s="2717" t="str">
        <f t="shared" ca="1" si="3"/>
        <v xml:space="preserve"> 自火報防排煙設備工事</v>
      </c>
      <c r="F14" s="2718"/>
      <c r="G14" s="2718"/>
      <c r="H14" s="2718"/>
      <c r="I14" s="2718"/>
      <c r="J14" s="2718"/>
      <c r="K14" s="2719"/>
      <c r="L14" s="468">
        <f t="shared" ca="1" si="0"/>
        <v>1</v>
      </c>
      <c r="M14" s="468" t="str">
        <f t="shared" ca="1" si="1"/>
        <v>式</v>
      </c>
      <c r="N14" s="2733"/>
      <c r="O14" s="2721"/>
      <c r="P14" s="2721"/>
      <c r="Q14" s="2721"/>
      <c r="R14" s="2722"/>
      <c r="S14" s="2735">
        <f t="shared" ca="1" si="4"/>
        <v>14637000</v>
      </c>
      <c r="T14" s="2736"/>
      <c r="U14" s="2736"/>
      <c r="V14" s="2736"/>
      <c r="W14" s="2737"/>
      <c r="X14" s="2730" t="str">
        <f t="shared" ca="1" si="12"/>
        <v/>
      </c>
      <c r="Y14" s="2731"/>
      <c r="Z14" s="2731"/>
      <c r="AA14" s="2732"/>
      <c r="AB14" s="179"/>
      <c r="AC14" s="177"/>
      <c r="AD14" s="175"/>
      <c r="AE14" s="175"/>
      <c r="AF14" s="175"/>
      <c r="AG14" s="263">
        <f t="shared" si="5"/>
        <v>3</v>
      </c>
      <c r="AH14" s="165" t="s">
        <v>492</v>
      </c>
      <c r="AI14" s="264"/>
      <c r="AJ14" s="263">
        <f t="shared" si="6"/>
        <v>1.5</v>
      </c>
      <c r="AK14" s="165" t="s">
        <v>492</v>
      </c>
      <c r="AL14" s="264"/>
      <c r="AM14" s="263">
        <f t="shared" si="7"/>
        <v>2</v>
      </c>
      <c r="AN14" s="165" t="s">
        <v>492</v>
      </c>
      <c r="AO14" s="264"/>
      <c r="AP14" s="263">
        <f t="shared" ca="1" si="8"/>
        <v>12</v>
      </c>
      <c r="AQ14" s="165" t="s">
        <v>492</v>
      </c>
      <c r="AR14" s="264"/>
      <c r="AS14" s="265">
        <f t="shared" si="9"/>
        <v>583890</v>
      </c>
      <c r="AT14" s="265">
        <f t="shared" si="13"/>
        <v>291945</v>
      </c>
      <c r="AU14" s="265">
        <f t="shared" si="10"/>
        <v>586420</v>
      </c>
      <c r="AV14" s="273"/>
      <c r="AW14" s="175"/>
      <c r="AX14" s="267">
        <v>9</v>
      </c>
      <c r="AY14" s="166" t="str">
        <f>IF(BP14=0,"",Top!L94)</f>
        <v xml:space="preserve"> 動力配線工事</v>
      </c>
      <c r="AZ14" s="166"/>
      <c r="BA14" s="166"/>
      <c r="BB14" s="166"/>
      <c r="BC14" s="267">
        <f t="shared" si="14"/>
        <v>5</v>
      </c>
      <c r="BD14" s="267">
        <f t="shared" si="15"/>
        <v>5</v>
      </c>
      <c r="BE14" s="166" t="str">
        <f>IF(COUNTIF($AY$4:AY13,AY14)&gt;0,"",AY14)</f>
        <v xml:space="preserve"> 動力配線工事</v>
      </c>
      <c r="BF14" s="166"/>
      <c r="BG14" s="268"/>
      <c r="BH14" s="268"/>
      <c r="BI14" s="268"/>
      <c r="BJ14" s="565" t="s">
        <v>493</v>
      </c>
      <c r="BK14" s="269" t="s">
        <v>496</v>
      </c>
      <c r="BL14" s="270" t="s">
        <v>495</v>
      </c>
      <c r="BM14" s="897">
        <f>[1]動配!$M$1406+[1]動配!$M$1407</f>
        <v>19463000</v>
      </c>
      <c r="BN14" s="898"/>
      <c r="BO14" s="898">
        <f>[1]動配!$M$1408</f>
        <v>9858000</v>
      </c>
      <c r="BP14" s="898">
        <f t="shared" si="16"/>
        <v>29321000</v>
      </c>
      <c r="BQ14" s="271"/>
      <c r="BR14" s="271"/>
      <c r="BS14" s="271"/>
      <c r="BT14" s="904" t="s">
        <v>2321</v>
      </c>
      <c r="BU14" s="905"/>
      <c r="BV14" s="904" t="s">
        <v>2322</v>
      </c>
    </row>
    <row r="15" spans="1:74" ht="17.25" customHeight="1">
      <c r="A15" s="240">
        <f t="shared" ca="1" si="11"/>
        <v>10</v>
      </c>
      <c r="B15" s="2742"/>
      <c r="C15" s="272">
        <v>11</v>
      </c>
      <c r="D15" s="465">
        <f t="shared" ca="1" si="2"/>
        <v>10</v>
      </c>
      <c r="E15" s="2717" t="str">
        <f ca="1">IF($AD$4=0,"",IF(ISNA(VLOOKUP(AX15,内訳,2,FALSE)),"",VLOOKUP(AX15,内訳,2,FALSE)))</f>
        <v xml:space="preserve"> 雷保護設備工事</v>
      </c>
      <c r="F15" s="2718"/>
      <c r="G15" s="2718"/>
      <c r="H15" s="2718"/>
      <c r="I15" s="2718"/>
      <c r="J15" s="2718"/>
      <c r="K15" s="2719"/>
      <c r="L15" s="468">
        <f t="shared" ca="1" si="0"/>
        <v>1</v>
      </c>
      <c r="M15" s="468" t="str">
        <f t="shared" ca="1" si="1"/>
        <v>式</v>
      </c>
      <c r="N15" s="2733"/>
      <c r="O15" s="2721"/>
      <c r="P15" s="2721"/>
      <c r="Q15" s="2721"/>
      <c r="R15" s="2722"/>
      <c r="S15" s="2735">
        <f t="shared" ca="1" si="4"/>
        <v>5587100</v>
      </c>
      <c r="T15" s="2736"/>
      <c r="U15" s="2736"/>
      <c r="V15" s="2736"/>
      <c r="W15" s="2737"/>
      <c r="X15" s="2730" t="str">
        <f t="shared" ca="1" si="12"/>
        <v/>
      </c>
      <c r="Y15" s="2731"/>
      <c r="Z15" s="2731"/>
      <c r="AA15" s="2732"/>
      <c r="AB15" s="179"/>
      <c r="AC15" s="177"/>
      <c r="AD15" s="175"/>
      <c r="AE15" s="175"/>
      <c r="AF15" s="175"/>
      <c r="AG15" s="263" t="str">
        <f t="shared" si="5"/>
        <v/>
      </c>
      <c r="AH15" s="165" t="s">
        <v>492</v>
      </c>
      <c r="AI15" s="264"/>
      <c r="AJ15" s="263" t="str">
        <f t="shared" si="6"/>
        <v/>
      </c>
      <c r="AK15" s="165" t="s">
        <v>492</v>
      </c>
      <c r="AL15" s="264"/>
      <c r="AM15" s="263" t="str">
        <f t="shared" si="7"/>
        <v/>
      </c>
      <c r="AN15" s="165" t="s">
        <v>492</v>
      </c>
      <c r="AO15" s="264"/>
      <c r="AP15" s="263" t="str">
        <f t="shared" si="8"/>
        <v/>
      </c>
      <c r="AQ15" s="165" t="s">
        <v>492</v>
      </c>
      <c r="AR15" s="264"/>
      <c r="AS15" s="265" t="str">
        <f t="shared" si="9"/>
        <v/>
      </c>
      <c r="AT15" s="265" t="str">
        <f t="shared" si="13"/>
        <v/>
      </c>
      <c r="AU15" s="265" t="str">
        <f t="shared" si="10"/>
        <v/>
      </c>
      <c r="AV15" s="273"/>
      <c r="AW15" s="175"/>
      <c r="AX15" s="267">
        <v>10</v>
      </c>
      <c r="AY15" s="166" t="str">
        <f>IF(BP15=0,"",Top!L95)</f>
        <v/>
      </c>
      <c r="AZ15" s="166"/>
      <c r="BA15" s="166"/>
      <c r="BB15" s="166"/>
      <c r="BC15" s="267">
        <f t="shared" si="14"/>
        <v>5</v>
      </c>
      <c r="BD15" s="267" t="str">
        <f t="shared" si="15"/>
        <v/>
      </c>
      <c r="BE15" s="166" t="str">
        <f>IF(COUNTIF($AY$4:AY14,AY15)&gt;0,"",AY15)</f>
        <v/>
      </c>
      <c r="BF15" s="166"/>
      <c r="BG15" s="268"/>
      <c r="BH15" s="268"/>
      <c r="BI15" s="268"/>
      <c r="BJ15" s="565" t="s">
        <v>493</v>
      </c>
      <c r="BK15" s="269" t="s">
        <v>494</v>
      </c>
      <c r="BL15" s="270" t="s">
        <v>495</v>
      </c>
      <c r="BM15" s="897"/>
      <c r="BN15" s="898"/>
      <c r="BO15" s="898"/>
      <c r="BP15" s="898">
        <f t="shared" si="16"/>
        <v>0</v>
      </c>
      <c r="BQ15" s="271"/>
      <c r="BR15" s="271"/>
      <c r="BS15" s="271"/>
      <c r="BT15" s="906"/>
      <c r="BU15" s="906"/>
      <c r="BV15" s="906"/>
    </row>
    <row r="16" spans="1:74" ht="17.25" customHeight="1">
      <c r="A16" s="240">
        <f t="shared" ca="1" si="11"/>
        <v>11</v>
      </c>
      <c r="B16" s="2742"/>
      <c r="C16" s="272">
        <v>12</v>
      </c>
      <c r="D16" s="465">
        <f t="shared" ca="1" si="2"/>
        <v>11</v>
      </c>
      <c r="E16" s="2717" t="str">
        <f t="shared" ca="1" si="3"/>
        <v xml:space="preserve"> 構内電話設備工事</v>
      </c>
      <c r="F16" s="2718"/>
      <c r="G16" s="2718"/>
      <c r="H16" s="2718"/>
      <c r="I16" s="2718"/>
      <c r="J16" s="2718"/>
      <c r="K16" s="2719"/>
      <c r="L16" s="468">
        <f t="shared" ca="1" si="0"/>
        <v>1</v>
      </c>
      <c r="M16" s="468" t="str">
        <f t="shared" ca="1" si="1"/>
        <v>式</v>
      </c>
      <c r="N16" s="2733"/>
      <c r="O16" s="2721"/>
      <c r="P16" s="2721"/>
      <c r="Q16" s="2721"/>
      <c r="R16" s="2722"/>
      <c r="S16" s="2735">
        <f t="shared" ca="1" si="4"/>
        <v>84089000</v>
      </c>
      <c r="T16" s="2736"/>
      <c r="U16" s="2736"/>
      <c r="V16" s="2736"/>
      <c r="W16" s="2737"/>
      <c r="X16" s="2730" t="str">
        <f t="shared" ca="1" si="12"/>
        <v/>
      </c>
      <c r="Y16" s="2731"/>
      <c r="Z16" s="2731"/>
      <c r="AA16" s="2732"/>
      <c r="AB16" s="179"/>
      <c r="AC16" s="177"/>
      <c r="AD16" s="175"/>
      <c r="AE16" s="175"/>
      <c r="AF16" s="175"/>
      <c r="AG16" s="263" t="str">
        <f t="shared" si="5"/>
        <v/>
      </c>
      <c r="AH16" s="165" t="s">
        <v>492</v>
      </c>
      <c r="AI16" s="264"/>
      <c r="AJ16" s="263" t="str">
        <f t="shared" si="6"/>
        <v/>
      </c>
      <c r="AK16" s="165" t="s">
        <v>492</v>
      </c>
      <c r="AL16" s="264"/>
      <c r="AM16" s="263" t="str">
        <f t="shared" si="7"/>
        <v/>
      </c>
      <c r="AN16" s="165" t="s">
        <v>492</v>
      </c>
      <c r="AO16" s="264"/>
      <c r="AP16" s="263" t="str">
        <f t="shared" si="8"/>
        <v/>
      </c>
      <c r="AQ16" s="165" t="s">
        <v>492</v>
      </c>
      <c r="AR16" s="264"/>
      <c r="AS16" s="265" t="str">
        <f t="shared" si="9"/>
        <v/>
      </c>
      <c r="AT16" s="265" t="str">
        <f t="shared" si="13"/>
        <v/>
      </c>
      <c r="AU16" s="265" t="str">
        <f t="shared" si="10"/>
        <v/>
      </c>
      <c r="AV16" s="273"/>
      <c r="AW16" s="175"/>
      <c r="AX16" s="267">
        <v>11</v>
      </c>
      <c r="AY16" s="166" t="str">
        <f>IF(BP16=0,"",Top!L96)</f>
        <v/>
      </c>
      <c r="AZ16" s="166"/>
      <c r="BA16" s="166"/>
      <c r="BB16" s="166"/>
      <c r="BC16" s="267">
        <f t="shared" si="14"/>
        <v>5</v>
      </c>
      <c r="BD16" s="267" t="str">
        <f t="shared" si="15"/>
        <v/>
      </c>
      <c r="BE16" s="166" t="str">
        <f>IF(COUNTIF($AY$4:AY15,AY16)&gt;0,"",AY16)</f>
        <v/>
      </c>
      <c r="BF16" s="166"/>
      <c r="BG16" s="268"/>
      <c r="BH16" s="268"/>
      <c r="BI16" s="268"/>
      <c r="BJ16" s="565"/>
      <c r="BK16" s="269"/>
      <c r="BL16" s="270"/>
      <c r="BM16" s="897"/>
      <c r="BN16" s="898"/>
      <c r="BO16" s="898"/>
      <c r="BP16" s="898">
        <f t="shared" si="16"/>
        <v>0</v>
      </c>
      <c r="BQ16" s="271"/>
      <c r="BR16" s="271"/>
      <c r="BS16" s="271"/>
      <c r="BT16" s="906"/>
      <c r="BU16" s="906"/>
      <c r="BV16" s="906"/>
    </row>
    <row r="17" spans="1:74" ht="17.25" customHeight="1">
      <c r="A17" s="240">
        <f t="shared" ca="1" si="11"/>
        <v>12</v>
      </c>
      <c r="B17" s="2742"/>
      <c r="C17" s="272">
        <v>13</v>
      </c>
      <c r="D17" s="465">
        <f ca="1">IF(OR(E17="　　　 　　　　　　(小計)",E17="　　　 　　　　　　(合計)",E17=" 雑材消耗費",E17=" 運　搬　費",E17=" 現場管理費",E17=" 諸　経　費"),"",IF(E17&lt;&gt;"",D16+1,""))</f>
        <v>12</v>
      </c>
      <c r="E17" s="2717" t="str">
        <f ca="1">IF($AD$4=0,"",IF(ISNA(VLOOKUP(AX17,内訳,2,FALSE)),"",VLOOKUP(AX17,内訳,2,FALSE)))</f>
        <v xml:space="preserve"> 構内放送設備工事</v>
      </c>
      <c r="F17" s="2718"/>
      <c r="G17" s="2718"/>
      <c r="H17" s="2718"/>
      <c r="I17" s="2718"/>
      <c r="J17" s="2718"/>
      <c r="K17" s="2719"/>
      <c r="L17" s="468">
        <f t="shared" ca="1" si="0"/>
        <v>1</v>
      </c>
      <c r="M17" s="468" t="str">
        <f t="shared" ca="1" si="1"/>
        <v>式</v>
      </c>
      <c r="N17" s="2733"/>
      <c r="O17" s="2721"/>
      <c r="P17" s="2721"/>
      <c r="Q17" s="2721"/>
      <c r="R17" s="2722"/>
      <c r="S17" s="2735">
        <f t="shared" ca="1" si="4"/>
        <v>13180000</v>
      </c>
      <c r="T17" s="2736"/>
      <c r="U17" s="2736"/>
      <c r="V17" s="2736"/>
      <c r="W17" s="2737"/>
      <c r="X17" s="2730" t="str">
        <f t="shared" ca="1" si="12"/>
        <v/>
      </c>
      <c r="Y17" s="2731"/>
      <c r="Z17" s="2731"/>
      <c r="AA17" s="2732"/>
      <c r="AB17" s="179"/>
      <c r="AC17" s="177"/>
      <c r="AD17" s="175"/>
      <c r="AE17" s="175"/>
      <c r="AF17" s="175"/>
      <c r="AG17" s="263">
        <f t="shared" si="5"/>
        <v>3</v>
      </c>
      <c r="AH17" s="165" t="s">
        <v>492</v>
      </c>
      <c r="AI17" s="264"/>
      <c r="AJ17" s="263">
        <f t="shared" si="6"/>
        <v>1.5</v>
      </c>
      <c r="AK17" s="165" t="s">
        <v>492</v>
      </c>
      <c r="AL17" s="264"/>
      <c r="AM17" s="263">
        <f t="shared" si="7"/>
        <v>2</v>
      </c>
      <c r="AN17" s="165" t="s">
        <v>492</v>
      </c>
      <c r="AO17" s="264"/>
      <c r="AP17" s="263">
        <f t="shared" ca="1" si="8"/>
        <v>12</v>
      </c>
      <c r="AQ17" s="165" t="s">
        <v>492</v>
      </c>
      <c r="AR17" s="264"/>
      <c r="AS17" s="265">
        <f t="shared" si="9"/>
        <v>423570</v>
      </c>
      <c r="AT17" s="265">
        <f t="shared" si="13"/>
        <v>211785</v>
      </c>
      <c r="AU17" s="265">
        <f t="shared" si="10"/>
        <v>479080</v>
      </c>
      <c r="AV17" s="273"/>
      <c r="AW17" s="175"/>
      <c r="AX17" s="267">
        <v>12</v>
      </c>
      <c r="AY17" s="166" t="str">
        <f>IF(BP17=0,"",Top!L97)</f>
        <v xml:space="preserve"> 照明コンセント設備工事</v>
      </c>
      <c r="AZ17" s="166"/>
      <c r="BA17" s="166"/>
      <c r="BB17" s="166"/>
      <c r="BC17" s="267">
        <f t="shared" si="14"/>
        <v>6</v>
      </c>
      <c r="BD17" s="267">
        <f t="shared" si="15"/>
        <v>6</v>
      </c>
      <c r="BE17" s="166" t="str">
        <f>IF(COUNTIF($AY$4:AY16,AY17)&gt;0,"",AY17)</f>
        <v xml:space="preserve"> 照明コンセント設備工事</v>
      </c>
      <c r="BF17" s="166"/>
      <c r="BG17" s="268"/>
      <c r="BH17" s="268"/>
      <c r="BI17" s="268"/>
      <c r="BJ17" s="565" t="s">
        <v>493</v>
      </c>
      <c r="BK17" s="269" t="s">
        <v>538</v>
      </c>
      <c r="BL17" s="270" t="s">
        <v>495</v>
      </c>
      <c r="BM17" s="897">
        <f>[1]照差!$BD$236+[1]照差!$BD$237</f>
        <v>14119000</v>
      </c>
      <c r="BN17" s="898"/>
      <c r="BO17" s="898">
        <f>[1]照差!$BD$238</f>
        <v>9835000</v>
      </c>
      <c r="BP17" s="898">
        <f t="shared" si="16"/>
        <v>23954000</v>
      </c>
      <c r="BQ17" s="271"/>
      <c r="BR17" s="271"/>
      <c r="BS17" s="271"/>
      <c r="BT17" s="904" t="s">
        <v>2323</v>
      </c>
      <c r="BU17" s="905"/>
      <c r="BV17" s="904" t="s">
        <v>2324</v>
      </c>
    </row>
    <row r="18" spans="1:74" ht="17.25" customHeight="1">
      <c r="A18" s="240">
        <f t="shared" ca="1" si="11"/>
        <v>13</v>
      </c>
      <c r="B18" s="2742"/>
      <c r="C18" s="272">
        <v>14</v>
      </c>
      <c r="D18" s="465">
        <f t="shared" ca="1" si="2"/>
        <v>13</v>
      </c>
      <c r="E18" s="2717" t="str">
        <f t="shared" ca="1" si="3"/>
        <v xml:space="preserve"> テレビ共聴設備工事</v>
      </c>
      <c r="F18" s="2718"/>
      <c r="G18" s="2718"/>
      <c r="H18" s="2718"/>
      <c r="I18" s="2718"/>
      <c r="J18" s="2718"/>
      <c r="K18" s="2719"/>
      <c r="L18" s="468">
        <f t="shared" ca="1" si="0"/>
        <v>1</v>
      </c>
      <c r="M18" s="468" t="str">
        <f t="shared" ca="1" si="1"/>
        <v>式</v>
      </c>
      <c r="N18" s="2733"/>
      <c r="O18" s="2721"/>
      <c r="P18" s="2721"/>
      <c r="Q18" s="2721"/>
      <c r="R18" s="2722"/>
      <c r="S18" s="2735">
        <f t="shared" ca="1" si="4"/>
        <v>6121000</v>
      </c>
      <c r="T18" s="2736"/>
      <c r="U18" s="2736"/>
      <c r="V18" s="2736"/>
      <c r="W18" s="2737"/>
      <c r="X18" s="2730" t="str">
        <f t="shared" ca="1" si="12"/>
        <v/>
      </c>
      <c r="Y18" s="2731"/>
      <c r="Z18" s="2731"/>
      <c r="AA18" s="2732"/>
      <c r="AB18" s="179"/>
      <c r="AC18" s="177"/>
      <c r="AD18" s="175"/>
      <c r="AE18" s="175"/>
      <c r="AF18" s="175"/>
      <c r="AG18" s="263">
        <f t="shared" si="5"/>
        <v>3</v>
      </c>
      <c r="AH18" s="165" t="s">
        <v>492</v>
      </c>
      <c r="AI18" s="264"/>
      <c r="AJ18" s="263">
        <f t="shared" si="6"/>
        <v>1.5</v>
      </c>
      <c r="AK18" s="165" t="s">
        <v>492</v>
      </c>
      <c r="AL18" s="264"/>
      <c r="AM18" s="263">
        <f t="shared" si="7"/>
        <v>2</v>
      </c>
      <c r="AN18" s="165" t="s">
        <v>492</v>
      </c>
      <c r="AO18" s="264"/>
      <c r="AP18" s="263">
        <f t="shared" ca="1" si="8"/>
        <v>12</v>
      </c>
      <c r="AQ18" s="165" t="s">
        <v>492</v>
      </c>
      <c r="AR18" s="264"/>
      <c r="AS18" s="265">
        <f t="shared" si="9"/>
        <v>21720</v>
      </c>
      <c r="AT18" s="265">
        <f t="shared" si="13"/>
        <v>553935</v>
      </c>
      <c r="AU18" s="265">
        <f t="shared" si="10"/>
        <v>804500</v>
      </c>
      <c r="AV18" s="273"/>
      <c r="AW18" s="175"/>
      <c r="AX18" s="267">
        <v>13</v>
      </c>
      <c r="AY18" s="166" t="str">
        <f>IF(BP18=0,"",Top!L98)</f>
        <v xml:space="preserve"> 照明器具取付工事</v>
      </c>
      <c r="AZ18" s="166"/>
      <c r="BA18" s="166"/>
      <c r="BB18" s="166"/>
      <c r="BC18" s="267">
        <f t="shared" si="14"/>
        <v>7</v>
      </c>
      <c r="BD18" s="267">
        <f t="shared" si="15"/>
        <v>7</v>
      </c>
      <c r="BE18" s="166" t="str">
        <f>IF(COUNTIF($AY$4:AY17,AY18)&gt;0,"",AY18)</f>
        <v xml:space="preserve"> 照明器具取付工事</v>
      </c>
      <c r="BF18" s="166"/>
      <c r="BG18" s="268"/>
      <c r="BH18" s="268"/>
      <c r="BI18" s="268"/>
      <c r="BJ18" s="565" t="s">
        <v>539</v>
      </c>
      <c r="BK18" s="269" t="s">
        <v>540</v>
      </c>
      <c r="BL18" s="270" t="s">
        <v>495</v>
      </c>
      <c r="BM18" s="897">
        <f>[1]照差!$BD$248</f>
        <v>724000</v>
      </c>
      <c r="BN18" s="898">
        <f>[1]照差!$BD$247</f>
        <v>36205000</v>
      </c>
      <c r="BO18" s="898">
        <f>[1]照差!$BD$249</f>
        <v>3296000</v>
      </c>
      <c r="BP18" s="898">
        <f t="shared" si="16"/>
        <v>40225000</v>
      </c>
      <c r="BQ18" s="271"/>
      <c r="BR18" s="271"/>
      <c r="BS18" s="271"/>
      <c r="BT18" s="904" t="s">
        <v>2325</v>
      </c>
      <c r="BU18" s="904" t="s">
        <v>2326</v>
      </c>
      <c r="BV18" s="904" t="s">
        <v>2327</v>
      </c>
    </row>
    <row r="19" spans="1:74" ht="17.25" customHeight="1">
      <c r="A19" s="240">
        <f t="shared" ca="1" si="11"/>
        <v>14</v>
      </c>
      <c r="B19" s="2742"/>
      <c r="C19" s="272">
        <v>15</v>
      </c>
      <c r="D19" s="465" t="str">
        <f ca="1">IF(OR(E19="　　　 　　　　　　(小計)",E19="　　　 　　　　　　(合計)",E19=" 雑材消耗費",E19=" 運　搬　費",E19=" 現場管理費",E19=" 諸　経　費"),"",IF(E19&lt;&gt;"",D18+1,""))</f>
        <v/>
      </c>
      <c r="E19" s="2717" t="str">
        <f ca="1">IF($AD$4=0,"",IF(ISNA(VLOOKUP(AX19,内訳,2,FALSE)),"",VLOOKUP(AX19,内訳,2,FALSE)))</f>
        <v>　　　 　　　　　　(小計)</v>
      </c>
      <c r="F19" s="2718"/>
      <c r="G19" s="2718"/>
      <c r="H19" s="2718"/>
      <c r="I19" s="2718"/>
      <c r="J19" s="2718"/>
      <c r="K19" s="2719"/>
      <c r="L19" s="468">
        <f t="shared" ca="1" si="0"/>
        <v>1</v>
      </c>
      <c r="M19" s="468" t="str">
        <f t="shared" ca="1" si="1"/>
        <v>式</v>
      </c>
      <c r="N19" s="2733"/>
      <c r="O19" s="2721"/>
      <c r="P19" s="2721"/>
      <c r="Q19" s="2721"/>
      <c r="R19" s="2722"/>
      <c r="S19" s="2735">
        <f t="shared" ca="1" si="4"/>
        <v>372951100</v>
      </c>
      <c r="T19" s="2736"/>
      <c r="U19" s="2736"/>
      <c r="V19" s="2736"/>
      <c r="W19" s="2737"/>
      <c r="X19" s="2730" t="str">
        <f t="shared" ca="1" si="12"/>
        <v/>
      </c>
      <c r="Y19" s="2731"/>
      <c r="Z19" s="2731"/>
      <c r="AA19" s="2732"/>
      <c r="AB19" s="179"/>
      <c r="AC19" s="177"/>
      <c r="AD19" s="175"/>
      <c r="AE19" s="175"/>
      <c r="AF19" s="175"/>
      <c r="AG19" s="263">
        <f t="shared" si="5"/>
        <v>3</v>
      </c>
      <c r="AH19" s="165" t="s">
        <v>492</v>
      </c>
      <c r="AI19" s="264"/>
      <c r="AJ19" s="263">
        <f t="shared" si="6"/>
        <v>1.5</v>
      </c>
      <c r="AK19" s="165" t="s">
        <v>492</v>
      </c>
      <c r="AL19" s="264"/>
      <c r="AM19" s="263">
        <f t="shared" si="7"/>
        <v>2</v>
      </c>
      <c r="AN19" s="165" t="s">
        <v>492</v>
      </c>
      <c r="AO19" s="264"/>
      <c r="AP19" s="263">
        <f t="shared" ca="1" si="8"/>
        <v>12</v>
      </c>
      <c r="AQ19" s="165" t="s">
        <v>492</v>
      </c>
      <c r="AR19" s="264"/>
      <c r="AS19" s="265">
        <f t="shared" si="9"/>
        <v>34560</v>
      </c>
      <c r="AT19" s="265">
        <f t="shared" si="13"/>
        <v>234135</v>
      </c>
      <c r="AU19" s="265">
        <f t="shared" si="10"/>
        <v>377080</v>
      </c>
      <c r="AV19" s="273"/>
      <c r="AW19" s="175"/>
      <c r="AX19" s="267">
        <v>14</v>
      </c>
      <c r="AY19" s="166" t="str">
        <f>IF(BP19=0,"",Top!L99)</f>
        <v xml:space="preserve"> 非常照明・誘導灯設備工事</v>
      </c>
      <c r="AZ19" s="166"/>
      <c r="BA19" s="166"/>
      <c r="BB19" s="166"/>
      <c r="BC19" s="267">
        <f t="shared" si="14"/>
        <v>8</v>
      </c>
      <c r="BD19" s="267">
        <f t="shared" si="15"/>
        <v>8</v>
      </c>
      <c r="BE19" s="166" t="str">
        <f>IF(COUNTIF($AY$4:AY18,AY19)&gt;0,"",AY19)</f>
        <v xml:space="preserve"> 非常照明・誘導灯設備工事</v>
      </c>
      <c r="BF19" s="166"/>
      <c r="BG19" s="268"/>
      <c r="BH19" s="268"/>
      <c r="BI19" s="268"/>
      <c r="BJ19" s="565" t="s">
        <v>493</v>
      </c>
      <c r="BK19" s="269" t="s">
        <v>539</v>
      </c>
      <c r="BL19" s="270" t="s">
        <v>495</v>
      </c>
      <c r="BM19" s="897">
        <f>[3]非誘!$BD$167</f>
        <v>1152000</v>
      </c>
      <c r="BN19" s="898">
        <f>[3]非誘!$BD$168</f>
        <v>14457000</v>
      </c>
      <c r="BO19" s="898">
        <f>[3]非誘!$BD$169</f>
        <v>3245000</v>
      </c>
      <c r="BP19" s="898">
        <f t="shared" si="16"/>
        <v>18854000</v>
      </c>
      <c r="BQ19" s="271"/>
      <c r="BR19" s="271"/>
      <c r="BS19" s="271"/>
      <c r="BT19" s="904" t="s">
        <v>2328</v>
      </c>
      <c r="BU19" s="904" t="s">
        <v>2329</v>
      </c>
      <c r="BV19" s="904" t="s">
        <v>2330</v>
      </c>
    </row>
    <row r="20" spans="1:74" ht="17.25" customHeight="1">
      <c r="A20" s="240">
        <f t="shared" ca="1" si="11"/>
        <v>15</v>
      </c>
      <c r="B20" s="2742"/>
      <c r="C20" s="272">
        <v>16</v>
      </c>
      <c r="D20" s="465" t="str">
        <f ca="1">IF(OR(E20="　　　 　　　　　　(小計)",E20="　　　 　　　　　　(合計)",E20=" 雑材消耗費",E20=" 運　搬　費",E20=" 現場管理費",E20=" 諸　経　費"),"",IF(E20&lt;&gt;"",D19+1,""))</f>
        <v/>
      </c>
      <c r="E20" s="2717" t="str">
        <f t="shared" ca="1" si="3"/>
        <v xml:space="preserve"> 雑材消耗費</v>
      </c>
      <c r="F20" s="2718"/>
      <c r="G20" s="2718"/>
      <c r="H20" s="2718"/>
      <c r="I20" s="2718"/>
      <c r="J20" s="2718"/>
      <c r="K20" s="2719"/>
      <c r="L20" s="468">
        <f t="shared" ca="1" si="0"/>
        <v>1</v>
      </c>
      <c r="M20" s="468" t="str">
        <f t="shared" ca="1" si="1"/>
        <v>式</v>
      </c>
      <c r="N20" s="2733"/>
      <c r="O20" s="2721"/>
      <c r="P20" s="2721"/>
      <c r="Q20" s="2721"/>
      <c r="R20" s="2722"/>
      <c r="S20" s="2735">
        <f t="shared" ca="1" si="4"/>
        <v>2801000</v>
      </c>
      <c r="T20" s="2736"/>
      <c r="U20" s="2736"/>
      <c r="V20" s="2736"/>
      <c r="W20" s="2737"/>
      <c r="X20" s="2730" t="str">
        <f t="shared" ca="1" si="12"/>
        <v xml:space="preserve"> 雑材消耗費 3％</v>
      </c>
      <c r="Y20" s="2731"/>
      <c r="Z20" s="2731"/>
      <c r="AA20" s="2732"/>
      <c r="AB20" s="179"/>
      <c r="AC20" s="177"/>
      <c r="AD20" s="175"/>
      <c r="AE20" s="175"/>
      <c r="AF20" s="175"/>
      <c r="AG20" s="263" t="str">
        <f t="shared" si="5"/>
        <v/>
      </c>
      <c r="AH20" s="165" t="s">
        <v>488</v>
      </c>
      <c r="AI20" s="264"/>
      <c r="AJ20" s="263" t="str">
        <f t="shared" si="6"/>
        <v/>
      </c>
      <c r="AK20" s="165" t="s">
        <v>488</v>
      </c>
      <c r="AL20" s="264"/>
      <c r="AM20" s="263" t="str">
        <f t="shared" si="7"/>
        <v/>
      </c>
      <c r="AN20" s="165" t="s">
        <v>488</v>
      </c>
      <c r="AO20" s="264"/>
      <c r="AP20" s="263" t="str">
        <f t="shared" si="8"/>
        <v/>
      </c>
      <c r="AQ20" s="165" t="s">
        <v>488</v>
      </c>
      <c r="AR20" s="264"/>
      <c r="AS20" s="265" t="str">
        <f t="shared" si="9"/>
        <v/>
      </c>
      <c r="AT20" s="265" t="str">
        <f t="shared" si="13"/>
        <v/>
      </c>
      <c r="AU20" s="265" t="str">
        <f t="shared" si="10"/>
        <v/>
      </c>
      <c r="AV20" s="273"/>
      <c r="AW20" s="175"/>
      <c r="AX20" s="267">
        <v>15</v>
      </c>
      <c r="AY20" s="166" t="str">
        <f>IF(BP20=0,"",Top!L100)</f>
        <v/>
      </c>
      <c r="AZ20" s="166"/>
      <c r="BA20" s="166"/>
      <c r="BB20" s="166"/>
      <c r="BC20" s="267">
        <f t="shared" si="14"/>
        <v>8</v>
      </c>
      <c r="BD20" s="267" t="str">
        <f t="shared" si="15"/>
        <v/>
      </c>
      <c r="BE20" s="166" t="str">
        <f>IF(COUNTIF($AY$4:AY19,AY20)&gt;0,"",AY20)</f>
        <v/>
      </c>
      <c r="BF20" s="166"/>
      <c r="BG20" s="268"/>
      <c r="BH20" s="268"/>
      <c r="BI20" s="268"/>
      <c r="BJ20" s="565"/>
      <c r="BK20" s="269"/>
      <c r="BL20" s="270"/>
      <c r="BM20" s="897"/>
      <c r="BN20" s="898"/>
      <c r="BO20" s="898"/>
      <c r="BP20" s="898">
        <f t="shared" si="16"/>
        <v>0</v>
      </c>
      <c r="BQ20" s="271"/>
      <c r="BR20" s="271"/>
      <c r="BS20" s="271"/>
      <c r="BT20" s="906"/>
      <c r="BU20" s="906"/>
      <c r="BV20" s="906"/>
    </row>
    <row r="21" spans="1:74" ht="17.25" customHeight="1">
      <c r="A21" s="240">
        <f t="shared" ca="1" si="11"/>
        <v>16</v>
      </c>
      <c r="B21" s="2742"/>
      <c r="C21" s="272">
        <v>17</v>
      </c>
      <c r="D21" s="465" t="str">
        <f ca="1">IF(OR(E21="　　　 　　　　　　(小計)",E21="　　　 　　　　　　(合計)",E21=" 雑材消耗費",E21=" 運　搬　費",E21=" 現場管理費",E21=" 諸　経　費"),"",IF(E21&lt;&gt;"",D20+1,""))</f>
        <v/>
      </c>
      <c r="E21" s="2717" t="str">
        <f t="shared" ca="1" si="3"/>
        <v xml:space="preserve"> 運　搬　費</v>
      </c>
      <c r="F21" s="2718"/>
      <c r="G21" s="2718"/>
      <c r="H21" s="2718"/>
      <c r="I21" s="2718"/>
      <c r="J21" s="2718"/>
      <c r="K21" s="2719"/>
      <c r="L21" s="468">
        <f t="shared" ca="1" si="0"/>
        <v>1</v>
      </c>
      <c r="M21" s="468" t="str">
        <f t="shared" ca="1" si="1"/>
        <v>式</v>
      </c>
      <c r="N21" s="2733"/>
      <c r="O21" s="2721"/>
      <c r="P21" s="2721"/>
      <c r="Q21" s="2721"/>
      <c r="R21" s="2722"/>
      <c r="S21" s="2735">
        <f t="shared" ca="1" si="4"/>
        <v>4460000</v>
      </c>
      <c r="T21" s="2736"/>
      <c r="U21" s="2736"/>
      <c r="V21" s="2736"/>
      <c r="W21" s="2737"/>
      <c r="X21" s="2730" t="str">
        <f t="shared" ca="1" si="12"/>
        <v xml:space="preserve"> 運　搬　費 1.5％</v>
      </c>
      <c r="Y21" s="2731"/>
      <c r="Z21" s="2731"/>
      <c r="AA21" s="2732"/>
      <c r="AB21" s="179"/>
      <c r="AC21" s="175"/>
      <c r="AD21" s="175"/>
      <c r="AE21" s="175"/>
      <c r="AF21" s="175"/>
      <c r="AG21" s="263">
        <f t="shared" si="5"/>
        <v>3</v>
      </c>
      <c r="AH21" s="165" t="s">
        <v>492</v>
      </c>
      <c r="AI21" s="264"/>
      <c r="AJ21" s="263">
        <f t="shared" si="6"/>
        <v>1.5</v>
      </c>
      <c r="AK21" s="165" t="s">
        <v>492</v>
      </c>
      <c r="AL21" s="264"/>
      <c r="AM21" s="263">
        <f t="shared" si="7"/>
        <v>2</v>
      </c>
      <c r="AN21" s="165" t="s">
        <v>492</v>
      </c>
      <c r="AO21" s="264"/>
      <c r="AP21" s="263">
        <f t="shared" ca="1" si="8"/>
        <v>12</v>
      </c>
      <c r="AQ21" s="165" t="s">
        <v>492</v>
      </c>
      <c r="AR21" s="264"/>
      <c r="AS21" s="265">
        <f t="shared" si="9"/>
        <v>116070</v>
      </c>
      <c r="AT21" s="265">
        <f t="shared" si="13"/>
        <v>130545</v>
      </c>
      <c r="AU21" s="265">
        <f t="shared" si="10"/>
        <v>292740</v>
      </c>
      <c r="AV21" s="273"/>
      <c r="AW21" s="175"/>
      <c r="AX21" s="267">
        <v>16</v>
      </c>
      <c r="AY21" s="166" t="str">
        <f>IF(BP21=0,"",Top!L101)</f>
        <v xml:space="preserve"> 自火報防排煙設備工事</v>
      </c>
      <c r="AZ21" s="166"/>
      <c r="BA21" s="166"/>
      <c r="BB21" s="166"/>
      <c r="BC21" s="267">
        <f t="shared" si="14"/>
        <v>9</v>
      </c>
      <c r="BD21" s="267">
        <f t="shared" si="15"/>
        <v>9</v>
      </c>
      <c r="BE21" s="166" t="str">
        <f>IF(COUNTIF($AY$4:AY20,AY21)&gt;0,"",AY21)</f>
        <v xml:space="preserve"> 自火報防排煙設備工事</v>
      </c>
      <c r="BF21" s="166"/>
      <c r="BG21" s="268"/>
      <c r="BH21" s="268"/>
      <c r="BI21" s="268"/>
      <c r="BJ21" s="565" t="s">
        <v>493</v>
      </c>
      <c r="BK21" s="269" t="s">
        <v>541</v>
      </c>
      <c r="BL21" s="270" t="s">
        <v>495</v>
      </c>
      <c r="BM21" s="897">
        <f>[3]火煙!$BB$192</f>
        <v>3869000</v>
      </c>
      <c r="BN21" s="898">
        <f>[3]火煙!$BB$193</f>
        <v>4834000</v>
      </c>
      <c r="BO21" s="898">
        <f>[3]火煙!$BB$194</f>
        <v>5934000</v>
      </c>
      <c r="BP21" s="898">
        <f t="shared" si="16"/>
        <v>14637000</v>
      </c>
      <c r="BQ21" s="271"/>
      <c r="BR21" s="271"/>
      <c r="BS21" s="271"/>
      <c r="BT21" s="904" t="s">
        <v>2331</v>
      </c>
      <c r="BU21" s="904" t="s">
        <v>2332</v>
      </c>
      <c r="BV21" s="904" t="s">
        <v>2333</v>
      </c>
    </row>
    <row r="22" spans="1:74" ht="17.25" customHeight="1">
      <c r="A22" s="240">
        <f t="shared" ca="1" si="11"/>
        <v>17</v>
      </c>
      <c r="B22" s="2742"/>
      <c r="C22" s="272">
        <v>18</v>
      </c>
      <c r="D22" s="465" t="str">
        <f t="shared" ref="D22:D38" ca="1" si="17">IF(OR(E22="　　　 　　　　　　(小計)",E22="　　　 　　　　　　(合計)",E22=" 雑材消耗費",E22=" 運　搬　費",E22=" 現場管理費",E22=" 諸　経　費"),"",IF(E22&lt;&gt;"",D21+1,""))</f>
        <v/>
      </c>
      <c r="E22" s="2717" t="str">
        <f ca="1">IF($AD$4=0,"",IF(ISNA(VLOOKUP(AX22,内訳,2,FALSE)),"",VLOOKUP(AX22,内訳,2,FALSE)))</f>
        <v xml:space="preserve"> 現場管理費</v>
      </c>
      <c r="F22" s="2718"/>
      <c r="G22" s="2718"/>
      <c r="H22" s="2718"/>
      <c r="I22" s="2718"/>
      <c r="J22" s="2718"/>
      <c r="K22" s="2719"/>
      <c r="L22" s="468">
        <f t="shared" ca="1" si="0"/>
        <v>1</v>
      </c>
      <c r="M22" s="468" t="str">
        <f t="shared" ca="1" si="1"/>
        <v>式</v>
      </c>
      <c r="N22" s="2733"/>
      <c r="O22" s="2721"/>
      <c r="P22" s="2721"/>
      <c r="Q22" s="2721"/>
      <c r="R22" s="2722"/>
      <c r="S22" s="2735">
        <f ca="1">IF(E22="","",IF(E22="　　　 　　　　　　(合計)",VLOOKUP(A22,内訳,14,FALSE),VLOOKUP(A22,内訳,13,FALSE)))</f>
        <v>10728000</v>
      </c>
      <c r="T22" s="2736"/>
      <c r="U22" s="2736"/>
      <c r="V22" s="2736"/>
      <c r="W22" s="2737"/>
      <c r="X22" s="2730" t="str">
        <f t="shared" ca="1" si="12"/>
        <v xml:space="preserve"> 現場管理費 5％</v>
      </c>
      <c r="Y22" s="2731"/>
      <c r="Z22" s="2731"/>
      <c r="AA22" s="2732"/>
      <c r="AB22" s="179"/>
      <c r="AC22" s="175"/>
      <c r="AD22" s="175"/>
      <c r="AE22" s="175"/>
      <c r="AF22" s="175"/>
      <c r="AG22" s="263">
        <f t="shared" si="5"/>
        <v>3</v>
      </c>
      <c r="AH22" s="165" t="s">
        <v>492</v>
      </c>
      <c r="AI22" s="264"/>
      <c r="AJ22" s="263">
        <f t="shared" si="6"/>
        <v>1.5</v>
      </c>
      <c r="AK22" s="165" t="s">
        <v>492</v>
      </c>
      <c r="AL22" s="264"/>
      <c r="AM22" s="263">
        <f>IF(BD22="","",IF(AO22&lt;&gt;"",AO22,IF(OR(LEFT(BE22,2)=" 引",LEFT(BE22,2)=" 受",LEFT(BE22,2)=" 自",LEFT(BE22,2)=" 蓄",LEFT(BE22,2)=" Ｕ",LEFT(BE22,2)=" 太",LEFT(BE22,2)=" 低",LEFT(BE22,2)=" 動",LEFT(BE22,2)=" 照",LEFT(BE22,2)=" 非"),2,$AD$48*100)))</f>
        <v>5</v>
      </c>
      <c r="AN22" s="165" t="s">
        <v>492</v>
      </c>
      <c r="AO22" s="264"/>
      <c r="AP22" s="263">
        <f t="shared" ca="1" si="8"/>
        <v>12</v>
      </c>
      <c r="AQ22" s="165" t="s">
        <v>492</v>
      </c>
      <c r="AR22" s="264"/>
      <c r="AS22" s="265">
        <f t="shared" si="9"/>
        <v>41640</v>
      </c>
      <c r="AT22" s="265">
        <f t="shared" si="13"/>
        <v>65280</v>
      </c>
      <c r="AU22" s="265">
        <f t="shared" si="10"/>
        <v>279355</v>
      </c>
      <c r="AV22" s="273"/>
      <c r="AW22" s="175"/>
      <c r="AX22" s="267">
        <v>17</v>
      </c>
      <c r="AY22" s="166" t="str">
        <f>IF(BP22=0,"",Top!L102)</f>
        <v xml:space="preserve"> 雷保護設備工事</v>
      </c>
      <c r="AZ22" s="166"/>
      <c r="BA22" s="166"/>
      <c r="BB22" s="166"/>
      <c r="BC22" s="267">
        <f t="shared" si="14"/>
        <v>10</v>
      </c>
      <c r="BD22" s="267">
        <f t="shared" si="15"/>
        <v>10</v>
      </c>
      <c r="BE22" s="166" t="str">
        <f>IF(COUNTIF($AY$4:AY21,AY22)&gt;0,"",AY22)</f>
        <v xml:space="preserve"> 雷保護設備工事</v>
      </c>
      <c r="BF22" s="166"/>
      <c r="BG22" s="268"/>
      <c r="BH22" s="268"/>
      <c r="BI22" s="268"/>
      <c r="BJ22" s="565" t="s">
        <v>493</v>
      </c>
      <c r="BK22" s="269" t="s">
        <v>541</v>
      </c>
      <c r="BL22" s="270" t="s">
        <v>495</v>
      </c>
      <c r="BM22" s="897">
        <f>[3]雷保!$K$64</f>
        <v>1388000</v>
      </c>
      <c r="BN22" s="898">
        <f>[3]雷保!$K$65</f>
        <v>2964000</v>
      </c>
      <c r="BO22" s="898">
        <f>[3]雷保!$K$66</f>
        <v>1235099.9999999998</v>
      </c>
      <c r="BP22" s="898">
        <f t="shared" si="16"/>
        <v>5587100</v>
      </c>
      <c r="BQ22" s="271"/>
      <c r="BR22" s="271"/>
      <c r="BS22" s="271"/>
      <c r="BT22" s="904" t="s">
        <v>2334</v>
      </c>
      <c r="BU22" s="904" t="s">
        <v>2335</v>
      </c>
      <c r="BV22" s="904" t="s">
        <v>2336</v>
      </c>
    </row>
    <row r="23" spans="1:74" ht="17.25" customHeight="1">
      <c r="A23" s="240">
        <f t="shared" ca="1" si="11"/>
        <v>18</v>
      </c>
      <c r="B23" s="2742"/>
      <c r="C23" s="272">
        <v>19</v>
      </c>
      <c r="D23" s="465" t="str">
        <f t="shared" ca="1" si="17"/>
        <v/>
      </c>
      <c r="E23" s="2717" t="str">
        <f ca="1">IF($AD$4=0,"",IF(ISNA(VLOOKUP(AX23,内訳,2,FALSE)),"",VLOOKUP(AX23,内訳,2,FALSE)))</f>
        <v xml:space="preserve"> 諸　経　費</v>
      </c>
      <c r="F23" s="2718"/>
      <c r="G23" s="2718"/>
      <c r="H23" s="2718"/>
      <c r="I23" s="2718"/>
      <c r="J23" s="2718"/>
      <c r="K23" s="2719"/>
      <c r="L23" s="468">
        <f t="shared" ca="1" si="0"/>
        <v>1</v>
      </c>
      <c r="M23" s="468" t="str">
        <f t="shared" ca="1" si="1"/>
        <v>式</v>
      </c>
      <c r="N23" s="2733"/>
      <c r="O23" s="2721"/>
      <c r="P23" s="2721"/>
      <c r="Q23" s="2721"/>
      <c r="R23" s="2722"/>
      <c r="S23" s="2735">
        <f t="shared" ca="1" si="4"/>
        <v>44754000</v>
      </c>
      <c r="T23" s="2736"/>
      <c r="U23" s="2736"/>
      <c r="V23" s="2736"/>
      <c r="W23" s="2737"/>
      <c r="X23" s="2730" t="str">
        <f t="shared" ca="1" si="12"/>
        <v xml:space="preserve"> 諸経費 12％</v>
      </c>
      <c r="Y23" s="2731"/>
      <c r="Z23" s="2731"/>
      <c r="AA23" s="2732"/>
      <c r="AB23" s="179"/>
      <c r="AC23" s="175"/>
      <c r="AD23" s="175"/>
      <c r="AE23" s="175"/>
      <c r="AF23" s="175"/>
      <c r="AG23" s="263">
        <f t="shared" si="5"/>
        <v>3</v>
      </c>
      <c r="AH23" s="165" t="s">
        <v>492</v>
      </c>
      <c r="AI23" s="264"/>
      <c r="AJ23" s="263">
        <f t="shared" si="6"/>
        <v>1.5</v>
      </c>
      <c r="AK23" s="165" t="s">
        <v>492</v>
      </c>
      <c r="AL23" s="264"/>
      <c r="AM23" s="263">
        <f t="shared" si="7"/>
        <v>5</v>
      </c>
      <c r="AN23" s="165" t="s">
        <v>492</v>
      </c>
      <c r="AO23" s="264"/>
      <c r="AP23" s="263">
        <f t="shared" ca="1" si="8"/>
        <v>12</v>
      </c>
      <c r="AQ23" s="165" t="s">
        <v>492</v>
      </c>
      <c r="AR23" s="264"/>
      <c r="AS23" s="265">
        <f t="shared" si="9"/>
        <v>598140</v>
      </c>
      <c r="AT23" s="265">
        <f t="shared" si="13"/>
        <v>933735</v>
      </c>
      <c r="AU23" s="265">
        <f t="shared" si="10"/>
        <v>4204450</v>
      </c>
      <c r="AV23" s="273"/>
      <c r="AW23" s="175"/>
      <c r="AX23" s="267">
        <v>18</v>
      </c>
      <c r="AY23" s="166" t="str">
        <f>IF(BP23=0,"",Top!BA86)</f>
        <v xml:space="preserve"> 構内電話設備工事</v>
      </c>
      <c r="AZ23" s="166"/>
      <c r="BA23" s="166"/>
      <c r="BB23" s="166"/>
      <c r="BC23" s="267">
        <f t="shared" si="14"/>
        <v>11</v>
      </c>
      <c r="BD23" s="267">
        <f t="shared" si="15"/>
        <v>11</v>
      </c>
      <c r="BE23" s="166" t="str">
        <f>IF(COUNTIF($AY$4:AY22,AY23)&gt;0,"",AY23)</f>
        <v xml:space="preserve"> 構内電話設備工事</v>
      </c>
      <c r="BF23" s="166"/>
      <c r="BG23" s="268"/>
      <c r="BH23" s="268"/>
      <c r="BI23" s="268"/>
      <c r="BJ23" s="565" t="s">
        <v>493</v>
      </c>
      <c r="BK23" s="269" t="s">
        <v>541</v>
      </c>
      <c r="BL23" s="270" t="s">
        <v>495</v>
      </c>
      <c r="BM23" s="897">
        <f>[3]電話!$M$297+[3]電話!$M$298</f>
        <v>19938000</v>
      </c>
      <c r="BN23" s="898">
        <f>[3]電話!$M$299</f>
        <v>42311000</v>
      </c>
      <c r="BO23" s="898">
        <f>[3]電話!$M$300</f>
        <v>21840000</v>
      </c>
      <c r="BP23" s="898">
        <f>SUM(BM23:BO23)</f>
        <v>84089000</v>
      </c>
      <c r="BQ23" s="271"/>
      <c r="BR23" s="271"/>
      <c r="BS23" s="271"/>
      <c r="BT23" s="904" t="s">
        <v>2337</v>
      </c>
      <c r="BU23" s="904" t="s">
        <v>2338</v>
      </c>
      <c r="BV23" s="904" t="s">
        <v>2339</v>
      </c>
    </row>
    <row r="24" spans="1:74" ht="17.25" customHeight="1">
      <c r="A24" s="240">
        <f t="shared" ca="1" si="11"/>
        <v>19</v>
      </c>
      <c r="B24" s="2742"/>
      <c r="C24" s="272">
        <v>20</v>
      </c>
      <c r="D24" s="465" t="str">
        <f t="shared" ca="1" si="17"/>
        <v/>
      </c>
      <c r="E24" s="2717" t="str">
        <f t="shared" ca="1" si="3"/>
        <v>　　　 　　　　　　(合計)</v>
      </c>
      <c r="F24" s="2718"/>
      <c r="G24" s="2718"/>
      <c r="H24" s="2718"/>
      <c r="I24" s="2718"/>
      <c r="J24" s="2718"/>
      <c r="K24" s="2719"/>
      <c r="L24" s="468" t="str">
        <f t="shared" ca="1" si="0"/>
        <v/>
      </c>
      <c r="M24" s="468" t="str">
        <f t="shared" ca="1" si="1"/>
        <v/>
      </c>
      <c r="N24" s="2733"/>
      <c r="O24" s="2721"/>
      <c r="P24" s="2721"/>
      <c r="Q24" s="2721"/>
      <c r="R24" s="2722"/>
      <c r="S24" s="2735">
        <f t="shared" ca="1" si="4"/>
        <v>435694100</v>
      </c>
      <c r="T24" s="2736"/>
      <c r="U24" s="2736"/>
      <c r="V24" s="2736"/>
      <c r="W24" s="2737"/>
      <c r="X24" s="2730" t="str">
        <f t="shared" ca="1" si="12"/>
        <v/>
      </c>
      <c r="Y24" s="2731"/>
      <c r="Z24" s="2731"/>
      <c r="AA24" s="2732"/>
      <c r="AB24" s="179"/>
      <c r="AC24" s="175"/>
      <c r="AD24" s="175"/>
      <c r="AE24" s="175"/>
      <c r="AF24" s="175"/>
      <c r="AG24" s="263">
        <f t="shared" si="5"/>
        <v>3</v>
      </c>
      <c r="AH24" s="165" t="s">
        <v>492</v>
      </c>
      <c r="AI24" s="264"/>
      <c r="AJ24" s="263">
        <f t="shared" si="6"/>
        <v>1.5</v>
      </c>
      <c r="AK24" s="165" t="s">
        <v>492</v>
      </c>
      <c r="AL24" s="264"/>
      <c r="AM24" s="263">
        <f t="shared" si="7"/>
        <v>5</v>
      </c>
      <c r="AN24" s="165" t="s">
        <v>492</v>
      </c>
      <c r="AO24" s="264"/>
      <c r="AP24" s="263">
        <f t="shared" ca="1" si="8"/>
        <v>12</v>
      </c>
      <c r="AQ24" s="165" t="s">
        <v>492</v>
      </c>
      <c r="AR24" s="264"/>
      <c r="AS24" s="265">
        <f t="shared" si="9"/>
        <v>90360</v>
      </c>
      <c r="AT24" s="265">
        <f t="shared" si="13"/>
        <v>128490</v>
      </c>
      <c r="AU24" s="265">
        <f t="shared" si="10"/>
        <v>659000</v>
      </c>
      <c r="AV24" s="273"/>
      <c r="AW24" s="175"/>
      <c r="AX24" s="267">
        <v>19</v>
      </c>
      <c r="AY24" s="166" t="str">
        <f>IF(BP24=0,"",Top!BA87)</f>
        <v xml:space="preserve"> 構内放送設備工事</v>
      </c>
      <c r="AZ24" s="166"/>
      <c r="BA24" s="166"/>
      <c r="BB24" s="166"/>
      <c r="BC24" s="267">
        <f t="shared" si="14"/>
        <v>12</v>
      </c>
      <c r="BD24" s="267">
        <f t="shared" si="15"/>
        <v>12</v>
      </c>
      <c r="BE24" s="166" t="str">
        <f>IF(COUNTIF($AY$4:AY23,AY24)&gt;0,"",AY24)</f>
        <v xml:space="preserve"> 構内放送設備工事</v>
      </c>
      <c r="BF24" s="166"/>
      <c r="BG24" s="268"/>
      <c r="BH24" s="268"/>
      <c r="BI24" s="268"/>
      <c r="BJ24" s="565" t="s">
        <v>493</v>
      </c>
      <c r="BK24" s="269" t="s">
        <v>541</v>
      </c>
      <c r="BL24" s="270" t="s">
        <v>495</v>
      </c>
      <c r="BM24" s="897">
        <f>[3]放送!$BD$235+[3]放送!$BD$236</f>
        <v>3012000</v>
      </c>
      <c r="BN24" s="898">
        <f>[3]放送!$BD$237</f>
        <v>5554000</v>
      </c>
      <c r="BO24" s="898">
        <f>[3]放送!$BD$238</f>
        <v>4614000</v>
      </c>
      <c r="BP24" s="898">
        <f>SUM(BM24:BO24)</f>
        <v>13180000</v>
      </c>
      <c r="BQ24" s="271"/>
      <c r="BR24" s="271"/>
      <c r="BS24" s="271"/>
      <c r="BT24" s="904" t="s">
        <v>2340</v>
      </c>
      <c r="BU24" s="904" t="s">
        <v>2341</v>
      </c>
      <c r="BV24" s="904" t="s">
        <v>2342</v>
      </c>
    </row>
    <row r="25" spans="1:74" ht="17.25" customHeight="1">
      <c r="A25" s="240" t="str">
        <f t="shared" ca="1" si="11"/>
        <v/>
      </c>
      <c r="B25" s="2742"/>
      <c r="C25" s="272">
        <v>21</v>
      </c>
      <c r="D25" s="465" t="str">
        <f t="shared" ca="1" si="17"/>
        <v/>
      </c>
      <c r="E25" s="2717" t="str">
        <f t="shared" ca="1" si="3"/>
        <v/>
      </c>
      <c r="F25" s="2718"/>
      <c r="G25" s="2718"/>
      <c r="H25" s="2718"/>
      <c r="I25" s="2718"/>
      <c r="J25" s="2718"/>
      <c r="K25" s="2719"/>
      <c r="L25" s="468" t="str">
        <f t="shared" ca="1" si="0"/>
        <v/>
      </c>
      <c r="M25" s="468" t="str">
        <f t="shared" ca="1" si="1"/>
        <v/>
      </c>
      <c r="N25" s="2733"/>
      <c r="O25" s="2721"/>
      <c r="P25" s="2721"/>
      <c r="Q25" s="2721"/>
      <c r="R25" s="2722"/>
      <c r="S25" s="2723" t="str">
        <f t="shared" ref="S25:S38" ca="1" si="18">IF(E25=" 諸　経　費",$BP$43,IF(E25=" 現場管理費",$BP$42,IF(E25=" 運　搬　費",$BP$41,IF(E25=" 雑材消耗費",$BP$40,IF(E25="　　　　 　　　　　(小計)",$BP$39,IF(E25="　　　 　　　　　　(合計)",$BQ$43,IF(E25="　　　 　 　　　　 合 計",$BP$45,IF(D25&lt;&gt;"",VLOOKUP(D25,内訳,13,FALSE),""))))))))</f>
        <v/>
      </c>
      <c r="T25" s="2724"/>
      <c r="U25" s="2724"/>
      <c r="V25" s="2724"/>
      <c r="W25" s="2725"/>
      <c r="X25" s="2730" t="str">
        <f t="shared" ca="1" si="12"/>
        <v/>
      </c>
      <c r="Y25" s="2731"/>
      <c r="Z25" s="2731"/>
      <c r="AA25" s="2732"/>
      <c r="AB25" s="179"/>
      <c r="AC25" s="175"/>
      <c r="AD25" s="175"/>
      <c r="AE25" s="175"/>
      <c r="AF25" s="175"/>
      <c r="AG25" s="263" t="str">
        <f t="shared" si="5"/>
        <v/>
      </c>
      <c r="AH25" s="165" t="s">
        <v>492</v>
      </c>
      <c r="AI25" s="264"/>
      <c r="AJ25" s="263" t="str">
        <f t="shared" si="6"/>
        <v/>
      </c>
      <c r="AK25" s="165" t="s">
        <v>492</v>
      </c>
      <c r="AL25" s="264"/>
      <c r="AM25" s="263" t="str">
        <f t="shared" si="7"/>
        <v/>
      </c>
      <c r="AN25" s="165" t="s">
        <v>492</v>
      </c>
      <c r="AO25" s="264"/>
      <c r="AP25" s="263" t="str">
        <f t="shared" si="8"/>
        <v/>
      </c>
      <c r="AQ25" s="165" t="s">
        <v>492</v>
      </c>
      <c r="AR25" s="264"/>
      <c r="AS25" s="265" t="str">
        <f t="shared" si="9"/>
        <v/>
      </c>
      <c r="AT25" s="265" t="str">
        <f t="shared" si="13"/>
        <v/>
      </c>
      <c r="AU25" s="265" t="str">
        <f t="shared" si="10"/>
        <v/>
      </c>
      <c r="AV25" s="273"/>
      <c r="AW25" s="175"/>
      <c r="AX25" s="267">
        <v>20</v>
      </c>
      <c r="AY25" s="166" t="str">
        <f>IF(BP25=0,"",Top!BA88)</f>
        <v/>
      </c>
      <c r="AZ25" s="166"/>
      <c r="BA25" s="166"/>
      <c r="BB25" s="166"/>
      <c r="BC25" s="267">
        <f t="shared" si="14"/>
        <v>12</v>
      </c>
      <c r="BD25" s="267" t="str">
        <f t="shared" si="15"/>
        <v/>
      </c>
      <c r="BE25" s="166" t="str">
        <f>IF(COUNTIF($AY$4:AY24,AY25)&gt;0,"",AY25)</f>
        <v/>
      </c>
      <c r="BF25" s="166"/>
      <c r="BG25" s="268"/>
      <c r="BH25" s="268"/>
      <c r="BI25" s="268"/>
      <c r="BJ25" s="565" t="s">
        <v>493</v>
      </c>
      <c r="BK25" s="269" t="s">
        <v>541</v>
      </c>
      <c r="BL25" s="270" t="s">
        <v>495</v>
      </c>
      <c r="BM25" s="897"/>
      <c r="BN25" s="898"/>
      <c r="BO25" s="898"/>
      <c r="BP25" s="898">
        <f t="shared" si="16"/>
        <v>0</v>
      </c>
      <c r="BQ25" s="271"/>
      <c r="BR25" s="271"/>
      <c r="BS25" s="271"/>
      <c r="BT25" s="906"/>
      <c r="BU25" s="906"/>
      <c r="BV25" s="906"/>
    </row>
    <row r="26" spans="1:74" ht="17.25" customHeight="1">
      <c r="A26" s="240" t="str">
        <f t="shared" ca="1" si="11"/>
        <v/>
      </c>
      <c r="B26" s="2742"/>
      <c r="C26" s="272">
        <v>22</v>
      </c>
      <c r="D26" s="465" t="str">
        <f t="shared" ca="1" si="17"/>
        <v/>
      </c>
      <c r="E26" s="2717" t="str">
        <f t="shared" ca="1" si="3"/>
        <v/>
      </c>
      <c r="F26" s="2718"/>
      <c r="G26" s="2718"/>
      <c r="H26" s="2718"/>
      <c r="I26" s="2718"/>
      <c r="J26" s="2718"/>
      <c r="K26" s="2719"/>
      <c r="L26" s="468" t="str">
        <f t="shared" ca="1" si="0"/>
        <v/>
      </c>
      <c r="M26" s="468" t="str">
        <f t="shared" ca="1" si="1"/>
        <v/>
      </c>
      <c r="N26" s="2733"/>
      <c r="O26" s="2721"/>
      <c r="P26" s="2721"/>
      <c r="Q26" s="2721"/>
      <c r="R26" s="2722"/>
      <c r="S26" s="2723" t="str">
        <f t="shared" ca="1" si="18"/>
        <v/>
      </c>
      <c r="T26" s="2724"/>
      <c r="U26" s="2724"/>
      <c r="V26" s="2724"/>
      <c r="W26" s="2725"/>
      <c r="X26" s="2730" t="str">
        <f t="shared" ca="1" si="12"/>
        <v/>
      </c>
      <c r="Y26" s="2731"/>
      <c r="Z26" s="2731"/>
      <c r="AA26" s="2732"/>
      <c r="AB26" s="179"/>
      <c r="AC26" s="175"/>
      <c r="AD26" s="175"/>
      <c r="AE26" s="175"/>
      <c r="AF26" s="175"/>
      <c r="AG26" s="263" t="str">
        <f t="shared" si="5"/>
        <v/>
      </c>
      <c r="AH26" s="165" t="s">
        <v>492</v>
      </c>
      <c r="AI26" s="264"/>
      <c r="AJ26" s="263" t="str">
        <f t="shared" si="6"/>
        <v/>
      </c>
      <c r="AK26" s="165" t="s">
        <v>492</v>
      </c>
      <c r="AL26" s="264"/>
      <c r="AM26" s="263" t="str">
        <f t="shared" si="7"/>
        <v/>
      </c>
      <c r="AN26" s="165" t="s">
        <v>492</v>
      </c>
      <c r="AO26" s="264"/>
      <c r="AP26" s="263" t="str">
        <f t="shared" si="8"/>
        <v/>
      </c>
      <c r="AQ26" s="165" t="s">
        <v>492</v>
      </c>
      <c r="AR26" s="264"/>
      <c r="AS26" s="265" t="str">
        <f t="shared" si="9"/>
        <v/>
      </c>
      <c r="AT26" s="265" t="str">
        <f t="shared" si="13"/>
        <v/>
      </c>
      <c r="AU26" s="265" t="str">
        <f t="shared" si="10"/>
        <v/>
      </c>
      <c r="AV26" s="273"/>
      <c r="AW26" s="175"/>
      <c r="AX26" s="267">
        <v>21</v>
      </c>
      <c r="AY26" s="166" t="str">
        <f>IF(BP26=0,"",Top!BA89)</f>
        <v/>
      </c>
      <c r="AZ26" s="166"/>
      <c r="BA26" s="166"/>
      <c r="BB26" s="166"/>
      <c r="BC26" s="267">
        <f t="shared" si="14"/>
        <v>12</v>
      </c>
      <c r="BD26" s="267" t="str">
        <f t="shared" si="15"/>
        <v/>
      </c>
      <c r="BE26" s="166" t="str">
        <f>IF(COUNTIF($AY$4:AY25,AY26)&gt;0,"",AY26)</f>
        <v/>
      </c>
      <c r="BF26" s="166"/>
      <c r="BG26" s="268"/>
      <c r="BH26" s="268"/>
      <c r="BI26" s="268"/>
      <c r="BJ26" s="565" t="s">
        <v>493</v>
      </c>
      <c r="BK26" s="269" t="s">
        <v>541</v>
      </c>
      <c r="BL26" s="270" t="s">
        <v>495</v>
      </c>
      <c r="BM26" s="897"/>
      <c r="BN26" s="898"/>
      <c r="BO26" s="898"/>
      <c r="BP26" s="898">
        <f t="shared" si="16"/>
        <v>0</v>
      </c>
      <c r="BQ26" s="271"/>
      <c r="BR26" s="271"/>
      <c r="BS26" s="271"/>
      <c r="BT26" s="906"/>
      <c r="BU26" s="906"/>
      <c r="BV26" s="906"/>
    </row>
    <row r="27" spans="1:74" ht="17.25" customHeight="1">
      <c r="A27" s="240" t="str">
        <f t="shared" ca="1" si="11"/>
        <v/>
      </c>
      <c r="B27" s="2742"/>
      <c r="C27" s="272">
        <v>23</v>
      </c>
      <c r="D27" s="465" t="str">
        <f t="shared" ca="1" si="17"/>
        <v/>
      </c>
      <c r="E27" s="2717" t="str">
        <f t="shared" ca="1" si="3"/>
        <v/>
      </c>
      <c r="F27" s="2718"/>
      <c r="G27" s="2718"/>
      <c r="H27" s="2718"/>
      <c r="I27" s="2718"/>
      <c r="J27" s="2718"/>
      <c r="K27" s="2719"/>
      <c r="L27" s="468" t="str">
        <f ca="1">IF(E27="","",IF(OR(E27="　　　　 　　　　　(小計)",E27="　　　 　　　　　　(合計)"),"",1))</f>
        <v/>
      </c>
      <c r="M27" s="468" t="str">
        <f t="shared" ca="1" si="1"/>
        <v/>
      </c>
      <c r="N27" s="2733"/>
      <c r="O27" s="2721"/>
      <c r="P27" s="2721"/>
      <c r="Q27" s="2721"/>
      <c r="R27" s="2722"/>
      <c r="S27" s="2723" t="str">
        <f t="shared" ca="1" si="18"/>
        <v/>
      </c>
      <c r="T27" s="2724"/>
      <c r="U27" s="2724"/>
      <c r="V27" s="2724"/>
      <c r="W27" s="2725"/>
      <c r="X27" s="2730" t="str">
        <f t="shared" ca="1" si="12"/>
        <v/>
      </c>
      <c r="Y27" s="2731"/>
      <c r="Z27" s="2731"/>
      <c r="AA27" s="2732"/>
      <c r="AB27" s="179"/>
      <c r="AC27" s="175"/>
      <c r="AD27" s="175"/>
      <c r="AE27" s="175"/>
      <c r="AF27" s="175"/>
      <c r="AG27" s="263">
        <f t="shared" si="5"/>
        <v>3</v>
      </c>
      <c r="AH27" s="165" t="s">
        <v>492</v>
      </c>
      <c r="AI27" s="264"/>
      <c r="AJ27" s="263">
        <f t="shared" si="6"/>
        <v>1.5</v>
      </c>
      <c r="AK27" s="165" t="s">
        <v>492</v>
      </c>
      <c r="AL27" s="264"/>
      <c r="AM27" s="263">
        <f t="shared" si="7"/>
        <v>5</v>
      </c>
      <c r="AN27" s="165" t="s">
        <v>492</v>
      </c>
      <c r="AO27" s="264"/>
      <c r="AP27" s="263">
        <f t="shared" ca="1" si="8"/>
        <v>12</v>
      </c>
      <c r="AQ27" s="165" t="s">
        <v>492</v>
      </c>
      <c r="AR27" s="264"/>
      <c r="AS27" s="265">
        <f t="shared" si="9"/>
        <v>17160</v>
      </c>
      <c r="AT27" s="265">
        <f t="shared" si="13"/>
        <v>41415</v>
      </c>
      <c r="AU27" s="265">
        <f>IF(BD27="","",INT(BP27*AM27/100))</f>
        <v>306050</v>
      </c>
      <c r="AV27" s="273"/>
      <c r="AW27" s="175"/>
      <c r="AX27" s="267">
        <v>22</v>
      </c>
      <c r="AY27" s="166" t="str">
        <f>IF(BP27=0,"",Top!BA90)</f>
        <v xml:space="preserve"> テレビ共聴設備工事</v>
      </c>
      <c r="AZ27" s="166"/>
      <c r="BA27" s="166"/>
      <c r="BB27" s="166"/>
      <c r="BC27" s="267">
        <f t="shared" si="14"/>
        <v>13</v>
      </c>
      <c r="BD27" s="267">
        <f t="shared" si="15"/>
        <v>13</v>
      </c>
      <c r="BE27" s="166" t="str">
        <f>IF(COUNTIF($AY$4:AY26,AY27)&gt;0,"",AY27)</f>
        <v xml:space="preserve"> テレビ共聴設備工事</v>
      </c>
      <c r="BF27" s="166"/>
      <c r="BG27" s="268"/>
      <c r="BH27" s="268"/>
      <c r="BI27" s="268"/>
      <c r="BJ27" s="565" t="s">
        <v>493</v>
      </c>
      <c r="BK27" s="269" t="s">
        <v>541</v>
      </c>
      <c r="BL27" s="270" t="s">
        <v>495</v>
      </c>
      <c r="BM27" s="897">
        <f>[3]TV!$M$362</f>
        <v>572000</v>
      </c>
      <c r="BN27" s="898">
        <f>[3]TV!$M$363</f>
        <v>2189000</v>
      </c>
      <c r="BO27" s="898">
        <f>[3]TV!$M$364</f>
        <v>3360000</v>
      </c>
      <c r="BP27" s="898">
        <f>SUM(BM27:BO27)</f>
        <v>6121000</v>
      </c>
      <c r="BQ27" s="271"/>
      <c r="BR27" s="271"/>
      <c r="BS27" s="271"/>
      <c r="BT27" s="904" t="s">
        <v>2343</v>
      </c>
      <c r="BU27" s="904" t="s">
        <v>2344</v>
      </c>
      <c r="BV27" s="904" t="s">
        <v>2345</v>
      </c>
    </row>
    <row r="28" spans="1:74" ht="17.25" customHeight="1">
      <c r="A28" s="240" t="str">
        <f t="shared" ca="1" si="11"/>
        <v/>
      </c>
      <c r="B28" s="2742"/>
      <c r="C28" s="272">
        <v>24</v>
      </c>
      <c r="D28" s="465" t="str">
        <f t="shared" ca="1" si="17"/>
        <v/>
      </c>
      <c r="E28" s="2717" t="str">
        <f t="shared" ca="1" si="3"/>
        <v/>
      </c>
      <c r="F28" s="2718"/>
      <c r="G28" s="2718"/>
      <c r="H28" s="2718"/>
      <c r="I28" s="2718"/>
      <c r="J28" s="2718"/>
      <c r="K28" s="2719"/>
      <c r="L28" s="468" t="str">
        <f t="shared" ref="L28:L38" ca="1" si="19">IF(E28="","",IF(OR(E28="　　　　 　　　　　(小計)",E28="　　　 　　　　　　(合計)"),"",1))</f>
        <v/>
      </c>
      <c r="M28" s="468" t="str">
        <f t="shared" ca="1" si="1"/>
        <v/>
      </c>
      <c r="N28" s="2733"/>
      <c r="O28" s="2721"/>
      <c r="P28" s="2721"/>
      <c r="Q28" s="2721"/>
      <c r="R28" s="2722"/>
      <c r="S28" s="2723" t="str">
        <f t="shared" ca="1" si="18"/>
        <v/>
      </c>
      <c r="T28" s="2724"/>
      <c r="U28" s="2724"/>
      <c r="V28" s="2724"/>
      <c r="W28" s="2725"/>
      <c r="X28" s="2730" t="str">
        <f t="shared" ca="1" si="12"/>
        <v/>
      </c>
      <c r="Y28" s="2731"/>
      <c r="Z28" s="2731"/>
      <c r="AA28" s="2732"/>
      <c r="AB28" s="179"/>
      <c r="AC28" s="175"/>
      <c r="AD28" s="175"/>
      <c r="AE28" s="175"/>
      <c r="AF28" s="175"/>
      <c r="AG28" s="263" t="str">
        <f t="shared" si="5"/>
        <v/>
      </c>
      <c r="AH28" s="165" t="s">
        <v>492</v>
      </c>
      <c r="AI28" s="264"/>
      <c r="AJ28" s="263" t="str">
        <f t="shared" si="6"/>
        <v/>
      </c>
      <c r="AK28" s="165" t="s">
        <v>492</v>
      </c>
      <c r="AL28" s="264"/>
      <c r="AM28" s="263" t="str">
        <f t="shared" si="7"/>
        <v/>
      </c>
      <c r="AN28" s="165" t="s">
        <v>492</v>
      </c>
      <c r="AO28" s="264"/>
      <c r="AP28" s="263" t="str">
        <f t="shared" si="8"/>
        <v/>
      </c>
      <c r="AQ28" s="165" t="s">
        <v>492</v>
      </c>
      <c r="AR28" s="264"/>
      <c r="AS28" s="265" t="str">
        <f t="shared" si="9"/>
        <v/>
      </c>
      <c r="AT28" s="265" t="str">
        <f t="shared" si="13"/>
        <v/>
      </c>
      <c r="AU28" s="265" t="str">
        <f t="shared" si="10"/>
        <v/>
      </c>
      <c r="AV28" s="273"/>
      <c r="AW28" s="175"/>
      <c r="AX28" s="267">
        <v>23</v>
      </c>
      <c r="AY28" s="166" t="str">
        <f>IF(BP28=0,"",Top!BA91)</f>
        <v/>
      </c>
      <c r="AZ28" s="166"/>
      <c r="BA28" s="166"/>
      <c r="BB28" s="166"/>
      <c r="BC28" s="267">
        <f t="shared" si="14"/>
        <v>13</v>
      </c>
      <c r="BD28" s="267" t="str">
        <f t="shared" si="15"/>
        <v/>
      </c>
      <c r="BE28" s="166" t="str">
        <f>IF(COUNTIF($AY$4:AY27,AY28)&gt;0,"",AY28)</f>
        <v/>
      </c>
      <c r="BF28" s="166"/>
      <c r="BG28" s="268"/>
      <c r="BH28" s="268"/>
      <c r="BI28" s="268"/>
      <c r="BJ28" s="565" t="s">
        <v>493</v>
      </c>
      <c r="BK28" s="269" t="s">
        <v>541</v>
      </c>
      <c r="BL28" s="270" t="s">
        <v>495</v>
      </c>
      <c r="BM28" s="897"/>
      <c r="BN28" s="898"/>
      <c r="BO28" s="898"/>
      <c r="BP28" s="898">
        <f t="shared" si="16"/>
        <v>0</v>
      </c>
      <c r="BQ28" s="271"/>
      <c r="BR28" s="271"/>
      <c r="BS28" s="271"/>
    </row>
    <row r="29" spans="1:74" ht="17.25" customHeight="1">
      <c r="A29" s="240" t="str">
        <f t="shared" ca="1" si="11"/>
        <v/>
      </c>
      <c r="B29" s="2742"/>
      <c r="C29" s="272">
        <v>25</v>
      </c>
      <c r="D29" s="465" t="str">
        <f t="shared" ca="1" si="17"/>
        <v/>
      </c>
      <c r="E29" s="2717" t="str">
        <f t="shared" ca="1" si="3"/>
        <v/>
      </c>
      <c r="F29" s="2718"/>
      <c r="G29" s="2718"/>
      <c r="H29" s="2718"/>
      <c r="I29" s="2718"/>
      <c r="J29" s="2718"/>
      <c r="K29" s="2719"/>
      <c r="L29" s="468" t="str">
        <f t="shared" ca="1" si="19"/>
        <v/>
      </c>
      <c r="M29" s="468" t="str">
        <f t="shared" ca="1" si="1"/>
        <v/>
      </c>
      <c r="N29" s="2733"/>
      <c r="O29" s="2721"/>
      <c r="P29" s="2721"/>
      <c r="Q29" s="2721"/>
      <c r="R29" s="2722"/>
      <c r="S29" s="2723" t="str">
        <f t="shared" ca="1" si="18"/>
        <v/>
      </c>
      <c r="T29" s="2724"/>
      <c r="U29" s="2724"/>
      <c r="V29" s="2724"/>
      <c r="W29" s="2725"/>
      <c r="X29" s="2730" t="str">
        <f t="shared" ca="1" si="12"/>
        <v/>
      </c>
      <c r="Y29" s="2731"/>
      <c r="Z29" s="2731"/>
      <c r="AA29" s="2732"/>
      <c r="AB29" s="179"/>
      <c r="AC29" s="175"/>
      <c r="AD29" s="175"/>
      <c r="AE29" s="175"/>
      <c r="AF29" s="175"/>
      <c r="AG29" s="263" t="str">
        <f t="shared" si="5"/>
        <v/>
      </c>
      <c r="AH29" s="165" t="s">
        <v>492</v>
      </c>
      <c r="AI29" s="264"/>
      <c r="AJ29" s="263" t="str">
        <f t="shared" si="6"/>
        <v/>
      </c>
      <c r="AK29" s="165" t="s">
        <v>492</v>
      </c>
      <c r="AL29" s="264"/>
      <c r="AM29" s="263" t="str">
        <f t="shared" si="7"/>
        <v/>
      </c>
      <c r="AN29" s="165" t="s">
        <v>492</v>
      </c>
      <c r="AO29" s="264"/>
      <c r="AP29" s="263" t="str">
        <f t="shared" si="8"/>
        <v/>
      </c>
      <c r="AQ29" s="165" t="s">
        <v>492</v>
      </c>
      <c r="AR29" s="264"/>
      <c r="AS29" s="265" t="str">
        <f t="shared" si="9"/>
        <v/>
      </c>
      <c r="AT29" s="265" t="str">
        <f t="shared" si="13"/>
        <v/>
      </c>
      <c r="AU29" s="265" t="str">
        <f t="shared" si="10"/>
        <v/>
      </c>
      <c r="AV29" s="273"/>
      <c r="AW29" s="175"/>
      <c r="AX29" s="267">
        <v>24</v>
      </c>
      <c r="AY29" s="166" t="str">
        <f>IF(BP29=0,"",Top!BA92)</f>
        <v/>
      </c>
      <c r="AZ29" s="166"/>
      <c r="BA29" s="166"/>
      <c r="BB29" s="166"/>
      <c r="BC29" s="267">
        <f t="shared" si="14"/>
        <v>13</v>
      </c>
      <c r="BD29" s="267" t="str">
        <f t="shared" si="15"/>
        <v/>
      </c>
      <c r="BE29" s="166" t="str">
        <f>IF(COUNTIF($AY$4:AY28,AY29)&gt;0,"",AY29)</f>
        <v/>
      </c>
      <c r="BF29" s="166"/>
      <c r="BG29" s="268"/>
      <c r="BH29" s="268"/>
      <c r="BI29" s="268"/>
      <c r="BJ29" s="565" t="s">
        <v>493</v>
      </c>
      <c r="BK29" s="269"/>
      <c r="BL29" s="270"/>
      <c r="BM29" s="897"/>
      <c r="BN29" s="898"/>
      <c r="BO29" s="898"/>
      <c r="BP29" s="898">
        <f t="shared" si="16"/>
        <v>0</v>
      </c>
      <c r="BQ29" s="271"/>
      <c r="BR29" s="271"/>
      <c r="BS29" s="271"/>
    </row>
    <row r="30" spans="1:74" ht="17.25" customHeight="1">
      <c r="A30" s="240" t="str">
        <f t="shared" ca="1" si="11"/>
        <v/>
      </c>
      <c r="B30" s="2742"/>
      <c r="C30" s="272">
        <v>26</v>
      </c>
      <c r="D30" s="465" t="str">
        <f t="shared" ca="1" si="17"/>
        <v/>
      </c>
      <c r="E30" s="2717" t="str">
        <f t="shared" ca="1" si="3"/>
        <v/>
      </c>
      <c r="F30" s="2718"/>
      <c r="G30" s="2718"/>
      <c r="H30" s="2718"/>
      <c r="I30" s="2718"/>
      <c r="J30" s="2718"/>
      <c r="K30" s="2719"/>
      <c r="L30" s="468" t="str">
        <f t="shared" ca="1" si="19"/>
        <v/>
      </c>
      <c r="M30" s="468" t="str">
        <f t="shared" ca="1" si="1"/>
        <v/>
      </c>
      <c r="N30" s="2733"/>
      <c r="O30" s="2721"/>
      <c r="P30" s="2721"/>
      <c r="Q30" s="2721"/>
      <c r="R30" s="2722"/>
      <c r="S30" s="2723" t="str">
        <f t="shared" ca="1" si="18"/>
        <v/>
      </c>
      <c r="T30" s="2724"/>
      <c r="U30" s="2724"/>
      <c r="V30" s="2724"/>
      <c r="W30" s="2725"/>
      <c r="X30" s="2730" t="str">
        <f t="shared" ca="1" si="12"/>
        <v/>
      </c>
      <c r="Y30" s="2731"/>
      <c r="Z30" s="2731"/>
      <c r="AA30" s="2732"/>
      <c r="AB30" s="179"/>
      <c r="AC30" s="175"/>
      <c r="AD30" s="175"/>
      <c r="AE30" s="175"/>
      <c r="AF30" s="175"/>
      <c r="AG30" s="263" t="str">
        <f t="shared" si="5"/>
        <v/>
      </c>
      <c r="AH30" s="165" t="s">
        <v>492</v>
      </c>
      <c r="AI30" s="264"/>
      <c r="AJ30" s="263" t="str">
        <f t="shared" si="6"/>
        <v/>
      </c>
      <c r="AK30" s="165" t="s">
        <v>492</v>
      </c>
      <c r="AL30" s="264"/>
      <c r="AM30" s="263" t="str">
        <f t="shared" si="7"/>
        <v/>
      </c>
      <c r="AN30" s="165" t="s">
        <v>492</v>
      </c>
      <c r="AO30" s="264"/>
      <c r="AP30" s="263" t="str">
        <f t="shared" si="8"/>
        <v/>
      </c>
      <c r="AQ30" s="165" t="s">
        <v>492</v>
      </c>
      <c r="AR30" s="264"/>
      <c r="AS30" s="265" t="str">
        <f t="shared" si="9"/>
        <v/>
      </c>
      <c r="AT30" s="265" t="str">
        <f t="shared" si="13"/>
        <v/>
      </c>
      <c r="AU30" s="265" t="str">
        <f t="shared" si="10"/>
        <v/>
      </c>
      <c r="AV30" s="273"/>
      <c r="AW30" s="175"/>
      <c r="AX30" s="267">
        <v>25</v>
      </c>
      <c r="AY30" s="166" t="str">
        <f>IF(BP30=0,"",Top!BA93)</f>
        <v/>
      </c>
      <c r="AZ30" s="166"/>
      <c r="BA30" s="166"/>
      <c r="BB30" s="166"/>
      <c r="BC30" s="267">
        <f t="shared" si="14"/>
        <v>13</v>
      </c>
      <c r="BD30" s="267" t="str">
        <f t="shared" si="15"/>
        <v/>
      </c>
      <c r="BE30" s="166" t="str">
        <f>IF(COUNTIF($AY$4:AY29,AY30)&gt;0,"",AY30)</f>
        <v/>
      </c>
      <c r="BF30" s="166"/>
      <c r="BG30" s="268"/>
      <c r="BH30" s="268"/>
      <c r="BI30" s="268"/>
      <c r="BJ30" s="565" t="s">
        <v>493</v>
      </c>
      <c r="BK30" s="269" t="s">
        <v>541</v>
      </c>
      <c r="BL30" s="270" t="s">
        <v>495</v>
      </c>
      <c r="BM30" s="897"/>
      <c r="BN30" s="898"/>
      <c r="BO30" s="898"/>
      <c r="BP30" s="898">
        <f t="shared" si="16"/>
        <v>0</v>
      </c>
      <c r="BQ30" s="271"/>
      <c r="BR30" s="271"/>
      <c r="BS30" s="271"/>
    </row>
    <row r="31" spans="1:74" ht="17.25" customHeight="1">
      <c r="A31" s="240" t="str">
        <f t="shared" ca="1" si="11"/>
        <v/>
      </c>
      <c r="B31" s="2742"/>
      <c r="C31" s="272">
        <v>27</v>
      </c>
      <c r="D31" s="465" t="str">
        <f t="shared" ca="1" si="17"/>
        <v/>
      </c>
      <c r="E31" s="2717" t="str">
        <f t="shared" ca="1" si="3"/>
        <v/>
      </c>
      <c r="F31" s="2718"/>
      <c r="G31" s="2718"/>
      <c r="H31" s="2718"/>
      <c r="I31" s="2718"/>
      <c r="J31" s="2718"/>
      <c r="K31" s="2719"/>
      <c r="L31" s="468" t="str">
        <f t="shared" ca="1" si="19"/>
        <v/>
      </c>
      <c r="M31" s="468" t="str">
        <f t="shared" ca="1" si="1"/>
        <v/>
      </c>
      <c r="N31" s="2733"/>
      <c r="O31" s="2721"/>
      <c r="P31" s="2721"/>
      <c r="Q31" s="2721"/>
      <c r="R31" s="2722"/>
      <c r="S31" s="2723" t="str">
        <f t="shared" ca="1" si="18"/>
        <v/>
      </c>
      <c r="T31" s="2724"/>
      <c r="U31" s="2724"/>
      <c r="V31" s="2724"/>
      <c r="W31" s="2725"/>
      <c r="X31" s="2730" t="str">
        <f t="shared" ca="1" si="12"/>
        <v/>
      </c>
      <c r="Y31" s="2731"/>
      <c r="Z31" s="2731"/>
      <c r="AA31" s="2732"/>
      <c r="AB31" s="179"/>
      <c r="AC31" s="175"/>
      <c r="AD31" s="175"/>
      <c r="AE31" s="175"/>
      <c r="AF31" s="175"/>
      <c r="AG31" s="263" t="str">
        <f t="shared" si="5"/>
        <v/>
      </c>
      <c r="AH31" s="165" t="s">
        <v>492</v>
      </c>
      <c r="AI31" s="264"/>
      <c r="AJ31" s="263" t="str">
        <f t="shared" si="6"/>
        <v/>
      </c>
      <c r="AK31" s="165" t="s">
        <v>492</v>
      </c>
      <c r="AL31" s="264"/>
      <c r="AM31" s="263" t="str">
        <f t="shared" si="7"/>
        <v/>
      </c>
      <c r="AN31" s="165" t="s">
        <v>492</v>
      </c>
      <c r="AO31" s="264"/>
      <c r="AP31" s="263" t="str">
        <f t="shared" si="8"/>
        <v/>
      </c>
      <c r="AQ31" s="165" t="s">
        <v>492</v>
      </c>
      <c r="AR31" s="264"/>
      <c r="AS31" s="265" t="str">
        <f t="shared" si="9"/>
        <v/>
      </c>
      <c r="AT31" s="265" t="str">
        <f t="shared" si="13"/>
        <v/>
      </c>
      <c r="AU31" s="265" t="str">
        <f t="shared" si="10"/>
        <v/>
      </c>
      <c r="AV31" s="273"/>
      <c r="AW31" s="175"/>
      <c r="AX31" s="267">
        <v>26</v>
      </c>
      <c r="AY31" s="166" t="str">
        <f>IF(BP31=0,"",Top!BA94)</f>
        <v/>
      </c>
      <c r="AZ31" s="166"/>
      <c r="BA31" s="166"/>
      <c r="BB31" s="166"/>
      <c r="BC31" s="267">
        <f t="shared" si="14"/>
        <v>13</v>
      </c>
      <c r="BD31" s="267" t="str">
        <f t="shared" si="15"/>
        <v/>
      </c>
      <c r="BE31" s="166" t="str">
        <f>IF(COUNTIF($AY$4:AY30,AY31)&gt;0,"",AY31)</f>
        <v/>
      </c>
      <c r="BF31" s="166"/>
      <c r="BG31" s="268"/>
      <c r="BH31" s="268"/>
      <c r="BI31" s="268"/>
      <c r="BJ31" s="565" t="s">
        <v>493</v>
      </c>
      <c r="BK31" s="269" t="s">
        <v>541</v>
      </c>
      <c r="BL31" s="270" t="s">
        <v>495</v>
      </c>
      <c r="BM31" s="897"/>
      <c r="BN31" s="898"/>
      <c r="BO31" s="898"/>
      <c r="BP31" s="898">
        <f t="shared" si="16"/>
        <v>0</v>
      </c>
      <c r="BQ31" s="271"/>
      <c r="BR31" s="271"/>
      <c r="BS31" s="271"/>
    </row>
    <row r="32" spans="1:74" ht="17.25" customHeight="1">
      <c r="A32" s="240" t="str">
        <f t="shared" ca="1" si="11"/>
        <v/>
      </c>
      <c r="B32" s="2742"/>
      <c r="C32" s="272">
        <v>28</v>
      </c>
      <c r="D32" s="465" t="str">
        <f t="shared" ca="1" si="17"/>
        <v/>
      </c>
      <c r="E32" s="2717" t="str">
        <f t="shared" ca="1" si="3"/>
        <v/>
      </c>
      <c r="F32" s="2718"/>
      <c r="G32" s="2718"/>
      <c r="H32" s="2718"/>
      <c r="I32" s="2718"/>
      <c r="J32" s="2718"/>
      <c r="K32" s="2719"/>
      <c r="L32" s="468" t="str">
        <f t="shared" ca="1" si="19"/>
        <v/>
      </c>
      <c r="M32" s="468" t="str">
        <f t="shared" ca="1" si="1"/>
        <v/>
      </c>
      <c r="N32" s="2733"/>
      <c r="O32" s="2721"/>
      <c r="P32" s="2721"/>
      <c r="Q32" s="2721"/>
      <c r="R32" s="2722"/>
      <c r="S32" s="2723" t="str">
        <f t="shared" ca="1" si="18"/>
        <v/>
      </c>
      <c r="T32" s="2724"/>
      <c r="U32" s="2724"/>
      <c r="V32" s="2724"/>
      <c r="W32" s="2725"/>
      <c r="X32" s="2730" t="str">
        <f t="shared" ca="1" si="12"/>
        <v/>
      </c>
      <c r="Y32" s="2731"/>
      <c r="Z32" s="2731"/>
      <c r="AA32" s="2732"/>
      <c r="AB32" s="179"/>
      <c r="AC32" s="175"/>
      <c r="AD32" s="175"/>
      <c r="AE32" s="175"/>
      <c r="AF32" s="175"/>
      <c r="AG32" s="263" t="str">
        <f t="shared" si="5"/>
        <v/>
      </c>
      <c r="AH32" s="165" t="s">
        <v>492</v>
      </c>
      <c r="AI32" s="264"/>
      <c r="AJ32" s="263" t="str">
        <f t="shared" si="6"/>
        <v/>
      </c>
      <c r="AK32" s="165" t="s">
        <v>492</v>
      </c>
      <c r="AL32" s="264"/>
      <c r="AM32" s="263" t="str">
        <f t="shared" si="7"/>
        <v/>
      </c>
      <c r="AN32" s="165" t="s">
        <v>492</v>
      </c>
      <c r="AO32" s="264"/>
      <c r="AP32" s="263" t="str">
        <f t="shared" si="8"/>
        <v/>
      </c>
      <c r="AQ32" s="165" t="s">
        <v>492</v>
      </c>
      <c r="AR32" s="264"/>
      <c r="AS32" s="265" t="str">
        <f t="shared" si="9"/>
        <v/>
      </c>
      <c r="AT32" s="265" t="str">
        <f t="shared" si="13"/>
        <v/>
      </c>
      <c r="AU32" s="265" t="str">
        <f t="shared" si="10"/>
        <v/>
      </c>
      <c r="AV32" s="273"/>
      <c r="AW32" s="175"/>
      <c r="AX32" s="267">
        <v>27</v>
      </c>
      <c r="AY32" s="166" t="str">
        <f>IF(BP32=0,"",Top!BA95)</f>
        <v/>
      </c>
      <c r="AZ32" s="166"/>
      <c r="BA32" s="166"/>
      <c r="BB32" s="166"/>
      <c r="BC32" s="267">
        <f t="shared" si="14"/>
        <v>13</v>
      </c>
      <c r="BD32" s="267" t="str">
        <f t="shared" si="15"/>
        <v/>
      </c>
      <c r="BE32" s="166" t="str">
        <f>IF(COUNTIF($AY$4:AY31,AY32)&gt;0,"",AY32)</f>
        <v/>
      </c>
      <c r="BF32" s="166"/>
      <c r="BG32" s="268"/>
      <c r="BH32" s="268"/>
      <c r="BI32" s="268"/>
      <c r="BJ32" s="565" t="s">
        <v>493</v>
      </c>
      <c r="BK32" s="269"/>
      <c r="BL32" s="270"/>
      <c r="BM32" s="897"/>
      <c r="BN32" s="898"/>
      <c r="BO32" s="898"/>
      <c r="BP32" s="898">
        <f t="shared" si="16"/>
        <v>0</v>
      </c>
      <c r="BQ32" s="271"/>
      <c r="BR32" s="271"/>
      <c r="BS32" s="271"/>
    </row>
    <row r="33" spans="1:71" ht="17.25" customHeight="1">
      <c r="A33" s="240" t="str">
        <f t="shared" ca="1" si="11"/>
        <v/>
      </c>
      <c r="B33" s="2742"/>
      <c r="C33" s="272">
        <v>29</v>
      </c>
      <c r="D33" s="465" t="str">
        <f t="shared" ca="1" si="17"/>
        <v/>
      </c>
      <c r="E33" s="2717" t="str">
        <f t="shared" ca="1" si="3"/>
        <v/>
      </c>
      <c r="F33" s="2718"/>
      <c r="G33" s="2718"/>
      <c r="H33" s="2718"/>
      <c r="I33" s="2718"/>
      <c r="J33" s="2718"/>
      <c r="K33" s="2719"/>
      <c r="L33" s="468" t="str">
        <f t="shared" ca="1" si="19"/>
        <v/>
      </c>
      <c r="M33" s="468" t="str">
        <f t="shared" ca="1" si="1"/>
        <v/>
      </c>
      <c r="N33" s="2733"/>
      <c r="O33" s="2721"/>
      <c r="P33" s="2721"/>
      <c r="Q33" s="2721"/>
      <c r="R33" s="2722"/>
      <c r="S33" s="2723" t="str">
        <f t="shared" ca="1" si="18"/>
        <v/>
      </c>
      <c r="T33" s="2724"/>
      <c r="U33" s="2724"/>
      <c r="V33" s="2724"/>
      <c r="W33" s="2725"/>
      <c r="X33" s="2730" t="str">
        <f t="shared" ca="1" si="12"/>
        <v/>
      </c>
      <c r="Y33" s="2731"/>
      <c r="Z33" s="2731"/>
      <c r="AA33" s="2732"/>
      <c r="AB33" s="179"/>
      <c r="AC33" s="175"/>
      <c r="AD33" s="175"/>
      <c r="AE33" s="175"/>
      <c r="AF33" s="175"/>
      <c r="AG33" s="263" t="str">
        <f t="shared" si="5"/>
        <v/>
      </c>
      <c r="AH33" s="165" t="s">
        <v>492</v>
      </c>
      <c r="AI33" s="264"/>
      <c r="AJ33" s="263" t="str">
        <f t="shared" si="6"/>
        <v/>
      </c>
      <c r="AK33" s="165" t="s">
        <v>492</v>
      </c>
      <c r="AL33" s="264"/>
      <c r="AM33" s="263" t="str">
        <f t="shared" si="7"/>
        <v/>
      </c>
      <c r="AN33" s="165" t="s">
        <v>492</v>
      </c>
      <c r="AO33" s="264"/>
      <c r="AP33" s="263" t="str">
        <f t="shared" si="8"/>
        <v/>
      </c>
      <c r="AQ33" s="165" t="s">
        <v>492</v>
      </c>
      <c r="AR33" s="264"/>
      <c r="AS33" s="265" t="str">
        <f t="shared" si="9"/>
        <v/>
      </c>
      <c r="AT33" s="265" t="str">
        <f t="shared" si="13"/>
        <v/>
      </c>
      <c r="AU33" s="265" t="str">
        <f t="shared" si="10"/>
        <v/>
      </c>
      <c r="AV33" s="273"/>
      <c r="AW33" s="175"/>
      <c r="AX33" s="267">
        <v>28</v>
      </c>
      <c r="AY33" s="166" t="str">
        <f>IF(BP33=0,"",Top!BA96)</f>
        <v/>
      </c>
      <c r="AZ33" s="166"/>
      <c r="BA33" s="166"/>
      <c r="BB33" s="166"/>
      <c r="BC33" s="267">
        <f t="shared" si="14"/>
        <v>13</v>
      </c>
      <c r="BD33" s="267" t="str">
        <f t="shared" si="15"/>
        <v/>
      </c>
      <c r="BE33" s="166" t="str">
        <f>IF(COUNTIF($AY$4:AY32,AY33)&gt;0,"",AY33)</f>
        <v/>
      </c>
      <c r="BF33" s="166"/>
      <c r="BG33" s="268"/>
      <c r="BH33" s="268"/>
      <c r="BI33" s="268"/>
      <c r="BJ33" s="565" t="s">
        <v>493</v>
      </c>
      <c r="BK33" s="269" t="s">
        <v>541</v>
      </c>
      <c r="BL33" s="270" t="s">
        <v>495</v>
      </c>
      <c r="BM33" s="897"/>
      <c r="BN33" s="898"/>
      <c r="BO33" s="898"/>
      <c r="BP33" s="898">
        <f t="shared" si="16"/>
        <v>0</v>
      </c>
      <c r="BQ33" s="271"/>
      <c r="BR33" s="271"/>
      <c r="BS33" s="271"/>
    </row>
    <row r="34" spans="1:71" ht="17.25" customHeight="1">
      <c r="A34" s="240" t="str">
        <f t="shared" ca="1" si="11"/>
        <v/>
      </c>
      <c r="B34" s="2742"/>
      <c r="C34" s="272">
        <v>30</v>
      </c>
      <c r="D34" s="465" t="str">
        <f t="shared" ca="1" si="17"/>
        <v/>
      </c>
      <c r="E34" s="2717" t="str">
        <f t="shared" ca="1" si="3"/>
        <v/>
      </c>
      <c r="F34" s="2718"/>
      <c r="G34" s="2718"/>
      <c r="H34" s="2718"/>
      <c r="I34" s="2718"/>
      <c r="J34" s="2718"/>
      <c r="K34" s="2719"/>
      <c r="L34" s="468" t="str">
        <f t="shared" ca="1" si="19"/>
        <v/>
      </c>
      <c r="M34" s="468" t="str">
        <f ca="1">IF(L34&lt;&gt;"","式","")</f>
        <v/>
      </c>
      <c r="N34" s="2733"/>
      <c r="O34" s="2721"/>
      <c r="P34" s="2721"/>
      <c r="Q34" s="2721"/>
      <c r="R34" s="2722"/>
      <c r="S34" s="2723" t="str">
        <f t="shared" ca="1" si="18"/>
        <v/>
      </c>
      <c r="T34" s="2724"/>
      <c r="U34" s="2724"/>
      <c r="V34" s="2724"/>
      <c r="W34" s="2725"/>
      <c r="X34" s="2730" t="str">
        <f t="shared" ca="1" si="12"/>
        <v/>
      </c>
      <c r="Y34" s="2731"/>
      <c r="Z34" s="2731"/>
      <c r="AA34" s="2732"/>
      <c r="AB34" s="179"/>
      <c r="AC34" s="175"/>
      <c r="AD34" s="175"/>
      <c r="AE34" s="175"/>
      <c r="AF34" s="175"/>
      <c r="AG34" s="263" t="str">
        <f t="shared" si="5"/>
        <v/>
      </c>
      <c r="AH34" s="165" t="s">
        <v>492</v>
      </c>
      <c r="AI34" s="264"/>
      <c r="AJ34" s="263" t="str">
        <f t="shared" si="6"/>
        <v/>
      </c>
      <c r="AK34" s="165" t="s">
        <v>492</v>
      </c>
      <c r="AL34" s="264"/>
      <c r="AM34" s="263" t="str">
        <f t="shared" si="7"/>
        <v/>
      </c>
      <c r="AN34" s="165" t="s">
        <v>492</v>
      </c>
      <c r="AO34" s="264"/>
      <c r="AP34" s="263" t="str">
        <f t="shared" si="8"/>
        <v/>
      </c>
      <c r="AQ34" s="165" t="s">
        <v>492</v>
      </c>
      <c r="AR34" s="264"/>
      <c r="AS34" s="265" t="str">
        <f t="shared" si="9"/>
        <v/>
      </c>
      <c r="AT34" s="265" t="str">
        <f t="shared" si="13"/>
        <v/>
      </c>
      <c r="AU34" s="265" t="str">
        <f t="shared" si="10"/>
        <v/>
      </c>
      <c r="AV34" s="273"/>
      <c r="AW34" s="175"/>
      <c r="AX34" s="267">
        <v>29</v>
      </c>
      <c r="AY34" s="166" t="str">
        <f>IF(BP34=0,"",Top!BA97)</f>
        <v/>
      </c>
      <c r="AZ34" s="166"/>
      <c r="BA34" s="166"/>
      <c r="BB34" s="166"/>
      <c r="BC34" s="267">
        <f t="shared" si="14"/>
        <v>13</v>
      </c>
      <c r="BD34" s="267" t="str">
        <f t="shared" si="15"/>
        <v/>
      </c>
      <c r="BE34" s="166" t="str">
        <f>IF(COUNTIF($AY$4:AY33,AY34)&gt;0,"",AY34)</f>
        <v/>
      </c>
      <c r="BF34" s="166"/>
      <c r="BG34" s="268"/>
      <c r="BH34" s="268"/>
      <c r="BI34" s="268"/>
      <c r="BJ34" s="565" t="s">
        <v>493</v>
      </c>
      <c r="BK34" s="269" t="s">
        <v>541</v>
      </c>
      <c r="BL34" s="270" t="s">
        <v>495</v>
      </c>
      <c r="BM34" s="897"/>
      <c r="BN34" s="898"/>
      <c r="BO34" s="898"/>
      <c r="BP34" s="898">
        <f t="shared" si="16"/>
        <v>0</v>
      </c>
      <c r="BQ34" s="271"/>
      <c r="BR34" s="271"/>
      <c r="BS34" s="271"/>
    </row>
    <row r="35" spans="1:71" ht="17.25" customHeight="1">
      <c r="A35" s="240" t="str">
        <f t="shared" ca="1" si="11"/>
        <v/>
      </c>
      <c r="B35" s="2742"/>
      <c r="C35" s="272">
        <v>31</v>
      </c>
      <c r="D35" s="465" t="str">
        <f t="shared" ca="1" si="17"/>
        <v/>
      </c>
      <c r="E35" s="2717" t="str">
        <f t="shared" ca="1" si="3"/>
        <v/>
      </c>
      <c r="F35" s="2718"/>
      <c r="G35" s="2718"/>
      <c r="H35" s="2718"/>
      <c r="I35" s="2718"/>
      <c r="J35" s="2718"/>
      <c r="K35" s="2719"/>
      <c r="L35" s="468" t="str">
        <f t="shared" ca="1" si="19"/>
        <v/>
      </c>
      <c r="M35" s="468" t="str">
        <f ca="1">IF(L35&lt;&gt;"","式","")</f>
        <v/>
      </c>
      <c r="N35" s="2733"/>
      <c r="O35" s="2721"/>
      <c r="P35" s="2721"/>
      <c r="Q35" s="2721"/>
      <c r="R35" s="2722"/>
      <c r="S35" s="2723" t="str">
        <f t="shared" ca="1" si="18"/>
        <v/>
      </c>
      <c r="T35" s="2724"/>
      <c r="U35" s="2724"/>
      <c r="V35" s="2724"/>
      <c r="W35" s="2725"/>
      <c r="X35" s="2730" t="str">
        <f t="shared" ca="1" si="12"/>
        <v/>
      </c>
      <c r="Y35" s="2731"/>
      <c r="Z35" s="2731"/>
      <c r="AA35" s="2732"/>
      <c r="AB35" s="179"/>
      <c r="AC35" s="175"/>
      <c r="AD35" s="175"/>
      <c r="AE35" s="175"/>
      <c r="AF35" s="175"/>
      <c r="AG35" s="263" t="str">
        <f t="shared" si="5"/>
        <v/>
      </c>
      <c r="AH35" s="165" t="s">
        <v>492</v>
      </c>
      <c r="AI35" s="264"/>
      <c r="AJ35" s="263" t="str">
        <f t="shared" si="6"/>
        <v/>
      </c>
      <c r="AK35" s="165" t="s">
        <v>492</v>
      </c>
      <c r="AL35" s="264"/>
      <c r="AM35" s="263" t="str">
        <f t="shared" si="7"/>
        <v/>
      </c>
      <c r="AN35" s="165" t="s">
        <v>492</v>
      </c>
      <c r="AO35" s="264"/>
      <c r="AP35" s="263" t="str">
        <f t="shared" si="8"/>
        <v/>
      </c>
      <c r="AQ35" s="165" t="s">
        <v>492</v>
      </c>
      <c r="AR35" s="264"/>
      <c r="AS35" s="265" t="str">
        <f t="shared" si="9"/>
        <v/>
      </c>
      <c r="AT35" s="265" t="str">
        <f t="shared" si="13"/>
        <v/>
      </c>
      <c r="AU35" s="265" t="str">
        <f t="shared" si="10"/>
        <v/>
      </c>
      <c r="AV35" s="273"/>
      <c r="AW35" s="175"/>
      <c r="AX35" s="267">
        <v>30</v>
      </c>
      <c r="AY35" s="166" t="str">
        <f>IF(BP35=0,"",Top!BA98)</f>
        <v/>
      </c>
      <c r="AZ35" s="166"/>
      <c r="BA35" s="166"/>
      <c r="BB35" s="166"/>
      <c r="BC35" s="267">
        <f t="shared" si="14"/>
        <v>13</v>
      </c>
      <c r="BD35" s="267" t="str">
        <f t="shared" si="15"/>
        <v/>
      </c>
      <c r="BE35" s="166" t="str">
        <f>IF(COUNTIF($AY$4:AY34,AY35)&gt;0,"",AY35)</f>
        <v/>
      </c>
      <c r="BF35" s="166"/>
      <c r="BG35" s="268"/>
      <c r="BH35" s="268"/>
      <c r="BI35" s="268"/>
      <c r="BJ35" s="565" t="s">
        <v>493</v>
      </c>
      <c r="BK35" s="269" t="s">
        <v>541</v>
      </c>
      <c r="BL35" s="270" t="s">
        <v>495</v>
      </c>
      <c r="BM35" s="897"/>
      <c r="BN35" s="898"/>
      <c r="BO35" s="898"/>
      <c r="BP35" s="898">
        <f t="shared" si="16"/>
        <v>0</v>
      </c>
      <c r="BQ35" s="271"/>
      <c r="BR35" s="271"/>
      <c r="BS35" s="271"/>
    </row>
    <row r="36" spans="1:71" ht="17.25" customHeight="1">
      <c r="A36" s="240" t="str">
        <f t="shared" ca="1" si="11"/>
        <v/>
      </c>
      <c r="B36" s="2742"/>
      <c r="C36" s="272">
        <v>32</v>
      </c>
      <c r="D36" s="465" t="str">
        <f t="shared" ca="1" si="17"/>
        <v/>
      </c>
      <c r="E36" s="2717" t="str">
        <f t="shared" ca="1" si="3"/>
        <v/>
      </c>
      <c r="F36" s="2718"/>
      <c r="G36" s="2718"/>
      <c r="H36" s="2718"/>
      <c r="I36" s="2718"/>
      <c r="J36" s="2718"/>
      <c r="K36" s="2719"/>
      <c r="L36" s="468" t="str">
        <f t="shared" ca="1" si="19"/>
        <v/>
      </c>
      <c r="M36" s="468" t="str">
        <f ca="1">IF(L36&lt;&gt;"","式","")</f>
        <v/>
      </c>
      <c r="N36" s="2733"/>
      <c r="O36" s="2721"/>
      <c r="P36" s="2721"/>
      <c r="Q36" s="2721"/>
      <c r="R36" s="2722"/>
      <c r="S36" s="2723" t="str">
        <f t="shared" ca="1" si="18"/>
        <v/>
      </c>
      <c r="T36" s="2724"/>
      <c r="U36" s="2724"/>
      <c r="V36" s="2724"/>
      <c r="W36" s="2725"/>
      <c r="X36" s="2730" t="str">
        <f t="shared" ca="1" si="12"/>
        <v/>
      </c>
      <c r="Y36" s="2731"/>
      <c r="Z36" s="2731"/>
      <c r="AA36" s="2732"/>
      <c r="AB36" s="179"/>
      <c r="AC36" s="175"/>
      <c r="AD36" s="175"/>
      <c r="AE36" s="175"/>
      <c r="AF36" s="175"/>
      <c r="AG36" s="263" t="str">
        <f t="shared" si="5"/>
        <v/>
      </c>
      <c r="AH36" s="165" t="s">
        <v>492</v>
      </c>
      <c r="AI36" s="264"/>
      <c r="AJ36" s="263" t="str">
        <f t="shared" si="6"/>
        <v/>
      </c>
      <c r="AK36" s="165" t="s">
        <v>492</v>
      </c>
      <c r="AL36" s="264"/>
      <c r="AM36" s="263" t="str">
        <f t="shared" si="7"/>
        <v/>
      </c>
      <c r="AN36" s="165" t="s">
        <v>492</v>
      </c>
      <c r="AO36" s="264"/>
      <c r="AP36" s="263" t="str">
        <f t="shared" si="8"/>
        <v/>
      </c>
      <c r="AQ36" s="165" t="s">
        <v>492</v>
      </c>
      <c r="AR36" s="264"/>
      <c r="AS36" s="265" t="str">
        <f t="shared" si="9"/>
        <v/>
      </c>
      <c r="AT36" s="265" t="str">
        <f t="shared" si="13"/>
        <v/>
      </c>
      <c r="AU36" s="265" t="str">
        <f t="shared" si="10"/>
        <v/>
      </c>
      <c r="AV36" s="273"/>
      <c r="AW36" s="175"/>
      <c r="AX36" s="267">
        <v>31</v>
      </c>
      <c r="AY36" s="166" t="str">
        <f>IF(BP36=0,"",Top!BA99)</f>
        <v/>
      </c>
      <c r="AZ36" s="166"/>
      <c r="BA36" s="166"/>
      <c r="BB36" s="166"/>
      <c r="BC36" s="267">
        <f t="shared" si="14"/>
        <v>13</v>
      </c>
      <c r="BD36" s="267" t="str">
        <f t="shared" si="15"/>
        <v/>
      </c>
      <c r="BE36" s="166" t="str">
        <f>IF(COUNTIF($AY$4:AY35,AY36)&gt;0,"",AY36)</f>
        <v/>
      </c>
      <c r="BF36" s="166"/>
      <c r="BG36" s="268"/>
      <c r="BH36" s="268"/>
      <c r="BI36" s="268"/>
      <c r="BJ36" s="565" t="s">
        <v>493</v>
      </c>
      <c r="BK36" s="269" t="s">
        <v>541</v>
      </c>
      <c r="BL36" s="270" t="s">
        <v>495</v>
      </c>
      <c r="BM36" s="897"/>
      <c r="BN36" s="898"/>
      <c r="BO36" s="898"/>
      <c r="BP36" s="898">
        <f t="shared" si="16"/>
        <v>0</v>
      </c>
      <c r="BQ36" s="271"/>
      <c r="BR36" s="271"/>
      <c r="BS36" s="271"/>
    </row>
    <row r="37" spans="1:71" ht="17.25" customHeight="1">
      <c r="A37" s="240" t="str">
        <f t="shared" ca="1" si="11"/>
        <v/>
      </c>
      <c r="B37" s="2742"/>
      <c r="C37" s="272">
        <v>33</v>
      </c>
      <c r="D37" s="465" t="str">
        <f t="shared" ca="1" si="17"/>
        <v/>
      </c>
      <c r="E37" s="2717" t="str">
        <f t="shared" ca="1" si="3"/>
        <v/>
      </c>
      <c r="F37" s="2718"/>
      <c r="G37" s="2718"/>
      <c r="H37" s="2718"/>
      <c r="I37" s="2718"/>
      <c r="J37" s="2718"/>
      <c r="K37" s="2719"/>
      <c r="L37" s="468" t="str">
        <f t="shared" ca="1" si="19"/>
        <v/>
      </c>
      <c r="M37" s="468" t="str">
        <f ca="1">IF(L37&lt;&gt;"","式","")</f>
        <v/>
      </c>
      <c r="N37" s="2734"/>
      <c r="O37" s="2721"/>
      <c r="P37" s="2721"/>
      <c r="Q37" s="2721"/>
      <c r="R37" s="2722"/>
      <c r="S37" s="2723" t="str">
        <f t="shared" ca="1" si="18"/>
        <v/>
      </c>
      <c r="T37" s="2724"/>
      <c r="U37" s="2724"/>
      <c r="V37" s="2724"/>
      <c r="W37" s="2725"/>
      <c r="X37" s="2730" t="str">
        <f t="shared" ca="1" si="12"/>
        <v/>
      </c>
      <c r="Y37" s="2731"/>
      <c r="Z37" s="2731"/>
      <c r="AA37" s="2732"/>
      <c r="AB37" s="179"/>
      <c r="AC37" s="175"/>
      <c r="AD37" s="175"/>
      <c r="AE37" s="175"/>
      <c r="AF37" s="175"/>
      <c r="AG37" s="263" t="str">
        <f t="shared" si="5"/>
        <v/>
      </c>
      <c r="AH37" s="165" t="s">
        <v>492</v>
      </c>
      <c r="AI37" s="264"/>
      <c r="AJ37" s="263" t="str">
        <f t="shared" si="6"/>
        <v/>
      </c>
      <c r="AK37" s="165" t="s">
        <v>492</v>
      </c>
      <c r="AL37" s="264"/>
      <c r="AM37" s="263" t="str">
        <f t="shared" si="7"/>
        <v/>
      </c>
      <c r="AN37" s="165" t="s">
        <v>492</v>
      </c>
      <c r="AO37" s="264"/>
      <c r="AP37" s="263" t="str">
        <f t="shared" si="8"/>
        <v/>
      </c>
      <c r="AQ37" s="165" t="s">
        <v>492</v>
      </c>
      <c r="AR37" s="264"/>
      <c r="AS37" s="265" t="str">
        <f t="shared" si="9"/>
        <v/>
      </c>
      <c r="AT37" s="265" t="str">
        <f t="shared" si="13"/>
        <v/>
      </c>
      <c r="AU37" s="265" t="str">
        <f t="shared" si="10"/>
        <v/>
      </c>
      <c r="AV37" s="273"/>
      <c r="AW37" s="175"/>
      <c r="AX37" s="267">
        <v>32</v>
      </c>
      <c r="AY37" s="166" t="str">
        <f>IF(BP37=0,"",Top!BA100)</f>
        <v/>
      </c>
      <c r="AZ37" s="166"/>
      <c r="BA37" s="166"/>
      <c r="BB37" s="166"/>
      <c r="BC37" s="267">
        <f t="shared" si="14"/>
        <v>13</v>
      </c>
      <c r="BD37" s="267" t="str">
        <f t="shared" si="15"/>
        <v/>
      </c>
      <c r="BE37" s="166" t="str">
        <f>IF(COUNTIF($AY$4:AY36,AY37)&gt;0,"",AY37)</f>
        <v/>
      </c>
      <c r="BF37" s="166"/>
      <c r="BG37" s="268"/>
      <c r="BH37" s="268"/>
      <c r="BI37" s="268"/>
      <c r="BJ37" s="565" t="s">
        <v>493</v>
      </c>
      <c r="BK37" s="269" t="s">
        <v>541</v>
      </c>
      <c r="BL37" s="270" t="s">
        <v>495</v>
      </c>
      <c r="BM37" s="897"/>
      <c r="BN37" s="898"/>
      <c r="BO37" s="898"/>
      <c r="BP37" s="898">
        <f t="shared" si="16"/>
        <v>0</v>
      </c>
      <c r="BQ37" s="271"/>
      <c r="BR37" s="271"/>
      <c r="BS37" s="271"/>
    </row>
    <row r="38" spans="1:71" ht="17.25" customHeight="1" thickBot="1">
      <c r="A38" s="240" t="str">
        <f t="shared" ca="1" si="11"/>
        <v/>
      </c>
      <c r="B38" s="2742"/>
      <c r="C38" s="272">
        <v>34</v>
      </c>
      <c r="D38" s="465" t="str">
        <f t="shared" ca="1" si="17"/>
        <v/>
      </c>
      <c r="E38" s="2717" t="str">
        <f t="shared" ca="1" si="3"/>
        <v/>
      </c>
      <c r="F38" s="2718"/>
      <c r="G38" s="2718"/>
      <c r="H38" s="2718"/>
      <c r="I38" s="2718"/>
      <c r="J38" s="2718"/>
      <c r="K38" s="2719"/>
      <c r="L38" s="468" t="str">
        <f t="shared" ca="1" si="19"/>
        <v/>
      </c>
      <c r="M38" s="468" t="str">
        <f ca="1">IF(L38&lt;&gt;"","式","")</f>
        <v/>
      </c>
      <c r="N38" s="2729"/>
      <c r="O38" s="2721"/>
      <c r="P38" s="2721"/>
      <c r="Q38" s="2721"/>
      <c r="R38" s="2722"/>
      <c r="S38" s="2723" t="str">
        <f t="shared" ca="1" si="18"/>
        <v/>
      </c>
      <c r="T38" s="2724"/>
      <c r="U38" s="2724"/>
      <c r="V38" s="2724"/>
      <c r="W38" s="2725"/>
      <c r="X38" s="2730" t="str">
        <f t="shared" ca="1" si="12"/>
        <v/>
      </c>
      <c r="Y38" s="2731"/>
      <c r="Z38" s="2731"/>
      <c r="AA38" s="2732"/>
      <c r="AB38" s="179"/>
      <c r="AC38" s="175"/>
      <c r="AD38" s="175"/>
      <c r="AE38" s="175"/>
      <c r="AF38" s="175"/>
      <c r="AG38" s="263" t="str">
        <f t="shared" si="5"/>
        <v/>
      </c>
      <c r="AH38" s="165" t="s">
        <v>492</v>
      </c>
      <c r="AI38" s="264"/>
      <c r="AJ38" s="263" t="str">
        <f t="shared" si="6"/>
        <v/>
      </c>
      <c r="AK38" s="165" t="s">
        <v>492</v>
      </c>
      <c r="AL38" s="264"/>
      <c r="AM38" s="263" t="str">
        <f t="shared" si="7"/>
        <v/>
      </c>
      <c r="AN38" s="165" t="s">
        <v>492</v>
      </c>
      <c r="AO38" s="264"/>
      <c r="AP38" s="263" t="str">
        <f t="shared" si="8"/>
        <v/>
      </c>
      <c r="AQ38" s="165" t="s">
        <v>492</v>
      </c>
      <c r="AR38" s="264"/>
      <c r="AS38" s="266" t="str">
        <f t="shared" si="9"/>
        <v/>
      </c>
      <c r="AT38" s="266" t="str">
        <f t="shared" si="13"/>
        <v/>
      </c>
      <c r="AU38" s="266" t="str">
        <f t="shared" si="10"/>
        <v/>
      </c>
      <c r="AV38" s="275"/>
      <c r="AW38" s="175"/>
      <c r="AX38" s="267">
        <v>33</v>
      </c>
      <c r="AY38" s="166" t="str">
        <f>IF(BP38=0,"",Top!BA101)</f>
        <v/>
      </c>
      <c r="AZ38" s="166"/>
      <c r="BA38" s="166"/>
      <c r="BB38" s="166"/>
      <c r="BC38" s="267">
        <f t="shared" si="14"/>
        <v>13</v>
      </c>
      <c r="BD38" s="267" t="str">
        <f t="shared" si="15"/>
        <v/>
      </c>
      <c r="BE38" s="166" t="str">
        <f>IF(COUNTIF($AY$4:AY37,AY38)&gt;0,"",AY38)</f>
        <v/>
      </c>
      <c r="BF38" s="166"/>
      <c r="BG38" s="268"/>
      <c r="BH38" s="268"/>
      <c r="BI38" s="268"/>
      <c r="BJ38" s="565" t="s">
        <v>493</v>
      </c>
      <c r="BK38" s="269" t="s">
        <v>541</v>
      </c>
      <c r="BL38" s="270" t="s">
        <v>495</v>
      </c>
      <c r="BM38" s="897"/>
      <c r="BN38" s="898"/>
      <c r="BO38" s="898"/>
      <c r="BP38" s="898">
        <f t="shared" si="16"/>
        <v>0</v>
      </c>
      <c r="BQ38" s="271"/>
      <c r="BR38" s="271"/>
      <c r="BS38" s="271"/>
    </row>
    <row r="39" spans="1:71" ht="17.25" customHeight="1" thickBot="1">
      <c r="A39" s="240" t="e">
        <f t="shared" ca="1" si="11"/>
        <v>#VALUE!</v>
      </c>
      <c r="B39" s="2742"/>
      <c r="C39" s="272">
        <v>35</v>
      </c>
      <c r="D39" s="465"/>
      <c r="E39" s="2717" t="str">
        <f ca="1">IF(AD4=0,"",IF(E6="",""," 消費税相当額"))</f>
        <v xml:space="preserve"> 消費税相当額</v>
      </c>
      <c r="F39" s="2718"/>
      <c r="G39" s="2718"/>
      <c r="H39" s="2718"/>
      <c r="I39" s="2718"/>
      <c r="J39" s="2718"/>
      <c r="K39" s="2719"/>
      <c r="L39" s="468">
        <f ca="1">IF(E39&lt;&gt;"",1,"")</f>
        <v>1</v>
      </c>
      <c r="M39" s="468" t="str">
        <f ca="1">IF(E39&lt;&gt;"","式","")</f>
        <v>式</v>
      </c>
      <c r="N39" s="2733"/>
      <c r="O39" s="2721"/>
      <c r="P39" s="2721"/>
      <c r="Q39" s="2721"/>
      <c r="R39" s="2722"/>
      <c r="S39" s="2723">
        <f ca="1">BP46</f>
        <v>43569410</v>
      </c>
      <c r="T39" s="2724"/>
      <c r="U39" s="2724"/>
      <c r="V39" s="2724"/>
      <c r="W39" s="2725"/>
      <c r="X39" s="2645" t="str">
        <f ca="1">IF(S39="",""," 消費税率 "&amp;AD51*100&amp;"％")</f>
        <v xml:space="preserve"> 消費税率 10％</v>
      </c>
      <c r="Y39" s="2645"/>
      <c r="Z39" s="2645"/>
      <c r="AA39" s="2646"/>
      <c r="AB39" s="179"/>
      <c r="AC39" s="177"/>
      <c r="AD39" s="175"/>
      <c r="AE39" s="175"/>
      <c r="AF39" s="175"/>
      <c r="AG39" s="276"/>
      <c r="AH39" s="180"/>
      <c r="AI39" s="277"/>
      <c r="AJ39" s="276"/>
      <c r="AK39" s="180"/>
      <c r="AL39" s="277"/>
      <c r="AM39" s="276"/>
      <c r="AN39" s="180"/>
      <c r="AO39" s="277"/>
      <c r="AP39" s="276"/>
      <c r="AQ39" s="180"/>
      <c r="AR39" s="277"/>
      <c r="AS39" s="278">
        <f>1000*INT(SUM(AS6:AS38)/1000)</f>
        <v>2801000</v>
      </c>
      <c r="AT39" s="278">
        <f>1000*INT(SUM(AT6:AT38)/1000)</f>
        <v>4460000</v>
      </c>
      <c r="AU39" s="278">
        <f>1000*INT(SUM(AU6:AU38)/1000)</f>
        <v>10728000</v>
      </c>
      <c r="AV39" s="278">
        <f ca="1">IF(B2=0,0,1000*INT(BP39*AD49/1000))</f>
        <v>44754000</v>
      </c>
      <c r="AW39" s="175"/>
      <c r="AX39" s="267">
        <v>34</v>
      </c>
      <c r="AY39" s="166" t="str">
        <f>"　　　 　　　　　　(小計)"</f>
        <v>　　　 　　　　　　(小計)</v>
      </c>
      <c r="AZ39" s="166"/>
      <c r="BA39" s="166"/>
      <c r="BB39" s="166"/>
      <c r="BC39" s="267">
        <f t="shared" si="14"/>
        <v>14</v>
      </c>
      <c r="BD39" s="267">
        <f t="shared" si="15"/>
        <v>14</v>
      </c>
      <c r="BE39" s="166" t="str">
        <f>IF(COUNTIF($AY$4:AY38,AY39)&gt;0,"",AY39)</f>
        <v>　　　 　　　　　　(小計)</v>
      </c>
      <c r="BF39" s="166"/>
      <c r="BG39" s="268"/>
      <c r="BH39" s="268"/>
      <c r="BI39" s="268"/>
      <c r="BJ39" s="566"/>
      <c r="BK39" s="279"/>
      <c r="BL39" s="280"/>
      <c r="BM39" s="897"/>
      <c r="BN39" s="898"/>
      <c r="BO39" s="898"/>
      <c r="BP39" s="898">
        <f ca="1">IF($AD$4=0,"",SUM(BP6:BP38))</f>
        <v>372951100</v>
      </c>
      <c r="BQ39" s="462"/>
      <c r="BR39" s="463"/>
      <c r="BS39" s="271"/>
    </row>
    <row r="40" spans="1:71" ht="17.25" customHeight="1" thickBot="1">
      <c r="A40" s="240" t="str">
        <f t="shared" ca="1" si="11"/>
        <v/>
      </c>
      <c r="B40" s="2742"/>
      <c r="C40" s="272">
        <v>36</v>
      </c>
      <c r="D40" s="465"/>
      <c r="E40" s="2717" t="str">
        <f ca="1">IF(AD4=0,"",IF(ISNA(VLOOKUP(AX40,内訳,2,FALSE)),"",VLOOKUP(AX40,内訳,2,FALSE)))</f>
        <v/>
      </c>
      <c r="F40" s="2718"/>
      <c r="G40" s="2718"/>
      <c r="H40" s="2718"/>
      <c r="I40" s="2718"/>
      <c r="J40" s="2718"/>
      <c r="K40" s="2719"/>
      <c r="L40" s="468" t="str">
        <f ca="1">IF(E40&lt;&gt;"",1,"")</f>
        <v/>
      </c>
      <c r="M40" s="468" t="str">
        <f ca="1">IF(E40&lt;&gt;"","式","")</f>
        <v/>
      </c>
      <c r="N40" s="2720" t="str">
        <f>IF(B1=0,"",AC41)</f>
        <v/>
      </c>
      <c r="O40" s="2721"/>
      <c r="P40" s="2721"/>
      <c r="Q40" s="2721"/>
      <c r="R40" s="2722"/>
      <c r="S40" s="2723" t="str">
        <f ca="1">IF(E40=" 諸　経　費",$BP$43,IF(E40=" 現場管理費",$BP$42,IF(E40=" 運　搬　費",$BP$41,IF(E40=" 雑材消耗費",$BP$40,IF(E40="　　　　 　　　　　(小計)",$BP$39,IF(E40="　　　 　　　　　　(合計)",$BQ$43,IF(E40="　　　 　 　　　　 合 計",$BP$45,IF(D40&lt;&gt;"",VLOOKUP(D40,内訳,13,FALSE),""))))))))</f>
        <v/>
      </c>
      <c r="T40" s="2724"/>
      <c r="U40" s="2724"/>
      <c r="V40" s="2724"/>
      <c r="W40" s="2725"/>
      <c r="X40" s="2645"/>
      <c r="Y40" s="2645"/>
      <c r="Z40" s="2645"/>
      <c r="AA40" s="2646"/>
      <c r="AB40" s="179"/>
      <c r="AC40" s="486" t="s">
        <v>1045</v>
      </c>
      <c r="AD40" s="486" t="str">
        <f>IF(AF40="","表示",AF40)</f>
        <v>表示</v>
      </c>
      <c r="AE40" s="162" t="s">
        <v>492</v>
      </c>
      <c r="AF40" s="181" t="s">
        <v>1048</v>
      </c>
      <c r="AG40" s="281"/>
      <c r="AH40" s="281"/>
      <c r="AI40" s="281"/>
      <c r="AJ40" s="281"/>
      <c r="AK40" s="180"/>
      <c r="AL40" s="277"/>
      <c r="AM40" s="276"/>
      <c r="AN40" s="180"/>
      <c r="AO40" s="277"/>
      <c r="AP40" s="276"/>
      <c r="AQ40" s="180"/>
      <c r="AR40" s="277"/>
      <c r="AS40" s="282"/>
      <c r="AT40" s="282"/>
      <c r="AU40" s="282"/>
      <c r="AV40" s="282"/>
      <c r="AW40" s="175"/>
      <c r="AX40" s="267">
        <v>35</v>
      </c>
      <c r="AY40" s="166" t="str">
        <f>" 雑材消耗費"</f>
        <v xml:space="preserve"> 雑材消耗費</v>
      </c>
      <c r="BC40" s="267">
        <f t="shared" si="14"/>
        <v>15</v>
      </c>
      <c r="BD40" s="267">
        <f t="shared" si="15"/>
        <v>15</v>
      </c>
      <c r="BE40" s="166" t="str">
        <f>IF(COUNTIF($AY$4:AY39,AY40)&gt;0,"",AY40)</f>
        <v xml:space="preserve"> 雑材消耗費</v>
      </c>
      <c r="BL40" s="271"/>
      <c r="BM40" s="899"/>
      <c r="BN40" s="899"/>
      <c r="BO40" s="900">
        <f>SUM(BO6:BO39)</f>
        <v>75604100</v>
      </c>
      <c r="BP40" s="901">
        <f ca="1">IF($AD$4=0,"",INT(AS39/1000)*1000)</f>
        <v>2801000</v>
      </c>
      <c r="BQ40" s="271"/>
      <c r="BR40" s="271"/>
      <c r="BS40" s="271"/>
    </row>
    <row r="41" spans="1:71" ht="17.25" customHeight="1" thickBot="1">
      <c r="A41" s="240" t="e">
        <f t="shared" ca="1" si="11"/>
        <v>#VALUE!</v>
      </c>
      <c r="B41" s="2742"/>
      <c r="C41" s="272">
        <v>37</v>
      </c>
      <c r="D41" s="465"/>
      <c r="E41" s="2726" t="str">
        <f ca="1">IF(AD4=0,"",IF(L6="","","　　　 　 　　　　 合 計"))</f>
        <v>　　　 　 　　　　 合 計</v>
      </c>
      <c r="F41" s="2727"/>
      <c r="G41" s="2727"/>
      <c r="H41" s="2727"/>
      <c r="I41" s="2727"/>
      <c r="J41" s="2727"/>
      <c r="K41" s="2728"/>
      <c r="L41" s="466"/>
      <c r="M41" s="469"/>
      <c r="N41" s="451"/>
      <c r="O41" s="451"/>
      <c r="P41" s="451"/>
      <c r="Q41" s="451"/>
      <c r="R41" s="451"/>
      <c r="S41" s="2723">
        <f ca="1">IF(E41="","",BQ44+BP46)</f>
        <v>479263510</v>
      </c>
      <c r="T41" s="2724"/>
      <c r="U41" s="2724"/>
      <c r="V41" s="2724"/>
      <c r="W41" s="2725"/>
      <c r="X41" s="451"/>
      <c r="Y41" s="451"/>
      <c r="Z41" s="451"/>
      <c r="AA41" s="452"/>
      <c r="AB41" s="179"/>
      <c r="AC41" s="487">
        <f ca="1">S41/BP39</f>
        <v>1.285057236726209</v>
      </c>
      <c r="AD41" s="488">
        <f>IF(AD40="表示",1,0)</f>
        <v>1</v>
      </c>
      <c r="AE41" s="175"/>
      <c r="AF41" s="175"/>
      <c r="AG41" s="276"/>
      <c r="AH41" s="180"/>
      <c r="AI41" s="277"/>
      <c r="AJ41" s="276"/>
      <c r="AK41" s="180"/>
      <c r="AL41" s="277"/>
      <c r="AM41" s="276"/>
      <c r="AN41" s="180"/>
      <c r="AO41" s="277"/>
      <c r="AP41" s="276"/>
      <c r="AQ41" s="180"/>
      <c r="AR41" s="277"/>
      <c r="AS41" s="282"/>
      <c r="AT41" s="282"/>
      <c r="AU41" s="282"/>
      <c r="AV41" s="282"/>
      <c r="AW41" s="175"/>
      <c r="AX41" s="267">
        <v>36</v>
      </c>
      <c r="AY41" s="166" t="str">
        <f>" 運　搬　費"</f>
        <v xml:space="preserve"> 運　搬　費</v>
      </c>
      <c r="BC41" s="267">
        <f t="shared" si="14"/>
        <v>16</v>
      </c>
      <c r="BD41" s="267">
        <f t="shared" si="15"/>
        <v>16</v>
      </c>
      <c r="BE41" s="166" t="str">
        <f>IF(COUNTIF($AY$4:AY40,AY41)&gt;0,"",AY41)</f>
        <v xml:space="preserve"> 運　搬　費</v>
      </c>
      <c r="BL41" s="271"/>
      <c r="BM41" s="899"/>
      <c r="BN41" s="899"/>
      <c r="BO41" s="899"/>
      <c r="BP41" s="901">
        <f ca="1">IF($AD$4=0,"",INT(AT39/1000)*1000)</f>
        <v>4460000</v>
      </c>
      <c r="BQ41" s="271"/>
      <c r="BR41" s="271"/>
      <c r="BS41" s="271"/>
    </row>
    <row r="42" spans="1:71" ht="17.25" customHeight="1" thickBot="1">
      <c r="B42" s="2742"/>
      <c r="C42" s="272">
        <v>38</v>
      </c>
      <c r="D42" s="450"/>
      <c r="E42" s="470"/>
      <c r="F42" s="502"/>
      <c r="G42" s="502"/>
      <c r="H42" s="502"/>
      <c r="I42" s="502"/>
      <c r="J42" s="503"/>
      <c r="K42" s="502"/>
      <c r="L42" s="470"/>
      <c r="M42" s="470"/>
      <c r="N42" s="470"/>
      <c r="O42" s="470"/>
      <c r="P42" s="470"/>
      <c r="Q42" s="470"/>
      <c r="R42" s="451"/>
      <c r="S42" s="451"/>
      <c r="T42" s="451"/>
      <c r="U42" s="451"/>
      <c r="V42" s="451"/>
      <c r="W42" s="451"/>
      <c r="X42" s="451"/>
      <c r="Y42" s="451"/>
      <c r="Z42" s="451"/>
      <c r="AA42" s="452"/>
      <c r="AB42" s="179"/>
      <c r="AC42" s="170" t="s">
        <v>542</v>
      </c>
      <c r="AD42" s="283" t="str">
        <f>IF(AF42&lt;&gt;"",AF42,"単価-1")</f>
        <v>単価-1</v>
      </c>
      <c r="AE42" s="162" t="s">
        <v>492</v>
      </c>
      <c r="AF42" s="181"/>
      <c r="AG42" s="182">
        <f>IF(AD42="単価-1",4,IF(AD42="単価-2",5,IF(AD42="単価-3",6,IF(AD42="単価-4",7,""))))</f>
        <v>4</v>
      </c>
      <c r="AH42" s="183"/>
      <c r="AI42" s="175"/>
      <c r="AJ42" s="175"/>
      <c r="AK42" s="175"/>
      <c r="AL42" s="175"/>
      <c r="AM42" s="175"/>
      <c r="AN42" s="175"/>
      <c r="AO42" s="175"/>
      <c r="AP42" s="175"/>
      <c r="AQ42" s="175"/>
      <c r="AR42" s="175"/>
      <c r="AS42" s="184"/>
      <c r="AT42" s="184"/>
      <c r="AU42" s="184"/>
      <c r="AV42" s="284"/>
      <c r="AW42" s="175"/>
      <c r="AX42" s="267">
        <v>37</v>
      </c>
      <c r="AY42" s="166" t="str">
        <f>" 現場管理費"</f>
        <v xml:space="preserve"> 現場管理費</v>
      </c>
      <c r="BC42" s="267">
        <f t="shared" si="14"/>
        <v>17</v>
      </c>
      <c r="BD42" s="267">
        <f t="shared" si="15"/>
        <v>17</v>
      </c>
      <c r="BE42" s="166" t="str">
        <f>IF(COUNTIF($AY$4:AY41,AY42)&gt;0,"",AY42)</f>
        <v xml:space="preserve"> 現場管理費</v>
      </c>
      <c r="BL42" s="271"/>
      <c r="BM42" s="899"/>
      <c r="BN42" s="899"/>
      <c r="BO42" s="899"/>
      <c r="BP42" s="901">
        <f ca="1">IF($AD$4=0,"",INT(AU39/1000)*1000)</f>
        <v>10728000</v>
      </c>
      <c r="BQ42" s="271"/>
      <c r="BR42" s="271"/>
      <c r="BS42" s="271"/>
    </row>
    <row r="43" spans="1:71" ht="17.25" customHeight="1" thickBot="1">
      <c r="B43" s="2742"/>
      <c r="C43" s="272">
        <v>39</v>
      </c>
      <c r="D43" s="2653" t="str">
        <f ca="1">IF(OR(S41="",AD41=0),"","単位面積当たり単価")</f>
        <v>単位面積当たり単価</v>
      </c>
      <c r="E43" s="2654"/>
      <c r="F43" s="2654"/>
      <c r="G43" s="2654"/>
      <c r="H43" s="2654"/>
      <c r="I43" s="2655">
        <f ca="1">IF(D43="","",INT(S41/Top!$AA$63))</f>
        <v>16856</v>
      </c>
      <c r="J43" s="2655"/>
      <c r="K43" s="2655"/>
      <c r="L43" s="505" t="str">
        <f ca="1">IF(I43="","","／ｍ2")</f>
        <v>／ｍ2</v>
      </c>
      <c r="M43" s="505"/>
      <c r="N43" s="2655">
        <f ca="1">IF(D43="","",INT(I43/0.3025))</f>
        <v>55722</v>
      </c>
      <c r="O43" s="2655"/>
      <c r="P43" s="2655"/>
      <c r="Q43" s="505" t="str">
        <f ca="1">IF(N43="","","／坪")</f>
        <v>／坪</v>
      </c>
      <c r="R43" s="451"/>
      <c r="S43" s="451"/>
      <c r="T43" s="319"/>
      <c r="U43" s="451"/>
      <c r="V43" s="451"/>
      <c r="W43" s="451"/>
      <c r="X43" s="451"/>
      <c r="Y43" s="451"/>
      <c r="Z43" s="451"/>
      <c r="AA43" s="452"/>
      <c r="AB43" s="179"/>
      <c r="AC43" s="170" t="s">
        <v>543</v>
      </c>
      <c r="AD43" s="283" t="str">
        <f>IF(AF43&lt;&gt;"",AF43,"歩掛-1")</f>
        <v>歩掛-1</v>
      </c>
      <c r="AE43" s="162" t="s">
        <v>492</v>
      </c>
      <c r="AF43" s="181"/>
      <c r="AG43" s="285">
        <f>IF(AD43="歩掛-1",8,IF(AD43="歩掛-2",9,IF(AD43="歩掛-3",10)))</f>
        <v>8</v>
      </c>
      <c r="AH43" s="175"/>
      <c r="AI43" s="175"/>
      <c r="AJ43" s="175"/>
      <c r="AK43" s="175"/>
      <c r="AL43" s="175"/>
      <c r="AM43" s="175"/>
      <c r="AN43" s="175"/>
      <c r="AO43" s="175"/>
      <c r="AP43" s="175"/>
      <c r="AQ43" s="175"/>
      <c r="AR43" s="175"/>
      <c r="AS43" s="286"/>
      <c r="AT43" s="286"/>
      <c r="AU43" s="286"/>
      <c r="AV43" s="286"/>
      <c r="AW43" s="175"/>
      <c r="AX43" s="267">
        <v>38</v>
      </c>
      <c r="AY43" s="166" t="str">
        <f>" 諸　経　費"</f>
        <v xml:space="preserve"> 諸　経　費</v>
      </c>
      <c r="BC43" s="267">
        <f t="shared" si="14"/>
        <v>18</v>
      </c>
      <c r="BD43" s="267">
        <f t="shared" si="15"/>
        <v>18</v>
      </c>
      <c r="BE43" s="166" t="str">
        <f>IF(COUNTIF($AY$4:AY42,AY43)&gt;0,"",AY43)</f>
        <v xml:space="preserve"> 諸　経　費</v>
      </c>
      <c r="BK43" s="2694">
        <f>SUM(BP6:BP38)</f>
        <v>372951100</v>
      </c>
      <c r="BL43" s="2694"/>
      <c r="BM43" s="899"/>
      <c r="BN43" s="899"/>
      <c r="BO43" s="899"/>
      <c r="BP43" s="901">
        <f ca="1">IF($AD$4=0,"",AV39)</f>
        <v>44754000</v>
      </c>
      <c r="BQ43" s="2692"/>
      <c r="BR43" s="2693"/>
      <c r="BS43" s="271"/>
    </row>
    <row r="44" spans="1:71" ht="17.25" customHeight="1" thickBot="1">
      <c r="B44" s="2742"/>
      <c r="C44" s="272">
        <v>40</v>
      </c>
      <c r="D44" s="450"/>
      <c r="E44" s="319"/>
      <c r="F44" s="319"/>
      <c r="G44" s="319"/>
      <c r="H44" s="504"/>
      <c r="I44" s="319"/>
      <c r="J44" s="319"/>
      <c r="K44" s="319"/>
      <c r="L44" s="319"/>
      <c r="M44" s="319"/>
      <c r="N44" s="319"/>
      <c r="O44" s="319"/>
      <c r="P44" s="319"/>
      <c r="Q44" s="319"/>
      <c r="R44" s="451"/>
      <c r="S44" s="451"/>
      <c r="T44" s="319"/>
      <c r="U44" s="451"/>
      <c r="V44" s="451"/>
      <c r="W44" s="451"/>
      <c r="X44" s="451"/>
      <c r="Y44" s="451"/>
      <c r="Z44" s="451"/>
      <c r="AA44" s="452"/>
      <c r="AB44" s="179"/>
      <c r="AC44" s="170" t="s">
        <v>544</v>
      </c>
      <c r="AD44" s="908">
        <f>IF(AF44="",6000,AF44)</f>
        <v>6000</v>
      </c>
      <c r="AE44" s="162" t="s">
        <v>492</v>
      </c>
      <c r="AF44" s="909"/>
      <c r="AG44" s="185"/>
      <c r="AH44" s="185"/>
      <c r="AI44" s="185"/>
      <c r="AJ44" s="185"/>
      <c r="AK44" s="185"/>
      <c r="AL44" s="185"/>
      <c r="AM44" s="185"/>
      <c r="AN44" s="185"/>
      <c r="AO44" s="185"/>
      <c r="AP44" s="185"/>
      <c r="AQ44" s="185"/>
      <c r="AR44" s="185"/>
      <c r="AS44" s="185"/>
      <c r="AT44" s="185"/>
      <c r="AU44" s="185"/>
      <c r="AV44" s="185"/>
      <c r="AW44" s="185"/>
      <c r="AX44" s="267">
        <v>39</v>
      </c>
      <c r="AY44" s="166" t="str">
        <f>"　　　 　　　　　　(合計)"</f>
        <v>　　　 　　　　　　(合計)</v>
      </c>
      <c r="BC44" s="267">
        <f t="shared" si="14"/>
        <v>19</v>
      </c>
      <c r="BD44" s="267">
        <f t="shared" si="15"/>
        <v>19</v>
      </c>
      <c r="BE44" s="166" t="str">
        <f>IF(COUNTIF(AY$4:$BD43,AY44)&gt;0,"",AY44)</f>
        <v>　　　 　　　　　　(合計)</v>
      </c>
      <c r="BK44" s="461"/>
      <c r="BL44" s="461"/>
      <c r="BM44" s="899"/>
      <c r="BN44" s="899"/>
      <c r="BO44" s="899"/>
      <c r="BP44" s="901">
        <f ca="1">IF($AD$4=0,0,INT(SUM(BP39:BP42)/1000)*1000)</f>
        <v>390940000</v>
      </c>
      <c r="BQ44" s="2695">
        <f ca="1">SUM(BP39:BP43)</f>
        <v>435694100</v>
      </c>
      <c r="BR44" s="2696"/>
      <c r="BS44" s="271"/>
    </row>
    <row r="45" spans="1:71" ht="17.25" customHeight="1" thickBot="1">
      <c r="B45" s="2742"/>
      <c r="C45" s="272">
        <v>41</v>
      </c>
      <c r="D45" s="450"/>
      <c r="E45" s="451"/>
      <c r="F45" s="451"/>
      <c r="G45" s="451"/>
      <c r="H45" s="318"/>
      <c r="I45" s="451"/>
      <c r="J45" s="451"/>
      <c r="K45" s="451"/>
      <c r="L45" s="451"/>
      <c r="M45" s="451"/>
      <c r="N45" s="451"/>
      <c r="O45" s="451"/>
      <c r="P45" s="451"/>
      <c r="Q45" s="319"/>
      <c r="R45" s="451"/>
      <c r="S45" s="451"/>
      <c r="T45" s="451"/>
      <c r="U45" s="451"/>
      <c r="V45" s="451"/>
      <c r="W45" s="451"/>
      <c r="X45" s="451"/>
      <c r="Y45" s="451"/>
      <c r="Z45" s="451"/>
      <c r="AA45" s="452"/>
      <c r="AB45" s="179"/>
      <c r="AC45" s="175"/>
      <c r="AD45" s="175"/>
      <c r="AE45" s="267"/>
      <c r="AX45" s="267"/>
      <c r="AY45" s="166"/>
      <c r="AZ45" s="288"/>
      <c r="BC45" s="267"/>
      <c r="BD45" s="267"/>
      <c r="BE45" s="166"/>
      <c r="BM45" s="902"/>
      <c r="BN45" s="902"/>
      <c r="BO45" s="902"/>
      <c r="BP45" s="901">
        <f ca="1">IF($AD$4=0,"",BP39+BQ43)</f>
        <v>372951100</v>
      </c>
    </row>
    <row r="46" spans="1:71" ht="17.25" customHeight="1" thickBot="1">
      <c r="B46" s="2742"/>
      <c r="C46" s="272">
        <v>42</v>
      </c>
      <c r="D46" s="450"/>
      <c r="E46" s="451"/>
      <c r="F46" s="451"/>
      <c r="G46" s="451"/>
      <c r="H46" s="318"/>
      <c r="I46" s="451"/>
      <c r="J46" s="451"/>
      <c r="K46" s="451"/>
      <c r="L46" s="451"/>
      <c r="M46" s="451"/>
      <c r="N46" s="451"/>
      <c r="O46" s="451"/>
      <c r="P46" s="451"/>
      <c r="Q46" s="319"/>
      <c r="R46" s="451"/>
      <c r="S46" s="451"/>
      <c r="T46" s="451"/>
      <c r="U46" s="451"/>
      <c r="V46" s="451"/>
      <c r="W46" s="451"/>
      <c r="X46" s="451"/>
      <c r="Y46" s="451"/>
      <c r="Z46" s="451"/>
      <c r="AA46" s="452"/>
      <c r="AB46" s="179"/>
      <c r="AC46" s="170" t="s">
        <v>2303</v>
      </c>
      <c r="AD46" s="289">
        <f>IF(AF46&lt;&gt;"",AF46,0.03)</f>
        <v>0.03</v>
      </c>
      <c r="AE46" s="162" t="s">
        <v>492</v>
      </c>
      <c r="AF46" s="186"/>
      <c r="AG46" s="187"/>
      <c r="AH46" s="2714"/>
      <c r="AI46" s="2714"/>
      <c r="AJ46" s="2714"/>
      <c r="AK46" s="2715"/>
      <c r="AL46" s="2715"/>
      <c r="AM46" s="2715"/>
      <c r="AN46" s="182"/>
      <c r="AO46" s="188"/>
      <c r="AP46" s="187"/>
      <c r="AQ46" s="187"/>
      <c r="AR46" s="187"/>
      <c r="AS46" s="187"/>
      <c r="AT46" s="187"/>
      <c r="AU46" s="187"/>
      <c r="AV46" s="187"/>
      <c r="AW46" s="187"/>
      <c r="AX46" s="189"/>
      <c r="AY46" s="2716"/>
      <c r="AZ46" s="2716"/>
      <c r="BA46" s="290"/>
      <c r="BB46" s="290"/>
      <c r="BL46" s="166" t="str">
        <f>"消費税相当額"</f>
        <v>消費税相当額</v>
      </c>
      <c r="BM46" s="902"/>
      <c r="BN46" s="902"/>
      <c r="BO46" s="902"/>
      <c r="BP46" s="903">
        <f ca="1">IF($AD$4=0,"",IF(AD4=0,"",BQ44*AD51))</f>
        <v>43569410</v>
      </c>
    </row>
    <row r="47" spans="1:71" ht="17.25" customHeight="1" thickBot="1">
      <c r="B47" s="2742"/>
      <c r="C47" s="272">
        <v>43</v>
      </c>
      <c r="D47" s="450"/>
      <c r="E47" s="451"/>
      <c r="F47" s="451"/>
      <c r="G47" s="451"/>
      <c r="H47" s="318"/>
      <c r="I47" s="451"/>
      <c r="J47" s="451"/>
      <c r="K47" s="451"/>
      <c r="L47" s="451"/>
      <c r="M47" s="451"/>
      <c r="N47" s="451"/>
      <c r="O47" s="451"/>
      <c r="P47" s="451"/>
      <c r="Q47" s="451"/>
      <c r="R47" s="451"/>
      <c r="S47" s="451"/>
      <c r="T47" s="451"/>
      <c r="U47" s="451"/>
      <c r="V47" s="451"/>
      <c r="W47" s="451"/>
      <c r="X47" s="319"/>
      <c r="Y47" s="319"/>
      <c r="Z47" s="451"/>
      <c r="AA47" s="452"/>
      <c r="AB47" s="179"/>
      <c r="AC47" s="170" t="s">
        <v>2304</v>
      </c>
      <c r="AD47" s="289">
        <f>IF(AF47&lt;&gt;"",AF47,0.015)</f>
        <v>1.4999999999999999E-2</v>
      </c>
      <c r="AE47" s="162" t="s">
        <v>492</v>
      </c>
      <c r="AF47" s="186"/>
      <c r="AG47" s="187"/>
      <c r="AH47" s="187"/>
      <c r="AI47" s="187"/>
      <c r="AJ47" s="187"/>
      <c r="AK47" s="187"/>
      <c r="AL47" s="187"/>
      <c r="AM47" s="187"/>
      <c r="AN47" s="187"/>
      <c r="AO47" s="187"/>
      <c r="AP47" s="187"/>
      <c r="AQ47" s="187"/>
      <c r="AR47" s="187"/>
      <c r="AS47" s="187"/>
      <c r="AT47" s="187"/>
      <c r="AU47" s="187"/>
      <c r="AV47" s="187"/>
      <c r="AW47" s="187"/>
      <c r="AX47" s="189"/>
      <c r="AY47" s="2716"/>
      <c r="AZ47" s="2716"/>
      <c r="BA47" s="290"/>
      <c r="BB47" s="290"/>
    </row>
    <row r="48" spans="1:71" ht="17.25" customHeight="1" thickBot="1">
      <c r="B48" s="2742"/>
      <c r="C48" s="272">
        <v>44</v>
      </c>
      <c r="D48" s="450"/>
      <c r="E48" s="451"/>
      <c r="F48" s="451"/>
      <c r="G48" s="451"/>
      <c r="H48" s="451"/>
      <c r="I48" s="451"/>
      <c r="J48" s="451"/>
      <c r="K48" s="451"/>
      <c r="L48" s="451"/>
      <c r="M48" s="451"/>
      <c r="N48" s="451"/>
      <c r="O48" s="451"/>
      <c r="P48" s="451"/>
      <c r="Q48" s="451"/>
      <c r="R48" s="451"/>
      <c r="S48" s="319"/>
      <c r="T48" s="319"/>
      <c r="U48" s="319"/>
      <c r="V48" s="319"/>
      <c r="W48" s="319"/>
      <c r="X48" s="451"/>
      <c r="Y48" s="451"/>
      <c r="Z48" s="451"/>
      <c r="AA48" s="452"/>
      <c r="AB48" s="179"/>
      <c r="AC48" s="170" t="s">
        <v>2072</v>
      </c>
      <c r="AD48" s="289">
        <f>IF(AF48&lt;&gt;"",AF48,0.05)</f>
        <v>0.05</v>
      </c>
      <c r="AE48" s="162" t="s">
        <v>492</v>
      </c>
      <c r="AF48" s="186"/>
      <c r="AG48" s="187"/>
      <c r="AH48" s="187"/>
      <c r="AI48" s="187"/>
      <c r="AJ48" s="187"/>
      <c r="AK48" s="187"/>
      <c r="AL48" s="187"/>
      <c r="AM48" s="187"/>
      <c r="AN48" s="187"/>
      <c r="AO48" s="187"/>
      <c r="AP48" s="187"/>
      <c r="AQ48" s="187"/>
      <c r="AR48" s="187"/>
      <c r="AS48" s="187"/>
      <c r="AT48" s="187"/>
      <c r="AU48" s="187"/>
      <c r="AV48" s="187"/>
      <c r="AW48" s="187"/>
      <c r="AX48" s="189"/>
      <c r="AY48" s="2716"/>
      <c r="AZ48" s="2716"/>
      <c r="BA48" s="290"/>
      <c r="BB48" s="290"/>
      <c r="BH48" s="190"/>
      <c r="BI48" s="190"/>
      <c r="BJ48" s="190"/>
    </row>
    <row r="49" spans="2:54" ht="17.25" customHeight="1" thickBot="1">
      <c r="B49" s="2742"/>
      <c r="C49" s="291">
        <v>45</v>
      </c>
      <c r="D49" s="447"/>
      <c r="E49" s="448"/>
      <c r="F49" s="448"/>
      <c r="G49" s="448"/>
      <c r="H49" s="448"/>
      <c r="I49" s="448"/>
      <c r="J49" s="448"/>
      <c r="K49" s="448"/>
      <c r="L49" s="448"/>
      <c r="M49" s="448"/>
      <c r="N49" s="448"/>
      <c r="O49" s="448"/>
      <c r="P49" s="448"/>
      <c r="Q49" s="448"/>
      <c r="R49" s="448"/>
      <c r="S49" s="448"/>
      <c r="T49" s="448"/>
      <c r="U49" s="448"/>
      <c r="V49" s="448"/>
      <c r="W49" s="448"/>
      <c r="X49" s="448"/>
      <c r="Y49" s="448"/>
      <c r="Z49" s="448"/>
      <c r="AA49" s="449"/>
      <c r="AB49" s="179"/>
      <c r="AC49" s="170" t="s">
        <v>2073</v>
      </c>
      <c r="AD49" s="292">
        <f ca="1">IF(AD4=0,"",IF(AF49&lt;&gt;"",AF49,(INT((SQRT(BP44*10^-4)^-0.35)*100)/100)*0.8))</f>
        <v>0.12</v>
      </c>
      <c r="AE49" s="162" t="s">
        <v>492</v>
      </c>
      <c r="AF49" s="186"/>
      <c r="AG49" s="187"/>
      <c r="AH49" s="187"/>
      <c r="AI49" s="187"/>
      <c r="AJ49" s="187"/>
      <c r="AK49" s="892"/>
      <c r="AL49" s="187"/>
      <c r="AM49" s="187"/>
      <c r="AN49" s="187"/>
      <c r="AO49" s="187"/>
      <c r="AP49" s="187"/>
      <c r="AQ49" s="187"/>
      <c r="AR49" s="187"/>
      <c r="AS49" s="187"/>
      <c r="AT49" s="187"/>
      <c r="AU49" s="187"/>
      <c r="AV49" s="187"/>
      <c r="AW49" s="187"/>
      <c r="AX49" s="189"/>
      <c r="AY49" s="2716"/>
      <c r="AZ49" s="2716"/>
      <c r="BA49" s="290"/>
      <c r="BB49" s="290"/>
    </row>
    <row r="50" spans="2:54" ht="4.5" customHeight="1" thickBot="1">
      <c r="B50" s="2742"/>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4"/>
    </row>
    <row r="51" spans="2:54" ht="12.75" customHeight="1" thickBot="1">
      <c r="B51" s="2587" t="s">
        <v>545</v>
      </c>
      <c r="C51" s="476" t="s">
        <v>546</v>
      </c>
      <c r="D51" s="473">
        <f ca="1">IF(SUM(D55:D90)=0,"",D2+1)</f>
        <v>2</v>
      </c>
      <c r="E51" s="242"/>
      <c r="F51" s="2704" t="str">
        <f>$F$2</f>
        <v xml:space="preserve"> (原価セル番号[F2],[F3],[F4] )  この三行は、入力可能"セル"です。</v>
      </c>
      <c r="G51" s="2704"/>
      <c r="H51" s="2704"/>
      <c r="I51" s="2704"/>
      <c r="J51" s="2704"/>
      <c r="K51" s="2704"/>
      <c r="L51" s="2704"/>
      <c r="M51" s="2704"/>
      <c r="N51" s="2704"/>
      <c r="O51" s="2704"/>
      <c r="P51" s="2704"/>
      <c r="Q51" s="2704"/>
      <c r="R51" s="2704"/>
      <c r="S51" s="2704"/>
      <c r="T51" s="2704"/>
      <c r="U51" s="2704"/>
      <c r="V51" s="248"/>
      <c r="W51" s="2711" t="s">
        <v>999</v>
      </c>
      <c r="X51" s="2711"/>
      <c r="Y51" s="2712">
        <f ca="1">Y2</f>
        <v>44092.92644722222</v>
      </c>
      <c r="Z51" s="2712"/>
      <c r="AA51" s="2712"/>
      <c r="AB51" s="295"/>
      <c r="AC51" s="296" t="s">
        <v>547</v>
      </c>
      <c r="AD51" s="893">
        <f>IF(AF51&lt;&gt;"",AF51,0.1)</f>
        <v>0.1</v>
      </c>
      <c r="AE51" s="162" t="s">
        <v>492</v>
      </c>
      <c r="AF51" s="191"/>
      <c r="AG51" s="192"/>
      <c r="AH51" s="192"/>
      <c r="AI51" s="192"/>
      <c r="AJ51" s="192"/>
      <c r="AK51" s="192"/>
      <c r="AL51" s="192"/>
      <c r="AM51" s="192"/>
      <c r="AN51" s="192"/>
      <c r="AO51" s="192"/>
      <c r="AP51" s="192"/>
      <c r="AQ51" s="192"/>
      <c r="AR51" s="192"/>
      <c r="AS51" s="192"/>
      <c r="AT51" s="192"/>
      <c r="AU51" s="192"/>
      <c r="AV51" s="192"/>
      <c r="AW51" s="192"/>
    </row>
    <row r="52" spans="2:54" ht="12" customHeight="1">
      <c r="B52" s="2587"/>
      <c r="C52" s="241"/>
      <c r="D52" s="241"/>
      <c r="E52" s="241"/>
      <c r="F52" s="2704" t="str">
        <f>$F$3</f>
        <v>Cell No.[E2]～[E4]の範囲のセルには、企業情報・ロゴ等の表示に、活用</v>
      </c>
      <c r="G52" s="2704"/>
      <c r="H52" s="2704"/>
      <c r="I52" s="2704"/>
      <c r="J52" s="2704"/>
      <c r="K52" s="2704"/>
      <c r="L52" s="2704"/>
      <c r="M52" s="2704"/>
      <c r="N52" s="2704"/>
      <c r="O52" s="2704"/>
      <c r="P52" s="2704"/>
      <c r="Q52" s="2704"/>
      <c r="R52" s="2704"/>
      <c r="S52" s="2704"/>
      <c r="T52" s="2704"/>
      <c r="U52" s="2704"/>
      <c r="V52" s="245"/>
      <c r="W52" s="491"/>
      <c r="X52" s="489" t="str">
        <f>$X$3</f>
        <v xml:space="preserve">    TELEPHONE:</v>
      </c>
      <c r="Y52" s="2706" t="str">
        <f>$Y$3</f>
        <v>0nn-nnn-nnnn</v>
      </c>
      <c r="Z52" s="2707"/>
      <c r="AA52" s="2707"/>
      <c r="AB52" s="247"/>
      <c r="AC52" s="241"/>
      <c r="AD52" s="241"/>
      <c r="AE52" s="241"/>
      <c r="AF52" s="241"/>
      <c r="AG52" s="241"/>
      <c r="AH52" s="241"/>
      <c r="AI52" s="241"/>
      <c r="AJ52" s="241"/>
      <c r="AK52" s="241"/>
      <c r="AL52" s="241"/>
      <c r="AM52" s="241"/>
      <c r="AN52" s="241"/>
      <c r="AO52" s="241"/>
      <c r="AP52" s="241"/>
      <c r="AQ52" s="241"/>
      <c r="AR52" s="241"/>
      <c r="AS52" s="241"/>
      <c r="AT52" s="241"/>
      <c r="AU52" s="241"/>
      <c r="AV52" s="241"/>
      <c r="AW52" s="241"/>
    </row>
    <row r="53" spans="2:54" ht="16.5" customHeight="1" thickBot="1">
      <c r="B53" s="2587"/>
      <c r="C53" s="248"/>
      <c r="D53" s="248"/>
      <c r="E53" s="248"/>
      <c r="F53" s="2704" t="str">
        <f>$F$4</f>
        <v>できます。 　ここに入力したデータは、関連する各ページに自動転記されます。</v>
      </c>
      <c r="G53" s="2704"/>
      <c r="H53" s="2704"/>
      <c r="I53" s="2704"/>
      <c r="J53" s="2704"/>
      <c r="K53" s="2704"/>
      <c r="L53" s="2704"/>
      <c r="M53" s="2704"/>
      <c r="N53" s="2704"/>
      <c r="O53" s="2704"/>
      <c r="P53" s="2704"/>
      <c r="Q53" s="2704"/>
      <c r="R53" s="2704"/>
      <c r="S53" s="2704"/>
      <c r="T53" s="2704"/>
      <c r="U53" s="2704"/>
      <c r="V53" s="249"/>
      <c r="W53" s="492"/>
      <c r="X53" s="490" t="str">
        <f>$X$4</f>
        <v>　　FACSIMILE:</v>
      </c>
      <c r="Y53" s="2708" t="str">
        <f>$Y$4</f>
        <v>0nn-nnn-nnnn</v>
      </c>
      <c r="Z53" s="2709"/>
      <c r="AA53" s="2709"/>
      <c r="AB53" s="252"/>
      <c r="AC53" s="241"/>
      <c r="AD53" s="187"/>
      <c r="AE53" s="187"/>
      <c r="AF53" s="187"/>
      <c r="AG53" s="187"/>
      <c r="AH53" s="241"/>
      <c r="AI53" s="241"/>
      <c r="AJ53" s="241"/>
      <c r="AK53" s="241"/>
      <c r="AL53" s="241"/>
      <c r="AM53" s="241"/>
      <c r="AN53" s="241"/>
      <c r="AO53" s="241"/>
      <c r="AP53" s="241"/>
      <c r="AQ53" s="241"/>
      <c r="AR53" s="241"/>
      <c r="AS53" s="241"/>
      <c r="AT53" s="241"/>
      <c r="AU53" s="241"/>
      <c r="AV53" s="241"/>
      <c r="AW53" s="241"/>
    </row>
    <row r="54" spans="2:54" ht="18.75" customHeight="1">
      <c r="B54" s="2587"/>
      <c r="C54" s="297">
        <v>1</v>
      </c>
      <c r="D54" s="457" t="s">
        <v>467</v>
      </c>
      <c r="E54" s="2702" t="s">
        <v>468</v>
      </c>
      <c r="F54" s="2702"/>
      <c r="G54" s="2702"/>
      <c r="H54" s="2702"/>
      <c r="I54" s="2702"/>
      <c r="J54" s="2702"/>
      <c r="K54" s="2702"/>
      <c r="L54" s="458" t="s">
        <v>469</v>
      </c>
      <c r="M54" s="458" t="s">
        <v>470</v>
      </c>
      <c r="N54" s="2702" t="s">
        <v>471</v>
      </c>
      <c r="O54" s="2702"/>
      <c r="P54" s="2702"/>
      <c r="Q54" s="2702"/>
      <c r="R54" s="2702"/>
      <c r="S54" s="2702" t="s">
        <v>472</v>
      </c>
      <c r="T54" s="2702"/>
      <c r="U54" s="2702"/>
      <c r="V54" s="2702"/>
      <c r="W54" s="2702"/>
      <c r="X54" s="2702" t="s">
        <v>473</v>
      </c>
      <c r="Y54" s="2702"/>
      <c r="Z54" s="2702"/>
      <c r="AA54" s="2703"/>
      <c r="AB54" s="259"/>
      <c r="AC54" s="298"/>
      <c r="AD54" s="298"/>
      <c r="AE54" s="298"/>
      <c r="AF54" s="298"/>
      <c r="AG54" s="298"/>
      <c r="AH54" s="298"/>
      <c r="AI54" s="298"/>
      <c r="AJ54" s="298"/>
      <c r="AK54" s="298"/>
      <c r="AL54" s="298"/>
      <c r="AM54" s="298"/>
      <c r="AN54" s="298"/>
      <c r="AO54" s="298"/>
      <c r="AP54" s="298"/>
      <c r="AQ54" s="298"/>
      <c r="AR54" s="298"/>
      <c r="AS54" s="298"/>
      <c r="AT54" s="298"/>
      <c r="AU54" s="298"/>
      <c r="AV54" s="298"/>
      <c r="AW54" s="298"/>
    </row>
    <row r="55" spans="2:54" ht="17.25" customHeight="1">
      <c r="B55" s="2587"/>
      <c r="C55" s="299">
        <v>2</v>
      </c>
      <c r="D55" s="464">
        <f ca="1">D6</f>
        <v>1</v>
      </c>
      <c r="E55" s="2697" t="str">
        <f ca="1">IF(D6="","",E6)</f>
        <v xml:space="preserve"> 引込工事</v>
      </c>
      <c r="F55" s="2698"/>
      <c r="G55" s="2698"/>
      <c r="H55" s="2698"/>
      <c r="I55" s="2698"/>
      <c r="J55" s="2698"/>
      <c r="K55" s="2698"/>
      <c r="L55" s="2625">
        <f ca="1">IF(OR(D55="",$AD$41=0),"",INT(S59/Top!$AA$63))</f>
        <v>112</v>
      </c>
      <c r="M55" s="2625"/>
      <c r="N55" s="451" t="str">
        <f ca="1">IF(L55="","","／ｍ2")</f>
        <v>／ｍ2</v>
      </c>
      <c r="O55" s="451"/>
      <c r="P55" s="2626">
        <f ca="1">IF(L55="","",INT(L55/0.3025))</f>
        <v>370</v>
      </c>
      <c r="Q55" s="2626"/>
      <c r="R55" s="451" t="str">
        <f ca="1">IF(P55="","","／坪")</f>
        <v>／坪</v>
      </c>
      <c r="S55" s="2607" t="str">
        <f ca="1">IF(L55="","","合計金額に対する割合；")</f>
        <v>合計金額に対する割合；</v>
      </c>
      <c r="T55" s="2607"/>
      <c r="U55" s="2607"/>
      <c r="V55" s="2607"/>
      <c r="W55" s="2607"/>
      <c r="X55" s="2607"/>
      <c r="Y55" s="2608">
        <f ca="1">IF(L55="","",$AC$41*100*S59/$S$41)</f>
        <v>0.85989825475779536</v>
      </c>
      <c r="Z55" s="2608"/>
      <c r="AA55" s="471" t="str">
        <f ca="1">IF(L55="","","％")</f>
        <v>％</v>
      </c>
      <c r="AB55" s="300"/>
      <c r="AC55" s="301"/>
      <c r="AD55" s="301"/>
      <c r="AE55" s="301"/>
      <c r="AF55" s="301"/>
      <c r="AG55" s="301"/>
      <c r="AH55" s="301"/>
      <c r="AI55" s="301"/>
      <c r="AJ55" s="301"/>
      <c r="AK55" s="301"/>
      <c r="AL55" s="301"/>
      <c r="AM55" s="301"/>
      <c r="AN55" s="301"/>
      <c r="AO55" s="301"/>
      <c r="AP55" s="301"/>
      <c r="AQ55" s="301"/>
      <c r="AR55" s="301"/>
      <c r="AS55" s="301"/>
      <c r="AT55" s="301"/>
      <c r="AU55" s="301"/>
      <c r="AV55" s="301"/>
      <c r="AW55" s="301"/>
    </row>
    <row r="56" spans="2:54" ht="17.25" customHeight="1">
      <c r="B56" s="2587"/>
      <c r="C56" s="302">
        <v>3</v>
      </c>
      <c r="D56" s="453"/>
      <c r="E56" s="2614" t="str">
        <f ca="1">IF(D55&lt;&gt;"",VLOOKUP(D55,内訳,7,FALSE),"")</f>
        <v>配管配線材料</v>
      </c>
      <c r="F56" s="2615"/>
      <c r="G56" s="2615"/>
      <c r="H56" s="2615"/>
      <c r="I56" s="2615"/>
      <c r="J56" s="2615"/>
      <c r="K56" s="2616"/>
      <c r="L56" s="468">
        <f ca="1">IF(E56&lt;&gt;"",1,"")</f>
        <v>1</v>
      </c>
      <c r="M56" s="468" t="str">
        <f ca="1">IF(E56&lt;&gt;"","式","")</f>
        <v>式</v>
      </c>
      <c r="N56" s="2617">
        <f ca="1">IF(D55&lt;&gt;"",VLOOKUP(D55,内訳,10,FALSE),"")</f>
        <v>1318000</v>
      </c>
      <c r="O56" s="2617"/>
      <c r="P56" s="2617"/>
      <c r="Q56" s="2617"/>
      <c r="R56" s="2617"/>
      <c r="S56" s="2583"/>
      <c r="T56" s="2583"/>
      <c r="U56" s="2583"/>
      <c r="V56" s="2583"/>
      <c r="W56" s="2583"/>
      <c r="X56" s="2584"/>
      <c r="Y56" s="2585"/>
      <c r="Z56" s="2585"/>
      <c r="AA56" s="2586"/>
      <c r="AB56" s="179"/>
      <c r="AC56" s="175"/>
      <c r="AD56" s="175"/>
      <c r="AE56" s="175"/>
      <c r="AF56" s="175"/>
      <c r="AG56" s="175"/>
      <c r="AH56" s="175"/>
      <c r="AI56" s="175"/>
      <c r="AJ56" s="175"/>
      <c r="AK56" s="175"/>
      <c r="AL56" s="175"/>
      <c r="AM56" s="175"/>
      <c r="AN56" s="175"/>
      <c r="AO56" s="175"/>
      <c r="AP56" s="175"/>
      <c r="AQ56" s="175"/>
      <c r="AR56" s="175"/>
      <c r="AS56" s="175"/>
      <c r="AT56" s="175"/>
      <c r="AU56" s="175"/>
      <c r="AV56" s="175"/>
      <c r="AW56" s="175"/>
    </row>
    <row r="57" spans="2:54" ht="17.25" customHeight="1">
      <c r="B57" s="2587"/>
      <c r="C57" s="302">
        <v>4</v>
      </c>
      <c r="D57" s="335"/>
      <c r="E57" s="2614" t="str">
        <f ca="1">IF(D55&lt;&gt;"",VLOOKUP(D55,内訳,8,FALSE),"")</f>
        <v>機 　器　 類</v>
      </c>
      <c r="F57" s="2615"/>
      <c r="G57" s="2615"/>
      <c r="H57" s="2615"/>
      <c r="I57" s="2615"/>
      <c r="J57" s="2615"/>
      <c r="K57" s="2616"/>
      <c r="L57" s="468">
        <f t="shared" ref="L57:L78" ca="1" si="20">IF(E57&lt;&gt;"",1,"")</f>
        <v>1</v>
      </c>
      <c r="M57" s="468" t="str">
        <f t="shared" ref="M57:M78" ca="1" si="21">IF(E57&lt;&gt;"","式","")</f>
        <v>式</v>
      </c>
      <c r="N57" s="2617">
        <f ca="1">IF(D55&lt;&gt;"",VLOOKUP(D55,内訳,11,FALSE),"")</f>
        <v>1115000</v>
      </c>
      <c r="O57" s="2617"/>
      <c r="P57" s="2617"/>
      <c r="Q57" s="2617"/>
      <c r="R57" s="2617"/>
      <c r="S57" s="2583"/>
      <c r="T57" s="2583"/>
      <c r="U57" s="2583"/>
      <c r="V57" s="2583"/>
      <c r="W57" s="2583"/>
      <c r="X57" s="2584"/>
      <c r="Y57" s="2585"/>
      <c r="Z57" s="2585"/>
      <c r="AA57" s="2586"/>
      <c r="AB57" s="179"/>
      <c r="AC57" s="175"/>
      <c r="AD57" s="175"/>
      <c r="AE57" s="175"/>
      <c r="AF57" s="175"/>
      <c r="AG57" s="175"/>
      <c r="AH57" s="175"/>
      <c r="AI57" s="175"/>
      <c r="AJ57" s="175"/>
      <c r="AK57" s="175"/>
      <c r="AL57" s="175"/>
      <c r="AM57" s="175"/>
      <c r="AN57" s="175"/>
      <c r="AO57" s="175"/>
      <c r="AP57" s="175"/>
      <c r="AQ57" s="175"/>
      <c r="AR57" s="175"/>
      <c r="AS57" s="175"/>
      <c r="AT57" s="175"/>
      <c r="AU57" s="175"/>
      <c r="AV57" s="175"/>
      <c r="AW57" s="175"/>
    </row>
    <row r="58" spans="2:54" ht="17.25" customHeight="1">
      <c r="B58" s="2587"/>
      <c r="C58" s="302">
        <v>5</v>
      </c>
      <c r="D58" s="336"/>
      <c r="E58" s="2614" t="str">
        <f ca="1">IF(D55&lt;&gt;"",VLOOKUP(D55,内訳,9,FALSE),"")</f>
        <v>電 　工　 費</v>
      </c>
      <c r="F58" s="2615"/>
      <c r="G58" s="2615"/>
      <c r="H58" s="2615"/>
      <c r="I58" s="2615"/>
      <c r="J58" s="2615"/>
      <c r="K58" s="2616"/>
      <c r="L58" s="468">
        <f t="shared" ca="1" si="20"/>
        <v>1</v>
      </c>
      <c r="M58" s="468" t="str">
        <f t="shared" ca="1" si="21"/>
        <v>式</v>
      </c>
      <c r="N58" s="2617">
        <f ca="1">IF(D55&lt;&gt;"",VLOOKUP(D55,内訳,12,FALSE),"")</f>
        <v>774000</v>
      </c>
      <c r="O58" s="2617"/>
      <c r="P58" s="2617"/>
      <c r="Q58" s="2617"/>
      <c r="R58" s="2617"/>
      <c r="S58" s="2583"/>
      <c r="T58" s="2583"/>
      <c r="U58" s="2583"/>
      <c r="V58" s="2583"/>
      <c r="W58" s="2583"/>
      <c r="X58" s="2584"/>
      <c r="Y58" s="2585"/>
      <c r="Z58" s="2585"/>
      <c r="AA58" s="2586"/>
      <c r="AB58" s="179"/>
      <c r="AC58" s="175"/>
      <c r="AD58" s="175"/>
      <c r="AE58" s="175"/>
      <c r="AF58" s="175"/>
      <c r="AG58" s="175"/>
      <c r="AH58" s="175"/>
      <c r="AI58" s="175"/>
      <c r="AJ58" s="175"/>
      <c r="AK58" s="175"/>
      <c r="AL58" s="175"/>
      <c r="AM58" s="175"/>
      <c r="AN58" s="175"/>
      <c r="AO58" s="175"/>
      <c r="AP58" s="175"/>
      <c r="AQ58" s="175"/>
      <c r="AR58" s="175"/>
      <c r="AS58" s="175"/>
      <c r="AT58" s="175"/>
      <c r="AU58" s="175"/>
      <c r="AV58" s="175"/>
      <c r="AW58" s="175"/>
    </row>
    <row r="59" spans="2:54" ht="17.25" customHeight="1">
      <c r="B59" s="2587"/>
      <c r="C59" s="572">
        <v>6</v>
      </c>
      <c r="D59" s="573"/>
      <c r="E59" s="2609" t="str">
        <f ca="1">IF(E55&lt;&gt;"",D55&amp;" の 計","")</f>
        <v>1 の 計</v>
      </c>
      <c r="F59" s="2610"/>
      <c r="G59" s="2610"/>
      <c r="H59" s="2610"/>
      <c r="I59" s="2610"/>
      <c r="J59" s="2610"/>
      <c r="K59" s="2611"/>
      <c r="L59" s="574"/>
      <c r="M59" s="574"/>
      <c r="N59" s="2598"/>
      <c r="O59" s="2598"/>
      <c r="P59" s="2598"/>
      <c r="Q59" s="2598"/>
      <c r="R59" s="2598"/>
      <c r="S59" s="2713">
        <f ca="1">IF(AND(D59="",E59=""),"",S6)</f>
        <v>3207000</v>
      </c>
      <c r="T59" s="2713"/>
      <c r="U59" s="2713"/>
      <c r="V59" s="2713"/>
      <c r="W59" s="2713"/>
      <c r="X59" s="2584"/>
      <c r="Y59" s="2585"/>
      <c r="Z59" s="2585"/>
      <c r="AA59" s="2586"/>
      <c r="AB59" s="179"/>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54" ht="17.25" customHeight="1">
      <c r="B60" s="2587"/>
      <c r="C60" s="299">
        <v>7</v>
      </c>
      <c r="D60" s="464">
        <f ca="1">D7</f>
        <v>2</v>
      </c>
      <c r="E60" s="2699" t="str">
        <f ca="1">IF(D7="","",E7)</f>
        <v xml:space="preserve"> 受変電設備工事</v>
      </c>
      <c r="F60" s="2700"/>
      <c r="G60" s="2700"/>
      <c r="H60" s="2700"/>
      <c r="I60" s="2700"/>
      <c r="J60" s="2700"/>
      <c r="K60" s="2700"/>
      <c r="L60" s="2606">
        <f ca="1">IF(OR(D60="",$AD$41=0),"",INT(S64/Top!$AA$63))</f>
        <v>1385</v>
      </c>
      <c r="M60" s="2606"/>
      <c r="N60" s="319" t="str">
        <f ca="1">IF(L60="","","／ｍ2")</f>
        <v>／ｍ2</v>
      </c>
      <c r="O60" s="319"/>
      <c r="P60" s="2613">
        <f ca="1">IF(L60="","",INT(L60/0.3025))</f>
        <v>4578</v>
      </c>
      <c r="Q60" s="2613"/>
      <c r="R60" s="319" t="str">
        <f ca="1">IF(P60="","","／坪")</f>
        <v>／坪</v>
      </c>
      <c r="S60" s="2607" t="str">
        <f ca="1">IF(L60="","","合計金額に対する割合；")</f>
        <v>合計金額に対する割合；</v>
      </c>
      <c r="T60" s="2607"/>
      <c r="U60" s="2607"/>
      <c r="V60" s="2607"/>
      <c r="W60" s="2607"/>
      <c r="X60" s="2607"/>
      <c r="Y60" s="2608">
        <f ca="1">IF(L60="","",$AC$41*100*S64/$S$41)</f>
        <v>10.563583268691257</v>
      </c>
      <c r="Z60" s="2608"/>
      <c r="AA60" s="471" t="str">
        <f ca="1">IF(L60="","","％")</f>
        <v>％</v>
      </c>
      <c r="AB60" s="300"/>
      <c r="AC60" s="301"/>
      <c r="AD60" s="301"/>
      <c r="AE60" s="301"/>
      <c r="AF60" s="301"/>
      <c r="AG60" s="301"/>
      <c r="AH60" s="301"/>
      <c r="AI60" s="301"/>
      <c r="AJ60" s="301"/>
      <c r="AK60" s="301"/>
      <c r="AL60" s="301"/>
      <c r="AM60" s="301"/>
      <c r="AN60" s="301"/>
      <c r="AO60" s="301"/>
      <c r="AP60" s="301"/>
      <c r="AQ60" s="301"/>
      <c r="AR60" s="301"/>
      <c r="AS60" s="301"/>
      <c r="AT60" s="301"/>
      <c r="AU60" s="301"/>
      <c r="AV60" s="301"/>
      <c r="AW60" s="301"/>
    </row>
    <row r="61" spans="2:54" ht="17.25" customHeight="1">
      <c r="B61" s="2587"/>
      <c r="C61" s="302">
        <v>8</v>
      </c>
      <c r="D61" s="453"/>
      <c r="E61" s="2614" t="str">
        <f ca="1">IF(D60&lt;&gt;"",VLOOKUP(D60,内訳,7,FALSE),"")</f>
        <v>配管配線材料</v>
      </c>
      <c r="F61" s="2615"/>
      <c r="G61" s="2615"/>
      <c r="H61" s="2615"/>
      <c r="I61" s="2615"/>
      <c r="J61" s="2615"/>
      <c r="K61" s="2616"/>
      <c r="L61" s="468">
        <f t="shared" ca="1" si="20"/>
        <v>1</v>
      </c>
      <c r="M61" s="468" t="str">
        <f t="shared" ca="1" si="21"/>
        <v>式</v>
      </c>
      <c r="N61" s="2617">
        <f ca="1">IF(D60&lt;&gt;"",VLOOKUP(D60,内訳,10,FALSE),"")</f>
        <v>3590000</v>
      </c>
      <c r="O61" s="2617"/>
      <c r="P61" s="2617"/>
      <c r="Q61" s="2617"/>
      <c r="R61" s="2617"/>
      <c r="S61" s="2583"/>
      <c r="T61" s="2583"/>
      <c r="U61" s="2583"/>
      <c r="V61" s="2583"/>
      <c r="W61" s="2583"/>
      <c r="X61" s="2584"/>
      <c r="Y61" s="2585"/>
      <c r="Z61" s="2585"/>
      <c r="AA61" s="2586"/>
      <c r="AB61" s="179"/>
      <c r="AC61" s="175"/>
      <c r="AD61" s="175"/>
      <c r="AE61" s="175"/>
      <c r="AF61" s="175"/>
      <c r="AG61" s="175"/>
      <c r="AH61" s="175"/>
      <c r="AI61" s="175"/>
      <c r="AJ61" s="175"/>
      <c r="AK61" s="175"/>
      <c r="AL61" s="175"/>
      <c r="AM61" s="175"/>
      <c r="AN61" s="175"/>
      <c r="AO61" s="175"/>
      <c r="AP61" s="175"/>
      <c r="AQ61" s="175"/>
      <c r="AR61" s="175"/>
      <c r="AS61" s="175"/>
      <c r="AT61" s="175"/>
      <c r="AU61" s="175"/>
      <c r="AV61" s="175"/>
      <c r="AW61" s="175"/>
    </row>
    <row r="62" spans="2:54" ht="17.25" customHeight="1">
      <c r="B62" s="2587"/>
      <c r="C62" s="302">
        <v>9</v>
      </c>
      <c r="D62" s="336"/>
      <c r="E62" s="2614" t="str">
        <f ca="1">IF(D60&lt;&gt;"",VLOOKUP(D60,内訳,8,FALSE),"")</f>
        <v>機 　器　 類</v>
      </c>
      <c r="F62" s="2615"/>
      <c r="G62" s="2615"/>
      <c r="H62" s="2615"/>
      <c r="I62" s="2615"/>
      <c r="J62" s="2615"/>
      <c r="K62" s="2616"/>
      <c r="L62" s="468">
        <f t="shared" ca="1" si="20"/>
        <v>1</v>
      </c>
      <c r="M62" s="468" t="str">
        <f t="shared" ca="1" si="21"/>
        <v>式</v>
      </c>
      <c r="N62" s="2617">
        <f ca="1">IF(D60&lt;&gt;"",VLOOKUP(D60,内訳,11,FALSE),"")</f>
        <v>32401000</v>
      </c>
      <c r="O62" s="2617"/>
      <c r="P62" s="2617"/>
      <c r="Q62" s="2617"/>
      <c r="R62" s="2617"/>
      <c r="S62" s="2583"/>
      <c r="T62" s="2583"/>
      <c r="U62" s="2583"/>
      <c r="V62" s="2583"/>
      <c r="W62" s="2583"/>
      <c r="X62" s="2584"/>
      <c r="Y62" s="2585"/>
      <c r="Z62" s="2585"/>
      <c r="AA62" s="2586"/>
      <c r="AB62" s="179"/>
      <c r="AC62" s="175"/>
      <c r="AD62" s="175"/>
      <c r="AE62" s="175"/>
      <c r="AF62" s="175"/>
      <c r="AG62" s="175"/>
      <c r="AH62" s="175"/>
      <c r="AI62" s="175"/>
      <c r="AJ62" s="175"/>
      <c r="AK62" s="175"/>
      <c r="AL62" s="175"/>
      <c r="AM62" s="175"/>
      <c r="AN62" s="175"/>
      <c r="AO62" s="175"/>
      <c r="AP62" s="175"/>
      <c r="AQ62" s="175"/>
      <c r="AR62" s="175"/>
      <c r="AS62" s="175"/>
      <c r="AT62" s="175"/>
      <c r="AU62" s="175"/>
      <c r="AV62" s="175"/>
      <c r="AW62" s="175"/>
    </row>
    <row r="63" spans="2:54" ht="17.25" customHeight="1">
      <c r="B63" s="2587"/>
      <c r="C63" s="302">
        <v>10</v>
      </c>
      <c r="D63" s="336"/>
      <c r="E63" s="2614" t="str">
        <f ca="1">IF(D60&lt;&gt;"",VLOOKUP(D60,内訳,9,FALSE),"")</f>
        <v>電 　工　 費</v>
      </c>
      <c r="F63" s="2615"/>
      <c r="G63" s="2615"/>
      <c r="H63" s="2615"/>
      <c r="I63" s="2615"/>
      <c r="J63" s="2615"/>
      <c r="K63" s="2616"/>
      <c r="L63" s="468">
        <f t="shared" ca="1" si="20"/>
        <v>1</v>
      </c>
      <c r="M63" s="468" t="str">
        <f t="shared" ca="1" si="21"/>
        <v>式</v>
      </c>
      <c r="N63" s="2617">
        <f ca="1">IF(D60&lt;&gt;"",VLOOKUP(D60,内訳,12,FALSE),"")</f>
        <v>3406000</v>
      </c>
      <c r="O63" s="2617"/>
      <c r="P63" s="2617"/>
      <c r="Q63" s="2617"/>
      <c r="R63" s="2617"/>
      <c r="S63" s="2583"/>
      <c r="T63" s="2583"/>
      <c r="U63" s="2583"/>
      <c r="V63" s="2583"/>
      <c r="W63" s="2583"/>
      <c r="X63" s="2584"/>
      <c r="Y63" s="2585"/>
      <c r="Z63" s="2585"/>
      <c r="AA63" s="2586"/>
      <c r="AB63" s="179"/>
      <c r="AC63" s="175"/>
      <c r="AD63" s="175"/>
      <c r="AE63" s="175"/>
      <c r="AF63" s="175"/>
      <c r="AG63" s="175"/>
      <c r="AH63" s="175"/>
      <c r="AI63" s="175"/>
      <c r="AJ63" s="175"/>
      <c r="AK63" s="175"/>
      <c r="AL63" s="175"/>
      <c r="AM63" s="175"/>
      <c r="AN63" s="175"/>
      <c r="AO63" s="175"/>
      <c r="AP63" s="175"/>
      <c r="AQ63" s="175"/>
      <c r="AR63" s="175"/>
      <c r="AS63" s="175"/>
      <c r="AT63" s="175"/>
      <c r="AU63" s="175"/>
      <c r="AV63" s="175"/>
      <c r="AW63" s="175"/>
    </row>
    <row r="64" spans="2:54" ht="17.25" customHeight="1">
      <c r="B64" s="2587"/>
      <c r="C64" s="572">
        <v>11</v>
      </c>
      <c r="D64" s="573"/>
      <c r="E64" s="2609" t="str">
        <f ca="1">IF(E60&lt;&gt;"",D60&amp;" の 計","")</f>
        <v>2 の 計</v>
      </c>
      <c r="F64" s="2610"/>
      <c r="G64" s="2610"/>
      <c r="H64" s="2610"/>
      <c r="I64" s="2610"/>
      <c r="J64" s="2610"/>
      <c r="K64" s="2611"/>
      <c r="L64" s="574"/>
      <c r="M64" s="574"/>
      <c r="N64" s="2599"/>
      <c r="O64" s="2599"/>
      <c r="P64" s="2599"/>
      <c r="Q64" s="2599"/>
      <c r="R64" s="2599"/>
      <c r="S64" s="2713">
        <f ca="1">IF(AND(D64="",E64=""),"",S7)</f>
        <v>39397000</v>
      </c>
      <c r="T64" s="2713"/>
      <c r="U64" s="2713"/>
      <c r="V64" s="2713"/>
      <c r="W64" s="2713"/>
      <c r="X64" s="2584"/>
      <c r="Y64" s="2585"/>
      <c r="Z64" s="2585"/>
      <c r="AA64" s="2586"/>
      <c r="AB64" s="179"/>
      <c r="AC64" s="175"/>
      <c r="AD64" s="175"/>
      <c r="AE64" s="175"/>
      <c r="AF64" s="175"/>
      <c r="AG64" s="175"/>
      <c r="AH64" s="175"/>
      <c r="AI64" s="175"/>
      <c r="AJ64" s="175"/>
      <c r="AK64" s="175"/>
      <c r="AL64" s="175"/>
      <c r="AM64" s="175"/>
      <c r="AN64" s="175"/>
      <c r="AO64" s="175"/>
      <c r="AP64" s="175"/>
      <c r="AQ64" s="175"/>
      <c r="AR64" s="175"/>
      <c r="AS64" s="175"/>
      <c r="AT64" s="175"/>
      <c r="AU64" s="175"/>
      <c r="AV64" s="175"/>
      <c r="AW64" s="175"/>
    </row>
    <row r="65" spans="2:49" ht="17.25" customHeight="1">
      <c r="B65" s="2587"/>
      <c r="C65" s="299">
        <v>12</v>
      </c>
      <c r="D65" s="464">
        <f ca="1">D8</f>
        <v>3</v>
      </c>
      <c r="E65" s="2699" t="str">
        <f ca="1">IF(D8="","",E8)</f>
        <v xml:space="preserve"> 自家用発電設備工事</v>
      </c>
      <c r="F65" s="2700"/>
      <c r="G65" s="2700"/>
      <c r="H65" s="2700"/>
      <c r="I65" s="2700"/>
      <c r="J65" s="2700"/>
      <c r="K65" s="2700"/>
      <c r="L65" s="2606">
        <f ca="1">IF(OR(D65="",$AD$41=0),"",INT(S69/Top!$AA$63))</f>
        <v>303</v>
      </c>
      <c r="M65" s="2606"/>
      <c r="N65" s="319" t="str">
        <f ca="1">IF(L65="","","／ｍ2")</f>
        <v>／ｍ2</v>
      </c>
      <c r="O65" s="319"/>
      <c r="P65" s="2613">
        <f ca="1">IF(L65="","",INT(L65/0.3025))</f>
        <v>1001</v>
      </c>
      <c r="Q65" s="2613"/>
      <c r="R65" s="319" t="str">
        <f ca="1">IF(P65="","","／坪")</f>
        <v>／坪</v>
      </c>
      <c r="S65" s="2607" t="str">
        <f ca="1">IF(L65="","","合計金額に対する割合；")</f>
        <v>合計金額に対する割合；</v>
      </c>
      <c r="T65" s="2607"/>
      <c r="U65" s="2607"/>
      <c r="V65" s="2607"/>
      <c r="W65" s="2607"/>
      <c r="X65" s="2607"/>
      <c r="Y65" s="2608">
        <f ca="1">IF(L65="","",$AC$41*100*S69/$S$41)</f>
        <v>2.3161213360142927</v>
      </c>
      <c r="Z65" s="2608"/>
      <c r="AA65" s="471" t="str">
        <f ca="1">IF(L65="","","％")</f>
        <v>％</v>
      </c>
      <c r="AB65" s="300"/>
      <c r="AC65" s="301"/>
      <c r="AD65" s="301"/>
      <c r="AE65" s="301"/>
      <c r="AF65" s="301"/>
      <c r="AG65" s="301"/>
      <c r="AH65" s="301"/>
      <c r="AI65" s="301"/>
      <c r="AJ65" s="301"/>
      <c r="AK65" s="301"/>
      <c r="AL65" s="301"/>
      <c r="AM65" s="301"/>
      <c r="AN65" s="301"/>
      <c r="AO65" s="301"/>
      <c r="AP65" s="301"/>
      <c r="AQ65" s="301"/>
      <c r="AR65" s="301"/>
      <c r="AS65" s="301"/>
      <c r="AT65" s="301"/>
      <c r="AU65" s="301"/>
      <c r="AV65" s="301"/>
      <c r="AW65" s="301"/>
    </row>
    <row r="66" spans="2:49" ht="17.25" customHeight="1">
      <c r="B66" s="2587"/>
      <c r="C66" s="272">
        <v>13</v>
      </c>
      <c r="D66" s="469"/>
      <c r="E66" s="2614" t="str">
        <f ca="1">IF(D65&lt;&gt;"",VLOOKUP(D65,内訳,7,FALSE),"")</f>
        <v>配管配線材料</v>
      </c>
      <c r="F66" s="2615"/>
      <c r="G66" s="2615"/>
      <c r="H66" s="2615"/>
      <c r="I66" s="2615"/>
      <c r="J66" s="2615"/>
      <c r="K66" s="2616"/>
      <c r="L66" s="468">
        <f t="shared" ca="1" si="20"/>
        <v>1</v>
      </c>
      <c r="M66" s="468" t="str">
        <f t="shared" ca="1" si="21"/>
        <v>式</v>
      </c>
      <c r="N66" s="2617">
        <f ca="1">IF(D65&lt;&gt;"",VLOOKUP(D65,内訳,10,FALSE),"")</f>
        <v>316000</v>
      </c>
      <c r="O66" s="2617"/>
      <c r="P66" s="2617"/>
      <c r="Q66" s="2617"/>
      <c r="R66" s="2617"/>
      <c r="S66" s="2583"/>
      <c r="T66" s="2583"/>
      <c r="U66" s="2583"/>
      <c r="V66" s="2583"/>
      <c r="W66" s="2583"/>
      <c r="X66" s="2584"/>
      <c r="Y66" s="2585"/>
      <c r="Z66" s="2585"/>
      <c r="AA66" s="2586"/>
      <c r="AB66" s="179"/>
      <c r="AC66" s="175"/>
      <c r="AD66" s="175"/>
      <c r="AE66" s="175"/>
      <c r="AF66" s="175"/>
      <c r="AG66" s="175"/>
      <c r="AH66" s="175"/>
      <c r="AI66" s="175"/>
      <c r="AJ66" s="175"/>
      <c r="AK66" s="175"/>
      <c r="AL66" s="175"/>
      <c r="AM66" s="175"/>
      <c r="AN66" s="175"/>
      <c r="AO66" s="175"/>
      <c r="AP66" s="175"/>
      <c r="AQ66" s="175"/>
      <c r="AR66" s="175"/>
      <c r="AS66" s="175"/>
      <c r="AT66" s="175"/>
      <c r="AU66" s="175"/>
      <c r="AV66" s="175"/>
      <c r="AW66" s="175"/>
    </row>
    <row r="67" spans="2:49" ht="17.25" customHeight="1">
      <c r="B67" s="2587"/>
      <c r="C67" s="272">
        <v>14</v>
      </c>
      <c r="D67" s="472"/>
      <c r="E67" s="2614" t="str">
        <f ca="1">IF(D65&lt;&gt;"",VLOOKUP(D65,内訳,8,FALSE),"")</f>
        <v>機 　器　 類</v>
      </c>
      <c r="F67" s="2615"/>
      <c r="G67" s="2615"/>
      <c r="H67" s="2615"/>
      <c r="I67" s="2615"/>
      <c r="J67" s="2615"/>
      <c r="K67" s="2616"/>
      <c r="L67" s="468">
        <f t="shared" ca="1" si="20"/>
        <v>1</v>
      </c>
      <c r="M67" s="468" t="str">
        <f t="shared" ca="1" si="21"/>
        <v>式</v>
      </c>
      <c r="N67" s="2617">
        <f ca="1">IF(D65&lt;&gt;"",VLOOKUP(D65,内訳,11,FALSE),"")</f>
        <v>6480000</v>
      </c>
      <c r="O67" s="2617"/>
      <c r="P67" s="2617"/>
      <c r="Q67" s="2617"/>
      <c r="R67" s="2617"/>
      <c r="S67" s="2583"/>
      <c r="T67" s="2583"/>
      <c r="U67" s="2583"/>
      <c r="V67" s="2583"/>
      <c r="W67" s="2583"/>
      <c r="X67" s="2584"/>
      <c r="Y67" s="2585"/>
      <c r="Z67" s="2585"/>
      <c r="AA67" s="2586"/>
      <c r="AB67" s="179"/>
      <c r="AC67" s="175"/>
      <c r="AD67" s="175"/>
      <c r="AE67" s="175"/>
      <c r="AF67" s="175"/>
      <c r="AG67" s="175"/>
      <c r="AH67" s="175"/>
      <c r="AI67" s="175"/>
      <c r="AJ67" s="175"/>
      <c r="AK67" s="175"/>
      <c r="AL67" s="175"/>
      <c r="AM67" s="175"/>
      <c r="AN67" s="175"/>
      <c r="AO67" s="175"/>
      <c r="AP67" s="175"/>
      <c r="AQ67" s="175"/>
      <c r="AR67" s="175"/>
      <c r="AS67" s="175"/>
      <c r="AT67" s="175"/>
      <c r="AU67" s="175"/>
      <c r="AV67" s="175"/>
      <c r="AW67" s="175"/>
    </row>
    <row r="68" spans="2:49" ht="17.25" customHeight="1">
      <c r="B68" s="2587"/>
      <c r="C68" s="272">
        <v>15</v>
      </c>
      <c r="D68" s="472"/>
      <c r="E68" s="2614" t="str">
        <f ca="1">IF(D65&lt;&gt;"",VLOOKUP(D65,内訳,9,FALSE),"")</f>
        <v>電 　工　 費</v>
      </c>
      <c r="F68" s="2615"/>
      <c r="G68" s="2615"/>
      <c r="H68" s="2615"/>
      <c r="I68" s="2615"/>
      <c r="J68" s="2615"/>
      <c r="K68" s="2616"/>
      <c r="L68" s="468">
        <f t="shared" ca="1" si="20"/>
        <v>1</v>
      </c>
      <c r="M68" s="468" t="str">
        <f t="shared" ca="1" si="21"/>
        <v>式</v>
      </c>
      <c r="N68" s="2617">
        <f ca="1">IF(D65&lt;&gt;"",VLOOKUP(D65,内訳,12,FALSE),"")</f>
        <v>1842000</v>
      </c>
      <c r="O68" s="2617"/>
      <c r="P68" s="2617"/>
      <c r="Q68" s="2617"/>
      <c r="R68" s="2617"/>
      <c r="S68" s="2583"/>
      <c r="T68" s="2583"/>
      <c r="U68" s="2583"/>
      <c r="V68" s="2583"/>
      <c r="W68" s="2583"/>
      <c r="X68" s="2584"/>
      <c r="Y68" s="2585"/>
      <c r="Z68" s="2585"/>
      <c r="AA68" s="2586"/>
      <c r="AB68" s="179"/>
      <c r="AC68" s="175"/>
      <c r="AD68" s="175"/>
      <c r="AE68" s="175"/>
      <c r="AF68" s="175"/>
      <c r="AG68" s="175"/>
      <c r="AH68" s="175"/>
      <c r="AI68" s="175"/>
      <c r="AJ68" s="175"/>
      <c r="AK68" s="175"/>
      <c r="AL68" s="175"/>
      <c r="AM68" s="175"/>
      <c r="AN68" s="175"/>
      <c r="AO68" s="175"/>
      <c r="AP68" s="175"/>
      <c r="AQ68" s="175"/>
      <c r="AR68" s="175"/>
      <c r="AS68" s="175"/>
      <c r="AT68" s="175"/>
      <c r="AU68" s="175"/>
      <c r="AV68" s="175"/>
      <c r="AW68" s="175"/>
    </row>
    <row r="69" spans="2:49" ht="17.25" customHeight="1">
      <c r="B69" s="2587"/>
      <c r="C69" s="575">
        <v>16</v>
      </c>
      <c r="D69" s="576"/>
      <c r="E69" s="2609" t="str">
        <f ca="1">IF(E65&lt;&gt;"",D65&amp;" の 計","")</f>
        <v>3 の 計</v>
      </c>
      <c r="F69" s="2610"/>
      <c r="G69" s="2610"/>
      <c r="H69" s="2610"/>
      <c r="I69" s="2610"/>
      <c r="J69" s="2610"/>
      <c r="K69" s="2611"/>
      <c r="L69" s="574"/>
      <c r="M69" s="574"/>
      <c r="N69" s="2599"/>
      <c r="O69" s="2599"/>
      <c r="P69" s="2599"/>
      <c r="Q69" s="2599"/>
      <c r="R69" s="2599"/>
      <c r="S69" s="2713">
        <f ca="1">IF(AND(D69="",E69=""),"",S8)</f>
        <v>8638000</v>
      </c>
      <c r="T69" s="2713"/>
      <c r="U69" s="2713"/>
      <c r="V69" s="2713"/>
      <c r="W69" s="2713"/>
      <c r="X69" s="2584"/>
      <c r="Y69" s="2585"/>
      <c r="Z69" s="2585"/>
      <c r="AA69" s="2586"/>
      <c r="AB69" s="179"/>
      <c r="AC69" s="175"/>
      <c r="AD69" s="175"/>
      <c r="AE69" s="175"/>
      <c r="AF69" s="175"/>
      <c r="AG69" s="175"/>
      <c r="AH69" s="175"/>
      <c r="AI69" s="175"/>
      <c r="AJ69" s="175"/>
      <c r="AK69" s="175"/>
      <c r="AL69" s="175"/>
      <c r="AM69" s="175"/>
      <c r="AN69" s="175"/>
      <c r="AO69" s="175"/>
      <c r="AP69" s="175"/>
      <c r="AQ69" s="175"/>
      <c r="AR69" s="175"/>
      <c r="AS69" s="175"/>
      <c r="AT69" s="175"/>
      <c r="AU69" s="175"/>
      <c r="AV69" s="175"/>
      <c r="AW69" s="175"/>
    </row>
    <row r="70" spans="2:49" ht="17.25" customHeight="1">
      <c r="B70" s="2587"/>
      <c r="C70" s="262">
        <v>17</v>
      </c>
      <c r="D70" s="464">
        <f ca="1">D9</f>
        <v>4</v>
      </c>
      <c r="E70" s="2699" t="str">
        <f ca="1">IF(D9="","",E9)</f>
        <v xml:space="preserve"> 低圧幹線設備工事</v>
      </c>
      <c r="F70" s="2700"/>
      <c r="G70" s="2700"/>
      <c r="H70" s="2700"/>
      <c r="I70" s="2700"/>
      <c r="J70" s="2700"/>
      <c r="K70" s="2700"/>
      <c r="L70" s="2606">
        <f ca="1">IF(OR(D70="",$AD$41=0),"",INT(S74/Top!$AA$63))</f>
        <v>3015</v>
      </c>
      <c r="M70" s="2606"/>
      <c r="N70" s="319" t="str">
        <f ca="1">IF(L70="","","／ｍ2")</f>
        <v>／ｍ2</v>
      </c>
      <c r="O70" s="319"/>
      <c r="P70" s="2613">
        <f ca="1">IF(L70="","",INT(L70/0.3025))</f>
        <v>9966</v>
      </c>
      <c r="Q70" s="2613"/>
      <c r="R70" s="319" t="str">
        <f ca="1">IF(P70="","","／坪")</f>
        <v>／坪</v>
      </c>
      <c r="S70" s="2607" t="str">
        <f ca="1">IF(L70="","","合計金額に対する割合；")</f>
        <v>合計金額に対する割合；</v>
      </c>
      <c r="T70" s="2607"/>
      <c r="U70" s="2607"/>
      <c r="V70" s="2607"/>
      <c r="W70" s="2607"/>
      <c r="X70" s="2607"/>
      <c r="Y70" s="2608">
        <f ca="1">IF(L70="","",$AC$41*100*S74/$S$41)</f>
        <v>22.989877225191186</v>
      </c>
      <c r="Z70" s="2608"/>
      <c r="AA70" s="471" t="str">
        <f ca="1">IF(L70="","","％")</f>
        <v>％</v>
      </c>
      <c r="AB70" s="300"/>
      <c r="AC70" s="301"/>
      <c r="AD70" s="301"/>
      <c r="AE70" s="301"/>
      <c r="AF70" s="301"/>
      <c r="AG70" s="301"/>
      <c r="AH70" s="301"/>
      <c r="AI70" s="301"/>
      <c r="AJ70" s="301"/>
      <c r="AK70" s="301"/>
      <c r="AL70" s="301"/>
      <c r="AM70" s="301"/>
      <c r="AN70" s="301"/>
      <c r="AO70" s="301"/>
      <c r="AP70" s="301"/>
      <c r="AQ70" s="301"/>
      <c r="AR70" s="301"/>
      <c r="AS70" s="301"/>
      <c r="AT70" s="301"/>
      <c r="AU70" s="301"/>
      <c r="AV70" s="301"/>
      <c r="AW70" s="301"/>
    </row>
    <row r="71" spans="2:49" ht="17.25" customHeight="1">
      <c r="B71" s="2587"/>
      <c r="C71" s="272">
        <v>18</v>
      </c>
      <c r="D71" s="469"/>
      <c r="E71" s="2614" t="str">
        <f ca="1">IF(D70&lt;&gt;"",VLOOKUP(D70,内訳,7,FALSE),"")</f>
        <v>配管配線材料</v>
      </c>
      <c r="F71" s="2615"/>
      <c r="G71" s="2615"/>
      <c r="H71" s="2615"/>
      <c r="I71" s="2615"/>
      <c r="J71" s="2615"/>
      <c r="K71" s="2616"/>
      <c r="L71" s="468">
        <f t="shared" ca="1" si="20"/>
        <v>1</v>
      </c>
      <c r="M71" s="468" t="str">
        <f t="shared" ca="1" si="21"/>
        <v>式</v>
      </c>
      <c r="N71" s="2617">
        <f ca="1">IF(D70&lt;&gt;"",VLOOKUP(D70,内訳,10,FALSE),"")</f>
        <v>23938000</v>
      </c>
      <c r="O71" s="2617"/>
      <c r="P71" s="2617"/>
      <c r="Q71" s="2617"/>
      <c r="R71" s="2617"/>
      <c r="S71" s="2583"/>
      <c r="T71" s="2583"/>
      <c r="U71" s="2583"/>
      <c r="V71" s="2583"/>
      <c r="W71" s="2583"/>
      <c r="X71" s="2584"/>
      <c r="Y71" s="2585"/>
      <c r="Z71" s="2585"/>
      <c r="AA71" s="2586"/>
      <c r="AB71" s="179"/>
      <c r="AC71" s="175"/>
      <c r="AD71" s="175"/>
      <c r="AE71" s="175"/>
      <c r="AF71" s="175"/>
      <c r="AG71" s="175"/>
      <c r="AH71" s="175"/>
      <c r="AI71" s="175"/>
      <c r="AJ71" s="175"/>
      <c r="AK71" s="175"/>
      <c r="AL71" s="175"/>
      <c r="AM71" s="175"/>
      <c r="AN71" s="175"/>
      <c r="AO71" s="175"/>
      <c r="AP71" s="175"/>
      <c r="AQ71" s="175"/>
      <c r="AR71" s="175"/>
      <c r="AS71" s="175"/>
      <c r="AT71" s="175"/>
      <c r="AU71" s="175"/>
      <c r="AV71" s="175"/>
      <c r="AW71" s="175"/>
    </row>
    <row r="72" spans="2:49" ht="17.25" customHeight="1">
      <c r="B72" s="2587"/>
      <c r="C72" s="272">
        <v>19</v>
      </c>
      <c r="D72" s="472"/>
      <c r="E72" s="2614" t="str">
        <f ca="1">IF(D70&lt;&gt;"",VLOOKUP(D70,内訳,8,FALSE),"")</f>
        <v>機 　器　 類</v>
      </c>
      <c r="F72" s="2615"/>
      <c r="G72" s="2615"/>
      <c r="H72" s="2615"/>
      <c r="I72" s="2615"/>
      <c r="J72" s="2615"/>
      <c r="K72" s="2616"/>
      <c r="L72" s="468">
        <f t="shared" ca="1" si="20"/>
        <v>1</v>
      </c>
      <c r="M72" s="468" t="str">
        <f t="shared" ca="1" si="21"/>
        <v>式</v>
      </c>
      <c r="N72" s="2617">
        <f ca="1">IF(D70&lt;&gt;"",VLOOKUP(D70,内訳,11,FALSE),"")</f>
        <v>55438000</v>
      </c>
      <c r="O72" s="2617"/>
      <c r="P72" s="2617"/>
      <c r="Q72" s="2617"/>
      <c r="R72" s="2617"/>
      <c r="S72" s="2583"/>
      <c r="T72" s="2583"/>
      <c r="U72" s="2583"/>
      <c r="V72" s="2583"/>
      <c r="W72" s="2583"/>
      <c r="X72" s="2584"/>
      <c r="Y72" s="2585"/>
      <c r="Z72" s="2585"/>
      <c r="AA72" s="2586"/>
      <c r="AB72" s="179"/>
      <c r="AC72" s="175"/>
      <c r="AD72" s="175"/>
      <c r="AE72" s="175"/>
      <c r="AF72" s="175"/>
      <c r="AG72" s="175"/>
      <c r="AH72" s="175"/>
      <c r="AI72" s="175"/>
      <c r="AJ72" s="175"/>
      <c r="AK72" s="175"/>
      <c r="AL72" s="175"/>
      <c r="AM72" s="175"/>
      <c r="AN72" s="175"/>
      <c r="AO72" s="175"/>
      <c r="AP72" s="175"/>
      <c r="AQ72" s="175"/>
      <c r="AR72" s="175"/>
      <c r="AS72" s="175"/>
      <c r="AT72" s="175"/>
      <c r="AU72" s="175"/>
      <c r="AV72" s="175"/>
      <c r="AW72" s="175"/>
    </row>
    <row r="73" spans="2:49" ht="17.25" customHeight="1">
      <c r="B73" s="2587"/>
      <c r="C73" s="272">
        <v>20</v>
      </c>
      <c r="D73" s="472"/>
      <c r="E73" s="2614" t="str">
        <f ca="1">IF(D70&lt;&gt;"",VLOOKUP(D70,内訳,9,FALSE),"")</f>
        <v>電 　工　 費</v>
      </c>
      <c r="F73" s="2615"/>
      <c r="G73" s="2615"/>
      <c r="H73" s="2615"/>
      <c r="I73" s="2615"/>
      <c r="J73" s="2615"/>
      <c r="K73" s="2616"/>
      <c r="L73" s="468">
        <f t="shared" ca="1" si="20"/>
        <v>1</v>
      </c>
      <c r="M73" s="468" t="str">
        <f t="shared" ca="1" si="21"/>
        <v>式</v>
      </c>
      <c r="N73" s="2617">
        <f ca="1">IF(D70&lt;&gt;"",VLOOKUP(D70,内訳,12,FALSE),"")</f>
        <v>6365000</v>
      </c>
      <c r="O73" s="2617"/>
      <c r="P73" s="2617"/>
      <c r="Q73" s="2617"/>
      <c r="R73" s="2617"/>
      <c r="S73" s="2583"/>
      <c r="T73" s="2583"/>
      <c r="U73" s="2583"/>
      <c r="V73" s="2583"/>
      <c r="W73" s="2583"/>
      <c r="X73" s="2584"/>
      <c r="Y73" s="2585"/>
      <c r="Z73" s="2585"/>
      <c r="AA73" s="2586"/>
      <c r="AB73" s="179"/>
      <c r="AC73" s="175"/>
      <c r="AD73" s="175"/>
      <c r="AE73" s="175"/>
      <c r="AF73" s="175"/>
      <c r="AG73" s="175"/>
      <c r="AH73" s="175"/>
      <c r="AI73" s="175"/>
      <c r="AJ73" s="175"/>
      <c r="AK73" s="175"/>
      <c r="AL73" s="175"/>
      <c r="AM73" s="175"/>
      <c r="AN73" s="175"/>
      <c r="AO73" s="175"/>
      <c r="AP73" s="175"/>
      <c r="AQ73" s="175"/>
      <c r="AR73" s="175"/>
      <c r="AS73" s="175"/>
      <c r="AT73" s="175"/>
      <c r="AU73" s="175"/>
      <c r="AV73" s="175"/>
      <c r="AW73" s="175"/>
    </row>
    <row r="74" spans="2:49" ht="17.25" customHeight="1">
      <c r="B74" s="2587"/>
      <c r="C74" s="575">
        <v>21</v>
      </c>
      <c r="D74" s="576"/>
      <c r="E74" s="2609" t="str">
        <f ca="1">IF(E70&lt;&gt;"",D70&amp;" の 計","")</f>
        <v>4 の 計</v>
      </c>
      <c r="F74" s="2610"/>
      <c r="G74" s="2610"/>
      <c r="H74" s="2610"/>
      <c r="I74" s="2610"/>
      <c r="J74" s="2610"/>
      <c r="K74" s="2611"/>
      <c r="L74" s="574"/>
      <c r="M74" s="574"/>
      <c r="N74" s="2599"/>
      <c r="O74" s="2599"/>
      <c r="P74" s="2599"/>
      <c r="Q74" s="2599"/>
      <c r="R74" s="2599"/>
      <c r="S74" s="2713">
        <f ca="1">IF(AND(D74="",E74=""),"",S9)</f>
        <v>85741000</v>
      </c>
      <c r="T74" s="2713"/>
      <c r="U74" s="2713"/>
      <c r="V74" s="2713"/>
      <c r="W74" s="2713"/>
      <c r="X74" s="2584"/>
      <c r="Y74" s="2585"/>
      <c r="Z74" s="2585"/>
      <c r="AA74" s="2586"/>
      <c r="AB74" s="179"/>
      <c r="AC74" s="175"/>
      <c r="AD74" s="175"/>
      <c r="AE74" s="175"/>
      <c r="AF74" s="175"/>
      <c r="AG74" s="175"/>
      <c r="AH74" s="175"/>
      <c r="AI74" s="175"/>
      <c r="AJ74" s="175"/>
      <c r="AK74" s="175"/>
      <c r="AL74" s="175"/>
      <c r="AM74" s="175"/>
      <c r="AN74" s="175"/>
      <c r="AO74" s="175"/>
      <c r="AP74" s="175"/>
      <c r="AQ74" s="175"/>
      <c r="AR74" s="175"/>
      <c r="AS74" s="175"/>
      <c r="AT74" s="175"/>
      <c r="AU74" s="175"/>
      <c r="AV74" s="175"/>
      <c r="AW74" s="175"/>
    </row>
    <row r="75" spans="2:49" ht="17.25" customHeight="1">
      <c r="B75" s="2587"/>
      <c r="C75" s="262">
        <v>22</v>
      </c>
      <c r="D75" s="464">
        <f ca="1">D10</f>
        <v>5</v>
      </c>
      <c r="E75" s="2699" t="str">
        <f ca="1">IF(D10="","",E10)</f>
        <v xml:space="preserve"> 動力配線工事</v>
      </c>
      <c r="F75" s="2700"/>
      <c r="G75" s="2700"/>
      <c r="H75" s="2700"/>
      <c r="I75" s="2700"/>
      <c r="J75" s="2700"/>
      <c r="K75" s="2700"/>
      <c r="L75" s="2606">
        <f ca="1">IF(OR(D75="",$AD$41=0),"",INT(S79/Top!$AA$63))</f>
        <v>1031</v>
      </c>
      <c r="M75" s="2606"/>
      <c r="N75" s="319" t="str">
        <f ca="1">IF(L75="","","／ｍ2")</f>
        <v>／ｍ2</v>
      </c>
      <c r="O75" s="319"/>
      <c r="P75" s="2613">
        <f ca="1">IF(L75="","",INT(L75/0.3025))</f>
        <v>3408</v>
      </c>
      <c r="Q75" s="2613"/>
      <c r="R75" s="319" t="str">
        <f ca="1">IF(P75="","","／坪")</f>
        <v>／坪</v>
      </c>
      <c r="S75" s="2607" t="str">
        <f ca="1">IF(L75="","","合計金額に対する割合；")</f>
        <v>合計金額に対する割合；</v>
      </c>
      <c r="T75" s="2607"/>
      <c r="U75" s="2607"/>
      <c r="V75" s="2607"/>
      <c r="W75" s="2607"/>
      <c r="X75" s="2607"/>
      <c r="Y75" s="2608">
        <f ca="1">IF(L75="","",$AC$41*100*S79/$S$41)</f>
        <v>7.8618885961189013</v>
      </c>
      <c r="Z75" s="2608"/>
      <c r="AA75" s="471" t="str">
        <f ca="1">IF(L75="","","％")</f>
        <v>％</v>
      </c>
      <c r="AB75" s="300"/>
      <c r="AC75" s="301"/>
      <c r="AD75" s="301"/>
      <c r="AE75" s="301"/>
      <c r="AF75" s="301"/>
      <c r="AG75" s="301"/>
      <c r="AH75" s="301"/>
      <c r="AI75" s="301"/>
      <c r="AJ75" s="301"/>
      <c r="AK75" s="301"/>
      <c r="AL75" s="301"/>
      <c r="AM75" s="301"/>
      <c r="AN75" s="301"/>
      <c r="AO75" s="301"/>
      <c r="AP75" s="301"/>
      <c r="AQ75" s="301"/>
      <c r="AR75" s="301"/>
      <c r="AS75" s="301"/>
      <c r="AT75" s="301"/>
      <c r="AU75" s="301"/>
      <c r="AV75" s="301"/>
      <c r="AW75" s="301"/>
    </row>
    <row r="76" spans="2:49" ht="17.25" customHeight="1">
      <c r="B76" s="2587"/>
      <c r="C76" s="272">
        <v>23</v>
      </c>
      <c r="D76" s="469"/>
      <c r="E76" s="2614" t="str">
        <f ca="1">IF(D75&lt;&gt;"",VLOOKUP(D75,内訳,7,FALSE),"")</f>
        <v>配管配線材料</v>
      </c>
      <c r="F76" s="2615"/>
      <c r="G76" s="2615"/>
      <c r="H76" s="2615"/>
      <c r="I76" s="2615"/>
      <c r="J76" s="2615"/>
      <c r="K76" s="2616"/>
      <c r="L76" s="468">
        <f t="shared" ca="1" si="20"/>
        <v>1</v>
      </c>
      <c r="M76" s="468" t="str">
        <f t="shared" ca="1" si="21"/>
        <v>式</v>
      </c>
      <c r="N76" s="2617">
        <f ca="1">IF(D75&lt;&gt;"",VLOOKUP(D75,内訳,10,FALSE),"")</f>
        <v>19463000</v>
      </c>
      <c r="O76" s="2617"/>
      <c r="P76" s="2617"/>
      <c r="Q76" s="2617"/>
      <c r="R76" s="2617"/>
      <c r="S76" s="2583"/>
      <c r="T76" s="2583"/>
      <c r="U76" s="2583"/>
      <c r="V76" s="2583"/>
      <c r="W76" s="2583"/>
      <c r="X76" s="2584"/>
      <c r="Y76" s="2585"/>
      <c r="Z76" s="2585"/>
      <c r="AA76" s="2586"/>
      <c r="AB76" s="179"/>
      <c r="AC76" s="175"/>
      <c r="AD76" s="175"/>
      <c r="AE76" s="175"/>
      <c r="AF76" s="175"/>
      <c r="AG76" s="175"/>
      <c r="AH76" s="175"/>
      <c r="AI76" s="175"/>
      <c r="AJ76" s="175"/>
      <c r="AK76" s="175"/>
      <c r="AL76" s="175"/>
      <c r="AM76" s="175"/>
      <c r="AN76" s="175"/>
      <c r="AO76" s="175"/>
      <c r="AP76" s="175"/>
      <c r="AQ76" s="175"/>
      <c r="AR76" s="175"/>
      <c r="AS76" s="175"/>
      <c r="AT76" s="175"/>
      <c r="AU76" s="175"/>
      <c r="AV76" s="175"/>
      <c r="AW76" s="175"/>
    </row>
    <row r="77" spans="2:49" ht="17.25" customHeight="1">
      <c r="B77" s="2587"/>
      <c r="C77" s="272">
        <v>24</v>
      </c>
      <c r="D77" s="472"/>
      <c r="E77" s="2614" t="str">
        <f ca="1">IF(D75&lt;&gt;"",VLOOKUP(D75,内訳,8,FALSE),"")</f>
        <v>配管付属品・支持材</v>
      </c>
      <c r="F77" s="2615"/>
      <c r="G77" s="2615"/>
      <c r="H77" s="2615"/>
      <c r="I77" s="2615"/>
      <c r="J77" s="2615"/>
      <c r="K77" s="2616"/>
      <c r="L77" s="468">
        <f t="shared" ca="1" si="20"/>
        <v>1</v>
      </c>
      <c r="M77" s="468" t="str">
        <f t="shared" ca="1" si="21"/>
        <v>式</v>
      </c>
      <c r="N77" s="2617">
        <f ca="1">IF(D75&lt;&gt;"",VLOOKUP(D75,内訳,11,FALSE),"")</f>
        <v>0</v>
      </c>
      <c r="O77" s="2617"/>
      <c r="P77" s="2617"/>
      <c r="Q77" s="2617"/>
      <c r="R77" s="2617"/>
      <c r="S77" s="2583"/>
      <c r="T77" s="2583"/>
      <c r="U77" s="2583"/>
      <c r="V77" s="2583"/>
      <c r="W77" s="2583"/>
      <c r="X77" s="2584"/>
      <c r="Y77" s="2585"/>
      <c r="Z77" s="2585"/>
      <c r="AA77" s="2586"/>
      <c r="AB77" s="179"/>
      <c r="AC77" s="175"/>
      <c r="AD77" s="175"/>
      <c r="AE77" s="175"/>
      <c r="AF77" s="175"/>
      <c r="AG77" s="175"/>
      <c r="AH77" s="175"/>
      <c r="AI77" s="175"/>
      <c r="AJ77" s="175"/>
      <c r="AK77" s="175"/>
      <c r="AL77" s="175"/>
      <c r="AM77" s="175"/>
      <c r="AN77" s="175"/>
      <c r="AO77" s="175"/>
      <c r="AP77" s="175"/>
      <c r="AQ77" s="175"/>
      <c r="AR77" s="175"/>
      <c r="AS77" s="175"/>
      <c r="AT77" s="175"/>
      <c r="AU77" s="175"/>
      <c r="AV77" s="175"/>
      <c r="AW77" s="175"/>
    </row>
    <row r="78" spans="2:49" ht="17.25" customHeight="1">
      <c r="B78" s="2587"/>
      <c r="C78" s="272">
        <v>25</v>
      </c>
      <c r="D78" s="472"/>
      <c r="E78" s="2614" t="str">
        <f ca="1">IF(D75&lt;&gt;"",VLOOKUP(D75,内訳,9,FALSE),"")</f>
        <v>電 　工　 費</v>
      </c>
      <c r="F78" s="2615"/>
      <c r="G78" s="2615"/>
      <c r="H78" s="2615"/>
      <c r="I78" s="2615"/>
      <c r="J78" s="2615"/>
      <c r="K78" s="2616"/>
      <c r="L78" s="468">
        <f t="shared" ca="1" si="20"/>
        <v>1</v>
      </c>
      <c r="M78" s="468" t="str">
        <f t="shared" ca="1" si="21"/>
        <v>式</v>
      </c>
      <c r="N78" s="2617">
        <f ca="1">IF(D75&lt;&gt;"",VLOOKUP(D75,内訳,12,FALSE),"")</f>
        <v>9858000</v>
      </c>
      <c r="O78" s="2617"/>
      <c r="P78" s="2617"/>
      <c r="Q78" s="2617"/>
      <c r="R78" s="2617"/>
      <c r="S78" s="2583"/>
      <c r="T78" s="2583"/>
      <c r="U78" s="2583"/>
      <c r="V78" s="2583"/>
      <c r="W78" s="2583"/>
      <c r="X78" s="2584"/>
      <c r="Y78" s="2585"/>
      <c r="Z78" s="2585"/>
      <c r="AA78" s="2586"/>
      <c r="AB78" s="179"/>
      <c r="AC78" s="175"/>
      <c r="AD78" s="175"/>
      <c r="AE78" s="175"/>
      <c r="AF78" s="175"/>
      <c r="AG78" s="175"/>
      <c r="AH78" s="175"/>
      <c r="AI78" s="175"/>
      <c r="AJ78" s="175"/>
      <c r="AK78" s="175"/>
      <c r="AL78" s="175"/>
      <c r="AM78" s="175"/>
      <c r="AN78" s="175"/>
      <c r="AO78" s="175"/>
      <c r="AP78" s="175"/>
      <c r="AQ78" s="175"/>
      <c r="AR78" s="175"/>
      <c r="AS78" s="175"/>
      <c r="AT78" s="175"/>
      <c r="AU78" s="175"/>
      <c r="AV78" s="175"/>
      <c r="AW78" s="175"/>
    </row>
    <row r="79" spans="2:49" ht="17.25" customHeight="1">
      <c r="B79" s="2587"/>
      <c r="C79" s="575">
        <v>26</v>
      </c>
      <c r="D79" s="576"/>
      <c r="E79" s="2609" t="str">
        <f ca="1">IF(E75&lt;&gt;"",D75&amp;" の 計","")</f>
        <v>5 の 計</v>
      </c>
      <c r="F79" s="2610"/>
      <c r="G79" s="2610"/>
      <c r="H79" s="2610"/>
      <c r="I79" s="2610"/>
      <c r="J79" s="2610"/>
      <c r="K79" s="2611"/>
      <c r="L79" s="577"/>
      <c r="M79" s="577"/>
      <c r="N79" s="2701"/>
      <c r="O79" s="2701"/>
      <c r="P79" s="2701"/>
      <c r="Q79" s="2701"/>
      <c r="R79" s="2701"/>
      <c r="S79" s="2713">
        <f ca="1">IF(AND(D79="",E79=""),"",S10)</f>
        <v>29321000</v>
      </c>
      <c r="T79" s="2713"/>
      <c r="U79" s="2713"/>
      <c r="V79" s="2713"/>
      <c r="W79" s="2713"/>
      <c r="X79" s="2584"/>
      <c r="Y79" s="2585"/>
      <c r="Z79" s="2585"/>
      <c r="AA79" s="2586"/>
      <c r="AB79" s="179"/>
      <c r="AC79" s="175"/>
      <c r="AD79" s="175"/>
      <c r="AE79" s="175"/>
      <c r="AF79" s="175"/>
      <c r="AG79" s="175"/>
      <c r="AH79" s="175"/>
      <c r="AI79" s="175"/>
      <c r="AJ79" s="175"/>
      <c r="AK79" s="175"/>
      <c r="AL79" s="175"/>
      <c r="AM79" s="175"/>
      <c r="AN79" s="175"/>
      <c r="AO79" s="175"/>
      <c r="AP79" s="175"/>
      <c r="AQ79" s="175"/>
      <c r="AR79" s="175"/>
      <c r="AS79" s="175"/>
      <c r="AT79" s="175"/>
      <c r="AU79" s="175"/>
      <c r="AV79" s="175"/>
      <c r="AW79" s="175"/>
    </row>
    <row r="80" spans="2:49" ht="17.25" customHeight="1">
      <c r="B80" s="2587"/>
      <c r="C80" s="262">
        <v>27</v>
      </c>
      <c r="D80" s="464">
        <f ca="1">D11</f>
        <v>6</v>
      </c>
      <c r="E80" s="2699" t="str">
        <f ca="1">IF(D11="","",E11)</f>
        <v xml:space="preserve"> 照明コンセント設備工事</v>
      </c>
      <c r="F80" s="2700"/>
      <c r="G80" s="2700"/>
      <c r="H80" s="2700"/>
      <c r="I80" s="2700"/>
      <c r="J80" s="2700"/>
      <c r="K80" s="2700"/>
      <c r="L80" s="2606">
        <f ca="1">IF(OR(D80="",$AD$41=0),"",INT(S84/Top!$AA$63))</f>
        <v>842</v>
      </c>
      <c r="M80" s="2606"/>
      <c r="N80" s="319" t="str">
        <f ca="1">IF(L80="","","／ｍ2")</f>
        <v>／ｍ2</v>
      </c>
      <c r="O80" s="319"/>
      <c r="P80" s="2613">
        <f ca="1">IF(L80="","",INT(L80/0.3025))</f>
        <v>2783</v>
      </c>
      <c r="Q80" s="2613"/>
      <c r="R80" s="319" t="str">
        <f ca="1">IF(P80="","","／坪")</f>
        <v>／坪</v>
      </c>
      <c r="S80" s="2607" t="str">
        <f ca="1">IF(L80="","","合計金額に対する割合；")</f>
        <v>合計金額に対する割合；</v>
      </c>
      <c r="T80" s="2607"/>
      <c r="U80" s="2607"/>
      <c r="V80" s="2607"/>
      <c r="W80" s="2607"/>
      <c r="X80" s="2607"/>
      <c r="Y80" s="2608">
        <f ca="1">IF(L80="","",$AC$41*100*S84/$S$41)</f>
        <v>6.4228259415242377</v>
      </c>
      <c r="Z80" s="2608"/>
      <c r="AA80" s="471" t="str">
        <f ca="1">IF(L80="","","％")</f>
        <v>％</v>
      </c>
      <c r="AB80" s="300"/>
      <c r="AC80" s="301"/>
      <c r="AD80" s="301"/>
      <c r="AE80" s="301"/>
      <c r="AF80" s="301"/>
      <c r="AG80" s="301"/>
      <c r="AH80" s="301"/>
      <c r="AI80" s="301"/>
      <c r="AJ80" s="301"/>
      <c r="AK80" s="301"/>
      <c r="AL80" s="301"/>
      <c r="AM80" s="301"/>
      <c r="AN80" s="301"/>
      <c r="AO80" s="301"/>
      <c r="AP80" s="301"/>
      <c r="AQ80" s="301"/>
      <c r="AR80" s="301"/>
      <c r="AS80" s="301"/>
      <c r="AT80" s="301"/>
      <c r="AU80" s="301"/>
      <c r="AV80" s="301"/>
      <c r="AW80" s="301"/>
    </row>
    <row r="81" spans="2:49" ht="17.25" customHeight="1">
      <c r="B81" s="2587"/>
      <c r="C81" s="272">
        <v>28</v>
      </c>
      <c r="D81" s="469"/>
      <c r="E81" s="2614" t="str">
        <f ca="1">IF(D80&lt;&gt;"",VLOOKUP(D80,内訳,7,FALSE),"")</f>
        <v>配管配線材料</v>
      </c>
      <c r="F81" s="2615"/>
      <c r="G81" s="2615"/>
      <c r="H81" s="2615"/>
      <c r="I81" s="2615"/>
      <c r="J81" s="2615"/>
      <c r="K81" s="2616"/>
      <c r="L81" s="468">
        <f ca="1">IF(E81&lt;&gt;"",1,"")</f>
        <v>1</v>
      </c>
      <c r="M81" s="468" t="str">
        <f ca="1">IF(E81&lt;&gt;"","式","")</f>
        <v>式</v>
      </c>
      <c r="N81" s="2617">
        <f ca="1">IF(D80&lt;&gt;"",VLOOKUP(D80,内訳,10,FALSE),"")</f>
        <v>14119000</v>
      </c>
      <c r="O81" s="2617"/>
      <c r="P81" s="2617"/>
      <c r="Q81" s="2617"/>
      <c r="R81" s="2617"/>
      <c r="S81" s="2583"/>
      <c r="T81" s="2583"/>
      <c r="U81" s="2583"/>
      <c r="V81" s="2583"/>
      <c r="W81" s="2583"/>
      <c r="X81" s="2584"/>
      <c r="Y81" s="2585"/>
      <c r="Z81" s="2585"/>
      <c r="AA81" s="2586"/>
      <c r="AB81" s="179"/>
      <c r="AC81" s="175"/>
      <c r="AD81" s="175"/>
      <c r="AE81" s="175"/>
      <c r="AF81" s="175"/>
      <c r="AG81" s="175"/>
      <c r="AH81" s="175"/>
      <c r="AI81" s="175"/>
      <c r="AJ81" s="175"/>
      <c r="AK81" s="175"/>
      <c r="AL81" s="175"/>
      <c r="AM81" s="175"/>
      <c r="AN81" s="175"/>
      <c r="AO81" s="175"/>
      <c r="AP81" s="175"/>
      <c r="AQ81" s="175"/>
      <c r="AR81" s="175"/>
      <c r="AS81" s="175"/>
      <c r="AT81" s="175"/>
      <c r="AU81" s="175"/>
      <c r="AV81" s="175"/>
      <c r="AW81" s="175"/>
    </row>
    <row r="82" spans="2:49" ht="17.25" customHeight="1">
      <c r="B82" s="2587"/>
      <c r="C82" s="272">
        <v>29</v>
      </c>
      <c r="D82" s="472"/>
      <c r="E82" s="2614" t="str">
        <f ca="1">IF(D80&lt;&gt;"",VLOOKUP(D80,内訳,8,FALSE),"")</f>
        <v>配線 器具 類</v>
      </c>
      <c r="F82" s="2615"/>
      <c r="G82" s="2615"/>
      <c r="H82" s="2615"/>
      <c r="I82" s="2615"/>
      <c r="J82" s="2615"/>
      <c r="K82" s="2616"/>
      <c r="L82" s="468">
        <f ca="1">IF(E82&lt;&gt;"",1,"")</f>
        <v>1</v>
      </c>
      <c r="M82" s="468" t="str">
        <f ca="1">IF(E82&lt;&gt;"","式","")</f>
        <v>式</v>
      </c>
      <c r="N82" s="2617">
        <f ca="1">IF(D80&lt;&gt;"",VLOOKUP(D80,内訳,11,FALSE),"")</f>
        <v>0</v>
      </c>
      <c r="O82" s="2617"/>
      <c r="P82" s="2617"/>
      <c r="Q82" s="2617"/>
      <c r="R82" s="2617"/>
      <c r="S82" s="2583"/>
      <c r="T82" s="2583"/>
      <c r="U82" s="2583"/>
      <c r="V82" s="2583"/>
      <c r="W82" s="2583"/>
      <c r="X82" s="2584" t="str">
        <f ca="1">IF(E80=" 低圧幹線設備工事"," 低圧盤を含む","")</f>
        <v/>
      </c>
      <c r="Y82" s="2585"/>
      <c r="Z82" s="2585"/>
      <c r="AA82" s="2586"/>
      <c r="AB82" s="179"/>
      <c r="AC82" s="175"/>
      <c r="AD82" s="175"/>
      <c r="AE82" s="175"/>
      <c r="AF82" s="175"/>
      <c r="AG82" s="175"/>
      <c r="AH82" s="175"/>
      <c r="AI82" s="175"/>
      <c r="AJ82" s="175"/>
      <c r="AK82" s="175"/>
      <c r="AL82" s="175"/>
      <c r="AM82" s="175"/>
      <c r="AN82" s="175"/>
      <c r="AO82" s="175"/>
      <c r="AP82" s="175"/>
      <c r="AQ82" s="175"/>
      <c r="AR82" s="175"/>
      <c r="AS82" s="175"/>
      <c r="AT82" s="175"/>
      <c r="AU82" s="175"/>
      <c r="AV82" s="175"/>
      <c r="AW82" s="175"/>
    </row>
    <row r="83" spans="2:49" ht="17.25" customHeight="1">
      <c r="B83" s="2587"/>
      <c r="C83" s="272">
        <v>30</v>
      </c>
      <c r="D83" s="472"/>
      <c r="E83" s="2614" t="str">
        <f ca="1">IF(D80&lt;&gt;"",VLOOKUP(D80,内訳,9,FALSE),"")</f>
        <v>電 　工　 費</v>
      </c>
      <c r="F83" s="2615"/>
      <c r="G83" s="2615"/>
      <c r="H83" s="2615"/>
      <c r="I83" s="2615"/>
      <c r="J83" s="2615"/>
      <c r="K83" s="2616"/>
      <c r="L83" s="468">
        <f ca="1">IF(E83&lt;&gt;"",1,"")</f>
        <v>1</v>
      </c>
      <c r="M83" s="468" t="str">
        <f ca="1">IF(E83&lt;&gt;"","式","")</f>
        <v>式</v>
      </c>
      <c r="N83" s="2617">
        <f ca="1">IF(D80&lt;&gt;"",VLOOKUP(D80,内訳,12,FALSE),"")</f>
        <v>9835000</v>
      </c>
      <c r="O83" s="2617"/>
      <c r="P83" s="2617"/>
      <c r="Q83" s="2617"/>
      <c r="R83" s="2617"/>
      <c r="S83" s="2583"/>
      <c r="T83" s="2583"/>
      <c r="U83" s="2583"/>
      <c r="V83" s="2583"/>
      <c r="W83" s="2583"/>
      <c r="X83" s="2584"/>
      <c r="Y83" s="2585"/>
      <c r="Z83" s="2585"/>
      <c r="AA83" s="2586"/>
      <c r="AB83" s="179"/>
      <c r="AC83" s="175"/>
      <c r="AD83" s="175"/>
      <c r="AE83" s="175"/>
      <c r="AF83" s="175"/>
      <c r="AG83" s="175"/>
      <c r="AH83" s="175"/>
      <c r="AI83" s="175"/>
      <c r="AJ83" s="175"/>
      <c r="AK83" s="175"/>
      <c r="AL83" s="175"/>
      <c r="AM83" s="175"/>
      <c r="AN83" s="175"/>
      <c r="AO83" s="175"/>
      <c r="AP83" s="175"/>
      <c r="AQ83" s="175"/>
      <c r="AR83" s="175"/>
      <c r="AS83" s="175"/>
      <c r="AT83" s="175"/>
      <c r="AU83" s="175"/>
      <c r="AV83" s="175"/>
      <c r="AW83" s="175"/>
    </row>
    <row r="84" spans="2:49" ht="17.25" customHeight="1">
      <c r="B84" s="2587"/>
      <c r="C84" s="575">
        <v>31</v>
      </c>
      <c r="D84" s="576"/>
      <c r="E84" s="2609" t="str">
        <f ca="1">IF(E80&lt;&gt;"",D80&amp;" の 計","")</f>
        <v>6 の 計</v>
      </c>
      <c r="F84" s="2610"/>
      <c r="G84" s="2610"/>
      <c r="H84" s="2610"/>
      <c r="I84" s="2610"/>
      <c r="J84" s="2610"/>
      <c r="K84" s="2611"/>
      <c r="L84" s="574"/>
      <c r="M84" s="574"/>
      <c r="N84" s="2599"/>
      <c r="O84" s="2599"/>
      <c r="P84" s="2599"/>
      <c r="Q84" s="2599"/>
      <c r="R84" s="2599"/>
      <c r="S84" s="2713">
        <f ca="1">IF(AND(D84="",E84=""),"",S11)</f>
        <v>23954000</v>
      </c>
      <c r="T84" s="2713"/>
      <c r="U84" s="2713"/>
      <c r="V84" s="2713"/>
      <c r="W84" s="2713"/>
      <c r="X84" s="2584"/>
      <c r="Y84" s="2585"/>
      <c r="Z84" s="2585"/>
      <c r="AA84" s="2586"/>
      <c r="AB84" s="179"/>
      <c r="AC84" s="175"/>
      <c r="AD84" s="175"/>
      <c r="AE84" s="175"/>
      <c r="AF84" s="175"/>
      <c r="AG84" s="175"/>
      <c r="AH84" s="175"/>
      <c r="AI84" s="175"/>
      <c r="AJ84" s="175"/>
      <c r="AK84" s="175"/>
      <c r="AL84" s="175"/>
      <c r="AM84" s="175"/>
      <c r="AN84" s="175"/>
      <c r="AO84" s="175"/>
      <c r="AP84" s="175"/>
      <c r="AQ84" s="175"/>
      <c r="AR84" s="175"/>
      <c r="AS84" s="175"/>
      <c r="AT84" s="175"/>
      <c r="AU84" s="175"/>
      <c r="AV84" s="175"/>
      <c r="AW84" s="175"/>
    </row>
    <row r="85" spans="2:49" ht="17.25" customHeight="1">
      <c r="B85" s="2587"/>
      <c r="C85" s="262">
        <v>32</v>
      </c>
      <c r="D85" s="464">
        <f ca="1">D12</f>
        <v>7</v>
      </c>
      <c r="E85" s="2699" t="str">
        <f ca="1">IF(D12="","",E12)</f>
        <v xml:space="preserve"> 照明器具取付工事</v>
      </c>
      <c r="F85" s="2700"/>
      <c r="G85" s="2700"/>
      <c r="H85" s="2700"/>
      <c r="I85" s="2700"/>
      <c r="J85" s="2700"/>
      <c r="K85" s="2700"/>
      <c r="L85" s="2606">
        <f ca="1">IF(OR(D85="",$AD$41=0),"",INT(S89/Top!$AA$63))</f>
        <v>1414</v>
      </c>
      <c r="M85" s="2606"/>
      <c r="N85" s="319" t="str">
        <f ca="1">IF(L85="","","／ｍ2")</f>
        <v>／ｍ2</v>
      </c>
      <c r="O85" s="319"/>
      <c r="P85" s="2613">
        <f ca="1">IF(L85="","",INT(L85/0.3025))</f>
        <v>4674</v>
      </c>
      <c r="Q85" s="2613"/>
      <c r="R85" s="319" t="str">
        <f ca="1">IF(P85="","","／坪")</f>
        <v>／坪</v>
      </c>
      <c r="S85" s="2607" t="str">
        <f ca="1">IF(L85="","","合計金額に対する割合；")</f>
        <v>合計金額に対する割合；</v>
      </c>
      <c r="T85" s="2607"/>
      <c r="U85" s="2607"/>
      <c r="V85" s="2607"/>
      <c r="W85" s="2607"/>
      <c r="X85" s="2607"/>
      <c r="Y85" s="2608">
        <f ca="1">IF(L85="","",$AC$41*100*S89/$S$41)</f>
        <v>10.785596288628724</v>
      </c>
      <c r="Z85" s="2608"/>
      <c r="AA85" s="471" t="str">
        <f ca="1">IF(L85="","","％")</f>
        <v>％</v>
      </c>
      <c r="AB85" s="300"/>
      <c r="AC85" s="301"/>
      <c r="AD85" s="301"/>
      <c r="AE85" s="301"/>
      <c r="AF85" s="301"/>
      <c r="AG85" s="301"/>
      <c r="AH85" s="301"/>
      <c r="AI85" s="301"/>
      <c r="AJ85" s="301"/>
      <c r="AK85" s="301"/>
      <c r="AL85" s="301"/>
      <c r="AM85" s="301"/>
      <c r="AN85" s="301"/>
      <c r="AO85" s="301"/>
      <c r="AP85" s="301"/>
      <c r="AQ85" s="301"/>
      <c r="AR85" s="301"/>
      <c r="AS85" s="301"/>
      <c r="AT85" s="301"/>
      <c r="AU85" s="301"/>
      <c r="AV85" s="301"/>
      <c r="AW85" s="301"/>
    </row>
    <row r="86" spans="2:49" ht="17.25" customHeight="1">
      <c r="B86" s="2587"/>
      <c r="C86" s="272">
        <v>33</v>
      </c>
      <c r="D86" s="469"/>
      <c r="E86" s="2614" t="str">
        <f ca="1">IF(D85&lt;&gt;"",VLOOKUP(D85,内訳,7,FALSE),"")</f>
        <v>照 明　器 具</v>
      </c>
      <c r="F86" s="2615"/>
      <c r="G86" s="2615"/>
      <c r="H86" s="2615"/>
      <c r="I86" s="2615"/>
      <c r="J86" s="2615"/>
      <c r="K86" s="2616"/>
      <c r="L86" s="468">
        <f ca="1">IF(E86&lt;&gt;"",1,"")</f>
        <v>1</v>
      </c>
      <c r="M86" s="468" t="str">
        <f ca="1">IF(E86&lt;&gt;"","式","")</f>
        <v>式</v>
      </c>
      <c r="N86" s="2617">
        <f ca="1">IF(D85&lt;&gt;"",VLOOKUP(D85,内訳,10,FALSE),"")</f>
        <v>724000</v>
      </c>
      <c r="O86" s="2617"/>
      <c r="P86" s="2617"/>
      <c r="Q86" s="2617"/>
      <c r="R86" s="2617"/>
      <c r="S86" s="2583"/>
      <c r="T86" s="2583"/>
      <c r="U86" s="2583"/>
      <c r="V86" s="2583"/>
      <c r="W86" s="2583"/>
      <c r="X86" s="2584"/>
      <c r="Y86" s="2585"/>
      <c r="Z86" s="2585"/>
      <c r="AA86" s="2586"/>
      <c r="AB86" s="179"/>
      <c r="AC86" s="175"/>
      <c r="AD86" s="175"/>
      <c r="AE86" s="175"/>
      <c r="AF86" s="175"/>
      <c r="AG86" s="175"/>
      <c r="AH86" s="175"/>
      <c r="AI86" s="175"/>
      <c r="AJ86" s="175"/>
      <c r="AK86" s="175"/>
      <c r="AL86" s="175"/>
      <c r="AM86" s="175"/>
      <c r="AN86" s="175"/>
      <c r="AO86" s="175"/>
      <c r="AP86" s="175"/>
      <c r="AQ86" s="175"/>
      <c r="AR86" s="175"/>
      <c r="AS86" s="175"/>
      <c r="AT86" s="175"/>
      <c r="AU86" s="175"/>
      <c r="AV86" s="175"/>
      <c r="AW86" s="175"/>
    </row>
    <row r="87" spans="2:49" ht="17.25" customHeight="1">
      <c r="B87" s="2587"/>
      <c r="C87" s="272">
        <v>34</v>
      </c>
      <c r="D87" s="472"/>
      <c r="E87" s="2614" t="str">
        <f ca="1">IF(D85&lt;&gt;"",VLOOKUP(D85,内訳,8,FALSE),"")</f>
        <v>照明器具取付材料</v>
      </c>
      <c r="F87" s="2615"/>
      <c r="G87" s="2615"/>
      <c r="H87" s="2615"/>
      <c r="I87" s="2615"/>
      <c r="J87" s="2615"/>
      <c r="K87" s="2616"/>
      <c r="L87" s="468">
        <f ca="1">IF(E87&lt;&gt;"",1,"")</f>
        <v>1</v>
      </c>
      <c r="M87" s="468" t="str">
        <f ca="1">IF(E87&lt;&gt;"","式","")</f>
        <v>式</v>
      </c>
      <c r="N87" s="2617">
        <f ca="1">IF(D85&lt;&gt;"",VLOOKUP(D85,内訳,11,FALSE),"")</f>
        <v>36205000</v>
      </c>
      <c r="O87" s="2617"/>
      <c r="P87" s="2617"/>
      <c r="Q87" s="2617"/>
      <c r="R87" s="2617"/>
      <c r="S87" s="2583"/>
      <c r="T87" s="2583"/>
      <c r="U87" s="2583"/>
      <c r="V87" s="2583"/>
      <c r="W87" s="2583"/>
      <c r="X87" s="2584"/>
      <c r="Y87" s="2585"/>
      <c r="Z87" s="2585"/>
      <c r="AA87" s="2586"/>
      <c r="AB87" s="179"/>
      <c r="AC87" s="175"/>
      <c r="AD87" s="175"/>
      <c r="AE87" s="175"/>
      <c r="AF87" s="175"/>
      <c r="AG87" s="175"/>
      <c r="AH87" s="175"/>
      <c r="AI87" s="175"/>
      <c r="AJ87" s="175"/>
      <c r="AK87" s="175"/>
      <c r="AL87" s="175"/>
      <c r="AM87" s="175"/>
      <c r="AN87" s="175"/>
      <c r="AO87" s="175"/>
      <c r="AP87" s="175"/>
      <c r="AQ87" s="175"/>
      <c r="AR87" s="175"/>
      <c r="AS87" s="175"/>
      <c r="AT87" s="175"/>
      <c r="AU87" s="175"/>
      <c r="AV87" s="175"/>
      <c r="AW87" s="175"/>
    </row>
    <row r="88" spans="2:49" ht="17.25" customHeight="1">
      <c r="B88" s="2587"/>
      <c r="C88" s="272">
        <v>35</v>
      </c>
      <c r="D88" s="472"/>
      <c r="E88" s="2614" t="str">
        <f ca="1">IF(D85&lt;&gt;"",VLOOKUP(D85,内訳,9,FALSE),"")</f>
        <v>電 　工　 費</v>
      </c>
      <c r="F88" s="2615"/>
      <c r="G88" s="2615"/>
      <c r="H88" s="2615"/>
      <c r="I88" s="2615"/>
      <c r="J88" s="2615"/>
      <c r="K88" s="2616"/>
      <c r="L88" s="468">
        <f ca="1">IF(E88&lt;&gt;"",1,"")</f>
        <v>1</v>
      </c>
      <c r="M88" s="468" t="str">
        <f ca="1">IF(E88&lt;&gt;"","式","")</f>
        <v>式</v>
      </c>
      <c r="N88" s="2617">
        <f ca="1">IF(D85&lt;&gt;"",VLOOKUP(D85,内訳,12,FALSE),"")</f>
        <v>3296000</v>
      </c>
      <c r="O88" s="2617"/>
      <c r="P88" s="2617"/>
      <c r="Q88" s="2617"/>
      <c r="R88" s="2617"/>
      <c r="S88" s="2583"/>
      <c r="T88" s="2583"/>
      <c r="U88" s="2583"/>
      <c r="V88" s="2583"/>
      <c r="W88" s="2583"/>
      <c r="X88" s="2584"/>
      <c r="Y88" s="2585"/>
      <c r="Z88" s="2585"/>
      <c r="AA88" s="2586"/>
      <c r="AB88" s="179"/>
      <c r="AC88" s="175"/>
      <c r="AD88" s="175"/>
      <c r="AE88" s="175"/>
      <c r="AF88" s="175"/>
      <c r="AG88" s="175"/>
      <c r="AH88" s="175"/>
      <c r="AI88" s="175"/>
      <c r="AJ88" s="175"/>
      <c r="AK88" s="175"/>
      <c r="AL88" s="175"/>
      <c r="AM88" s="175"/>
      <c r="AN88" s="175"/>
      <c r="AO88" s="175"/>
      <c r="AP88" s="175"/>
      <c r="AQ88" s="175"/>
      <c r="AR88" s="175"/>
      <c r="AS88" s="175"/>
      <c r="AT88" s="175"/>
      <c r="AU88" s="175"/>
      <c r="AV88" s="175"/>
      <c r="AW88" s="175"/>
    </row>
    <row r="89" spans="2:49" ht="17.25" customHeight="1">
      <c r="B89" s="2587"/>
      <c r="C89" s="575">
        <v>36</v>
      </c>
      <c r="D89" s="576"/>
      <c r="E89" s="2609" t="str">
        <f ca="1">IF(E85&lt;&gt;"",D85&amp;" の 計","")</f>
        <v>7 の 計</v>
      </c>
      <c r="F89" s="2610"/>
      <c r="G89" s="2610"/>
      <c r="H89" s="2610"/>
      <c r="I89" s="2610"/>
      <c r="J89" s="2610"/>
      <c r="K89" s="2611"/>
      <c r="L89" s="574"/>
      <c r="M89" s="574"/>
      <c r="N89" s="2599"/>
      <c r="O89" s="2599"/>
      <c r="P89" s="2599"/>
      <c r="Q89" s="2599"/>
      <c r="R89" s="2599"/>
      <c r="S89" s="2713">
        <f ca="1">IF(AND(D89="",E89=""),"",S12)</f>
        <v>40225000</v>
      </c>
      <c r="T89" s="2713"/>
      <c r="U89" s="2713"/>
      <c r="V89" s="2713"/>
      <c r="W89" s="2713"/>
      <c r="X89" s="2584"/>
      <c r="Y89" s="2585"/>
      <c r="Z89" s="2585"/>
      <c r="AA89" s="2586"/>
      <c r="AB89" s="179"/>
      <c r="AC89" s="175"/>
      <c r="AD89" s="175"/>
      <c r="AE89" s="175"/>
      <c r="AF89" s="175"/>
      <c r="AG89" s="175"/>
      <c r="AH89" s="175"/>
      <c r="AI89" s="175"/>
      <c r="AJ89" s="175"/>
      <c r="AK89" s="175"/>
      <c r="AL89" s="175"/>
      <c r="AM89" s="175"/>
      <c r="AN89" s="175"/>
      <c r="AO89" s="175"/>
      <c r="AP89" s="175"/>
      <c r="AQ89" s="175"/>
      <c r="AR89" s="175"/>
      <c r="AS89" s="175"/>
      <c r="AT89" s="175"/>
      <c r="AU89" s="175"/>
      <c r="AV89" s="175"/>
      <c r="AW89" s="175"/>
    </row>
    <row r="90" spans="2:49" ht="17.25" customHeight="1">
      <c r="B90" s="2587"/>
      <c r="C90" s="262">
        <v>37</v>
      </c>
      <c r="D90" s="464">
        <f ca="1">D13</f>
        <v>8</v>
      </c>
      <c r="E90" s="2699" t="str">
        <f ca="1">IF(D13="","",E13)</f>
        <v xml:space="preserve"> 非常照明・誘導灯設備工事</v>
      </c>
      <c r="F90" s="2700"/>
      <c r="G90" s="2700"/>
      <c r="H90" s="2700"/>
      <c r="I90" s="2700"/>
      <c r="J90" s="2700"/>
      <c r="K90" s="2700"/>
      <c r="L90" s="2606">
        <f ca="1">IF(OR(D90="",$AD$41=0),"",INT(S94/Top!$AA$63))</f>
        <v>663</v>
      </c>
      <c r="M90" s="2606"/>
      <c r="N90" s="319" t="str">
        <f ca="1">IF(L90="","","／ｍ2")</f>
        <v>／ｍ2</v>
      </c>
      <c r="O90" s="319"/>
      <c r="P90" s="2613">
        <f ca="1">IF(L90="","",INT(L90/0.3025))</f>
        <v>2191</v>
      </c>
      <c r="Q90" s="2613"/>
      <c r="R90" s="319" t="str">
        <f ca="1">IF(P90="","","／坪")</f>
        <v>／坪</v>
      </c>
      <c r="S90" s="2607" t="str">
        <f ca="1">IF(L90="","","合計金額に対する割合；")</f>
        <v>合計金額に対する割合；</v>
      </c>
      <c r="T90" s="2607"/>
      <c r="U90" s="2607"/>
      <c r="V90" s="2607"/>
      <c r="W90" s="2607"/>
      <c r="X90" s="2607"/>
      <c r="Y90" s="2608">
        <f ca="1">IF(L90="","",$AC$41*100*S94/$S$41)</f>
        <v>5.055354441909409</v>
      </c>
      <c r="Z90" s="2608"/>
      <c r="AA90" s="471" t="str">
        <f ca="1">IF(L90="","","％")</f>
        <v>％</v>
      </c>
      <c r="AB90" s="300"/>
      <c r="AC90" s="301"/>
      <c r="AD90" s="301"/>
      <c r="AE90" s="301"/>
      <c r="AF90" s="301"/>
      <c r="AG90" s="301"/>
      <c r="AH90" s="301"/>
      <c r="AI90" s="301"/>
      <c r="AJ90" s="301"/>
      <c r="AK90" s="301"/>
      <c r="AL90" s="301"/>
      <c r="AM90" s="301"/>
      <c r="AN90" s="301"/>
      <c r="AO90" s="301"/>
      <c r="AP90" s="301"/>
      <c r="AQ90" s="301"/>
      <c r="AR90" s="301"/>
      <c r="AS90" s="301"/>
      <c r="AT90" s="301"/>
      <c r="AU90" s="301"/>
      <c r="AV90" s="301"/>
      <c r="AW90" s="301"/>
    </row>
    <row r="91" spans="2:49" ht="17.25" customHeight="1">
      <c r="B91" s="2587"/>
      <c r="C91" s="272">
        <v>38</v>
      </c>
      <c r="D91" s="469"/>
      <c r="E91" s="2614" t="str">
        <f ca="1">IF(D90&lt;&gt;"",VLOOKUP(D90,内訳,7,FALSE),"")</f>
        <v>配管配線材料</v>
      </c>
      <c r="F91" s="2615"/>
      <c r="G91" s="2615"/>
      <c r="H91" s="2615"/>
      <c r="I91" s="2615"/>
      <c r="J91" s="2615"/>
      <c r="K91" s="2616"/>
      <c r="L91" s="468">
        <f ca="1">IF(E91&lt;&gt;"",1,"")</f>
        <v>1</v>
      </c>
      <c r="M91" s="468" t="str">
        <f ca="1">IF(E91&lt;&gt;"","式","")</f>
        <v>式</v>
      </c>
      <c r="N91" s="2617">
        <f ca="1">IF(D90&lt;&gt;"",VLOOKUP(D90,内訳,10,FALSE),"")</f>
        <v>1152000</v>
      </c>
      <c r="O91" s="2617"/>
      <c r="P91" s="2617"/>
      <c r="Q91" s="2617"/>
      <c r="R91" s="2617"/>
      <c r="S91" s="2583"/>
      <c r="T91" s="2583"/>
      <c r="U91" s="2583"/>
      <c r="V91" s="2583"/>
      <c r="W91" s="2583"/>
      <c r="X91" s="2584"/>
      <c r="Y91" s="2585"/>
      <c r="Z91" s="2585"/>
      <c r="AA91" s="2586"/>
      <c r="AB91" s="179"/>
      <c r="AC91" s="175"/>
      <c r="AD91" s="175"/>
      <c r="AE91" s="175"/>
      <c r="AF91" s="175"/>
      <c r="AG91" s="175"/>
      <c r="AH91" s="175"/>
      <c r="AI91" s="175"/>
      <c r="AJ91" s="175"/>
      <c r="AK91" s="175"/>
      <c r="AL91" s="175"/>
      <c r="AM91" s="175"/>
      <c r="AN91" s="175"/>
      <c r="AO91" s="175"/>
      <c r="AP91" s="175"/>
      <c r="AQ91" s="175"/>
      <c r="AR91" s="175"/>
      <c r="AS91" s="175"/>
      <c r="AT91" s="175"/>
      <c r="AU91" s="175"/>
      <c r="AV91" s="175"/>
      <c r="AW91" s="175"/>
    </row>
    <row r="92" spans="2:49" ht="17.25" customHeight="1">
      <c r="B92" s="2587"/>
      <c r="C92" s="272">
        <v>39</v>
      </c>
      <c r="D92" s="472"/>
      <c r="E92" s="2614" t="str">
        <f ca="1">IF(D90&lt;&gt;"",VLOOKUP(D90,内訳,8,FALSE),"")</f>
        <v>照 明　器 具</v>
      </c>
      <c r="F92" s="2615"/>
      <c r="G92" s="2615"/>
      <c r="H92" s="2615"/>
      <c r="I92" s="2615"/>
      <c r="J92" s="2615"/>
      <c r="K92" s="2616"/>
      <c r="L92" s="468">
        <f ca="1">IF(E92&lt;&gt;"",1,"")</f>
        <v>1</v>
      </c>
      <c r="M92" s="468" t="str">
        <f ca="1">IF(E92&lt;&gt;"","式","")</f>
        <v>式</v>
      </c>
      <c r="N92" s="2617">
        <f ca="1">IF(D90&lt;&gt;"",VLOOKUP(D90,内訳,11,FALSE),"")</f>
        <v>14457000</v>
      </c>
      <c r="O92" s="2617"/>
      <c r="P92" s="2617"/>
      <c r="Q92" s="2617"/>
      <c r="R92" s="2617"/>
      <c r="S92" s="2583"/>
      <c r="T92" s="2583"/>
      <c r="U92" s="2583"/>
      <c r="V92" s="2583"/>
      <c r="W92" s="2583"/>
      <c r="X92" s="2584"/>
      <c r="Y92" s="2585"/>
      <c r="Z92" s="2585"/>
      <c r="AA92" s="2586"/>
      <c r="AB92" s="179"/>
      <c r="AC92" s="175"/>
      <c r="AD92" s="175"/>
      <c r="AE92" s="175"/>
      <c r="AF92" s="175"/>
      <c r="AG92" s="175"/>
      <c r="AH92" s="175"/>
      <c r="AI92" s="175"/>
      <c r="AJ92" s="175"/>
      <c r="AK92" s="175"/>
      <c r="AL92" s="175"/>
      <c r="AM92" s="175"/>
      <c r="AN92" s="175"/>
      <c r="AO92" s="175"/>
      <c r="AP92" s="175"/>
      <c r="AQ92" s="175"/>
      <c r="AR92" s="175"/>
      <c r="AS92" s="175"/>
      <c r="AT92" s="175"/>
      <c r="AU92" s="175"/>
      <c r="AV92" s="175"/>
      <c r="AW92" s="175"/>
    </row>
    <row r="93" spans="2:49" ht="17.25" customHeight="1">
      <c r="B93" s="2587"/>
      <c r="C93" s="272">
        <v>40</v>
      </c>
      <c r="D93" s="472"/>
      <c r="E93" s="2614" t="str">
        <f ca="1">IF(D90&lt;&gt;"",VLOOKUP(D90,内訳,9,FALSE),"")</f>
        <v>電 　工　 費</v>
      </c>
      <c r="F93" s="2615"/>
      <c r="G93" s="2615"/>
      <c r="H93" s="2615"/>
      <c r="I93" s="2615"/>
      <c r="J93" s="2615"/>
      <c r="K93" s="2616"/>
      <c r="L93" s="468">
        <f ca="1">IF(E93&lt;&gt;"",1,"")</f>
        <v>1</v>
      </c>
      <c r="M93" s="468" t="str">
        <f ca="1">IF(E93&lt;&gt;"","式","")</f>
        <v>式</v>
      </c>
      <c r="N93" s="2617">
        <f ca="1">IF(D90&lt;&gt;"",VLOOKUP(D90,内訳,12,FALSE),"")</f>
        <v>3245000</v>
      </c>
      <c r="O93" s="2617"/>
      <c r="P93" s="2617"/>
      <c r="Q93" s="2617"/>
      <c r="R93" s="2617"/>
      <c r="S93" s="2583"/>
      <c r="T93" s="2583"/>
      <c r="U93" s="2583"/>
      <c r="V93" s="2583"/>
      <c r="W93" s="2583"/>
      <c r="X93" s="2584"/>
      <c r="Y93" s="2585"/>
      <c r="Z93" s="2585"/>
      <c r="AA93" s="2586"/>
      <c r="AB93" s="179"/>
      <c r="AC93" s="175"/>
      <c r="AD93" s="175"/>
      <c r="AE93" s="175"/>
      <c r="AF93" s="175"/>
      <c r="AG93" s="175"/>
      <c r="AH93" s="175"/>
      <c r="AI93" s="175"/>
      <c r="AJ93" s="175"/>
      <c r="AK93" s="175"/>
      <c r="AL93" s="175"/>
      <c r="AM93" s="175"/>
      <c r="AN93" s="175"/>
      <c r="AO93" s="175"/>
      <c r="AP93" s="175"/>
      <c r="AQ93" s="175"/>
      <c r="AR93" s="175"/>
      <c r="AS93" s="175"/>
      <c r="AT93" s="175"/>
      <c r="AU93" s="175"/>
      <c r="AV93" s="175"/>
      <c r="AW93" s="175"/>
    </row>
    <row r="94" spans="2:49" ht="17.25" customHeight="1">
      <c r="B94" s="2587"/>
      <c r="C94" s="575">
        <v>41</v>
      </c>
      <c r="D94" s="576"/>
      <c r="E94" s="2609" t="str">
        <f ca="1">IF(E90&lt;&gt;"",D90&amp;" の 計","")</f>
        <v>8 の 計</v>
      </c>
      <c r="F94" s="2610"/>
      <c r="G94" s="2610"/>
      <c r="H94" s="2610"/>
      <c r="I94" s="2610"/>
      <c r="J94" s="2610"/>
      <c r="K94" s="2611"/>
      <c r="L94" s="574"/>
      <c r="M94" s="574"/>
      <c r="N94" s="2599"/>
      <c r="O94" s="2599"/>
      <c r="P94" s="2599"/>
      <c r="Q94" s="2599"/>
      <c r="R94" s="2599"/>
      <c r="S94" s="2627">
        <f ca="1">IF(AND(D94="",E94=""),"",S13)</f>
        <v>18854000</v>
      </c>
      <c r="T94" s="2627"/>
      <c r="U94" s="2627"/>
      <c r="V94" s="2627"/>
      <c r="W94" s="2627"/>
      <c r="X94" s="2600"/>
      <c r="Y94" s="2601"/>
      <c r="Z94" s="2601"/>
      <c r="AA94" s="2602"/>
      <c r="AB94" s="179"/>
      <c r="AC94" s="175"/>
      <c r="AD94" s="175"/>
      <c r="AE94" s="175"/>
      <c r="AF94" s="175"/>
      <c r="AG94" s="175"/>
      <c r="AH94" s="175"/>
      <c r="AI94" s="175"/>
      <c r="AJ94" s="175"/>
      <c r="AK94" s="175"/>
      <c r="AL94" s="175"/>
      <c r="AM94" s="175"/>
      <c r="AN94" s="175"/>
      <c r="AO94" s="175"/>
      <c r="AP94" s="175"/>
      <c r="AQ94" s="175"/>
      <c r="AR94" s="175"/>
      <c r="AS94" s="175"/>
      <c r="AT94" s="175"/>
      <c r="AU94" s="175"/>
      <c r="AV94" s="175"/>
      <c r="AW94" s="175"/>
    </row>
    <row r="95" spans="2:49" ht="17.25" customHeight="1">
      <c r="B95" s="2587"/>
      <c r="C95" s="262">
        <v>42</v>
      </c>
      <c r="D95" s="319"/>
      <c r="E95" s="319"/>
      <c r="F95" s="319"/>
      <c r="G95" s="319"/>
      <c r="H95" s="504"/>
      <c r="I95" s="319"/>
      <c r="J95" s="319"/>
      <c r="K95" s="319"/>
      <c r="L95" s="319"/>
      <c r="M95" s="319"/>
      <c r="N95" s="319"/>
      <c r="O95" s="319"/>
      <c r="P95" s="319"/>
      <c r="Q95" s="319"/>
      <c r="R95" s="319"/>
      <c r="S95" s="319"/>
      <c r="T95" s="319"/>
      <c r="U95" s="319"/>
      <c r="V95" s="319"/>
      <c r="W95" s="319"/>
      <c r="X95" s="319"/>
      <c r="Y95" s="319"/>
      <c r="Z95" s="319"/>
      <c r="AA95" s="578"/>
      <c r="AB95" s="179"/>
      <c r="AC95" s="175"/>
      <c r="AD95" s="175"/>
      <c r="AE95" s="175"/>
      <c r="AF95" s="175"/>
      <c r="AG95" s="175"/>
      <c r="AH95" s="175"/>
      <c r="AI95" s="175"/>
      <c r="AJ95" s="175"/>
      <c r="AK95" s="175"/>
      <c r="AL95" s="175"/>
      <c r="AM95" s="175"/>
      <c r="AN95" s="175"/>
      <c r="AO95" s="175"/>
      <c r="AP95" s="175"/>
      <c r="AQ95" s="175"/>
      <c r="AR95" s="175"/>
      <c r="AS95" s="175"/>
      <c r="AT95" s="175"/>
      <c r="AU95" s="175"/>
      <c r="AV95" s="175"/>
      <c r="AW95" s="175"/>
    </row>
    <row r="96" spans="2:49" ht="17.25" customHeight="1">
      <c r="B96" s="2587"/>
      <c r="C96" s="272">
        <v>43</v>
      </c>
      <c r="D96" s="451"/>
      <c r="E96" s="451"/>
      <c r="F96" s="451"/>
      <c r="G96" s="451"/>
      <c r="H96" s="318"/>
      <c r="I96" s="451"/>
      <c r="J96" s="451"/>
      <c r="K96" s="451"/>
      <c r="L96" s="451"/>
      <c r="M96" s="451"/>
      <c r="N96" s="451"/>
      <c r="O96" s="451"/>
      <c r="P96" s="451"/>
      <c r="Q96" s="319"/>
      <c r="R96" s="451"/>
      <c r="S96" s="451"/>
      <c r="T96" s="451"/>
      <c r="U96" s="451"/>
      <c r="V96" s="451"/>
      <c r="W96" s="451"/>
      <c r="X96" s="451"/>
      <c r="Y96" s="451"/>
      <c r="Z96" s="451"/>
      <c r="AA96" s="452"/>
      <c r="AB96" s="179"/>
      <c r="AC96" s="175"/>
      <c r="AD96" s="175"/>
      <c r="AE96" s="175"/>
      <c r="AF96" s="175"/>
      <c r="AG96" s="175"/>
      <c r="AH96" s="175"/>
      <c r="AI96" s="175"/>
      <c r="AJ96" s="175"/>
      <c r="AK96" s="175"/>
      <c r="AL96" s="175"/>
      <c r="AM96" s="175"/>
      <c r="AN96" s="175"/>
      <c r="AO96" s="175"/>
      <c r="AP96" s="175"/>
      <c r="AQ96" s="175"/>
      <c r="AR96" s="175"/>
      <c r="AS96" s="175"/>
      <c r="AT96" s="175"/>
      <c r="AU96" s="175"/>
      <c r="AV96" s="175"/>
      <c r="AW96" s="175"/>
    </row>
    <row r="97" spans="2:49" ht="17.25" customHeight="1">
      <c r="B97" s="2587"/>
      <c r="C97" s="272">
        <v>44</v>
      </c>
      <c r="D97" s="451"/>
      <c r="E97" s="451"/>
      <c r="F97" s="451"/>
      <c r="G97" s="451"/>
      <c r="H97" s="451"/>
      <c r="I97" s="451"/>
      <c r="J97" s="451"/>
      <c r="K97" s="451"/>
      <c r="L97" s="451"/>
      <c r="M97" s="451"/>
      <c r="N97" s="451"/>
      <c r="O97" s="451"/>
      <c r="P97" s="451"/>
      <c r="Q97" s="451"/>
      <c r="R97" s="451"/>
      <c r="S97" s="319"/>
      <c r="T97" s="319"/>
      <c r="U97" s="319"/>
      <c r="V97" s="319"/>
      <c r="W97" s="319"/>
      <c r="X97" s="451"/>
      <c r="Y97" s="451"/>
      <c r="Z97" s="451"/>
      <c r="AA97" s="452"/>
      <c r="AB97" s="179"/>
      <c r="AC97" s="175"/>
      <c r="AD97" s="175"/>
      <c r="AE97" s="175"/>
      <c r="AF97" s="175"/>
      <c r="AG97" s="175"/>
      <c r="AH97" s="175"/>
      <c r="AI97" s="175"/>
      <c r="AJ97" s="175"/>
      <c r="AK97" s="175"/>
      <c r="AL97" s="175"/>
      <c r="AM97" s="175"/>
      <c r="AN97" s="175"/>
      <c r="AO97" s="175"/>
      <c r="AP97" s="175"/>
      <c r="AQ97" s="175"/>
      <c r="AR97" s="175"/>
      <c r="AS97" s="175"/>
      <c r="AT97" s="175"/>
      <c r="AU97" s="175"/>
      <c r="AV97" s="175"/>
      <c r="AW97" s="175"/>
    </row>
    <row r="98" spans="2:49" ht="17.25" customHeight="1" thickBot="1">
      <c r="B98" s="2587"/>
      <c r="C98" s="291">
        <v>45</v>
      </c>
      <c r="D98" s="448"/>
      <c r="E98" s="448"/>
      <c r="F98" s="448"/>
      <c r="G98" s="448"/>
      <c r="H98" s="448"/>
      <c r="I98" s="448"/>
      <c r="J98" s="448"/>
      <c r="K98" s="448"/>
      <c r="L98" s="448"/>
      <c r="M98" s="448"/>
      <c r="N98" s="448"/>
      <c r="O98" s="448"/>
      <c r="P98" s="448"/>
      <c r="Q98" s="448"/>
      <c r="R98" s="448"/>
      <c r="S98" s="448"/>
      <c r="T98" s="448"/>
      <c r="U98" s="448"/>
      <c r="V98" s="448"/>
      <c r="W98" s="448"/>
      <c r="X98" s="448"/>
      <c r="Y98" s="448"/>
      <c r="Z98" s="448"/>
      <c r="AA98" s="449"/>
      <c r="AB98" s="179"/>
      <c r="AC98" s="175"/>
      <c r="AD98" s="175"/>
      <c r="AE98" s="175"/>
      <c r="AF98" s="175"/>
      <c r="AG98" s="175"/>
      <c r="AH98" s="175"/>
      <c r="AI98" s="175"/>
      <c r="AJ98" s="175"/>
      <c r="AK98" s="175"/>
      <c r="AL98" s="175"/>
      <c r="AM98" s="175"/>
      <c r="AN98" s="175"/>
      <c r="AO98" s="175"/>
      <c r="AP98" s="175"/>
      <c r="AQ98" s="175"/>
      <c r="AR98" s="175"/>
      <c r="AS98" s="175"/>
      <c r="AT98" s="175"/>
      <c r="AU98" s="175"/>
      <c r="AV98" s="175"/>
      <c r="AW98" s="175"/>
    </row>
    <row r="99" spans="2:49" ht="4.5" customHeight="1">
      <c r="B99" s="2587"/>
    </row>
    <row r="100" spans="2:49" ht="12.75" customHeight="1">
      <c r="B100" s="2587" t="s">
        <v>453</v>
      </c>
      <c r="C100" s="476" t="s">
        <v>454</v>
      </c>
      <c r="D100" s="473">
        <f ca="1">IF(SUM(D104:D139)=0,"",D51+1)</f>
        <v>3</v>
      </c>
      <c r="E100" s="242"/>
      <c r="F100" s="2704" t="str">
        <f>$F$2</f>
        <v xml:space="preserve"> (原価セル番号[F2],[F3],[F4] )  この三行は、入力可能"セル"です。</v>
      </c>
      <c r="G100" s="2704"/>
      <c r="H100" s="2704"/>
      <c r="I100" s="2704"/>
      <c r="J100" s="2704"/>
      <c r="K100" s="2704"/>
      <c r="L100" s="2704"/>
      <c r="M100" s="2704"/>
      <c r="N100" s="2704"/>
      <c r="O100" s="2704"/>
      <c r="P100" s="2704"/>
      <c r="Q100" s="2704"/>
      <c r="R100" s="2704"/>
      <c r="S100" s="2704"/>
      <c r="T100" s="2704"/>
      <c r="U100" s="2704"/>
      <c r="V100" s="248"/>
      <c r="W100" s="2681" t="s">
        <v>999</v>
      </c>
      <c r="X100" s="2681"/>
      <c r="Y100" s="2705">
        <f ca="1">Y2</f>
        <v>44092.92644722222</v>
      </c>
      <c r="Z100" s="2705"/>
      <c r="AA100" s="2705"/>
      <c r="AB100" s="243"/>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row>
    <row r="101" spans="2:49" ht="12" customHeight="1">
      <c r="B101" s="2587"/>
      <c r="C101" s="241"/>
      <c r="D101" s="241"/>
      <c r="E101" s="241"/>
      <c r="F101" s="2704" t="str">
        <f>$F$3</f>
        <v>Cell No.[E2]～[E4]の範囲のセルには、企業情報・ロゴ等の表示に、活用</v>
      </c>
      <c r="G101" s="2704"/>
      <c r="H101" s="2704"/>
      <c r="I101" s="2704"/>
      <c r="J101" s="2704"/>
      <c r="K101" s="2704"/>
      <c r="L101" s="2704"/>
      <c r="M101" s="2704"/>
      <c r="N101" s="2704"/>
      <c r="O101" s="2704"/>
      <c r="P101" s="2704"/>
      <c r="Q101" s="2704"/>
      <c r="R101" s="2704"/>
      <c r="S101" s="2704"/>
      <c r="T101" s="2704"/>
      <c r="U101" s="2704"/>
      <c r="V101" s="245"/>
      <c r="W101" s="491"/>
      <c r="X101" s="489" t="str">
        <f>$X$3</f>
        <v xml:space="preserve">    TELEPHONE:</v>
      </c>
      <c r="Y101" s="2706" t="str">
        <f>$Y$3</f>
        <v>0nn-nnn-nnnn</v>
      </c>
      <c r="Z101" s="2707"/>
      <c r="AA101" s="2707"/>
      <c r="AB101" s="247"/>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row>
    <row r="102" spans="2:49" ht="16.5" customHeight="1" thickBot="1">
      <c r="B102" s="2587"/>
      <c r="C102" s="248"/>
      <c r="D102" s="248"/>
      <c r="E102" s="248"/>
      <c r="F102" s="2704" t="str">
        <f>$F$4</f>
        <v>できます。 　ここに入力したデータは、関連する各ページに自動転記されます。</v>
      </c>
      <c r="G102" s="2704"/>
      <c r="H102" s="2704"/>
      <c r="I102" s="2704"/>
      <c r="J102" s="2704"/>
      <c r="K102" s="2704"/>
      <c r="L102" s="2704"/>
      <c r="M102" s="2704"/>
      <c r="N102" s="2704"/>
      <c r="O102" s="2704"/>
      <c r="P102" s="2704"/>
      <c r="Q102" s="2704"/>
      <c r="R102" s="2704"/>
      <c r="S102" s="2704"/>
      <c r="T102" s="2704"/>
      <c r="U102" s="2704"/>
      <c r="V102" s="249"/>
      <c r="W102" s="492"/>
      <c r="X102" s="490" t="str">
        <f>$X$4</f>
        <v>　　FACSIMILE:</v>
      </c>
      <c r="Y102" s="2708" t="str">
        <f>$Y$4</f>
        <v>0nn-nnn-nnnn</v>
      </c>
      <c r="Z102" s="2709"/>
      <c r="AA102" s="2710"/>
      <c r="AB102" s="252"/>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row>
    <row r="103" spans="2:49" ht="18.75" customHeight="1">
      <c r="B103" s="2587"/>
      <c r="C103" s="258">
        <v>1</v>
      </c>
      <c r="D103" s="457" t="s">
        <v>467</v>
      </c>
      <c r="E103" s="2702" t="s">
        <v>468</v>
      </c>
      <c r="F103" s="2702"/>
      <c r="G103" s="2702"/>
      <c r="H103" s="2702"/>
      <c r="I103" s="2702"/>
      <c r="J103" s="2702"/>
      <c r="K103" s="2702"/>
      <c r="L103" s="458" t="s">
        <v>469</v>
      </c>
      <c r="M103" s="458" t="s">
        <v>470</v>
      </c>
      <c r="N103" s="2702" t="s">
        <v>471</v>
      </c>
      <c r="O103" s="2702"/>
      <c r="P103" s="2702"/>
      <c r="Q103" s="2702"/>
      <c r="R103" s="2702"/>
      <c r="S103" s="2702" t="s">
        <v>472</v>
      </c>
      <c r="T103" s="2702"/>
      <c r="U103" s="2702"/>
      <c r="V103" s="2702"/>
      <c r="W103" s="2702"/>
      <c r="X103" s="2702" t="s">
        <v>473</v>
      </c>
      <c r="Y103" s="2702"/>
      <c r="Z103" s="2702"/>
      <c r="AA103" s="2703"/>
      <c r="AB103" s="259"/>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row>
    <row r="104" spans="2:49" ht="17.25" customHeight="1">
      <c r="B104" s="2587"/>
      <c r="C104" s="262">
        <v>2</v>
      </c>
      <c r="D104" s="477">
        <f ca="1">D14</f>
        <v>9</v>
      </c>
      <c r="E104" s="2697" t="str">
        <f ca="1">IF(D14="","",E14)</f>
        <v xml:space="preserve"> 自火報防排煙設備工事</v>
      </c>
      <c r="F104" s="2698"/>
      <c r="G104" s="2698"/>
      <c r="H104" s="2698"/>
      <c r="I104" s="2698"/>
      <c r="J104" s="2698"/>
      <c r="K104" s="2698"/>
      <c r="L104" s="2606">
        <f ca="1">IF(OR(D104="",$AD$41=0),"",INT(S108/Top!$AA$63))</f>
        <v>514</v>
      </c>
      <c r="M104" s="2606"/>
      <c r="N104" s="319" t="str">
        <f ca="1">IF(L104="","","／ｍ2")</f>
        <v>／ｍ2</v>
      </c>
      <c r="O104" s="319"/>
      <c r="P104" s="2613">
        <f ca="1">IF(L104="","",INT(L104/0.3025))</f>
        <v>1699</v>
      </c>
      <c r="Q104" s="2613"/>
      <c r="R104" s="319" t="str">
        <f ca="1">IF(P104="","","／坪")</f>
        <v>／坪</v>
      </c>
      <c r="S104" s="2607" t="str">
        <f ca="1">IF(L104="","","合計金額に対する割合；")</f>
        <v>合計金額に対する割合；</v>
      </c>
      <c r="T104" s="2607"/>
      <c r="U104" s="2607"/>
      <c r="V104" s="2607"/>
      <c r="W104" s="2607"/>
      <c r="X104" s="2607"/>
      <c r="Y104" s="2608">
        <f ca="1">IF(L104="","",$AC$41*100*S108/$S$41)</f>
        <v>3.9246432038945591</v>
      </c>
      <c r="Z104" s="2608"/>
      <c r="AA104" s="471" t="str">
        <f ca="1">IF(L104="","","％")</f>
        <v>％</v>
      </c>
      <c r="AB104" s="300"/>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row>
    <row r="105" spans="2:49" ht="17.25" customHeight="1">
      <c r="B105" s="2587"/>
      <c r="C105" s="272">
        <v>3</v>
      </c>
      <c r="D105" s="469"/>
      <c r="E105" s="2614" t="str">
        <f ca="1">IF(D104&lt;&gt;"",VLOOKUP(D104,内訳,7,FALSE),"")</f>
        <v>配管配線材料</v>
      </c>
      <c r="F105" s="2615"/>
      <c r="G105" s="2615"/>
      <c r="H105" s="2615"/>
      <c r="I105" s="2615"/>
      <c r="J105" s="2615"/>
      <c r="K105" s="2616"/>
      <c r="L105" s="468">
        <f ca="1">IF(E105&lt;&gt;"",1,"")</f>
        <v>1</v>
      </c>
      <c r="M105" s="468" t="str">
        <f ca="1">IF(E105&lt;&gt;"","式","")</f>
        <v>式</v>
      </c>
      <c r="N105" s="2617">
        <f ca="1">IF(D104&lt;&gt;"",VLOOKUP(D104,内訳,10,FALSE),"")</f>
        <v>3869000</v>
      </c>
      <c r="O105" s="2617"/>
      <c r="P105" s="2617"/>
      <c r="Q105" s="2617"/>
      <c r="R105" s="2617"/>
      <c r="S105" s="2583"/>
      <c r="T105" s="2583"/>
      <c r="U105" s="2583"/>
      <c r="V105" s="2583"/>
      <c r="W105" s="2583"/>
      <c r="X105" s="2584"/>
      <c r="Y105" s="2585"/>
      <c r="Z105" s="2585"/>
      <c r="AA105" s="2586"/>
      <c r="AB105" s="179"/>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row>
    <row r="106" spans="2:49" ht="17.25" customHeight="1">
      <c r="B106" s="2587"/>
      <c r="C106" s="272">
        <v>4</v>
      </c>
      <c r="D106" s="469"/>
      <c r="E106" s="2614" t="str">
        <f ca="1">IF(D104&lt;&gt;"",VLOOKUP(D104,内訳,8,FALSE),"")</f>
        <v>機器、取付調整費</v>
      </c>
      <c r="F106" s="2615"/>
      <c r="G106" s="2615"/>
      <c r="H106" s="2615"/>
      <c r="I106" s="2615"/>
      <c r="J106" s="2615"/>
      <c r="K106" s="2616"/>
      <c r="L106" s="468">
        <f ca="1">IF(E106&lt;&gt;"",1,"")</f>
        <v>1</v>
      </c>
      <c r="M106" s="468" t="str">
        <f ca="1">IF(E106&lt;&gt;"","式","")</f>
        <v>式</v>
      </c>
      <c r="N106" s="2617">
        <f ca="1">IF(D104&lt;&gt;"",VLOOKUP(D104,内訳,11,FALSE),"")</f>
        <v>4834000</v>
      </c>
      <c r="O106" s="2617"/>
      <c r="P106" s="2617"/>
      <c r="Q106" s="2617"/>
      <c r="R106" s="2617"/>
      <c r="S106" s="2583"/>
      <c r="T106" s="2583"/>
      <c r="U106" s="2583"/>
      <c r="V106" s="2583"/>
      <c r="W106" s="2583"/>
      <c r="X106" s="2584"/>
      <c r="Y106" s="2585"/>
      <c r="Z106" s="2585"/>
      <c r="AA106" s="2586"/>
      <c r="AB106" s="179"/>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row>
    <row r="107" spans="2:49" ht="17.25" customHeight="1">
      <c r="B107" s="2587"/>
      <c r="C107" s="272">
        <v>5</v>
      </c>
      <c r="D107" s="472"/>
      <c r="E107" s="2614" t="str">
        <f ca="1">IF(D104&lt;&gt;"",VLOOKUP(D104,内訳,9,FALSE),"")</f>
        <v>電 　工　 費</v>
      </c>
      <c r="F107" s="2615"/>
      <c r="G107" s="2615"/>
      <c r="H107" s="2615"/>
      <c r="I107" s="2615"/>
      <c r="J107" s="2615"/>
      <c r="K107" s="2616"/>
      <c r="L107" s="468">
        <f ca="1">IF(E107&lt;&gt;"",1,"")</f>
        <v>1</v>
      </c>
      <c r="M107" s="468" t="str">
        <f ca="1">IF(E107&lt;&gt;"","式","")</f>
        <v>式</v>
      </c>
      <c r="N107" s="2617">
        <f ca="1">IF(D104&lt;&gt;"",VLOOKUP(D104,内訳,12,FALSE),"")</f>
        <v>5934000</v>
      </c>
      <c r="O107" s="2617"/>
      <c r="P107" s="2617"/>
      <c r="Q107" s="2617"/>
      <c r="R107" s="2617"/>
      <c r="S107" s="2583"/>
      <c r="T107" s="2583"/>
      <c r="U107" s="2583"/>
      <c r="V107" s="2583"/>
      <c r="W107" s="2583"/>
      <c r="X107" s="2584"/>
      <c r="Y107" s="2585"/>
      <c r="Z107" s="2585"/>
      <c r="AA107" s="2586"/>
      <c r="AB107" s="179"/>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row>
    <row r="108" spans="2:49" ht="17.25" customHeight="1">
      <c r="B108" s="2587"/>
      <c r="C108" s="575">
        <v>6</v>
      </c>
      <c r="D108" s="576"/>
      <c r="E108" s="2609" t="str">
        <f ca="1">IF(E104&lt;&gt;"",D104&amp;" の 計","")</f>
        <v>9 の 計</v>
      </c>
      <c r="F108" s="2610"/>
      <c r="G108" s="2610"/>
      <c r="H108" s="2610"/>
      <c r="I108" s="2610"/>
      <c r="J108" s="2610"/>
      <c r="K108" s="2611"/>
      <c r="L108" s="577"/>
      <c r="M108" s="577"/>
      <c r="N108" s="2701"/>
      <c r="O108" s="2701"/>
      <c r="P108" s="2701"/>
      <c r="Q108" s="2701"/>
      <c r="R108" s="2701"/>
      <c r="S108" s="2627">
        <f ca="1">IF(AND(D108="",E108=""),"",S14)</f>
        <v>14637000</v>
      </c>
      <c r="T108" s="2627"/>
      <c r="U108" s="2627"/>
      <c r="V108" s="2627"/>
      <c r="W108" s="2627"/>
      <c r="X108" s="2600"/>
      <c r="Y108" s="2601"/>
      <c r="Z108" s="2601"/>
      <c r="AA108" s="2602"/>
      <c r="AB108" s="179"/>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row>
    <row r="109" spans="2:49" ht="17.25" customHeight="1">
      <c r="B109" s="2587"/>
      <c r="C109" s="262">
        <v>7</v>
      </c>
      <c r="D109" s="464">
        <f ca="1">D15</f>
        <v>10</v>
      </c>
      <c r="E109" s="2699" t="str">
        <f ca="1">IF(D15="","",E15)</f>
        <v xml:space="preserve"> 雷保護設備工事</v>
      </c>
      <c r="F109" s="2700"/>
      <c r="G109" s="2700"/>
      <c r="H109" s="2700"/>
      <c r="I109" s="2700"/>
      <c r="J109" s="2700"/>
      <c r="K109" s="2700"/>
      <c r="L109" s="2606">
        <f ca="1">IF(OR(D109="",$AD$41=0),"",INT(S113/Top!$AA$63))</f>
        <v>196</v>
      </c>
      <c r="M109" s="2606"/>
      <c r="N109" s="319" t="str">
        <f ca="1">IF(L109="","","／ｍ2")</f>
        <v>／ｍ2</v>
      </c>
      <c r="O109" s="319"/>
      <c r="P109" s="2613">
        <f ca="1">IF(L109="","",INT(L109/0.3025))</f>
        <v>647</v>
      </c>
      <c r="Q109" s="2613"/>
      <c r="R109" s="319" t="str">
        <f ca="1">IF(P109="","","／坪")</f>
        <v>／坪</v>
      </c>
      <c r="S109" s="2607" t="str">
        <f ca="1">IF(L109="","","合計金額に対する割合；")</f>
        <v>合計金額に対する割合；</v>
      </c>
      <c r="T109" s="2607"/>
      <c r="U109" s="2607"/>
      <c r="V109" s="2607"/>
      <c r="W109" s="2607"/>
      <c r="X109" s="2607"/>
      <c r="Y109" s="2608">
        <f ca="1">IF(L109="","",$AC$41*100*S113/$S$41)</f>
        <v>1.4980784344113744</v>
      </c>
      <c r="Z109" s="2608"/>
      <c r="AA109" s="471" t="str">
        <f ca="1">IF(L109="","","％")</f>
        <v>％</v>
      </c>
      <c r="AB109" s="300"/>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row>
    <row r="110" spans="2:49" ht="17.25" customHeight="1">
      <c r="B110" s="2587"/>
      <c r="C110" s="272">
        <v>8</v>
      </c>
      <c r="D110" s="469"/>
      <c r="E110" s="2614" t="str">
        <f ca="1">IF(D109&lt;&gt;"",VLOOKUP(D109,内訳,7,FALSE),"")</f>
        <v>配管配線材料</v>
      </c>
      <c r="F110" s="2615"/>
      <c r="G110" s="2615"/>
      <c r="H110" s="2615"/>
      <c r="I110" s="2615"/>
      <c r="J110" s="2615"/>
      <c r="K110" s="2616"/>
      <c r="L110" s="468">
        <f ca="1">IF(E110&lt;&gt;"",1,"")</f>
        <v>1</v>
      </c>
      <c r="M110" s="468" t="str">
        <f ca="1">IF(E110&lt;&gt;"","式","")</f>
        <v>式</v>
      </c>
      <c r="N110" s="2617">
        <f ca="1">IF(D109&lt;&gt;"",VLOOKUP(D109,内訳,10,FALSE),"")</f>
        <v>1388000</v>
      </c>
      <c r="O110" s="2617"/>
      <c r="P110" s="2617"/>
      <c r="Q110" s="2617"/>
      <c r="R110" s="2617"/>
      <c r="S110" s="2583"/>
      <c r="T110" s="2583"/>
      <c r="U110" s="2583"/>
      <c r="V110" s="2583"/>
      <c r="W110" s="2583"/>
      <c r="X110" s="2584"/>
      <c r="Y110" s="2585"/>
      <c r="Z110" s="2585"/>
      <c r="AA110" s="2586"/>
      <c r="AB110" s="179"/>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row>
    <row r="111" spans="2:49" ht="17.25" customHeight="1">
      <c r="B111" s="2587"/>
      <c r="C111" s="272">
        <v>9</v>
      </c>
      <c r="D111" s="469"/>
      <c r="E111" s="2614" t="str">
        <f ca="1">IF(D109&lt;&gt;"",VLOOKUP(D109,内訳,8,FALSE),"")</f>
        <v>機器、取付調整費</v>
      </c>
      <c r="F111" s="2615"/>
      <c r="G111" s="2615"/>
      <c r="H111" s="2615"/>
      <c r="I111" s="2615"/>
      <c r="J111" s="2615"/>
      <c r="K111" s="2616"/>
      <c r="L111" s="468">
        <f ca="1">IF(E111&lt;&gt;"",1,"")</f>
        <v>1</v>
      </c>
      <c r="M111" s="468" t="str">
        <f ca="1">IF(E111&lt;&gt;"","式","")</f>
        <v>式</v>
      </c>
      <c r="N111" s="2617">
        <f ca="1">IF(D109&lt;&gt;"",VLOOKUP(D109,内訳,11,FALSE),"")</f>
        <v>2964000</v>
      </c>
      <c r="O111" s="2617"/>
      <c r="P111" s="2617"/>
      <c r="Q111" s="2617"/>
      <c r="R111" s="2617"/>
      <c r="S111" s="2583"/>
      <c r="T111" s="2583"/>
      <c r="U111" s="2583"/>
      <c r="V111" s="2583"/>
      <c r="W111" s="2583"/>
      <c r="X111" s="2584"/>
      <c r="Y111" s="2585"/>
      <c r="Z111" s="2585"/>
      <c r="AA111" s="2586"/>
      <c r="AB111" s="179"/>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row>
    <row r="112" spans="2:49" ht="17.25" customHeight="1">
      <c r="B112" s="2587"/>
      <c r="C112" s="272">
        <v>10</v>
      </c>
      <c r="D112" s="472"/>
      <c r="E112" s="2614" t="str">
        <f ca="1">IF(D109&lt;&gt;"",VLOOKUP(D109,内訳,9,FALSE),"")</f>
        <v>電 　工　 費</v>
      </c>
      <c r="F112" s="2615"/>
      <c r="G112" s="2615"/>
      <c r="H112" s="2615"/>
      <c r="I112" s="2615"/>
      <c r="J112" s="2615"/>
      <c r="K112" s="2616"/>
      <c r="L112" s="468">
        <f ca="1">IF(E112&lt;&gt;"",1,"")</f>
        <v>1</v>
      </c>
      <c r="M112" s="468" t="str">
        <f ca="1">IF(E112&lt;&gt;"","式","")</f>
        <v>式</v>
      </c>
      <c r="N112" s="2617">
        <f ca="1">IF(D109&lt;&gt;"",VLOOKUP(D109,内訳,12,FALSE),"")</f>
        <v>1235099.9999999998</v>
      </c>
      <c r="O112" s="2617"/>
      <c r="P112" s="2617"/>
      <c r="Q112" s="2617"/>
      <c r="R112" s="2617"/>
      <c r="S112" s="2583"/>
      <c r="T112" s="2583"/>
      <c r="U112" s="2583"/>
      <c r="V112" s="2583"/>
      <c r="W112" s="2583"/>
      <c r="X112" s="2584"/>
      <c r="Y112" s="2585"/>
      <c r="Z112" s="2585"/>
      <c r="AA112" s="2586"/>
      <c r="AB112" s="179"/>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row>
    <row r="113" spans="2:49" ht="17.25" customHeight="1">
      <c r="B113" s="2587"/>
      <c r="C113" s="575">
        <v>11</v>
      </c>
      <c r="D113" s="576"/>
      <c r="E113" s="2609" t="str">
        <f ca="1">IF(E109&lt;&gt;"",D109&amp;" の 計","")</f>
        <v>10 の 計</v>
      </c>
      <c r="F113" s="2610"/>
      <c r="G113" s="2610"/>
      <c r="H113" s="2610"/>
      <c r="I113" s="2610"/>
      <c r="J113" s="2610"/>
      <c r="K113" s="2611"/>
      <c r="L113" s="577"/>
      <c r="M113" s="577"/>
      <c r="N113" s="2701"/>
      <c r="O113" s="2701"/>
      <c r="P113" s="2701"/>
      <c r="Q113" s="2701"/>
      <c r="R113" s="2701"/>
      <c r="S113" s="2627">
        <f ca="1">IF(AND(D113="",E113=""),"",S15)</f>
        <v>5587100</v>
      </c>
      <c r="T113" s="2627"/>
      <c r="U113" s="2627"/>
      <c r="V113" s="2627"/>
      <c r="W113" s="2627"/>
      <c r="X113" s="2600"/>
      <c r="Y113" s="2601"/>
      <c r="Z113" s="2601"/>
      <c r="AA113" s="2602"/>
      <c r="AB113" s="179"/>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row>
    <row r="114" spans="2:49" ht="17.25" customHeight="1">
      <c r="B114" s="2587"/>
      <c r="C114" s="262">
        <v>12</v>
      </c>
      <c r="D114" s="464">
        <f ca="1">D16</f>
        <v>11</v>
      </c>
      <c r="E114" s="2699" t="str">
        <f ca="1">IF(D16="","",E16)</f>
        <v xml:space="preserve"> 構内電話設備工事</v>
      </c>
      <c r="F114" s="2700"/>
      <c r="G114" s="2700"/>
      <c r="H114" s="2700"/>
      <c r="I114" s="2700"/>
      <c r="J114" s="2700"/>
      <c r="K114" s="2700"/>
      <c r="L114" s="2606">
        <f ca="1">IF(OR(D114="",$AD$41=0),"",INT(S118/Top!$AA$63))</f>
        <v>2957</v>
      </c>
      <c r="M114" s="2606"/>
      <c r="N114" s="319" t="str">
        <f ca="1">IF(L114="","","／ｍ2")</f>
        <v>／ｍ2</v>
      </c>
      <c r="O114" s="319"/>
      <c r="P114" s="2613">
        <f ca="1">IF(L114="","",INT(L114/0.3025))</f>
        <v>9775</v>
      </c>
      <c r="Q114" s="2613"/>
      <c r="R114" s="319" t="str">
        <f ca="1">IF(P114="","","／坪")</f>
        <v>／坪</v>
      </c>
      <c r="S114" s="2607" t="str">
        <f ca="1">IF(L114="","","合計金額に対する割合；")</f>
        <v>合計金額に対する割合；</v>
      </c>
      <c r="T114" s="2607"/>
      <c r="U114" s="2607"/>
      <c r="V114" s="2607"/>
      <c r="W114" s="2607"/>
      <c r="X114" s="2607"/>
      <c r="Y114" s="2608">
        <f ca="1">IF(L114="","",$AC$41*100*S118/$S$41)</f>
        <v>22.546923711982618</v>
      </c>
      <c r="Z114" s="2608"/>
      <c r="AA114" s="471" t="str">
        <f ca="1">IF(L114="","","％")</f>
        <v>％</v>
      </c>
      <c r="AB114" s="300"/>
      <c r="AC114" s="478"/>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row>
    <row r="115" spans="2:49" ht="17.25" customHeight="1">
      <c r="B115" s="2587"/>
      <c r="C115" s="272">
        <v>13</v>
      </c>
      <c r="D115" s="469"/>
      <c r="E115" s="2614" t="str">
        <f ca="1">IF(D114&lt;&gt;"",VLOOKUP(D114,内訳,7,FALSE),"")</f>
        <v>配管配線材料</v>
      </c>
      <c r="F115" s="2615"/>
      <c r="G115" s="2615"/>
      <c r="H115" s="2615"/>
      <c r="I115" s="2615"/>
      <c r="J115" s="2615"/>
      <c r="K115" s="2616"/>
      <c r="L115" s="468">
        <f ca="1">IF(E115&lt;&gt;"",1,"")</f>
        <v>1</v>
      </c>
      <c r="M115" s="468" t="str">
        <f ca="1">IF(E115&lt;&gt;"","式","")</f>
        <v>式</v>
      </c>
      <c r="N115" s="2617">
        <f ca="1">IF(D114&lt;&gt;"",VLOOKUP(D114,内訳,10,FALSE),"")</f>
        <v>19938000</v>
      </c>
      <c r="O115" s="2617"/>
      <c r="P115" s="2617"/>
      <c r="Q115" s="2617"/>
      <c r="R115" s="2617"/>
      <c r="S115" s="2583"/>
      <c r="T115" s="2583"/>
      <c r="U115" s="2583"/>
      <c r="V115" s="2583"/>
      <c r="W115" s="2583"/>
      <c r="X115" s="2584"/>
      <c r="Y115" s="2585"/>
      <c r="Z115" s="2585"/>
      <c r="AA115" s="2586"/>
      <c r="AB115" s="179"/>
      <c r="AC115" s="478"/>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row>
    <row r="116" spans="2:49" ht="17.25" customHeight="1">
      <c r="B116" s="2587"/>
      <c r="C116" s="272">
        <v>14</v>
      </c>
      <c r="D116" s="469"/>
      <c r="E116" s="2614" t="str">
        <f ca="1">IF(D114&lt;&gt;"",VLOOKUP(D114,内訳,8,FALSE),"")</f>
        <v>機器、取付調整費</v>
      </c>
      <c r="F116" s="2615"/>
      <c r="G116" s="2615"/>
      <c r="H116" s="2615"/>
      <c r="I116" s="2615"/>
      <c r="J116" s="2615"/>
      <c r="K116" s="2616"/>
      <c r="L116" s="468">
        <f ca="1">IF(E116&lt;&gt;"",1,"")</f>
        <v>1</v>
      </c>
      <c r="M116" s="468" t="str">
        <f ca="1">IF(E116&lt;&gt;"","式","")</f>
        <v>式</v>
      </c>
      <c r="N116" s="2617">
        <f ca="1">IF(D114&lt;&gt;"",VLOOKUP(D114,内訳,11,FALSE),"")</f>
        <v>42311000</v>
      </c>
      <c r="O116" s="2617"/>
      <c r="P116" s="2617"/>
      <c r="Q116" s="2617"/>
      <c r="R116" s="2617"/>
      <c r="S116" s="2583"/>
      <c r="T116" s="2583"/>
      <c r="U116" s="2583"/>
      <c r="V116" s="2583"/>
      <c r="W116" s="2583"/>
      <c r="X116" s="2584"/>
      <c r="Y116" s="2585"/>
      <c r="Z116" s="2585"/>
      <c r="AA116" s="2586"/>
      <c r="AB116" s="179"/>
      <c r="AC116" s="478"/>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row>
    <row r="117" spans="2:49" ht="17.25" customHeight="1">
      <c r="B117" s="2587"/>
      <c r="C117" s="272">
        <v>15</v>
      </c>
      <c r="D117" s="472"/>
      <c r="E117" s="2614" t="str">
        <f ca="1">IF(D114&lt;&gt;"",VLOOKUP(D114,内訳,9,FALSE),"")</f>
        <v>電 　工　 費</v>
      </c>
      <c r="F117" s="2615"/>
      <c r="G117" s="2615"/>
      <c r="H117" s="2615"/>
      <c r="I117" s="2615"/>
      <c r="J117" s="2615"/>
      <c r="K117" s="2616"/>
      <c r="L117" s="468">
        <f ca="1">IF(E117&lt;&gt;"",1,"")</f>
        <v>1</v>
      </c>
      <c r="M117" s="468" t="str">
        <f ca="1">IF(E117&lt;&gt;"","式","")</f>
        <v>式</v>
      </c>
      <c r="N117" s="2617">
        <f ca="1">IF(D114&lt;&gt;"",VLOOKUP(D114,内訳,12,FALSE),"")</f>
        <v>21840000</v>
      </c>
      <c r="O117" s="2617"/>
      <c r="P117" s="2617"/>
      <c r="Q117" s="2617"/>
      <c r="R117" s="2617"/>
      <c r="S117" s="2583"/>
      <c r="T117" s="2583"/>
      <c r="U117" s="2583"/>
      <c r="V117" s="2583"/>
      <c r="W117" s="2583"/>
      <c r="X117" s="2584"/>
      <c r="Y117" s="2585"/>
      <c r="Z117" s="2585"/>
      <c r="AA117" s="2586"/>
      <c r="AB117" s="179"/>
      <c r="AC117" s="478"/>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row>
    <row r="118" spans="2:49" ht="17.25" customHeight="1">
      <c r="B118" s="2587"/>
      <c r="C118" s="575">
        <v>16</v>
      </c>
      <c r="D118" s="576"/>
      <c r="E118" s="2609" t="str">
        <f ca="1">IF(E114&lt;&gt;"",D114&amp;" の 計","")</f>
        <v>11 の 計</v>
      </c>
      <c r="F118" s="2610"/>
      <c r="G118" s="2610"/>
      <c r="H118" s="2610"/>
      <c r="I118" s="2610"/>
      <c r="J118" s="2610"/>
      <c r="K118" s="2611"/>
      <c r="L118" s="577"/>
      <c r="M118" s="577"/>
      <c r="N118" s="2701"/>
      <c r="O118" s="2701"/>
      <c r="P118" s="2701"/>
      <c r="Q118" s="2701"/>
      <c r="R118" s="2701"/>
      <c r="S118" s="2627">
        <f ca="1">IF(AND(D118="",E118=""),"",S16)</f>
        <v>84089000</v>
      </c>
      <c r="T118" s="2627"/>
      <c r="U118" s="2627"/>
      <c r="V118" s="2627"/>
      <c r="W118" s="2627"/>
      <c r="X118" s="2600"/>
      <c r="Y118" s="2601"/>
      <c r="Z118" s="2601"/>
      <c r="AA118" s="2602"/>
      <c r="AB118" s="179"/>
      <c r="AC118" s="478"/>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row>
    <row r="119" spans="2:49" ht="17.25" customHeight="1">
      <c r="B119" s="2587"/>
      <c r="C119" s="262">
        <v>17</v>
      </c>
      <c r="D119" s="464">
        <f ca="1">D17</f>
        <v>12</v>
      </c>
      <c r="E119" s="2699" t="str">
        <f ca="1">IF(D17="","",E17)</f>
        <v xml:space="preserve"> 構内放送設備工事</v>
      </c>
      <c r="F119" s="2700"/>
      <c r="G119" s="2700"/>
      <c r="H119" s="2700"/>
      <c r="I119" s="2700"/>
      <c r="J119" s="2700"/>
      <c r="K119" s="2700"/>
      <c r="L119" s="2606">
        <f ca="1">IF(OR(D119="",$AD$41=0),"",INT(S123/Top!$AA$63))</f>
        <v>463</v>
      </c>
      <c r="M119" s="2606"/>
      <c r="N119" s="319" t="str">
        <f ca="1">IF(L119="","","／ｍ2")</f>
        <v>／ｍ2</v>
      </c>
      <c r="O119" s="319"/>
      <c r="P119" s="2613">
        <f ca="1">IF(L119="","",INT(L119/0.3025))</f>
        <v>1530</v>
      </c>
      <c r="Q119" s="2613"/>
      <c r="R119" s="319" t="str">
        <f ca="1">IF(P119="","","／坪")</f>
        <v>／坪</v>
      </c>
      <c r="S119" s="2607" t="str">
        <f ca="1">IF(L119="","","合計金額に対する割合；")</f>
        <v>合計金額に対する割合；</v>
      </c>
      <c r="T119" s="2607"/>
      <c r="U119" s="2607"/>
      <c r="V119" s="2607"/>
      <c r="W119" s="2607"/>
      <c r="X119" s="2607"/>
      <c r="Y119" s="2608">
        <f ca="1">IF(L119="","",$AC$41*100*S123/$S$41)</f>
        <v>3.5339753656712638</v>
      </c>
      <c r="Z119" s="2608"/>
      <c r="AA119" s="471" t="str">
        <f ca="1">IF(L119="","","％")</f>
        <v>％</v>
      </c>
      <c r="AB119" s="300"/>
      <c r="AC119" s="478"/>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row>
    <row r="120" spans="2:49" ht="17.25" customHeight="1">
      <c r="B120" s="2587"/>
      <c r="C120" s="272">
        <v>18</v>
      </c>
      <c r="D120" s="469"/>
      <c r="E120" s="2614" t="str">
        <f ca="1">IF(D119&lt;&gt;"",VLOOKUP(D119,内訳,7,FALSE),"")</f>
        <v>配管配線材料</v>
      </c>
      <c r="F120" s="2615"/>
      <c r="G120" s="2615"/>
      <c r="H120" s="2615"/>
      <c r="I120" s="2615"/>
      <c r="J120" s="2615"/>
      <c r="K120" s="2616"/>
      <c r="L120" s="468">
        <f ca="1">IF(E120&lt;&gt;"",1,"")</f>
        <v>1</v>
      </c>
      <c r="M120" s="468" t="str">
        <f ca="1">IF(E120&lt;&gt;"","式","")</f>
        <v>式</v>
      </c>
      <c r="N120" s="2617">
        <f ca="1">IF(D119&lt;&gt;"",VLOOKUP(D119,内訳,10,FALSE),"")</f>
        <v>3012000</v>
      </c>
      <c r="O120" s="2617"/>
      <c r="P120" s="2617"/>
      <c r="Q120" s="2617"/>
      <c r="R120" s="2617"/>
      <c r="S120" s="2583"/>
      <c r="T120" s="2583"/>
      <c r="U120" s="2583"/>
      <c r="V120" s="2583"/>
      <c r="W120" s="2583"/>
      <c r="X120" s="2584"/>
      <c r="Y120" s="2585"/>
      <c r="Z120" s="2585"/>
      <c r="AA120" s="2586"/>
      <c r="AB120" s="179"/>
      <c r="AC120" s="478"/>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row>
    <row r="121" spans="2:49" ht="17.25" customHeight="1">
      <c r="B121" s="2587"/>
      <c r="C121" s="272">
        <v>19</v>
      </c>
      <c r="D121" s="469"/>
      <c r="E121" s="2614" t="str">
        <f ca="1">IF(D119&lt;&gt;"",VLOOKUP(D119,内訳,8,FALSE),"")</f>
        <v>機器、取付調整費</v>
      </c>
      <c r="F121" s="2615"/>
      <c r="G121" s="2615"/>
      <c r="H121" s="2615"/>
      <c r="I121" s="2615"/>
      <c r="J121" s="2615"/>
      <c r="K121" s="2616"/>
      <c r="L121" s="468">
        <f ca="1">IF(E121&lt;&gt;"",1,"")</f>
        <v>1</v>
      </c>
      <c r="M121" s="468" t="str">
        <f ca="1">IF(E121&lt;&gt;"","式","")</f>
        <v>式</v>
      </c>
      <c r="N121" s="2617">
        <f ca="1">IF(D119&lt;&gt;"",VLOOKUP(D119,内訳,11,FALSE),"")</f>
        <v>5554000</v>
      </c>
      <c r="O121" s="2617"/>
      <c r="P121" s="2617"/>
      <c r="Q121" s="2617"/>
      <c r="R121" s="2617"/>
      <c r="S121" s="2583"/>
      <c r="T121" s="2583"/>
      <c r="U121" s="2583"/>
      <c r="V121" s="2583"/>
      <c r="W121" s="2583"/>
      <c r="X121" s="2584"/>
      <c r="Y121" s="2585"/>
      <c r="Z121" s="2585"/>
      <c r="AA121" s="2586"/>
      <c r="AB121" s="179"/>
      <c r="AC121" s="478"/>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row>
    <row r="122" spans="2:49" ht="17.25" customHeight="1">
      <c r="B122" s="2587"/>
      <c r="C122" s="272">
        <v>20</v>
      </c>
      <c r="D122" s="472"/>
      <c r="E122" s="2614" t="str">
        <f ca="1">IF(D119&lt;&gt;"",VLOOKUP(D119,内訳,9,FALSE),"")</f>
        <v>電 　工　 費</v>
      </c>
      <c r="F122" s="2615"/>
      <c r="G122" s="2615"/>
      <c r="H122" s="2615"/>
      <c r="I122" s="2615"/>
      <c r="J122" s="2615"/>
      <c r="K122" s="2616"/>
      <c r="L122" s="468">
        <f ca="1">IF(E122&lt;&gt;"",1,"")</f>
        <v>1</v>
      </c>
      <c r="M122" s="468" t="str">
        <f ca="1">IF(E122&lt;&gt;"","式","")</f>
        <v>式</v>
      </c>
      <c r="N122" s="2617">
        <f ca="1">IF(D119&lt;&gt;"",VLOOKUP(D119,内訳,12,FALSE),"")</f>
        <v>4614000</v>
      </c>
      <c r="O122" s="2617"/>
      <c r="P122" s="2617"/>
      <c r="Q122" s="2617"/>
      <c r="R122" s="2617"/>
      <c r="S122" s="2583"/>
      <c r="T122" s="2583"/>
      <c r="U122" s="2583"/>
      <c r="V122" s="2583"/>
      <c r="W122" s="2583"/>
      <c r="X122" s="2584"/>
      <c r="Y122" s="2585"/>
      <c r="Z122" s="2585"/>
      <c r="AA122" s="2586"/>
      <c r="AB122" s="179"/>
      <c r="AC122" s="478"/>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row>
    <row r="123" spans="2:49" ht="17.25" customHeight="1">
      <c r="B123" s="2587"/>
      <c r="C123" s="575">
        <v>21</v>
      </c>
      <c r="D123" s="576"/>
      <c r="E123" s="2609" t="str">
        <f ca="1">IF(E119&lt;&gt;"",D119&amp;" の 計","")</f>
        <v>12 の 計</v>
      </c>
      <c r="F123" s="2610"/>
      <c r="G123" s="2610"/>
      <c r="H123" s="2610"/>
      <c r="I123" s="2610"/>
      <c r="J123" s="2610"/>
      <c r="K123" s="2611"/>
      <c r="L123" s="574"/>
      <c r="M123" s="574"/>
      <c r="N123" s="2599"/>
      <c r="O123" s="2599"/>
      <c r="P123" s="2599"/>
      <c r="Q123" s="2599"/>
      <c r="R123" s="2599"/>
      <c r="S123" s="2627">
        <f ca="1">IF(AND(D123="",E123=""),"",S17)</f>
        <v>13180000</v>
      </c>
      <c r="T123" s="2627"/>
      <c r="U123" s="2627"/>
      <c r="V123" s="2627"/>
      <c r="W123" s="2627"/>
      <c r="X123" s="2600"/>
      <c r="Y123" s="2601"/>
      <c r="Z123" s="2601"/>
      <c r="AA123" s="2602"/>
      <c r="AB123" s="179"/>
      <c r="AC123" s="478"/>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row>
    <row r="124" spans="2:49" ht="17.25" customHeight="1">
      <c r="B124" s="2587"/>
      <c r="C124" s="262">
        <v>22</v>
      </c>
      <c r="D124" s="464">
        <f ca="1">D18</f>
        <v>13</v>
      </c>
      <c r="E124" s="2699" t="str">
        <f ca="1">IF(D18="","",E18)</f>
        <v xml:space="preserve"> テレビ共聴設備工事</v>
      </c>
      <c r="F124" s="2700"/>
      <c r="G124" s="2700"/>
      <c r="H124" s="2700"/>
      <c r="I124" s="2700"/>
      <c r="J124" s="2700"/>
      <c r="K124" s="2700"/>
      <c r="L124" s="2606">
        <f ca="1">IF(OR(D124="",$AD$41=0),"",INT(S128/Top!$AA$63))</f>
        <v>215</v>
      </c>
      <c r="M124" s="2606"/>
      <c r="N124" s="319" t="str">
        <f ca="1">IF(L124="","","／ｍ2")</f>
        <v>／ｍ2</v>
      </c>
      <c r="O124" s="319"/>
      <c r="P124" s="2613">
        <f ca="1">IF(L124="","",INT(L124/0.3025))</f>
        <v>710</v>
      </c>
      <c r="Q124" s="2613"/>
      <c r="R124" s="319" t="str">
        <f ca="1">IF(P124="","","／坪")</f>
        <v>／坪</v>
      </c>
      <c r="S124" s="2607" t="str">
        <f ca="1">IF(L124="","","合計金額に対する割合；")</f>
        <v>合計金額に対する割合；</v>
      </c>
      <c r="T124" s="2607"/>
      <c r="U124" s="2607"/>
      <c r="V124" s="2607"/>
      <c r="W124" s="2607"/>
      <c r="X124" s="2607"/>
      <c r="Y124" s="2608">
        <f ca="1">IF(L124="","",$AC$41*100*S128/$S$41)</f>
        <v>1.6412339312043858</v>
      </c>
      <c r="Z124" s="2608"/>
      <c r="AA124" s="471" t="str">
        <f ca="1">IF(L124="","","％")</f>
        <v>％</v>
      </c>
      <c r="AB124" s="300"/>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row>
    <row r="125" spans="2:49" ht="17.25" customHeight="1">
      <c r="B125" s="2587"/>
      <c r="C125" s="272">
        <v>23</v>
      </c>
      <c r="D125" s="469"/>
      <c r="E125" s="2614" t="str">
        <f ca="1">IF(D124&lt;&gt;"",VLOOKUP(D124,内訳,7,FALSE),"")</f>
        <v>配管配線材料</v>
      </c>
      <c r="F125" s="2615"/>
      <c r="G125" s="2615"/>
      <c r="H125" s="2615"/>
      <c r="I125" s="2615"/>
      <c r="J125" s="2615"/>
      <c r="K125" s="2616"/>
      <c r="L125" s="468">
        <f ca="1">IF(E125&lt;&gt;"",1,"")</f>
        <v>1</v>
      </c>
      <c r="M125" s="468" t="str">
        <f ca="1">IF(E125&lt;&gt;"","式","")</f>
        <v>式</v>
      </c>
      <c r="N125" s="2691">
        <f ca="1">IF(D124&lt;&gt;"",VLOOKUP(D124,内訳,10,FALSE),"")</f>
        <v>572000</v>
      </c>
      <c r="O125" s="2691"/>
      <c r="P125" s="2691"/>
      <c r="Q125" s="2691"/>
      <c r="R125" s="2691"/>
      <c r="S125" s="2583"/>
      <c r="T125" s="2583"/>
      <c r="U125" s="2583"/>
      <c r="V125" s="2583"/>
      <c r="W125" s="2583"/>
      <c r="X125" s="2584"/>
      <c r="Y125" s="2585"/>
      <c r="Z125" s="2585"/>
      <c r="AA125" s="2586"/>
      <c r="AB125" s="179"/>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row>
    <row r="126" spans="2:49" ht="17.25" customHeight="1">
      <c r="B126" s="2587"/>
      <c r="C126" s="272">
        <v>24</v>
      </c>
      <c r="D126" s="469"/>
      <c r="E126" s="2614" t="str">
        <f ca="1">IF(D124&lt;&gt;"",VLOOKUP(D124,内訳,8,FALSE),"")</f>
        <v>機器、取付調整費</v>
      </c>
      <c r="F126" s="2615"/>
      <c r="G126" s="2615"/>
      <c r="H126" s="2615"/>
      <c r="I126" s="2615"/>
      <c r="J126" s="2615"/>
      <c r="K126" s="2616"/>
      <c r="L126" s="468">
        <f ca="1">IF(E126&lt;&gt;"",1,"")</f>
        <v>1</v>
      </c>
      <c r="M126" s="468" t="str">
        <f ca="1">IF(E126&lt;&gt;"","式","")</f>
        <v>式</v>
      </c>
      <c r="N126" s="2691">
        <f ca="1">IF(D124&lt;&gt;"",VLOOKUP(D124,内訳,11,FALSE),"")</f>
        <v>2189000</v>
      </c>
      <c r="O126" s="2691"/>
      <c r="P126" s="2691"/>
      <c r="Q126" s="2691"/>
      <c r="R126" s="2691"/>
      <c r="S126" s="2583"/>
      <c r="T126" s="2583"/>
      <c r="U126" s="2583"/>
      <c r="V126" s="2583"/>
      <c r="W126" s="2583"/>
      <c r="X126" s="2584"/>
      <c r="Y126" s="2585"/>
      <c r="Z126" s="2585"/>
      <c r="AA126" s="2586"/>
      <c r="AB126" s="179"/>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row>
    <row r="127" spans="2:49" ht="17.25" customHeight="1">
      <c r="B127" s="2587"/>
      <c r="C127" s="272">
        <v>25</v>
      </c>
      <c r="D127" s="472"/>
      <c r="E127" s="2614" t="str">
        <f ca="1">IF(D124&lt;&gt;"",VLOOKUP(D124,内訳,9,FALSE),"")</f>
        <v>電 　工　 費</v>
      </c>
      <c r="F127" s="2615"/>
      <c r="G127" s="2615"/>
      <c r="H127" s="2615"/>
      <c r="I127" s="2615"/>
      <c r="J127" s="2615"/>
      <c r="K127" s="2616"/>
      <c r="L127" s="468">
        <f ca="1">IF(E127&lt;&gt;"",1,"")</f>
        <v>1</v>
      </c>
      <c r="M127" s="468" t="str">
        <f ca="1">IF(E127&lt;&gt;"","式","")</f>
        <v>式</v>
      </c>
      <c r="N127" s="2691">
        <f ca="1">IF(D124&lt;&gt;"",VLOOKUP(D124,内訳,12,FALSE),"")</f>
        <v>3360000</v>
      </c>
      <c r="O127" s="2691"/>
      <c r="P127" s="2691"/>
      <c r="Q127" s="2691"/>
      <c r="R127" s="2691"/>
      <c r="S127" s="2583"/>
      <c r="T127" s="2583"/>
      <c r="U127" s="2583"/>
      <c r="V127" s="2583"/>
      <c r="W127" s="2583"/>
      <c r="X127" s="2584"/>
      <c r="Y127" s="2585"/>
      <c r="Z127" s="2585"/>
      <c r="AA127" s="2586"/>
      <c r="AB127" s="179"/>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row>
    <row r="128" spans="2:49" ht="17.25" customHeight="1">
      <c r="B128" s="2587"/>
      <c r="C128" s="575">
        <v>26</v>
      </c>
      <c r="D128" s="576"/>
      <c r="E128" s="2595" t="str">
        <f ca="1">IF(E124&lt;&gt;"",D124&amp;" の 計","")</f>
        <v>13 の 計</v>
      </c>
      <c r="F128" s="2596"/>
      <c r="G128" s="2596"/>
      <c r="H128" s="2596"/>
      <c r="I128" s="2596"/>
      <c r="J128" s="2596"/>
      <c r="K128" s="2597"/>
      <c r="L128" s="574"/>
      <c r="M128" s="574"/>
      <c r="N128" s="2599"/>
      <c r="O128" s="2599"/>
      <c r="P128" s="2599"/>
      <c r="Q128" s="2599"/>
      <c r="R128" s="2599"/>
      <c r="S128" s="2627">
        <f ca="1">IF(D124&lt;&gt;"",VLOOKUP(D124,内訳,13,FALSE),"")</f>
        <v>6121000</v>
      </c>
      <c r="T128" s="2627"/>
      <c r="U128" s="2627"/>
      <c r="V128" s="2627"/>
      <c r="W128" s="2627"/>
      <c r="X128" s="2600"/>
      <c r="Y128" s="2601"/>
      <c r="Z128" s="2601"/>
      <c r="AA128" s="2602"/>
      <c r="AB128" s="179"/>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row>
    <row r="129" spans="2:49" ht="17.25" customHeight="1">
      <c r="B129" s="2587"/>
      <c r="C129" s="262">
        <v>27</v>
      </c>
      <c r="D129" s="464" t="str">
        <f ca="1">D19</f>
        <v/>
      </c>
      <c r="E129" s="2699" t="str">
        <f ca="1">IF(D19="","",E19)</f>
        <v/>
      </c>
      <c r="F129" s="2700"/>
      <c r="G129" s="2700"/>
      <c r="H129" s="2700"/>
      <c r="I129" s="2700"/>
      <c r="J129" s="2700"/>
      <c r="K129" s="2700"/>
      <c r="L129" s="2606" t="str">
        <f ca="1">IF(OR(D129="",$AD$41=0),"",INT(S133/Top!$AA$63))</f>
        <v/>
      </c>
      <c r="M129" s="2606"/>
      <c r="N129" s="319" t="str">
        <f ca="1">IF(L129="","","／ｍ2")</f>
        <v/>
      </c>
      <c r="O129" s="319"/>
      <c r="P129" s="2606" t="str">
        <f ca="1">IF(L129="","",INT(L129/0.3025))</f>
        <v/>
      </c>
      <c r="Q129" s="2606"/>
      <c r="R129" s="319" t="str">
        <f ca="1">IF(P129="","","／坪")</f>
        <v/>
      </c>
      <c r="S129" s="2607" t="str">
        <f ca="1">IF(L129="","","合計金額に対する割合；")</f>
        <v/>
      </c>
      <c r="T129" s="2607"/>
      <c r="U129" s="2607"/>
      <c r="V129" s="2607"/>
      <c r="W129" s="2607"/>
      <c r="X129" s="2607"/>
      <c r="Y129" s="2608" t="str">
        <f ca="1">IF(L129="","",$AC$41*100*S133/$S$41)</f>
        <v/>
      </c>
      <c r="Z129" s="2608"/>
      <c r="AA129" s="471" t="str">
        <f ca="1">IF(L129="","","％")</f>
        <v/>
      </c>
      <c r="AB129" s="300"/>
      <c r="AC129" s="301"/>
      <c r="AD129" s="301"/>
      <c r="AE129" s="301"/>
      <c r="AF129" s="301"/>
      <c r="AG129" s="301"/>
      <c r="AH129" s="301"/>
      <c r="AI129" s="301"/>
      <c r="AJ129" s="301"/>
      <c r="AK129" s="301"/>
      <c r="AL129" s="301"/>
      <c r="AM129" s="301"/>
      <c r="AN129" s="301"/>
      <c r="AO129" s="301"/>
      <c r="AP129" s="301"/>
      <c r="AQ129" s="301"/>
      <c r="AR129" s="301"/>
      <c r="AS129" s="301"/>
      <c r="AT129" s="301"/>
      <c r="AU129" s="301"/>
      <c r="AV129" s="301"/>
      <c r="AW129" s="301"/>
    </row>
    <row r="130" spans="2:49" ht="17.25" customHeight="1">
      <c r="B130" s="2587"/>
      <c r="C130" s="272">
        <v>28</v>
      </c>
      <c r="D130" s="469"/>
      <c r="E130" s="2614" t="str">
        <f ca="1">IF(D129&lt;&gt;"",VLOOKUP(D129,内訳,7,FALSE),"")</f>
        <v/>
      </c>
      <c r="F130" s="2615"/>
      <c r="G130" s="2615"/>
      <c r="H130" s="2615"/>
      <c r="I130" s="2615"/>
      <c r="J130" s="2615"/>
      <c r="K130" s="2616"/>
      <c r="L130" s="468" t="str">
        <f ca="1">IF(E130&lt;&gt;"",1,"")</f>
        <v/>
      </c>
      <c r="M130" s="468" t="str">
        <f ca="1">IF(E130&lt;&gt;"","式","")</f>
        <v/>
      </c>
      <c r="N130" s="2691" t="str">
        <f ca="1">IF(D129&lt;&gt;"",VLOOKUP(D129,内訳,10,FALSE),"")</f>
        <v/>
      </c>
      <c r="O130" s="2691"/>
      <c r="P130" s="2691"/>
      <c r="Q130" s="2691"/>
      <c r="R130" s="2691"/>
      <c r="S130" s="2583"/>
      <c r="T130" s="2583"/>
      <c r="U130" s="2583"/>
      <c r="V130" s="2583"/>
      <c r="W130" s="2583"/>
      <c r="X130" s="2584"/>
      <c r="Y130" s="2585"/>
      <c r="Z130" s="2585"/>
      <c r="AA130" s="2586"/>
      <c r="AB130" s="179"/>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row>
    <row r="131" spans="2:49" ht="17.25" customHeight="1">
      <c r="B131" s="2587"/>
      <c r="C131" s="272">
        <v>29</v>
      </c>
      <c r="D131" s="469"/>
      <c r="E131" s="2614" t="str">
        <f ca="1">IF(D129&lt;&gt;"",VLOOKUP(D129,内訳,8,FALSE),"")</f>
        <v/>
      </c>
      <c r="F131" s="2615"/>
      <c r="G131" s="2615"/>
      <c r="H131" s="2615"/>
      <c r="I131" s="2615"/>
      <c r="J131" s="2615"/>
      <c r="K131" s="2616"/>
      <c r="L131" s="468" t="str">
        <f ca="1">IF(E131&lt;&gt;"",1,"")</f>
        <v/>
      </c>
      <c r="M131" s="468" t="str">
        <f ca="1">IF(E131&lt;&gt;"","式","")</f>
        <v/>
      </c>
      <c r="N131" s="2691" t="str">
        <f ca="1">IF(D129&lt;&gt;"",VLOOKUP(D129,内訳,11,FALSE),"")</f>
        <v/>
      </c>
      <c r="O131" s="2691"/>
      <c r="P131" s="2691"/>
      <c r="Q131" s="2691"/>
      <c r="R131" s="2691"/>
      <c r="S131" s="2583"/>
      <c r="T131" s="2583"/>
      <c r="U131" s="2583"/>
      <c r="V131" s="2583"/>
      <c r="W131" s="2583"/>
      <c r="X131" s="2584"/>
      <c r="Y131" s="2585"/>
      <c r="Z131" s="2585"/>
      <c r="AA131" s="2586"/>
      <c r="AB131" s="179"/>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row>
    <row r="132" spans="2:49" ht="17.25" customHeight="1">
      <c r="B132" s="2587"/>
      <c r="C132" s="272">
        <v>30</v>
      </c>
      <c r="D132" s="472"/>
      <c r="E132" s="2614" t="str">
        <f ca="1">IF(D129&lt;&gt;"",VLOOKUP(D129,内訳,9,FALSE),"")</f>
        <v/>
      </c>
      <c r="F132" s="2615"/>
      <c r="G132" s="2615"/>
      <c r="H132" s="2615"/>
      <c r="I132" s="2615"/>
      <c r="J132" s="2615"/>
      <c r="K132" s="2616"/>
      <c r="L132" s="468" t="str">
        <f ca="1">IF(E132&lt;&gt;"",1,"")</f>
        <v/>
      </c>
      <c r="M132" s="468" t="str">
        <f ca="1">IF(E132&lt;&gt;"","式","")</f>
        <v/>
      </c>
      <c r="N132" s="2691" t="str">
        <f ca="1">IF(D129&lt;&gt;"",VLOOKUP(D129,内訳,12,FALSE),"")</f>
        <v/>
      </c>
      <c r="O132" s="2691"/>
      <c r="P132" s="2691"/>
      <c r="Q132" s="2691"/>
      <c r="R132" s="2691"/>
      <c r="S132" s="2583"/>
      <c r="T132" s="2583"/>
      <c r="U132" s="2583"/>
      <c r="V132" s="2583"/>
      <c r="W132" s="2583"/>
      <c r="X132" s="2584"/>
      <c r="Y132" s="2585"/>
      <c r="Z132" s="2585"/>
      <c r="AA132" s="2586"/>
      <c r="AB132" s="179"/>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row>
    <row r="133" spans="2:49" ht="17.25" customHeight="1">
      <c r="B133" s="2587"/>
      <c r="C133" s="575">
        <v>31</v>
      </c>
      <c r="D133" s="576"/>
      <c r="E133" s="2595" t="str">
        <f ca="1">IF(E129&lt;&gt;"",D129&amp;" の 計","")</f>
        <v/>
      </c>
      <c r="F133" s="2596"/>
      <c r="G133" s="2596"/>
      <c r="H133" s="2596"/>
      <c r="I133" s="2596"/>
      <c r="J133" s="2596"/>
      <c r="K133" s="2597"/>
      <c r="L133" s="574"/>
      <c r="M133" s="574"/>
      <c r="N133" s="2599"/>
      <c r="O133" s="2599"/>
      <c r="P133" s="2599"/>
      <c r="Q133" s="2599"/>
      <c r="R133" s="2599"/>
      <c r="S133" s="2627" t="str">
        <f ca="1">IF(D129&lt;&gt;"",VLOOKUP(D129,内訳,13,FALSE),"")</f>
        <v/>
      </c>
      <c r="T133" s="2627"/>
      <c r="U133" s="2627"/>
      <c r="V133" s="2627"/>
      <c r="W133" s="2627"/>
      <c r="X133" s="2600"/>
      <c r="Y133" s="2601"/>
      <c r="Z133" s="2601"/>
      <c r="AA133" s="2602"/>
      <c r="AB133" s="179"/>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row>
    <row r="134" spans="2:49" ht="17.25" customHeight="1">
      <c r="B134" s="2587"/>
      <c r="C134" s="262">
        <v>32</v>
      </c>
      <c r="D134" s="464" t="str">
        <f ca="1">D20</f>
        <v/>
      </c>
      <c r="E134" s="2699" t="str">
        <f ca="1">IF(D20="","",E20)</f>
        <v/>
      </c>
      <c r="F134" s="2700"/>
      <c r="G134" s="2700"/>
      <c r="H134" s="2700"/>
      <c r="I134" s="2700"/>
      <c r="J134" s="2700"/>
      <c r="K134" s="2700"/>
      <c r="L134" s="2606" t="str">
        <f ca="1">IF(OR(D134="",$AD$41=0),"",INT(S138/Top!$AA$63))</f>
        <v/>
      </c>
      <c r="M134" s="2606"/>
      <c r="N134" s="319" t="str">
        <f ca="1">IF(L134="","","／ｍ2")</f>
        <v/>
      </c>
      <c r="O134" s="319"/>
      <c r="P134" s="2606" t="str">
        <f ca="1">IF(L134="","",INT(L134/0.3025))</f>
        <v/>
      </c>
      <c r="Q134" s="2606"/>
      <c r="R134" s="319" t="str">
        <f ca="1">IF(P134="","","／坪")</f>
        <v/>
      </c>
      <c r="S134" s="2607" t="str">
        <f ca="1">IF(L134="","","合計金額に対する割合；")</f>
        <v/>
      </c>
      <c r="T134" s="2607"/>
      <c r="U134" s="2607"/>
      <c r="V134" s="2607"/>
      <c r="W134" s="2607"/>
      <c r="X134" s="2607"/>
      <c r="Y134" s="2608" t="str">
        <f ca="1">IF(L134="","",$AC$41*100*S138/$S$41)</f>
        <v/>
      </c>
      <c r="Z134" s="2608"/>
      <c r="AA134" s="471" t="str">
        <f ca="1">IF(L134="","","％")</f>
        <v/>
      </c>
      <c r="AB134" s="300"/>
      <c r="AC134" s="301"/>
      <c r="AD134" s="301"/>
      <c r="AE134" s="301"/>
      <c r="AF134" s="301"/>
      <c r="AG134" s="301"/>
      <c r="AH134" s="301"/>
      <c r="AI134" s="301"/>
      <c r="AJ134" s="301"/>
      <c r="AK134" s="301"/>
      <c r="AL134" s="301"/>
      <c r="AM134" s="301"/>
      <c r="AN134" s="301"/>
      <c r="AO134" s="301"/>
      <c r="AP134" s="301"/>
      <c r="AQ134" s="301"/>
      <c r="AR134" s="301"/>
      <c r="AS134" s="301"/>
      <c r="AT134" s="301"/>
      <c r="AU134" s="301"/>
      <c r="AV134" s="301"/>
      <c r="AW134" s="301"/>
    </row>
    <row r="135" spans="2:49" ht="17.25" customHeight="1">
      <c r="B135" s="2587"/>
      <c r="C135" s="272">
        <v>33</v>
      </c>
      <c r="D135" s="469"/>
      <c r="E135" s="2614" t="str">
        <f ca="1">IF(D134&lt;&gt;"",VLOOKUP(D134,内訳,7,FALSE),"")</f>
        <v/>
      </c>
      <c r="F135" s="2615"/>
      <c r="G135" s="2615"/>
      <c r="H135" s="2615"/>
      <c r="I135" s="2615"/>
      <c r="J135" s="2615"/>
      <c r="K135" s="2616"/>
      <c r="L135" s="468" t="str">
        <f ca="1">IF(E135&lt;&gt;"",1,"")</f>
        <v/>
      </c>
      <c r="M135" s="468" t="str">
        <f ca="1">IF(E135&lt;&gt;"","式","")</f>
        <v/>
      </c>
      <c r="N135" s="2691" t="str">
        <f ca="1">IF(D134&lt;&gt;"",VLOOKUP(D134,内訳,10,FALSE),"")</f>
        <v/>
      </c>
      <c r="O135" s="2691"/>
      <c r="P135" s="2691"/>
      <c r="Q135" s="2691"/>
      <c r="R135" s="2691"/>
      <c r="S135" s="2583"/>
      <c r="T135" s="2583"/>
      <c r="U135" s="2583"/>
      <c r="V135" s="2583"/>
      <c r="W135" s="2583"/>
      <c r="X135" s="2584"/>
      <c r="Y135" s="2585"/>
      <c r="Z135" s="2585"/>
      <c r="AA135" s="2586"/>
      <c r="AB135" s="179"/>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row>
    <row r="136" spans="2:49" ht="17.25" customHeight="1">
      <c r="B136" s="2587"/>
      <c r="C136" s="272">
        <v>34</v>
      </c>
      <c r="D136" s="469"/>
      <c r="E136" s="2614" t="str">
        <f ca="1">IF(D134&lt;&gt;"",VLOOKUP(D134,内訳,8,FALSE),"")</f>
        <v/>
      </c>
      <c r="F136" s="2615"/>
      <c r="G136" s="2615"/>
      <c r="H136" s="2615"/>
      <c r="I136" s="2615"/>
      <c r="J136" s="2615"/>
      <c r="K136" s="2616"/>
      <c r="L136" s="468" t="str">
        <f ca="1">IF(E136&lt;&gt;"",1,"")</f>
        <v/>
      </c>
      <c r="M136" s="468" t="str">
        <f ca="1">IF(E136&lt;&gt;"","式","")</f>
        <v/>
      </c>
      <c r="N136" s="2691" t="str">
        <f ca="1">IF(D134&lt;&gt;"",VLOOKUP(D134,内訳,11,FALSE),"")</f>
        <v/>
      </c>
      <c r="O136" s="2691"/>
      <c r="P136" s="2691"/>
      <c r="Q136" s="2691"/>
      <c r="R136" s="2691"/>
      <c r="S136" s="2583"/>
      <c r="T136" s="2583"/>
      <c r="U136" s="2583"/>
      <c r="V136" s="2583"/>
      <c r="W136" s="2583"/>
      <c r="X136" s="2584"/>
      <c r="Y136" s="2585"/>
      <c r="Z136" s="2585"/>
      <c r="AA136" s="2586"/>
      <c r="AB136" s="179"/>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row>
    <row r="137" spans="2:49" ht="17.25" customHeight="1">
      <c r="B137" s="2587"/>
      <c r="C137" s="272">
        <v>35</v>
      </c>
      <c r="D137" s="472"/>
      <c r="E137" s="2614" t="str">
        <f ca="1">IF(D134&lt;&gt;"",VLOOKUP(D134,内訳,9,FALSE),"")</f>
        <v/>
      </c>
      <c r="F137" s="2615"/>
      <c r="G137" s="2615"/>
      <c r="H137" s="2615"/>
      <c r="I137" s="2615"/>
      <c r="J137" s="2615"/>
      <c r="K137" s="2616"/>
      <c r="L137" s="468" t="str">
        <f ca="1">IF(E137&lt;&gt;"",1,"")</f>
        <v/>
      </c>
      <c r="M137" s="468" t="str">
        <f ca="1">IF(E137&lt;&gt;"","式","")</f>
        <v/>
      </c>
      <c r="N137" s="2691" t="str">
        <f ca="1">IF(D134&lt;&gt;"",VLOOKUP(D134,内訳,12,FALSE),"")</f>
        <v/>
      </c>
      <c r="O137" s="2691"/>
      <c r="P137" s="2691"/>
      <c r="Q137" s="2691"/>
      <c r="R137" s="2691"/>
      <c r="S137" s="2583"/>
      <c r="T137" s="2583"/>
      <c r="U137" s="2583"/>
      <c r="V137" s="2583"/>
      <c r="W137" s="2583"/>
      <c r="X137" s="2584"/>
      <c r="Y137" s="2585"/>
      <c r="Z137" s="2585"/>
      <c r="AA137" s="2586"/>
      <c r="AB137" s="179"/>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row>
    <row r="138" spans="2:49" ht="17.25" customHeight="1">
      <c r="B138" s="2587"/>
      <c r="C138" s="575">
        <v>36</v>
      </c>
      <c r="D138" s="576"/>
      <c r="E138" s="2595" t="str">
        <f ca="1">IF(E134&lt;&gt;"",D134&amp;" の 計","")</f>
        <v/>
      </c>
      <c r="F138" s="2596"/>
      <c r="G138" s="2596"/>
      <c r="H138" s="2596"/>
      <c r="I138" s="2596"/>
      <c r="J138" s="2596"/>
      <c r="K138" s="2597"/>
      <c r="L138" s="574"/>
      <c r="M138" s="574"/>
      <c r="N138" s="2599"/>
      <c r="O138" s="2599"/>
      <c r="P138" s="2599"/>
      <c r="Q138" s="2599"/>
      <c r="R138" s="2599"/>
      <c r="S138" s="2627" t="str">
        <f ca="1">IF(D134&lt;&gt;"",VLOOKUP(D134,内訳,13,FALSE),"")</f>
        <v/>
      </c>
      <c r="T138" s="2627"/>
      <c r="U138" s="2627"/>
      <c r="V138" s="2627"/>
      <c r="W138" s="2627"/>
      <c r="X138" s="2600"/>
      <c r="Y138" s="2601"/>
      <c r="Z138" s="2601"/>
      <c r="AA138" s="2602"/>
      <c r="AB138" s="179"/>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row>
    <row r="139" spans="2:49" ht="17.25" customHeight="1">
      <c r="B139" s="2587"/>
      <c r="C139" s="262">
        <v>37</v>
      </c>
      <c r="D139" s="464" t="str">
        <f ca="1">D21</f>
        <v/>
      </c>
      <c r="E139" s="2699" t="str">
        <f ca="1">IF(D21="","",E21)</f>
        <v/>
      </c>
      <c r="F139" s="2700"/>
      <c r="G139" s="2700"/>
      <c r="H139" s="2700"/>
      <c r="I139" s="2700"/>
      <c r="J139" s="2700"/>
      <c r="K139" s="2700"/>
      <c r="L139" s="2606" t="str">
        <f ca="1">IF(OR(D139="",$AD$41=0),"",INT(S143/Top!$AA$63))</f>
        <v/>
      </c>
      <c r="M139" s="2606"/>
      <c r="N139" s="319" t="str">
        <f ca="1">IF(L139="","","／ｍ2")</f>
        <v/>
      </c>
      <c r="O139" s="319"/>
      <c r="P139" s="2606" t="str">
        <f ca="1">IF(L139="","",INT(L139/0.3025))</f>
        <v/>
      </c>
      <c r="Q139" s="2606"/>
      <c r="R139" s="319" t="str">
        <f ca="1">IF(P139="","","／坪")</f>
        <v/>
      </c>
      <c r="S139" s="2607" t="str">
        <f ca="1">IF(L139="","","合計金額に対する割合；")</f>
        <v/>
      </c>
      <c r="T139" s="2607"/>
      <c r="U139" s="2607"/>
      <c r="V139" s="2607"/>
      <c r="W139" s="2607"/>
      <c r="X139" s="2607"/>
      <c r="Y139" s="2608" t="str">
        <f ca="1">IF(L139="","",$AC$41*100*S143/$S$41)</f>
        <v/>
      </c>
      <c r="Z139" s="2608"/>
      <c r="AA139" s="471" t="str">
        <f ca="1">IF(L139="","","％")</f>
        <v/>
      </c>
      <c r="AB139" s="300"/>
      <c r="AC139" s="301"/>
      <c r="AD139" s="301"/>
      <c r="AE139" s="301"/>
      <c r="AF139" s="301"/>
      <c r="AG139" s="301"/>
      <c r="AH139" s="301"/>
      <c r="AI139" s="301"/>
      <c r="AJ139" s="301"/>
      <c r="AK139" s="301"/>
      <c r="AL139" s="301"/>
      <c r="AM139" s="301"/>
      <c r="AN139" s="301"/>
      <c r="AO139" s="301"/>
      <c r="AP139" s="301"/>
      <c r="AQ139" s="301"/>
      <c r="AR139" s="301"/>
      <c r="AS139" s="301"/>
      <c r="AT139" s="301"/>
      <c r="AU139" s="301"/>
      <c r="AV139" s="301"/>
      <c r="AW139" s="301"/>
    </row>
    <row r="140" spans="2:49" ht="17.25" customHeight="1">
      <c r="B140" s="2587"/>
      <c r="C140" s="272">
        <v>38</v>
      </c>
      <c r="D140" s="469"/>
      <c r="E140" s="2614" t="str">
        <f ca="1">IF(D139&lt;&gt;"",VLOOKUP(D139,内訳,7,FALSE),"")</f>
        <v/>
      </c>
      <c r="F140" s="2615"/>
      <c r="G140" s="2615"/>
      <c r="H140" s="2615"/>
      <c r="I140" s="2615"/>
      <c r="J140" s="2615"/>
      <c r="K140" s="2616"/>
      <c r="L140" s="468" t="str">
        <f ca="1">IF(E140&lt;&gt;"",1,"")</f>
        <v/>
      </c>
      <c r="M140" s="468" t="str">
        <f ca="1">IF(E140&lt;&gt;"","式","")</f>
        <v/>
      </c>
      <c r="N140" s="2691" t="str">
        <f ca="1">IF(D139&lt;&gt;"",VLOOKUP(D139,内訳,10,FALSE),"")</f>
        <v/>
      </c>
      <c r="O140" s="2691"/>
      <c r="P140" s="2691"/>
      <c r="Q140" s="2691"/>
      <c r="R140" s="2691"/>
      <c r="S140" s="2583"/>
      <c r="T140" s="2583"/>
      <c r="U140" s="2583"/>
      <c r="V140" s="2583"/>
      <c r="W140" s="2583"/>
      <c r="X140" s="2584"/>
      <c r="Y140" s="2585"/>
      <c r="Z140" s="2585"/>
      <c r="AA140" s="2586"/>
      <c r="AB140" s="179"/>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row>
    <row r="141" spans="2:49" ht="17.25" customHeight="1">
      <c r="B141" s="2587"/>
      <c r="C141" s="272">
        <v>39</v>
      </c>
      <c r="D141" s="469"/>
      <c r="E141" s="2614" t="str">
        <f ca="1">IF(D139&lt;&gt;"",VLOOKUP(D139,内訳,8,FALSE),"")</f>
        <v/>
      </c>
      <c r="F141" s="2615"/>
      <c r="G141" s="2615"/>
      <c r="H141" s="2615"/>
      <c r="I141" s="2615"/>
      <c r="J141" s="2615"/>
      <c r="K141" s="2616"/>
      <c r="L141" s="468" t="str">
        <f ca="1">IF(E141&lt;&gt;"",1,"")</f>
        <v/>
      </c>
      <c r="M141" s="468" t="str">
        <f ca="1">IF(E141&lt;&gt;"","式","")</f>
        <v/>
      </c>
      <c r="N141" s="2691" t="str">
        <f ca="1">IF(D139&lt;&gt;"",VLOOKUP(D139,内訳,11,FALSE),"")</f>
        <v/>
      </c>
      <c r="O141" s="2691"/>
      <c r="P141" s="2691"/>
      <c r="Q141" s="2691"/>
      <c r="R141" s="2691"/>
      <c r="S141" s="2583"/>
      <c r="T141" s="2583"/>
      <c r="U141" s="2583"/>
      <c r="V141" s="2583"/>
      <c r="W141" s="2583"/>
      <c r="X141" s="2584"/>
      <c r="Y141" s="2585"/>
      <c r="Z141" s="2585"/>
      <c r="AA141" s="2586"/>
      <c r="AB141" s="179"/>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row>
    <row r="142" spans="2:49" ht="17.25" customHeight="1">
      <c r="B142" s="2587"/>
      <c r="C142" s="272">
        <v>40</v>
      </c>
      <c r="D142" s="472"/>
      <c r="E142" s="2614" t="str">
        <f ca="1">IF(D139&lt;&gt;"",VLOOKUP(D139,内訳,9,FALSE),"")</f>
        <v/>
      </c>
      <c r="F142" s="2615"/>
      <c r="G142" s="2615"/>
      <c r="H142" s="2615"/>
      <c r="I142" s="2615"/>
      <c r="J142" s="2615"/>
      <c r="K142" s="2616"/>
      <c r="L142" s="468" t="str">
        <f ca="1">IF(E142&lt;&gt;"",1,"")</f>
        <v/>
      </c>
      <c r="M142" s="468" t="str">
        <f ca="1">IF(E142&lt;&gt;"","式","")</f>
        <v/>
      </c>
      <c r="N142" s="2691" t="str">
        <f ca="1">IF(D139&lt;&gt;"",VLOOKUP(D139,内訳,12,FALSE),"")</f>
        <v/>
      </c>
      <c r="O142" s="2691"/>
      <c r="P142" s="2691"/>
      <c r="Q142" s="2691"/>
      <c r="R142" s="2691"/>
      <c r="S142" s="2583"/>
      <c r="T142" s="2583"/>
      <c r="U142" s="2583"/>
      <c r="V142" s="2583"/>
      <c r="W142" s="2583"/>
      <c r="X142" s="2584"/>
      <c r="Y142" s="2585"/>
      <c r="Z142" s="2585"/>
      <c r="AA142" s="2586"/>
      <c r="AB142" s="179"/>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row>
    <row r="143" spans="2:49" ht="17.25" customHeight="1">
      <c r="B143" s="2587"/>
      <c r="C143" s="575">
        <v>41</v>
      </c>
      <c r="D143" s="576"/>
      <c r="E143" s="2595" t="str">
        <f ca="1">IF(E139&lt;&gt;"",D139&amp;" の 計","")</f>
        <v/>
      </c>
      <c r="F143" s="2596"/>
      <c r="G143" s="2596"/>
      <c r="H143" s="2596"/>
      <c r="I143" s="2596"/>
      <c r="J143" s="2596"/>
      <c r="K143" s="2597"/>
      <c r="L143" s="574"/>
      <c r="M143" s="574"/>
      <c r="N143" s="2599"/>
      <c r="O143" s="2599"/>
      <c r="P143" s="2599"/>
      <c r="Q143" s="2599"/>
      <c r="R143" s="2599"/>
      <c r="S143" s="2627" t="str">
        <f ca="1">IF(D139&lt;&gt;"",VLOOKUP(D139,内訳,13,FALSE),"")</f>
        <v/>
      </c>
      <c r="T143" s="2627"/>
      <c r="U143" s="2627"/>
      <c r="V143" s="2627"/>
      <c r="W143" s="2627"/>
      <c r="X143" s="2600"/>
      <c r="Y143" s="2601"/>
      <c r="Z143" s="2601"/>
      <c r="AA143" s="2602"/>
      <c r="AB143" s="179"/>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row>
    <row r="144" spans="2:49" ht="17.25" customHeight="1">
      <c r="B144" s="2587"/>
      <c r="C144" s="262">
        <v>42</v>
      </c>
      <c r="D144" s="567"/>
      <c r="E144" s="2700"/>
      <c r="F144" s="2700"/>
      <c r="G144" s="2700"/>
      <c r="H144" s="2700"/>
      <c r="I144" s="2700"/>
      <c r="J144" s="2700"/>
      <c r="K144" s="2700"/>
      <c r="L144" s="319"/>
      <c r="M144" s="319"/>
      <c r="N144" s="319"/>
      <c r="O144" s="319"/>
      <c r="P144" s="319"/>
      <c r="Q144" s="319"/>
      <c r="R144" s="319"/>
      <c r="S144" s="319"/>
      <c r="T144" s="319"/>
      <c r="U144" s="319"/>
      <c r="V144" s="319"/>
      <c r="W144" s="319"/>
      <c r="X144" s="319"/>
      <c r="Y144" s="319"/>
      <c r="Z144" s="319"/>
      <c r="AA144" s="578"/>
      <c r="AB144" s="179"/>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row>
    <row r="145" spans="2:49" ht="17.25" customHeight="1">
      <c r="B145" s="2587"/>
      <c r="C145" s="272">
        <v>43</v>
      </c>
      <c r="D145" s="451"/>
      <c r="E145" s="451"/>
      <c r="F145" s="451"/>
      <c r="G145" s="451"/>
      <c r="H145" s="318"/>
      <c r="I145" s="451"/>
      <c r="J145" s="451"/>
      <c r="K145" s="451"/>
      <c r="L145" s="451"/>
      <c r="M145" s="451"/>
      <c r="N145" s="451"/>
      <c r="O145" s="451"/>
      <c r="P145" s="451"/>
      <c r="Q145" s="451"/>
      <c r="R145" s="451"/>
      <c r="S145" s="451"/>
      <c r="T145" s="451"/>
      <c r="U145" s="451"/>
      <c r="V145" s="451"/>
      <c r="W145" s="451"/>
      <c r="X145" s="319"/>
      <c r="Y145" s="319"/>
      <c r="Z145" s="451"/>
      <c r="AA145" s="452"/>
      <c r="AB145" s="179"/>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row>
    <row r="146" spans="2:49" ht="17.25" customHeight="1">
      <c r="B146" s="2587"/>
      <c r="C146" s="272">
        <v>44</v>
      </c>
      <c r="D146" s="451"/>
      <c r="E146" s="451"/>
      <c r="F146" s="451"/>
      <c r="G146" s="451"/>
      <c r="H146" s="451"/>
      <c r="I146" s="451"/>
      <c r="J146" s="451"/>
      <c r="K146" s="451"/>
      <c r="L146" s="451"/>
      <c r="M146" s="451"/>
      <c r="N146" s="451"/>
      <c r="O146" s="451"/>
      <c r="P146" s="451"/>
      <c r="Q146" s="451"/>
      <c r="R146" s="451"/>
      <c r="S146" s="319"/>
      <c r="T146" s="319"/>
      <c r="U146" s="319"/>
      <c r="V146" s="319"/>
      <c r="W146" s="319"/>
      <c r="X146" s="451"/>
      <c r="Y146" s="451"/>
      <c r="Z146" s="451"/>
      <c r="AA146" s="452"/>
      <c r="AB146" s="179"/>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row>
    <row r="147" spans="2:49" ht="17.25" customHeight="1" thickBot="1">
      <c r="B147" s="2587"/>
      <c r="C147" s="291">
        <v>45</v>
      </c>
      <c r="D147" s="448"/>
      <c r="E147" s="448"/>
      <c r="F147" s="448"/>
      <c r="G147" s="448"/>
      <c r="H147" s="448"/>
      <c r="I147" s="448"/>
      <c r="J147" s="448"/>
      <c r="K147" s="448"/>
      <c r="L147" s="448"/>
      <c r="M147" s="448"/>
      <c r="N147" s="448"/>
      <c r="O147" s="448"/>
      <c r="P147" s="448"/>
      <c r="Q147" s="448"/>
      <c r="R147" s="448"/>
      <c r="S147" s="448"/>
      <c r="T147" s="448"/>
      <c r="U147" s="448"/>
      <c r="V147" s="448"/>
      <c r="W147" s="448"/>
      <c r="X147" s="448"/>
      <c r="Y147" s="448"/>
      <c r="Z147" s="448"/>
      <c r="AA147" s="449"/>
      <c r="AB147" s="179"/>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row>
    <row r="148" spans="2:49" ht="4.5" customHeight="1">
      <c r="B148" s="2587"/>
    </row>
  </sheetData>
  <sheetProtection password="80A0" sheet="1" objects="1" scenarios="1"/>
  <mergeCells count="537">
    <mergeCell ref="BD4:BF4"/>
    <mergeCell ref="B2:B50"/>
    <mergeCell ref="F2:U2"/>
    <mergeCell ref="W2:X2"/>
    <mergeCell ref="Y2:AA2"/>
    <mergeCell ref="F3:U3"/>
    <mergeCell ref="Y3:AA3"/>
    <mergeCell ref="F4:U4"/>
    <mergeCell ref="Y4:AA4"/>
    <mergeCell ref="E5:K5"/>
    <mergeCell ref="N5:R5"/>
    <mergeCell ref="AG5:AI5"/>
    <mergeCell ref="AJ5:AL5"/>
    <mergeCell ref="AM5:AO5"/>
    <mergeCell ref="AP5:AR5"/>
    <mergeCell ref="AG4:AR4"/>
    <mergeCell ref="AS4:AS5"/>
    <mergeCell ref="AT4:AT5"/>
    <mergeCell ref="AU4:AU5"/>
    <mergeCell ref="AV4:AV5"/>
    <mergeCell ref="E6:K6"/>
    <mergeCell ref="N6:R6"/>
    <mergeCell ref="S6:W6"/>
    <mergeCell ref="X6:AA6"/>
    <mergeCell ref="E7:K7"/>
    <mergeCell ref="N7:R7"/>
    <mergeCell ref="S7:W7"/>
    <mergeCell ref="X7:AA7"/>
    <mergeCell ref="S5:W5"/>
    <mergeCell ref="X5:AA5"/>
    <mergeCell ref="E10:K10"/>
    <mergeCell ref="N10:R10"/>
    <mergeCell ref="S10:W10"/>
    <mergeCell ref="X10:AA10"/>
    <mergeCell ref="E11:K11"/>
    <mergeCell ref="N11:R11"/>
    <mergeCell ref="S11:W11"/>
    <mergeCell ref="X11:AA11"/>
    <mergeCell ref="E8:K8"/>
    <mergeCell ref="N8:R8"/>
    <mergeCell ref="S8:W8"/>
    <mergeCell ref="X8:AA8"/>
    <mergeCell ref="E9:K9"/>
    <mergeCell ref="N9:R9"/>
    <mergeCell ref="S9:W9"/>
    <mergeCell ref="X9:AA9"/>
    <mergeCell ref="E14:K14"/>
    <mergeCell ref="N14:R14"/>
    <mergeCell ref="S14:W14"/>
    <mergeCell ref="X14:AA14"/>
    <mergeCell ref="E15:K15"/>
    <mergeCell ref="N15:R15"/>
    <mergeCell ref="S15:W15"/>
    <mergeCell ref="X15:AA15"/>
    <mergeCell ref="E12:K12"/>
    <mergeCell ref="N12:R12"/>
    <mergeCell ref="S12:W12"/>
    <mergeCell ref="X12:AA12"/>
    <mergeCell ref="E13:K13"/>
    <mergeCell ref="N13:R13"/>
    <mergeCell ref="S13:W13"/>
    <mergeCell ref="X13:AA13"/>
    <mergeCell ref="E18:K18"/>
    <mergeCell ref="N18:R18"/>
    <mergeCell ref="S18:W18"/>
    <mergeCell ref="X18:AA18"/>
    <mergeCell ref="E19:K19"/>
    <mergeCell ref="N19:R19"/>
    <mergeCell ref="S19:W19"/>
    <mergeCell ref="X19:AA19"/>
    <mergeCell ref="E16:K16"/>
    <mergeCell ref="N16:R16"/>
    <mergeCell ref="S16:W16"/>
    <mergeCell ref="X16:AA16"/>
    <mergeCell ref="E17:K17"/>
    <mergeCell ref="N17:R17"/>
    <mergeCell ref="S17:W17"/>
    <mergeCell ref="X17:AA17"/>
    <mergeCell ref="E22:K22"/>
    <mergeCell ref="N22:R22"/>
    <mergeCell ref="S22:W22"/>
    <mergeCell ref="X22:AA22"/>
    <mergeCell ref="E23:K23"/>
    <mergeCell ref="N23:R23"/>
    <mergeCell ref="S23:W23"/>
    <mergeCell ref="X23:AA23"/>
    <mergeCell ref="E20:K20"/>
    <mergeCell ref="N20:R20"/>
    <mergeCell ref="S20:W20"/>
    <mergeCell ref="X20:AA20"/>
    <mergeCell ref="E21:K21"/>
    <mergeCell ref="N21:R21"/>
    <mergeCell ref="S21:W21"/>
    <mergeCell ref="X21:AA21"/>
    <mergeCell ref="E26:K26"/>
    <mergeCell ref="N26:R26"/>
    <mergeCell ref="S26:W26"/>
    <mergeCell ref="X26:AA26"/>
    <mergeCell ref="E27:K27"/>
    <mergeCell ref="N27:R27"/>
    <mergeCell ref="S27:W27"/>
    <mergeCell ref="X27:AA27"/>
    <mergeCell ref="E24:K24"/>
    <mergeCell ref="N24:R24"/>
    <mergeCell ref="S24:W24"/>
    <mergeCell ref="X24:AA24"/>
    <mergeCell ref="E25:K25"/>
    <mergeCell ref="N25:R25"/>
    <mergeCell ref="S25:W25"/>
    <mergeCell ref="X25:AA25"/>
    <mergeCell ref="E30:K30"/>
    <mergeCell ref="N30:R30"/>
    <mergeCell ref="S30:W30"/>
    <mergeCell ref="X30:AA30"/>
    <mergeCell ref="E31:K31"/>
    <mergeCell ref="N31:R31"/>
    <mergeCell ref="S31:W31"/>
    <mergeCell ref="X31:AA31"/>
    <mergeCell ref="E28:K28"/>
    <mergeCell ref="N28:R28"/>
    <mergeCell ref="S28:W28"/>
    <mergeCell ref="X28:AA28"/>
    <mergeCell ref="E29:K29"/>
    <mergeCell ref="N29:R29"/>
    <mergeCell ref="S29:W29"/>
    <mergeCell ref="X29:AA29"/>
    <mergeCell ref="E34:K34"/>
    <mergeCell ref="N34:R34"/>
    <mergeCell ref="S34:W34"/>
    <mergeCell ref="X34:AA34"/>
    <mergeCell ref="E35:K35"/>
    <mergeCell ref="N35:R35"/>
    <mergeCell ref="S35:W35"/>
    <mergeCell ref="X35:AA35"/>
    <mergeCell ref="E32:K32"/>
    <mergeCell ref="N32:R32"/>
    <mergeCell ref="S32:W32"/>
    <mergeCell ref="X32:AA32"/>
    <mergeCell ref="E33:K33"/>
    <mergeCell ref="N33:R33"/>
    <mergeCell ref="S33:W33"/>
    <mergeCell ref="X33:AA33"/>
    <mergeCell ref="E38:K38"/>
    <mergeCell ref="N38:R38"/>
    <mergeCell ref="S38:W38"/>
    <mergeCell ref="X38:AA38"/>
    <mergeCell ref="E39:K39"/>
    <mergeCell ref="N39:R39"/>
    <mergeCell ref="S39:W39"/>
    <mergeCell ref="X39:AA39"/>
    <mergeCell ref="E36:K36"/>
    <mergeCell ref="N36:R36"/>
    <mergeCell ref="S36:W36"/>
    <mergeCell ref="X36:AA36"/>
    <mergeCell ref="E37:K37"/>
    <mergeCell ref="N37:R37"/>
    <mergeCell ref="S37:W37"/>
    <mergeCell ref="X37:AA37"/>
    <mergeCell ref="AH46:AJ46"/>
    <mergeCell ref="AK46:AM46"/>
    <mergeCell ref="AY46:AZ46"/>
    <mergeCell ref="AY47:AZ47"/>
    <mergeCell ref="AY48:AZ48"/>
    <mergeCell ref="AY49:AZ49"/>
    <mergeCell ref="E40:K40"/>
    <mergeCell ref="N40:R40"/>
    <mergeCell ref="S40:W40"/>
    <mergeCell ref="X40:AA40"/>
    <mergeCell ref="E41:K41"/>
    <mergeCell ref="S41:W41"/>
    <mergeCell ref="N43:P43"/>
    <mergeCell ref="D43:H43"/>
    <mergeCell ref="I43:K43"/>
    <mergeCell ref="E57:K57"/>
    <mergeCell ref="N57:R57"/>
    <mergeCell ref="S57:W57"/>
    <mergeCell ref="X57:AA57"/>
    <mergeCell ref="E58:K58"/>
    <mergeCell ref="N58:R58"/>
    <mergeCell ref="S58:W58"/>
    <mergeCell ref="X58:AA58"/>
    <mergeCell ref="S54:W54"/>
    <mergeCell ref="X54:AA54"/>
    <mergeCell ref="E56:K56"/>
    <mergeCell ref="N56:R56"/>
    <mergeCell ref="S56:W56"/>
    <mergeCell ref="X56:AA56"/>
    <mergeCell ref="E54:K54"/>
    <mergeCell ref="N54:R54"/>
    <mergeCell ref="E62:K62"/>
    <mergeCell ref="N62:R62"/>
    <mergeCell ref="S62:W62"/>
    <mergeCell ref="X62:AA62"/>
    <mergeCell ref="E63:K63"/>
    <mergeCell ref="N63:R63"/>
    <mergeCell ref="S63:W63"/>
    <mergeCell ref="X63:AA63"/>
    <mergeCell ref="E59:K59"/>
    <mergeCell ref="N59:R59"/>
    <mergeCell ref="S59:W59"/>
    <mergeCell ref="X59:AA59"/>
    <mergeCell ref="E61:K61"/>
    <mergeCell ref="N61:R61"/>
    <mergeCell ref="S61:W61"/>
    <mergeCell ref="X61:AA61"/>
    <mergeCell ref="E60:K60"/>
    <mergeCell ref="L60:M60"/>
    <mergeCell ref="P60:Q60"/>
    <mergeCell ref="S60:X60"/>
    <mergeCell ref="Y60:Z60"/>
    <mergeCell ref="E67:K67"/>
    <mergeCell ref="N67:R67"/>
    <mergeCell ref="S67:W67"/>
    <mergeCell ref="X67:AA67"/>
    <mergeCell ref="E68:K68"/>
    <mergeCell ref="N68:R68"/>
    <mergeCell ref="S68:W68"/>
    <mergeCell ref="X68:AA68"/>
    <mergeCell ref="E64:K64"/>
    <mergeCell ref="N64:R64"/>
    <mergeCell ref="S64:W64"/>
    <mergeCell ref="X64:AA64"/>
    <mergeCell ref="E66:K66"/>
    <mergeCell ref="N66:R66"/>
    <mergeCell ref="S66:W66"/>
    <mergeCell ref="X66:AA66"/>
    <mergeCell ref="E65:K65"/>
    <mergeCell ref="L65:M65"/>
    <mergeCell ref="P65:Q65"/>
    <mergeCell ref="S65:X65"/>
    <mergeCell ref="Y65:Z65"/>
    <mergeCell ref="E72:K72"/>
    <mergeCell ref="N72:R72"/>
    <mergeCell ref="S72:W72"/>
    <mergeCell ref="X72:AA72"/>
    <mergeCell ref="E73:K73"/>
    <mergeCell ref="N73:R73"/>
    <mergeCell ref="S73:W73"/>
    <mergeCell ref="X73:AA73"/>
    <mergeCell ref="E69:K69"/>
    <mergeCell ref="N69:R69"/>
    <mergeCell ref="S69:W69"/>
    <mergeCell ref="X69:AA69"/>
    <mergeCell ref="E71:K71"/>
    <mergeCell ref="N71:R71"/>
    <mergeCell ref="S71:W71"/>
    <mergeCell ref="X71:AA71"/>
    <mergeCell ref="E70:K70"/>
    <mergeCell ref="L70:M70"/>
    <mergeCell ref="P70:Q70"/>
    <mergeCell ref="S70:X70"/>
    <mergeCell ref="Y70:Z70"/>
    <mergeCell ref="E77:K77"/>
    <mergeCell ref="N77:R77"/>
    <mergeCell ref="S77:W77"/>
    <mergeCell ref="X77:AA77"/>
    <mergeCell ref="E78:K78"/>
    <mergeCell ref="N78:R78"/>
    <mergeCell ref="S78:W78"/>
    <mergeCell ref="X78:AA78"/>
    <mergeCell ref="E74:K74"/>
    <mergeCell ref="N74:R74"/>
    <mergeCell ref="S74:W74"/>
    <mergeCell ref="X74:AA74"/>
    <mergeCell ref="E76:K76"/>
    <mergeCell ref="N76:R76"/>
    <mergeCell ref="S76:W76"/>
    <mergeCell ref="X76:AA76"/>
    <mergeCell ref="E75:K75"/>
    <mergeCell ref="L75:M75"/>
    <mergeCell ref="P75:Q75"/>
    <mergeCell ref="S75:X75"/>
    <mergeCell ref="Y75:Z75"/>
    <mergeCell ref="E82:K82"/>
    <mergeCell ref="N82:R82"/>
    <mergeCell ref="S82:W82"/>
    <mergeCell ref="X82:AA82"/>
    <mergeCell ref="E83:K83"/>
    <mergeCell ref="N83:R83"/>
    <mergeCell ref="S83:W83"/>
    <mergeCell ref="X83:AA83"/>
    <mergeCell ref="E79:K79"/>
    <mergeCell ref="N79:R79"/>
    <mergeCell ref="S79:W79"/>
    <mergeCell ref="X79:AA79"/>
    <mergeCell ref="E81:K81"/>
    <mergeCell ref="N81:R81"/>
    <mergeCell ref="S81:W81"/>
    <mergeCell ref="X81:AA81"/>
    <mergeCell ref="E80:K80"/>
    <mergeCell ref="L80:M80"/>
    <mergeCell ref="P80:Q80"/>
    <mergeCell ref="S80:X80"/>
    <mergeCell ref="Y80:Z80"/>
    <mergeCell ref="E84:K84"/>
    <mergeCell ref="N84:R84"/>
    <mergeCell ref="S84:W84"/>
    <mergeCell ref="X84:AA84"/>
    <mergeCell ref="E86:K86"/>
    <mergeCell ref="N86:R86"/>
    <mergeCell ref="S86:W86"/>
    <mergeCell ref="X86:AA86"/>
    <mergeCell ref="E85:K85"/>
    <mergeCell ref="L85:M85"/>
    <mergeCell ref="P85:Q85"/>
    <mergeCell ref="S85:X85"/>
    <mergeCell ref="Y85:Z85"/>
    <mergeCell ref="E90:K90"/>
    <mergeCell ref="L90:M90"/>
    <mergeCell ref="P90:Q90"/>
    <mergeCell ref="S90:X90"/>
    <mergeCell ref="Y90:Z90"/>
    <mergeCell ref="E87:K87"/>
    <mergeCell ref="N87:R87"/>
    <mergeCell ref="S87:W87"/>
    <mergeCell ref="X87:AA87"/>
    <mergeCell ref="E88:K88"/>
    <mergeCell ref="N88:R88"/>
    <mergeCell ref="S88:W88"/>
    <mergeCell ref="X88:AA88"/>
    <mergeCell ref="E92:K92"/>
    <mergeCell ref="N92:R92"/>
    <mergeCell ref="S92:W92"/>
    <mergeCell ref="X92:AA92"/>
    <mergeCell ref="E93:K93"/>
    <mergeCell ref="N93:R93"/>
    <mergeCell ref="S93:W93"/>
    <mergeCell ref="X93:AA93"/>
    <mergeCell ref="B51:B99"/>
    <mergeCell ref="F51:U51"/>
    <mergeCell ref="W51:X51"/>
    <mergeCell ref="Y51:AA51"/>
    <mergeCell ref="F52:U52"/>
    <mergeCell ref="Y52:AA52"/>
    <mergeCell ref="F53:U53"/>
    <mergeCell ref="Y53:AA53"/>
    <mergeCell ref="E89:K89"/>
    <mergeCell ref="N89:R89"/>
    <mergeCell ref="S89:W89"/>
    <mergeCell ref="X89:AA89"/>
    <mergeCell ref="E91:K91"/>
    <mergeCell ref="N91:R91"/>
    <mergeCell ref="S91:W91"/>
    <mergeCell ref="X91:AA91"/>
    <mergeCell ref="B100:B148"/>
    <mergeCell ref="F100:U100"/>
    <mergeCell ref="W100:X100"/>
    <mergeCell ref="Y100:AA100"/>
    <mergeCell ref="F101:U101"/>
    <mergeCell ref="Y101:AA101"/>
    <mergeCell ref="F102:U102"/>
    <mergeCell ref="Y102:AA102"/>
    <mergeCell ref="E124:K124"/>
    <mergeCell ref="E129:K129"/>
    <mergeCell ref="E134:K134"/>
    <mergeCell ref="E139:K139"/>
    <mergeCell ref="E144:K144"/>
    <mergeCell ref="L124:M124"/>
    <mergeCell ref="L129:M129"/>
    <mergeCell ref="L134:M134"/>
    <mergeCell ref="P139:Q139"/>
    <mergeCell ref="S139:X139"/>
    <mergeCell ref="Y139:Z139"/>
    <mergeCell ref="P124:Q124"/>
    <mergeCell ref="S124:X124"/>
    <mergeCell ref="Y124:Z124"/>
    <mergeCell ref="P129:Q129"/>
    <mergeCell ref="S129:X129"/>
    <mergeCell ref="E103:K103"/>
    <mergeCell ref="N103:R103"/>
    <mergeCell ref="S103:W103"/>
    <mergeCell ref="X103:AA103"/>
    <mergeCell ref="E94:K94"/>
    <mergeCell ref="N94:R94"/>
    <mergeCell ref="S94:W94"/>
    <mergeCell ref="X94:AA94"/>
    <mergeCell ref="E107:K107"/>
    <mergeCell ref="N107:R107"/>
    <mergeCell ref="S107:W107"/>
    <mergeCell ref="X107:AA107"/>
    <mergeCell ref="E105:K105"/>
    <mergeCell ref="N105:R105"/>
    <mergeCell ref="S105:W105"/>
    <mergeCell ref="X105:AA105"/>
    <mergeCell ref="E106:K106"/>
    <mergeCell ref="N106:R106"/>
    <mergeCell ref="S106:W106"/>
    <mergeCell ref="X106:AA106"/>
    <mergeCell ref="E104:K104"/>
    <mergeCell ref="L104:M104"/>
    <mergeCell ref="P104:Q104"/>
    <mergeCell ref="S104:X104"/>
    <mergeCell ref="Y104:Z104"/>
    <mergeCell ref="E109:K109"/>
    <mergeCell ref="L109:M109"/>
    <mergeCell ref="P109:Q109"/>
    <mergeCell ref="S109:X109"/>
    <mergeCell ref="Y109:Z109"/>
    <mergeCell ref="E108:K108"/>
    <mergeCell ref="N108:R108"/>
    <mergeCell ref="S108:W108"/>
    <mergeCell ref="X108:AA108"/>
    <mergeCell ref="E112:K112"/>
    <mergeCell ref="N112:R112"/>
    <mergeCell ref="S112:W112"/>
    <mergeCell ref="X112:AA112"/>
    <mergeCell ref="E113:K113"/>
    <mergeCell ref="N113:R113"/>
    <mergeCell ref="S113:W113"/>
    <mergeCell ref="X113:AA113"/>
    <mergeCell ref="E110:K110"/>
    <mergeCell ref="N110:R110"/>
    <mergeCell ref="S110:W110"/>
    <mergeCell ref="X110:AA110"/>
    <mergeCell ref="E111:K111"/>
    <mergeCell ref="N111:R111"/>
    <mergeCell ref="S111:W111"/>
    <mergeCell ref="X111:AA111"/>
    <mergeCell ref="E115:K115"/>
    <mergeCell ref="N115:R115"/>
    <mergeCell ref="S115:W115"/>
    <mergeCell ref="X115:AA115"/>
    <mergeCell ref="E116:K116"/>
    <mergeCell ref="N116:R116"/>
    <mergeCell ref="S116:W116"/>
    <mergeCell ref="X116:AA116"/>
    <mergeCell ref="E114:K114"/>
    <mergeCell ref="L114:M114"/>
    <mergeCell ref="P114:Q114"/>
    <mergeCell ref="S114:X114"/>
    <mergeCell ref="Y114:Z114"/>
    <mergeCell ref="E119:K119"/>
    <mergeCell ref="L119:M119"/>
    <mergeCell ref="P119:Q119"/>
    <mergeCell ref="S119:X119"/>
    <mergeCell ref="Y119:Z119"/>
    <mergeCell ref="E117:K117"/>
    <mergeCell ref="N117:R117"/>
    <mergeCell ref="S117:W117"/>
    <mergeCell ref="X117:AA117"/>
    <mergeCell ref="E118:K118"/>
    <mergeCell ref="N118:R118"/>
    <mergeCell ref="S118:W118"/>
    <mergeCell ref="X118:AA118"/>
    <mergeCell ref="E125:K125"/>
    <mergeCell ref="N125:R125"/>
    <mergeCell ref="S125:W125"/>
    <mergeCell ref="X125:AA125"/>
    <mergeCell ref="E126:K126"/>
    <mergeCell ref="N126:R126"/>
    <mergeCell ref="S126:W126"/>
    <mergeCell ref="X126:AA126"/>
    <mergeCell ref="E120:K120"/>
    <mergeCell ref="N120:R120"/>
    <mergeCell ref="S120:W120"/>
    <mergeCell ref="X120:AA120"/>
    <mergeCell ref="E121:K121"/>
    <mergeCell ref="N121:R121"/>
    <mergeCell ref="S121:W121"/>
    <mergeCell ref="X121:AA121"/>
    <mergeCell ref="E123:K123"/>
    <mergeCell ref="N123:R123"/>
    <mergeCell ref="S123:W123"/>
    <mergeCell ref="X123:AA123"/>
    <mergeCell ref="E127:K127"/>
    <mergeCell ref="N127:R127"/>
    <mergeCell ref="S127:W127"/>
    <mergeCell ref="X127:AA127"/>
    <mergeCell ref="E128:K128"/>
    <mergeCell ref="N128:R128"/>
    <mergeCell ref="S128:W128"/>
    <mergeCell ref="X128:AA128"/>
    <mergeCell ref="Y129:Z129"/>
    <mergeCell ref="L139:M139"/>
    <mergeCell ref="E132:K132"/>
    <mergeCell ref="N132:R132"/>
    <mergeCell ref="S132:W132"/>
    <mergeCell ref="X132:AA132"/>
    <mergeCell ref="E133:K133"/>
    <mergeCell ref="N133:R133"/>
    <mergeCell ref="S133:W133"/>
    <mergeCell ref="X133:AA133"/>
    <mergeCell ref="P134:Q134"/>
    <mergeCell ref="S134:X134"/>
    <mergeCell ref="Y134:Z134"/>
    <mergeCell ref="N137:R137"/>
    <mergeCell ref="S137:W137"/>
    <mergeCell ref="X137:AA137"/>
    <mergeCell ref="S138:W138"/>
    <mergeCell ref="X138:AA138"/>
    <mergeCell ref="E137:K137"/>
    <mergeCell ref="E138:K138"/>
    <mergeCell ref="N138:R138"/>
    <mergeCell ref="E135:K135"/>
    <mergeCell ref="N135:R135"/>
    <mergeCell ref="S135:W135"/>
    <mergeCell ref="X135:AA135"/>
    <mergeCell ref="E143:K143"/>
    <mergeCell ref="N143:R143"/>
    <mergeCell ref="S143:W143"/>
    <mergeCell ref="X143:AA143"/>
    <mergeCell ref="E140:K140"/>
    <mergeCell ref="N140:R140"/>
    <mergeCell ref="S140:W140"/>
    <mergeCell ref="X140:AA140"/>
    <mergeCell ref="E141:K141"/>
    <mergeCell ref="N141:R141"/>
    <mergeCell ref="S141:W141"/>
    <mergeCell ref="X141:AA141"/>
    <mergeCell ref="E142:K142"/>
    <mergeCell ref="N142:R142"/>
    <mergeCell ref="S142:W142"/>
    <mergeCell ref="X142:AA142"/>
    <mergeCell ref="E136:K136"/>
    <mergeCell ref="N136:R136"/>
    <mergeCell ref="S136:W136"/>
    <mergeCell ref="X136:AA136"/>
    <mergeCell ref="E130:K130"/>
    <mergeCell ref="BQ43:BR43"/>
    <mergeCell ref="BK43:BL43"/>
    <mergeCell ref="BQ44:BR44"/>
    <mergeCell ref="E55:K55"/>
    <mergeCell ref="L55:M55"/>
    <mergeCell ref="P55:Q55"/>
    <mergeCell ref="Y55:Z55"/>
    <mergeCell ref="S55:X55"/>
    <mergeCell ref="E122:K122"/>
    <mergeCell ref="N122:R122"/>
    <mergeCell ref="S122:W122"/>
    <mergeCell ref="X122:AA122"/>
    <mergeCell ref="N130:R130"/>
    <mergeCell ref="S130:W130"/>
    <mergeCell ref="X130:AA130"/>
    <mergeCell ref="E131:K131"/>
    <mergeCell ref="N131:R131"/>
    <mergeCell ref="S131:W131"/>
    <mergeCell ref="X131:AA131"/>
  </mergeCells>
  <phoneticPr fontId="1"/>
  <dataValidations count="4">
    <dataValidation type="list" allowBlank="1" showInputMessage="1" showErrorMessage="1" sqref="AF43">
      <formula1>"歩掛-2,歩掛-3"</formula1>
    </dataValidation>
    <dataValidation type="list" allowBlank="1" showInputMessage="1" showErrorMessage="1" sqref="AF42">
      <formula1>"単価-2,単価-3,単価-4"</formula1>
    </dataValidation>
    <dataValidation type="list" allowBlank="1" showInputMessage="1" showErrorMessage="1" sqref="AK46:AM46">
      <formula1>"単価-1,単価-2,単価-3,単価-4"</formula1>
    </dataValidation>
    <dataValidation type="list" allowBlank="1" showInputMessage="1" showErrorMessage="1" sqref="AF40">
      <formula1>"表示,非表示"</formula1>
    </dataValidation>
  </dataValidations>
  <hyperlinks>
    <hyperlink ref="AC4" location="Top!A48" display="TopPage"/>
    <hyperlink ref="AC5" location="Help!B503" display="Help"/>
  </hyperlinks>
  <pageMargins left="0.59055118110236227" right="0.59055118110236227" top="0.59055118110236227" bottom="0.55118110236220474" header="0.31496062992125984" footer="0.31496062992125984"/>
  <pageSetup paperSize="9" scale="98" fitToHeight="0" orientation="portrait" r:id="rId1"/>
  <rowBreaks count="2" manualBreakCount="2">
    <brk id="50" min="1" max="26" man="1"/>
    <brk id="99" min="1" max="26" man="1"/>
  </rowBreaks>
  <colBreaks count="1" manualBreakCount="1">
    <brk id="27" min="1" max="24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C223"/>
  <sheetViews>
    <sheetView view="pageBreakPreview" zoomScale="140" zoomScaleNormal="100" zoomScaleSheetLayoutView="140" workbookViewId="0"/>
  </sheetViews>
  <sheetFormatPr defaultRowHeight="14.25"/>
  <cols>
    <col min="1" max="29" width="1.42578125" style="912" customWidth="1"/>
    <col min="30" max="54" width="1.5703125" style="912" customWidth="1"/>
    <col min="55" max="72" width="1.42578125" style="912" customWidth="1"/>
    <col min="73" max="73" width="1.7109375" style="912" customWidth="1"/>
    <col min="74" max="74" width="3.7109375" style="912" customWidth="1"/>
    <col min="75" max="95" width="3.7109375" style="912" hidden="1" customWidth="1"/>
    <col min="96" max="97" width="3.7109375" style="912" customWidth="1"/>
    <col min="98" max="98" width="2.85546875" style="912" customWidth="1"/>
    <col min="99" max="100" width="3.5703125" style="912" customWidth="1"/>
    <col min="101" max="128" width="2.85546875" style="912" customWidth="1"/>
    <col min="129" max="16384" width="9.140625" style="912"/>
  </cols>
  <sheetData>
    <row r="1" spans="1:107" ht="12" customHeight="1">
      <c r="A1" s="1272"/>
      <c r="Y1" s="948" t="e">
        <f>IF(#REF!=0,"このコンピュータの ''日付'' を正しくセットして下さい","")</f>
        <v>#REF!</v>
      </c>
      <c r="BX1" s="2874" t="s">
        <v>2943</v>
      </c>
      <c r="BY1" s="2875"/>
      <c r="BZ1" s="2875"/>
      <c r="CA1" s="2875"/>
      <c r="CB1" s="2876"/>
      <c r="CC1" s="2877" t="s">
        <v>2942</v>
      </c>
      <c r="CD1" s="2877"/>
      <c r="CE1" s="2877"/>
      <c r="CF1" s="2877"/>
      <c r="CG1" s="2877"/>
      <c r="CH1" s="2874" t="s">
        <v>2941</v>
      </c>
      <c r="CI1" s="2875"/>
      <c r="CJ1" s="2875"/>
      <c r="CK1" s="2875"/>
      <c r="CL1" s="2876"/>
      <c r="CM1" s="2874" t="s">
        <v>2940</v>
      </c>
      <c r="CN1" s="2875"/>
      <c r="CO1" s="2875"/>
      <c r="CP1" s="2875"/>
      <c r="CQ1" s="2876"/>
    </row>
    <row r="2" spans="1:107" ht="7.5" customHeight="1" thickBot="1">
      <c r="B2" s="1048">
        <v>1</v>
      </c>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5"/>
      <c r="AM2" s="975"/>
      <c r="AN2" s="975"/>
      <c r="AO2" s="1271"/>
      <c r="AP2" s="1271"/>
      <c r="AQ2" s="1271"/>
      <c r="AR2" s="1271"/>
      <c r="AS2" s="1271"/>
      <c r="AT2" s="1271"/>
      <c r="AU2" s="1271"/>
      <c r="AV2" s="1271"/>
      <c r="AW2" s="1271"/>
      <c r="AX2" s="1271"/>
      <c r="AY2" s="1271"/>
      <c r="AZ2" s="1271"/>
      <c r="BA2" s="975"/>
      <c r="BB2" s="975"/>
      <c r="BC2" s="975"/>
      <c r="BD2" s="975"/>
      <c r="BE2" s="975"/>
      <c r="BF2" s="975"/>
      <c r="BG2" s="975"/>
      <c r="BH2" s="975"/>
      <c r="BI2" s="975"/>
      <c r="BJ2" s="975"/>
      <c r="BK2" s="975"/>
      <c r="BL2" s="975"/>
      <c r="BM2" s="975"/>
      <c r="BN2" s="975"/>
      <c r="BO2" s="975"/>
      <c r="BP2" s="975"/>
      <c r="BQ2" s="975"/>
      <c r="BR2" s="975"/>
      <c r="BS2" s="975"/>
      <c r="BT2" s="975"/>
      <c r="BU2" s="974"/>
      <c r="BV2" s="936"/>
      <c r="BW2" s="941"/>
      <c r="BX2" s="1270" t="s">
        <v>2962</v>
      </c>
      <c r="BY2" s="1269" t="s">
        <v>2961</v>
      </c>
      <c r="BZ2" s="1268" t="s">
        <v>2960</v>
      </c>
      <c r="CA2" s="1268" t="s">
        <v>2959</v>
      </c>
      <c r="CB2" s="1267" t="s">
        <v>2958</v>
      </c>
      <c r="CC2" s="1270" t="s">
        <v>2962</v>
      </c>
      <c r="CD2" s="1269" t="s">
        <v>2961</v>
      </c>
      <c r="CE2" s="1268" t="s">
        <v>2960</v>
      </c>
      <c r="CF2" s="1268" t="s">
        <v>2959</v>
      </c>
      <c r="CG2" s="1267" t="s">
        <v>2958</v>
      </c>
      <c r="CH2" s="1270" t="s">
        <v>2962</v>
      </c>
      <c r="CI2" s="1269" t="s">
        <v>2961</v>
      </c>
      <c r="CJ2" s="1268" t="s">
        <v>2960</v>
      </c>
      <c r="CK2" s="1268" t="s">
        <v>2959</v>
      </c>
      <c r="CL2" s="1267" t="s">
        <v>2958</v>
      </c>
      <c r="CM2" s="1270" t="s">
        <v>2962</v>
      </c>
      <c r="CN2" s="1269" t="s">
        <v>2961</v>
      </c>
      <c r="CO2" s="1268" t="s">
        <v>2960</v>
      </c>
      <c r="CP2" s="1268" t="s">
        <v>2959</v>
      </c>
      <c r="CQ2" s="1267" t="s">
        <v>2958</v>
      </c>
      <c r="CU2" s="1082"/>
      <c r="CV2" s="1051"/>
      <c r="CW2" s="1266"/>
      <c r="CX2" s="1266"/>
      <c r="CY2" s="936"/>
      <c r="CZ2" s="1051"/>
      <c r="DA2" s="942"/>
      <c r="DB2" s="936"/>
      <c r="DC2" s="936"/>
    </row>
    <row r="3" spans="1:107" ht="6" customHeight="1" thickBot="1">
      <c r="B3" s="3108">
        <f>Top!$G$86</f>
        <v>1</v>
      </c>
      <c r="C3" s="3109"/>
      <c r="D3" s="3109"/>
      <c r="E3" s="3112" t="str">
        <f>IF(B2=0,"",Top!$L$86)</f>
        <v xml:space="preserve"> 引込工事</v>
      </c>
      <c r="F3" s="3113"/>
      <c r="G3" s="3113"/>
      <c r="H3" s="3113"/>
      <c r="I3" s="3113"/>
      <c r="J3" s="3113"/>
      <c r="K3" s="3113"/>
      <c r="L3" s="3113"/>
      <c r="M3" s="3113"/>
      <c r="N3" s="3113"/>
      <c r="O3" s="3113"/>
      <c r="P3" s="3113"/>
      <c r="Q3" s="3113"/>
      <c r="R3" s="3113"/>
      <c r="S3" s="3113"/>
      <c r="T3" s="3113"/>
      <c r="U3" s="3113"/>
      <c r="V3" s="3113"/>
      <c r="W3" s="3113"/>
      <c r="X3" s="1043"/>
      <c r="Y3" s="3038" t="s">
        <v>2957</v>
      </c>
      <c r="Z3" s="3039"/>
      <c r="AA3" s="3039"/>
      <c r="AB3" s="3039"/>
      <c r="AC3" s="3040"/>
      <c r="AD3" s="925"/>
      <c r="AE3" s="3044" t="str">
        <f>IF(Y7="L","低圧受電","受変電設備工事")</f>
        <v>受変電設備工事</v>
      </c>
      <c r="AF3" s="3045"/>
      <c r="AG3" s="3045"/>
      <c r="AH3" s="3045"/>
      <c r="AI3" s="3045"/>
      <c r="AJ3" s="3045"/>
      <c r="AK3" s="3045"/>
      <c r="AL3" s="3045"/>
      <c r="AM3" s="3046"/>
      <c r="AN3" s="925"/>
      <c r="AO3" s="3050" t="s">
        <v>2956</v>
      </c>
      <c r="AP3" s="3051"/>
      <c r="AQ3" s="3051"/>
      <c r="AR3" s="3051"/>
      <c r="AS3" s="3052"/>
      <c r="AT3" s="925"/>
      <c r="AU3" s="3056" t="s">
        <v>2955</v>
      </c>
      <c r="AV3" s="3057"/>
      <c r="AW3" s="3057"/>
      <c r="AX3" s="3058"/>
      <c r="AY3" s="1253"/>
      <c r="AZ3" s="1253"/>
      <c r="BA3" s="925"/>
      <c r="BB3" s="925"/>
      <c r="BC3" s="3080"/>
      <c r="BD3" s="3081"/>
      <c r="BE3" s="1265"/>
      <c r="BF3" s="1265"/>
      <c r="BG3" s="1264"/>
      <c r="BH3" s="1264"/>
      <c r="BI3" s="1264"/>
      <c r="BJ3" s="3084" t="s">
        <v>2952</v>
      </c>
      <c r="BK3" s="1263"/>
      <c r="BL3" s="1262"/>
      <c r="BM3" s="1262"/>
      <c r="BN3" s="1262"/>
      <c r="BO3" s="1262"/>
      <c r="BP3" s="1262"/>
      <c r="BQ3" s="1262"/>
      <c r="BR3" s="1262"/>
      <c r="BS3" s="3101" t="s">
        <v>2954</v>
      </c>
      <c r="BT3" s="1261" t="s">
        <v>2953</v>
      </c>
      <c r="BU3" s="924"/>
      <c r="BV3" s="936"/>
      <c r="BW3" s="941" t="s">
        <v>2952</v>
      </c>
      <c r="BX3" s="1256">
        <f>IF(B2=0,"",5+AJ7+3*CA3+5)</f>
        <v>81</v>
      </c>
      <c r="BY3" s="1257" t="s">
        <v>2947</v>
      </c>
      <c r="BZ3" s="1093">
        <f>IF(I11="","",3+AJ7+3+3*CA3)</f>
        <v>77</v>
      </c>
      <c r="CA3" s="1089">
        <f>INT(AJ7/40)+1</f>
        <v>2</v>
      </c>
      <c r="CB3" s="1196" t="s">
        <v>2947</v>
      </c>
      <c r="CC3" s="1256">
        <f>IF(I11="","",IF(AND(CA15="地",CB15="架"),3+AJ7+3*CF3+3,3+2*VALUE(MID(S11,4,2))-AC12+AJ7+3*CF3+3))</f>
        <v>95.3</v>
      </c>
      <c r="CD3" s="1093">
        <f>IF(AND(CA15="地",CB15="架"),2*(MID(S11,4,2))-AC12,0)</f>
        <v>0</v>
      </c>
      <c r="CE3" s="1093">
        <f>IF(I11="","",3+3)</f>
        <v>6</v>
      </c>
      <c r="CF3" s="1089">
        <v>2</v>
      </c>
      <c r="CG3" s="1250">
        <f>(INT(AJ7/40)+1)</f>
        <v>2</v>
      </c>
      <c r="CH3" s="1256">
        <f>IF(I11="","",2*VALUE(MID(S11,4,2))-AC12+AJ7+3*CK3+5)</f>
        <v>94.3</v>
      </c>
      <c r="CI3" s="1093">
        <f>MID(S11,4,2)-AC12</f>
        <v>8.3000000000000007</v>
      </c>
      <c r="CJ3" s="1093">
        <f>IF(I11="","",3+AJ7+3+3*CK3)</f>
        <v>77</v>
      </c>
      <c r="CK3" s="1089">
        <f>INT(AJ7/40)+1</f>
        <v>2</v>
      </c>
      <c r="CL3" s="1250">
        <v>1</v>
      </c>
      <c r="CM3" s="1256">
        <f>IF(I11="","",2*VALUE(MID(S11,4,2))-AC12+AJ7+3*CK3+5)</f>
        <v>94.3</v>
      </c>
      <c r="CN3" s="1093">
        <f>MID(S11,4,2)-AC12</f>
        <v>8.3000000000000007</v>
      </c>
      <c r="CO3" s="1093">
        <f>IF(I11="","",3+3)</f>
        <v>6</v>
      </c>
      <c r="CP3" s="1089">
        <v>2</v>
      </c>
      <c r="CQ3" s="1250">
        <f>(INT(AJ7/40)+1)</f>
        <v>2</v>
      </c>
      <c r="CU3" s="1082"/>
      <c r="CV3" s="1051"/>
      <c r="CW3" s="936"/>
      <c r="CX3" s="936"/>
      <c r="CY3" s="936"/>
      <c r="CZ3" s="1051"/>
      <c r="DA3" s="942"/>
      <c r="DB3" s="936"/>
      <c r="DC3" s="936"/>
    </row>
    <row r="4" spans="1:107" ht="6" customHeight="1" thickBot="1">
      <c r="B4" s="3110"/>
      <c r="C4" s="3111"/>
      <c r="D4" s="3111"/>
      <c r="E4" s="3114"/>
      <c r="F4" s="3115"/>
      <c r="G4" s="3115"/>
      <c r="H4" s="3115"/>
      <c r="I4" s="3115"/>
      <c r="J4" s="3115"/>
      <c r="K4" s="3115"/>
      <c r="L4" s="3115"/>
      <c r="M4" s="3115"/>
      <c r="N4" s="3115"/>
      <c r="O4" s="3115"/>
      <c r="P4" s="3115"/>
      <c r="Q4" s="3115"/>
      <c r="R4" s="3115"/>
      <c r="S4" s="3115"/>
      <c r="T4" s="3115"/>
      <c r="U4" s="3115"/>
      <c r="V4" s="3115"/>
      <c r="W4" s="3115"/>
      <c r="X4" s="1043"/>
      <c r="Y4" s="3041"/>
      <c r="Z4" s="3042"/>
      <c r="AA4" s="3042"/>
      <c r="AB4" s="3042"/>
      <c r="AC4" s="3043"/>
      <c r="AD4" s="925"/>
      <c r="AE4" s="3047"/>
      <c r="AF4" s="3048"/>
      <c r="AG4" s="3048"/>
      <c r="AH4" s="3048"/>
      <c r="AI4" s="3048"/>
      <c r="AJ4" s="3048"/>
      <c r="AK4" s="3048"/>
      <c r="AL4" s="3048"/>
      <c r="AM4" s="3049"/>
      <c r="AN4" s="925"/>
      <c r="AO4" s="3053"/>
      <c r="AP4" s="3054"/>
      <c r="AQ4" s="3054"/>
      <c r="AR4" s="3054"/>
      <c r="AS4" s="3055"/>
      <c r="AT4" s="925"/>
      <c r="AU4" s="3059"/>
      <c r="AV4" s="3060"/>
      <c r="AW4" s="3060"/>
      <c r="AX4" s="3061"/>
      <c r="AY4" s="1253"/>
      <c r="AZ4" s="1253"/>
      <c r="BA4" s="925"/>
      <c r="BB4" s="925"/>
      <c r="BC4" s="3082"/>
      <c r="BD4" s="3083"/>
      <c r="BE4" s="1260"/>
      <c r="BF4" s="1260"/>
      <c r="BG4" s="1155"/>
      <c r="BH4" s="1155"/>
      <c r="BI4" s="1235"/>
      <c r="BJ4" s="3085"/>
      <c r="BK4" s="1259"/>
      <c r="BL4" s="1155"/>
      <c r="BM4" s="1155"/>
      <c r="BN4" s="1155"/>
      <c r="BO4" s="1155"/>
      <c r="BP4" s="1155"/>
      <c r="BQ4" s="1155"/>
      <c r="BR4" s="1155"/>
      <c r="BS4" s="3102"/>
      <c r="BT4" s="1258"/>
      <c r="BU4" s="924"/>
      <c r="BV4" s="936"/>
      <c r="BW4" s="941" t="s">
        <v>2944</v>
      </c>
      <c r="BX4" s="1256">
        <f>IF(I11="","",5+AJ7+AP7+3*(CA4-CA3)+5)</f>
        <v>82</v>
      </c>
      <c r="BY4" s="1257" t="s">
        <v>2947</v>
      </c>
      <c r="BZ4" s="1093">
        <f>IF(I11="","",3+AJ7+AP7+3+3*(CA4-CA3))</f>
        <v>78</v>
      </c>
      <c r="CA4" s="1089">
        <f>CA3+INT(AP7/40)+1</f>
        <v>3</v>
      </c>
      <c r="CB4" s="1196" t="s">
        <v>2947</v>
      </c>
      <c r="CC4" s="1256">
        <f>IF(I11="","",3+AJ7+AP7+3*CF4+3)</f>
        <v>81</v>
      </c>
      <c r="CD4" s="1093">
        <f>CD3</f>
        <v>0</v>
      </c>
      <c r="CE4" s="1093">
        <f>CE3</f>
        <v>6</v>
      </c>
      <c r="CF4" s="1089">
        <v>2</v>
      </c>
      <c r="CG4" s="1255">
        <f>(CA3+INT(AP7/40)+1)</f>
        <v>3</v>
      </c>
      <c r="CH4" s="1256">
        <f>IF(I11="","",2*VALUE(MID(S11,4,2))-AC12+AJ7+AP7+3*(CK4-CK3)+5)</f>
        <v>95.3</v>
      </c>
      <c r="CI4" s="1093">
        <f>CI3</f>
        <v>8.3000000000000007</v>
      </c>
      <c r="CJ4" s="1093">
        <f>IF(I11="","",3+AJ7+AP7+3+3*(CK4-CK3))</f>
        <v>78</v>
      </c>
      <c r="CK4" s="1089">
        <f>CA3+INT(AP7/40)+1</f>
        <v>3</v>
      </c>
      <c r="CL4" s="1255">
        <f>CL3</f>
        <v>1</v>
      </c>
      <c r="CM4" s="1256">
        <f>IF(I11="","",2*VALUE(MID(S11,4,2))-AC12+AJ7+AP7+3*(CK4-CK3)+5)</f>
        <v>95.3</v>
      </c>
      <c r="CN4" s="1093">
        <f>CN3</f>
        <v>8.3000000000000007</v>
      </c>
      <c r="CO4" s="1093">
        <f>CO3</f>
        <v>6</v>
      </c>
      <c r="CP4" s="1089">
        <v>2</v>
      </c>
      <c r="CQ4" s="1255">
        <f>CG4</f>
        <v>3</v>
      </c>
      <c r="CU4" s="1082"/>
      <c r="CV4" s="1051"/>
      <c r="CW4" s="936"/>
      <c r="CX4" s="936"/>
      <c r="CY4" s="936"/>
      <c r="CZ4" s="1051"/>
      <c r="DA4" s="942"/>
      <c r="DB4" s="936"/>
      <c r="DC4" s="936"/>
    </row>
    <row r="5" spans="1:107" ht="6" customHeight="1">
      <c r="B5" s="1254"/>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925"/>
      <c r="AK5" s="925"/>
      <c r="AL5" s="925"/>
      <c r="AM5" s="925"/>
      <c r="AN5" s="925"/>
      <c r="AO5" s="1253"/>
      <c r="AP5" s="1253"/>
      <c r="AQ5" s="1253"/>
      <c r="AR5" s="1253"/>
      <c r="AS5" s="1253"/>
      <c r="AT5" s="1253"/>
      <c r="AU5" s="1253"/>
      <c r="AV5" s="1253"/>
      <c r="AW5" s="1253"/>
      <c r="AX5" s="1253"/>
      <c r="AY5" s="1253"/>
      <c r="AZ5" s="1253"/>
      <c r="BA5" s="925"/>
      <c r="BB5" s="925"/>
      <c r="BC5" s="3103" t="s">
        <v>2951</v>
      </c>
      <c r="BD5" s="3105" t="str">
        <f>IF(B2=0,"","X="&amp;AA9&amp;"m")</f>
        <v>X=3m</v>
      </c>
      <c r="BE5" s="3105"/>
      <c r="BF5" s="3105"/>
      <c r="BG5" s="3105"/>
      <c r="BH5" s="3105"/>
      <c r="BI5" s="1235"/>
      <c r="BJ5" s="1252"/>
      <c r="BK5" s="1252"/>
      <c r="BL5" s="1155"/>
      <c r="BM5" s="1155"/>
      <c r="BN5" s="1155"/>
      <c r="BO5" s="1155"/>
      <c r="BP5" s="1155"/>
      <c r="BQ5" s="3106" t="s">
        <v>2950</v>
      </c>
      <c r="BR5" s="3106"/>
      <c r="BS5" s="3106"/>
      <c r="BT5" s="3107"/>
      <c r="BU5" s="924"/>
      <c r="BV5" s="936"/>
      <c r="BW5" s="941" t="s">
        <v>2949</v>
      </c>
      <c r="BX5" s="1251">
        <f>IF(I11="","",5+AJ7+AP7+BY15+VLOOKUP(BW17,カイダカ,6,FALSE)+3*CA5+5)</f>
        <v>152.80000000000001</v>
      </c>
      <c r="BY5" s="1165">
        <f>VLOOKUP(BW17,カイダカ,6,FALSE)</f>
        <v>0</v>
      </c>
      <c r="BZ5" s="1093">
        <f>IF(I11="","",3+AJ7+AP7+BY15+3*CA5)</f>
        <v>145.80000000000001</v>
      </c>
      <c r="CA5" s="1089">
        <f>CA4</f>
        <v>3</v>
      </c>
      <c r="CB5" s="1196" t="s">
        <v>2947</v>
      </c>
      <c r="CC5" s="1251">
        <f>IF(I11="","",5+AJ7+AP7+BY15+VLOOKUP(BW17,カイダカ,6,FALSE)+3*CF5+5)</f>
        <v>149.80000000000001</v>
      </c>
      <c r="CD5" s="990">
        <f>VLOOKUP(BW17,カイダカ,6,FALSE)+CD3</f>
        <v>0</v>
      </c>
      <c r="CE5" s="1093">
        <f>IF(I11="","",3+BY15+3)</f>
        <v>70.8</v>
      </c>
      <c r="CF5" s="1089">
        <v>2</v>
      </c>
      <c r="CG5" s="1250">
        <f>CG4</f>
        <v>3</v>
      </c>
      <c r="CH5" s="1251">
        <f>IF(I11="","",5+AJ7+AP7+BY15+VLOOKUP(BW17,カイダカ,6,FALSE)+3*CK5+5)</f>
        <v>152.80000000000001</v>
      </c>
      <c r="CI5" s="1093">
        <f>CI3</f>
        <v>8.3000000000000007</v>
      </c>
      <c r="CJ5" s="1093">
        <f>IF(I11="","",3+AJ7+AP7+BY15+3+3*CK5)</f>
        <v>148.80000000000001</v>
      </c>
      <c r="CK5" s="1089">
        <f>CK4</f>
        <v>3</v>
      </c>
      <c r="CL5" s="1250">
        <f>CL3</f>
        <v>1</v>
      </c>
      <c r="CM5" s="1249">
        <f>IF(I11="","",5+AJ7+AP7+BY15+VLOOKUP(BW17,カイダカ,6,FALSE)+3*CF5+5)</f>
        <v>149.80000000000001</v>
      </c>
      <c r="CN5" s="990">
        <f>VLOOKUP(BW17,カイダカ,6,FALSE)+CD3</f>
        <v>0</v>
      </c>
      <c r="CO5" s="1093">
        <f>IF(I11="","",3+BY15+3)</f>
        <v>70.8</v>
      </c>
      <c r="CP5" s="1089">
        <v>2</v>
      </c>
      <c r="CQ5" s="1250">
        <f>CQ4</f>
        <v>3</v>
      </c>
      <c r="CU5" s="1082"/>
      <c r="CV5" s="1051"/>
      <c r="CW5" s="936"/>
      <c r="CX5" s="936"/>
      <c r="CY5" s="936"/>
      <c r="CZ5" s="1051"/>
      <c r="DA5" s="942"/>
      <c r="DB5" s="936"/>
      <c r="DC5" s="936"/>
    </row>
    <row r="6" spans="1:107" ht="6" customHeight="1">
      <c r="B6" s="927"/>
      <c r="C6" s="1153"/>
      <c r="D6" s="1153"/>
      <c r="E6" s="1152"/>
      <c r="F6" s="1152"/>
      <c r="G6" s="1152"/>
      <c r="H6" s="1152"/>
      <c r="I6" s="1152"/>
      <c r="J6" s="1152"/>
      <c r="K6" s="1152"/>
      <c r="L6" s="1152"/>
      <c r="M6" s="1152"/>
      <c r="N6" s="1152"/>
      <c r="O6" s="1152"/>
      <c r="P6" s="1152"/>
      <c r="Q6" s="1152"/>
      <c r="R6" s="1152"/>
      <c r="S6" s="1152"/>
      <c r="T6" s="1152"/>
      <c r="U6" s="1152"/>
      <c r="V6" s="1152"/>
      <c r="W6" s="1152"/>
      <c r="X6" s="1152"/>
      <c r="Y6" s="1152"/>
      <c r="Z6" s="1152"/>
      <c r="AA6" s="1152"/>
      <c r="AB6" s="1152"/>
      <c r="AC6" s="1152"/>
      <c r="AD6" s="1152"/>
      <c r="AE6" s="1152"/>
      <c r="AF6" s="1152"/>
      <c r="AG6" s="1152"/>
      <c r="AH6" s="1152"/>
      <c r="AI6" s="1152"/>
      <c r="AJ6" s="1152"/>
      <c r="AK6" s="1152"/>
      <c r="AL6" s="1152"/>
      <c r="AM6" s="1152"/>
      <c r="AN6" s="1152"/>
      <c r="AO6" s="1152"/>
      <c r="AP6" s="1152"/>
      <c r="AQ6" s="1152"/>
      <c r="AR6" s="1152"/>
      <c r="AS6" s="1152"/>
      <c r="AT6" s="1152"/>
      <c r="AU6" s="1152"/>
      <c r="AV6" s="1152"/>
      <c r="AW6" s="1152"/>
      <c r="AX6" s="1152"/>
      <c r="AY6" s="1152"/>
      <c r="AZ6" s="925"/>
      <c r="BA6" s="938"/>
      <c r="BB6" s="938"/>
      <c r="BC6" s="3104"/>
      <c r="BD6" s="3105"/>
      <c r="BE6" s="3105"/>
      <c r="BF6" s="3105"/>
      <c r="BG6" s="3105"/>
      <c r="BH6" s="3105"/>
      <c r="BI6" s="1235"/>
      <c r="BJ6" s="1155"/>
      <c r="BK6" s="1155"/>
      <c r="BL6" s="1155"/>
      <c r="BM6" s="1155"/>
      <c r="BN6" s="1155"/>
      <c r="BO6" s="1155"/>
      <c r="BP6" s="1155"/>
      <c r="BQ6" s="3106"/>
      <c r="BR6" s="3106"/>
      <c r="BS6" s="3106"/>
      <c r="BT6" s="3107"/>
      <c r="BU6" s="924"/>
      <c r="BV6" s="936"/>
      <c r="BW6" s="1250" t="s">
        <v>2948</v>
      </c>
      <c r="BX6" s="1249">
        <f>IF(I11="","",5+AJ7+AP7+BY15+VLOOKUP(BW17,カイダカ,7,FALSE)+3*CA6+5)</f>
        <v>152.80000000000001</v>
      </c>
      <c r="BY6" s="1248">
        <f>BY5</f>
        <v>0</v>
      </c>
      <c r="BZ6" s="1247">
        <f>IF(I11="","",3+AJ7+AP7+BY15+3+3*CA6)</f>
        <v>148.80000000000001</v>
      </c>
      <c r="CA6" s="941">
        <f>CA4</f>
        <v>3</v>
      </c>
      <c r="CB6" s="1246" t="s">
        <v>2947</v>
      </c>
      <c r="CC6" s="1245">
        <f>IF(I11="","",5+AJ7+AP7+BY15+VLOOKUP(BW17,カイダカ,7,FALSE)+3*CF5+5)</f>
        <v>149.80000000000001</v>
      </c>
      <c r="CD6" s="1086">
        <f>CD5</f>
        <v>0</v>
      </c>
      <c r="CE6" s="1086">
        <f>CE5</f>
        <v>70.8</v>
      </c>
      <c r="CF6" s="1240">
        <v>2</v>
      </c>
      <c r="CG6" s="1244">
        <f>CG4</f>
        <v>3</v>
      </c>
      <c r="CH6" s="1169">
        <f>IF(I11="","",5+AJ7+AP7+BY15+VLOOKUP(BW17,カイダカ,7,FALSE)+3*CK6+5)</f>
        <v>152.80000000000001</v>
      </c>
      <c r="CI6" s="1086">
        <f>CI3</f>
        <v>8.3000000000000007</v>
      </c>
      <c r="CJ6" s="1086">
        <f>IF(I11="","",3+AJ7+AP7+BY15+3+3*CK6)</f>
        <v>148.80000000000001</v>
      </c>
      <c r="CK6" s="1243">
        <f>CK5</f>
        <v>3</v>
      </c>
      <c r="CL6" s="1242">
        <f>CL3</f>
        <v>1</v>
      </c>
      <c r="CM6" s="1241">
        <f>IF(I11="","",5+AJ7+AP7+BY15+VLOOKUP(BW17,カイダカ,7,FALSE)+3*CF5+5)</f>
        <v>149.80000000000001</v>
      </c>
      <c r="CN6" s="1086">
        <f>CN5</f>
        <v>0</v>
      </c>
      <c r="CO6" s="1086">
        <f>CO5</f>
        <v>70.8</v>
      </c>
      <c r="CP6" s="1240">
        <v>2</v>
      </c>
      <c r="CQ6" s="1239">
        <f>CQ4</f>
        <v>3</v>
      </c>
      <c r="CU6" s="1082"/>
      <c r="CV6" s="1051"/>
      <c r="CW6" s="936"/>
      <c r="CX6" s="936"/>
      <c r="CY6" s="936"/>
      <c r="CZ6" s="1051"/>
      <c r="DA6" s="942"/>
      <c r="DB6" s="936"/>
      <c r="DC6" s="936"/>
    </row>
    <row r="7" spans="1:107" ht="10.5" customHeight="1">
      <c r="B7" s="1091"/>
      <c r="C7" s="1153"/>
      <c r="D7" s="3093" t="str">
        <f>IF(OR(B2=0,X7="L"),"",IF(O7&lt;&gt;"",O7,"D1 屋上キュービクル"))</f>
        <v>D2 屋内電気室</v>
      </c>
      <c r="E7" s="3094"/>
      <c r="F7" s="3094"/>
      <c r="G7" s="3094"/>
      <c r="H7" s="3094"/>
      <c r="I7" s="3094"/>
      <c r="J7" s="3094"/>
      <c r="K7" s="3094"/>
      <c r="L7" s="3094"/>
      <c r="M7" s="3095"/>
      <c r="N7" s="928" t="s">
        <v>2674</v>
      </c>
      <c r="O7" s="2771" t="s">
        <v>2946</v>
      </c>
      <c r="P7" s="2772"/>
      <c r="Q7" s="2772"/>
      <c r="R7" s="2772"/>
      <c r="S7" s="2772"/>
      <c r="T7" s="2772"/>
      <c r="U7" s="2772"/>
      <c r="V7" s="2772"/>
      <c r="W7" s="3096"/>
      <c r="X7" s="1163" t="s">
        <v>2945</v>
      </c>
      <c r="Y7" s="3097" t="str">
        <f>IF(B2=0,"","平面距離[m]")</f>
        <v>平面距離[m]</v>
      </c>
      <c r="Z7" s="3098"/>
      <c r="AA7" s="3098"/>
      <c r="AB7" s="3099"/>
      <c r="AC7" s="3099"/>
      <c r="AD7" s="3099"/>
      <c r="AE7" s="3099"/>
      <c r="AF7" s="3100"/>
      <c r="AG7" s="2881" t="str">
        <f>IF(B2=0,"","A～B")</f>
        <v>A～B</v>
      </c>
      <c r="AH7" s="2881"/>
      <c r="AI7" s="2881"/>
      <c r="AJ7" s="2878">
        <f>IF(B2=0,"",INT(SQRT(Top!$Q$18*BR16)-AA9-(SQRT(Top!$O$130*BI16)/2)))</f>
        <v>65</v>
      </c>
      <c r="AK7" s="2879"/>
      <c r="AL7" s="2865"/>
      <c r="AM7" s="2880" t="str">
        <f>IF(B2=0,"","B～C")</f>
        <v>B～C</v>
      </c>
      <c r="AN7" s="2880"/>
      <c r="AO7" s="2881"/>
      <c r="AP7" s="2879">
        <f>IF(B2=0,"",INT(SQRT(Top!$Q$18/BR16)-AJ9-SQRT(Top!$O$130/BI16)))</f>
        <v>4</v>
      </c>
      <c r="AQ7" s="2879"/>
      <c r="AR7" s="2879"/>
      <c r="AS7" s="2881" t="str">
        <f>IF(B2=0,"","C～D")</f>
        <v>C～D</v>
      </c>
      <c r="AT7" s="2881"/>
      <c r="AU7" s="2881"/>
      <c r="AV7" s="2865">
        <f>IF(B2=0,"",BY15)</f>
        <v>64.8</v>
      </c>
      <c r="AW7" s="2865"/>
      <c r="AX7" s="2865"/>
      <c r="AY7" s="1238"/>
      <c r="AZ7" s="925"/>
      <c r="BA7" s="1237"/>
      <c r="BB7" s="1237"/>
      <c r="BC7" s="1236"/>
      <c r="BD7" s="2868" t="str">
        <f>IF(B2=0,"","Y="&amp;AJ9&amp;"m")</f>
        <v>Y=3m</v>
      </c>
      <c r="BE7" s="2869"/>
      <c r="BF7" s="2869"/>
      <c r="BG7" s="2869"/>
      <c r="BH7" s="2869"/>
      <c r="BI7" s="1235"/>
      <c r="BJ7" s="2870" t="s">
        <v>2944</v>
      </c>
      <c r="BK7" s="1224"/>
      <c r="BL7" s="2882" t="str">
        <f>IF(B2=0,"",LEFT(D7,2))</f>
        <v>D2</v>
      </c>
      <c r="BM7" s="2882"/>
      <c r="BN7" s="2866" t="str">
        <f>IF(BL7="","","変電設備位置")</f>
        <v>変電設備位置</v>
      </c>
      <c r="BO7" s="2866"/>
      <c r="BP7" s="2866"/>
      <c r="BQ7" s="2866"/>
      <c r="BR7" s="2866"/>
      <c r="BS7" s="2866"/>
      <c r="BT7" s="2867"/>
      <c r="BU7" s="924"/>
      <c r="BV7" s="936"/>
      <c r="BW7" s="1234"/>
      <c r="BX7" s="2863" t="s">
        <v>2943</v>
      </c>
      <c r="BY7" s="2864"/>
      <c r="BZ7" s="2864"/>
      <c r="CA7" s="2864"/>
      <c r="CB7" s="1233"/>
      <c r="CC7" s="2863" t="s">
        <v>2942</v>
      </c>
      <c r="CD7" s="2864"/>
      <c r="CE7" s="2864"/>
      <c r="CF7" s="2864"/>
      <c r="CG7" s="1232"/>
      <c r="CH7" s="2863" t="s">
        <v>2941</v>
      </c>
      <c r="CI7" s="2864"/>
      <c r="CJ7" s="2864"/>
      <c r="CK7" s="2864"/>
      <c r="CL7" s="1232"/>
      <c r="CM7" s="2863" t="s">
        <v>2940</v>
      </c>
      <c r="CN7" s="2864"/>
      <c r="CO7" s="2864"/>
      <c r="CP7" s="2864"/>
      <c r="CQ7" s="1231"/>
      <c r="CR7" s="2862"/>
      <c r="CS7" s="2862"/>
      <c r="CT7" s="2862"/>
      <c r="CU7" s="2862"/>
      <c r="CV7" s="1051"/>
      <c r="CW7" s="936"/>
      <c r="CX7" s="936"/>
      <c r="CY7" s="936"/>
      <c r="CZ7" s="1051"/>
      <c r="DA7" s="942"/>
      <c r="DB7" s="936"/>
      <c r="DC7" s="936"/>
    </row>
    <row r="8" spans="1:107" ht="10.5" customHeight="1" thickBot="1">
      <c r="B8" s="1091"/>
      <c r="C8" s="1153"/>
      <c r="D8" s="3137" t="str">
        <f>IF(B2=0,"",IF(X7="L","低　圧　引　込",""))</f>
        <v/>
      </c>
      <c r="E8" s="3138"/>
      <c r="F8" s="3138"/>
      <c r="G8" s="3138"/>
      <c r="H8" s="3138"/>
      <c r="I8" s="3138"/>
      <c r="J8" s="3138"/>
      <c r="K8" s="3138"/>
      <c r="L8" s="3138"/>
      <c r="M8" s="3138"/>
      <c r="N8" s="3138"/>
      <c r="O8" s="2773" t="str">
        <f>IF(OR(B2=0,X7="L"),"",IF(T8&lt;&gt;"",T8,IF(OR(LEFT(D7,1)="B",LEFT(D7,1)="C"),"  1F",IF(LEFT(D7,2)="D1",[1]低幹!$AE$130:$AE$130,IF(LEFT(D7,2)="D2","  1F",IF(T8&lt;&gt;"",T8,""))))))</f>
        <v xml:space="preserve">  1F</v>
      </c>
      <c r="P8" s="2774"/>
      <c r="Q8" s="2774"/>
      <c r="R8" s="2774"/>
      <c r="S8" s="928" t="s">
        <v>2674</v>
      </c>
      <c r="T8" s="2771"/>
      <c r="U8" s="2772"/>
      <c r="V8" s="2772"/>
      <c r="W8" s="3096"/>
      <c r="X8" s="1230" t="str">
        <f>IF(AND(LEFT(D7,2)="D2",O8=""),"←設置階？","")</f>
        <v/>
      </c>
      <c r="Y8" s="3139">
        <f>IF(AND(BL7="B ",CA15="地",CB15="地"),BX3,IF(AND(BL7="C ",CA15="地",CB15="地"),BX4,IF(AND(BL7="D1",CA15="地",CB15="地"),BX5,IF(AND(BL7="D2",CA15="地",CB15="地"),BX6,IF(AND(BL7="B ",CA15="地",CB15="架"),CC3,IF(AND(BL7="C ",CA15="地",CB15="架"),CC4,IF(AND(BL7="D1",CA15="地",CB15="架"),CC5,IF(AND(BL7="D2",CA15="地",CB15="架"),CC6,IF(AND(BL7="B ",CA15="架",CB15="地"),CH3,IF(AND(BL7="C ",CA15="架",CB15="地"),CH4,IF(AND(BL7="D1",CA15="架",CB15="地"),CH5,IF(AND(BL7="D2",CA15="架",CB15="地"),CH6,IF(AND(BL7="B ",CA15="架",CB15="架"),CM3,IF(AND(BL7="C ",CA15="架",CB15="架"),CM4,IF(AND(BL7="D1",CA15="架",CB15="架"),CM5,IF(AND(BL7="D2",CA15="架",CB15="架"),CM6,""))))))))))))))))</f>
        <v>152.80000000000001</v>
      </c>
      <c r="Z8" s="3140"/>
      <c r="AA8" s="3140"/>
      <c r="AB8" s="3141"/>
      <c r="AC8" s="2884" t="str">
        <f>IF(Y8="","","引込点～変電設備")</f>
        <v>引込点～変電設備</v>
      </c>
      <c r="AD8" s="2885"/>
      <c r="AE8" s="2885"/>
      <c r="AF8" s="2885"/>
      <c r="AG8" s="2885"/>
      <c r="AH8" s="2885"/>
      <c r="AI8" s="2885"/>
      <c r="AJ8" s="2885"/>
      <c r="AK8" s="2886"/>
      <c r="AL8" s="3127">
        <f>IF(B2=0,"",IF(BL7="D1",VLOOKUP(BW17,カイダカ,6,FALSE)+BY17+10,IF(BL7="D2",VLOOKUP(BW17,カイダカ,7,FALSE)+BY17+10,10)))</f>
        <v>10</v>
      </c>
      <c r="AM8" s="3128"/>
      <c r="AN8" s="3128"/>
      <c r="AO8" s="3129"/>
      <c r="AP8" s="3124" t="str">
        <f>IF(AL8="","","変電設備～接地極")</f>
        <v>変電設備～接地極</v>
      </c>
      <c r="AQ8" s="3125"/>
      <c r="AR8" s="3125"/>
      <c r="AS8" s="3125"/>
      <c r="AT8" s="3125"/>
      <c r="AU8" s="3125"/>
      <c r="AV8" s="3125"/>
      <c r="AW8" s="3125"/>
      <c r="AX8" s="3126"/>
      <c r="AY8" s="1229"/>
      <c r="AZ8" s="925"/>
      <c r="BA8" s="925"/>
      <c r="BB8" s="925"/>
      <c r="BC8" s="1228"/>
      <c r="BD8" s="1227"/>
      <c r="BE8" s="1155"/>
      <c r="BF8" s="1155"/>
      <c r="BG8" s="1155"/>
      <c r="BH8" s="1226"/>
      <c r="BI8" s="1225"/>
      <c r="BJ8" s="2870"/>
      <c r="BK8" s="1224"/>
      <c r="BL8" s="2883"/>
      <c r="BM8" s="2883"/>
      <c r="BN8" s="2866"/>
      <c r="BO8" s="2866"/>
      <c r="BP8" s="2866"/>
      <c r="BQ8" s="2866"/>
      <c r="BR8" s="2866"/>
      <c r="BS8" s="2866"/>
      <c r="BT8" s="2867"/>
      <c r="BU8" s="924"/>
      <c r="BV8" s="936"/>
      <c r="BW8" s="941"/>
      <c r="BX8" s="1223" t="s">
        <v>2939</v>
      </c>
      <c r="BY8" s="1222" t="s">
        <v>2938</v>
      </c>
      <c r="BZ8" s="1221" t="s">
        <v>2937</v>
      </c>
      <c r="CA8" s="1220" t="s">
        <v>2936</v>
      </c>
      <c r="CB8" s="1219" t="s">
        <v>2935</v>
      </c>
      <c r="CC8" s="1223" t="s">
        <v>2939</v>
      </c>
      <c r="CD8" s="1222" t="s">
        <v>2938</v>
      </c>
      <c r="CE8" s="1221" t="s">
        <v>2937</v>
      </c>
      <c r="CF8" s="1220" t="s">
        <v>2936</v>
      </c>
      <c r="CG8" s="1219" t="s">
        <v>2935</v>
      </c>
      <c r="CH8" s="1223" t="s">
        <v>2939</v>
      </c>
      <c r="CI8" s="1222" t="s">
        <v>2938</v>
      </c>
      <c r="CJ8" s="1221" t="s">
        <v>2937</v>
      </c>
      <c r="CK8" s="1220" t="s">
        <v>2936</v>
      </c>
      <c r="CL8" s="1219" t="s">
        <v>2935</v>
      </c>
      <c r="CM8" s="1223" t="s">
        <v>2939</v>
      </c>
      <c r="CN8" s="1222" t="s">
        <v>2938</v>
      </c>
      <c r="CO8" s="1221" t="s">
        <v>2937</v>
      </c>
      <c r="CP8" s="1220" t="s">
        <v>2936</v>
      </c>
      <c r="CQ8" s="1219" t="s">
        <v>2935</v>
      </c>
      <c r="CR8" s="1218"/>
      <c r="CS8" s="1218"/>
      <c r="CT8" s="1217"/>
      <c r="CU8" s="1216"/>
      <c r="CV8" s="1051"/>
      <c r="CW8" s="936"/>
      <c r="CX8" s="936"/>
      <c r="CY8" s="936"/>
      <c r="CZ8" s="1051"/>
      <c r="DA8" s="942"/>
      <c r="DB8" s="936"/>
      <c r="DC8" s="936"/>
    </row>
    <row r="9" spans="1:107" ht="6" customHeight="1">
      <c r="B9" s="1091"/>
      <c r="C9" s="1153"/>
      <c r="D9" s="1123"/>
      <c r="E9" s="1204"/>
      <c r="F9" s="1204"/>
      <c r="G9" s="1204"/>
      <c r="H9" s="1204"/>
      <c r="I9" s="1204"/>
      <c r="J9" s="1204"/>
      <c r="K9" s="1204"/>
      <c r="L9" s="1204"/>
      <c r="M9" s="1204"/>
      <c r="N9" s="1204"/>
      <c r="O9" s="3116" t="str">
        <f>IF(B2=0,"",IF(LEFT(O8,2)=" B","GL-",IF(O8="  1F","GL±","GL+")))</f>
        <v>GL±</v>
      </c>
      <c r="P9" s="3116"/>
      <c r="Q9" s="3116"/>
      <c r="R9" s="3118">
        <f>IF(O9="","",VLOOKUP(O8,カイダカ,3,FALSE)+Top!W63)</f>
        <v>5.75</v>
      </c>
      <c r="S9" s="3118"/>
      <c r="T9" s="3118"/>
      <c r="U9" s="3118"/>
      <c r="V9" s="3120" t="str">
        <f>IF(B2=0,"","m")</f>
        <v>m</v>
      </c>
      <c r="W9" s="3121"/>
      <c r="X9" s="1215"/>
      <c r="Y9" s="3070" t="s">
        <v>2934</v>
      </c>
      <c r="Z9" s="3071"/>
      <c r="AA9" s="3074">
        <f>IF(B2=0,"",IF(AE9="",3,AE9))</f>
        <v>3</v>
      </c>
      <c r="AB9" s="3075"/>
      <c r="AC9" s="3076"/>
      <c r="AD9" s="3062" t="s">
        <v>2359</v>
      </c>
      <c r="AE9" s="3064"/>
      <c r="AF9" s="3065"/>
      <c r="AG9" s="3066"/>
      <c r="AH9" s="3070" t="s">
        <v>2933</v>
      </c>
      <c r="AI9" s="3071"/>
      <c r="AJ9" s="3074">
        <f>IF(B2=0,"",IF(AN9="",3,AN9))</f>
        <v>3</v>
      </c>
      <c r="AK9" s="3075"/>
      <c r="AL9" s="3076"/>
      <c r="AM9" s="3062" t="s">
        <v>2359</v>
      </c>
      <c r="AN9" s="3064"/>
      <c r="AO9" s="3065"/>
      <c r="AP9" s="3066"/>
      <c r="AQ9" s="3147" t="s">
        <v>2932</v>
      </c>
      <c r="AR9" s="3147"/>
      <c r="AS9" s="3147"/>
      <c r="AT9" s="3147"/>
      <c r="AU9" s="3147"/>
      <c r="AV9" s="3147"/>
      <c r="AW9" s="3148"/>
      <c r="AX9" s="1204"/>
      <c r="AY9" s="1203"/>
      <c r="AZ9" s="925"/>
      <c r="BA9" s="1214"/>
      <c r="BB9" s="1213"/>
      <c r="BC9" s="2891"/>
      <c r="BD9" s="1212"/>
      <c r="BE9" s="1208"/>
      <c r="BF9" s="1208"/>
      <c r="BG9" s="1208"/>
      <c r="BH9" s="1211"/>
      <c r="BI9" s="1210"/>
      <c r="BJ9" s="1209"/>
      <c r="BK9" s="1208"/>
      <c r="BL9" s="1208"/>
      <c r="BM9" s="1207"/>
      <c r="BN9" s="1155"/>
      <c r="BO9" s="1155"/>
      <c r="BP9" s="1155"/>
      <c r="BQ9" s="1155"/>
      <c r="BR9" s="1155"/>
      <c r="BS9" s="1155"/>
      <c r="BT9" s="1143"/>
      <c r="BU9" s="924"/>
      <c r="BV9" s="936"/>
      <c r="BW9" s="941" t="s">
        <v>2931</v>
      </c>
      <c r="BX9" s="1185"/>
      <c r="BY9" s="1165">
        <f>IF(I11="","",5+AJ7+3*CA3+5)</f>
        <v>81</v>
      </c>
      <c r="BZ9" s="1093">
        <f>IF(CB15="地",AJ7,"")</f>
        <v>65</v>
      </c>
      <c r="CA9" s="1187">
        <f>BX3+5</f>
        <v>86</v>
      </c>
      <c r="CB9" s="1189"/>
      <c r="CC9" s="1185">
        <f>1.1*AJ7</f>
        <v>71.5</v>
      </c>
      <c r="CD9" s="1093">
        <f>5+AJ7+5</f>
        <v>75</v>
      </c>
      <c r="CE9" s="1093"/>
      <c r="CF9" s="1187">
        <f>CC3+5</f>
        <v>100.3</v>
      </c>
      <c r="CG9" s="1188">
        <v>2</v>
      </c>
      <c r="CH9" s="1185"/>
      <c r="CI9" s="1165">
        <f t="shared" ref="CI9:CK12" si="0">BY9</f>
        <v>81</v>
      </c>
      <c r="CJ9" s="1093">
        <f t="shared" si="0"/>
        <v>65</v>
      </c>
      <c r="CK9" s="1187">
        <f t="shared" si="0"/>
        <v>86</v>
      </c>
      <c r="CL9" s="1186">
        <f>CL3</f>
        <v>1</v>
      </c>
      <c r="CM9" s="1185">
        <f t="shared" ref="CM9:CN12" si="1">CC9</f>
        <v>71.5</v>
      </c>
      <c r="CN9" s="1165">
        <f t="shared" si="1"/>
        <v>75</v>
      </c>
      <c r="CO9" s="1093"/>
      <c r="CP9" s="1183">
        <f>CF9</f>
        <v>100.3</v>
      </c>
      <c r="CQ9" s="1206">
        <v>4</v>
      </c>
      <c r="CR9" s="1093"/>
      <c r="CS9" s="1093"/>
      <c r="CT9" s="1093"/>
      <c r="CU9" s="1183"/>
      <c r="CV9" s="1051"/>
      <c r="CW9" s="936"/>
      <c r="CX9" s="936"/>
      <c r="CY9" s="936"/>
      <c r="CZ9" s="1051"/>
      <c r="DA9" s="942"/>
      <c r="DB9" s="936"/>
      <c r="DC9" s="936"/>
    </row>
    <row r="10" spans="1:107" ht="6" customHeight="1">
      <c r="B10" s="1091"/>
      <c r="C10" s="1153"/>
      <c r="D10" s="1123"/>
      <c r="E10" s="1204"/>
      <c r="F10" s="1204"/>
      <c r="G10" s="1204"/>
      <c r="H10" s="1204"/>
      <c r="I10" s="1204"/>
      <c r="J10" s="1204"/>
      <c r="K10" s="1204"/>
      <c r="L10" s="1204"/>
      <c r="M10" s="1204"/>
      <c r="N10" s="1204"/>
      <c r="O10" s="3117"/>
      <c r="P10" s="3117"/>
      <c r="Q10" s="3117"/>
      <c r="R10" s="3119"/>
      <c r="S10" s="3119"/>
      <c r="T10" s="3119"/>
      <c r="U10" s="3119"/>
      <c r="V10" s="3122"/>
      <c r="W10" s="3123"/>
      <c r="X10" s="1205"/>
      <c r="Y10" s="3072"/>
      <c r="Z10" s="3073"/>
      <c r="AA10" s="3077"/>
      <c r="AB10" s="3078"/>
      <c r="AC10" s="3079"/>
      <c r="AD10" s="3063"/>
      <c r="AE10" s="3067"/>
      <c r="AF10" s="3068"/>
      <c r="AG10" s="3069"/>
      <c r="AH10" s="3072"/>
      <c r="AI10" s="3073"/>
      <c r="AJ10" s="3077"/>
      <c r="AK10" s="3078"/>
      <c r="AL10" s="3079"/>
      <c r="AM10" s="3063"/>
      <c r="AN10" s="3067"/>
      <c r="AO10" s="3068"/>
      <c r="AP10" s="3069"/>
      <c r="AQ10" s="3149"/>
      <c r="AR10" s="3149"/>
      <c r="AS10" s="3149"/>
      <c r="AT10" s="3149"/>
      <c r="AU10" s="3149"/>
      <c r="AV10" s="3149"/>
      <c r="AW10" s="3150"/>
      <c r="AX10" s="1204"/>
      <c r="AY10" s="1203"/>
      <c r="AZ10" s="925"/>
      <c r="BA10" s="3034" t="s">
        <v>2930</v>
      </c>
      <c r="BB10" s="3035"/>
      <c r="BC10" s="2892"/>
      <c r="BD10" s="1202"/>
      <c r="BE10" s="1158"/>
      <c r="BF10" s="1158"/>
      <c r="BG10" s="1158"/>
      <c r="BH10" s="1201"/>
      <c r="BI10" s="1200"/>
      <c r="BJ10" s="1199"/>
      <c r="BK10" s="1158"/>
      <c r="BL10" s="1158"/>
      <c r="BM10" s="1157"/>
      <c r="BN10" s="1155"/>
      <c r="BO10" s="2872" t="s">
        <v>2929</v>
      </c>
      <c r="BP10" s="2873"/>
      <c r="BQ10" s="2873"/>
      <c r="BR10" s="2873"/>
      <c r="BS10" s="2873"/>
      <c r="BT10" s="1143"/>
      <c r="BU10" s="924"/>
      <c r="BV10" s="936"/>
      <c r="BW10" s="941" t="s">
        <v>2928</v>
      </c>
      <c r="BX10" s="1197"/>
      <c r="BY10" s="1165">
        <f>IF(I11="","",5+AJ7+AP7+3*(CA4-CA3)+5)</f>
        <v>82</v>
      </c>
      <c r="BZ10" s="1093">
        <f>IF(CB15="地",AJ7+AP7,"")</f>
        <v>69</v>
      </c>
      <c r="CA10" s="1187">
        <f>BX4+5</f>
        <v>87</v>
      </c>
      <c r="CB10" s="1198"/>
      <c r="CC10" s="1197">
        <f>1.1*(AJ7+AP7)</f>
        <v>75.900000000000006</v>
      </c>
      <c r="CD10" s="1093">
        <f>5+AJ7+AP7+5</f>
        <v>79</v>
      </c>
      <c r="CE10" s="1093"/>
      <c r="CF10" s="1187">
        <f>CC4+5</f>
        <v>86</v>
      </c>
      <c r="CG10" s="1188">
        <v>4</v>
      </c>
      <c r="CH10" s="1197"/>
      <c r="CI10" s="1165">
        <f t="shared" si="0"/>
        <v>82</v>
      </c>
      <c r="CJ10" s="1093">
        <f t="shared" si="0"/>
        <v>69</v>
      </c>
      <c r="CK10" s="1187">
        <f t="shared" si="0"/>
        <v>87</v>
      </c>
      <c r="CL10" s="1186">
        <f>CL4</f>
        <v>1</v>
      </c>
      <c r="CM10" s="1197">
        <f t="shared" si="1"/>
        <v>75.900000000000006</v>
      </c>
      <c r="CN10" s="1165">
        <f t="shared" si="1"/>
        <v>79</v>
      </c>
      <c r="CO10" s="1093"/>
      <c r="CP10" s="1183">
        <f>CF10</f>
        <v>86</v>
      </c>
      <c r="CQ10" s="1184">
        <v>4</v>
      </c>
      <c r="CR10" s="1196"/>
      <c r="CS10" s="1093"/>
      <c r="CT10" s="1093"/>
      <c r="CU10" s="1183"/>
      <c r="CV10" s="1051"/>
      <c r="CW10" s="936"/>
      <c r="CX10" s="936"/>
      <c r="CY10" s="936"/>
      <c r="CZ10" s="1051"/>
      <c r="DA10" s="942"/>
      <c r="DB10" s="936"/>
      <c r="DC10" s="936"/>
    </row>
    <row r="11" spans="1:107" ht="10.5" customHeight="1" thickBot="1">
      <c r="B11" s="1091"/>
      <c r="C11" s="1153"/>
      <c r="D11" s="2778" t="str">
        <f>IF(B2=0,"","引込方式")</f>
        <v>引込方式</v>
      </c>
      <c r="E11" s="2779"/>
      <c r="F11" s="2779"/>
      <c r="G11" s="2779"/>
      <c r="H11" s="2779"/>
      <c r="I11" s="3130" t="str">
        <f>IF(B2=0,"",IF(I12&lt;&gt;"",I12,"架空引込"))</f>
        <v>架空引込</v>
      </c>
      <c r="J11" s="2888"/>
      <c r="K11" s="2888"/>
      <c r="L11" s="2888"/>
      <c r="M11" s="2888"/>
      <c r="N11" s="3131"/>
      <c r="O11" s="3142" t="str">
        <f>IF(B2=0,"",IF(OR(I11="架空引込",I14="架空配線"),"CP",""))</f>
        <v>CP</v>
      </c>
      <c r="P11" s="3143"/>
      <c r="Q11" s="3143"/>
      <c r="R11" s="3144"/>
      <c r="S11" s="2773" t="str">
        <f>IF(B2=0,"",IF(AD11&lt;&gt;"",AD11,IF(OR(CA15="架",CB15="架"),"CP 10-19-350Kg","")))</f>
        <v>CP 10-19-350Kg</v>
      </c>
      <c r="T11" s="2774"/>
      <c r="U11" s="2774"/>
      <c r="V11" s="2774"/>
      <c r="W11" s="2774"/>
      <c r="X11" s="2774"/>
      <c r="Y11" s="2774"/>
      <c r="Z11" s="2774"/>
      <c r="AA11" s="2774"/>
      <c r="AB11" s="2775"/>
      <c r="AC11" s="928" t="s">
        <v>2359</v>
      </c>
      <c r="AD11" s="2771"/>
      <c r="AE11" s="2772"/>
      <c r="AF11" s="2772"/>
      <c r="AG11" s="2772"/>
      <c r="AH11" s="2772"/>
      <c r="AI11" s="2772"/>
      <c r="AJ11" s="2772"/>
      <c r="AK11" s="2772"/>
      <c r="AL11" s="2772"/>
      <c r="AM11" s="2772"/>
      <c r="AN11" s="2783" t="str">
        <f>IF(B2=0,"",IF(O11="CP","構内柱[本]",""))</f>
        <v>構内柱[本]</v>
      </c>
      <c r="AO11" s="2784"/>
      <c r="AP11" s="2784"/>
      <c r="AQ11" s="2784"/>
      <c r="AR11" s="2785"/>
      <c r="AS11" s="3132">
        <f>IF(AW11&lt;&gt;"",AW11,IF(AND(BL7="B ",CB15="架"),CG3,IF(AND(BL7="C ",CB15="架"),CG4,IF(AND(BL7="D1",CB15="架"),CG5,IF(AND(BL7="D2",CB15="架"),CG6,IF(AND(CA15="架",CB15="地"),CL3,""))))))</f>
        <v>1</v>
      </c>
      <c r="AT11" s="3133"/>
      <c r="AU11" s="3134"/>
      <c r="AV11" s="928" t="s">
        <v>2359</v>
      </c>
      <c r="AW11" s="3135"/>
      <c r="AX11" s="3136"/>
      <c r="AY11" s="1152"/>
      <c r="AZ11" s="925"/>
      <c r="BA11" s="3036"/>
      <c r="BB11" s="3037"/>
      <c r="BC11" s="2892"/>
      <c r="BD11" s="1195" t="s">
        <v>2927</v>
      </c>
      <c r="BE11" s="1191" t="s">
        <v>2927</v>
      </c>
      <c r="BF11" s="1191" t="s">
        <v>2927</v>
      </c>
      <c r="BG11" s="1191" t="s">
        <v>2927</v>
      </c>
      <c r="BH11" s="1194" t="s">
        <v>2927</v>
      </c>
      <c r="BI11" s="1193" t="s">
        <v>2927</v>
      </c>
      <c r="BJ11" s="1192" t="s">
        <v>2927</v>
      </c>
      <c r="BK11" s="1191" t="s">
        <v>2927</v>
      </c>
      <c r="BL11" s="1191" t="s">
        <v>2927</v>
      </c>
      <c r="BM11" s="1191" t="s">
        <v>2927</v>
      </c>
      <c r="BN11" s="1190" t="s">
        <v>2923</v>
      </c>
      <c r="BO11" s="2873"/>
      <c r="BP11" s="2873"/>
      <c r="BQ11" s="2873"/>
      <c r="BR11" s="2873"/>
      <c r="BS11" s="2873"/>
      <c r="BT11" s="1143"/>
      <c r="BU11" s="924"/>
      <c r="BV11" s="936"/>
      <c r="BW11" s="941" t="s">
        <v>2926</v>
      </c>
      <c r="BX11" s="1185"/>
      <c r="BY11" s="1165">
        <f>IF(I11="","",5+AJ7+AP7+BY15+VLOOKUP(BW17,カイダカ,6,FALSE)+3*CA5+5)</f>
        <v>152.80000000000001</v>
      </c>
      <c r="BZ11" s="1093">
        <f>BZ10</f>
        <v>69</v>
      </c>
      <c r="CA11" s="1187">
        <f>BX5+5</f>
        <v>157.80000000000001</v>
      </c>
      <c r="CB11" s="1189"/>
      <c r="CC11" s="1185">
        <f>CC10</f>
        <v>75.900000000000006</v>
      </c>
      <c r="CD11" s="1165">
        <f>IF(I11="","",5+AJ7+AP7+BY15+VLOOKUP(BW17,カイダカ,6,FALSE)+3*CA5+5)</f>
        <v>152.80000000000001</v>
      </c>
      <c r="CE11" s="1093"/>
      <c r="CF11" s="1187">
        <f>CC5+5</f>
        <v>154.80000000000001</v>
      </c>
      <c r="CG11" s="1188">
        <v>4</v>
      </c>
      <c r="CH11" s="1185"/>
      <c r="CI11" s="1165">
        <f t="shared" si="0"/>
        <v>152.80000000000001</v>
      </c>
      <c r="CJ11" s="1093">
        <f t="shared" si="0"/>
        <v>69</v>
      </c>
      <c r="CK11" s="1187">
        <f t="shared" si="0"/>
        <v>157.80000000000001</v>
      </c>
      <c r="CL11" s="1186">
        <f>CL5</f>
        <v>1</v>
      </c>
      <c r="CM11" s="1185">
        <f t="shared" si="1"/>
        <v>75.900000000000006</v>
      </c>
      <c r="CN11" s="1165">
        <f t="shared" si="1"/>
        <v>152.80000000000001</v>
      </c>
      <c r="CO11" s="1093"/>
      <c r="CP11" s="1183">
        <f>CF11</f>
        <v>154.80000000000001</v>
      </c>
      <c r="CQ11" s="1184">
        <v>4</v>
      </c>
      <c r="CR11" s="1093"/>
      <c r="CS11" s="1165"/>
      <c r="CT11" s="1093"/>
      <c r="CU11" s="1183"/>
      <c r="CV11" s="1051"/>
      <c r="CW11" s="936"/>
      <c r="CX11" s="936"/>
      <c r="CY11" s="936"/>
      <c r="CZ11" s="1051"/>
      <c r="DA11" s="942"/>
      <c r="DB11" s="936"/>
      <c r="DC11" s="936"/>
    </row>
    <row r="12" spans="1:107" ht="10.5" customHeight="1">
      <c r="B12" s="1091"/>
      <c r="C12" s="1153"/>
      <c r="D12" s="1123"/>
      <c r="E12" s="1123"/>
      <c r="F12" s="1123"/>
      <c r="G12" s="1123"/>
      <c r="H12" s="1123"/>
      <c r="I12" s="3145"/>
      <c r="J12" s="3146"/>
      <c r="K12" s="3146"/>
      <c r="L12" s="3146"/>
      <c r="M12" s="3146"/>
      <c r="N12" s="1123"/>
      <c r="O12" s="1182"/>
      <c r="P12" s="1182"/>
      <c r="Q12" s="1123"/>
      <c r="R12" s="1123"/>
      <c r="S12" s="3030" t="str">
        <f>IF(OR(B2=0,S11=""),"","ＣＰ埋設深さ［m］")</f>
        <v>ＣＰ埋設深さ［m］</v>
      </c>
      <c r="T12" s="3030"/>
      <c r="U12" s="3030"/>
      <c r="V12" s="3030"/>
      <c r="W12" s="3030"/>
      <c r="X12" s="3030"/>
      <c r="Y12" s="3030"/>
      <c r="Z12" s="3030"/>
      <c r="AA12" s="3030"/>
      <c r="AB12" s="3031"/>
      <c r="AC12" s="3151">
        <f>IF(OR(B2=0,S12=""),"",IF(CD15="10",1.7,IF(CD15="12",2,IF(CD15="13",2.2,IF(CD15="14",2.4,2.5)))))</f>
        <v>1.7</v>
      </c>
      <c r="AD12" s="3152"/>
      <c r="AE12" s="3152"/>
      <c r="AF12" s="3153"/>
      <c r="AG12" s="1163"/>
      <c r="AH12" s="1163"/>
      <c r="AI12" s="1123"/>
      <c r="AJ12" s="1123"/>
      <c r="AK12" s="1123"/>
      <c r="AL12" s="1123"/>
      <c r="AM12" s="1123"/>
      <c r="AN12" s="1123"/>
      <c r="AO12" s="1123"/>
      <c r="AP12" s="1123"/>
      <c r="AQ12" s="1123"/>
      <c r="AR12" s="1123"/>
      <c r="AS12" s="1123"/>
      <c r="AT12" s="1123"/>
      <c r="AU12" s="1123"/>
      <c r="AV12" s="1123"/>
      <c r="AW12" s="1123"/>
      <c r="AX12" s="1123"/>
      <c r="AY12" s="1123"/>
      <c r="AZ12" s="925"/>
      <c r="BA12" s="3086" t="s">
        <v>2925</v>
      </c>
      <c r="BB12" s="3087"/>
      <c r="BC12" s="3090"/>
      <c r="BD12" s="1181"/>
      <c r="BE12" s="1180"/>
      <c r="BF12" s="1180"/>
      <c r="BG12" s="1180"/>
      <c r="BH12" s="1179"/>
      <c r="BI12" s="1178"/>
      <c r="BJ12" s="1177"/>
      <c r="BK12" s="1177"/>
      <c r="BL12" s="1177"/>
      <c r="BM12" s="1176"/>
      <c r="BN12" s="1175"/>
      <c r="BO12" s="2873"/>
      <c r="BP12" s="2873"/>
      <c r="BQ12" s="2873"/>
      <c r="BR12" s="2873"/>
      <c r="BS12" s="2873"/>
      <c r="BT12" s="1143"/>
      <c r="BU12" s="924"/>
      <c r="BV12" s="936"/>
      <c r="BW12" s="1174" t="s">
        <v>2925</v>
      </c>
      <c r="BX12" s="1169"/>
      <c r="BY12" s="1168">
        <f>IF(I11="","",5+AJ7+AP7+BY15+VLOOKUP(BW17,カイダカ,7,FALSE)+3*CA6+5)</f>
        <v>152.80000000000001</v>
      </c>
      <c r="BZ12" s="1167">
        <f>BZ10</f>
        <v>69</v>
      </c>
      <c r="CA12" s="1171">
        <f>BX6+5</f>
        <v>157.80000000000001</v>
      </c>
      <c r="CB12" s="1173"/>
      <c r="CC12" s="1169">
        <f>CC10</f>
        <v>75.900000000000006</v>
      </c>
      <c r="CD12" s="1168">
        <f>IF(I11="","",5+AJ7+AP7+BY15+VLOOKUP(BW17,カイダカ,7,FALSE)+3*CA6+5)</f>
        <v>152.80000000000001</v>
      </c>
      <c r="CE12" s="1167"/>
      <c r="CF12" s="1171">
        <f>CC6+5</f>
        <v>154.80000000000001</v>
      </c>
      <c r="CG12" s="1172">
        <v>4</v>
      </c>
      <c r="CH12" s="1169"/>
      <c r="CI12" s="1168">
        <f t="shared" si="0"/>
        <v>152.80000000000001</v>
      </c>
      <c r="CJ12" s="1167">
        <f t="shared" si="0"/>
        <v>69</v>
      </c>
      <c r="CK12" s="1171">
        <f t="shared" si="0"/>
        <v>157.80000000000001</v>
      </c>
      <c r="CL12" s="1170">
        <f>CL6</f>
        <v>1</v>
      </c>
      <c r="CM12" s="1169">
        <f t="shared" si="1"/>
        <v>75.900000000000006</v>
      </c>
      <c r="CN12" s="1168">
        <f t="shared" si="1"/>
        <v>152.80000000000001</v>
      </c>
      <c r="CO12" s="1167"/>
      <c r="CP12" s="1167">
        <f>CF12</f>
        <v>154.80000000000001</v>
      </c>
      <c r="CQ12" s="1166">
        <v>4</v>
      </c>
      <c r="CR12" s="1093"/>
      <c r="CS12" s="1165"/>
      <c r="CT12" s="1093"/>
      <c r="CU12" s="1093"/>
      <c r="CV12" s="1051"/>
      <c r="CW12" s="936"/>
      <c r="CX12" s="936"/>
      <c r="CY12" s="936"/>
      <c r="CZ12" s="1051"/>
      <c r="DA12" s="942"/>
      <c r="DB12" s="936"/>
      <c r="DC12" s="936"/>
    </row>
    <row r="13" spans="1:107" ht="10.5" customHeight="1">
      <c r="B13" s="1091"/>
      <c r="C13" s="1153"/>
      <c r="D13" s="1123"/>
      <c r="E13" s="1123"/>
      <c r="F13" s="1123"/>
      <c r="G13" s="1123"/>
      <c r="H13" s="1124"/>
      <c r="I13" s="1124"/>
      <c r="J13" s="1124"/>
      <c r="K13" s="1124"/>
      <c r="L13" s="1124"/>
      <c r="M13" s="1124"/>
      <c r="N13" s="1124"/>
      <c r="O13" s="1124"/>
      <c r="P13" s="1164"/>
      <c r="Q13" s="1123"/>
      <c r="R13" s="1123"/>
      <c r="S13" s="1123"/>
      <c r="T13" s="1123"/>
      <c r="U13" s="1123"/>
      <c r="V13" s="1123"/>
      <c r="W13" s="1123"/>
      <c r="X13" s="1123"/>
      <c r="Y13" s="1123"/>
      <c r="Z13" s="1123"/>
      <c r="AA13" s="1123"/>
      <c r="AB13" s="1123"/>
      <c r="AC13" s="1123"/>
      <c r="AD13" s="1123"/>
      <c r="AE13" s="1123"/>
      <c r="AF13" s="1123"/>
      <c r="AG13" s="1123"/>
      <c r="AH13" s="1163"/>
      <c r="AI13" s="1123"/>
      <c r="AJ13" s="1123"/>
      <c r="AK13" s="1123"/>
      <c r="AL13" s="1123"/>
      <c r="AM13" s="1123"/>
      <c r="AN13" s="1123"/>
      <c r="AO13" s="1123"/>
      <c r="AP13" s="1123"/>
      <c r="AQ13" s="1123"/>
      <c r="AR13" s="1123"/>
      <c r="AS13" s="1123"/>
      <c r="AT13" s="1123"/>
      <c r="AU13" s="1123"/>
      <c r="AV13" s="1123"/>
      <c r="AW13" s="1123"/>
      <c r="AX13" s="1123"/>
      <c r="AY13" s="1123"/>
      <c r="AZ13" s="925"/>
      <c r="BA13" s="3088"/>
      <c r="BB13" s="3089"/>
      <c r="BC13" s="3091"/>
      <c r="BD13" s="1162"/>
      <c r="BE13" s="1161"/>
      <c r="BF13" s="1161"/>
      <c r="BG13" s="1161"/>
      <c r="BH13" s="1160"/>
      <c r="BI13" s="1159"/>
      <c r="BJ13" s="1158"/>
      <c r="BK13" s="1158"/>
      <c r="BL13" s="1158"/>
      <c r="BM13" s="1157"/>
      <c r="BN13" s="1156"/>
      <c r="BO13" s="1155"/>
      <c r="BP13" s="2871" t="s">
        <v>2357</v>
      </c>
      <c r="BQ13" s="2871"/>
      <c r="BR13" s="2871"/>
      <c r="BS13" s="1155"/>
      <c r="BT13" s="1143"/>
      <c r="BU13" s="924"/>
      <c r="BV13" s="936"/>
      <c r="BW13" s="941"/>
      <c r="BX13" s="1154"/>
      <c r="BY13" s="1086"/>
      <c r="BZ13" s="1086"/>
      <c r="CA13" s="942"/>
      <c r="CB13" s="942"/>
      <c r="CC13" s="942"/>
      <c r="CD13" s="942"/>
      <c r="CE13" s="942"/>
      <c r="CF13" s="942"/>
      <c r="CG13" s="1087"/>
      <c r="CH13" s="1086"/>
      <c r="CI13" s="1085"/>
      <c r="CJ13" s="1086"/>
      <c r="CK13" s="1093"/>
      <c r="CL13" s="1093"/>
      <c r="CM13" s="1051"/>
      <c r="CN13" s="1086"/>
      <c r="CO13" s="1086"/>
      <c r="CP13" s="1086"/>
      <c r="CQ13" s="1051"/>
      <c r="CU13" s="1082"/>
      <c r="CV13" s="1051"/>
      <c r="CW13" s="936"/>
      <c r="CX13" s="936"/>
      <c r="CY13" s="936"/>
      <c r="CZ13" s="1051"/>
      <c r="DA13" s="942"/>
      <c r="DB13" s="936"/>
      <c r="DC13" s="936"/>
    </row>
    <row r="14" spans="1:107" ht="10.5" customHeight="1" thickBot="1">
      <c r="B14" s="1091"/>
      <c r="C14" s="1153"/>
      <c r="D14" s="2778" t="str">
        <f>IF(B2=0,"","引込柱～")</f>
        <v>引込柱～</v>
      </c>
      <c r="E14" s="2779"/>
      <c r="F14" s="2779"/>
      <c r="G14" s="2779"/>
      <c r="H14" s="2905"/>
      <c r="I14" s="3130" t="str">
        <f>IF(B2=0,"",IF(I15&lt;&gt;"",I15,"地中管路"))</f>
        <v>地中管路</v>
      </c>
      <c r="J14" s="2888"/>
      <c r="K14" s="2888"/>
      <c r="L14" s="2888"/>
      <c r="M14" s="2888"/>
      <c r="N14" s="3131"/>
      <c r="O14" s="2783" t="str">
        <f>IF(B2=0,"",IF(OR(I11="地中引込",I14="地中管路"),"HH",""))</f>
        <v>HH</v>
      </c>
      <c r="P14" s="2784"/>
      <c r="Q14" s="2784"/>
      <c r="R14" s="2785"/>
      <c r="S14" s="2773" t="str">
        <f>IF(B2=0,"",IF(AD14="","KK 900×900×1200",AD14))</f>
        <v>KK 900×900×1200</v>
      </c>
      <c r="T14" s="2774"/>
      <c r="U14" s="2774"/>
      <c r="V14" s="2774"/>
      <c r="W14" s="2774"/>
      <c r="X14" s="2774"/>
      <c r="Y14" s="2774"/>
      <c r="Z14" s="2774"/>
      <c r="AA14" s="2774"/>
      <c r="AB14" s="2774"/>
      <c r="AC14" s="928" t="s">
        <v>2357</v>
      </c>
      <c r="AD14" s="2771"/>
      <c r="AE14" s="2772"/>
      <c r="AF14" s="2772"/>
      <c r="AG14" s="2772"/>
      <c r="AH14" s="2772"/>
      <c r="AI14" s="2772"/>
      <c r="AJ14" s="2772"/>
      <c r="AK14" s="2772"/>
      <c r="AL14" s="2772"/>
      <c r="AM14" s="2772"/>
      <c r="AN14" s="2783" t="str">
        <f>IF(B2=0,"",IF(OR(O14="HH",I14="架空配線"),"HH[基]",""))</f>
        <v>HH[基]</v>
      </c>
      <c r="AO14" s="2784"/>
      <c r="AP14" s="2784"/>
      <c r="AQ14" s="2784"/>
      <c r="AR14" s="2785"/>
      <c r="AS14" s="2786">
        <f>IF(B2=0,"",IF(AW14&lt;&gt;"",AW14,IF(AND(BL7="B ",OR(CA15="地",CA15="架"),CB15="地"),CA3,IF(AND(BL7&lt;&gt;"B ",OR(CA15="地",CA15="架"),CB15="地"),CA4,IF(AND(BL7="B ",OR(CA15="地",CA15="架"),CB15="架"),CF3,IF(AND(BL7&lt;&gt;"B ",OR(CA15="地",CA15="架"),CB15="架"),CF4,""))))))</f>
        <v>3</v>
      </c>
      <c r="AT14" s="2787"/>
      <c r="AU14" s="2787"/>
      <c r="AV14" s="928" t="s">
        <v>2357</v>
      </c>
      <c r="AW14" s="2788"/>
      <c r="AX14" s="2789"/>
      <c r="AY14" s="1152"/>
      <c r="AZ14" s="925"/>
      <c r="BA14" s="1151"/>
      <c r="BB14" s="1150"/>
      <c r="BC14" s="3092"/>
      <c r="BD14" s="1149" t="s">
        <v>405</v>
      </c>
      <c r="BE14" s="1148" t="s">
        <v>405</v>
      </c>
      <c r="BF14" s="1148" t="s">
        <v>405</v>
      </c>
      <c r="BG14" s="1148" t="s">
        <v>405</v>
      </c>
      <c r="BH14" s="1147" t="s">
        <v>405</v>
      </c>
      <c r="BI14" s="1146" t="s">
        <v>405</v>
      </c>
      <c r="BJ14" s="1145" t="s">
        <v>405</v>
      </c>
      <c r="BK14" s="1145" t="s">
        <v>405</v>
      </c>
      <c r="BL14" s="1145" t="s">
        <v>405</v>
      </c>
      <c r="BM14" s="1145" t="s">
        <v>405</v>
      </c>
      <c r="BN14" s="1144" t="s">
        <v>2924</v>
      </c>
      <c r="BO14" s="2887" t="str">
        <f>IF(B2=0,"",IF(BR14="","Ⓖ",BR14))</f>
        <v>Ⓖ</v>
      </c>
      <c r="BP14" s="2888"/>
      <c r="BQ14" s="973" t="s">
        <v>2357</v>
      </c>
      <c r="BR14" s="2889"/>
      <c r="BS14" s="2890"/>
      <c r="BT14" s="1143"/>
      <c r="BU14" s="924"/>
      <c r="BV14" s="936"/>
      <c r="BW14" s="1142" t="s">
        <v>2922</v>
      </c>
      <c r="BX14" s="1142" t="s">
        <v>2921</v>
      </c>
      <c r="BY14" s="1142" t="s">
        <v>2920</v>
      </c>
      <c r="BZ14" s="1141"/>
      <c r="CA14" s="1139" t="s">
        <v>2919</v>
      </c>
      <c r="CB14" s="1139" t="s">
        <v>2918</v>
      </c>
      <c r="CC14" s="1140"/>
      <c r="CD14" s="1139" t="s">
        <v>2917</v>
      </c>
      <c r="CE14" s="942"/>
      <c r="CF14" s="942"/>
      <c r="CG14" s="1087"/>
      <c r="CH14" s="1086"/>
      <c r="CI14" s="1085"/>
      <c r="CJ14" s="1086"/>
      <c r="CK14" s="1093"/>
      <c r="CL14" s="1093"/>
      <c r="CM14" s="1051"/>
      <c r="CN14" s="1138"/>
      <c r="CO14" s="1138"/>
      <c r="CP14" s="1138"/>
      <c r="CQ14" s="1051"/>
      <c r="CU14" s="1082"/>
      <c r="CV14" s="1051"/>
      <c r="CW14" s="936"/>
      <c r="CX14" s="936"/>
      <c r="CY14" s="936"/>
      <c r="CZ14" s="1051"/>
      <c r="DA14" s="942"/>
      <c r="DB14" s="936"/>
      <c r="DC14" s="936"/>
    </row>
    <row r="15" spans="1:107" ht="10.5" customHeight="1" thickBot="1">
      <c r="B15" s="1091"/>
      <c r="C15" s="1124"/>
      <c r="D15" s="1124"/>
      <c r="E15" s="1123"/>
      <c r="F15" s="1123"/>
      <c r="G15" s="1123"/>
      <c r="H15" s="1123"/>
      <c r="I15" s="2763"/>
      <c r="J15" s="2764"/>
      <c r="K15" s="2764"/>
      <c r="L15" s="2764"/>
      <c r="M15" s="2764"/>
      <c r="N15" s="1124"/>
      <c r="O15" s="2783" t="str">
        <f>IF(OR(B2=0,O14=""),"","HH蓋")</f>
        <v>HH蓋</v>
      </c>
      <c r="P15" s="2784"/>
      <c r="Q15" s="2784"/>
      <c r="R15" s="2785"/>
      <c r="S15" s="2773" t="str">
        <f>IF(B2=0,"",IF(AD15="","AHB-1  650×250",AD15))</f>
        <v>AHB-1  650×250</v>
      </c>
      <c r="T15" s="2774"/>
      <c r="U15" s="2774"/>
      <c r="V15" s="2774"/>
      <c r="W15" s="2774"/>
      <c r="X15" s="2774"/>
      <c r="Y15" s="2774"/>
      <c r="Z15" s="2774"/>
      <c r="AA15" s="2774"/>
      <c r="AB15" s="2774"/>
      <c r="AC15" s="928" t="s">
        <v>2357</v>
      </c>
      <c r="AD15" s="2771"/>
      <c r="AE15" s="2772"/>
      <c r="AF15" s="2772"/>
      <c r="AG15" s="2772"/>
      <c r="AH15" s="2772"/>
      <c r="AI15" s="2772"/>
      <c r="AJ15" s="2772"/>
      <c r="AK15" s="2772"/>
      <c r="AL15" s="2772"/>
      <c r="AM15" s="2772"/>
      <c r="AN15" s="2783" t="str">
        <f>IF(OR(B2=0,S15=""),"","鉄蓋[個]")</f>
        <v>鉄蓋[個]</v>
      </c>
      <c r="AO15" s="2784"/>
      <c r="AP15" s="2784"/>
      <c r="AQ15" s="2784"/>
      <c r="AR15" s="2785"/>
      <c r="AS15" s="2786">
        <f>IF(B2=0,"",IF(AW15="",AS14,AW15))</f>
        <v>3</v>
      </c>
      <c r="AT15" s="2787"/>
      <c r="AU15" s="2787"/>
      <c r="AV15" s="928" t="s">
        <v>2357</v>
      </c>
      <c r="AW15" s="2788"/>
      <c r="AX15" s="2789"/>
      <c r="AY15" s="1123"/>
      <c r="AZ15" s="925"/>
      <c r="BA15" s="1137" t="s">
        <v>2916</v>
      </c>
      <c r="BB15" s="1136"/>
      <c r="BC15" s="1135"/>
      <c r="BD15" s="1134"/>
      <c r="BE15" s="1131"/>
      <c r="BF15" s="1131"/>
      <c r="BG15" s="1131"/>
      <c r="BH15" s="1133"/>
      <c r="BI15" s="1132"/>
      <c r="BJ15" s="1131"/>
      <c r="BK15" s="1131"/>
      <c r="BL15" s="1131"/>
      <c r="BM15" s="1131"/>
      <c r="BN15" s="1130"/>
      <c r="BO15" s="1130"/>
      <c r="BP15" s="1130"/>
      <c r="BQ15" s="1130"/>
      <c r="BR15" s="1130"/>
      <c r="BS15" s="1130"/>
      <c r="BT15" s="1129"/>
      <c r="BU15" s="924"/>
      <c r="BV15" s="936"/>
      <c r="BW15" s="1128">
        <f>VLOOKUP(BW17,[4]!階高,10,FALSE)</f>
        <v>30</v>
      </c>
      <c r="BX15" s="1128">
        <f>VLOOKUP(BW17,[4]!階高,11,FALSE)</f>
        <v>31.8</v>
      </c>
      <c r="BY15" s="1128">
        <f>IF(BO14="","",IF(BO14="Ⓐ",BW15+2*BX15+3,IF(BO14="Ⓑ",BW15/2+2*BX15+3,IF(BO14="Ⓒ",2*BX15+3,IF(BO14="Ⓓ",BW15+1.5*BX15+3,IF(BO14="Ⓔ",BW15/2+1.5*BX15+3,IF(BO14="Ⓕ",1.5*BX15+3,IF(BO14="Ⓖ",BW15+BX15+3,IF(BO14="Ⓗ",BW15/2*BX15+3,IF(BO14="Ⓘ",BX15+3))))))))))</f>
        <v>64.8</v>
      </c>
      <c r="BZ15" s="941"/>
      <c r="CA15" s="1127" t="str">
        <f>LEFT(I11,1)</f>
        <v>架</v>
      </c>
      <c r="CB15" s="1126" t="str">
        <f>LEFT(I14,1)</f>
        <v>地</v>
      </c>
      <c r="CC15" s="915"/>
      <c r="CD15" s="1125" t="str">
        <f>MID(S11,4,2)</f>
        <v>10</v>
      </c>
      <c r="CE15" s="1118"/>
      <c r="CF15" s="936"/>
      <c r="CG15" s="1087" t="str">
        <f>Top!$E23</f>
        <v xml:space="preserve"> B2F</v>
      </c>
      <c r="CH15" s="1086">
        <f>Top!$CD109</f>
        <v>5</v>
      </c>
      <c r="CI15" s="1085"/>
      <c r="CJ15" s="1072" t="s">
        <v>2915</v>
      </c>
      <c r="CK15" s="1093">
        <f>IF(ISNA(VLOOKUP(CJ15,[1]!階高,2,FALSE)),0,VLOOKUP(CJ15,[1]!階高,2,FALSE))</f>
        <v>5</v>
      </c>
      <c r="CL15" s="1093"/>
      <c r="CM15" s="1051"/>
      <c r="CQ15" s="1051"/>
      <c r="CU15" s="1082"/>
      <c r="CV15" s="1051"/>
      <c r="CW15" s="936"/>
      <c r="CX15" s="936"/>
      <c r="CY15" s="936"/>
      <c r="CZ15" s="1051"/>
      <c r="DA15" s="942"/>
      <c r="DB15" s="936"/>
      <c r="DC15" s="936"/>
    </row>
    <row r="16" spans="1:107" ht="6.75" customHeight="1">
      <c r="B16" s="1091"/>
      <c r="C16" s="1124"/>
      <c r="D16" s="1124"/>
      <c r="E16" s="1123"/>
      <c r="F16" s="1123"/>
      <c r="G16" s="1123"/>
      <c r="H16" s="1123"/>
      <c r="I16" s="1123"/>
      <c r="J16" s="1123"/>
      <c r="K16" s="1123"/>
      <c r="L16" s="1123"/>
      <c r="M16" s="1123"/>
      <c r="N16" s="1123"/>
      <c r="O16" s="1123"/>
      <c r="P16" s="1123"/>
      <c r="Q16" s="1123"/>
      <c r="R16" s="1123"/>
      <c r="S16" s="1123"/>
      <c r="T16" s="1123"/>
      <c r="U16" s="1123"/>
      <c r="V16" s="1123"/>
      <c r="W16" s="1123"/>
      <c r="X16" s="1123"/>
      <c r="Y16" s="1123"/>
      <c r="Z16" s="1123"/>
      <c r="AA16" s="1123"/>
      <c r="AB16" s="1123"/>
      <c r="AC16" s="1123"/>
      <c r="AD16" s="1123"/>
      <c r="AE16" s="1123"/>
      <c r="AF16" s="1123"/>
      <c r="AG16" s="1123"/>
      <c r="AH16" s="1123"/>
      <c r="AI16" s="1123"/>
      <c r="AJ16" s="1123"/>
      <c r="AK16" s="1123"/>
      <c r="AL16" s="1123"/>
      <c r="AM16" s="1123"/>
      <c r="AN16" s="1123"/>
      <c r="AO16" s="1123"/>
      <c r="AP16" s="1123"/>
      <c r="AQ16" s="1123"/>
      <c r="AR16" s="1123"/>
      <c r="AS16" s="1123"/>
      <c r="AT16" s="1123"/>
      <c r="AU16" s="1123"/>
      <c r="AV16" s="1123"/>
      <c r="AW16" s="1123"/>
      <c r="AX16" s="1123"/>
      <c r="AY16" s="1123"/>
      <c r="AZ16" s="925"/>
      <c r="BA16" s="1122"/>
      <c r="BB16" s="925"/>
      <c r="BC16" s="926"/>
      <c r="BD16" s="3024" t="str">
        <f>IF(B2=0,"","建物係数")</f>
        <v>建物係数</v>
      </c>
      <c r="BE16" s="3024"/>
      <c r="BF16" s="3024"/>
      <c r="BG16" s="3024"/>
      <c r="BH16" s="3025"/>
      <c r="BI16" s="3020">
        <f>IF(B2=0,"",Top!L130)</f>
        <v>0.94339622641509435</v>
      </c>
      <c r="BJ16" s="3021"/>
      <c r="BK16" s="3021"/>
      <c r="BL16" s="926"/>
      <c r="BM16" s="3016" t="str">
        <f>IF(B2=0,"","敷地係数")</f>
        <v>敷地係数</v>
      </c>
      <c r="BN16" s="3016"/>
      <c r="BO16" s="3016"/>
      <c r="BP16" s="3016"/>
      <c r="BQ16" s="3016"/>
      <c r="BR16" s="3018">
        <f>IF(B2=0,"",Top!AB18)</f>
        <v>1.4</v>
      </c>
      <c r="BS16" s="3018"/>
      <c r="BT16" s="3018"/>
      <c r="BU16" s="924"/>
      <c r="BV16" s="936"/>
      <c r="BW16" s="1116"/>
      <c r="BX16" s="1116"/>
      <c r="BY16" s="1116"/>
      <c r="BZ16" s="941"/>
      <c r="CA16" s="1121"/>
      <c r="CB16" s="1120"/>
      <c r="CC16" s="915"/>
      <c r="CD16" s="1119"/>
      <c r="CE16" s="1118"/>
      <c r="CF16" s="936"/>
      <c r="CG16" s="1087" t="str">
        <f>Top!E26</f>
        <v xml:space="preserve"> B1F</v>
      </c>
      <c r="CH16" s="1086">
        <f>Top!$CD110</f>
        <v>5</v>
      </c>
      <c r="CI16" s="1085"/>
      <c r="CJ16" s="1072"/>
      <c r="CK16" s="1093"/>
      <c r="CL16" s="1093"/>
      <c r="CM16" s="1051"/>
      <c r="CQ16" s="1051"/>
      <c r="CU16" s="1082"/>
      <c r="CV16" s="1051"/>
      <c r="CW16" s="936"/>
      <c r="CX16" s="936"/>
      <c r="CY16" s="936"/>
      <c r="CZ16" s="1051"/>
      <c r="DA16" s="942"/>
      <c r="DB16" s="936"/>
      <c r="DC16" s="936"/>
    </row>
    <row r="17" spans="1:107" ht="6" customHeight="1">
      <c r="B17" s="1091"/>
      <c r="C17" s="1115"/>
      <c r="D17" s="1115"/>
      <c r="E17" s="1115"/>
      <c r="F17" s="1115"/>
      <c r="G17" s="1115"/>
      <c r="H17" s="1115"/>
      <c r="I17" s="1115"/>
      <c r="J17" s="1115"/>
      <c r="K17" s="1115"/>
      <c r="L17" s="1115"/>
      <c r="M17" s="1115"/>
      <c r="N17" s="1115"/>
      <c r="O17" s="1115"/>
      <c r="P17" s="1115"/>
      <c r="Q17" s="926"/>
      <c r="R17" s="926"/>
      <c r="S17" s="926"/>
      <c r="T17" s="926"/>
      <c r="U17" s="926"/>
      <c r="V17" s="926"/>
      <c r="W17" s="926"/>
      <c r="X17" s="926"/>
      <c r="Y17" s="926"/>
      <c r="Z17" s="926"/>
      <c r="AA17" s="926"/>
      <c r="AB17" s="926"/>
      <c r="AC17" s="926"/>
      <c r="AD17" s="926"/>
      <c r="AE17" s="926"/>
      <c r="AF17" s="926"/>
      <c r="AG17" s="926"/>
      <c r="AH17" s="926"/>
      <c r="AI17" s="1117"/>
      <c r="AJ17" s="926"/>
      <c r="AK17" s="926"/>
      <c r="AL17" s="926"/>
      <c r="AM17" s="926"/>
      <c r="AN17" s="926"/>
      <c r="AO17" s="926"/>
      <c r="AP17" s="926"/>
      <c r="AQ17" s="926"/>
      <c r="AR17" s="926"/>
      <c r="AS17" s="926"/>
      <c r="AT17" s="926"/>
      <c r="AU17" s="926"/>
      <c r="AV17" s="926"/>
      <c r="AW17" s="926"/>
      <c r="AX17" s="926"/>
      <c r="AY17" s="926"/>
      <c r="AZ17" s="926"/>
      <c r="BA17" s="926"/>
      <c r="BB17" s="925"/>
      <c r="BC17" s="925"/>
      <c r="BD17" s="3026"/>
      <c r="BE17" s="3026"/>
      <c r="BF17" s="3026"/>
      <c r="BG17" s="3026"/>
      <c r="BH17" s="3027"/>
      <c r="BI17" s="3022"/>
      <c r="BJ17" s="3023"/>
      <c r="BK17" s="3023"/>
      <c r="BL17" s="926"/>
      <c r="BM17" s="3017"/>
      <c r="BN17" s="3017"/>
      <c r="BO17" s="3017"/>
      <c r="BP17" s="3017"/>
      <c r="BQ17" s="3017"/>
      <c r="BR17" s="3019"/>
      <c r="BS17" s="3019"/>
      <c r="BT17" s="3019"/>
      <c r="BU17" s="924"/>
      <c r="BV17" s="936"/>
      <c r="BW17" s="1116" t="str">
        <f>IF(O8="RF",CG34,IF(O8="GL","  1F", O8))</f>
        <v xml:space="preserve">  1F</v>
      </c>
      <c r="BX17" s="1116"/>
      <c r="BY17" s="1116"/>
      <c r="BZ17" s="936"/>
      <c r="CA17" s="916"/>
      <c r="CB17" s="936"/>
      <c r="CC17" s="936"/>
      <c r="CD17" s="936"/>
      <c r="CE17" s="936"/>
      <c r="CF17" s="936"/>
      <c r="CG17" s="1087" t="str">
        <f>Top!E28</f>
        <v xml:space="preserve">  1F</v>
      </c>
      <c r="CH17" s="1086">
        <f>Top!$CD111</f>
        <v>5</v>
      </c>
      <c r="CI17" s="1085"/>
      <c r="CJ17" s="1072" t="s">
        <v>2914</v>
      </c>
      <c r="CK17" s="1093">
        <f>IF(ISNA(VLOOKUP(CJ17,[1]!階高,2,FALSE)),0,VLOOKUP(CJ17,[1]!階高,2,FALSE))</f>
        <v>5</v>
      </c>
      <c r="CL17" s="1093"/>
      <c r="CM17" s="1051"/>
      <c r="CQ17" s="1051"/>
      <c r="CU17" s="1082"/>
      <c r="CV17" s="1051"/>
      <c r="CW17" s="936"/>
      <c r="CX17" s="936"/>
      <c r="CY17" s="936"/>
      <c r="CZ17" s="1051"/>
      <c r="DA17" s="942"/>
      <c r="DB17" s="936"/>
      <c r="DC17" s="936"/>
    </row>
    <row r="18" spans="1:107" ht="10.5" customHeight="1">
      <c r="B18" s="1091"/>
      <c r="C18" s="1115"/>
      <c r="D18" s="1115"/>
      <c r="E18" s="1115"/>
      <c r="F18" s="1115"/>
      <c r="G18" s="1115"/>
      <c r="H18" s="1115"/>
      <c r="I18" s="1115"/>
      <c r="J18" s="1115"/>
      <c r="K18" s="1115"/>
      <c r="L18" s="1115"/>
      <c r="M18" s="1115"/>
      <c r="N18" s="1115"/>
      <c r="O18" s="1115"/>
      <c r="P18" s="1115"/>
      <c r="Q18" s="926"/>
      <c r="R18" s="926"/>
      <c r="S18" s="926"/>
      <c r="T18" s="926"/>
      <c r="U18" s="926"/>
      <c r="V18" s="926"/>
      <c r="W18" s="926"/>
      <c r="X18" s="926"/>
      <c r="Y18" s="926"/>
      <c r="Z18" s="926"/>
      <c r="AA18" s="926"/>
      <c r="AB18" s="3154"/>
      <c r="AC18" s="3154"/>
      <c r="AD18" s="3154"/>
      <c r="AE18" s="3154"/>
      <c r="AF18" s="3154"/>
      <c r="AG18" s="3154"/>
      <c r="AH18" s="3154"/>
      <c r="AI18" s="3154"/>
      <c r="AJ18" s="926"/>
      <c r="AK18" s="1114"/>
      <c r="AL18" s="1114"/>
      <c r="AM18" s="1114"/>
      <c r="AN18" s="1114"/>
      <c r="AO18" s="1114"/>
      <c r="AP18" s="1114"/>
      <c r="AQ18" s="1114"/>
      <c r="AR18" s="1114"/>
      <c r="AS18" s="1114"/>
      <c r="AT18" s="1114"/>
      <c r="AU18" s="1114"/>
      <c r="AV18" s="1114"/>
      <c r="AW18" s="1114"/>
      <c r="AX18" s="1114"/>
      <c r="AY18" s="1114"/>
      <c r="AZ18" s="926"/>
      <c r="BA18" s="926"/>
      <c r="BB18" s="925"/>
      <c r="BC18" s="925"/>
      <c r="BD18" s="1094"/>
      <c r="BE18" s="1094"/>
      <c r="BF18" s="1094"/>
      <c r="BG18" s="1094"/>
      <c r="BH18" s="1113" t="str">
        <f>IF(B2=0,"","形状")</f>
        <v>形状</v>
      </c>
      <c r="BI18" s="3032">
        <f>IF(B2=0,"",Top!L130)</f>
        <v>0.94339622641509435</v>
      </c>
      <c r="BJ18" s="3033"/>
      <c r="BK18" s="3033"/>
      <c r="BL18" s="926"/>
      <c r="BM18" s="933"/>
      <c r="BN18" s="933"/>
      <c r="BO18" s="933"/>
      <c r="BP18" s="933"/>
      <c r="BQ18" s="1112" t="str">
        <f>IF(B2=0,"","形状")</f>
        <v>形状</v>
      </c>
      <c r="BR18" s="3028" t="str">
        <f>IF(B2=0,"",Top!AB19)</f>
        <v>A</v>
      </c>
      <c r="BS18" s="3028"/>
      <c r="BT18" s="3028"/>
      <c r="BU18" s="924"/>
      <c r="BV18" s="936"/>
      <c r="BW18" s="1111">
        <v>1</v>
      </c>
      <c r="BX18" s="1111"/>
      <c r="BY18" s="1111"/>
      <c r="BZ18" s="1111"/>
      <c r="CA18" s="1111"/>
      <c r="CB18" s="1111"/>
      <c r="CC18" s="1111" t="s">
        <v>2913</v>
      </c>
      <c r="CD18" s="1111"/>
      <c r="CE18" s="1111" t="s">
        <v>2912</v>
      </c>
      <c r="CF18" s="936"/>
      <c r="CG18" s="1087" t="str">
        <f>Top!E30</f>
        <v xml:space="preserve">  2F</v>
      </c>
      <c r="CH18" s="1086">
        <f>Top!$CD112</f>
        <v>4</v>
      </c>
      <c r="CI18" s="1085"/>
      <c r="CJ18" s="1072" t="s">
        <v>2911</v>
      </c>
      <c r="CK18" s="1093">
        <f>IF(ISNA(VLOOKUP(CJ18,[1]!階高,2,FALSE)),0,VLOOKUP(CJ18,[1]!階高,2,FALSE))</f>
        <v>0</v>
      </c>
      <c r="CL18" s="1093"/>
      <c r="CM18" s="1051"/>
      <c r="CQ18" s="1051"/>
      <c r="CU18" s="1082"/>
      <c r="CV18" s="1051"/>
      <c r="CW18" s="936"/>
      <c r="CX18" s="936"/>
      <c r="CY18" s="936"/>
      <c r="CZ18" s="1051"/>
      <c r="DA18" s="942"/>
      <c r="DB18" s="936"/>
      <c r="DC18" s="936"/>
    </row>
    <row r="19" spans="1:107" ht="10.5" customHeight="1">
      <c r="A19" s="912">
        <v>5</v>
      </c>
      <c r="B19" s="1091"/>
      <c r="C19" s="1110"/>
      <c r="D19" s="1110"/>
      <c r="E19" s="1110"/>
      <c r="F19" s="1110"/>
      <c r="G19" s="1110"/>
      <c r="H19" s="1110"/>
      <c r="I19" s="1110"/>
      <c r="J19" s="1110"/>
      <c r="K19" s="1110"/>
      <c r="L19" s="1110"/>
      <c r="M19" s="1110"/>
      <c r="N19" s="1110"/>
      <c r="O19" s="1110"/>
      <c r="P19" s="1110"/>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6"/>
      <c r="AV19" s="926"/>
      <c r="AW19" s="926"/>
      <c r="AX19" s="926"/>
      <c r="AY19" s="926"/>
      <c r="AZ19" s="926"/>
      <c r="BA19" s="926"/>
      <c r="BB19" s="925"/>
      <c r="BC19" s="925"/>
      <c r="BD19" s="1109"/>
      <c r="BE19" s="1109"/>
      <c r="BF19" s="1109"/>
      <c r="BG19" s="1109"/>
      <c r="BH19" s="1109"/>
      <c r="BI19" s="1108"/>
      <c r="BJ19" s="1108"/>
      <c r="BK19" s="1108"/>
      <c r="BL19" s="1108"/>
      <c r="BM19" s="1108"/>
      <c r="BN19" s="1107"/>
      <c r="BO19" s="1107"/>
      <c r="BP19" s="1107"/>
      <c r="BQ19" s="1106"/>
      <c r="BR19" s="1105"/>
      <c r="BS19" s="1105"/>
      <c r="BT19" s="1105"/>
      <c r="BU19" s="924"/>
      <c r="BV19" s="936"/>
      <c r="BW19" s="1069">
        <f t="shared" ref="BW19:BW42" si="2">IF(CC19&lt;&gt;"",BW18+1,BW18)</f>
        <v>2</v>
      </c>
      <c r="BX19" s="1069">
        <f t="shared" ref="BX19:BX42" si="3">IF(AND(BW19&lt;&gt;"",CC19&lt;&gt;""),BW19,"")</f>
        <v>2</v>
      </c>
      <c r="BY19" s="916" t="str">
        <f t="shared" ref="BY19:BY27" si="4">IF(OR(CD19="",CD19=0),"",K20)</f>
        <v>6KV CVT 60sq</v>
      </c>
      <c r="BZ19" s="936"/>
      <c r="CA19" s="936"/>
      <c r="CB19" s="936"/>
      <c r="CC19" s="936" t="str">
        <f>IF(COUNTIF($BY$18:$BY18,BY19)&gt;0,"",BY19)</f>
        <v>6KV CVT 60sq</v>
      </c>
      <c r="CD19" s="1072">
        <f t="shared" ref="CD19:CD27" si="5">AI20</f>
        <v>152.80000000000001</v>
      </c>
      <c r="CE19" s="1074">
        <f t="shared" ref="CE19:CE42" si="6">SUMIF($BY$19:$BY$43,CC19,$CD$19:$CD$43)</f>
        <v>152.80000000000001</v>
      </c>
      <c r="CF19" s="936"/>
      <c r="CG19" s="1087" t="str">
        <f>Top!E32</f>
        <v xml:space="preserve">  3F</v>
      </c>
      <c r="CH19" s="1086">
        <f>Top!$CD113</f>
        <v>4</v>
      </c>
      <c r="CI19" s="1085"/>
      <c r="CJ19" s="1072" t="s">
        <v>2910</v>
      </c>
      <c r="CK19" s="1093">
        <f>IF(ISNA(VLOOKUP(CJ19,[1]!階高,2,FALSE)),0,VLOOKUP(CJ19,[1]!階高,2,FALSE))</f>
        <v>0</v>
      </c>
      <c r="CL19" s="1093"/>
      <c r="CM19" s="1051"/>
      <c r="CQ19" s="1051"/>
      <c r="CU19" s="1082"/>
      <c r="CV19" s="1051"/>
      <c r="CW19" s="936"/>
      <c r="CX19" s="936"/>
      <c r="CY19" s="936"/>
      <c r="CZ19" s="1051"/>
      <c r="DA19" s="942"/>
      <c r="DB19" s="936"/>
      <c r="DC19" s="936"/>
    </row>
    <row r="20" spans="1:107" ht="12" customHeight="1">
      <c r="B20" s="1091"/>
      <c r="C20" s="3007" t="str">
        <f>IF(B2=0,"","引込ケ－ブル")</f>
        <v>引込ケ－ブル</v>
      </c>
      <c r="D20" s="3007"/>
      <c r="E20" s="3007"/>
      <c r="F20" s="3007"/>
      <c r="G20" s="3007"/>
      <c r="H20" s="3007"/>
      <c r="I20" s="3007"/>
      <c r="J20" s="3007"/>
      <c r="K20" s="2773" t="str">
        <f>IF(OR(B2=0,AI20=""),"",IF(X20&lt;&gt;"",X20,IF(VALUE(LEFT(受変!Y53,4))&gt;=700,"6KV CVT 60sq","6KV CVT 38sq")))</f>
        <v>6KV CVT 60sq</v>
      </c>
      <c r="L20" s="2774"/>
      <c r="M20" s="2774"/>
      <c r="N20" s="2774"/>
      <c r="O20" s="2774"/>
      <c r="P20" s="2774"/>
      <c r="Q20" s="2774"/>
      <c r="R20" s="2774"/>
      <c r="S20" s="2774"/>
      <c r="T20" s="2774"/>
      <c r="U20" s="2774"/>
      <c r="V20" s="2775"/>
      <c r="W20" s="928" t="s">
        <v>2371</v>
      </c>
      <c r="X20" s="2983"/>
      <c r="Y20" s="2984"/>
      <c r="Z20" s="2984"/>
      <c r="AA20" s="2984"/>
      <c r="AB20" s="2984"/>
      <c r="AC20" s="2984"/>
      <c r="AD20" s="2984"/>
      <c r="AE20" s="2984"/>
      <c r="AF20" s="2984"/>
      <c r="AG20" s="2984"/>
      <c r="AH20" s="2985"/>
      <c r="AI20" s="3000">
        <f>Y8</f>
        <v>152.80000000000001</v>
      </c>
      <c r="AJ20" s="3000"/>
      <c r="AK20" s="3000"/>
      <c r="AL20" s="3000"/>
      <c r="AM20" s="3000"/>
      <c r="AN20" s="3000"/>
      <c r="AO20" s="1101" t="str">
        <f t="shared" ref="AO20:AO28" si="7">IF(AI20="","","[m]")</f>
        <v>[m]</v>
      </c>
      <c r="AP20" s="1100"/>
      <c r="AQ20" s="1099"/>
      <c r="AR20" s="3001" t="str">
        <f>IF(OR(BH20="",Y7="L"),"",IF(BA20&lt;&gt;"",BA20,"SGP- 80A"))</f>
        <v>SGP- 80A</v>
      </c>
      <c r="AS20" s="3001"/>
      <c r="AT20" s="3001"/>
      <c r="AU20" s="3001"/>
      <c r="AV20" s="3001"/>
      <c r="AW20" s="3001"/>
      <c r="AX20" s="3001"/>
      <c r="AY20" s="3001"/>
      <c r="AZ20" s="928" t="s">
        <v>2371</v>
      </c>
      <c r="BA20" s="2983"/>
      <c r="BB20" s="2984"/>
      <c r="BC20" s="2984"/>
      <c r="BD20" s="2984"/>
      <c r="BE20" s="2984"/>
      <c r="BF20" s="2984"/>
      <c r="BG20" s="2985"/>
      <c r="BH20" s="2986">
        <f>IF(AND(BL7="B ",CA15="地",CB15="地"),"",IF(AND(BL7="C ",CA15="地",CB15="地"),"",IF(AND(BL7="D1",CA15="地",CB15="地"),BY5,IF(AND(BL7="D2",CA15="地",CB15="地"),BY6,IF(AND(BL7="B ",CA15="地",CB15="架"),CD3,IF(AND(BL7="C ",CA15="地",CB15="架"),CD4,IF(AND(BL7="D1",CA15="地",CB15="架"),CD5,IF(AND(BL7="D2",CA15="地",CB15="架"),CD6,IF(AND(BL7="B ",CA15="架",CB15="地"),CI3,IF(AND(BL7="C ",CA15="架",CB15="地"),CI4,IF(AND(BL7="D1",CA15="架",CB15="地"),CI5,IF(AND(BL7="D2",CA15="架",CB15="地"),CI6,IF(AND(BL7="B ",CA15="架",CB15="架"),CN3,IF(AND(BL7="C ",CA15="架",CB15="架"),CN4,IF(AND(BL7="D1",CA15="架",CB15="架"),CN5,IF(AND(BL7="D2",CA15="架",CB15="架"),CN6,""))))))))))))))))</f>
        <v>8.3000000000000007</v>
      </c>
      <c r="BI20" s="2987"/>
      <c r="BJ20" s="2987"/>
      <c r="BK20" s="2988"/>
      <c r="BL20" s="1092" t="str">
        <f t="shared" ref="BL20:BL28" si="8">IF(BH20="","","[m]")</f>
        <v>[m]</v>
      </c>
      <c r="BM20" s="1090"/>
      <c r="BN20" s="926"/>
      <c r="BO20" s="1098"/>
      <c r="BP20" s="1097"/>
      <c r="BQ20" s="925"/>
      <c r="BR20" s="1104"/>
      <c r="BS20" s="1104"/>
      <c r="BT20" s="1104"/>
      <c r="BU20" s="1103"/>
      <c r="BV20" s="941"/>
      <c r="BW20" s="1069">
        <f t="shared" si="2"/>
        <v>3</v>
      </c>
      <c r="BX20" s="1069">
        <f t="shared" si="3"/>
        <v>3</v>
      </c>
      <c r="BY20" s="916" t="str">
        <f t="shared" si="4"/>
        <v>CVVS 2sq-10C</v>
      </c>
      <c r="BZ20" s="936"/>
      <c r="CA20" s="936"/>
      <c r="CB20" s="936"/>
      <c r="CC20" s="936" t="str">
        <f>IF(COUNTIF($BY$18:$BY19,BY20)&gt;0,"",BY20)</f>
        <v>CVVS 2sq-10C</v>
      </c>
      <c r="CD20" s="1072">
        <f t="shared" si="5"/>
        <v>8.3000000000000007</v>
      </c>
      <c r="CE20" s="1074">
        <f t="shared" si="6"/>
        <v>8.3000000000000007</v>
      </c>
      <c r="CF20" s="1089"/>
      <c r="CG20" s="1087" t="str">
        <f>Top!E34</f>
        <v xml:space="preserve">  4F</v>
      </c>
      <c r="CH20" s="1086">
        <f>Top!$CD114</f>
        <v>4</v>
      </c>
      <c r="CI20" s="1085"/>
      <c r="CJ20" s="1072" t="s">
        <v>2909</v>
      </c>
      <c r="CK20" s="1093">
        <f>IF(ISNA(VLOOKUP(CJ20,[1]!階高,2,FALSE)),0,VLOOKUP(CJ20,[1]!階高,2,FALSE))</f>
        <v>0</v>
      </c>
      <c r="CL20" s="1093"/>
      <c r="CM20" s="1051"/>
      <c r="CN20" s="1089"/>
      <c r="CO20" s="1089"/>
      <c r="CP20" s="1004"/>
      <c r="CQ20" s="1051"/>
      <c r="CU20" s="1082"/>
      <c r="CV20" s="1051"/>
      <c r="CW20" s="936"/>
      <c r="CX20" s="936"/>
      <c r="CY20" s="936"/>
      <c r="CZ20" s="1051"/>
      <c r="DA20" s="942"/>
      <c r="DB20" s="936"/>
      <c r="DC20" s="936"/>
    </row>
    <row r="21" spans="1:107" ht="12" customHeight="1">
      <c r="B21" s="1091"/>
      <c r="C21" s="3007" t="str">
        <f>IF(OR(B2=0,X7="L"),"","制御ケ－ブル")</f>
        <v>制御ケ－ブル</v>
      </c>
      <c r="D21" s="3007"/>
      <c r="E21" s="3007"/>
      <c r="F21" s="3007"/>
      <c r="G21" s="3007"/>
      <c r="H21" s="3007"/>
      <c r="I21" s="3007"/>
      <c r="J21" s="3007"/>
      <c r="K21" s="2773" t="str">
        <f>IF(OR(B2=0,X7="L",AI21=""),"",IF(X21&lt;&gt;"",X21,"CVVS 2sq-10C"))</f>
        <v>CVVS 2sq-10C</v>
      </c>
      <c r="L21" s="2774"/>
      <c r="M21" s="2774"/>
      <c r="N21" s="2774"/>
      <c r="O21" s="2774"/>
      <c r="P21" s="2774"/>
      <c r="Q21" s="2774"/>
      <c r="R21" s="2774"/>
      <c r="S21" s="2774"/>
      <c r="T21" s="2774"/>
      <c r="U21" s="2774"/>
      <c r="V21" s="2775"/>
      <c r="W21" s="928" t="s">
        <v>2908</v>
      </c>
      <c r="X21" s="2983"/>
      <c r="Y21" s="2984"/>
      <c r="Z21" s="2984"/>
      <c r="AA21" s="2984"/>
      <c r="AB21" s="2984"/>
      <c r="AC21" s="2984"/>
      <c r="AD21" s="2984"/>
      <c r="AE21" s="2984"/>
      <c r="AF21" s="2984"/>
      <c r="AG21" s="2984"/>
      <c r="AH21" s="2985"/>
      <c r="AI21" s="3029">
        <f>IF(OR(CA15="架",CB15="架"),VALUE(MID(S11,4,2))-AC12,"")</f>
        <v>8.3000000000000007</v>
      </c>
      <c r="AJ21" s="3000"/>
      <c r="AK21" s="3000"/>
      <c r="AL21" s="3000"/>
      <c r="AM21" s="3000"/>
      <c r="AN21" s="3000"/>
      <c r="AO21" s="1101" t="str">
        <f t="shared" si="7"/>
        <v>[m]</v>
      </c>
      <c r="AP21" s="1100"/>
      <c r="AQ21" s="1099"/>
      <c r="AR21" s="3001" t="str">
        <f>IF(OR(BH21="",Y7="L"),"",IF(BA21&lt;&gt;"",BA21,"SGP- 25A"))</f>
        <v>SGP- 25A</v>
      </c>
      <c r="AS21" s="3001"/>
      <c r="AT21" s="3001"/>
      <c r="AU21" s="3001"/>
      <c r="AV21" s="3001"/>
      <c r="AW21" s="3001"/>
      <c r="AX21" s="3001"/>
      <c r="AY21" s="3001"/>
      <c r="AZ21" s="928" t="s">
        <v>2908</v>
      </c>
      <c r="BA21" s="2983"/>
      <c r="BB21" s="2984"/>
      <c r="BC21" s="2984"/>
      <c r="BD21" s="2984"/>
      <c r="BE21" s="2984"/>
      <c r="BF21" s="2984"/>
      <c r="BG21" s="2985"/>
      <c r="BH21" s="2986">
        <f>IF(S11="","",MID(S11,4,2)-AC12)</f>
        <v>8.3000000000000007</v>
      </c>
      <c r="BI21" s="2987"/>
      <c r="BJ21" s="2987"/>
      <c r="BK21" s="2988"/>
      <c r="BL21" s="1092" t="str">
        <f t="shared" si="8"/>
        <v>[m]</v>
      </c>
      <c r="BM21" s="1090"/>
      <c r="BN21" s="926"/>
      <c r="BO21" s="1098"/>
      <c r="BP21" s="1097"/>
      <c r="BQ21" s="1094"/>
      <c r="BR21" s="1102"/>
      <c r="BS21" s="1102"/>
      <c r="BT21" s="1102"/>
      <c r="BU21" s="924"/>
      <c r="BV21" s="941"/>
      <c r="BW21" s="1069">
        <f t="shared" si="2"/>
        <v>4</v>
      </c>
      <c r="BX21" s="1069">
        <f t="shared" si="3"/>
        <v>4</v>
      </c>
      <c r="BY21" s="916" t="str">
        <f t="shared" si="4"/>
        <v>CVVS 2sq-4C</v>
      </c>
      <c r="BZ21" s="936"/>
      <c r="CA21" s="936"/>
      <c r="CB21" s="936"/>
      <c r="CC21" s="936" t="str">
        <f>IF(COUNTIF($BY$18:$BY20,BY21)&gt;0,"",BY21)</f>
        <v>CVVS 2sq-4C</v>
      </c>
      <c r="CD21" s="1072">
        <f t="shared" si="5"/>
        <v>152.80000000000001</v>
      </c>
      <c r="CE21" s="1074">
        <f t="shared" si="6"/>
        <v>152.80000000000001</v>
      </c>
      <c r="CF21" s="1089"/>
      <c r="CG21" s="1087" t="str">
        <f>Top!E36</f>
        <v xml:space="preserve">  5F</v>
      </c>
      <c r="CH21" s="1086">
        <f>Top!$CD115</f>
        <v>4</v>
      </c>
      <c r="CI21" s="1085"/>
      <c r="CJ21" s="1072" t="s">
        <v>2907</v>
      </c>
      <c r="CK21" s="1093">
        <f>IF(ISNA(VLOOKUP(CJ21,[1]!階高,2,FALSE)),0,VLOOKUP(CJ21,[1]!階高,2,FALSE))</f>
        <v>0</v>
      </c>
      <c r="CL21" s="1093"/>
      <c r="CM21" s="1051"/>
      <c r="CN21" s="1089"/>
      <c r="CO21" s="1089"/>
      <c r="CP21" s="1004"/>
      <c r="CQ21" s="1051"/>
      <c r="CU21" s="1082"/>
      <c r="CV21" s="1051"/>
      <c r="CW21" s="936"/>
      <c r="CX21" s="936"/>
      <c r="CY21" s="936"/>
      <c r="CZ21" s="1051"/>
      <c r="DA21" s="942"/>
      <c r="DB21" s="936"/>
      <c r="DC21" s="936"/>
    </row>
    <row r="22" spans="1:107" ht="12" customHeight="1">
      <c r="B22" s="1091"/>
      <c r="C22" s="3007" t="str">
        <f>IF(OR(AI22="",X7="L"),"","制御ケ－ブル")</f>
        <v>制御ケ－ブル</v>
      </c>
      <c r="D22" s="3007"/>
      <c r="E22" s="3007"/>
      <c r="F22" s="3007"/>
      <c r="G22" s="3007"/>
      <c r="H22" s="3007"/>
      <c r="I22" s="3007"/>
      <c r="J22" s="3007"/>
      <c r="K22" s="2773" t="str">
        <f>IF(OR(B2=0,Y7="L",AI22=""),"",IF(X22&lt;&gt;"",X22,"CVVS 2sq-4C"))</f>
        <v>CVVS 2sq-4C</v>
      </c>
      <c r="L22" s="2774"/>
      <c r="M22" s="2774"/>
      <c r="N22" s="2774"/>
      <c r="O22" s="2774"/>
      <c r="P22" s="2774"/>
      <c r="Q22" s="2774"/>
      <c r="R22" s="2774"/>
      <c r="S22" s="2774"/>
      <c r="T22" s="2774"/>
      <c r="U22" s="2774"/>
      <c r="V22" s="2775"/>
      <c r="W22" s="928" t="s">
        <v>2905</v>
      </c>
      <c r="X22" s="2983"/>
      <c r="Y22" s="2984"/>
      <c r="Z22" s="2984"/>
      <c r="AA22" s="2984"/>
      <c r="AB22" s="2984"/>
      <c r="AC22" s="2984"/>
      <c r="AD22" s="2984"/>
      <c r="AE22" s="2984"/>
      <c r="AF22" s="2984"/>
      <c r="AG22" s="2984"/>
      <c r="AH22" s="2985"/>
      <c r="AI22" s="3000">
        <f>IF(AND(BL7="B ",CB15="地"),BY9,IF(AND(BL7="C ",CB15="地"),BY10,IF(AND(BL7="D1",CB15="地"),BY11,IF(AND(BL7="D2",CB15="地"),BY12,IF(AND(BL7="B ",CB15="架"),CD9,IF(AND(BL7="C ",CB15="架"),CD10,IF(AND(BL7="D1",CB15="架"),CD11,IF(AND(BL7="D2",CB15="架"),CD12,""))))))))</f>
        <v>152.80000000000001</v>
      </c>
      <c r="AJ22" s="3000"/>
      <c r="AK22" s="3000"/>
      <c r="AL22" s="3000"/>
      <c r="AM22" s="3000"/>
      <c r="AN22" s="3000"/>
      <c r="AO22" s="1101" t="str">
        <f t="shared" si="7"/>
        <v>[m]</v>
      </c>
      <c r="AP22" s="1100"/>
      <c r="AQ22" s="1099"/>
      <c r="AR22" s="3001" t="str">
        <f>IF(OR(BH22="",Y7="L"),"",IF(BA22&lt;&gt;"",BA22,"SGP- 25A"))</f>
        <v>SGP- 25A</v>
      </c>
      <c r="AS22" s="3001"/>
      <c r="AT22" s="3001"/>
      <c r="AU22" s="3001"/>
      <c r="AV22" s="3001"/>
      <c r="AW22" s="3001"/>
      <c r="AX22" s="3001"/>
      <c r="AY22" s="3001"/>
      <c r="AZ22" s="928" t="s">
        <v>2905</v>
      </c>
      <c r="BA22" s="2983"/>
      <c r="BB22" s="2984"/>
      <c r="BC22" s="2984"/>
      <c r="BD22" s="2984"/>
      <c r="BE22" s="2984"/>
      <c r="BF22" s="2984"/>
      <c r="BG22" s="2985"/>
      <c r="BH22" s="2986">
        <f>IF(K22="","",3)</f>
        <v>3</v>
      </c>
      <c r="BI22" s="2987"/>
      <c r="BJ22" s="2987"/>
      <c r="BK22" s="2988"/>
      <c r="BL22" s="1092" t="str">
        <f t="shared" si="8"/>
        <v>[m]</v>
      </c>
      <c r="BM22" s="1090"/>
      <c r="BN22" s="926"/>
      <c r="BO22" s="1098"/>
      <c r="BP22" s="1097"/>
      <c r="BQ22" s="925"/>
      <c r="BR22" s="925"/>
      <c r="BS22" s="925"/>
      <c r="BT22" s="925"/>
      <c r="BU22" s="924"/>
      <c r="BV22" s="941"/>
      <c r="BW22" s="1069">
        <f t="shared" si="2"/>
        <v>5</v>
      </c>
      <c r="BX22" s="1069">
        <f t="shared" si="3"/>
        <v>5</v>
      </c>
      <c r="BY22" s="916" t="str">
        <f t="shared" si="4"/>
        <v>IV-14sq</v>
      </c>
      <c r="BZ22" s="936"/>
      <c r="CA22" s="936"/>
      <c r="CB22" s="936"/>
      <c r="CC22" s="936" t="str">
        <f>IF(COUNTIF($BY$18:$BY21,BY22)&gt;0,"",BY22)</f>
        <v>IV-14sq</v>
      </c>
      <c r="CD22" s="1072">
        <f t="shared" si="5"/>
        <v>20</v>
      </c>
      <c r="CE22" s="1074">
        <f t="shared" si="6"/>
        <v>20</v>
      </c>
      <c r="CF22" s="1089"/>
      <c r="CG22" s="1087" t="str">
        <f>Top!E38</f>
        <v xml:space="preserve">  6F</v>
      </c>
      <c r="CH22" s="1086">
        <f>Top!$CD116</f>
        <v>4</v>
      </c>
      <c r="CI22" s="1085"/>
      <c r="CJ22" s="1096" t="s">
        <v>2906</v>
      </c>
      <c r="CK22" s="1095">
        <f>SUM(CK15:CK21)</f>
        <v>10</v>
      </c>
      <c r="CL22" s="1093"/>
      <c r="CM22" s="1051"/>
      <c r="CN22" s="1089"/>
      <c r="CO22" s="1089"/>
      <c r="CP22" s="1004"/>
      <c r="CQ22" s="1051"/>
      <c r="CU22" s="1082"/>
      <c r="CV22" s="1051"/>
      <c r="CW22" s="936"/>
      <c r="CX22" s="936"/>
      <c r="CY22" s="936"/>
      <c r="CZ22" s="1051"/>
      <c r="DA22" s="942"/>
      <c r="DB22" s="936"/>
      <c r="DC22" s="936"/>
    </row>
    <row r="23" spans="1:107" ht="12" customHeight="1">
      <c r="B23" s="1091"/>
      <c r="C23" s="3007" t="str">
        <f>IF(OR(B2=0,Y7="L"),"","接地配線-LA")</f>
        <v>接地配線-LA</v>
      </c>
      <c r="D23" s="3007"/>
      <c r="E23" s="3007"/>
      <c r="F23" s="3007"/>
      <c r="G23" s="3007"/>
      <c r="H23" s="3007"/>
      <c r="I23" s="3007"/>
      <c r="J23" s="3007"/>
      <c r="K23" s="3015" t="str">
        <f>IF(OR(B2=0,Y7="L"),"",IF(X23&lt;&gt;"",X23,"IV-14sq"))</f>
        <v>IV-14sq</v>
      </c>
      <c r="L23" s="2774"/>
      <c r="M23" s="2774"/>
      <c r="N23" s="2774"/>
      <c r="O23" s="2774"/>
      <c r="P23" s="2774"/>
      <c r="Q23" s="2774"/>
      <c r="R23" s="2774"/>
      <c r="S23" s="2774"/>
      <c r="T23" s="2774"/>
      <c r="U23" s="2774"/>
      <c r="V23" s="2775"/>
      <c r="W23" s="928" t="s">
        <v>2905</v>
      </c>
      <c r="X23" s="2983"/>
      <c r="Y23" s="2984"/>
      <c r="Z23" s="2984"/>
      <c r="AA23" s="2984"/>
      <c r="AB23" s="2984"/>
      <c r="AC23" s="2984"/>
      <c r="AD23" s="2984"/>
      <c r="AE23" s="2984"/>
      <c r="AF23" s="2984"/>
      <c r="AG23" s="2984"/>
      <c r="AH23" s="2985"/>
      <c r="AI23" s="3000">
        <f>IF(AL8="","",AL8+10)</f>
        <v>20</v>
      </c>
      <c r="AJ23" s="3000"/>
      <c r="AK23" s="3000"/>
      <c r="AL23" s="3000"/>
      <c r="AM23" s="3000"/>
      <c r="AN23" s="3000"/>
      <c r="AO23" s="2997" t="str">
        <f t="shared" si="7"/>
        <v>[m]</v>
      </c>
      <c r="AP23" s="2975"/>
      <c r="AQ23" s="2998"/>
      <c r="AR23" s="3001" t="str">
        <f>IF(BH23="","",IF(BA23&lt;&gt;"",BA23,"VE-22mm"))</f>
        <v>VE-22mm</v>
      </c>
      <c r="AS23" s="3001"/>
      <c r="AT23" s="3001"/>
      <c r="AU23" s="3001"/>
      <c r="AV23" s="3001"/>
      <c r="AW23" s="3001"/>
      <c r="AX23" s="3001"/>
      <c r="AY23" s="3001"/>
      <c r="AZ23" s="928" t="s">
        <v>2905</v>
      </c>
      <c r="BA23" s="2983"/>
      <c r="BB23" s="2984"/>
      <c r="BC23" s="2984"/>
      <c r="BD23" s="2984"/>
      <c r="BE23" s="2984"/>
      <c r="BF23" s="2984"/>
      <c r="BG23" s="2985"/>
      <c r="BH23" s="2986">
        <f>IF(B2=0,"",IF(AND(I11="地中引込",I14="地中管路"),"",4))</f>
        <v>4</v>
      </c>
      <c r="BI23" s="2987"/>
      <c r="BJ23" s="2987"/>
      <c r="BK23" s="2988"/>
      <c r="BL23" s="1092" t="str">
        <f t="shared" si="8"/>
        <v>[m]</v>
      </c>
      <c r="BM23" s="1090"/>
      <c r="BN23" s="933"/>
      <c r="BO23" s="1024"/>
      <c r="BP23" s="1024"/>
      <c r="BQ23" s="1094"/>
      <c r="BR23" s="1094"/>
      <c r="BS23" s="1094"/>
      <c r="BT23" s="1094"/>
      <c r="BU23" s="924"/>
      <c r="BV23" s="941"/>
      <c r="BW23" s="1069">
        <f t="shared" si="2"/>
        <v>6</v>
      </c>
      <c r="BX23" s="1069">
        <f t="shared" si="3"/>
        <v>6</v>
      </c>
      <c r="BY23" s="916" t="str">
        <f t="shared" si="4"/>
        <v>IV-22sq</v>
      </c>
      <c r="BZ23" s="936"/>
      <c r="CA23" s="936"/>
      <c r="CB23" s="936"/>
      <c r="CC23" s="936" t="str">
        <f>IF(COUNTIF($BY$18:$BY22,BY23)&gt;0,"",BY23)</f>
        <v>IV-22sq</v>
      </c>
      <c r="CD23" s="1072">
        <f t="shared" si="5"/>
        <v>20</v>
      </c>
      <c r="CE23" s="1074">
        <f t="shared" si="6"/>
        <v>40</v>
      </c>
      <c r="CF23" s="1089"/>
      <c r="CG23" s="1087" t="str">
        <f>Top!E40</f>
        <v xml:space="preserve">  7F</v>
      </c>
      <c r="CH23" s="1086">
        <f>Top!$CD117</f>
        <v>4</v>
      </c>
      <c r="CI23" s="1085"/>
      <c r="CJ23" s="1067"/>
      <c r="CK23" s="1093"/>
      <c r="CL23" s="1093"/>
      <c r="CM23" s="1089"/>
      <c r="CN23" s="1004"/>
      <c r="CO23" s="1004"/>
      <c r="CP23" s="1004"/>
      <c r="CQ23" s="1051"/>
      <c r="CU23" s="1082"/>
      <c r="CV23" s="1051"/>
      <c r="CW23" s="936"/>
      <c r="CX23" s="936"/>
      <c r="CY23" s="936"/>
      <c r="CZ23" s="1051"/>
      <c r="DA23" s="942"/>
      <c r="DB23" s="936"/>
      <c r="DC23" s="936"/>
    </row>
    <row r="24" spans="1:107" ht="12" customHeight="1">
      <c r="B24" s="1091"/>
      <c r="C24" s="3007" t="str">
        <f>IF(OR(B2=0,Y7="L"),"","接地配線-EA")</f>
        <v>接地配線-EA</v>
      </c>
      <c r="D24" s="3007"/>
      <c r="E24" s="3007"/>
      <c r="F24" s="3007"/>
      <c r="G24" s="3007"/>
      <c r="H24" s="3007"/>
      <c r="I24" s="3007"/>
      <c r="J24" s="3007"/>
      <c r="K24" s="3015" t="str">
        <f>IF(OR(B2=0,Y7="L"),"",IF(X24&lt;&gt;"",X24,"IV-22sq"))</f>
        <v>IV-22sq</v>
      </c>
      <c r="L24" s="2774"/>
      <c r="M24" s="2774"/>
      <c r="N24" s="2774"/>
      <c r="O24" s="2774"/>
      <c r="P24" s="2774"/>
      <c r="Q24" s="2774"/>
      <c r="R24" s="2774"/>
      <c r="S24" s="2774"/>
      <c r="T24" s="2774"/>
      <c r="U24" s="2774"/>
      <c r="V24" s="2775"/>
      <c r="W24" s="928" t="s">
        <v>2896</v>
      </c>
      <c r="X24" s="2983"/>
      <c r="Y24" s="2984"/>
      <c r="Z24" s="2984"/>
      <c r="AA24" s="2984"/>
      <c r="AB24" s="2984"/>
      <c r="AC24" s="2984"/>
      <c r="AD24" s="2984"/>
      <c r="AE24" s="2984"/>
      <c r="AF24" s="2984"/>
      <c r="AG24" s="2984"/>
      <c r="AH24" s="2985"/>
      <c r="AI24" s="3000">
        <f>AI23</f>
        <v>20</v>
      </c>
      <c r="AJ24" s="3000"/>
      <c r="AK24" s="3000"/>
      <c r="AL24" s="3000"/>
      <c r="AM24" s="3000"/>
      <c r="AN24" s="3000"/>
      <c r="AO24" s="2997" t="str">
        <f t="shared" si="7"/>
        <v>[m]</v>
      </c>
      <c r="AP24" s="2975"/>
      <c r="AQ24" s="2998"/>
      <c r="AR24" s="3008" t="str">
        <f>IF(BH24="","",IF(BA24&lt;&gt;"",BA24,"VE-28mm"))</f>
        <v>VE-28mm</v>
      </c>
      <c r="AS24" s="3009"/>
      <c r="AT24" s="3009"/>
      <c r="AU24" s="3009"/>
      <c r="AV24" s="3009"/>
      <c r="AW24" s="3009"/>
      <c r="AX24" s="3009"/>
      <c r="AY24" s="3010"/>
      <c r="AZ24" s="928" t="s">
        <v>2896</v>
      </c>
      <c r="BA24" s="2983"/>
      <c r="BB24" s="2984"/>
      <c r="BC24" s="2984"/>
      <c r="BD24" s="2984"/>
      <c r="BE24" s="2984"/>
      <c r="BF24" s="2984"/>
      <c r="BG24" s="2985"/>
      <c r="BH24" s="3012">
        <f>IF(OR(B2=0,AI24=0),"",IF(AI24="","",AI24-3))</f>
        <v>17</v>
      </c>
      <c r="BI24" s="3013"/>
      <c r="BJ24" s="3013"/>
      <c r="BK24" s="3014"/>
      <c r="BL24" s="1092" t="str">
        <f t="shared" si="8"/>
        <v>[m]</v>
      </c>
      <c r="BM24" s="1090"/>
      <c r="BN24" s="933"/>
      <c r="BO24" s="1024"/>
      <c r="BP24" s="1024"/>
      <c r="BQ24" s="925"/>
      <c r="BR24" s="925"/>
      <c r="BS24" s="925"/>
      <c r="BT24" s="925"/>
      <c r="BU24" s="924"/>
      <c r="BV24" s="941"/>
      <c r="BW24" s="1069">
        <f t="shared" si="2"/>
        <v>6</v>
      </c>
      <c r="BX24" s="1069" t="str">
        <f t="shared" si="3"/>
        <v/>
      </c>
      <c r="BY24" s="916" t="str">
        <f t="shared" si="4"/>
        <v>IV-22sq</v>
      </c>
      <c r="BZ24" s="936"/>
      <c r="CA24" s="936"/>
      <c r="CB24" s="936"/>
      <c r="CC24" s="936" t="str">
        <f>IF(COUNTIF($BY$18:$BY23,BY24)&gt;0,"",BY24)</f>
        <v/>
      </c>
      <c r="CD24" s="1072">
        <f t="shared" si="5"/>
        <v>20</v>
      </c>
      <c r="CE24" s="1074">
        <f t="shared" si="6"/>
        <v>0</v>
      </c>
      <c r="CF24" s="1089"/>
      <c r="CG24" s="1087" t="str">
        <f>Top!E42</f>
        <v xml:space="preserve">  8F</v>
      </c>
      <c r="CH24" s="1086">
        <f>Top!$CD118</f>
        <v>4</v>
      </c>
      <c r="CI24" s="1085"/>
      <c r="CJ24" s="1050" t="s">
        <v>2904</v>
      </c>
      <c r="CK24" s="1050" t="s">
        <v>2903</v>
      </c>
      <c r="CL24" s="1050" t="s">
        <v>2902</v>
      </c>
      <c r="CM24" s="1050" t="s">
        <v>2901</v>
      </c>
      <c r="CN24" s="1050" t="s">
        <v>2900</v>
      </c>
      <c r="CO24" s="1050" t="s">
        <v>2899</v>
      </c>
      <c r="CP24" s="1050" t="s">
        <v>2898</v>
      </c>
      <c r="CQ24" s="1050" t="s">
        <v>2897</v>
      </c>
      <c r="CU24" s="1082"/>
      <c r="CV24" s="1051"/>
      <c r="CW24" s="936"/>
      <c r="CX24" s="936"/>
      <c r="CY24" s="936"/>
      <c r="CZ24" s="1051"/>
      <c r="DA24" s="942"/>
      <c r="DB24" s="936"/>
      <c r="DC24" s="936"/>
    </row>
    <row r="25" spans="1:107" ht="12" customHeight="1">
      <c r="B25" s="1091"/>
      <c r="C25" s="3007" t="str">
        <f>IF(OR(B2=0,Y7="L"),"","接地配線-EB")</f>
        <v>接地配線-EB</v>
      </c>
      <c r="D25" s="3007"/>
      <c r="E25" s="3007"/>
      <c r="F25" s="3007"/>
      <c r="G25" s="3007"/>
      <c r="H25" s="3007"/>
      <c r="I25" s="3007"/>
      <c r="J25" s="3007"/>
      <c r="K25" s="3015" t="str">
        <f>IF(OR(B2=0,Y7="L"),"",IF(X25&lt;&gt;"",X25,"IV-22sq"))</f>
        <v>IV-22sq</v>
      </c>
      <c r="L25" s="2774"/>
      <c r="M25" s="2774"/>
      <c r="N25" s="2774"/>
      <c r="O25" s="2774"/>
      <c r="P25" s="2774"/>
      <c r="Q25" s="2774"/>
      <c r="R25" s="2774"/>
      <c r="S25" s="2774"/>
      <c r="T25" s="2774"/>
      <c r="U25" s="2774"/>
      <c r="V25" s="2775"/>
      <c r="W25" s="928" t="s">
        <v>2896</v>
      </c>
      <c r="X25" s="2983"/>
      <c r="Y25" s="2984"/>
      <c r="Z25" s="2984"/>
      <c r="AA25" s="2984"/>
      <c r="AB25" s="2984"/>
      <c r="AC25" s="2984"/>
      <c r="AD25" s="2984"/>
      <c r="AE25" s="2984"/>
      <c r="AF25" s="2984"/>
      <c r="AG25" s="2984"/>
      <c r="AH25" s="2985"/>
      <c r="AI25" s="3000">
        <f>AI23</f>
        <v>20</v>
      </c>
      <c r="AJ25" s="3000"/>
      <c r="AK25" s="3000"/>
      <c r="AL25" s="3000"/>
      <c r="AM25" s="3000"/>
      <c r="AN25" s="3000"/>
      <c r="AO25" s="2997" t="str">
        <f t="shared" si="7"/>
        <v>[m]</v>
      </c>
      <c r="AP25" s="2975"/>
      <c r="AQ25" s="2998"/>
      <c r="AR25" s="3008" t="str">
        <f>IF(BH25="","",IF(BA25&lt;&gt;"",BA25,"VE-28mm"))</f>
        <v>VE-28mm</v>
      </c>
      <c r="AS25" s="3009"/>
      <c r="AT25" s="3009"/>
      <c r="AU25" s="3009"/>
      <c r="AV25" s="3009"/>
      <c r="AW25" s="3009"/>
      <c r="AX25" s="3009"/>
      <c r="AY25" s="3010"/>
      <c r="AZ25" s="928" t="s">
        <v>2896</v>
      </c>
      <c r="BA25" s="2983"/>
      <c r="BB25" s="2984"/>
      <c r="BC25" s="2984"/>
      <c r="BD25" s="2984"/>
      <c r="BE25" s="2984"/>
      <c r="BF25" s="2984"/>
      <c r="BG25" s="2985"/>
      <c r="BH25" s="3012">
        <f>IF(OR(B2=0,AI25=0),"",IF(AI25="","",AI25-3))</f>
        <v>17</v>
      </c>
      <c r="BI25" s="3013"/>
      <c r="BJ25" s="3013"/>
      <c r="BK25" s="3014"/>
      <c r="BL25" s="1092" t="str">
        <f t="shared" si="8"/>
        <v>[m]</v>
      </c>
      <c r="BM25" s="1090"/>
      <c r="BN25" s="933"/>
      <c r="BO25" s="1024"/>
      <c r="BP25" s="1024"/>
      <c r="BQ25" s="925"/>
      <c r="BR25" s="925"/>
      <c r="BS25" s="925"/>
      <c r="BT25" s="925"/>
      <c r="BU25" s="924"/>
      <c r="BV25" s="941"/>
      <c r="BW25" s="1069">
        <f t="shared" si="2"/>
        <v>7</v>
      </c>
      <c r="BX25" s="1069">
        <f t="shared" si="3"/>
        <v>7</v>
      </c>
      <c r="BY25" s="916" t="str">
        <f t="shared" si="4"/>
        <v>IV-60sq</v>
      </c>
      <c r="BZ25" s="936"/>
      <c r="CA25" s="936"/>
      <c r="CB25" s="936"/>
      <c r="CC25" s="936" t="str">
        <f>IF(COUNTIF($BY$18:$BY24,BY25)&gt;0,"",BY25)</f>
        <v>IV-60sq</v>
      </c>
      <c r="CD25" s="1072">
        <f t="shared" si="5"/>
        <v>20</v>
      </c>
      <c r="CE25" s="1074">
        <f t="shared" si="6"/>
        <v>20</v>
      </c>
      <c r="CF25" s="1089"/>
      <c r="CG25" s="1087" t="str">
        <f>Top!E44</f>
        <v xml:space="preserve">  9F</v>
      </c>
      <c r="CH25" s="1086">
        <f>Top!$CD119</f>
        <v>4</v>
      </c>
      <c r="CI25" s="1085"/>
      <c r="CJ25" s="1050" t="s">
        <v>2895</v>
      </c>
      <c r="CK25" s="1050" t="s">
        <v>2894</v>
      </c>
      <c r="CL25" s="1050" t="s">
        <v>2893</v>
      </c>
      <c r="CM25" s="1050" t="s">
        <v>2892</v>
      </c>
      <c r="CN25" s="1050" t="s">
        <v>2891</v>
      </c>
      <c r="CO25" s="1050" t="s">
        <v>2890</v>
      </c>
      <c r="CP25" s="1050" t="s">
        <v>2889</v>
      </c>
      <c r="CQ25" s="1050" t="s">
        <v>2888</v>
      </c>
      <c r="CU25" s="1082"/>
      <c r="CV25" s="1051"/>
      <c r="CW25" s="936"/>
      <c r="CX25" s="936"/>
      <c r="CY25" s="936"/>
      <c r="CZ25" s="1051"/>
      <c r="DA25" s="942"/>
      <c r="DB25" s="936"/>
      <c r="DC25" s="936"/>
    </row>
    <row r="26" spans="1:107" ht="12" customHeight="1">
      <c r="B26" s="1091"/>
      <c r="C26" s="3007" t="str">
        <f>IF(B2=0,"","地配線-ED")</f>
        <v>地配線-ED</v>
      </c>
      <c r="D26" s="3007"/>
      <c r="E26" s="3007"/>
      <c r="F26" s="3007"/>
      <c r="G26" s="3007"/>
      <c r="H26" s="3007"/>
      <c r="I26" s="3007"/>
      <c r="J26" s="3007"/>
      <c r="K26" s="2773" t="str">
        <f>IF(B2=0,"",IF(X26&lt;&gt;"",X26,"IV-60sq"))</f>
        <v>IV-60sq</v>
      </c>
      <c r="L26" s="2774"/>
      <c r="M26" s="2774"/>
      <c r="N26" s="2774"/>
      <c r="O26" s="2774"/>
      <c r="P26" s="2774"/>
      <c r="Q26" s="2774"/>
      <c r="R26" s="2774"/>
      <c r="S26" s="2774"/>
      <c r="T26" s="2774"/>
      <c r="U26" s="2774"/>
      <c r="V26" s="2775"/>
      <c r="W26" s="928" t="s">
        <v>2371</v>
      </c>
      <c r="X26" s="2983"/>
      <c r="Y26" s="2984"/>
      <c r="Z26" s="2984"/>
      <c r="AA26" s="2984"/>
      <c r="AB26" s="2984"/>
      <c r="AC26" s="2984"/>
      <c r="AD26" s="2984"/>
      <c r="AE26" s="2984"/>
      <c r="AF26" s="2984"/>
      <c r="AG26" s="2984"/>
      <c r="AH26" s="2985"/>
      <c r="AI26" s="3000">
        <f>AI23</f>
        <v>20</v>
      </c>
      <c r="AJ26" s="3000"/>
      <c r="AK26" s="3000"/>
      <c r="AL26" s="3000"/>
      <c r="AM26" s="3000"/>
      <c r="AN26" s="3000"/>
      <c r="AO26" s="2997" t="str">
        <f t="shared" si="7"/>
        <v>[m]</v>
      </c>
      <c r="AP26" s="2975"/>
      <c r="AQ26" s="2998"/>
      <c r="AR26" s="3001" t="str">
        <f>IF(BH26="","",IF(BA26&lt;&gt;"",BA26,"VE-22mm"))</f>
        <v>VE-22mm</v>
      </c>
      <c r="AS26" s="3001"/>
      <c r="AT26" s="3001"/>
      <c r="AU26" s="3001"/>
      <c r="AV26" s="3001"/>
      <c r="AW26" s="3001"/>
      <c r="AX26" s="3001"/>
      <c r="AY26" s="3001"/>
      <c r="AZ26" s="928" t="s">
        <v>2371</v>
      </c>
      <c r="BA26" s="2983"/>
      <c r="BB26" s="2984"/>
      <c r="BC26" s="2984"/>
      <c r="BD26" s="2984"/>
      <c r="BE26" s="2984"/>
      <c r="BF26" s="2984"/>
      <c r="BG26" s="2985"/>
      <c r="BH26" s="2986">
        <f>IF(OR(B2=0,AI22=0),"",IF(AI22="","",AI22-3))</f>
        <v>149.80000000000001</v>
      </c>
      <c r="BI26" s="2987"/>
      <c r="BJ26" s="2987"/>
      <c r="BK26" s="2988"/>
      <c r="BL26" s="1090" t="str">
        <f t="shared" si="8"/>
        <v>[m]</v>
      </c>
      <c r="BM26" s="1090"/>
      <c r="BN26" s="926"/>
      <c r="BO26" s="1024"/>
      <c r="BP26" s="1024"/>
      <c r="BQ26" s="925"/>
      <c r="BR26" s="925"/>
      <c r="BS26" s="925"/>
      <c r="BT26" s="925"/>
      <c r="BU26" s="924"/>
      <c r="BV26" s="936"/>
      <c r="BW26" s="1069">
        <f t="shared" si="2"/>
        <v>8</v>
      </c>
      <c r="BX26" s="1069">
        <f t="shared" si="3"/>
        <v>8</v>
      </c>
      <c r="BY26" s="916" t="str">
        <f t="shared" si="4"/>
        <v>IV-38sq</v>
      </c>
      <c r="BZ26" s="936"/>
      <c r="CA26" s="936"/>
      <c r="CB26" s="936"/>
      <c r="CC26" s="936" t="str">
        <f>IF(COUNTIF($BY$18:$BY25,BY26)&gt;0,"",BY26)</f>
        <v>IV-38sq</v>
      </c>
      <c r="CD26" s="1072">
        <f t="shared" si="5"/>
        <v>20</v>
      </c>
      <c r="CE26" s="1074">
        <f t="shared" si="6"/>
        <v>20</v>
      </c>
      <c r="CF26" s="1089"/>
      <c r="CG26" s="1087" t="str">
        <f>Top!E46</f>
        <v xml:space="preserve"> 10F</v>
      </c>
      <c r="CH26" s="1086">
        <f>Top!$CD120</f>
        <v>4</v>
      </c>
      <c r="CI26" s="1085"/>
      <c r="CJ26" s="1050" t="s">
        <v>2887</v>
      </c>
      <c r="CK26" s="1050" t="s">
        <v>2886</v>
      </c>
      <c r="CL26" s="1050" t="s">
        <v>2885</v>
      </c>
      <c r="CM26" s="1050" t="s">
        <v>2884</v>
      </c>
      <c r="CN26" s="1050" t="s">
        <v>2883</v>
      </c>
      <c r="CO26" s="1050" t="s">
        <v>2882</v>
      </c>
      <c r="CP26" s="1050" t="s">
        <v>2881</v>
      </c>
      <c r="CQ26" s="1050" t="s">
        <v>2880</v>
      </c>
      <c r="CU26" s="1082"/>
      <c r="CV26" s="1051"/>
      <c r="CW26" s="936"/>
      <c r="CX26" s="936"/>
      <c r="CY26" s="936"/>
      <c r="CZ26" s="1051"/>
      <c r="DA26" s="942"/>
      <c r="DB26" s="936"/>
      <c r="DC26" s="936"/>
    </row>
    <row r="27" spans="1:107" ht="12" customHeight="1">
      <c r="B27" s="927"/>
      <c r="C27" s="3007" t="str">
        <f>IF(B2=0,"","接地配線EDE")</f>
        <v>接地配線EDE</v>
      </c>
      <c r="D27" s="3007"/>
      <c r="E27" s="3007"/>
      <c r="F27" s="3007"/>
      <c r="G27" s="3007"/>
      <c r="H27" s="3007"/>
      <c r="I27" s="3007"/>
      <c r="J27" s="3007"/>
      <c r="K27" s="2773" t="str">
        <f>IF(B2=0,"",IF(X27&lt;&gt;"",X27,"IV-38sq"))</f>
        <v>IV-38sq</v>
      </c>
      <c r="L27" s="2774"/>
      <c r="M27" s="2774"/>
      <c r="N27" s="2774"/>
      <c r="O27" s="2774"/>
      <c r="P27" s="2774"/>
      <c r="Q27" s="2774"/>
      <c r="R27" s="2774"/>
      <c r="S27" s="2774"/>
      <c r="T27" s="2774"/>
      <c r="U27" s="2774"/>
      <c r="V27" s="2775"/>
      <c r="W27" s="928" t="s">
        <v>2371</v>
      </c>
      <c r="X27" s="2983"/>
      <c r="Y27" s="2984"/>
      <c r="Z27" s="2984"/>
      <c r="AA27" s="2984"/>
      <c r="AB27" s="2984"/>
      <c r="AC27" s="2984"/>
      <c r="AD27" s="2984"/>
      <c r="AE27" s="2984"/>
      <c r="AF27" s="2984"/>
      <c r="AG27" s="2984"/>
      <c r="AH27" s="2985"/>
      <c r="AI27" s="3000">
        <f>AI23</f>
        <v>20</v>
      </c>
      <c r="AJ27" s="3000"/>
      <c r="AK27" s="3000"/>
      <c r="AL27" s="3000"/>
      <c r="AM27" s="3000"/>
      <c r="AN27" s="3000"/>
      <c r="AO27" s="2997" t="str">
        <f t="shared" si="7"/>
        <v>[m]</v>
      </c>
      <c r="AP27" s="2975"/>
      <c r="AQ27" s="2998"/>
      <c r="AR27" s="3008" t="str">
        <f>IF(OR(BH27="",AY29="不要"),"",IF(BA27&lt;&gt;"",BA27,"導入線 2.0mmφ"))</f>
        <v>導入線 2.0mmφ</v>
      </c>
      <c r="AS27" s="3009"/>
      <c r="AT27" s="3009"/>
      <c r="AU27" s="3009"/>
      <c r="AV27" s="3009"/>
      <c r="AW27" s="3009"/>
      <c r="AX27" s="3009"/>
      <c r="AY27" s="3010"/>
      <c r="AZ27" s="928" t="s">
        <v>2371</v>
      </c>
      <c r="BA27" s="3011"/>
      <c r="BB27" s="2990"/>
      <c r="BC27" s="2990"/>
      <c r="BD27" s="2990"/>
      <c r="BE27" s="2990"/>
      <c r="BF27" s="2990"/>
      <c r="BG27" s="2991"/>
      <c r="BH27" s="2986">
        <f>IF(B2=0,"",IF(AND(BL7="B ",CB15="地"),CA9,IF(AND(BL7="C ",CB15="地"),CA10,IF(AND(BL7="D1",CB15="地"),CA11,IF(AND(BL7="D2",CB15="地"),CA12,IF(AND(BL7="B ",CB15="架"),CF9,IF(AND(BL7="C ",CB15="架"),CF10,IF(AND(BL7="D1",CB15="架"),CF11,IF(AND(BL7="D2",CB15="架"),CF12,"")))))))))</f>
        <v>157.80000000000001</v>
      </c>
      <c r="BI27" s="2987"/>
      <c r="BJ27" s="2987"/>
      <c r="BK27" s="2988"/>
      <c r="BL27" s="1090" t="str">
        <f t="shared" si="8"/>
        <v>[m]</v>
      </c>
      <c r="BM27" s="1090"/>
      <c r="BN27" s="926"/>
      <c r="BO27" s="1024"/>
      <c r="BP27" s="1024"/>
      <c r="BQ27" s="925"/>
      <c r="BR27" s="925"/>
      <c r="BS27" s="925"/>
      <c r="BT27" s="925"/>
      <c r="BU27" s="924"/>
      <c r="BV27" s="936"/>
      <c r="BW27" s="1069">
        <f t="shared" si="2"/>
        <v>9</v>
      </c>
      <c r="BX27" s="1069">
        <f t="shared" si="3"/>
        <v>9</v>
      </c>
      <c r="BY27" s="916" t="str">
        <f t="shared" si="4"/>
        <v>IV-5.5sq</v>
      </c>
      <c r="BZ27" s="936"/>
      <c r="CA27" s="936"/>
      <c r="CB27" s="936"/>
      <c r="CC27" s="936" t="str">
        <f>IF(COUNTIF($BY$18:$BY26,BY27)&gt;0,"",BY27)</f>
        <v>IV-5.5sq</v>
      </c>
      <c r="CD27" s="1072">
        <f t="shared" si="5"/>
        <v>60</v>
      </c>
      <c r="CE27" s="1074">
        <f t="shared" si="6"/>
        <v>60</v>
      </c>
      <c r="CF27" s="1089"/>
      <c r="CG27" s="1087" t="str">
        <f>Top!E48</f>
        <v xml:space="preserve"> 11F</v>
      </c>
      <c r="CH27" s="1086">
        <f>Top!$CD121</f>
        <v>4</v>
      </c>
      <c r="CI27" s="1085"/>
      <c r="CJ27" s="1050" t="s">
        <v>2879</v>
      </c>
      <c r="CK27" s="1050" t="s">
        <v>2878</v>
      </c>
      <c r="CL27" s="1050" t="s">
        <v>2877</v>
      </c>
      <c r="CM27" s="1050" t="s">
        <v>2876</v>
      </c>
      <c r="CN27" s="1050" t="s">
        <v>2875</v>
      </c>
      <c r="CO27" s="1050" t="s">
        <v>2874</v>
      </c>
      <c r="CP27" s="1050" t="s">
        <v>2873</v>
      </c>
      <c r="CQ27" s="1050" t="s">
        <v>2872</v>
      </c>
      <c r="CU27" s="1082"/>
      <c r="CV27" s="1051"/>
      <c r="CW27" s="936"/>
      <c r="CX27" s="936"/>
      <c r="CY27" s="936"/>
      <c r="CZ27" s="1051"/>
      <c r="DA27" s="942"/>
      <c r="DB27" s="936"/>
      <c r="DC27" s="936"/>
    </row>
    <row r="28" spans="1:107" ht="12" customHeight="1">
      <c r="B28" s="927"/>
      <c r="C28" s="3007" t="str">
        <f>IF(B2=0,"","接地配線p,c")</f>
        <v>接地配線p,c</v>
      </c>
      <c r="D28" s="3007"/>
      <c r="E28" s="3007"/>
      <c r="F28" s="3007"/>
      <c r="G28" s="3007"/>
      <c r="H28" s="3007"/>
      <c r="I28" s="3007"/>
      <c r="J28" s="3007"/>
      <c r="K28" s="2773" t="str">
        <f>IF(B2=0,"",IF(X28&lt;&gt;"",X28,"IV-5.5sq"))</f>
        <v>IV-5.5sq</v>
      </c>
      <c r="L28" s="2774"/>
      <c r="M28" s="2774"/>
      <c r="N28" s="2774"/>
      <c r="O28" s="2774"/>
      <c r="P28" s="2774"/>
      <c r="Q28" s="2774"/>
      <c r="R28" s="2774"/>
      <c r="S28" s="2774"/>
      <c r="T28" s="2774"/>
      <c r="U28" s="2774"/>
      <c r="V28" s="2775"/>
      <c r="W28" s="928" t="s">
        <v>2371</v>
      </c>
      <c r="X28" s="2983"/>
      <c r="Y28" s="2984"/>
      <c r="Z28" s="2984"/>
      <c r="AA28" s="2984"/>
      <c r="AB28" s="2984"/>
      <c r="AC28" s="2984"/>
      <c r="AD28" s="2984"/>
      <c r="AE28" s="2984"/>
      <c r="AF28" s="2984"/>
      <c r="AG28" s="2984"/>
      <c r="AH28" s="2985"/>
      <c r="AI28" s="3000">
        <f>IF(AL8="","",2*(AL8+20))</f>
        <v>60</v>
      </c>
      <c r="AJ28" s="3000"/>
      <c r="AK28" s="3000"/>
      <c r="AL28" s="3000"/>
      <c r="AM28" s="3000"/>
      <c r="AN28" s="3000"/>
      <c r="AO28" s="2997" t="str">
        <f t="shared" si="7"/>
        <v>[m]</v>
      </c>
      <c r="AP28" s="2975"/>
      <c r="AQ28" s="2998"/>
      <c r="AR28" s="3001" t="str">
        <f>IF(B2=0,"",IF(BA28&lt;&gt;"",BA28,"支線38sq-7/2.6"))</f>
        <v>支線38sq-7/2.6</v>
      </c>
      <c r="AS28" s="3001"/>
      <c r="AT28" s="3001"/>
      <c r="AU28" s="3001"/>
      <c r="AV28" s="3001"/>
      <c r="AW28" s="3001"/>
      <c r="AX28" s="3001"/>
      <c r="AY28" s="3001"/>
      <c r="AZ28" s="928" t="s">
        <v>2371</v>
      </c>
      <c r="BA28" s="3002"/>
      <c r="BB28" s="2984"/>
      <c r="BC28" s="2984"/>
      <c r="BD28" s="2984"/>
      <c r="BE28" s="2984"/>
      <c r="BF28" s="2984"/>
      <c r="BG28" s="2985"/>
      <c r="BH28" s="2986" t="str">
        <f>IF(B2=0,"",IF(AND(BL7="B ",CB15="架"),CC9,IF(AND(BL7="C ",CB15="架"),CC10,IF(AND(BL7="D1",CB15="架"),CC11,IF(AND(BL7="D2 ",CB15="架"),CC12,"")))))</f>
        <v/>
      </c>
      <c r="BI28" s="2987"/>
      <c r="BJ28" s="2987"/>
      <c r="BK28" s="2988"/>
      <c r="BL28" s="1090" t="str">
        <f t="shared" si="8"/>
        <v/>
      </c>
      <c r="BM28" s="1090"/>
      <c r="BN28" s="926"/>
      <c r="BO28" s="1024"/>
      <c r="BP28" s="1024"/>
      <c r="BQ28" s="925"/>
      <c r="BR28" s="925"/>
      <c r="BS28" s="925"/>
      <c r="BT28" s="925"/>
      <c r="BU28" s="924"/>
      <c r="BV28" s="936"/>
      <c r="BW28" s="1069">
        <f t="shared" si="2"/>
        <v>10</v>
      </c>
      <c r="BX28" s="1069">
        <f t="shared" si="3"/>
        <v>10</v>
      </c>
      <c r="BY28" s="916" t="str">
        <f t="shared" ref="BY28:BY36" si="9">IF(OR(CD28="",CD28=0),"",AR20)</f>
        <v>SGP- 80A</v>
      </c>
      <c r="BZ28" s="936"/>
      <c r="CA28" s="936"/>
      <c r="CB28" s="936"/>
      <c r="CC28" s="936" t="str">
        <f>IF(COUNTIF($BY$18:$BY27,BY28)&gt;0,"",BY28)</f>
        <v>SGP- 80A</v>
      </c>
      <c r="CD28" s="1072">
        <f t="shared" ref="CD28:CD36" si="10">BH20</f>
        <v>8.3000000000000007</v>
      </c>
      <c r="CE28" s="1074">
        <f t="shared" si="6"/>
        <v>16.600000000000001</v>
      </c>
      <c r="CF28" s="1089"/>
      <c r="CG28" s="1087" t="str">
        <f>Top!E50</f>
        <v xml:space="preserve"> 12F</v>
      </c>
      <c r="CH28" s="1086">
        <f>Top!$CD122</f>
        <v>4</v>
      </c>
      <c r="CI28" s="1085"/>
      <c r="CJ28" s="1050" t="s">
        <v>2871</v>
      </c>
      <c r="CK28" s="1050" t="s">
        <v>2870</v>
      </c>
      <c r="CL28" s="1050" t="s">
        <v>2869</v>
      </c>
      <c r="CM28" s="1050" t="s">
        <v>2868</v>
      </c>
      <c r="CN28" s="1050" t="s">
        <v>2867</v>
      </c>
      <c r="CO28" s="1050" t="s">
        <v>2866</v>
      </c>
      <c r="CP28" s="1050" t="s">
        <v>2865</v>
      </c>
      <c r="CQ28" s="1050" t="s">
        <v>2864</v>
      </c>
      <c r="CU28" s="1082"/>
      <c r="CV28" s="1051"/>
      <c r="CW28" s="936"/>
      <c r="CX28" s="936"/>
      <c r="CY28" s="936"/>
      <c r="CZ28" s="1051"/>
      <c r="DA28" s="942"/>
      <c r="DB28" s="936"/>
      <c r="DC28" s="936"/>
    </row>
    <row r="29" spans="1:107" ht="12" customHeight="1">
      <c r="B29" s="927"/>
      <c r="C29" s="1024"/>
      <c r="D29" s="1024"/>
      <c r="E29" s="1024"/>
      <c r="F29" s="1024"/>
      <c r="G29" s="1024"/>
      <c r="H29" s="1024"/>
      <c r="I29" s="1024"/>
      <c r="J29" s="1024"/>
      <c r="K29" s="1024"/>
      <c r="L29" s="1024"/>
      <c r="M29" s="1024"/>
      <c r="N29" s="1024"/>
      <c r="O29" s="1024"/>
      <c r="P29" s="1024"/>
      <c r="Q29" s="1024"/>
      <c r="R29" s="1024"/>
      <c r="S29" s="1024"/>
      <c r="T29" s="1024"/>
      <c r="U29" s="1024"/>
      <c r="V29" s="1024"/>
      <c r="W29" s="1024"/>
      <c r="X29" s="1024"/>
      <c r="Y29" s="1024"/>
      <c r="Z29" s="1024"/>
      <c r="AA29" s="1024"/>
      <c r="AB29" s="1024"/>
      <c r="AC29" s="1024"/>
      <c r="AD29" s="1024"/>
      <c r="AE29" s="1024"/>
      <c r="AF29" s="1024"/>
      <c r="AG29" s="1024"/>
      <c r="AH29" s="1024"/>
      <c r="AI29" s="1024"/>
      <c r="AJ29" s="1024"/>
      <c r="AK29" s="1024"/>
      <c r="AL29" s="1024"/>
      <c r="AM29" s="1024"/>
      <c r="AN29" s="1024"/>
      <c r="AO29" s="1024"/>
      <c r="AP29" s="1024"/>
      <c r="AQ29" s="1024"/>
      <c r="AR29" s="1024"/>
      <c r="AS29" s="1024"/>
      <c r="AT29" s="1024"/>
      <c r="AU29" s="1024"/>
      <c r="AV29" s="1024"/>
      <c r="AW29" s="1024"/>
      <c r="AX29" s="1024"/>
      <c r="AY29" s="1024"/>
      <c r="AZ29" s="1024"/>
      <c r="BA29" s="1024"/>
      <c r="BB29" s="1024"/>
      <c r="BC29" s="1024"/>
      <c r="BD29" s="1024"/>
      <c r="BE29" s="1024"/>
      <c r="BF29" s="1024"/>
      <c r="BG29" s="1024"/>
      <c r="BH29" s="1024"/>
      <c r="BI29" s="1024"/>
      <c r="BJ29" s="1024"/>
      <c r="BK29" s="1024"/>
      <c r="BL29" s="1024"/>
      <c r="BM29" s="1024"/>
      <c r="BN29" s="1024"/>
      <c r="BO29" s="1024"/>
      <c r="BP29" s="1024"/>
      <c r="BQ29" s="925"/>
      <c r="BR29" s="925"/>
      <c r="BS29" s="925"/>
      <c r="BT29" s="925"/>
      <c r="BU29" s="924"/>
      <c r="BV29" s="936"/>
      <c r="BW29" s="1069">
        <f t="shared" si="2"/>
        <v>11</v>
      </c>
      <c r="BX29" s="1069">
        <f t="shared" si="3"/>
        <v>11</v>
      </c>
      <c r="BY29" s="916" t="str">
        <f t="shared" si="9"/>
        <v>SGP- 25A</v>
      </c>
      <c r="BZ29" s="936"/>
      <c r="CA29" s="936"/>
      <c r="CB29" s="936"/>
      <c r="CC29" s="936" t="str">
        <f>IF(COUNTIF($BY$18:$BY28,BY29)&gt;0,"",BY29)</f>
        <v>SGP- 25A</v>
      </c>
      <c r="CD29" s="1072">
        <f t="shared" si="10"/>
        <v>8.3000000000000007</v>
      </c>
      <c r="CE29" s="1074">
        <f t="shared" si="6"/>
        <v>27.900000000000002</v>
      </c>
      <c r="CF29" s="936"/>
      <c r="CG29" s="1087" t="str">
        <f>Top!E52</f>
        <v>PH1F</v>
      </c>
      <c r="CH29" s="1086">
        <f>Top!$CD123</f>
        <v>4</v>
      </c>
      <c r="CI29" s="1085"/>
      <c r="CJ29" s="1050" t="s">
        <v>2863</v>
      </c>
      <c r="CK29" s="1050" t="s">
        <v>2862</v>
      </c>
      <c r="CL29" s="1050" t="s">
        <v>2861</v>
      </c>
      <c r="CM29" s="1050" t="s">
        <v>2860</v>
      </c>
      <c r="CN29" s="1050" t="s">
        <v>2859</v>
      </c>
      <c r="CO29" s="1050" t="s">
        <v>2858</v>
      </c>
      <c r="CP29" s="1050" t="s">
        <v>2857</v>
      </c>
      <c r="CQ29" s="1050" t="s">
        <v>2856</v>
      </c>
      <c r="CU29" s="1082"/>
      <c r="CV29" s="1051"/>
      <c r="CW29" s="936"/>
      <c r="CX29" s="936"/>
      <c r="CY29" s="936"/>
      <c r="CZ29" s="1051"/>
      <c r="DA29" s="942"/>
      <c r="DB29" s="936"/>
      <c r="DC29" s="936"/>
    </row>
    <row r="30" spans="1:107" ht="12" customHeight="1">
      <c r="B30" s="927"/>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c r="Y30" s="1024"/>
      <c r="Z30" s="1024"/>
      <c r="AA30" s="1024"/>
      <c r="AB30" s="1024"/>
      <c r="AC30" s="1024"/>
      <c r="AD30" s="1024"/>
      <c r="AE30" s="1024"/>
      <c r="AF30" s="1024"/>
      <c r="AG30" s="1024"/>
      <c r="AH30" s="1024"/>
      <c r="AI30" s="1024"/>
      <c r="AJ30" s="1024"/>
      <c r="AK30" s="1024"/>
      <c r="AL30" s="1024"/>
      <c r="AM30" s="1024"/>
      <c r="AN30" s="1024"/>
      <c r="AO30" s="1024"/>
      <c r="AP30" s="1024"/>
      <c r="AQ30" s="1024"/>
      <c r="AR30" s="1024"/>
      <c r="AS30" s="1024"/>
      <c r="AT30" s="1024"/>
      <c r="AU30" s="1024"/>
      <c r="AV30" s="1024"/>
      <c r="AW30" s="1024"/>
      <c r="AX30" s="1024"/>
      <c r="AY30" s="1024"/>
      <c r="AZ30" s="1024"/>
      <c r="BA30" s="1024"/>
      <c r="BB30" s="1024"/>
      <c r="BC30" s="1024"/>
      <c r="BD30" s="1024"/>
      <c r="BE30" s="1024"/>
      <c r="BF30" s="1024"/>
      <c r="BG30" s="1024"/>
      <c r="BH30" s="1024"/>
      <c r="BI30" s="1024"/>
      <c r="BJ30" s="1024"/>
      <c r="BK30" s="1024"/>
      <c r="BL30" s="1024"/>
      <c r="BM30" s="1024"/>
      <c r="BN30" s="1024"/>
      <c r="BO30" s="1024"/>
      <c r="BP30" s="1024"/>
      <c r="BQ30" s="925"/>
      <c r="BR30" s="925"/>
      <c r="BS30" s="925"/>
      <c r="BT30" s="925"/>
      <c r="BU30" s="924"/>
      <c r="BV30" s="936"/>
      <c r="BW30" s="1069">
        <f t="shared" si="2"/>
        <v>11</v>
      </c>
      <c r="BX30" s="1069" t="str">
        <f t="shared" si="3"/>
        <v/>
      </c>
      <c r="BY30" s="916" t="str">
        <f t="shared" si="9"/>
        <v>SGP- 25A</v>
      </c>
      <c r="BZ30" s="936"/>
      <c r="CA30" s="936"/>
      <c r="CB30" s="936"/>
      <c r="CC30" s="936" t="str">
        <f>IF(COUNTIF($BY$18:$BY29,BY30)&gt;0,"",BY30)</f>
        <v/>
      </c>
      <c r="CD30" s="1072">
        <f t="shared" si="10"/>
        <v>3</v>
      </c>
      <c r="CE30" s="1074">
        <f t="shared" si="6"/>
        <v>0</v>
      </c>
      <c r="CF30" s="936"/>
      <c r="CG30" s="1087" t="str">
        <f>Top!E54</f>
        <v>PH2F</v>
      </c>
      <c r="CH30" s="1086">
        <f>Top!$CD124</f>
        <v>4</v>
      </c>
      <c r="CI30" s="1085"/>
      <c r="CJ30" s="1050" t="s">
        <v>2855</v>
      </c>
      <c r="CK30" s="1050" t="s">
        <v>2854</v>
      </c>
      <c r="CL30" s="1050" t="s">
        <v>2853</v>
      </c>
      <c r="CM30" s="1050" t="s">
        <v>2852</v>
      </c>
      <c r="CN30" s="1050" t="s">
        <v>2851</v>
      </c>
      <c r="CO30" s="1050" t="s">
        <v>2850</v>
      </c>
      <c r="CP30" s="1050" t="s">
        <v>2849</v>
      </c>
      <c r="CQ30" s="1050" t="s">
        <v>2848</v>
      </c>
      <c r="CU30" s="1082"/>
      <c r="CV30" s="1051"/>
      <c r="CW30" s="936"/>
      <c r="CX30" s="936"/>
      <c r="CY30" s="936"/>
      <c r="CZ30" s="1051"/>
      <c r="DA30" s="942"/>
      <c r="DB30" s="936"/>
      <c r="DC30" s="936"/>
    </row>
    <row r="31" spans="1:107" ht="10.5" customHeight="1">
      <c r="B31" s="927"/>
      <c r="C31" s="2765" t="str">
        <f>IF(OR(B2=0,Y7="L"),"",IF(K31&lt;&gt;"",K31,"FEP- 80mm"))</f>
        <v>FEP- 80mm</v>
      </c>
      <c r="D31" s="2766"/>
      <c r="E31" s="2766"/>
      <c r="F31" s="2766"/>
      <c r="G31" s="2766"/>
      <c r="H31" s="2766"/>
      <c r="I31" s="2982"/>
      <c r="J31" s="928" t="s">
        <v>2371</v>
      </c>
      <c r="K31" s="2983"/>
      <c r="L31" s="2984"/>
      <c r="M31" s="2984"/>
      <c r="N31" s="2984"/>
      <c r="O31" s="2984"/>
      <c r="P31" s="2984"/>
      <c r="Q31" s="2985"/>
      <c r="R31" s="2986">
        <f>IF(AY31="要",2*BH31,IF(AY31="不要",BH31,""))</f>
        <v>297.60000000000002</v>
      </c>
      <c r="S31" s="2987"/>
      <c r="T31" s="2987"/>
      <c r="U31" s="2988"/>
      <c r="V31" s="2974" t="str">
        <f>IF(R31="","","[m]")</f>
        <v>[m]</v>
      </c>
      <c r="W31" s="2975"/>
      <c r="X31" s="2976"/>
      <c r="Y31" s="2765" t="str">
        <f>IF(OR(B2=0,Y7="L",AY31="不要"),"",IF(AF31&lt;&gt;"",AF31,"SGP- 80A"))</f>
        <v>SGP- 80A</v>
      </c>
      <c r="Z31" s="2766"/>
      <c r="AA31" s="2766"/>
      <c r="AB31" s="2766"/>
      <c r="AC31" s="2766"/>
      <c r="AD31" s="2982"/>
      <c r="AE31" s="928" t="s">
        <v>2371</v>
      </c>
      <c r="AF31" s="2989"/>
      <c r="AG31" s="2990"/>
      <c r="AH31" s="2990"/>
      <c r="AI31" s="2990"/>
      <c r="AJ31" s="2990"/>
      <c r="AK31" s="2991"/>
      <c r="AL31" s="2986">
        <f>IF(AY31="不要","",BH20)</f>
        <v>8.3000000000000007</v>
      </c>
      <c r="AM31" s="2987"/>
      <c r="AN31" s="2987"/>
      <c r="AO31" s="2987"/>
      <c r="AP31" s="2988"/>
      <c r="AQ31" s="2974" t="str">
        <f>IF(AL31="","","[m]")</f>
        <v>[m]</v>
      </c>
      <c r="AR31" s="2975"/>
      <c r="AS31" s="2998"/>
      <c r="AT31" s="3003" t="str">
        <f>IF(B2=0,"","予備管路")</f>
        <v>予備管路</v>
      </c>
      <c r="AU31" s="3003"/>
      <c r="AV31" s="3003"/>
      <c r="AW31" s="3003"/>
      <c r="AX31" s="3003"/>
      <c r="AY31" s="3004" t="str">
        <f>IF(B2=0,"",IF(BC31&lt;&gt;"",BC31,"要"))</f>
        <v>要</v>
      </c>
      <c r="AZ31" s="3005"/>
      <c r="BA31" s="3006"/>
      <c r="BB31" s="928" t="s">
        <v>2371</v>
      </c>
      <c r="BC31" s="2762"/>
      <c r="BD31" s="2762"/>
      <c r="BE31" s="2762"/>
      <c r="BF31" s="1024"/>
      <c r="BG31" s="1024"/>
      <c r="BH31" s="2999">
        <f>IF(AND(BL7="B ",CA15="地",CB15="地"),BZ3,IF(AND(BL7="C ",CA15="地",CB15="地"),BZ4,IF(AND(BL7="D1",CA15="地",CB15="地"),BZ5,IF(AND(BL7="D2",CA15="地",CB15="地"),BZ6,IF(AND(BL7="B ",CA15="地",CB15="架"),CE3,IF(AND(BL7="C ",CA15="地",CB15="架"),CE4,IF(AND(BL7="D1",CA15="地",CB15="架"),CE5,IF(AND(BL7="D2",CA15="地",CB15="架"),CE6,IF(AND(BL7="B ",CA15="架",CB15="地"),CJ3,IF(AND(BL7="C ",CA15="架",CB15="地"),CJ4,IF(AND(BL7="D1",CA15="架",CB15="地"),CJ5,IF(AND(BL7="D2",CA15="架",CB15="地"),CJ6,IF(AND(BL7="B ",CA15="架",CB15="架"),CO3,IF(AND(BL7="C ",CA15="架",CB15="架"),CO4,IF(AND(BL7="D1",CA15="架",CB15="架"),CO5,IF(AND(BL7="D2",CA15="架",CB15="架"),CO6,""))))))))))))))))</f>
        <v>148.80000000000001</v>
      </c>
      <c r="BI31" s="2999"/>
      <c r="BJ31" s="2999"/>
      <c r="BK31" s="2999"/>
      <c r="BL31" s="1024"/>
      <c r="BM31" s="1024"/>
      <c r="BN31" s="1024"/>
      <c r="BO31" s="1024"/>
      <c r="BP31" s="1024"/>
      <c r="BQ31" s="925"/>
      <c r="BR31" s="925"/>
      <c r="BS31" s="925"/>
      <c r="BT31" s="925"/>
      <c r="BU31" s="924"/>
      <c r="BV31" s="936"/>
      <c r="BW31" s="1069">
        <f t="shared" si="2"/>
        <v>12</v>
      </c>
      <c r="BX31" s="1069">
        <f t="shared" si="3"/>
        <v>12</v>
      </c>
      <c r="BY31" s="916" t="str">
        <f t="shared" si="9"/>
        <v>VE-22mm</v>
      </c>
      <c r="BZ31" s="936"/>
      <c r="CA31" s="936"/>
      <c r="CB31" s="936"/>
      <c r="CC31" s="936" t="str">
        <f>IF(COUNTIF($BY$18:$BY30,BY31)&gt;0,"",BY31)</f>
        <v>VE-22mm</v>
      </c>
      <c r="CD31" s="1072">
        <f t="shared" si="10"/>
        <v>4</v>
      </c>
      <c r="CE31" s="1074">
        <f t="shared" si="6"/>
        <v>153.80000000000001</v>
      </c>
      <c r="CF31" s="936"/>
      <c r="CG31" s="1087">
        <f>Top!E56</f>
        <v>0</v>
      </c>
      <c r="CH31" s="1086" t="str">
        <f>Top!$CD125</f>
        <v/>
      </c>
      <c r="CI31" s="1085"/>
      <c r="CJ31" s="1050" t="s">
        <v>2847</v>
      </c>
      <c r="CK31" s="1050" t="s">
        <v>2846</v>
      </c>
      <c r="CL31" s="1050" t="s">
        <v>2845</v>
      </c>
      <c r="CM31" s="1050" t="s">
        <v>2844</v>
      </c>
      <c r="CN31" s="1050" t="s">
        <v>2843</v>
      </c>
      <c r="CO31" s="1050" t="s">
        <v>2842</v>
      </c>
      <c r="CP31" s="1050" t="s">
        <v>2841</v>
      </c>
      <c r="CQ31" s="1050" t="s">
        <v>2840</v>
      </c>
      <c r="CU31" s="1082"/>
      <c r="CV31" s="1051"/>
      <c r="CW31" s="936"/>
      <c r="CX31" s="936"/>
      <c r="CY31" s="936"/>
      <c r="CZ31" s="1051"/>
      <c r="DA31" s="942"/>
      <c r="DB31" s="936"/>
      <c r="DC31" s="936"/>
    </row>
    <row r="32" spans="1:107" ht="10.5" customHeight="1">
      <c r="B32" s="927"/>
      <c r="C32" s="2765" t="str">
        <f>IF(OR(B2=0,Y7="L"),"",IF(K32&lt;&gt;"",K32,"FEP- 30mm"))</f>
        <v>FEP- 30mm</v>
      </c>
      <c r="D32" s="2766"/>
      <c r="E32" s="2766"/>
      <c r="F32" s="2766"/>
      <c r="G32" s="2766"/>
      <c r="H32" s="2766"/>
      <c r="I32" s="2982"/>
      <c r="J32" s="928" t="s">
        <v>2371</v>
      </c>
      <c r="K32" s="2983"/>
      <c r="L32" s="2984"/>
      <c r="M32" s="2984"/>
      <c r="N32" s="2984"/>
      <c r="O32" s="2984"/>
      <c r="P32" s="2984"/>
      <c r="Q32" s="2985"/>
      <c r="R32" s="2986">
        <f>IF(OR(B2=0,X7="L"),"",IF(LEFT(D7,1)="D",1.05*AV7,""))</f>
        <v>68.040000000000006</v>
      </c>
      <c r="S32" s="2987"/>
      <c r="T32" s="2987"/>
      <c r="U32" s="2988"/>
      <c r="V32" s="2974" t="str">
        <f>IF(R32="","","[m]")</f>
        <v>[m]</v>
      </c>
      <c r="W32" s="2975"/>
      <c r="X32" s="2976"/>
      <c r="Y32" s="2765" t="str">
        <f>IF(OR(B2=0,Y7="L",AY31="不要"),"",IF(AF32&lt;&gt;"",AF32,"SGP- 25A"))</f>
        <v>SGP- 25A</v>
      </c>
      <c r="Z32" s="2766"/>
      <c r="AA32" s="2766"/>
      <c r="AB32" s="2766"/>
      <c r="AC32" s="2766"/>
      <c r="AD32" s="2982"/>
      <c r="AE32" s="928" t="s">
        <v>2371</v>
      </c>
      <c r="AF32" s="2989"/>
      <c r="AG32" s="2990"/>
      <c r="AH32" s="2990"/>
      <c r="AI32" s="2990"/>
      <c r="AJ32" s="2990"/>
      <c r="AK32" s="2991"/>
      <c r="AL32" s="2986">
        <f>IF(AY31="不要","",BH21)</f>
        <v>8.3000000000000007</v>
      </c>
      <c r="AM32" s="2987"/>
      <c r="AN32" s="2987"/>
      <c r="AO32" s="2987"/>
      <c r="AP32" s="2988"/>
      <c r="AQ32" s="2974" t="str">
        <f>IF(AL32="","","[m]")</f>
        <v>[m]</v>
      </c>
      <c r="AR32" s="2975"/>
      <c r="AS32" s="2975"/>
      <c r="AT32" s="1024"/>
      <c r="AU32" s="1024"/>
      <c r="AV32" s="1024"/>
      <c r="AW32" s="1024"/>
      <c r="AX32" s="1024"/>
      <c r="AY32" s="1024"/>
      <c r="AZ32" s="1024"/>
      <c r="BA32" s="1024"/>
      <c r="BB32" s="1024"/>
      <c r="BC32" s="1024"/>
      <c r="BD32" s="1024"/>
      <c r="BE32" s="1024"/>
      <c r="BF32" s="1024"/>
      <c r="BG32" s="1024"/>
      <c r="BH32" s="1024"/>
      <c r="BI32" s="1024"/>
      <c r="BJ32" s="1024"/>
      <c r="BK32" s="1024"/>
      <c r="BL32" s="1024"/>
      <c r="BM32" s="1024"/>
      <c r="BN32" s="1024"/>
      <c r="BO32" s="1024"/>
      <c r="BP32" s="1024"/>
      <c r="BQ32" s="925"/>
      <c r="BR32" s="925"/>
      <c r="BS32" s="925"/>
      <c r="BT32" s="925"/>
      <c r="BU32" s="924"/>
      <c r="BV32" s="936"/>
      <c r="BW32" s="1069">
        <f t="shared" si="2"/>
        <v>13</v>
      </c>
      <c r="BX32" s="1069">
        <f t="shared" si="3"/>
        <v>13</v>
      </c>
      <c r="BY32" s="916" t="str">
        <f t="shared" si="9"/>
        <v>VE-28mm</v>
      </c>
      <c r="BZ32" s="936"/>
      <c r="CA32" s="936"/>
      <c r="CB32" s="936"/>
      <c r="CC32" s="936" t="str">
        <f>IF(COUNTIF($BY$18:$BY31,BY32)&gt;0,"",BY32)</f>
        <v>VE-28mm</v>
      </c>
      <c r="CD32" s="1072">
        <f t="shared" si="10"/>
        <v>17</v>
      </c>
      <c r="CE32" s="1074">
        <f t="shared" si="6"/>
        <v>34</v>
      </c>
      <c r="CF32" s="936"/>
      <c r="CG32" s="1087">
        <f>Top!E58</f>
        <v>0</v>
      </c>
      <c r="CH32" s="1086" t="str">
        <f>Top!$CD126</f>
        <v/>
      </c>
      <c r="CI32" s="1085"/>
      <c r="CJ32" s="1050" t="s">
        <v>2839</v>
      </c>
      <c r="CK32" s="1050" t="s">
        <v>2838</v>
      </c>
      <c r="CL32" s="1050" t="s">
        <v>2837</v>
      </c>
      <c r="CM32" s="1050" t="s">
        <v>2836</v>
      </c>
      <c r="CN32" s="1050" t="s">
        <v>2835</v>
      </c>
      <c r="CO32" s="1050" t="s">
        <v>2834</v>
      </c>
      <c r="CP32" s="1050" t="s">
        <v>2833</v>
      </c>
      <c r="CQ32" s="1050" t="s">
        <v>2832</v>
      </c>
      <c r="CU32" s="1082"/>
      <c r="CV32" s="1051"/>
      <c r="CW32" s="936"/>
      <c r="CX32" s="936"/>
      <c r="CY32" s="936"/>
      <c r="CZ32" s="1051"/>
      <c r="DA32" s="942"/>
      <c r="DB32" s="936"/>
      <c r="DC32" s="936"/>
    </row>
    <row r="33" spans="2:107" ht="10.5" customHeight="1">
      <c r="B33" s="927"/>
      <c r="C33" s="2765" t="str">
        <f>IF(OR(B2=0,Y7="L"),"",IF(K33&lt;&gt;"",K33,"FEP- 30mm"))</f>
        <v>FEP- 30mm</v>
      </c>
      <c r="D33" s="2766"/>
      <c r="E33" s="2766"/>
      <c r="F33" s="2766"/>
      <c r="G33" s="2766"/>
      <c r="H33" s="2766"/>
      <c r="I33" s="2982"/>
      <c r="J33" s="928" t="s">
        <v>2371</v>
      </c>
      <c r="K33" s="2983"/>
      <c r="L33" s="2984"/>
      <c r="M33" s="2984"/>
      <c r="N33" s="2984"/>
      <c r="O33" s="2984"/>
      <c r="P33" s="2984"/>
      <c r="Q33" s="2985"/>
      <c r="R33" s="2986">
        <f>IF(OR(B2=0,X7="L"),"",IF(R31="","",R31))</f>
        <v>297.60000000000002</v>
      </c>
      <c r="S33" s="2987"/>
      <c r="T33" s="2987"/>
      <c r="U33" s="2988"/>
      <c r="V33" s="2974" t="str">
        <f>IF(R33="","","[m]")</f>
        <v>[m]</v>
      </c>
      <c r="W33" s="2975"/>
      <c r="X33" s="2976"/>
      <c r="Y33" s="2765" t="str">
        <f>IF(OR(B2=0,Y7="L",AL33=""),"",IF(AF33&lt;&gt;"",AF33,"C-25mm"))</f>
        <v/>
      </c>
      <c r="Z33" s="2766"/>
      <c r="AA33" s="2766"/>
      <c r="AB33" s="2766"/>
      <c r="AC33" s="2766"/>
      <c r="AD33" s="2982"/>
      <c r="AE33" s="928" t="s">
        <v>2371</v>
      </c>
      <c r="AF33" s="2989"/>
      <c r="AG33" s="2990"/>
      <c r="AH33" s="2990"/>
      <c r="AI33" s="2990"/>
      <c r="AJ33" s="2990"/>
      <c r="AK33" s="2991"/>
      <c r="AL33" s="2986" t="str">
        <f>IF(B2=0,"",IF(LEFT(D7,1)="D","",IF(AL32="","",AL32)))</f>
        <v/>
      </c>
      <c r="AM33" s="2987"/>
      <c r="AN33" s="2987"/>
      <c r="AO33" s="2987"/>
      <c r="AP33" s="2988"/>
      <c r="AQ33" s="2977" t="str">
        <f>IF(AL33="","","[m]")</f>
        <v/>
      </c>
      <c r="AR33" s="2978"/>
      <c r="AS33" s="2978"/>
      <c r="AT33" s="1024"/>
      <c r="AU33" s="1024"/>
      <c r="AV33" s="1024"/>
      <c r="AW33" s="1024"/>
      <c r="AX33" s="1024"/>
      <c r="AY33" s="1024"/>
      <c r="AZ33" s="1024"/>
      <c r="BA33" s="1024"/>
      <c r="BB33" s="1024"/>
      <c r="BC33" s="1024"/>
      <c r="BD33" s="1024"/>
      <c r="BE33" s="1024"/>
      <c r="BF33" s="1024"/>
      <c r="BG33" s="1024"/>
      <c r="BH33" s="1024"/>
      <c r="BI33" s="1024"/>
      <c r="BJ33" s="1024"/>
      <c r="BK33" s="1024"/>
      <c r="BL33" s="1024"/>
      <c r="BM33" s="1024"/>
      <c r="BN33" s="1024"/>
      <c r="BO33" s="1024"/>
      <c r="BP33" s="1024"/>
      <c r="BQ33" s="925"/>
      <c r="BR33" s="925"/>
      <c r="BS33" s="925"/>
      <c r="BT33" s="925"/>
      <c r="BU33" s="924"/>
      <c r="BV33" s="936"/>
      <c r="BW33" s="1069">
        <f t="shared" si="2"/>
        <v>13</v>
      </c>
      <c r="BX33" s="1069" t="str">
        <f t="shared" si="3"/>
        <v/>
      </c>
      <c r="BY33" s="916" t="str">
        <f t="shared" si="9"/>
        <v>VE-28mm</v>
      </c>
      <c r="BZ33" s="936"/>
      <c r="CA33" s="936"/>
      <c r="CB33" s="936"/>
      <c r="CC33" s="936" t="str">
        <f>IF(COUNTIF($BY$18:$BY32,BY33)&gt;0,"",BY33)</f>
        <v/>
      </c>
      <c r="CD33" s="1072">
        <f t="shared" si="10"/>
        <v>17</v>
      </c>
      <c r="CE33" s="1074">
        <f t="shared" si="6"/>
        <v>0</v>
      </c>
      <c r="CF33" s="936"/>
      <c r="CG33" s="1087">
        <f>Top!E60</f>
        <v>0</v>
      </c>
      <c r="CH33" s="1086" t="str">
        <f>Top!$CD127</f>
        <v/>
      </c>
      <c r="CI33" s="1085"/>
      <c r="CJ33" s="1050" t="s">
        <v>2831</v>
      </c>
      <c r="CK33" s="1050" t="s">
        <v>2830</v>
      </c>
      <c r="CL33" s="1050" t="s">
        <v>2829</v>
      </c>
      <c r="CM33" s="1050" t="s">
        <v>2828</v>
      </c>
      <c r="CN33" s="1050" t="s">
        <v>2827</v>
      </c>
      <c r="CP33" s="1050" t="s">
        <v>2826</v>
      </c>
      <c r="CQ33" s="1050" t="s">
        <v>2825</v>
      </c>
      <c r="CU33" s="1082"/>
      <c r="CV33" s="1051"/>
      <c r="CW33" s="936"/>
      <c r="CX33" s="936"/>
      <c r="CY33" s="936"/>
      <c r="CZ33" s="1051"/>
      <c r="DA33" s="942"/>
      <c r="DB33" s="936"/>
      <c r="DC33" s="936"/>
    </row>
    <row r="34" spans="2:107" ht="10.5" customHeight="1">
      <c r="B34" s="927"/>
      <c r="C34" s="1024"/>
      <c r="D34" s="1024"/>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88"/>
      <c r="AF34" s="1088"/>
      <c r="AG34" s="1088"/>
      <c r="AH34" s="1088"/>
      <c r="AI34" s="1088"/>
      <c r="AJ34" s="1088"/>
      <c r="AK34" s="1088"/>
      <c r="AL34" s="1088"/>
      <c r="AM34" s="1088"/>
      <c r="AN34" s="1088"/>
      <c r="AO34" s="1088"/>
      <c r="AP34" s="1088"/>
      <c r="AQ34" s="1024"/>
      <c r="AR34" s="1024"/>
      <c r="AS34" s="1024"/>
      <c r="AT34" s="1024"/>
      <c r="AU34" s="1024"/>
      <c r="AV34" s="1024"/>
      <c r="AW34" s="1024"/>
      <c r="AX34" s="1024"/>
      <c r="AY34" s="1024"/>
      <c r="AZ34" s="1024"/>
      <c r="BA34" s="1024"/>
      <c r="BB34" s="1024"/>
      <c r="BC34" s="1024"/>
      <c r="BD34" s="1024"/>
      <c r="BE34" s="1024"/>
      <c r="BF34" s="1024"/>
      <c r="BG34" s="1024"/>
      <c r="BH34" s="1024"/>
      <c r="BI34" s="1024"/>
      <c r="BJ34" s="1024"/>
      <c r="BK34" s="1024"/>
      <c r="BL34" s="1024"/>
      <c r="BM34" s="1024"/>
      <c r="BN34" s="1024"/>
      <c r="BO34" s="1024"/>
      <c r="BP34" s="1024"/>
      <c r="BQ34" s="925"/>
      <c r="BR34" s="925"/>
      <c r="BS34" s="925"/>
      <c r="BT34" s="925"/>
      <c r="BU34" s="924"/>
      <c r="BV34" s="936"/>
      <c r="BW34" s="1069">
        <f t="shared" si="2"/>
        <v>13</v>
      </c>
      <c r="BX34" s="1069" t="str">
        <f t="shared" si="3"/>
        <v/>
      </c>
      <c r="BY34" s="916" t="str">
        <f t="shared" si="9"/>
        <v>VE-22mm</v>
      </c>
      <c r="BZ34" s="936"/>
      <c r="CA34" s="936"/>
      <c r="CB34" s="936"/>
      <c r="CC34" s="936" t="str">
        <f>IF(COUNTIF($BY$18:$BY33,BY34)&gt;0,"",BY34)</f>
        <v/>
      </c>
      <c r="CD34" s="1072">
        <f t="shared" si="10"/>
        <v>149.80000000000001</v>
      </c>
      <c r="CE34" s="1074">
        <f t="shared" si="6"/>
        <v>0</v>
      </c>
      <c r="CF34" s="936"/>
      <c r="CG34" s="1087">
        <f>Top!E62</f>
        <v>0</v>
      </c>
      <c r="CH34" s="1086" t="str">
        <f>Top!$CD128</f>
        <v/>
      </c>
      <c r="CI34" s="1085"/>
      <c r="CJ34" s="1050" t="s">
        <v>2824</v>
      </c>
      <c r="CK34" s="1050" t="s">
        <v>2823</v>
      </c>
      <c r="CL34" s="1050" t="s">
        <v>2822</v>
      </c>
      <c r="CM34" s="1050" t="s">
        <v>2821</v>
      </c>
      <c r="CN34" s="1050" t="s">
        <v>2820</v>
      </c>
      <c r="CP34" s="1050" t="s">
        <v>2819</v>
      </c>
      <c r="CQ34" s="1050" t="s">
        <v>2818</v>
      </c>
      <c r="CU34" s="1082"/>
      <c r="CV34" s="1051"/>
      <c r="CW34" s="936"/>
      <c r="CX34" s="936"/>
      <c r="CY34" s="936"/>
      <c r="CZ34" s="1051"/>
      <c r="DA34" s="942"/>
      <c r="DB34" s="936"/>
      <c r="DC34" s="936"/>
    </row>
    <row r="35" spans="2:107" ht="10.5" customHeight="1">
      <c r="B35" s="927"/>
      <c r="C35" s="2992" t="str">
        <f>IF(OR(B2=0,X7="L",AH35=""),"",IF(AND(CA15="架",S35&lt;&gt;""),S35,"PAS 7.2KV200A 重DGR"))</f>
        <v>PAS 7.2KV200A 重DGR</v>
      </c>
      <c r="D35" s="2992"/>
      <c r="E35" s="2992"/>
      <c r="F35" s="2992"/>
      <c r="G35" s="2992"/>
      <c r="H35" s="2992"/>
      <c r="I35" s="2992"/>
      <c r="J35" s="2992"/>
      <c r="K35" s="2992"/>
      <c r="L35" s="2992"/>
      <c r="M35" s="2992"/>
      <c r="N35" s="2992"/>
      <c r="O35" s="2992"/>
      <c r="P35" s="2992"/>
      <c r="Q35" s="2992"/>
      <c r="R35" s="928" t="s">
        <v>2371</v>
      </c>
      <c r="S35" s="2993"/>
      <c r="T35" s="2993"/>
      <c r="U35" s="2993"/>
      <c r="V35" s="2993"/>
      <c r="W35" s="2993"/>
      <c r="X35" s="2993"/>
      <c r="Y35" s="2993"/>
      <c r="Z35" s="2993"/>
      <c r="AA35" s="2993"/>
      <c r="AB35" s="2993"/>
      <c r="AC35" s="2993"/>
      <c r="AD35" s="2993"/>
      <c r="AE35" s="2993"/>
      <c r="AF35" s="2993"/>
      <c r="AG35" s="2993"/>
      <c r="AH35" s="2761">
        <f>IF(OR(B2=0,X7="L"),"",IF(CA15="架",1,""))</f>
        <v>1</v>
      </c>
      <c r="AI35" s="2761"/>
      <c r="AJ35" s="2761"/>
      <c r="AK35" s="1081" t="str">
        <f>IF(AH35="","","[台]")</f>
        <v>[台]</v>
      </c>
      <c r="AL35" s="1024"/>
      <c r="AM35" s="1024"/>
      <c r="AN35" s="1024"/>
      <c r="AO35" s="2994" t="str">
        <f>IF(OR(BK35="",B2=0),"",IF(BA35&lt;&gt;"",BA35,"支線38sq-7/2.6"))</f>
        <v>支線38sq-7/2.6</v>
      </c>
      <c r="AP35" s="2995"/>
      <c r="AQ35" s="2995"/>
      <c r="AR35" s="2995"/>
      <c r="AS35" s="2995"/>
      <c r="AT35" s="2995"/>
      <c r="AU35" s="2995"/>
      <c r="AV35" s="2995"/>
      <c r="AW35" s="2995"/>
      <c r="AX35" s="2995"/>
      <c r="AY35" s="2996"/>
      <c r="AZ35" s="928" t="s">
        <v>2371</v>
      </c>
      <c r="BA35" s="2771"/>
      <c r="BB35" s="2772"/>
      <c r="BC35" s="2772"/>
      <c r="BD35" s="2772"/>
      <c r="BE35" s="2772"/>
      <c r="BF35" s="2772"/>
      <c r="BG35" s="2772"/>
      <c r="BH35" s="2772"/>
      <c r="BI35" s="2772"/>
      <c r="BJ35" s="2790"/>
      <c r="BK35" s="2979">
        <f>IF(B2=0,"",IF(OR(BL7="B ",CB15="架"),CC9,IF(OR(BL7="C ",CB15="架"),CC10,IF(OR(BL7="D1",CB15="架"),CC11,IF(OR(BL7="D2",CB15="架"),CC12,"")))))</f>
        <v>75.900000000000006</v>
      </c>
      <c r="BL35" s="2980"/>
      <c r="BM35" s="2980"/>
      <c r="BN35" s="2981"/>
      <c r="BO35" s="1079" t="str">
        <f>IF(BK35="","","[m]")</f>
        <v>[m]</v>
      </c>
      <c r="BP35" s="1024"/>
      <c r="BQ35" s="925"/>
      <c r="BR35" s="925"/>
      <c r="BS35" s="925"/>
      <c r="BT35" s="925"/>
      <c r="BU35" s="924"/>
      <c r="BV35" s="936"/>
      <c r="BW35" s="1069">
        <f t="shared" si="2"/>
        <v>14</v>
      </c>
      <c r="BX35" s="1069">
        <f t="shared" si="3"/>
        <v>14</v>
      </c>
      <c r="BY35" s="916" t="str">
        <f t="shared" si="9"/>
        <v>導入線 2.0mmφ</v>
      </c>
      <c r="BZ35" s="936"/>
      <c r="CA35" s="936"/>
      <c r="CB35" s="936"/>
      <c r="CC35" s="936" t="str">
        <f>IF(COUNTIF($BY$18:$BY34,BY35)&gt;0,"",BY35)</f>
        <v>導入線 2.0mmφ</v>
      </c>
      <c r="CD35" s="1072">
        <f t="shared" si="10"/>
        <v>157.80000000000001</v>
      </c>
      <c r="CE35" s="1074">
        <f t="shared" si="6"/>
        <v>157.80000000000001</v>
      </c>
      <c r="CF35" s="936"/>
      <c r="CG35" s="1084" t="str">
        <f>" "&amp;MAX(CG15:CG34)&amp;"F"</f>
        <v xml:space="preserve"> 0F</v>
      </c>
      <c r="CH35" s="1083">
        <f>VLOOKUP(O8,階高,2,FALSE)</f>
        <v>5</v>
      </c>
      <c r="CI35" s="936"/>
      <c r="CJ35" s="1050" t="s">
        <v>2817</v>
      </c>
      <c r="CK35" s="1050" t="s">
        <v>2816</v>
      </c>
      <c r="CL35" s="1050" t="s">
        <v>2815</v>
      </c>
      <c r="CM35" s="1050" t="s">
        <v>2814</v>
      </c>
      <c r="CN35" s="1050" t="s">
        <v>2813</v>
      </c>
      <c r="CO35" s="1050" t="s">
        <v>2812</v>
      </c>
      <c r="CP35" s="1050" t="s">
        <v>2811</v>
      </c>
      <c r="CQ35" s="1050" t="s">
        <v>2810</v>
      </c>
      <c r="CU35" s="1082"/>
      <c r="CV35" s="1051"/>
      <c r="CW35" s="936"/>
      <c r="CX35" s="936"/>
      <c r="CY35" s="936"/>
      <c r="CZ35" s="1051"/>
      <c r="DA35" s="942"/>
      <c r="DB35" s="936"/>
      <c r="DC35" s="936"/>
    </row>
    <row r="36" spans="2:107" ht="10.5" customHeight="1">
      <c r="B36" s="927"/>
      <c r="C36" s="2755" t="str">
        <f>IF(AH36="","",IF(S36&lt;&gt;"",S36,"配電用アレスタ GL-6R-8.4KV"))</f>
        <v>配電用アレスタ GL-6R-8.4KV</v>
      </c>
      <c r="D36" s="2756"/>
      <c r="E36" s="2756"/>
      <c r="F36" s="2756"/>
      <c r="G36" s="2756"/>
      <c r="H36" s="2756"/>
      <c r="I36" s="2756"/>
      <c r="J36" s="2756"/>
      <c r="K36" s="2756"/>
      <c r="L36" s="2756"/>
      <c r="M36" s="2756"/>
      <c r="N36" s="2756"/>
      <c r="O36" s="2756"/>
      <c r="P36" s="2756"/>
      <c r="Q36" s="2757"/>
      <c r="R36" s="928" t="s">
        <v>2674</v>
      </c>
      <c r="S36" s="2758"/>
      <c r="T36" s="2759"/>
      <c r="U36" s="2759"/>
      <c r="V36" s="2759"/>
      <c r="W36" s="2759"/>
      <c r="X36" s="2759"/>
      <c r="Y36" s="2759"/>
      <c r="Z36" s="2759"/>
      <c r="AA36" s="2759"/>
      <c r="AB36" s="2759"/>
      <c r="AC36" s="2759"/>
      <c r="AD36" s="2759"/>
      <c r="AE36" s="2759"/>
      <c r="AF36" s="2759"/>
      <c r="AG36" s="2760"/>
      <c r="AH36" s="2761">
        <f>IF(OR(B2=0,X7="L"),"",IF(CA15="架",3,""))</f>
        <v>3</v>
      </c>
      <c r="AI36" s="2761"/>
      <c r="AJ36" s="2761"/>
      <c r="AK36" s="1081" t="str">
        <f>IF(AH36="","","[台]")</f>
        <v>[台]</v>
      </c>
      <c r="AL36" s="1024"/>
      <c r="AM36" s="1024"/>
      <c r="AN36" s="1024"/>
      <c r="AO36" s="2765" t="str">
        <f>IF(BK36="","",S11)</f>
        <v>CP 10-19-350Kg</v>
      </c>
      <c r="AP36" s="2766"/>
      <c r="AQ36" s="2766"/>
      <c r="AR36" s="2766"/>
      <c r="AS36" s="2766"/>
      <c r="AT36" s="2766"/>
      <c r="AU36" s="2766"/>
      <c r="AV36" s="2766"/>
      <c r="AW36" s="2766"/>
      <c r="AX36" s="2766"/>
      <c r="AY36" s="2766"/>
      <c r="AZ36" s="1080" t="s">
        <v>2674</v>
      </c>
      <c r="BA36" s="2771"/>
      <c r="BB36" s="2772"/>
      <c r="BC36" s="2772"/>
      <c r="BD36" s="2772"/>
      <c r="BE36" s="2772"/>
      <c r="BF36" s="2772"/>
      <c r="BG36" s="2772"/>
      <c r="BH36" s="2772"/>
      <c r="BI36" s="2772"/>
      <c r="BJ36" s="2790"/>
      <c r="BK36" s="2791">
        <f>IF(B2=0,"",AS11)</f>
        <v>1</v>
      </c>
      <c r="BL36" s="2792"/>
      <c r="BM36" s="2792"/>
      <c r="BN36" s="2793"/>
      <c r="BO36" s="1079" t="str">
        <f>IF(BK36="","","[本]")</f>
        <v>[本]</v>
      </c>
      <c r="BP36" s="1024"/>
      <c r="BQ36" s="925"/>
      <c r="BR36" s="925"/>
      <c r="BS36" s="925"/>
      <c r="BT36" s="925"/>
      <c r="BU36" s="924"/>
      <c r="BV36" s="936"/>
      <c r="BW36" s="1069">
        <f t="shared" si="2"/>
        <v>14</v>
      </c>
      <c r="BX36" s="1069" t="str">
        <f t="shared" si="3"/>
        <v/>
      </c>
      <c r="BY36" s="916" t="str">
        <f t="shared" si="9"/>
        <v/>
      </c>
      <c r="BZ36" s="936"/>
      <c r="CA36" s="936"/>
      <c r="CB36" s="936"/>
      <c r="CC36" s="936" t="str">
        <f>IF(COUNTIF($BY$18:$BY35,BY36)&gt;0,"",BY36)</f>
        <v/>
      </c>
      <c r="CD36" s="1072" t="str">
        <f t="shared" si="10"/>
        <v/>
      </c>
      <c r="CE36" s="1074">
        <f t="shared" si="6"/>
        <v>0</v>
      </c>
      <c r="CF36" s="936"/>
      <c r="CG36" s="936"/>
      <c r="CH36" s="936"/>
      <c r="CI36" s="936"/>
      <c r="CJ36" s="1050" t="s">
        <v>2809</v>
      </c>
      <c r="CK36" s="1050" t="s">
        <v>2808</v>
      </c>
      <c r="CL36" s="1050" t="s">
        <v>2807</v>
      </c>
      <c r="CM36" s="1050" t="s">
        <v>2806</v>
      </c>
      <c r="CN36" s="1050" t="s">
        <v>2805</v>
      </c>
      <c r="CO36" s="1050" t="s">
        <v>2804</v>
      </c>
      <c r="CP36" s="1050" t="s">
        <v>2803</v>
      </c>
      <c r="CQ36" s="1050" t="s">
        <v>2802</v>
      </c>
      <c r="CU36" s="916"/>
      <c r="CV36" s="1051"/>
      <c r="CW36" s="936"/>
      <c r="CX36" s="936"/>
      <c r="CY36" s="936"/>
      <c r="CZ36" s="1051"/>
      <c r="DA36" s="942"/>
      <c r="DB36" s="936"/>
      <c r="DC36" s="936"/>
    </row>
    <row r="37" spans="2:107" ht="10.5" customHeight="1">
      <c r="B37" s="927"/>
      <c r="C37" s="2755" t="str">
        <f>IF(C35="","",IF(S37&lt;&gt;"",S37,"高圧カットアウト PC-6 7.2KV-30A"))</f>
        <v>高圧カットアウト PC-6 7.2KV-30A</v>
      </c>
      <c r="D37" s="2756"/>
      <c r="E37" s="2756"/>
      <c r="F37" s="2756"/>
      <c r="G37" s="2756"/>
      <c r="H37" s="2756"/>
      <c r="I37" s="2756"/>
      <c r="J37" s="2756"/>
      <c r="K37" s="2756"/>
      <c r="L37" s="2756"/>
      <c r="M37" s="2756"/>
      <c r="N37" s="2756"/>
      <c r="O37" s="2756"/>
      <c r="P37" s="2756"/>
      <c r="Q37" s="2757"/>
      <c r="R37" s="928" t="s">
        <v>2674</v>
      </c>
      <c r="S37" s="2758"/>
      <c r="T37" s="2759"/>
      <c r="U37" s="2759"/>
      <c r="V37" s="2759"/>
      <c r="W37" s="2759"/>
      <c r="X37" s="2759"/>
      <c r="Y37" s="2759"/>
      <c r="Z37" s="2759"/>
      <c r="AA37" s="2759"/>
      <c r="AB37" s="2759"/>
      <c r="AC37" s="2759"/>
      <c r="AD37" s="2759"/>
      <c r="AE37" s="2759"/>
      <c r="AF37" s="2759"/>
      <c r="AG37" s="2760"/>
      <c r="AH37" s="2761">
        <f>IF(OR(B2=0,X8="L"),"",IF(AH35&lt;&gt;"",3,""))</f>
        <v>3</v>
      </c>
      <c r="AI37" s="2761"/>
      <c r="AJ37" s="2761"/>
      <c r="AK37" s="1081" t="str">
        <f>IF(AH37="","","[台]")</f>
        <v>[台]</v>
      </c>
      <c r="AL37" s="1024"/>
      <c r="AM37" s="1024"/>
      <c r="AN37" s="1024"/>
      <c r="AO37" s="2765" t="str">
        <f>IF(OR(B2=0,BK37=""),"",IF(BA37&lt;&gt;"",BA37,"支線工事"))</f>
        <v>支線工事</v>
      </c>
      <c r="AP37" s="2766"/>
      <c r="AQ37" s="2766"/>
      <c r="AR37" s="2766"/>
      <c r="AS37" s="2766"/>
      <c r="AT37" s="2766"/>
      <c r="AU37" s="2766"/>
      <c r="AV37" s="2766"/>
      <c r="AW37" s="2766"/>
      <c r="AX37" s="2766"/>
      <c r="AY37" s="2766"/>
      <c r="AZ37" s="1080" t="s">
        <v>2674</v>
      </c>
      <c r="BA37" s="2778"/>
      <c r="BB37" s="2779"/>
      <c r="BC37" s="2779"/>
      <c r="BD37" s="2779"/>
      <c r="BE37" s="2779"/>
      <c r="BF37" s="2779"/>
      <c r="BG37" s="2779"/>
      <c r="BH37" s="2779"/>
      <c r="BI37" s="2779"/>
      <c r="BJ37" s="2780"/>
      <c r="BK37" s="2791">
        <f>IF(B2=0,"",IF(AND(BL7="B ",BL7,CA15="架",CB15="架"),CQ9,IF(AND(OR(BL7="C ",BL7="D1",BL7="D2"),CA15="架",CB15="架"),5,IF(AND(CA15="架",CB15="地"),1,IF(AND(BL7="B ",CA15="地",CB15="架"),2,IF(AND(OR(BL7="C ",BL7="D1",BL7="D2"),CA15="地",CB15="架"),4,""))))))</f>
        <v>1</v>
      </c>
      <c r="BL37" s="2792"/>
      <c r="BM37" s="2792"/>
      <c r="BN37" s="2793"/>
      <c r="BO37" s="1079" t="str">
        <f>IF(BK37="","","[個所]")</f>
        <v>[個所]</v>
      </c>
      <c r="BP37" s="1024"/>
      <c r="BQ37" s="925"/>
      <c r="BR37" s="925"/>
      <c r="BS37" s="925"/>
      <c r="BT37" s="925"/>
      <c r="BU37" s="924"/>
      <c r="BV37" s="936"/>
      <c r="BW37" s="1069">
        <f t="shared" si="2"/>
        <v>15</v>
      </c>
      <c r="BX37" s="1069">
        <f t="shared" si="3"/>
        <v>15</v>
      </c>
      <c r="BY37" s="916" t="str">
        <f>IF(OR(CD37="",CD37=0),"",C31)</f>
        <v>FEP- 80mm</v>
      </c>
      <c r="BZ37" s="936"/>
      <c r="CA37" s="936"/>
      <c r="CB37" s="936"/>
      <c r="CC37" s="936" t="str">
        <f>IF(COUNTIF($BY$18:$BY36,BY37)&gt;0,"",BY37)</f>
        <v>FEP- 80mm</v>
      </c>
      <c r="CD37" s="1072">
        <f>R31</f>
        <v>297.60000000000002</v>
      </c>
      <c r="CE37" s="1074">
        <f t="shared" si="6"/>
        <v>297.60000000000002</v>
      </c>
      <c r="CF37" s="936"/>
      <c r="CG37" s="936"/>
      <c r="CH37" s="936"/>
      <c r="CI37" s="936"/>
      <c r="CJ37" s="1050" t="s">
        <v>2801</v>
      </c>
      <c r="CK37" s="1050" t="s">
        <v>2800</v>
      </c>
      <c r="CL37" s="1050" t="s">
        <v>2799</v>
      </c>
      <c r="CM37" s="1050" t="s">
        <v>2798</v>
      </c>
      <c r="CN37" s="1050" t="s">
        <v>2797</v>
      </c>
      <c r="CO37" s="1050" t="s">
        <v>2796</v>
      </c>
      <c r="CP37" s="1050" t="s">
        <v>2795</v>
      </c>
      <c r="CQ37" s="1050" t="s">
        <v>2794</v>
      </c>
      <c r="CU37" s="916"/>
      <c r="CV37" s="1051"/>
      <c r="CW37" s="936"/>
      <c r="CX37" s="936"/>
      <c r="CY37" s="936"/>
      <c r="CZ37" s="1051"/>
      <c r="DA37" s="942"/>
      <c r="DB37" s="936"/>
      <c r="DC37" s="936"/>
    </row>
    <row r="38" spans="2:107" ht="10.5" customHeight="1">
      <c r="B38" s="927"/>
      <c r="C38" s="2755" t="str">
        <f>IF(OR(B2=0,X7="L",AH38=""),"",IF(S38&lt;&gt;"",S38,"自立型UGS7.2KV300ADGR"))</f>
        <v/>
      </c>
      <c r="D38" s="2756"/>
      <c r="E38" s="2756"/>
      <c r="F38" s="2756"/>
      <c r="G38" s="2756"/>
      <c r="H38" s="2756"/>
      <c r="I38" s="2756"/>
      <c r="J38" s="2756"/>
      <c r="K38" s="2756"/>
      <c r="L38" s="2756"/>
      <c r="M38" s="2756"/>
      <c r="N38" s="2756"/>
      <c r="O38" s="2756"/>
      <c r="P38" s="2756"/>
      <c r="Q38" s="2757"/>
      <c r="R38" s="928" t="s">
        <v>2674</v>
      </c>
      <c r="S38" s="2758"/>
      <c r="T38" s="2759"/>
      <c r="U38" s="2759"/>
      <c r="V38" s="2759"/>
      <c r="W38" s="2759"/>
      <c r="X38" s="2759"/>
      <c r="Y38" s="2759"/>
      <c r="Z38" s="2759"/>
      <c r="AA38" s="2759"/>
      <c r="AB38" s="2759"/>
      <c r="AC38" s="2759"/>
      <c r="AD38" s="2759"/>
      <c r="AE38" s="2759"/>
      <c r="AF38" s="2759"/>
      <c r="AG38" s="2760"/>
      <c r="AH38" s="2761" t="str">
        <f>IF(OR(B2=0,X7="L"),"",IF(CA15="地",1,""))</f>
        <v/>
      </c>
      <c r="AI38" s="2761"/>
      <c r="AJ38" s="2761"/>
      <c r="AK38" s="1081" t="str">
        <f>IF(AH38="","","[台]")</f>
        <v/>
      </c>
      <c r="AL38" s="1024"/>
      <c r="AM38" s="1024"/>
      <c r="AN38" s="1024"/>
      <c r="AO38" s="2791" t="str">
        <f>IF(B2=0,"",IF(BA38&lt;&gt;"",BA38,S14))</f>
        <v>KK 900×900×1200</v>
      </c>
      <c r="AP38" s="2792"/>
      <c r="AQ38" s="2792"/>
      <c r="AR38" s="2792"/>
      <c r="AS38" s="2792"/>
      <c r="AT38" s="2792"/>
      <c r="AU38" s="2792"/>
      <c r="AV38" s="2792"/>
      <c r="AW38" s="2792"/>
      <c r="AX38" s="2792"/>
      <c r="AY38" s="2792"/>
      <c r="AZ38" s="1080" t="s">
        <v>2674</v>
      </c>
      <c r="BA38" s="2762"/>
      <c r="BB38" s="2762"/>
      <c r="BC38" s="2762"/>
      <c r="BD38" s="2762"/>
      <c r="BE38" s="2762"/>
      <c r="BF38" s="2762"/>
      <c r="BG38" s="2762"/>
      <c r="BH38" s="2762"/>
      <c r="BI38" s="2762"/>
      <c r="BJ38" s="2762"/>
      <c r="BK38" s="2776">
        <f>IF(B2=0,"",AS14)</f>
        <v>3</v>
      </c>
      <c r="BL38" s="2776"/>
      <c r="BM38" s="2776"/>
      <c r="BN38" s="2777"/>
      <c r="BO38" s="1079" t="str">
        <f>IF(BK38="","","[基]")</f>
        <v>[基]</v>
      </c>
      <c r="BP38" s="1024"/>
      <c r="BQ38" s="925"/>
      <c r="BR38" s="925"/>
      <c r="BS38" s="925"/>
      <c r="BT38" s="925"/>
      <c r="BU38" s="924"/>
      <c r="BV38" s="936"/>
      <c r="BW38" s="1069">
        <f t="shared" si="2"/>
        <v>16</v>
      </c>
      <c r="BX38" s="1069">
        <f t="shared" si="3"/>
        <v>16</v>
      </c>
      <c r="BY38" s="916" t="str">
        <f>IF(OR(CD38="",CD38=0),"",C32)</f>
        <v>FEP- 30mm</v>
      </c>
      <c r="BZ38" s="936"/>
      <c r="CA38" s="936"/>
      <c r="CB38" s="936"/>
      <c r="CC38" s="936" t="str">
        <f>IF(COUNTIF($BY$18:$BY37,BY38)&gt;0,"",BY38)</f>
        <v>FEP- 30mm</v>
      </c>
      <c r="CD38" s="1072">
        <f>R32</f>
        <v>68.040000000000006</v>
      </c>
      <c r="CE38" s="1074">
        <f t="shared" si="6"/>
        <v>365.64000000000004</v>
      </c>
      <c r="CF38" s="936"/>
      <c r="CG38" s="936"/>
      <c r="CH38" s="936"/>
      <c r="CI38" s="936"/>
      <c r="CJ38" s="1050" t="s">
        <v>2793</v>
      </c>
      <c r="CK38" s="1050" t="s">
        <v>2792</v>
      </c>
      <c r="CL38" s="1050" t="s">
        <v>2791</v>
      </c>
      <c r="CM38" s="1050" t="s">
        <v>2790</v>
      </c>
      <c r="CN38" s="1050" t="s">
        <v>2789</v>
      </c>
      <c r="CO38" s="1050" t="s">
        <v>2788</v>
      </c>
      <c r="CP38" s="1050" t="s">
        <v>2787</v>
      </c>
      <c r="CQ38" s="1050" t="s">
        <v>2786</v>
      </c>
      <c r="CU38" s="916"/>
      <c r="CV38" s="1051"/>
      <c r="CW38" s="936"/>
      <c r="CX38" s="936"/>
      <c r="CY38" s="936"/>
      <c r="CZ38" s="1051"/>
      <c r="DA38" s="942"/>
      <c r="DB38" s="936"/>
      <c r="DC38" s="936"/>
    </row>
    <row r="39" spans="2:107" ht="10.5" customHeight="1">
      <c r="B39" s="927"/>
      <c r="C39" s="925"/>
      <c r="D39" s="925"/>
      <c r="E39" s="925"/>
      <c r="F39" s="925"/>
      <c r="G39" s="925"/>
      <c r="H39" s="925"/>
      <c r="I39" s="925"/>
      <c r="J39" s="925"/>
      <c r="K39" s="925"/>
      <c r="L39" s="925"/>
      <c r="M39" s="925"/>
      <c r="N39" s="925"/>
      <c r="O39" s="925"/>
      <c r="P39" s="925"/>
      <c r="Q39" s="925"/>
      <c r="R39" s="925"/>
      <c r="S39" s="925"/>
      <c r="T39" s="925"/>
      <c r="U39" s="925"/>
      <c r="V39" s="925"/>
      <c r="W39" s="925"/>
      <c r="X39" s="925"/>
      <c r="Y39" s="925"/>
      <c r="Z39" s="925"/>
      <c r="AA39" s="925"/>
      <c r="AB39" s="925"/>
      <c r="AC39" s="925"/>
      <c r="AD39" s="925"/>
      <c r="AE39" s="925"/>
      <c r="AF39" s="925"/>
      <c r="AG39" s="925"/>
      <c r="AH39" s="925"/>
      <c r="AI39" s="925"/>
      <c r="AJ39" s="925"/>
      <c r="AK39" s="925"/>
      <c r="AL39" s="925"/>
      <c r="AM39" s="925"/>
      <c r="AN39" s="925"/>
      <c r="AO39" s="2768" t="str">
        <f>IF(B2=0,"",IF(BA39&lt;&gt;"",BA39,S15))</f>
        <v>AHB-1  650×250</v>
      </c>
      <c r="AP39" s="2769"/>
      <c r="AQ39" s="2769"/>
      <c r="AR39" s="2769"/>
      <c r="AS39" s="2769"/>
      <c r="AT39" s="2769"/>
      <c r="AU39" s="2769"/>
      <c r="AV39" s="2769"/>
      <c r="AW39" s="2769"/>
      <c r="AX39" s="2769"/>
      <c r="AY39" s="2770"/>
      <c r="AZ39" s="1080" t="s">
        <v>2674</v>
      </c>
      <c r="BA39" s="2771"/>
      <c r="BB39" s="2772"/>
      <c r="BC39" s="2772"/>
      <c r="BD39" s="2772"/>
      <c r="BE39" s="2772"/>
      <c r="BF39" s="2772"/>
      <c r="BG39" s="2772"/>
      <c r="BH39" s="2772"/>
      <c r="BI39" s="2772"/>
      <c r="BJ39" s="2772"/>
      <c r="BK39" s="2773">
        <f>IF(B2=0,"",BK38)</f>
        <v>3</v>
      </c>
      <c r="BL39" s="2774"/>
      <c r="BM39" s="2774"/>
      <c r="BN39" s="2775"/>
      <c r="BO39" s="1079" t="str">
        <f>IF(BK39="","","[個]")</f>
        <v>[個]</v>
      </c>
      <c r="BP39" s="925"/>
      <c r="BQ39" s="925"/>
      <c r="BR39" s="925"/>
      <c r="BS39" s="925"/>
      <c r="BT39" s="925"/>
      <c r="BU39" s="924"/>
      <c r="BV39" s="936"/>
      <c r="BW39" s="1069">
        <f t="shared" si="2"/>
        <v>16</v>
      </c>
      <c r="BX39" s="1069" t="str">
        <f t="shared" si="3"/>
        <v/>
      </c>
      <c r="BY39" s="916" t="str">
        <f>IF(OR(CD39="",CD39=0),"",C33)</f>
        <v>FEP- 30mm</v>
      </c>
      <c r="BZ39" s="936"/>
      <c r="CA39" s="936"/>
      <c r="CB39" s="936"/>
      <c r="CC39" s="936" t="str">
        <f>IF(COUNTIF($BY$18:$BY38,BY39)&gt;0,"",BY39)</f>
        <v/>
      </c>
      <c r="CD39" s="1072">
        <f>R33</f>
        <v>297.60000000000002</v>
      </c>
      <c r="CE39" s="1074">
        <f t="shared" si="6"/>
        <v>0</v>
      </c>
      <c r="CF39" s="936"/>
      <c r="CG39" s="936"/>
      <c r="CH39" s="936"/>
      <c r="CI39" s="936"/>
      <c r="CJ39" s="1050" t="s">
        <v>2785</v>
      </c>
      <c r="CK39" s="1050" t="s">
        <v>2784</v>
      </c>
      <c r="CL39" s="1050" t="s">
        <v>2783</v>
      </c>
      <c r="CM39" s="1050" t="s">
        <v>2782</v>
      </c>
      <c r="CN39" s="1050" t="s">
        <v>2781</v>
      </c>
      <c r="CO39" s="1050" t="s">
        <v>2780</v>
      </c>
      <c r="CP39" s="1050" t="s">
        <v>2779</v>
      </c>
      <c r="CQ39" s="1050" t="s">
        <v>2778</v>
      </c>
      <c r="CU39" s="916"/>
      <c r="CV39" s="1051"/>
      <c r="CW39" s="936"/>
      <c r="CX39" s="936"/>
      <c r="CY39" s="936"/>
      <c r="CZ39" s="1051"/>
      <c r="DA39" s="942"/>
      <c r="DB39" s="936"/>
      <c r="DC39" s="936"/>
    </row>
    <row r="40" spans="2:107" ht="10.5" customHeight="1">
      <c r="B40" s="927"/>
      <c r="C40" s="925"/>
      <c r="D40" s="925"/>
      <c r="E40" s="925"/>
      <c r="F40" s="925"/>
      <c r="G40" s="925"/>
      <c r="H40" s="925"/>
      <c r="I40" s="925"/>
      <c r="J40" s="925"/>
      <c r="K40" s="925"/>
      <c r="L40" s="925"/>
      <c r="M40" s="925"/>
      <c r="N40" s="925"/>
      <c r="O40" s="925"/>
      <c r="P40" s="925"/>
      <c r="Q40" s="925"/>
      <c r="R40" s="925"/>
      <c r="S40" s="925"/>
      <c r="T40" s="925"/>
      <c r="U40" s="925"/>
      <c r="V40" s="925"/>
      <c r="W40" s="925"/>
      <c r="X40" s="925"/>
      <c r="Y40" s="925"/>
      <c r="Z40" s="925"/>
      <c r="AA40" s="925"/>
      <c r="AB40" s="925"/>
      <c r="AC40" s="925"/>
      <c r="AD40" s="925"/>
      <c r="AE40" s="925"/>
      <c r="AF40" s="925"/>
      <c r="AG40" s="925"/>
      <c r="AH40" s="925"/>
      <c r="AI40" s="925"/>
      <c r="AJ40" s="925"/>
      <c r="AK40" s="925"/>
      <c r="AL40" s="925"/>
      <c r="AM40" s="925"/>
      <c r="AN40" s="925"/>
      <c r="AO40" s="2765" t="str">
        <f>IF(B2=0,"",IF(BA39&lt;&gt;"",BA39,"土工費(掘削)"))</f>
        <v>土工費(掘削)</v>
      </c>
      <c r="AP40" s="2766"/>
      <c r="AQ40" s="2766"/>
      <c r="AR40" s="2766"/>
      <c r="AS40" s="2766"/>
      <c r="AT40" s="2766"/>
      <c r="AU40" s="2766"/>
      <c r="AV40" s="2766"/>
      <c r="AW40" s="2766"/>
      <c r="AX40" s="2766"/>
      <c r="AY40" s="2767"/>
      <c r="AZ40" s="1080" t="s">
        <v>2674</v>
      </c>
      <c r="BA40" s="2778"/>
      <c r="BB40" s="2779"/>
      <c r="BC40" s="2779"/>
      <c r="BD40" s="2779"/>
      <c r="BE40" s="2779"/>
      <c r="BF40" s="2779"/>
      <c r="BG40" s="2779"/>
      <c r="BH40" s="2779"/>
      <c r="BI40" s="2779"/>
      <c r="BJ40" s="2780"/>
      <c r="BK40" s="2781">
        <f>IF(B2=0,"",IF(AND(BL7="B ",CB15="地"),BZ9,IF(AND(BL7="C ",CB15="地"),BZ10,IF(AND(BL7="D1",CB15="地"),BZ11,IF(AND(BL7="D2",CB15="地"),BZ12,"")))))</f>
        <v>69</v>
      </c>
      <c r="BL40" s="2781"/>
      <c r="BM40" s="2781"/>
      <c r="BN40" s="2782"/>
      <c r="BO40" s="1079" t="str">
        <f>IF(BK40="","","[m]")</f>
        <v>[m]</v>
      </c>
      <c r="BP40" s="925"/>
      <c r="BQ40" s="925"/>
      <c r="BR40" s="925"/>
      <c r="BS40" s="925"/>
      <c r="BT40" s="925"/>
      <c r="BU40" s="924"/>
      <c r="BV40" s="936"/>
      <c r="BW40" s="1069">
        <f t="shared" si="2"/>
        <v>16</v>
      </c>
      <c r="BX40" s="1069" t="str">
        <f t="shared" si="3"/>
        <v/>
      </c>
      <c r="BY40" s="916" t="str">
        <f>IF(OR(CD40="",CD40=0),"",Y31)</f>
        <v>SGP- 80A</v>
      </c>
      <c r="BZ40" s="936"/>
      <c r="CA40" s="936"/>
      <c r="CB40" s="936"/>
      <c r="CC40" s="936" t="str">
        <f>IF(COUNTIF($BY$18:$BY38,BY40)&gt;0,"",BY40)</f>
        <v/>
      </c>
      <c r="CD40" s="1072">
        <f>AL31</f>
        <v>8.3000000000000007</v>
      </c>
      <c r="CE40" s="1074">
        <f t="shared" si="6"/>
        <v>0</v>
      </c>
      <c r="CF40" s="936"/>
      <c r="CG40" s="936"/>
      <c r="CH40" s="936"/>
      <c r="CI40" s="936"/>
      <c r="CJ40" s="1050" t="s">
        <v>2777</v>
      </c>
      <c r="CK40" s="1050" t="s">
        <v>2776</v>
      </c>
      <c r="CL40" s="1050" t="s">
        <v>2775</v>
      </c>
      <c r="CM40" s="1050" t="s">
        <v>2774</v>
      </c>
      <c r="CN40" s="1050" t="s">
        <v>2773</v>
      </c>
      <c r="CO40" s="1050" t="s">
        <v>2772</v>
      </c>
      <c r="CP40" s="1050" t="s">
        <v>2771</v>
      </c>
      <c r="CQ40" s="1050" t="s">
        <v>2770</v>
      </c>
      <c r="CU40" s="916"/>
      <c r="CV40" s="1051"/>
      <c r="CW40" s="936"/>
      <c r="CX40" s="936"/>
      <c r="CY40" s="936"/>
      <c r="CZ40" s="1051"/>
      <c r="DA40" s="942"/>
      <c r="DB40" s="936"/>
      <c r="DC40" s="936"/>
    </row>
    <row r="41" spans="2:107" ht="10.5" customHeight="1">
      <c r="B41" s="927"/>
      <c r="C41" s="925"/>
      <c r="D41" s="925"/>
      <c r="E41" s="925"/>
      <c r="F41" s="925"/>
      <c r="G41" s="925"/>
      <c r="H41" s="925"/>
      <c r="I41" s="925"/>
      <c r="J41" s="925"/>
      <c r="K41" s="925"/>
      <c r="L41" s="925"/>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5"/>
      <c r="BI41" s="925"/>
      <c r="BJ41" s="925"/>
      <c r="BK41" s="925"/>
      <c r="BL41" s="925"/>
      <c r="BM41" s="925"/>
      <c r="BN41" s="925"/>
      <c r="BO41" s="1078"/>
      <c r="BP41" s="925"/>
      <c r="BQ41" s="925"/>
      <c r="BR41" s="925"/>
      <c r="BS41" s="925"/>
      <c r="BT41" s="925"/>
      <c r="BU41" s="924"/>
      <c r="BV41" s="936"/>
      <c r="BW41" s="1069">
        <f t="shared" si="2"/>
        <v>16</v>
      </c>
      <c r="BX41" s="1069" t="str">
        <f t="shared" si="3"/>
        <v/>
      </c>
      <c r="BY41" s="916" t="str">
        <f>IF(OR(CD41="",CD41=0),"",Y32)</f>
        <v>SGP- 25A</v>
      </c>
      <c r="BZ41" s="936"/>
      <c r="CA41" s="936"/>
      <c r="CB41" s="936"/>
      <c r="CC41" s="936" t="str">
        <f>IF(COUNTIF($BY$18:$BY38,BY41)&gt;0,"",BY41)</f>
        <v/>
      </c>
      <c r="CD41" s="1072">
        <f>AL31</f>
        <v>8.3000000000000007</v>
      </c>
      <c r="CE41" s="1074">
        <f t="shared" si="6"/>
        <v>0</v>
      </c>
      <c r="CF41" s="936"/>
      <c r="CG41" s="936"/>
      <c r="CH41" s="936"/>
      <c r="CI41" s="936"/>
      <c r="CJ41" s="1050" t="s">
        <v>2769</v>
      </c>
      <c r="CK41" s="1050" t="s">
        <v>2768</v>
      </c>
      <c r="CL41" s="1050" t="s">
        <v>2767</v>
      </c>
      <c r="CM41" s="1050" t="s">
        <v>2766</v>
      </c>
      <c r="CN41" s="1050" t="s">
        <v>2765</v>
      </c>
      <c r="CO41" s="1050" t="s">
        <v>2764</v>
      </c>
      <c r="CP41" s="1050" t="s">
        <v>2763</v>
      </c>
      <c r="CQ41" s="1051"/>
      <c r="CU41" s="916"/>
      <c r="CV41" s="1051"/>
      <c r="CW41" s="936"/>
      <c r="CX41" s="936"/>
      <c r="CY41" s="936"/>
      <c r="CZ41" s="1051"/>
      <c r="DA41" s="942"/>
      <c r="DB41" s="936"/>
      <c r="DC41" s="936"/>
    </row>
    <row r="42" spans="2:107" ht="10.5" customHeight="1" thickBot="1">
      <c r="B42" s="927"/>
      <c r="C42" s="925"/>
      <c r="D42" s="925"/>
      <c r="E42" s="925"/>
      <c r="F42" s="925"/>
      <c r="G42" s="925"/>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925"/>
      <c r="AW42" s="925"/>
      <c r="AX42" s="925"/>
      <c r="AY42" s="925"/>
      <c r="AZ42" s="925"/>
      <c r="BA42" s="925"/>
      <c r="BB42" s="925"/>
      <c r="BC42" s="925"/>
      <c r="BD42" s="925"/>
      <c r="BE42" s="925"/>
      <c r="BF42" s="925"/>
      <c r="BG42" s="925"/>
      <c r="BH42" s="925"/>
      <c r="BI42" s="925"/>
      <c r="BJ42" s="925"/>
      <c r="BK42" s="925"/>
      <c r="BL42" s="925"/>
      <c r="BM42" s="925"/>
      <c r="BN42" s="925"/>
      <c r="BO42" s="925"/>
      <c r="BP42" s="925"/>
      <c r="BQ42" s="925"/>
      <c r="BR42" s="925"/>
      <c r="BS42" s="925"/>
      <c r="BT42" s="925"/>
      <c r="BU42" s="924"/>
      <c r="BV42" s="936"/>
      <c r="BW42" s="1069">
        <f t="shared" si="2"/>
        <v>16</v>
      </c>
      <c r="BX42" s="1069" t="str">
        <f t="shared" si="3"/>
        <v/>
      </c>
      <c r="BY42" s="916" t="str">
        <f>IF(OR(CD42="",CD42=0),"",Y32)</f>
        <v>SGP- 25A</v>
      </c>
      <c r="BZ42" s="936"/>
      <c r="CA42" s="936"/>
      <c r="CB42" s="936"/>
      <c r="CC42" s="936" t="str">
        <f>IF(COUNTIF($BY$18:$BY39,BY42)&gt;0,"",BY42)</f>
        <v/>
      </c>
      <c r="CD42" s="1072">
        <f>AL32</f>
        <v>8.3000000000000007</v>
      </c>
      <c r="CE42" s="1074">
        <f t="shared" si="6"/>
        <v>0</v>
      </c>
      <c r="CF42" s="936"/>
      <c r="CG42" s="936"/>
      <c r="CH42" s="936"/>
      <c r="CI42" s="936"/>
      <c r="CJ42" s="1050" t="s">
        <v>2762</v>
      </c>
      <c r="CK42" s="1050" t="s">
        <v>2761</v>
      </c>
      <c r="CL42" s="1050" t="s">
        <v>2760</v>
      </c>
      <c r="CM42" s="1050" t="s">
        <v>2759</v>
      </c>
      <c r="CN42" s="1050" t="s">
        <v>2758</v>
      </c>
      <c r="CO42" s="1050" t="s">
        <v>2757</v>
      </c>
      <c r="CQ42" s="1051"/>
      <c r="CU42" s="916"/>
      <c r="CV42" s="1051"/>
      <c r="CW42" s="936"/>
      <c r="CX42" s="936"/>
      <c r="CY42" s="936"/>
      <c r="CZ42" s="1051"/>
      <c r="DA42" s="942"/>
      <c r="DB42" s="936"/>
      <c r="DC42" s="936"/>
    </row>
    <row r="43" spans="2:107" ht="12" customHeight="1">
      <c r="B43" s="927"/>
      <c r="C43" s="2948" t="s">
        <v>2756</v>
      </c>
      <c r="D43" s="2920"/>
      <c r="E43" s="2920"/>
      <c r="F43" s="2920"/>
      <c r="G43" s="2920"/>
      <c r="H43" s="2920"/>
      <c r="I43" s="2920"/>
      <c r="J43" s="2920"/>
      <c r="K43" s="2920"/>
      <c r="L43" s="2920"/>
      <c r="M43" s="2921"/>
      <c r="N43" s="2948" t="s">
        <v>2755</v>
      </c>
      <c r="O43" s="2920"/>
      <c r="P43" s="2920"/>
      <c r="Q43" s="2920"/>
      <c r="R43" s="2921"/>
      <c r="S43" s="1077" t="s">
        <v>2674</v>
      </c>
      <c r="T43" s="2948" t="s">
        <v>2754</v>
      </c>
      <c r="U43" s="2920"/>
      <c r="V43" s="2920"/>
      <c r="W43" s="2920"/>
      <c r="X43" s="2921"/>
      <c r="Y43" s="2873" t="s">
        <v>470</v>
      </c>
      <c r="Z43" s="2873"/>
      <c r="AA43" s="2873"/>
      <c r="AB43" s="2948" t="s">
        <v>2753</v>
      </c>
      <c r="AC43" s="2920"/>
      <c r="AD43" s="2920"/>
      <c r="AE43" s="2920"/>
      <c r="AF43" s="2920"/>
      <c r="AG43" s="2921"/>
      <c r="AH43" s="2949" t="s">
        <v>2752</v>
      </c>
      <c r="AI43" s="2950"/>
      <c r="AJ43" s="2950"/>
      <c r="AK43" s="2950"/>
      <c r="AL43" s="2950"/>
      <c r="AM43" s="2950"/>
      <c r="AN43" s="2951"/>
      <c r="AO43" s="1076">
        <f>IF(BO56="北海道",4,IF(BO56="東北",6,IF(BO56="関東",8,IF(BO56="中部",10,IF(BO56="近畿",12,IF(BO56="北陸",14,IF(BO56="中国",16,IF(BO56="四国",18,IF(BO56="九州",20,IF(BO56="沖縄",22,RIGHT(BH58,1)+21))))))))))</f>
        <v>12</v>
      </c>
      <c r="AP43" s="2948" t="s">
        <v>2751</v>
      </c>
      <c r="AQ43" s="2920"/>
      <c r="AR43" s="2920"/>
      <c r="AS43" s="2920"/>
      <c r="AT43" s="2921"/>
      <c r="AU43" s="2948" t="s">
        <v>2750</v>
      </c>
      <c r="AV43" s="2920"/>
      <c r="AW43" s="2920"/>
      <c r="AX43" s="2920"/>
      <c r="AY43" s="2920"/>
      <c r="AZ43" s="2921"/>
      <c r="BA43" s="926"/>
      <c r="BB43" s="2955" t="str">
        <f>IF(B2=0,"","電工単価")</f>
        <v>電工単価</v>
      </c>
      <c r="BC43" s="2956"/>
      <c r="BD43" s="2956"/>
      <c r="BE43" s="2956"/>
      <c r="BF43" s="2956"/>
      <c r="BG43" s="2957"/>
      <c r="BH43" s="2958">
        <f>IF(B2=0,"",IF(BO43="",原価!AD44,BO43))</f>
        <v>6000</v>
      </c>
      <c r="BI43" s="2959"/>
      <c r="BJ43" s="2959"/>
      <c r="BK43" s="2959"/>
      <c r="BL43" s="2959"/>
      <c r="BM43" s="2960"/>
      <c r="BN43" s="1075" t="s">
        <v>2674</v>
      </c>
      <c r="BO43" s="2961"/>
      <c r="BP43" s="2962"/>
      <c r="BQ43" s="2962"/>
      <c r="BR43" s="2962"/>
      <c r="BS43" s="2962"/>
      <c r="BT43" s="2963"/>
      <c r="BU43" s="924"/>
      <c r="BV43" s="936"/>
      <c r="BW43" s="1069"/>
      <c r="BX43" s="1069"/>
      <c r="BY43" s="916"/>
      <c r="BZ43" s="936"/>
      <c r="CA43" s="936"/>
      <c r="CB43" s="936"/>
      <c r="CC43" s="936"/>
      <c r="CD43" s="1072"/>
      <c r="CE43" s="1074"/>
      <c r="CF43" s="936"/>
      <c r="CG43" s="936"/>
      <c r="CH43" s="936"/>
      <c r="CI43" s="936"/>
      <c r="CJ43" s="1050" t="s">
        <v>2749</v>
      </c>
      <c r="CK43" s="1050" t="s">
        <v>2748</v>
      </c>
      <c r="CL43" s="1050" t="s">
        <v>2747</v>
      </c>
      <c r="CM43" s="1050" t="s">
        <v>2746</v>
      </c>
      <c r="CN43" s="1050" t="s">
        <v>2745</v>
      </c>
      <c r="CO43" s="1050" t="s">
        <v>2744</v>
      </c>
      <c r="CQ43" s="1050" t="s">
        <v>2743</v>
      </c>
      <c r="CU43" s="916"/>
      <c r="CV43" s="1051"/>
      <c r="CW43" s="936"/>
      <c r="CX43" s="936"/>
      <c r="CY43" s="936"/>
      <c r="CZ43" s="1051"/>
      <c r="DA43" s="942"/>
      <c r="DB43" s="936"/>
      <c r="DC43" s="936"/>
    </row>
    <row r="44" spans="2:107" ht="10.5" customHeight="1">
      <c r="B44" s="927"/>
      <c r="C44" s="2942" t="str">
        <f t="shared" ref="C44:C67" si="11">IF(ISNA(VLOOKUP(BV44,引込1,6,FALSE)),"",VLOOKUP(BV44,引込1,6,FALSE))</f>
        <v>PAS 7.2KV200A 重DGR</v>
      </c>
      <c r="D44" s="2943"/>
      <c r="E44" s="2943"/>
      <c r="F44" s="2943"/>
      <c r="G44" s="2943"/>
      <c r="H44" s="2943"/>
      <c r="I44" s="2943"/>
      <c r="J44" s="2943"/>
      <c r="K44" s="2943"/>
      <c r="L44" s="2943"/>
      <c r="M44" s="2944"/>
      <c r="N44" s="2945">
        <f t="shared" ref="N44:N67" si="12">IF(T44&lt;&gt;"",T44,IF(ISNA(VLOOKUP(BV44,引込1,8,FALSE)),"",(VLOOKUP(BV44,引込1,8,FALSE))))</f>
        <v>1</v>
      </c>
      <c r="O44" s="2946"/>
      <c r="P44" s="2946"/>
      <c r="Q44" s="2946"/>
      <c r="R44" s="2947"/>
      <c r="S44" s="1065" t="str">
        <f t="shared" ref="S44:S67" si="13">IF(N44="","","▼")</f>
        <v>▼</v>
      </c>
      <c r="T44" s="2964"/>
      <c r="U44" s="2965"/>
      <c r="V44" s="2965"/>
      <c r="W44" s="2965"/>
      <c r="X44" s="2966"/>
      <c r="Y44" s="2820" t="str">
        <f>IF(C44="","",VLOOKUP(C44,[5]建物1802!$E$5:$AL$3275,2,FALSE))</f>
        <v>台</v>
      </c>
      <c r="Z44" s="2821"/>
      <c r="AA44" s="2822"/>
      <c r="AB44" s="2856">
        <f>IF(C44="","",VLOOKUP(C44,[5]建物1802!$E$5:$AL$3275,$AO$43,FALSE))</f>
        <v>242000</v>
      </c>
      <c r="AC44" s="2857"/>
      <c r="AD44" s="2857"/>
      <c r="AE44" s="2857"/>
      <c r="AF44" s="2857"/>
      <c r="AG44" s="2858"/>
      <c r="AH44" s="2952">
        <f t="shared" ref="AH44:AH67" si="14">IF(N44="","",INT(N44*AB44))</f>
        <v>242000</v>
      </c>
      <c r="AI44" s="2953"/>
      <c r="AJ44" s="2953"/>
      <c r="AK44" s="2953"/>
      <c r="AL44" s="2953"/>
      <c r="AM44" s="2953"/>
      <c r="AN44" s="2954"/>
      <c r="AO44" s="1064">
        <f>RIGHT(BH59,1)+25</f>
        <v>26</v>
      </c>
      <c r="AP44" s="2802">
        <f>IF(C44="","",VLOOKUP(C44,[5]建物1802!$E$5:$AL$3275,$AO$44,FALSE))</f>
        <v>1.32</v>
      </c>
      <c r="AQ44" s="2803"/>
      <c r="AR44" s="2803"/>
      <c r="AS44" s="2803"/>
      <c r="AT44" s="2804"/>
      <c r="AU44" s="2967">
        <f t="shared" ref="AU44:AU67" si="15">IF(AP44="","",N44*AP44)</f>
        <v>1.32</v>
      </c>
      <c r="AV44" s="2968"/>
      <c r="AW44" s="2968"/>
      <c r="AX44" s="2968"/>
      <c r="AY44" s="2968"/>
      <c r="AZ44" s="2969"/>
      <c r="BA44" s="926"/>
      <c r="BB44" s="2970">
        <f>B3</f>
        <v>1</v>
      </c>
      <c r="BC44" s="2873"/>
      <c r="BD44" s="2873"/>
      <c r="BE44" s="2971" t="str">
        <f>E3</f>
        <v xml:space="preserve"> 引込工事</v>
      </c>
      <c r="BF44" s="2972"/>
      <c r="BG44" s="2972"/>
      <c r="BH44" s="2972"/>
      <c r="BI44" s="2972"/>
      <c r="BJ44" s="2972"/>
      <c r="BK44" s="2972"/>
      <c r="BL44" s="2972"/>
      <c r="BM44" s="2972"/>
      <c r="BN44" s="2972"/>
      <c r="BO44" s="2972"/>
      <c r="BP44" s="2972"/>
      <c r="BQ44" s="2972"/>
      <c r="BR44" s="2972"/>
      <c r="BS44" s="2972"/>
      <c r="BT44" s="2973"/>
      <c r="BU44" s="924"/>
      <c r="BV44" s="1063">
        <v>1</v>
      </c>
      <c r="BW44" s="1069"/>
      <c r="BX44" s="1069"/>
      <c r="BY44" s="916"/>
      <c r="BZ44" s="936"/>
      <c r="CA44" s="936"/>
      <c r="CB44" s="936"/>
      <c r="CC44" s="936"/>
      <c r="CD44" s="1072"/>
      <c r="CE44" s="1074"/>
      <c r="CF44" s="936"/>
      <c r="CG44" s="936"/>
      <c r="CH44" s="936"/>
      <c r="CI44" s="936"/>
      <c r="CK44" s="1050" t="s">
        <v>2742</v>
      </c>
      <c r="CL44" s="1050"/>
      <c r="CM44" s="1050" t="s">
        <v>2741</v>
      </c>
      <c r="CO44" s="1050" t="s">
        <v>2740</v>
      </c>
      <c r="CP44" s="1050" t="s">
        <v>2739</v>
      </c>
      <c r="CQ44" s="1050" t="s">
        <v>2738</v>
      </c>
      <c r="CU44" s="916"/>
      <c r="CV44" s="1051"/>
      <c r="CW44" s="936"/>
      <c r="CX44" s="936"/>
      <c r="CY44" s="936"/>
      <c r="CZ44" s="1051"/>
      <c r="DA44" s="942"/>
      <c r="DB44" s="936"/>
      <c r="DC44" s="936"/>
    </row>
    <row r="45" spans="2:107" ht="10.5" customHeight="1">
      <c r="B45" s="927"/>
      <c r="C45" s="2930" t="str">
        <f t="shared" si="11"/>
        <v>6KV CVT 60sq</v>
      </c>
      <c r="D45" s="2931"/>
      <c r="E45" s="2931"/>
      <c r="F45" s="2931"/>
      <c r="G45" s="2931"/>
      <c r="H45" s="2931"/>
      <c r="I45" s="2931"/>
      <c r="J45" s="2931"/>
      <c r="K45" s="2931"/>
      <c r="L45" s="2931"/>
      <c r="M45" s="2932"/>
      <c r="N45" s="2933">
        <f t="shared" si="12"/>
        <v>152.80000000000001</v>
      </c>
      <c r="O45" s="2934"/>
      <c r="P45" s="2934"/>
      <c r="Q45" s="2934"/>
      <c r="R45" s="2935"/>
      <c r="S45" s="1065" t="str">
        <f t="shared" si="13"/>
        <v>▼</v>
      </c>
      <c r="T45" s="2936"/>
      <c r="U45" s="2937"/>
      <c r="V45" s="2937"/>
      <c r="W45" s="2937"/>
      <c r="X45" s="2938"/>
      <c r="Y45" s="2820" t="str">
        <f>IF(C45="","",VLOOKUP(C45,[5]建物1802!$E$5:$AL$3275,2,FALSE))</f>
        <v>ｍ</v>
      </c>
      <c r="Z45" s="2821"/>
      <c r="AA45" s="2822"/>
      <c r="AB45" s="2841">
        <f>IF(C45="","",VLOOKUP(C45,[5]建物1802!$E$5:$AL$3275,$AO$43,FALSE))</f>
        <v>2798</v>
      </c>
      <c r="AC45" s="2842"/>
      <c r="AD45" s="2842"/>
      <c r="AE45" s="2842"/>
      <c r="AF45" s="2842"/>
      <c r="AG45" s="2843"/>
      <c r="AH45" s="2933">
        <f t="shared" si="14"/>
        <v>427534</v>
      </c>
      <c r="AI45" s="2934"/>
      <c r="AJ45" s="2934"/>
      <c r="AK45" s="2934"/>
      <c r="AL45" s="2934"/>
      <c r="AM45" s="2934"/>
      <c r="AN45" s="2935"/>
      <c r="AO45" s="1064"/>
      <c r="AP45" s="2844">
        <f>IF(C45="","",VLOOKUP(C45,[5]建物1802!$E$5:$AL$3275,$AO$44,FALSE))</f>
        <v>0.09</v>
      </c>
      <c r="AQ45" s="2845"/>
      <c r="AR45" s="2845"/>
      <c r="AS45" s="2845"/>
      <c r="AT45" s="2846"/>
      <c r="AU45" s="2939">
        <f t="shared" si="15"/>
        <v>13.752000000000001</v>
      </c>
      <c r="AV45" s="2940"/>
      <c r="AW45" s="2940"/>
      <c r="AX45" s="2940"/>
      <c r="AY45" s="2940"/>
      <c r="AZ45" s="2941"/>
      <c r="BA45" s="926"/>
      <c r="BB45" s="2919" t="str">
        <f>IF(B2=0,"","配管配線材料")</f>
        <v>配管配線材料</v>
      </c>
      <c r="BC45" s="2920"/>
      <c r="BD45" s="2920"/>
      <c r="BE45" s="2920"/>
      <c r="BF45" s="2920"/>
      <c r="BG45" s="2920"/>
      <c r="BH45" s="2920"/>
      <c r="BI45" s="2920"/>
      <c r="BJ45" s="2920"/>
      <c r="BK45" s="2921"/>
      <c r="BL45" s="2922">
        <f>IF(B2=0,"",IF(BL50&lt;&gt;"",1000*INT((1+BL50/100)*(1.3*AH68)/1000),1000*INT(1.3*AH68/1000)))</f>
        <v>1318000</v>
      </c>
      <c r="BM45" s="2923"/>
      <c r="BN45" s="2923"/>
      <c r="BO45" s="2923"/>
      <c r="BP45" s="2923"/>
      <c r="BQ45" s="2923"/>
      <c r="BR45" s="2923"/>
      <c r="BS45" s="2923"/>
      <c r="BT45" s="2924"/>
      <c r="BU45" s="924"/>
      <c r="BV45" s="1063">
        <v>2</v>
      </c>
      <c r="BW45" s="1069">
        <f t="shared" ref="BW45:BW66" si="16">IF(CC45&lt;&gt;"",BW44+1,BW44)</f>
        <v>1</v>
      </c>
      <c r="BX45" s="1069">
        <f t="shared" ref="BX45:BX60" si="17">IF(AND(BW45&lt;&gt;"",CC45&lt;&gt;""),BW45,"")</f>
        <v>1</v>
      </c>
      <c r="BY45" s="916" t="str">
        <f>IF(OR(CD45="",CD45=0),"",C35)</f>
        <v>PAS 7.2KV200A 重DGR</v>
      </c>
      <c r="BZ45" s="936"/>
      <c r="CA45" s="936"/>
      <c r="CB45" s="936"/>
      <c r="CC45" s="936" t="str">
        <f>IF(COUNTIF($BY$18:$BY44,BY45)&gt;0,"",BY45)</f>
        <v>PAS 7.2KV200A 重DGR</v>
      </c>
      <c r="CD45" s="1072">
        <f>AH35</f>
        <v>1</v>
      </c>
      <c r="CE45" s="1071">
        <f t="shared" ref="CE45:CE60" si="18">SUMIF($BY$45:$BY$63,CC45,$CD$45:$CD$63)</f>
        <v>1</v>
      </c>
      <c r="CF45" s="936"/>
      <c r="CG45" s="936"/>
      <c r="CH45" s="936"/>
      <c r="CI45" s="936"/>
      <c r="CK45" s="1050" t="s">
        <v>2737</v>
      </c>
      <c r="CL45" s="1050" t="s">
        <v>2736</v>
      </c>
      <c r="CM45" s="1050" t="s">
        <v>2735</v>
      </c>
      <c r="CO45" s="1050" t="s">
        <v>2734</v>
      </c>
      <c r="CP45" s="1050" t="s">
        <v>2733</v>
      </c>
      <c r="CQ45" s="1050" t="s">
        <v>2732</v>
      </c>
      <c r="CU45" s="916"/>
      <c r="CV45" s="1051"/>
      <c r="CW45" s="936"/>
      <c r="CX45" s="936"/>
      <c r="CY45" s="936"/>
      <c r="CZ45" s="1051"/>
      <c r="DA45" s="942"/>
      <c r="DB45" s="936"/>
      <c r="DC45" s="936"/>
    </row>
    <row r="46" spans="2:107" ht="10.5" customHeight="1">
      <c r="B46" s="927"/>
      <c r="C46" s="2930" t="str">
        <f t="shared" si="11"/>
        <v>CVVS 2sq-10C</v>
      </c>
      <c r="D46" s="2931"/>
      <c r="E46" s="2931"/>
      <c r="F46" s="2931"/>
      <c r="G46" s="2931"/>
      <c r="H46" s="2931"/>
      <c r="I46" s="2931"/>
      <c r="J46" s="2931"/>
      <c r="K46" s="2931"/>
      <c r="L46" s="2931"/>
      <c r="M46" s="2932"/>
      <c r="N46" s="2933">
        <f t="shared" si="12"/>
        <v>8.3000000000000007</v>
      </c>
      <c r="O46" s="2934"/>
      <c r="P46" s="2934"/>
      <c r="Q46" s="2934"/>
      <c r="R46" s="2935"/>
      <c r="S46" s="1065" t="str">
        <f t="shared" si="13"/>
        <v>▼</v>
      </c>
      <c r="T46" s="2936"/>
      <c r="U46" s="2937"/>
      <c r="V46" s="2937"/>
      <c r="W46" s="2937"/>
      <c r="X46" s="2938"/>
      <c r="Y46" s="2820" t="str">
        <f>IF(C46="","",VLOOKUP(C46,[5]建物1802!$E$5:$AL$3275,2,FALSE))</f>
        <v>ｍ</v>
      </c>
      <c r="Z46" s="2821"/>
      <c r="AA46" s="2822"/>
      <c r="AB46" s="2841">
        <f>IF(C46="","",VLOOKUP(C46,[5]建物1802!$E$5:$AL$3275,$AO$43,FALSE))</f>
        <v>440</v>
      </c>
      <c r="AC46" s="2842"/>
      <c r="AD46" s="2842"/>
      <c r="AE46" s="2842"/>
      <c r="AF46" s="2842"/>
      <c r="AG46" s="2843"/>
      <c r="AH46" s="2933">
        <f t="shared" si="14"/>
        <v>3652</v>
      </c>
      <c r="AI46" s="2934"/>
      <c r="AJ46" s="2934"/>
      <c r="AK46" s="2934"/>
      <c r="AL46" s="2934"/>
      <c r="AM46" s="2934"/>
      <c r="AN46" s="2935"/>
      <c r="AO46" s="1064"/>
      <c r="AP46" s="2844">
        <f>IF(C46="","",VLOOKUP(C46,[5]建物1802!$E$5:$AL$3275,$AO$44,FALSE))</f>
        <v>4.2000000000000003E-2</v>
      </c>
      <c r="AQ46" s="2845"/>
      <c r="AR46" s="2845"/>
      <c r="AS46" s="2845"/>
      <c r="AT46" s="2846"/>
      <c r="AU46" s="2939">
        <f t="shared" si="15"/>
        <v>0.34860000000000008</v>
      </c>
      <c r="AV46" s="2940"/>
      <c r="AW46" s="2940"/>
      <c r="AX46" s="2940"/>
      <c r="AY46" s="2940"/>
      <c r="AZ46" s="2941"/>
      <c r="BA46" s="926"/>
      <c r="BB46" s="2919" t="str">
        <f>IF(B2=0,"","機　　器　　類")</f>
        <v>機　　器　　類</v>
      </c>
      <c r="BC46" s="2920"/>
      <c r="BD46" s="2920"/>
      <c r="BE46" s="2920"/>
      <c r="BF46" s="2920"/>
      <c r="BG46" s="2920"/>
      <c r="BH46" s="2920"/>
      <c r="BI46" s="2920"/>
      <c r="BJ46" s="2920"/>
      <c r="BK46" s="2921"/>
      <c r="BL46" s="2922">
        <f>IF(B2=0,"",IF(BL52&lt;&gt;"",1000*INT((1+BL52/100)*AH85*1.1/1000),1000*INT(AH85*1.1/1000)))</f>
        <v>1115000</v>
      </c>
      <c r="BM46" s="2923"/>
      <c r="BN46" s="2923"/>
      <c r="BO46" s="2923"/>
      <c r="BP46" s="2923"/>
      <c r="BQ46" s="2923"/>
      <c r="BR46" s="2923"/>
      <c r="BS46" s="2923"/>
      <c r="BT46" s="2924"/>
      <c r="BU46" s="924"/>
      <c r="BV46" s="1063">
        <v>3</v>
      </c>
      <c r="BW46" s="1069">
        <f t="shared" si="16"/>
        <v>2</v>
      </c>
      <c r="BX46" s="1069">
        <f t="shared" si="17"/>
        <v>2</v>
      </c>
      <c r="BY46" s="916" t="str">
        <f>IF(OR(CD46="",CD46=0),"",C36)</f>
        <v>配電用アレスタ GL-6R-8.4KV</v>
      </c>
      <c r="BZ46" s="936"/>
      <c r="CA46" s="936"/>
      <c r="CB46" s="936"/>
      <c r="CC46" s="936" t="str">
        <f>IF(COUNTIF($BY$18:$BY45,BY46)&gt;0,"",BY46)</f>
        <v>配電用アレスタ GL-6R-8.4KV</v>
      </c>
      <c r="CD46" s="1072">
        <f>AH36</f>
        <v>3</v>
      </c>
      <c r="CE46" s="1071">
        <f t="shared" si="18"/>
        <v>3</v>
      </c>
      <c r="CF46" s="936"/>
      <c r="CG46" s="936"/>
      <c r="CH46" s="936"/>
      <c r="CI46" s="936"/>
      <c r="CL46" s="1050" t="s">
        <v>2731</v>
      </c>
      <c r="CM46" s="1050" t="s">
        <v>2730</v>
      </c>
      <c r="CO46" s="1050" t="s">
        <v>2729</v>
      </c>
      <c r="CP46" s="1050" t="s">
        <v>2728</v>
      </c>
      <c r="CQ46" s="1050" t="s">
        <v>2727</v>
      </c>
      <c r="CU46" s="916"/>
      <c r="CV46" s="1051"/>
      <c r="CW46" s="936"/>
      <c r="CX46" s="936"/>
      <c r="CY46" s="936"/>
      <c r="CZ46" s="1051"/>
      <c r="DA46" s="942"/>
      <c r="DB46" s="936"/>
      <c r="DC46" s="936"/>
    </row>
    <row r="47" spans="2:107" ht="10.5" customHeight="1">
      <c r="B47" s="927"/>
      <c r="C47" s="2835" t="str">
        <f t="shared" si="11"/>
        <v>CVVS 2sq-4C</v>
      </c>
      <c r="D47" s="2836"/>
      <c r="E47" s="2836"/>
      <c r="F47" s="2836"/>
      <c r="G47" s="2836"/>
      <c r="H47" s="2836"/>
      <c r="I47" s="2836"/>
      <c r="J47" s="2836"/>
      <c r="K47" s="2836"/>
      <c r="L47" s="2836"/>
      <c r="M47" s="2837"/>
      <c r="N47" s="2826">
        <f t="shared" si="12"/>
        <v>152.80000000000001</v>
      </c>
      <c r="O47" s="2827"/>
      <c r="P47" s="2827"/>
      <c r="Q47" s="2827"/>
      <c r="R47" s="2828"/>
      <c r="S47" s="1065" t="str">
        <f t="shared" si="13"/>
        <v>▼</v>
      </c>
      <c r="T47" s="2838"/>
      <c r="U47" s="2839"/>
      <c r="V47" s="2839"/>
      <c r="W47" s="2839"/>
      <c r="X47" s="2840"/>
      <c r="Y47" s="2820" t="str">
        <f>IF(C47="","",VLOOKUP(C47,[5]建物1802!$E$5:$AL$3275,2,FALSE))</f>
        <v>ｍ</v>
      </c>
      <c r="Z47" s="2821"/>
      <c r="AA47" s="2822"/>
      <c r="AB47" s="2841">
        <f>IF(C47="","",VLOOKUP(C47,[5]建物1802!$E$5:$AL$3275,$AO$43,FALSE))</f>
        <v>225</v>
      </c>
      <c r="AC47" s="2842"/>
      <c r="AD47" s="2842"/>
      <c r="AE47" s="2842"/>
      <c r="AF47" s="2842"/>
      <c r="AG47" s="2843"/>
      <c r="AH47" s="2826">
        <f t="shared" si="14"/>
        <v>34380</v>
      </c>
      <c r="AI47" s="2827"/>
      <c r="AJ47" s="2827"/>
      <c r="AK47" s="2827"/>
      <c r="AL47" s="2827"/>
      <c r="AM47" s="2827"/>
      <c r="AN47" s="2828"/>
      <c r="AO47" s="1064"/>
      <c r="AP47" s="2844">
        <f>IF(C47="","",VLOOKUP(C47,[5]建物1802!$E$5:$AL$3275,$AO$44,FALSE))</f>
        <v>2.3E-2</v>
      </c>
      <c r="AQ47" s="2845"/>
      <c r="AR47" s="2845"/>
      <c r="AS47" s="2845"/>
      <c r="AT47" s="2846"/>
      <c r="AU47" s="2808">
        <f t="shared" si="15"/>
        <v>3.5144000000000002</v>
      </c>
      <c r="AV47" s="2809"/>
      <c r="AW47" s="2809"/>
      <c r="AX47" s="2809"/>
      <c r="AY47" s="2809"/>
      <c r="AZ47" s="2810"/>
      <c r="BA47" s="926"/>
      <c r="BB47" s="2919" t="str">
        <f>IF(B2=0,"","電　　工　　費")</f>
        <v>電　　工　　費</v>
      </c>
      <c r="BC47" s="2920"/>
      <c r="BD47" s="2920"/>
      <c r="BE47" s="2920"/>
      <c r="BF47" s="2920"/>
      <c r="BG47" s="2920"/>
      <c r="BH47" s="2920"/>
      <c r="BI47" s="2920"/>
      <c r="BJ47" s="2920"/>
      <c r="BK47" s="2921"/>
      <c r="BL47" s="2922">
        <f>IF(B2=0,"",1000*INT(1.15*AU85*BH43/1000))</f>
        <v>774000</v>
      </c>
      <c r="BM47" s="2923"/>
      <c r="BN47" s="2923"/>
      <c r="BO47" s="2923"/>
      <c r="BP47" s="2923"/>
      <c r="BQ47" s="2923"/>
      <c r="BR47" s="2923"/>
      <c r="BS47" s="2923"/>
      <c r="BT47" s="2924"/>
      <c r="BU47" s="924"/>
      <c r="BV47" s="1063">
        <v>4</v>
      </c>
      <c r="BW47" s="1069">
        <f t="shared" si="16"/>
        <v>3</v>
      </c>
      <c r="BX47" s="1069">
        <f t="shared" si="17"/>
        <v>3</v>
      </c>
      <c r="BY47" s="916" t="str">
        <f>IF(OR(CD47="",CD47=0),"",C37)</f>
        <v>高圧カットアウト PC-6 7.2KV-30A</v>
      </c>
      <c r="BZ47" s="936"/>
      <c r="CA47" s="936"/>
      <c r="CB47" s="936"/>
      <c r="CC47" s="936" t="str">
        <f>IF(COUNTIF($BY$18:$BY46,BY47)&gt;0,"",BY47)</f>
        <v>高圧カットアウト PC-6 7.2KV-30A</v>
      </c>
      <c r="CD47" s="1072">
        <f>AH37</f>
        <v>3</v>
      </c>
      <c r="CE47" s="1071">
        <f t="shared" si="18"/>
        <v>3</v>
      </c>
      <c r="CF47" s="936"/>
      <c r="CG47" s="936"/>
      <c r="CH47" s="936"/>
      <c r="CI47" s="936"/>
      <c r="CL47" s="1050" t="s">
        <v>2726</v>
      </c>
      <c r="CM47" s="1050" t="s">
        <v>2725</v>
      </c>
      <c r="CO47" s="1050" t="s">
        <v>2724</v>
      </c>
      <c r="CP47" s="1050" t="s">
        <v>2723</v>
      </c>
      <c r="CQ47" s="1050" t="s">
        <v>2722</v>
      </c>
      <c r="CU47" s="916"/>
      <c r="CV47" s="1051"/>
      <c r="CW47" s="936"/>
      <c r="CX47" s="936"/>
      <c r="CY47" s="936"/>
      <c r="CZ47" s="1051"/>
      <c r="DA47" s="942"/>
      <c r="DB47" s="936"/>
      <c r="DC47" s="936"/>
    </row>
    <row r="48" spans="2:107" ht="10.5" customHeight="1" thickBot="1">
      <c r="B48" s="927"/>
      <c r="C48" s="2835" t="str">
        <f t="shared" si="11"/>
        <v>IV-14sq</v>
      </c>
      <c r="D48" s="2836"/>
      <c r="E48" s="2836"/>
      <c r="F48" s="2836"/>
      <c r="G48" s="2836"/>
      <c r="H48" s="2836"/>
      <c r="I48" s="2836"/>
      <c r="J48" s="2836"/>
      <c r="K48" s="2836"/>
      <c r="L48" s="2836"/>
      <c r="M48" s="2837"/>
      <c r="N48" s="2826">
        <f t="shared" si="12"/>
        <v>20</v>
      </c>
      <c r="O48" s="2827"/>
      <c r="P48" s="2827"/>
      <c r="Q48" s="2827"/>
      <c r="R48" s="2828"/>
      <c r="S48" s="1065" t="str">
        <f t="shared" si="13"/>
        <v>▼</v>
      </c>
      <c r="T48" s="2838"/>
      <c r="U48" s="2839"/>
      <c r="V48" s="2839"/>
      <c r="W48" s="2839"/>
      <c r="X48" s="2840"/>
      <c r="Y48" s="2820" t="str">
        <f>IF(C48="","",VLOOKUP(C48,[5]建物1802!$E$5:$AL$3275,2,FALSE))</f>
        <v>ｍ</v>
      </c>
      <c r="Z48" s="2821"/>
      <c r="AA48" s="2822"/>
      <c r="AB48" s="2841">
        <f>IF(C48="","",VLOOKUP(C48,[5]建物1802!$E$5:$AL$3275,$AO$43,FALSE))</f>
        <v>171</v>
      </c>
      <c r="AC48" s="2842"/>
      <c r="AD48" s="2842"/>
      <c r="AE48" s="2842"/>
      <c r="AF48" s="2842"/>
      <c r="AG48" s="2843"/>
      <c r="AH48" s="2826">
        <f t="shared" si="14"/>
        <v>3420</v>
      </c>
      <c r="AI48" s="2827"/>
      <c r="AJ48" s="2827"/>
      <c r="AK48" s="2827"/>
      <c r="AL48" s="2827"/>
      <c r="AM48" s="2827"/>
      <c r="AN48" s="2828"/>
      <c r="AO48" s="1064"/>
      <c r="AP48" s="2844">
        <f>IF(C48="","",VLOOKUP(C48,[5]建物1802!$E$5:$AL$3275,$AO$44,FALSE))</f>
        <v>0.02</v>
      </c>
      <c r="AQ48" s="2845"/>
      <c r="AR48" s="2845"/>
      <c r="AS48" s="2845"/>
      <c r="AT48" s="2846"/>
      <c r="AU48" s="2808">
        <f t="shared" si="15"/>
        <v>0.4</v>
      </c>
      <c r="AV48" s="2809"/>
      <c r="AW48" s="2809"/>
      <c r="AX48" s="2809"/>
      <c r="AY48" s="2809"/>
      <c r="AZ48" s="2810"/>
      <c r="BA48" s="926"/>
      <c r="BB48" s="2925">
        <f>BB44</f>
        <v>1</v>
      </c>
      <c r="BC48" s="2926"/>
      <c r="BD48" s="2926"/>
      <c r="BE48" s="2927" t="str">
        <f>IF(BB48="","","　の 計")</f>
        <v>　の 計</v>
      </c>
      <c r="BF48" s="2928"/>
      <c r="BG48" s="2928"/>
      <c r="BH48" s="2928"/>
      <c r="BI48" s="2928"/>
      <c r="BJ48" s="2928"/>
      <c r="BK48" s="2929"/>
      <c r="BL48" s="2916">
        <f>IF(B2=0,"",1000*INT(SUM(BL45:BT47)/1000))</f>
        <v>3207000</v>
      </c>
      <c r="BM48" s="2917"/>
      <c r="BN48" s="2917"/>
      <c r="BO48" s="2917"/>
      <c r="BP48" s="2917"/>
      <c r="BQ48" s="2917"/>
      <c r="BR48" s="2917"/>
      <c r="BS48" s="2917"/>
      <c r="BT48" s="2918"/>
      <c r="BU48" s="924"/>
      <c r="BV48" s="1063">
        <v>5</v>
      </c>
      <c r="BW48" s="1069">
        <f t="shared" si="16"/>
        <v>3</v>
      </c>
      <c r="BX48" s="1069" t="str">
        <f t="shared" si="17"/>
        <v/>
      </c>
      <c r="BY48" s="916" t="str">
        <f>IF(OR(CD48="",CD48=0),"",C38)</f>
        <v/>
      </c>
      <c r="BZ48" s="936"/>
      <c r="CA48" s="936"/>
      <c r="CB48" s="936"/>
      <c r="CC48" s="936" t="str">
        <f>IF(COUNTIF($BY$18:$BY47,BY48)&gt;0,"",BY48)</f>
        <v/>
      </c>
      <c r="CD48" s="1072" t="str">
        <f>AH38</f>
        <v/>
      </c>
      <c r="CE48" s="1071">
        <f t="shared" si="18"/>
        <v>0</v>
      </c>
      <c r="CF48" s="936"/>
      <c r="CG48" s="936"/>
      <c r="CH48" s="936"/>
      <c r="CI48" s="936"/>
      <c r="CK48" s="1050" t="s">
        <v>2721</v>
      </c>
      <c r="CL48" s="1050" t="s">
        <v>2720</v>
      </c>
      <c r="CM48" s="1050" t="s">
        <v>2719</v>
      </c>
      <c r="CO48" s="1050" t="s">
        <v>2718</v>
      </c>
      <c r="CP48" s="1050" t="s">
        <v>2717</v>
      </c>
      <c r="CQ48" s="1051"/>
      <c r="CU48" s="916"/>
      <c r="CV48" s="1051"/>
      <c r="CW48" s="936"/>
      <c r="CX48" s="936"/>
      <c r="CY48" s="936"/>
      <c r="CZ48" s="1051"/>
      <c r="DA48" s="942"/>
      <c r="DB48" s="936"/>
      <c r="DC48" s="936"/>
    </row>
    <row r="49" spans="2:107" ht="10.5" customHeight="1">
      <c r="B49" s="927"/>
      <c r="C49" s="2835" t="str">
        <f t="shared" si="11"/>
        <v>IV-22sq</v>
      </c>
      <c r="D49" s="2836"/>
      <c r="E49" s="2836"/>
      <c r="F49" s="2836"/>
      <c r="G49" s="2836"/>
      <c r="H49" s="2836"/>
      <c r="I49" s="2836"/>
      <c r="J49" s="2836"/>
      <c r="K49" s="2836"/>
      <c r="L49" s="2836"/>
      <c r="M49" s="2837"/>
      <c r="N49" s="2826">
        <f t="shared" si="12"/>
        <v>40</v>
      </c>
      <c r="O49" s="2827"/>
      <c r="P49" s="2827"/>
      <c r="Q49" s="2827"/>
      <c r="R49" s="2828"/>
      <c r="S49" s="1065" t="str">
        <f t="shared" si="13"/>
        <v>▼</v>
      </c>
      <c r="T49" s="2838"/>
      <c r="U49" s="2839"/>
      <c r="V49" s="2839"/>
      <c r="W49" s="2839"/>
      <c r="X49" s="2840"/>
      <c r="Y49" s="2820" t="str">
        <f>IF(C49="","",VLOOKUP(C49,[5]建物1802!$E$5:$AL$3275,2,FALSE))</f>
        <v>ｍ</v>
      </c>
      <c r="Z49" s="2821"/>
      <c r="AA49" s="2822"/>
      <c r="AB49" s="2841">
        <f>IF(C49="","",VLOOKUP(C49,[5]建物1802!$E$5:$AL$3275,$AO$43,FALSE))</f>
        <v>261</v>
      </c>
      <c r="AC49" s="2842"/>
      <c r="AD49" s="2842"/>
      <c r="AE49" s="2842"/>
      <c r="AF49" s="2842"/>
      <c r="AG49" s="2843"/>
      <c r="AH49" s="2826">
        <f t="shared" si="14"/>
        <v>10440</v>
      </c>
      <c r="AI49" s="2827"/>
      <c r="AJ49" s="2827"/>
      <c r="AK49" s="2827"/>
      <c r="AL49" s="2827"/>
      <c r="AM49" s="2827"/>
      <c r="AN49" s="2828"/>
      <c r="AO49" s="1064"/>
      <c r="AP49" s="2844">
        <f>IF(C49="","",VLOOKUP(C49,[5]建物1802!$E$5:$AL$3275,$AO$44,FALSE))</f>
        <v>2.4E-2</v>
      </c>
      <c r="AQ49" s="2845"/>
      <c r="AR49" s="2845"/>
      <c r="AS49" s="2845"/>
      <c r="AT49" s="2846"/>
      <c r="AU49" s="2808">
        <f t="shared" si="15"/>
        <v>0.96</v>
      </c>
      <c r="AV49" s="2809"/>
      <c r="AW49" s="2809"/>
      <c r="AX49" s="2809"/>
      <c r="AY49" s="2809"/>
      <c r="AZ49" s="2810"/>
      <c r="BA49" s="926"/>
      <c r="BB49" s="926"/>
      <c r="BC49" s="926"/>
      <c r="BD49" s="926"/>
      <c r="BE49" s="926"/>
      <c r="BF49" s="926"/>
      <c r="BG49" s="926"/>
      <c r="BH49" s="926"/>
      <c r="BI49" s="926"/>
      <c r="BJ49" s="926"/>
      <c r="BK49" s="926"/>
      <c r="BL49" s="926"/>
      <c r="BM49" s="926"/>
      <c r="BN49" s="926"/>
      <c r="BO49" s="926"/>
      <c r="BP49" s="926"/>
      <c r="BQ49" s="926"/>
      <c r="BR49" s="926"/>
      <c r="BS49" s="926"/>
      <c r="BT49" s="926"/>
      <c r="BU49" s="924"/>
      <c r="BV49" s="1063">
        <v>6</v>
      </c>
      <c r="BW49" s="1069">
        <f t="shared" si="16"/>
        <v>4</v>
      </c>
      <c r="BX49" s="1069">
        <f t="shared" si="17"/>
        <v>4</v>
      </c>
      <c r="BY49" s="916" t="str">
        <f t="shared" ref="BY49:BY54" si="19">IF(OR(CD49="",CD49=0),"",AO35)</f>
        <v>支線38sq-7/2.6</v>
      </c>
      <c r="BZ49" s="936"/>
      <c r="CA49" s="936"/>
      <c r="CB49" s="936"/>
      <c r="CC49" s="936" t="str">
        <f>IF(COUNTIF($BY$18:$BY48,BY49)&gt;0,"",BY49)</f>
        <v>支線38sq-7/2.6</v>
      </c>
      <c r="CD49" s="1072">
        <f t="shared" ref="CD49:CD54" si="20">BK35</f>
        <v>75.900000000000006</v>
      </c>
      <c r="CE49" s="1071">
        <f t="shared" si="18"/>
        <v>75.900000000000006</v>
      </c>
      <c r="CF49" s="936"/>
      <c r="CG49" s="936"/>
      <c r="CH49" s="936"/>
      <c r="CI49" s="936"/>
      <c r="CK49" s="1050" t="s">
        <v>2716</v>
      </c>
      <c r="CL49" s="1050" t="s">
        <v>2715</v>
      </c>
      <c r="CM49" s="1050" t="s">
        <v>2714</v>
      </c>
      <c r="CO49" s="1050" t="s">
        <v>2713</v>
      </c>
      <c r="CP49" s="1050" t="s">
        <v>2712</v>
      </c>
      <c r="CQ49" s="1051"/>
      <c r="CU49" s="916"/>
      <c r="CV49" s="1051"/>
      <c r="CW49" s="936"/>
      <c r="CX49" s="936"/>
      <c r="CY49" s="936"/>
      <c r="CZ49" s="1051"/>
      <c r="DA49" s="942"/>
      <c r="DB49" s="936"/>
      <c r="DC49" s="936"/>
    </row>
    <row r="50" spans="2:107" ht="10.5" customHeight="1">
      <c r="B50" s="927"/>
      <c r="C50" s="2835" t="str">
        <f t="shared" si="11"/>
        <v>IV-60sq</v>
      </c>
      <c r="D50" s="2836"/>
      <c r="E50" s="2836"/>
      <c r="F50" s="2836"/>
      <c r="G50" s="2836"/>
      <c r="H50" s="2836"/>
      <c r="I50" s="2836"/>
      <c r="J50" s="2836"/>
      <c r="K50" s="2836"/>
      <c r="L50" s="2836"/>
      <c r="M50" s="2837"/>
      <c r="N50" s="2826">
        <f t="shared" si="12"/>
        <v>20</v>
      </c>
      <c r="O50" s="2827"/>
      <c r="P50" s="2827"/>
      <c r="Q50" s="2827"/>
      <c r="R50" s="2828"/>
      <c r="S50" s="1065" t="str">
        <f t="shared" si="13"/>
        <v>▼</v>
      </c>
      <c r="T50" s="2838"/>
      <c r="U50" s="2839"/>
      <c r="V50" s="2839"/>
      <c r="W50" s="2839"/>
      <c r="X50" s="2840"/>
      <c r="Y50" s="2820" t="str">
        <f>IF(C50="","",VLOOKUP(C50,[5]建物1802!$E$5:$AL$3275,2,FALSE))</f>
        <v>ｍ</v>
      </c>
      <c r="Z50" s="2821"/>
      <c r="AA50" s="2822"/>
      <c r="AB50" s="2841">
        <f>IF(C50="","",VLOOKUP(C50,[5]建物1802!$E$5:$AL$3275,$AO$43,FALSE))</f>
        <v>680</v>
      </c>
      <c r="AC50" s="2842"/>
      <c r="AD50" s="2842"/>
      <c r="AE50" s="2842"/>
      <c r="AF50" s="2842"/>
      <c r="AG50" s="2843"/>
      <c r="AH50" s="2826">
        <f t="shared" si="14"/>
        <v>13600</v>
      </c>
      <c r="AI50" s="2827"/>
      <c r="AJ50" s="2827"/>
      <c r="AK50" s="2827"/>
      <c r="AL50" s="2827"/>
      <c r="AM50" s="2827"/>
      <c r="AN50" s="2828"/>
      <c r="AO50" s="1064"/>
      <c r="AP50" s="2844">
        <f>IF(C50="","",VLOOKUP(C50,[5]建物1802!$E$5:$AL$3275,$AO$44,FALSE))</f>
        <v>4.2000000000000003E-2</v>
      </c>
      <c r="AQ50" s="2845"/>
      <c r="AR50" s="2845"/>
      <c r="AS50" s="2845"/>
      <c r="AT50" s="2846"/>
      <c r="AU50" s="2808">
        <f t="shared" si="15"/>
        <v>0.84000000000000008</v>
      </c>
      <c r="AV50" s="2809"/>
      <c r="AW50" s="2809"/>
      <c r="AX50" s="2809"/>
      <c r="AY50" s="2809"/>
      <c r="AZ50" s="2810"/>
      <c r="BA50" s="926"/>
      <c r="BB50" s="2778" t="str">
        <f>IF(B2=0,"","配管配線　掛率％")</f>
        <v>配管配線　掛率％</v>
      </c>
      <c r="BC50" s="2779"/>
      <c r="BD50" s="2779"/>
      <c r="BE50" s="2779"/>
      <c r="BF50" s="2779"/>
      <c r="BG50" s="2779"/>
      <c r="BH50" s="2779"/>
      <c r="BI50" s="2779"/>
      <c r="BJ50" s="2779"/>
      <c r="BK50" s="2905"/>
      <c r="BL50" s="2906" t="str">
        <f>IF(BQ50="","",BQ50)</f>
        <v/>
      </c>
      <c r="BM50" s="2907"/>
      <c r="BN50" s="2907"/>
      <c r="BO50" s="2908"/>
      <c r="BP50" s="928" t="s">
        <v>2674</v>
      </c>
      <c r="BQ50" s="2909"/>
      <c r="BR50" s="2910"/>
      <c r="BS50" s="2910"/>
      <c r="BT50" s="2911"/>
      <c r="BU50" s="924"/>
      <c r="BV50" s="1063">
        <v>7</v>
      </c>
      <c r="BW50" s="1069">
        <f t="shared" si="16"/>
        <v>5</v>
      </c>
      <c r="BX50" s="1069">
        <f t="shared" si="17"/>
        <v>5</v>
      </c>
      <c r="BY50" s="916" t="str">
        <f t="shared" si="19"/>
        <v>CP 10-19-350Kg</v>
      </c>
      <c r="BZ50" s="936"/>
      <c r="CA50" s="936"/>
      <c r="CB50" s="936"/>
      <c r="CC50" s="936" t="str">
        <f>IF(COUNTIF($BY$18:$BY49,BY50)&gt;0,"",BY50)</f>
        <v>CP 10-19-350Kg</v>
      </c>
      <c r="CD50" s="1072">
        <f t="shared" si="20"/>
        <v>1</v>
      </c>
      <c r="CE50" s="1071">
        <f t="shared" si="18"/>
        <v>1</v>
      </c>
      <c r="CF50" s="936"/>
      <c r="CG50" s="936"/>
      <c r="CH50" s="936"/>
      <c r="CI50" s="936"/>
      <c r="CK50" s="1050" t="s">
        <v>2711</v>
      </c>
      <c r="CL50" s="1050" t="s">
        <v>2710</v>
      </c>
      <c r="CM50" s="1050" t="s">
        <v>2709</v>
      </c>
      <c r="CO50" s="1050" t="s">
        <v>2708</v>
      </c>
      <c r="CP50" s="1050" t="s">
        <v>2707</v>
      </c>
      <c r="CQ50" s="1050" t="s">
        <v>2706</v>
      </c>
      <c r="CU50" s="916"/>
      <c r="CV50" s="1051"/>
      <c r="CW50" s="936"/>
      <c r="CX50" s="936"/>
      <c r="CY50" s="936"/>
      <c r="CZ50" s="1051"/>
      <c r="DA50" s="942"/>
      <c r="DB50" s="936"/>
      <c r="DC50" s="936"/>
    </row>
    <row r="51" spans="2:107" ht="10.5" customHeight="1">
      <c r="B51" s="927"/>
      <c r="C51" s="2835" t="str">
        <f t="shared" si="11"/>
        <v>IV-38sq</v>
      </c>
      <c r="D51" s="2836"/>
      <c r="E51" s="2836"/>
      <c r="F51" s="2836"/>
      <c r="G51" s="2836"/>
      <c r="H51" s="2836"/>
      <c r="I51" s="2836"/>
      <c r="J51" s="2836"/>
      <c r="K51" s="2836"/>
      <c r="L51" s="2836"/>
      <c r="M51" s="2837"/>
      <c r="N51" s="2826">
        <f t="shared" si="12"/>
        <v>20</v>
      </c>
      <c r="O51" s="2827"/>
      <c r="P51" s="2827"/>
      <c r="Q51" s="2827"/>
      <c r="R51" s="2828"/>
      <c r="S51" s="1065" t="str">
        <f t="shared" si="13"/>
        <v>▼</v>
      </c>
      <c r="T51" s="2838"/>
      <c r="U51" s="2839"/>
      <c r="V51" s="2839"/>
      <c r="W51" s="2839"/>
      <c r="X51" s="2840"/>
      <c r="Y51" s="2820" t="str">
        <f>IF(C51="","",VLOOKUP(C51,[5]建物1802!$E$5:$AL$3275,2,FALSE))</f>
        <v>ｍ</v>
      </c>
      <c r="Z51" s="2821"/>
      <c r="AA51" s="2822"/>
      <c r="AB51" s="2841">
        <f>IF(C51="","",VLOOKUP(C51,[5]建物1802!$E$5:$AL$3275,$AO$43,FALSE))</f>
        <v>433</v>
      </c>
      <c r="AC51" s="2842"/>
      <c r="AD51" s="2842"/>
      <c r="AE51" s="2842"/>
      <c r="AF51" s="2842"/>
      <c r="AG51" s="2843"/>
      <c r="AH51" s="2826">
        <f t="shared" si="14"/>
        <v>8660</v>
      </c>
      <c r="AI51" s="2827"/>
      <c r="AJ51" s="2827"/>
      <c r="AK51" s="2827"/>
      <c r="AL51" s="2827"/>
      <c r="AM51" s="2827"/>
      <c r="AN51" s="2828"/>
      <c r="AO51" s="1064"/>
      <c r="AP51" s="2844">
        <f>IF(C51="","",VLOOKUP(C51,[5]建物1802!$E$5:$AL$3275,$AO$44,FALSE))</f>
        <v>3.2000000000000001E-2</v>
      </c>
      <c r="AQ51" s="2845"/>
      <c r="AR51" s="2845"/>
      <c r="AS51" s="2845"/>
      <c r="AT51" s="2846"/>
      <c r="AU51" s="2808">
        <f t="shared" si="15"/>
        <v>0.64</v>
      </c>
      <c r="AV51" s="2809"/>
      <c r="AW51" s="2809"/>
      <c r="AX51" s="2809"/>
      <c r="AY51" s="2809"/>
      <c r="AZ51" s="2810"/>
      <c r="BA51" s="926"/>
      <c r="BB51" s="926"/>
      <c r="BC51" s="926"/>
      <c r="BD51" s="926"/>
      <c r="BE51" s="926"/>
      <c r="BF51" s="926"/>
      <c r="BG51" s="926"/>
      <c r="BH51" s="926"/>
      <c r="BI51" s="926"/>
      <c r="BJ51" s="926"/>
      <c r="BK51" s="939" t="str">
        <f>IF(BL51="","","元の値")</f>
        <v/>
      </c>
      <c r="BL51" s="2912" t="str">
        <f>IF(BQ50="","",1000*INT(1.3*AH68/1000))</f>
        <v/>
      </c>
      <c r="BM51" s="2913"/>
      <c r="BN51" s="2913"/>
      <c r="BO51" s="2913"/>
      <c r="BP51" s="2913"/>
      <c r="BQ51" s="2913"/>
      <c r="BR51" s="2913"/>
      <c r="BS51" s="2913"/>
      <c r="BT51" s="2914"/>
      <c r="BU51" s="924"/>
      <c r="BV51" s="1063">
        <v>8</v>
      </c>
      <c r="BW51" s="1069">
        <f t="shared" si="16"/>
        <v>6</v>
      </c>
      <c r="BX51" s="1069">
        <f t="shared" si="17"/>
        <v>6</v>
      </c>
      <c r="BY51" s="916" t="str">
        <f t="shared" si="19"/>
        <v>支線工事</v>
      </c>
      <c r="BZ51" s="936"/>
      <c r="CA51" s="936"/>
      <c r="CB51" s="936"/>
      <c r="CC51" s="936" t="str">
        <f>IF(COUNTIF($BY$18:$BY50,BY51)&gt;0,"",BY51)</f>
        <v>支線工事</v>
      </c>
      <c r="CD51" s="1072">
        <f t="shared" si="20"/>
        <v>1</v>
      </c>
      <c r="CE51" s="1071">
        <f t="shared" si="18"/>
        <v>1</v>
      </c>
      <c r="CF51" s="936"/>
      <c r="CG51" s="936"/>
      <c r="CH51" s="936"/>
      <c r="CI51" s="936"/>
      <c r="CL51" s="1050" t="s">
        <v>2705</v>
      </c>
      <c r="CM51" s="1050" t="s">
        <v>2704</v>
      </c>
      <c r="CO51" s="1050" t="s">
        <v>2703</v>
      </c>
      <c r="CP51" s="1050" t="s">
        <v>2702</v>
      </c>
      <c r="CQ51" s="1050" t="s">
        <v>2701</v>
      </c>
      <c r="CU51" s="916"/>
      <c r="CV51" s="1051"/>
      <c r="CW51" s="936"/>
      <c r="CX51" s="936"/>
      <c r="CY51" s="936"/>
      <c r="CZ51" s="1051"/>
      <c r="DA51" s="942"/>
      <c r="DB51" s="936"/>
      <c r="DC51" s="936"/>
    </row>
    <row r="52" spans="2:107" ht="10.5" customHeight="1">
      <c r="B52" s="927"/>
      <c r="C52" s="2835" t="str">
        <f t="shared" si="11"/>
        <v>IV-5.5sq</v>
      </c>
      <c r="D52" s="2836"/>
      <c r="E52" s="2836"/>
      <c r="F52" s="2836"/>
      <c r="G52" s="2836"/>
      <c r="H52" s="2836"/>
      <c r="I52" s="2836"/>
      <c r="J52" s="2836"/>
      <c r="K52" s="2836"/>
      <c r="L52" s="2836"/>
      <c r="M52" s="2837"/>
      <c r="N52" s="2826">
        <f t="shared" si="12"/>
        <v>60</v>
      </c>
      <c r="O52" s="2827"/>
      <c r="P52" s="2827"/>
      <c r="Q52" s="2827"/>
      <c r="R52" s="2828"/>
      <c r="S52" s="1065" t="str">
        <f t="shared" si="13"/>
        <v>▼</v>
      </c>
      <c r="T52" s="2838"/>
      <c r="U52" s="2839"/>
      <c r="V52" s="2839"/>
      <c r="W52" s="2839"/>
      <c r="X52" s="2840"/>
      <c r="Y52" s="2820" t="str">
        <f>IF(C52="","",VLOOKUP(C52,[5]建物1802!$E$5:$AL$3275,2,FALSE))</f>
        <v>ｍ</v>
      </c>
      <c r="Z52" s="2821"/>
      <c r="AA52" s="2822"/>
      <c r="AB52" s="2841">
        <f>IF(C52="","",VLOOKUP(C52,[5]建物1802!$E$5:$AL$3275,$AO$43,FALSE))</f>
        <v>68.8</v>
      </c>
      <c r="AC52" s="2842"/>
      <c r="AD52" s="2842"/>
      <c r="AE52" s="2842"/>
      <c r="AF52" s="2842"/>
      <c r="AG52" s="2843"/>
      <c r="AH52" s="2826">
        <f t="shared" si="14"/>
        <v>4128</v>
      </c>
      <c r="AI52" s="2827"/>
      <c r="AJ52" s="2827"/>
      <c r="AK52" s="2827"/>
      <c r="AL52" s="2827"/>
      <c r="AM52" s="2827"/>
      <c r="AN52" s="2828"/>
      <c r="AO52" s="1064"/>
      <c r="AP52" s="2844">
        <f>IF(C52="","",VLOOKUP(C52,[5]建物1802!$E$5:$AL$3275,$AO$44,FALSE))</f>
        <v>1.4E-2</v>
      </c>
      <c r="AQ52" s="2845"/>
      <c r="AR52" s="2845"/>
      <c r="AS52" s="2845"/>
      <c r="AT52" s="2846"/>
      <c r="AU52" s="2808">
        <f t="shared" si="15"/>
        <v>0.84</v>
      </c>
      <c r="AV52" s="2809"/>
      <c r="AW52" s="2809"/>
      <c r="AX52" s="2809"/>
      <c r="AY52" s="2809"/>
      <c r="AZ52" s="2810"/>
      <c r="BA52" s="926"/>
      <c r="BB52" s="2778" t="str">
        <f>IF(B2=0,"","機　器　類 掛率％")</f>
        <v>機　器　類 掛率％</v>
      </c>
      <c r="BC52" s="2779"/>
      <c r="BD52" s="2779"/>
      <c r="BE52" s="2779"/>
      <c r="BF52" s="2779"/>
      <c r="BG52" s="2779"/>
      <c r="BH52" s="2779"/>
      <c r="BI52" s="2779"/>
      <c r="BJ52" s="2779"/>
      <c r="BK52" s="2905"/>
      <c r="BL52" s="2906" t="str">
        <f>IF(BQ52="","",BQ52)</f>
        <v/>
      </c>
      <c r="BM52" s="2907"/>
      <c r="BN52" s="2907"/>
      <c r="BO52" s="2908"/>
      <c r="BP52" s="928" t="s">
        <v>2674</v>
      </c>
      <c r="BQ52" s="2909"/>
      <c r="BR52" s="2910"/>
      <c r="BS52" s="2910"/>
      <c r="BT52" s="2911"/>
      <c r="BU52" s="924"/>
      <c r="BV52" s="1063">
        <v>9</v>
      </c>
      <c r="BW52" s="1069">
        <f t="shared" si="16"/>
        <v>7</v>
      </c>
      <c r="BX52" s="1069">
        <f t="shared" si="17"/>
        <v>7</v>
      </c>
      <c r="BY52" s="916" t="str">
        <f t="shared" si="19"/>
        <v>KK 900×900×1200</v>
      </c>
      <c r="BZ52" s="936"/>
      <c r="CA52" s="936"/>
      <c r="CB52" s="936"/>
      <c r="CC52" s="936" t="str">
        <f>IF(COUNTIF($BY$18:$BY51,BY52)&gt;0,"",BY52)</f>
        <v>KK 900×900×1200</v>
      </c>
      <c r="CD52" s="1072">
        <f t="shared" si="20"/>
        <v>3</v>
      </c>
      <c r="CE52" s="1071">
        <f t="shared" si="18"/>
        <v>3</v>
      </c>
      <c r="CF52" s="936"/>
      <c r="CG52" s="936"/>
      <c r="CH52" s="936"/>
      <c r="CI52" s="936"/>
      <c r="CL52" s="1050" t="s">
        <v>2700</v>
      </c>
      <c r="CM52" s="1050" t="s">
        <v>2699</v>
      </c>
      <c r="CO52" s="1050" t="s">
        <v>2698</v>
      </c>
      <c r="CP52" s="1050" t="s">
        <v>2697</v>
      </c>
      <c r="CQ52" s="1050" t="s">
        <v>2696</v>
      </c>
      <c r="CU52" s="916"/>
      <c r="CV52" s="1051"/>
      <c r="CW52" s="936"/>
      <c r="CX52" s="936"/>
      <c r="CY52" s="936"/>
      <c r="CZ52" s="1051"/>
      <c r="DA52" s="942"/>
      <c r="DB52" s="936"/>
      <c r="DC52" s="936"/>
    </row>
    <row r="53" spans="2:107" ht="10.5" customHeight="1">
      <c r="B53" s="927"/>
      <c r="C53" s="2835" t="str">
        <f t="shared" si="11"/>
        <v>SGP- 80A</v>
      </c>
      <c r="D53" s="2836"/>
      <c r="E53" s="2836"/>
      <c r="F53" s="2836"/>
      <c r="G53" s="2836"/>
      <c r="H53" s="2836"/>
      <c r="I53" s="2836"/>
      <c r="J53" s="2836"/>
      <c r="K53" s="2836"/>
      <c r="L53" s="2836"/>
      <c r="M53" s="2837"/>
      <c r="N53" s="2826">
        <f t="shared" si="12"/>
        <v>16.600000000000001</v>
      </c>
      <c r="O53" s="2827"/>
      <c r="P53" s="2827"/>
      <c r="Q53" s="2827"/>
      <c r="R53" s="2828"/>
      <c r="S53" s="1065" t="str">
        <f t="shared" si="13"/>
        <v>▼</v>
      </c>
      <c r="T53" s="2838"/>
      <c r="U53" s="2839"/>
      <c r="V53" s="2839"/>
      <c r="W53" s="2839"/>
      <c r="X53" s="2840"/>
      <c r="Y53" s="2820" t="str">
        <f>IF(C53="","",VLOOKUP(C53,[5]建物1802!$E$5:$AL$3275,2,FALSE))</f>
        <v>ｍ</v>
      </c>
      <c r="Z53" s="2821"/>
      <c r="AA53" s="2822"/>
      <c r="AB53" s="2841">
        <f>IF(C53="","",VLOOKUP(C53,[5]建物1802!$E$5:$AL$3275,$AO$43,FALSE))</f>
        <v>1374</v>
      </c>
      <c r="AC53" s="2842"/>
      <c r="AD53" s="2842"/>
      <c r="AE53" s="2842"/>
      <c r="AF53" s="2842"/>
      <c r="AG53" s="2843"/>
      <c r="AH53" s="2826">
        <f t="shared" si="14"/>
        <v>22808</v>
      </c>
      <c r="AI53" s="2827"/>
      <c r="AJ53" s="2827"/>
      <c r="AK53" s="2827"/>
      <c r="AL53" s="2827"/>
      <c r="AM53" s="2827"/>
      <c r="AN53" s="2828"/>
      <c r="AO53" s="1064"/>
      <c r="AP53" s="2844">
        <f>IF(C53="","",VLOOKUP(C53,[5]建物1802!$E$5:$AL$3275,$AO$44,FALSE))</f>
        <v>0.26100000000000001</v>
      </c>
      <c r="AQ53" s="2845"/>
      <c r="AR53" s="2845"/>
      <c r="AS53" s="2845"/>
      <c r="AT53" s="2846"/>
      <c r="AU53" s="2808">
        <f t="shared" si="15"/>
        <v>4.3326000000000002</v>
      </c>
      <c r="AV53" s="2809"/>
      <c r="AW53" s="2809"/>
      <c r="AX53" s="2809"/>
      <c r="AY53" s="2809"/>
      <c r="AZ53" s="2810"/>
      <c r="BA53" s="926"/>
      <c r="BB53" s="926"/>
      <c r="BC53" s="926"/>
      <c r="BD53" s="926"/>
      <c r="BE53" s="926"/>
      <c r="BF53" s="926"/>
      <c r="BG53" s="926"/>
      <c r="BH53" s="926"/>
      <c r="BI53" s="926"/>
      <c r="BJ53" s="926"/>
      <c r="BK53" s="939" t="str">
        <f>IF(BL53="","","元の値")</f>
        <v/>
      </c>
      <c r="BL53" s="2912" t="str">
        <f>IF(BQ52="","",1000*INT(AH85*1.1/1000))</f>
        <v/>
      </c>
      <c r="BM53" s="2913"/>
      <c r="BN53" s="2913"/>
      <c r="BO53" s="2913"/>
      <c r="BP53" s="2913"/>
      <c r="BQ53" s="2913"/>
      <c r="BR53" s="2913"/>
      <c r="BS53" s="2913"/>
      <c r="BT53" s="2914"/>
      <c r="BU53" s="924"/>
      <c r="BV53" s="1063">
        <v>10</v>
      </c>
      <c r="BW53" s="1069">
        <f t="shared" si="16"/>
        <v>8</v>
      </c>
      <c r="BX53" s="1069">
        <f t="shared" si="17"/>
        <v>8</v>
      </c>
      <c r="BY53" s="916" t="str">
        <f t="shared" si="19"/>
        <v>AHB-1  650×250</v>
      </c>
      <c r="BZ53" s="936"/>
      <c r="CA53" s="936"/>
      <c r="CB53" s="936"/>
      <c r="CC53" s="936" t="str">
        <f>IF(COUNTIF($BY$18:$BY52,BY53)&gt;0,"",BY53)</f>
        <v>AHB-1  650×250</v>
      </c>
      <c r="CD53" s="1072">
        <f t="shared" si="20"/>
        <v>3</v>
      </c>
      <c r="CE53" s="1071">
        <f t="shared" si="18"/>
        <v>3</v>
      </c>
      <c r="CF53" s="936"/>
      <c r="CG53" s="936"/>
      <c r="CH53" s="936"/>
      <c r="CI53" s="936"/>
      <c r="CL53" s="1050" t="s">
        <v>2695</v>
      </c>
      <c r="CM53" s="1050" t="s">
        <v>2694</v>
      </c>
      <c r="CP53" s="1050" t="s">
        <v>2693</v>
      </c>
      <c r="CQ53" s="1050" t="s">
        <v>2692</v>
      </c>
      <c r="CU53" s="916"/>
      <c r="CV53" s="1051"/>
      <c r="CW53" s="936"/>
      <c r="CX53" s="936"/>
      <c r="CY53" s="936"/>
      <c r="CZ53" s="1051"/>
      <c r="DA53" s="942"/>
      <c r="DB53" s="936"/>
      <c r="DC53" s="936"/>
    </row>
    <row r="54" spans="2:107" ht="10.5" customHeight="1">
      <c r="B54" s="927"/>
      <c r="C54" s="2835" t="str">
        <f t="shared" si="11"/>
        <v>SGP- 25A</v>
      </c>
      <c r="D54" s="2836"/>
      <c r="E54" s="2836"/>
      <c r="F54" s="2836"/>
      <c r="G54" s="2836"/>
      <c r="H54" s="2836"/>
      <c r="I54" s="2836"/>
      <c r="J54" s="2836"/>
      <c r="K54" s="2836"/>
      <c r="L54" s="2836"/>
      <c r="M54" s="2837"/>
      <c r="N54" s="2826">
        <f t="shared" si="12"/>
        <v>27.900000000000002</v>
      </c>
      <c r="O54" s="2827"/>
      <c r="P54" s="2827"/>
      <c r="Q54" s="2827"/>
      <c r="R54" s="2828"/>
      <c r="S54" s="1065" t="str">
        <f t="shared" si="13"/>
        <v>▼</v>
      </c>
      <c r="T54" s="2838"/>
      <c r="U54" s="2839"/>
      <c r="V54" s="2839"/>
      <c r="W54" s="2839"/>
      <c r="X54" s="2840"/>
      <c r="Y54" s="2820" t="str">
        <f>IF(C54="","",VLOOKUP(C54,[5]建物1802!$E$5:$AL$3275,2,FALSE))</f>
        <v>ｍ</v>
      </c>
      <c r="Z54" s="2821"/>
      <c r="AA54" s="2822"/>
      <c r="AB54" s="2841">
        <f>IF(C54="","",VLOOKUP(C54,[5]建物1802!$E$5:$AL$3275,$AO$43,FALSE))</f>
        <v>383</v>
      </c>
      <c r="AC54" s="2842"/>
      <c r="AD54" s="2842"/>
      <c r="AE54" s="2842"/>
      <c r="AF54" s="2842"/>
      <c r="AG54" s="2843"/>
      <c r="AH54" s="2826">
        <f t="shared" si="14"/>
        <v>10685</v>
      </c>
      <c r="AI54" s="2827"/>
      <c r="AJ54" s="2827"/>
      <c r="AK54" s="2827"/>
      <c r="AL54" s="2827"/>
      <c r="AM54" s="2827"/>
      <c r="AN54" s="2828"/>
      <c r="AO54" s="1064"/>
      <c r="AP54" s="2844">
        <f>IF(C54="","",VLOOKUP(C54,[5]建物1802!$E$5:$AL$3275,$AO$44,FALSE))</f>
        <v>0.1</v>
      </c>
      <c r="AQ54" s="2845"/>
      <c r="AR54" s="2845"/>
      <c r="AS54" s="2845"/>
      <c r="AT54" s="2846"/>
      <c r="AU54" s="2808">
        <f t="shared" si="15"/>
        <v>2.7900000000000005</v>
      </c>
      <c r="AV54" s="2809"/>
      <c r="AW54" s="2809"/>
      <c r="AX54" s="2809"/>
      <c r="AY54" s="2809"/>
      <c r="AZ54" s="2810"/>
      <c r="BA54" s="1073"/>
      <c r="BB54" s="1073"/>
      <c r="BC54" s="1073"/>
      <c r="BD54" s="1073"/>
      <c r="BE54" s="1073"/>
      <c r="BF54" s="1073"/>
      <c r="BG54" s="1073"/>
      <c r="BH54" s="1073"/>
      <c r="BI54" s="1073"/>
      <c r="BJ54" s="926"/>
      <c r="BK54" s="926"/>
      <c r="BL54" s="926"/>
      <c r="BM54" s="926"/>
      <c r="BN54" s="926"/>
      <c r="BO54" s="926"/>
      <c r="BP54" s="926"/>
      <c r="BQ54" s="926"/>
      <c r="BR54" s="926"/>
      <c r="BS54" s="926"/>
      <c r="BT54" s="926"/>
      <c r="BU54" s="924"/>
      <c r="BV54" s="1063">
        <v>11</v>
      </c>
      <c r="BW54" s="1069">
        <f t="shared" si="16"/>
        <v>9</v>
      </c>
      <c r="BX54" s="1069">
        <f t="shared" si="17"/>
        <v>9</v>
      </c>
      <c r="BY54" s="916" t="str">
        <f t="shared" si="19"/>
        <v>土工費(掘削)</v>
      </c>
      <c r="BZ54" s="936"/>
      <c r="CA54" s="936"/>
      <c r="CB54" s="936"/>
      <c r="CC54" s="936" t="str">
        <f>IF(COUNTIF($BY$18:$BY53,BY54)&gt;0,"",BY54)</f>
        <v>土工費(掘削)</v>
      </c>
      <c r="CD54" s="1072">
        <f t="shared" si="20"/>
        <v>69</v>
      </c>
      <c r="CE54" s="1071">
        <f t="shared" si="18"/>
        <v>69</v>
      </c>
      <c r="CF54" s="936"/>
      <c r="CG54" s="936"/>
      <c r="CH54" s="1693"/>
      <c r="CI54" s="936"/>
      <c r="CL54" s="1050" t="s">
        <v>2691</v>
      </c>
      <c r="CM54" s="1050" t="s">
        <v>2690</v>
      </c>
      <c r="CP54" s="1050" t="s">
        <v>2689</v>
      </c>
      <c r="CQ54" s="1050" t="s">
        <v>2688</v>
      </c>
      <c r="CU54" s="916"/>
      <c r="CV54" s="1051"/>
      <c r="CW54" s="936"/>
      <c r="CX54" s="936"/>
      <c r="CY54" s="936"/>
      <c r="CZ54" s="1051"/>
      <c r="DA54" s="942"/>
      <c r="DB54" s="936"/>
      <c r="DC54" s="936"/>
    </row>
    <row r="55" spans="2:107" ht="10.5" customHeight="1">
      <c r="B55" s="927"/>
      <c r="C55" s="2835" t="str">
        <f t="shared" si="11"/>
        <v>VE-22mm</v>
      </c>
      <c r="D55" s="2836"/>
      <c r="E55" s="2836"/>
      <c r="F55" s="2836"/>
      <c r="G55" s="2836"/>
      <c r="H55" s="2836"/>
      <c r="I55" s="2836"/>
      <c r="J55" s="2836"/>
      <c r="K55" s="2836"/>
      <c r="L55" s="2836"/>
      <c r="M55" s="2837"/>
      <c r="N55" s="2826">
        <f t="shared" si="12"/>
        <v>153.80000000000001</v>
      </c>
      <c r="O55" s="2827"/>
      <c r="P55" s="2827"/>
      <c r="Q55" s="2827"/>
      <c r="R55" s="2828"/>
      <c r="S55" s="1065" t="str">
        <f t="shared" si="13"/>
        <v>▼</v>
      </c>
      <c r="T55" s="2838"/>
      <c r="U55" s="2839"/>
      <c r="V55" s="2839"/>
      <c r="W55" s="2839"/>
      <c r="X55" s="2840"/>
      <c r="Y55" s="2820" t="str">
        <f>IF(C55="","",VLOOKUP(C55,[5]建物1802!$E$5:$AL$3275,2,FALSE))</f>
        <v>ｍ</v>
      </c>
      <c r="Z55" s="2821"/>
      <c r="AA55" s="2822"/>
      <c r="AB55" s="2841">
        <f>IF(C55="","",VLOOKUP(C55,[5]建物1802!$E$5:$AL$3275,$AO$43,FALSE))</f>
        <v>77</v>
      </c>
      <c r="AC55" s="2842"/>
      <c r="AD55" s="2842"/>
      <c r="AE55" s="2842"/>
      <c r="AF55" s="2842"/>
      <c r="AG55" s="2843"/>
      <c r="AH55" s="2826">
        <f t="shared" si="14"/>
        <v>11842</v>
      </c>
      <c r="AI55" s="2827"/>
      <c r="AJ55" s="2827"/>
      <c r="AK55" s="2827"/>
      <c r="AL55" s="2827"/>
      <c r="AM55" s="2827"/>
      <c r="AN55" s="2828"/>
      <c r="AO55" s="1064"/>
      <c r="AP55" s="2844">
        <f>IF(C55="","",VLOOKUP(C55,[5]建物1802!$E$5:$AL$3275,$AO$44,FALSE))</f>
        <v>5.3999999999999999E-2</v>
      </c>
      <c r="AQ55" s="2845"/>
      <c r="AR55" s="2845"/>
      <c r="AS55" s="2845"/>
      <c r="AT55" s="2846"/>
      <c r="AU55" s="2808">
        <f t="shared" si="15"/>
        <v>8.305200000000001</v>
      </c>
      <c r="AV55" s="2809"/>
      <c r="AW55" s="2809"/>
      <c r="AX55" s="2809"/>
      <c r="AY55" s="2809"/>
      <c r="AZ55" s="2810"/>
      <c r="BA55" s="926"/>
      <c r="BB55" s="926"/>
      <c r="BC55" s="926"/>
      <c r="BD55" s="926"/>
      <c r="BE55" s="926"/>
      <c r="BF55" s="926"/>
      <c r="BG55" s="926"/>
      <c r="BH55" s="926"/>
      <c r="BI55" s="926"/>
      <c r="BJ55" s="926"/>
      <c r="BK55" s="926"/>
      <c r="BL55" s="926"/>
      <c r="BM55" s="926"/>
      <c r="BN55" s="926"/>
      <c r="BO55" s="926"/>
      <c r="BP55" s="926"/>
      <c r="BQ55" s="926"/>
      <c r="BR55" s="926"/>
      <c r="BS55" s="926"/>
      <c r="BT55" s="926"/>
      <c r="BU55" s="924"/>
      <c r="BV55" s="1063">
        <v>12</v>
      </c>
      <c r="BW55" s="1069">
        <f t="shared" si="16"/>
        <v>10</v>
      </c>
      <c r="BX55" s="1069">
        <f t="shared" si="17"/>
        <v>10</v>
      </c>
      <c r="BY55" s="916" t="str">
        <f>IF(OR(C23="",C23=0),"","接地工事 EA-LA")</f>
        <v>接地工事 EA-LA</v>
      </c>
      <c r="BZ55" s="936"/>
      <c r="CA55" s="936"/>
      <c r="CB55" s="936"/>
      <c r="CC55" s="936" t="str">
        <f>IF(COUNTIF($BY$18:$BY54,BY55)&gt;0,"",BY55)</f>
        <v>接地工事 EA-LA</v>
      </c>
      <c r="CD55" s="1072">
        <f>IF(BY55="","",1)</f>
        <v>1</v>
      </c>
      <c r="CE55" s="1071">
        <f t="shared" si="18"/>
        <v>1</v>
      </c>
      <c r="CF55" s="936"/>
      <c r="CG55" s="936"/>
      <c r="CH55" s="1693"/>
      <c r="CI55" s="936"/>
      <c r="CL55" s="1050" t="s">
        <v>2687</v>
      </c>
      <c r="CM55" s="1050" t="s">
        <v>2686</v>
      </c>
      <c r="CO55" s="1050" t="s">
        <v>2685</v>
      </c>
      <c r="CP55" s="1050" t="s">
        <v>2684</v>
      </c>
      <c r="CQ55" s="1050" t="s">
        <v>2683</v>
      </c>
      <c r="CU55" s="916"/>
      <c r="CV55" s="1051"/>
      <c r="CW55" s="936"/>
      <c r="CX55" s="936"/>
      <c r="CY55" s="936"/>
      <c r="CZ55" s="1051"/>
      <c r="DA55" s="942"/>
      <c r="DB55" s="936"/>
      <c r="DC55" s="936"/>
    </row>
    <row r="56" spans="2:107" ht="10.5" customHeight="1">
      <c r="B56" s="927"/>
      <c r="C56" s="2835" t="str">
        <f t="shared" si="11"/>
        <v>VE-28mm</v>
      </c>
      <c r="D56" s="2836"/>
      <c r="E56" s="2836"/>
      <c r="F56" s="2836"/>
      <c r="G56" s="2836"/>
      <c r="H56" s="2836"/>
      <c r="I56" s="2836"/>
      <c r="J56" s="2836"/>
      <c r="K56" s="2836"/>
      <c r="L56" s="2836"/>
      <c r="M56" s="2837"/>
      <c r="N56" s="2826">
        <f t="shared" si="12"/>
        <v>34</v>
      </c>
      <c r="O56" s="2827"/>
      <c r="P56" s="2827"/>
      <c r="Q56" s="2827"/>
      <c r="R56" s="2828"/>
      <c r="S56" s="1065" t="str">
        <f t="shared" si="13"/>
        <v>▼</v>
      </c>
      <c r="T56" s="2838"/>
      <c r="U56" s="2839"/>
      <c r="V56" s="2839"/>
      <c r="W56" s="2839"/>
      <c r="X56" s="2840"/>
      <c r="Y56" s="2820" t="str">
        <f>IF(C56="","",VLOOKUP(C56,[5]建物1802!$E$5:$AL$3275,2,FALSE))</f>
        <v>ｍ</v>
      </c>
      <c r="Z56" s="2821"/>
      <c r="AA56" s="2822"/>
      <c r="AB56" s="2841">
        <f>IF(C56="","",VLOOKUP(C56,[5]建物1802!$E$5:$AL$3275,$AO$43,FALSE))</f>
        <v>149</v>
      </c>
      <c r="AC56" s="2842"/>
      <c r="AD56" s="2842"/>
      <c r="AE56" s="2842"/>
      <c r="AF56" s="2842"/>
      <c r="AG56" s="2843"/>
      <c r="AH56" s="2826">
        <f t="shared" si="14"/>
        <v>5066</v>
      </c>
      <c r="AI56" s="2827"/>
      <c r="AJ56" s="2827"/>
      <c r="AK56" s="2827"/>
      <c r="AL56" s="2827"/>
      <c r="AM56" s="2827"/>
      <c r="AN56" s="2828"/>
      <c r="AO56" s="1064"/>
      <c r="AP56" s="2844">
        <f>IF(C56="","",VLOOKUP(C56,[5]建物1802!$E$5:$AL$3275,$AO$44,FALSE))</f>
        <v>6.4000000000000001E-2</v>
      </c>
      <c r="AQ56" s="2845"/>
      <c r="AR56" s="2845"/>
      <c r="AS56" s="2845"/>
      <c r="AT56" s="2846"/>
      <c r="AU56" s="2808">
        <f t="shared" si="15"/>
        <v>2.1760000000000002</v>
      </c>
      <c r="AV56" s="2809"/>
      <c r="AW56" s="2809"/>
      <c r="AX56" s="2809"/>
      <c r="AY56" s="2809"/>
      <c r="AZ56" s="2810"/>
      <c r="BA56" s="926"/>
      <c r="BB56" s="926"/>
      <c r="BC56" s="926"/>
      <c r="BD56" s="926"/>
      <c r="BE56" s="926"/>
      <c r="BF56" s="926"/>
      <c r="BG56" s="926"/>
      <c r="BH56" s="926"/>
      <c r="BI56" s="926"/>
      <c r="BJ56" s="926"/>
      <c r="BK56" s="926"/>
      <c r="BL56" s="926"/>
      <c r="BM56" s="926"/>
      <c r="BN56" s="933"/>
      <c r="BO56" s="2915" t="str">
        <f>IF(B2=0,"",IF(AND(BH58="単価-1",BH59="歩掛-1"),Top!BH15,"User"))</f>
        <v>近畿</v>
      </c>
      <c r="BP56" s="2915"/>
      <c r="BQ56" s="2915"/>
      <c r="BR56" s="2915"/>
      <c r="BS56" s="933"/>
      <c r="BT56" s="926"/>
      <c r="BU56" s="924"/>
      <c r="BV56" s="1063">
        <v>13</v>
      </c>
      <c r="BW56" s="1069">
        <f t="shared" si="16"/>
        <v>11</v>
      </c>
      <c r="BX56" s="1069">
        <f t="shared" si="17"/>
        <v>11</v>
      </c>
      <c r="BY56" s="916" t="str">
        <f>IF(OR(C24="",C24=0),"","接地工事 EA")</f>
        <v>接地工事 EA</v>
      </c>
      <c r="BZ56" s="936"/>
      <c r="CA56" s="936"/>
      <c r="CB56" s="936"/>
      <c r="CC56" s="936" t="str">
        <f>IF(COUNTIF($BY$18:$BY55,BY56)&gt;0,"",BY56)</f>
        <v>接地工事 EA</v>
      </c>
      <c r="CD56" s="1072">
        <f>IF(BY56="","",1)</f>
        <v>1</v>
      </c>
      <c r="CE56" s="1071">
        <f t="shared" si="18"/>
        <v>1</v>
      </c>
      <c r="CF56" s="942"/>
      <c r="CG56" s="936"/>
      <c r="CH56" s="1693"/>
      <c r="CI56" s="936"/>
      <c r="CL56" s="1050" t="s">
        <v>2682</v>
      </c>
      <c r="CM56" s="1050" t="s">
        <v>2681</v>
      </c>
      <c r="CO56" s="1050" t="s">
        <v>2680</v>
      </c>
      <c r="CP56" s="1050" t="s">
        <v>2679</v>
      </c>
      <c r="CQ56" s="1051"/>
      <c r="CU56" s="916"/>
      <c r="CV56" s="1051"/>
      <c r="CW56" s="936"/>
      <c r="CX56" s="936"/>
      <c r="CY56" s="936"/>
      <c r="CZ56" s="1051"/>
      <c r="DA56" s="942"/>
      <c r="DB56" s="936"/>
      <c r="DC56" s="936"/>
    </row>
    <row r="57" spans="2:107" ht="10.5" customHeight="1" thickBot="1">
      <c r="B57" s="927"/>
      <c r="C57" s="2835" t="str">
        <f t="shared" si="11"/>
        <v>導入線 2.0mmφ</v>
      </c>
      <c r="D57" s="2836"/>
      <c r="E57" s="2836"/>
      <c r="F57" s="2836"/>
      <c r="G57" s="2836"/>
      <c r="H57" s="2836"/>
      <c r="I57" s="2836"/>
      <c r="J57" s="2836"/>
      <c r="K57" s="2836"/>
      <c r="L57" s="2836"/>
      <c r="M57" s="2837"/>
      <c r="N57" s="2826">
        <f t="shared" si="12"/>
        <v>157.80000000000001</v>
      </c>
      <c r="O57" s="2827"/>
      <c r="P57" s="2827"/>
      <c r="Q57" s="2827"/>
      <c r="R57" s="2828"/>
      <c r="S57" s="1065" t="str">
        <f t="shared" si="13"/>
        <v>▼</v>
      </c>
      <c r="T57" s="2838"/>
      <c r="U57" s="2839"/>
      <c r="V57" s="2839"/>
      <c r="W57" s="2839"/>
      <c r="X57" s="2840"/>
      <c r="Y57" s="2820" t="str">
        <f>IF(C57="","",VLOOKUP(C57,[5]建物1802!$E$5:$AL$3275,2,FALSE))</f>
        <v>ｍ</v>
      </c>
      <c r="Z57" s="2821"/>
      <c r="AA57" s="2822"/>
      <c r="AB57" s="2841">
        <f>IF(C57="","",VLOOKUP(C57,[5]建物1802!$E$5:$AL$3275,$AO$43,FALSE))</f>
        <v>5.2941176470588234</v>
      </c>
      <c r="AC57" s="2842"/>
      <c r="AD57" s="2842"/>
      <c r="AE57" s="2842"/>
      <c r="AF57" s="2842"/>
      <c r="AG57" s="2843"/>
      <c r="AH57" s="2826">
        <f t="shared" si="14"/>
        <v>835</v>
      </c>
      <c r="AI57" s="2827"/>
      <c r="AJ57" s="2827"/>
      <c r="AK57" s="2827"/>
      <c r="AL57" s="2827"/>
      <c r="AM57" s="2827"/>
      <c r="AN57" s="2828"/>
      <c r="AO57" s="1064"/>
      <c r="AP57" s="2844">
        <f>IF(C57="","",VLOOKUP(C57,[5]建物1802!$E$5:$AL$3275,$AO$44,FALSE))</f>
        <v>5.0000000000000001E-3</v>
      </c>
      <c r="AQ57" s="2845"/>
      <c r="AR57" s="2845"/>
      <c r="AS57" s="2845"/>
      <c r="AT57" s="2846"/>
      <c r="AU57" s="2808">
        <f t="shared" si="15"/>
        <v>0.78900000000000003</v>
      </c>
      <c r="AV57" s="2809"/>
      <c r="AW57" s="2809"/>
      <c r="AX57" s="2809"/>
      <c r="AY57" s="2809"/>
      <c r="AZ57" s="2810"/>
      <c r="BA57" s="926"/>
      <c r="BB57" s="926"/>
      <c r="BC57" s="926"/>
      <c r="BD57" s="926"/>
      <c r="BE57" s="926"/>
      <c r="BF57" s="926"/>
      <c r="BG57" s="926"/>
      <c r="BH57" s="926"/>
      <c r="BI57" s="926"/>
      <c r="BJ57" s="926"/>
      <c r="BK57" s="926"/>
      <c r="BL57" s="926"/>
      <c r="BM57" s="926"/>
      <c r="BN57" s="2794" t="str">
        <f>IF(B2=0,"","建設物価")</f>
        <v>建設物価</v>
      </c>
      <c r="BO57" s="2794"/>
      <c r="BP57" s="2794"/>
      <c r="BQ57" s="2794"/>
      <c r="BR57" s="2794"/>
      <c r="BS57" s="2794"/>
      <c r="BT57" s="926"/>
      <c r="BU57" s="924"/>
      <c r="BV57" s="1063">
        <v>14</v>
      </c>
      <c r="BW57" s="1069">
        <f t="shared" si="16"/>
        <v>12</v>
      </c>
      <c r="BX57" s="1069">
        <f t="shared" si="17"/>
        <v>12</v>
      </c>
      <c r="BY57" s="916" t="str">
        <f>IF(OR(C25="",C25=0),"","接地工事 EB")</f>
        <v>接地工事 EB</v>
      </c>
      <c r="BZ57" s="936"/>
      <c r="CA57" s="936"/>
      <c r="CB57" s="936"/>
      <c r="CC57" s="936" t="str">
        <f>IF(COUNTIF($BY$18:$BY56,BY57)&gt;0,"",BY57)</f>
        <v>接地工事 EB</v>
      </c>
      <c r="CD57" s="1072">
        <f>IF(BY57="","",1)</f>
        <v>1</v>
      </c>
      <c r="CE57" s="1071">
        <f t="shared" si="18"/>
        <v>1</v>
      </c>
      <c r="CF57" s="942"/>
      <c r="CG57" s="936"/>
      <c r="CH57" s="1693"/>
      <c r="CI57" s="936"/>
      <c r="CL57" s="1050" t="s">
        <v>2678</v>
      </c>
      <c r="CM57" s="1050" t="s">
        <v>2677</v>
      </c>
      <c r="CO57" s="1050" t="s">
        <v>2676</v>
      </c>
      <c r="CP57" s="1050" t="s">
        <v>2675</v>
      </c>
      <c r="CQ57" s="1051"/>
      <c r="CU57" s="916"/>
      <c r="CV57" s="1051"/>
      <c r="CW57" s="936"/>
      <c r="CX57" s="936"/>
      <c r="CY57" s="936"/>
      <c r="CZ57" s="1051"/>
      <c r="DA57" s="942"/>
      <c r="DB57" s="936"/>
      <c r="DC57" s="936"/>
    </row>
    <row r="58" spans="2:107" ht="10.5" customHeight="1" thickTop="1" thickBot="1">
      <c r="B58" s="927"/>
      <c r="C58" s="2835" t="str">
        <f t="shared" si="11"/>
        <v>FEP- 80mm</v>
      </c>
      <c r="D58" s="2836"/>
      <c r="E58" s="2836"/>
      <c r="F58" s="2836"/>
      <c r="G58" s="2836"/>
      <c r="H58" s="2836"/>
      <c r="I58" s="2836"/>
      <c r="J58" s="2836"/>
      <c r="K58" s="2836"/>
      <c r="L58" s="2836"/>
      <c r="M58" s="2837"/>
      <c r="N58" s="2826">
        <f t="shared" si="12"/>
        <v>297.60000000000002</v>
      </c>
      <c r="O58" s="2827"/>
      <c r="P58" s="2827"/>
      <c r="Q58" s="2827"/>
      <c r="R58" s="2828"/>
      <c r="S58" s="1065" t="str">
        <f t="shared" si="13"/>
        <v>▼</v>
      </c>
      <c r="T58" s="2838"/>
      <c r="U58" s="2839"/>
      <c r="V58" s="2839"/>
      <c r="W58" s="2839"/>
      <c r="X58" s="2840"/>
      <c r="Y58" s="2820" t="str">
        <f>IF(C58="","",VLOOKUP(C58,[5]建物1802!$E$5:$AL$3275,2,FALSE))</f>
        <v>ｍ</v>
      </c>
      <c r="Z58" s="2821"/>
      <c r="AA58" s="2822"/>
      <c r="AB58" s="2841">
        <f>IF(C58="","",VLOOKUP(C58,[5]建物1802!$E$5:$AL$3275,$AO$43,FALSE))</f>
        <v>455</v>
      </c>
      <c r="AC58" s="2842"/>
      <c r="AD58" s="2842"/>
      <c r="AE58" s="2842"/>
      <c r="AF58" s="2842"/>
      <c r="AG58" s="2843"/>
      <c r="AH58" s="2826">
        <f t="shared" si="14"/>
        <v>135408</v>
      </c>
      <c r="AI58" s="2827"/>
      <c r="AJ58" s="2827"/>
      <c r="AK58" s="2827"/>
      <c r="AL58" s="2827"/>
      <c r="AM58" s="2827"/>
      <c r="AN58" s="2828"/>
      <c r="AO58" s="1064"/>
      <c r="AP58" s="2844">
        <f>IF(C58="","",VLOOKUP(C58,[5]建物1802!$E$5:$AL$3275,$AO$44,FALSE))</f>
        <v>6.4000000000000001E-2</v>
      </c>
      <c r="AQ58" s="2845"/>
      <c r="AR58" s="2845"/>
      <c r="AS58" s="2845"/>
      <c r="AT58" s="2846"/>
      <c r="AU58" s="2808">
        <f t="shared" si="15"/>
        <v>19.046400000000002</v>
      </c>
      <c r="AV58" s="2809"/>
      <c r="AW58" s="2809"/>
      <c r="AX58" s="2809"/>
      <c r="AY58" s="2809"/>
      <c r="AZ58" s="2810"/>
      <c r="BA58" s="926"/>
      <c r="BB58" s="2798" t="str">
        <f>IF(B2=0,"","単価設定")</f>
        <v>単価設定</v>
      </c>
      <c r="BC58" s="2799"/>
      <c r="BD58" s="2799"/>
      <c r="BE58" s="2799"/>
      <c r="BF58" s="2799"/>
      <c r="BG58" s="2799"/>
      <c r="BH58" s="2859" t="str">
        <f>IF(B2=0,"",IF(BO58="",原価!AD42,BO58))</f>
        <v>単価-1</v>
      </c>
      <c r="BI58" s="2860"/>
      <c r="BJ58" s="2860"/>
      <c r="BK58" s="2860"/>
      <c r="BL58" s="2860"/>
      <c r="BM58" s="2861"/>
      <c r="BN58" s="932" t="s">
        <v>2674</v>
      </c>
      <c r="BO58" s="2795"/>
      <c r="BP58" s="2796"/>
      <c r="BQ58" s="2796"/>
      <c r="BR58" s="2796"/>
      <c r="BS58" s="2796"/>
      <c r="BT58" s="2797"/>
      <c r="BU58" s="924"/>
      <c r="BV58" s="1063">
        <v>15</v>
      </c>
      <c r="BW58" s="1069">
        <f t="shared" si="16"/>
        <v>13</v>
      </c>
      <c r="BX58" s="1069">
        <f t="shared" si="17"/>
        <v>13</v>
      </c>
      <c r="BY58" s="916" t="str">
        <f>IF(OR(C26="",C26=0),"","接地工事 ED")</f>
        <v>接地工事 ED</v>
      </c>
      <c r="BZ58" s="936"/>
      <c r="CA58" s="936"/>
      <c r="CB58" s="936"/>
      <c r="CC58" s="936" t="str">
        <f>IF(COUNTIF($BY$18:$BY57,BY58)&gt;0,"",BY58)</f>
        <v>接地工事 ED</v>
      </c>
      <c r="CD58" s="1072">
        <f>IF(BY58="","",1)</f>
        <v>1</v>
      </c>
      <c r="CE58" s="1071">
        <f t="shared" si="18"/>
        <v>1</v>
      </c>
      <c r="CF58" s="942"/>
      <c r="CG58" s="936"/>
      <c r="CH58" s="1693"/>
      <c r="CI58" s="936"/>
      <c r="CL58" s="1050" t="s">
        <v>2673</v>
      </c>
      <c r="CM58" s="1050" t="s">
        <v>2672</v>
      </c>
      <c r="CO58" s="1050" t="s">
        <v>2671</v>
      </c>
      <c r="CP58" s="1050" t="s">
        <v>2670</v>
      </c>
      <c r="CQ58" s="1070" t="s">
        <v>2669</v>
      </c>
      <c r="CU58" s="916"/>
      <c r="CV58" s="1051"/>
      <c r="CW58" s="936"/>
      <c r="CX58" s="936"/>
      <c r="CY58" s="936"/>
      <c r="CZ58" s="1051"/>
      <c r="DA58" s="942"/>
      <c r="DB58" s="936"/>
      <c r="DC58" s="936"/>
    </row>
    <row r="59" spans="2:107" ht="10.5" customHeight="1" thickTop="1" thickBot="1">
      <c r="B59" s="927"/>
      <c r="C59" s="2835" t="str">
        <f t="shared" si="11"/>
        <v>FEP- 30mm</v>
      </c>
      <c r="D59" s="2836"/>
      <c r="E59" s="2836"/>
      <c r="F59" s="2836"/>
      <c r="G59" s="2836"/>
      <c r="H59" s="2836"/>
      <c r="I59" s="2836"/>
      <c r="J59" s="2836"/>
      <c r="K59" s="2836"/>
      <c r="L59" s="2836"/>
      <c r="M59" s="2837"/>
      <c r="N59" s="2826">
        <f t="shared" si="12"/>
        <v>365.64000000000004</v>
      </c>
      <c r="O59" s="2827"/>
      <c r="P59" s="2827"/>
      <c r="Q59" s="2827"/>
      <c r="R59" s="2828"/>
      <c r="S59" s="1065" t="str">
        <f t="shared" si="13"/>
        <v>▼</v>
      </c>
      <c r="T59" s="2838"/>
      <c r="U59" s="2839"/>
      <c r="V59" s="2839"/>
      <c r="W59" s="2839"/>
      <c r="X59" s="2840"/>
      <c r="Y59" s="2820" t="str">
        <f>IF(C59="","",VLOOKUP(C59,[5]建物1802!$E$5:$AL$3275,2,FALSE))</f>
        <v>ｍ</v>
      </c>
      <c r="Z59" s="2821"/>
      <c r="AA59" s="2822"/>
      <c r="AB59" s="2841">
        <f>IF(C59="","",VLOOKUP(C59,[5]建物1802!$E$5:$AL$3275,$AO$43,FALSE))</f>
        <v>219</v>
      </c>
      <c r="AC59" s="2842"/>
      <c r="AD59" s="2842"/>
      <c r="AE59" s="2842"/>
      <c r="AF59" s="2842"/>
      <c r="AG59" s="2843"/>
      <c r="AH59" s="2826">
        <f t="shared" si="14"/>
        <v>80075</v>
      </c>
      <c r="AI59" s="2827"/>
      <c r="AJ59" s="2827"/>
      <c r="AK59" s="2827"/>
      <c r="AL59" s="2827"/>
      <c r="AM59" s="2827"/>
      <c r="AN59" s="2828"/>
      <c r="AO59" s="1064"/>
      <c r="AP59" s="2844">
        <f>IF(C59="","",VLOOKUP(C59,[5]建物1802!$E$5:$AL$3275,$AO$44,FALSE))</f>
        <v>3.6999999999999998E-2</v>
      </c>
      <c r="AQ59" s="2845"/>
      <c r="AR59" s="2845"/>
      <c r="AS59" s="2845"/>
      <c r="AT59" s="2846"/>
      <c r="AU59" s="2808">
        <f t="shared" si="15"/>
        <v>13.528680000000001</v>
      </c>
      <c r="AV59" s="2809"/>
      <c r="AW59" s="2809"/>
      <c r="AX59" s="2809"/>
      <c r="AY59" s="2809"/>
      <c r="AZ59" s="2810"/>
      <c r="BA59" s="926"/>
      <c r="BB59" s="2798" t="str">
        <f>IF(B2=0,"","歩掛設定")</f>
        <v>歩掛設定</v>
      </c>
      <c r="BC59" s="2799"/>
      <c r="BD59" s="2799"/>
      <c r="BE59" s="2799"/>
      <c r="BF59" s="2799"/>
      <c r="BG59" s="2799"/>
      <c r="BH59" s="2800" t="str">
        <f>IF(B2=0,"",IF(BO59="",原価!AD43,BO59))</f>
        <v>歩掛-1</v>
      </c>
      <c r="BI59" s="2800"/>
      <c r="BJ59" s="2800"/>
      <c r="BK59" s="2800"/>
      <c r="BL59" s="2800"/>
      <c r="BM59" s="2800"/>
      <c r="BN59" s="932" t="s">
        <v>2668</v>
      </c>
      <c r="BO59" s="2801"/>
      <c r="BP59" s="2801"/>
      <c r="BQ59" s="2801"/>
      <c r="BR59" s="2801"/>
      <c r="BS59" s="2801"/>
      <c r="BT59" s="2801"/>
      <c r="BU59" s="924"/>
      <c r="BV59" s="1063">
        <v>16</v>
      </c>
      <c r="BW59" s="1069">
        <f t="shared" si="16"/>
        <v>14</v>
      </c>
      <c r="BX59" s="1069">
        <f t="shared" si="17"/>
        <v>14</v>
      </c>
      <c r="BY59" s="916" t="str">
        <f>IF(OR(C27="",C27=0),"","接地工事 ED-ELB")</f>
        <v>接地工事 ED-ELB</v>
      </c>
      <c r="BZ59" s="936"/>
      <c r="CA59" s="936"/>
      <c r="CB59" s="936"/>
      <c r="CC59" s="936" t="str">
        <f>IF(COUNTIF($BY$18:$BY58,BY59)&gt;0,"",BY59)</f>
        <v>接地工事 ED-ELB</v>
      </c>
      <c r="CD59" s="1072">
        <f>IF(BY59="","",1)</f>
        <v>1</v>
      </c>
      <c r="CE59" s="1071">
        <f t="shared" si="18"/>
        <v>1</v>
      </c>
      <c r="CF59" s="942"/>
      <c r="CG59" s="936"/>
      <c r="CH59" s="1693"/>
      <c r="CI59" s="936"/>
      <c r="CL59" s="1050" t="s">
        <v>2667</v>
      </c>
      <c r="CM59" s="1050" t="s">
        <v>2666</v>
      </c>
      <c r="CO59" s="1050" t="s">
        <v>2665</v>
      </c>
      <c r="CP59" s="1050" t="s">
        <v>2664</v>
      </c>
      <c r="CQ59" s="1070" t="s">
        <v>2663</v>
      </c>
      <c r="CU59" s="916"/>
      <c r="CV59" s="1051"/>
      <c r="CW59" s="936"/>
      <c r="CX59" s="936"/>
      <c r="CY59" s="936"/>
      <c r="CZ59" s="1051"/>
      <c r="DA59" s="942"/>
      <c r="DB59" s="936"/>
      <c r="DC59" s="936"/>
    </row>
    <row r="60" spans="2:107" ht="10.5" customHeight="1" thickTop="1">
      <c r="B60" s="927"/>
      <c r="C60" s="2835" t="str">
        <f t="shared" si="11"/>
        <v/>
      </c>
      <c r="D60" s="2836"/>
      <c r="E60" s="2836"/>
      <c r="F60" s="2836"/>
      <c r="G60" s="2836"/>
      <c r="H60" s="2836"/>
      <c r="I60" s="2836"/>
      <c r="J60" s="2836"/>
      <c r="K60" s="2836"/>
      <c r="L60" s="2836"/>
      <c r="M60" s="2837"/>
      <c r="N60" s="2826" t="str">
        <f t="shared" si="12"/>
        <v/>
      </c>
      <c r="O60" s="2827"/>
      <c r="P60" s="2827"/>
      <c r="Q60" s="2827"/>
      <c r="R60" s="2828"/>
      <c r="S60" s="1065" t="str">
        <f t="shared" si="13"/>
        <v/>
      </c>
      <c r="T60" s="2838"/>
      <c r="U60" s="2839"/>
      <c r="V60" s="2839"/>
      <c r="W60" s="2839"/>
      <c r="X60" s="2840"/>
      <c r="Y60" s="2820" t="str">
        <f>IF(C60="","",VLOOKUP(C60,[5]建物1802!$E$5:$AL$3275,2,FALSE))</f>
        <v/>
      </c>
      <c r="Z60" s="2821"/>
      <c r="AA60" s="2822"/>
      <c r="AB60" s="2841" t="str">
        <f>IF(C60="","",VLOOKUP(C60,[5]建物1802!$E$5:$AL$3275,$AO$43,FALSE))</f>
        <v/>
      </c>
      <c r="AC60" s="2842"/>
      <c r="AD60" s="2842"/>
      <c r="AE60" s="2842"/>
      <c r="AF60" s="2842"/>
      <c r="AG60" s="2843"/>
      <c r="AH60" s="2826" t="str">
        <f t="shared" si="14"/>
        <v/>
      </c>
      <c r="AI60" s="2827"/>
      <c r="AJ60" s="2827"/>
      <c r="AK60" s="2827"/>
      <c r="AL60" s="2827"/>
      <c r="AM60" s="2827"/>
      <c r="AN60" s="2828"/>
      <c r="AO60" s="1064"/>
      <c r="AP60" s="2844" t="str">
        <f>IF(C60="","",VLOOKUP(C60,[5]建物1802!$E$5:$AL$3275,$AO$44,FALSE))</f>
        <v/>
      </c>
      <c r="AQ60" s="2845"/>
      <c r="AR60" s="2845"/>
      <c r="AS60" s="2845"/>
      <c r="AT60" s="2846"/>
      <c r="AU60" s="2808" t="str">
        <f t="shared" si="15"/>
        <v/>
      </c>
      <c r="AV60" s="2809"/>
      <c r="AW60" s="2809"/>
      <c r="AX60" s="2809"/>
      <c r="AY60" s="2809"/>
      <c r="AZ60" s="2810"/>
      <c r="BA60" s="926"/>
      <c r="BB60" s="926"/>
      <c r="BC60" s="926"/>
      <c r="BD60" s="926"/>
      <c r="BE60" s="926"/>
      <c r="BF60" s="926"/>
      <c r="BG60" s="926"/>
      <c r="BH60" s="926"/>
      <c r="BI60" s="926"/>
      <c r="BJ60" s="926"/>
      <c r="BK60" s="926"/>
      <c r="BL60" s="926"/>
      <c r="BM60" s="926"/>
      <c r="BN60" s="926"/>
      <c r="BO60" s="926"/>
      <c r="BP60" s="926"/>
      <c r="BQ60" s="926"/>
      <c r="BR60" s="926"/>
      <c r="BS60" s="926"/>
      <c r="BT60" s="926"/>
      <c r="BU60" s="924"/>
      <c r="BV60" s="1063">
        <v>17</v>
      </c>
      <c r="BW60" s="1069">
        <f t="shared" si="16"/>
        <v>15</v>
      </c>
      <c r="BX60" s="1069">
        <f t="shared" si="17"/>
        <v>15</v>
      </c>
      <c r="BY60" s="916" t="str">
        <f>IF(OR(C28="",C28=0),"","接地工事 Ep,Ec")</f>
        <v>接地工事 Ep,Ec</v>
      </c>
      <c r="BZ60" s="936"/>
      <c r="CA60" s="936"/>
      <c r="CB60" s="936"/>
      <c r="CC60" s="936" t="str">
        <f>IF(COUNTIF($BY$18:$BY59,BY60)&gt;0,"",BY60)</f>
        <v>接地工事 Ep,Ec</v>
      </c>
      <c r="CD60" s="1072">
        <f>IF(BY60="","",2)</f>
        <v>2</v>
      </c>
      <c r="CE60" s="1071">
        <f t="shared" si="18"/>
        <v>2</v>
      </c>
      <c r="CF60" s="942"/>
      <c r="CG60" s="936"/>
      <c r="CH60" s="936"/>
      <c r="CI60" s="936"/>
      <c r="CL60" s="1050" t="s">
        <v>2662</v>
      </c>
      <c r="CM60" s="1050" t="s">
        <v>2661</v>
      </c>
      <c r="CO60" s="1050" t="s">
        <v>2660</v>
      </c>
      <c r="CP60" s="1050" t="s">
        <v>2659</v>
      </c>
      <c r="CQ60" s="1070" t="s">
        <v>2658</v>
      </c>
      <c r="CU60" s="916"/>
      <c r="CV60" s="1051"/>
      <c r="CW60" s="936"/>
      <c r="CX60" s="936"/>
      <c r="CY60" s="936"/>
      <c r="CZ60" s="1051"/>
      <c r="DA60" s="942"/>
      <c r="DB60" s="936"/>
      <c r="DC60" s="936"/>
    </row>
    <row r="61" spans="2:107" ht="10.5" customHeight="1">
      <c r="B61" s="927"/>
      <c r="C61" s="2835" t="str">
        <f t="shared" si="11"/>
        <v/>
      </c>
      <c r="D61" s="2836"/>
      <c r="E61" s="2836"/>
      <c r="F61" s="2836"/>
      <c r="G61" s="2836"/>
      <c r="H61" s="2836"/>
      <c r="I61" s="2836"/>
      <c r="J61" s="2836"/>
      <c r="K61" s="2836"/>
      <c r="L61" s="2836"/>
      <c r="M61" s="2837"/>
      <c r="N61" s="2826" t="str">
        <f t="shared" si="12"/>
        <v/>
      </c>
      <c r="O61" s="2827"/>
      <c r="P61" s="2827"/>
      <c r="Q61" s="2827"/>
      <c r="R61" s="2828"/>
      <c r="S61" s="1065" t="str">
        <f t="shared" si="13"/>
        <v/>
      </c>
      <c r="T61" s="2838"/>
      <c r="U61" s="2839"/>
      <c r="V61" s="2839"/>
      <c r="W61" s="2839"/>
      <c r="X61" s="2840"/>
      <c r="Y61" s="2820" t="str">
        <f>IF(C61="","",VLOOKUP(C61,[5]建物1802!$E$5:$AL$3275,2,FALSE))</f>
        <v/>
      </c>
      <c r="Z61" s="2821"/>
      <c r="AA61" s="2822"/>
      <c r="AB61" s="2841" t="str">
        <f>IF(C61="","",VLOOKUP(C61,[5]建物1802!$E$5:$AL$3275,$AO$43,FALSE))</f>
        <v/>
      </c>
      <c r="AC61" s="2842"/>
      <c r="AD61" s="2842"/>
      <c r="AE61" s="2842"/>
      <c r="AF61" s="2842"/>
      <c r="AG61" s="2843"/>
      <c r="AH61" s="2826" t="str">
        <f t="shared" si="14"/>
        <v/>
      </c>
      <c r="AI61" s="2827"/>
      <c r="AJ61" s="2827"/>
      <c r="AK61" s="2827"/>
      <c r="AL61" s="2827"/>
      <c r="AM61" s="2827"/>
      <c r="AN61" s="2828"/>
      <c r="AO61" s="1064"/>
      <c r="AP61" s="2844" t="str">
        <f>IF(C61="","",VLOOKUP(C61,[5]建物1802!$E$5:$AL$3275,$AO$44,FALSE))</f>
        <v/>
      </c>
      <c r="AQ61" s="2845"/>
      <c r="AR61" s="2845"/>
      <c r="AS61" s="2845"/>
      <c r="AT61" s="2846"/>
      <c r="AU61" s="2808" t="str">
        <f t="shared" si="15"/>
        <v/>
      </c>
      <c r="AV61" s="2809"/>
      <c r="AW61" s="2809"/>
      <c r="AX61" s="2809"/>
      <c r="AY61" s="2809"/>
      <c r="AZ61" s="2810"/>
      <c r="BA61" s="926"/>
      <c r="BB61" s="926"/>
      <c r="BC61" s="926"/>
      <c r="BD61" s="926"/>
      <c r="BE61" s="926"/>
      <c r="BF61" s="926"/>
      <c r="BG61" s="926"/>
      <c r="BH61" s="926"/>
      <c r="BI61" s="926"/>
      <c r="BJ61" s="926"/>
      <c r="BK61" s="926"/>
      <c r="BL61" s="926"/>
      <c r="BM61" s="926"/>
      <c r="BN61" s="926"/>
      <c r="BO61" s="926"/>
      <c r="BP61" s="926"/>
      <c r="BQ61" s="926"/>
      <c r="BR61" s="926"/>
      <c r="BS61" s="926"/>
      <c r="BT61" s="926"/>
      <c r="BU61" s="924"/>
      <c r="BV61" s="1063">
        <v>18</v>
      </c>
      <c r="BW61" s="1069">
        <f t="shared" si="16"/>
        <v>15</v>
      </c>
      <c r="BX61" s="1060"/>
      <c r="BY61" s="1059"/>
      <c r="BZ61" s="942"/>
      <c r="CA61" s="942"/>
      <c r="CB61" s="942"/>
      <c r="CC61" s="942"/>
      <c r="CD61" s="1067"/>
      <c r="CE61" s="1066"/>
      <c r="CF61" s="942"/>
      <c r="CG61" s="936"/>
      <c r="CH61" s="936"/>
      <c r="CI61" s="936"/>
      <c r="CL61" s="1050" t="s">
        <v>2657</v>
      </c>
      <c r="CM61" s="1050" t="s">
        <v>2656</v>
      </c>
      <c r="CO61" s="1050" t="s">
        <v>2655</v>
      </c>
      <c r="CP61" s="1050" t="s">
        <v>2654</v>
      </c>
      <c r="CQ61" s="1051"/>
      <c r="CU61" s="916"/>
      <c r="CV61" s="1051"/>
      <c r="CW61" s="936"/>
      <c r="CX61" s="936"/>
      <c r="CY61" s="936"/>
      <c r="CZ61" s="1051"/>
      <c r="DA61" s="942"/>
      <c r="DB61" s="936"/>
      <c r="DC61" s="936"/>
    </row>
    <row r="62" spans="2:107" ht="10.5" customHeight="1">
      <c r="B62" s="927"/>
      <c r="C62" s="2835" t="str">
        <f t="shared" si="11"/>
        <v/>
      </c>
      <c r="D62" s="2836"/>
      <c r="E62" s="2836"/>
      <c r="F62" s="2836"/>
      <c r="G62" s="2836"/>
      <c r="H62" s="2836"/>
      <c r="I62" s="2836"/>
      <c r="J62" s="2836"/>
      <c r="K62" s="2836"/>
      <c r="L62" s="2836"/>
      <c r="M62" s="2837"/>
      <c r="N62" s="2826" t="str">
        <f t="shared" si="12"/>
        <v/>
      </c>
      <c r="O62" s="2827"/>
      <c r="P62" s="2827"/>
      <c r="Q62" s="2827"/>
      <c r="R62" s="2828"/>
      <c r="S62" s="1065" t="str">
        <f t="shared" si="13"/>
        <v/>
      </c>
      <c r="T62" s="2838"/>
      <c r="U62" s="2839"/>
      <c r="V62" s="2839"/>
      <c r="W62" s="2839"/>
      <c r="X62" s="2840"/>
      <c r="Y62" s="2820" t="str">
        <f>IF(C62="","",VLOOKUP(C62,[5]建物1802!$E$5:$AL$3275,2,FALSE))</f>
        <v/>
      </c>
      <c r="Z62" s="2821"/>
      <c r="AA62" s="2822"/>
      <c r="AB62" s="2841" t="str">
        <f>IF(C62="","",VLOOKUP(C62,[5]建物1802!$E$5:$AL$3275,$AO$43,FALSE))</f>
        <v/>
      </c>
      <c r="AC62" s="2842"/>
      <c r="AD62" s="2842"/>
      <c r="AE62" s="2842"/>
      <c r="AF62" s="2842"/>
      <c r="AG62" s="2843"/>
      <c r="AH62" s="2826" t="str">
        <f t="shared" si="14"/>
        <v/>
      </c>
      <c r="AI62" s="2827"/>
      <c r="AJ62" s="2827"/>
      <c r="AK62" s="2827"/>
      <c r="AL62" s="2827"/>
      <c r="AM62" s="2827"/>
      <c r="AN62" s="2828"/>
      <c r="AO62" s="1064"/>
      <c r="AP62" s="2844" t="str">
        <f>IF(C62="","",VLOOKUP(C62,[5]建物1802!$E$5:$AL$3275,$AO$44,FALSE))</f>
        <v/>
      </c>
      <c r="AQ62" s="2845"/>
      <c r="AR62" s="2845"/>
      <c r="AS62" s="2845"/>
      <c r="AT62" s="2846"/>
      <c r="AU62" s="2808" t="str">
        <f t="shared" si="15"/>
        <v/>
      </c>
      <c r="AV62" s="2809"/>
      <c r="AW62" s="2809"/>
      <c r="AX62" s="2809"/>
      <c r="AY62" s="2809"/>
      <c r="AZ62" s="2810"/>
      <c r="BA62" s="926"/>
      <c r="BB62" s="926"/>
      <c r="BC62" s="926"/>
      <c r="BD62" s="926"/>
      <c r="BE62" s="926"/>
      <c r="BF62" s="926"/>
      <c r="BG62" s="926"/>
      <c r="BH62" s="926"/>
      <c r="BI62" s="926"/>
      <c r="BJ62" s="926"/>
      <c r="BK62" s="926"/>
      <c r="BL62" s="926"/>
      <c r="BM62" s="926"/>
      <c r="BN62" s="926"/>
      <c r="BO62" s="926"/>
      <c r="BP62" s="926"/>
      <c r="BQ62" s="926"/>
      <c r="BR62" s="926"/>
      <c r="BS62" s="926"/>
      <c r="BT62" s="926"/>
      <c r="BU62" s="924"/>
      <c r="BV62" s="1063">
        <v>19</v>
      </c>
      <c r="BW62" s="1069">
        <f t="shared" si="16"/>
        <v>15</v>
      </c>
      <c r="BX62" s="1060"/>
      <c r="BY62" s="1059"/>
      <c r="BZ62" s="942"/>
      <c r="CA62" s="942"/>
      <c r="CB62" s="942"/>
      <c r="CC62" s="942"/>
      <c r="CD62" s="1067"/>
      <c r="CE62" s="1066"/>
      <c r="CF62" s="942"/>
      <c r="CG62" s="936"/>
      <c r="CH62" s="936"/>
      <c r="CI62" s="936"/>
      <c r="CL62" s="1050" t="s">
        <v>2653</v>
      </c>
      <c r="CM62" s="1050" t="s">
        <v>2652</v>
      </c>
      <c r="CO62" s="1050" t="s">
        <v>2651</v>
      </c>
      <c r="CP62" s="1050" t="s">
        <v>2650</v>
      </c>
      <c r="CQ62" s="1051"/>
      <c r="CU62" s="916"/>
      <c r="CV62" s="1051"/>
      <c r="CW62" s="936"/>
      <c r="CX62" s="936"/>
      <c r="CY62" s="936"/>
      <c r="CZ62" s="1051"/>
      <c r="DA62" s="942"/>
      <c r="DB62" s="936"/>
      <c r="DC62" s="936"/>
    </row>
    <row r="63" spans="2:107" ht="10.5" customHeight="1">
      <c r="B63" s="927"/>
      <c r="C63" s="2835" t="str">
        <f t="shared" si="11"/>
        <v/>
      </c>
      <c r="D63" s="2836"/>
      <c r="E63" s="2836"/>
      <c r="F63" s="2836"/>
      <c r="G63" s="2836"/>
      <c r="H63" s="2836"/>
      <c r="I63" s="2836"/>
      <c r="J63" s="2836"/>
      <c r="K63" s="2836"/>
      <c r="L63" s="2836"/>
      <c r="M63" s="2837"/>
      <c r="N63" s="2826" t="str">
        <f t="shared" si="12"/>
        <v/>
      </c>
      <c r="O63" s="2827"/>
      <c r="P63" s="2827"/>
      <c r="Q63" s="2827"/>
      <c r="R63" s="2828"/>
      <c r="S63" s="1065" t="str">
        <f t="shared" si="13"/>
        <v/>
      </c>
      <c r="T63" s="2838"/>
      <c r="U63" s="2839"/>
      <c r="V63" s="2839"/>
      <c r="W63" s="2839"/>
      <c r="X63" s="2840"/>
      <c r="Y63" s="2820" t="str">
        <f>IF(C63="","",VLOOKUP(C63,[5]建物1802!$E$5:$AL$3275,2,FALSE))</f>
        <v/>
      </c>
      <c r="Z63" s="2821"/>
      <c r="AA63" s="2822"/>
      <c r="AB63" s="2841" t="str">
        <f>IF(C63="","",VLOOKUP(C63,[5]建物1802!$E$5:$AL$3275,$AO$43,FALSE))</f>
        <v/>
      </c>
      <c r="AC63" s="2842"/>
      <c r="AD63" s="2842"/>
      <c r="AE63" s="2842"/>
      <c r="AF63" s="2842"/>
      <c r="AG63" s="2843"/>
      <c r="AH63" s="2826" t="str">
        <f t="shared" si="14"/>
        <v/>
      </c>
      <c r="AI63" s="2827"/>
      <c r="AJ63" s="2827"/>
      <c r="AK63" s="2827"/>
      <c r="AL63" s="2827"/>
      <c r="AM63" s="2827"/>
      <c r="AN63" s="2828"/>
      <c r="AO63" s="1064"/>
      <c r="AP63" s="2844" t="str">
        <f>IF(C63="","",VLOOKUP(C63,[5]建物1802!$E$5:$AL$3275,$AO$44,FALSE))</f>
        <v/>
      </c>
      <c r="AQ63" s="2845"/>
      <c r="AR63" s="2845"/>
      <c r="AS63" s="2845"/>
      <c r="AT63" s="2846"/>
      <c r="AU63" s="2808" t="str">
        <f t="shared" si="15"/>
        <v/>
      </c>
      <c r="AV63" s="2809"/>
      <c r="AW63" s="2809"/>
      <c r="AX63" s="2809"/>
      <c r="AY63" s="2809"/>
      <c r="AZ63" s="2810"/>
      <c r="BA63" s="926"/>
      <c r="BB63" s="926"/>
      <c r="BC63" s="926"/>
      <c r="BD63" s="926"/>
      <c r="BE63" s="926"/>
      <c r="BF63" s="926"/>
      <c r="BG63" s="926"/>
      <c r="BH63" s="926"/>
      <c r="BI63" s="926"/>
      <c r="BJ63" s="926"/>
      <c r="BK63" s="926"/>
      <c r="BL63" s="926"/>
      <c r="BM63" s="926"/>
      <c r="BN63" s="926"/>
      <c r="BO63" s="926"/>
      <c r="BP63" s="926"/>
      <c r="BQ63" s="926"/>
      <c r="BR63" s="926"/>
      <c r="BS63" s="926"/>
      <c r="BT63" s="926"/>
      <c r="BU63" s="924"/>
      <c r="BV63" s="1063">
        <v>20</v>
      </c>
      <c r="BW63" s="1069">
        <f t="shared" si="16"/>
        <v>15</v>
      </c>
      <c r="BX63" s="1060"/>
      <c r="BY63" s="1059"/>
      <c r="BZ63" s="942"/>
      <c r="CA63" s="942"/>
      <c r="CB63" s="942"/>
      <c r="CC63" s="942"/>
      <c r="CD63" s="1067"/>
      <c r="CE63" s="1066"/>
      <c r="CF63" s="942"/>
      <c r="CG63" s="936"/>
      <c r="CH63" s="936"/>
      <c r="CI63" s="936"/>
      <c r="CM63" s="1050" t="s">
        <v>2649</v>
      </c>
      <c r="CP63" s="1050" t="s">
        <v>2648</v>
      </c>
      <c r="CQ63" s="1051"/>
      <c r="CU63" s="916"/>
      <c r="CV63" s="1051"/>
      <c r="CW63" s="936"/>
      <c r="CX63" s="936"/>
      <c r="CY63" s="936"/>
      <c r="CZ63" s="1051"/>
      <c r="DA63" s="942"/>
      <c r="DB63" s="936"/>
      <c r="DC63" s="936"/>
    </row>
    <row r="64" spans="2:107" ht="10.5" customHeight="1">
      <c r="B64" s="927"/>
      <c r="C64" s="2835" t="str">
        <f t="shared" si="11"/>
        <v/>
      </c>
      <c r="D64" s="2836"/>
      <c r="E64" s="2836"/>
      <c r="F64" s="2836"/>
      <c r="G64" s="2836"/>
      <c r="H64" s="2836"/>
      <c r="I64" s="2836"/>
      <c r="J64" s="2836"/>
      <c r="K64" s="2836"/>
      <c r="L64" s="2836"/>
      <c r="M64" s="2837"/>
      <c r="N64" s="2826" t="str">
        <f t="shared" si="12"/>
        <v/>
      </c>
      <c r="O64" s="2827"/>
      <c r="P64" s="2827"/>
      <c r="Q64" s="2827"/>
      <c r="R64" s="2828"/>
      <c r="S64" s="1065" t="str">
        <f t="shared" si="13"/>
        <v/>
      </c>
      <c r="T64" s="2838"/>
      <c r="U64" s="2839"/>
      <c r="V64" s="2839"/>
      <c r="W64" s="2839"/>
      <c r="X64" s="2840"/>
      <c r="Y64" s="2820" t="str">
        <f>IF(C64="","",VLOOKUP(C64,[5]建物1802!$E$5:$AL$3275,2,FALSE))</f>
        <v/>
      </c>
      <c r="Z64" s="2821"/>
      <c r="AA64" s="2822"/>
      <c r="AB64" s="2841" t="str">
        <f>IF(C64="","",VLOOKUP(C64,[5]建物1802!$E$5:$AL$3275,$AO$43,FALSE))</f>
        <v/>
      </c>
      <c r="AC64" s="2842"/>
      <c r="AD64" s="2842"/>
      <c r="AE64" s="2842"/>
      <c r="AF64" s="2842"/>
      <c r="AG64" s="2843"/>
      <c r="AH64" s="2826" t="str">
        <f t="shared" si="14"/>
        <v/>
      </c>
      <c r="AI64" s="2827"/>
      <c r="AJ64" s="2827"/>
      <c r="AK64" s="2827"/>
      <c r="AL64" s="2827"/>
      <c r="AM64" s="2827"/>
      <c r="AN64" s="2828"/>
      <c r="AO64" s="1064"/>
      <c r="AP64" s="2844" t="str">
        <f>IF(C64="","",VLOOKUP(C64,[5]建物1802!$E$5:$AL$3275,$AO$44,FALSE))</f>
        <v/>
      </c>
      <c r="AQ64" s="2845"/>
      <c r="AR64" s="2845"/>
      <c r="AS64" s="2845"/>
      <c r="AT64" s="2846"/>
      <c r="AU64" s="2808" t="str">
        <f t="shared" si="15"/>
        <v/>
      </c>
      <c r="AV64" s="2809"/>
      <c r="AW64" s="2809"/>
      <c r="AX64" s="2809"/>
      <c r="AY64" s="2809"/>
      <c r="AZ64" s="2810"/>
      <c r="BA64" s="926"/>
      <c r="BB64" s="926"/>
      <c r="BC64" s="926"/>
      <c r="BD64" s="926"/>
      <c r="BE64" s="926"/>
      <c r="BF64" s="926"/>
      <c r="BG64" s="926"/>
      <c r="BH64" s="926"/>
      <c r="BI64" s="926"/>
      <c r="BJ64" s="926"/>
      <c r="BK64" s="926"/>
      <c r="BL64" s="926"/>
      <c r="BM64" s="926"/>
      <c r="BN64" s="926"/>
      <c r="BO64" s="926"/>
      <c r="BP64" s="926"/>
      <c r="BQ64" s="926"/>
      <c r="BR64" s="926"/>
      <c r="BS64" s="926"/>
      <c r="BT64" s="926"/>
      <c r="BU64" s="924"/>
      <c r="BV64" s="1063">
        <v>21</v>
      </c>
      <c r="BW64" s="1069">
        <f t="shared" si="16"/>
        <v>15</v>
      </c>
      <c r="BX64" s="1060"/>
      <c r="BY64" s="1059"/>
      <c r="BZ64" s="942"/>
      <c r="CA64" s="942"/>
      <c r="CB64" s="942"/>
      <c r="CC64" s="942"/>
      <c r="CD64" s="1067"/>
      <c r="CE64" s="1066"/>
      <c r="CF64" s="942"/>
      <c r="CG64" s="936"/>
      <c r="CH64" s="936"/>
      <c r="CI64" s="936"/>
      <c r="CM64" s="1050" t="s">
        <v>2647</v>
      </c>
      <c r="CP64" s="1050" t="s">
        <v>2646</v>
      </c>
      <c r="CQ64" s="1051"/>
      <c r="CU64" s="916"/>
      <c r="CV64" s="1051"/>
      <c r="CW64" s="936"/>
      <c r="CX64" s="936"/>
      <c r="CY64" s="936"/>
      <c r="CZ64" s="1051"/>
      <c r="DA64" s="942"/>
      <c r="DB64" s="936"/>
      <c r="DC64" s="936"/>
    </row>
    <row r="65" spans="2:107" ht="10.5" customHeight="1">
      <c r="B65" s="927"/>
      <c r="C65" s="2835" t="str">
        <f t="shared" si="11"/>
        <v/>
      </c>
      <c r="D65" s="2836"/>
      <c r="E65" s="2836"/>
      <c r="F65" s="2836"/>
      <c r="G65" s="2836"/>
      <c r="H65" s="2836"/>
      <c r="I65" s="2836"/>
      <c r="J65" s="2836"/>
      <c r="K65" s="2836"/>
      <c r="L65" s="2836"/>
      <c r="M65" s="2837"/>
      <c r="N65" s="2826" t="str">
        <f t="shared" si="12"/>
        <v/>
      </c>
      <c r="O65" s="2827"/>
      <c r="P65" s="2827"/>
      <c r="Q65" s="2827"/>
      <c r="R65" s="2828"/>
      <c r="S65" s="1065" t="str">
        <f t="shared" si="13"/>
        <v/>
      </c>
      <c r="T65" s="2838"/>
      <c r="U65" s="2839"/>
      <c r="V65" s="2839"/>
      <c r="W65" s="2839"/>
      <c r="X65" s="2840"/>
      <c r="Y65" s="2820" t="str">
        <f>IF(C65="","",VLOOKUP(C65,[5]建物1802!$E$5:$AL$3275,2,FALSE))</f>
        <v/>
      </c>
      <c r="Z65" s="2821"/>
      <c r="AA65" s="2822"/>
      <c r="AB65" s="2841" t="str">
        <f>IF(C65="","",VLOOKUP(C65,[5]建物1802!$E$5:$AL$3275,$AO$43,FALSE))</f>
        <v/>
      </c>
      <c r="AC65" s="2842"/>
      <c r="AD65" s="2842"/>
      <c r="AE65" s="2842"/>
      <c r="AF65" s="2842"/>
      <c r="AG65" s="2843"/>
      <c r="AH65" s="2826" t="str">
        <f t="shared" si="14"/>
        <v/>
      </c>
      <c r="AI65" s="2827"/>
      <c r="AJ65" s="2827"/>
      <c r="AK65" s="2827"/>
      <c r="AL65" s="2827"/>
      <c r="AM65" s="2827"/>
      <c r="AN65" s="2828"/>
      <c r="AO65" s="1064"/>
      <c r="AP65" s="2844" t="str">
        <f>IF(C65="","",VLOOKUP(C65,[5]建物1802!$E$5:$AL$3275,$AO$44,FALSE))</f>
        <v/>
      </c>
      <c r="AQ65" s="2845"/>
      <c r="AR65" s="2845"/>
      <c r="AS65" s="2845"/>
      <c r="AT65" s="2846"/>
      <c r="AU65" s="2808" t="str">
        <f t="shared" si="15"/>
        <v/>
      </c>
      <c r="AV65" s="2809"/>
      <c r="AW65" s="2809"/>
      <c r="AX65" s="2809"/>
      <c r="AY65" s="2809"/>
      <c r="AZ65" s="2810"/>
      <c r="BA65" s="926"/>
      <c r="BB65" s="926"/>
      <c r="BC65" s="926"/>
      <c r="BD65" s="926"/>
      <c r="BE65" s="926"/>
      <c r="BF65" s="926"/>
      <c r="BG65" s="926"/>
      <c r="BH65" s="926"/>
      <c r="BI65" s="926"/>
      <c r="BJ65" s="926"/>
      <c r="BK65" s="926"/>
      <c r="BL65" s="926"/>
      <c r="BM65" s="926"/>
      <c r="BN65" s="926"/>
      <c r="BO65" s="926"/>
      <c r="BP65" s="926"/>
      <c r="BQ65" s="926"/>
      <c r="BR65" s="926"/>
      <c r="BS65" s="926"/>
      <c r="BT65" s="926"/>
      <c r="BU65" s="924"/>
      <c r="BV65" s="1063">
        <v>22</v>
      </c>
      <c r="BW65" s="1069">
        <f t="shared" si="16"/>
        <v>15</v>
      </c>
      <c r="BX65" s="1060"/>
      <c r="BY65" s="1059"/>
      <c r="BZ65" s="942"/>
      <c r="CA65" s="942"/>
      <c r="CB65" s="942"/>
      <c r="CC65" s="942"/>
      <c r="CD65" s="1067"/>
      <c r="CE65" s="1066"/>
      <c r="CF65" s="942"/>
      <c r="CG65" s="936"/>
      <c r="CH65" s="936"/>
      <c r="CI65" s="936"/>
      <c r="CM65" s="1050" t="s">
        <v>2645</v>
      </c>
      <c r="CO65" s="1050" t="s">
        <v>2644</v>
      </c>
      <c r="CP65" s="1050" t="s">
        <v>2643</v>
      </c>
      <c r="CQ65" s="1051"/>
      <c r="CU65" s="916"/>
      <c r="CV65" s="1051"/>
      <c r="CW65" s="936"/>
      <c r="CX65" s="936"/>
      <c r="CY65" s="936"/>
      <c r="CZ65" s="1051"/>
      <c r="DA65" s="942"/>
      <c r="DB65" s="936"/>
      <c r="DC65" s="936"/>
    </row>
    <row r="66" spans="2:107" ht="10.5" customHeight="1">
      <c r="B66" s="927"/>
      <c r="C66" s="2835" t="str">
        <f t="shared" si="11"/>
        <v/>
      </c>
      <c r="D66" s="2836"/>
      <c r="E66" s="2836"/>
      <c r="F66" s="2836"/>
      <c r="G66" s="2836"/>
      <c r="H66" s="2836"/>
      <c r="I66" s="2836"/>
      <c r="J66" s="2836"/>
      <c r="K66" s="2836"/>
      <c r="L66" s="2836"/>
      <c r="M66" s="2837"/>
      <c r="N66" s="2826" t="str">
        <f t="shared" si="12"/>
        <v/>
      </c>
      <c r="O66" s="2827"/>
      <c r="P66" s="2827"/>
      <c r="Q66" s="2827"/>
      <c r="R66" s="2828"/>
      <c r="S66" s="1065" t="str">
        <f t="shared" si="13"/>
        <v/>
      </c>
      <c r="T66" s="2838"/>
      <c r="U66" s="2839"/>
      <c r="V66" s="2839"/>
      <c r="W66" s="2839"/>
      <c r="X66" s="2840"/>
      <c r="Y66" s="2820" t="str">
        <f>IF(C66="","",VLOOKUP(C66,[5]建物1802!$E$5:$AL$3275,2,FALSE))</f>
        <v/>
      </c>
      <c r="Z66" s="2821"/>
      <c r="AA66" s="2822"/>
      <c r="AB66" s="2841" t="str">
        <f>IF(C66="","",VLOOKUP(C66,[5]建物1802!$E$5:$AL$3275,$AO$43,FALSE))</f>
        <v/>
      </c>
      <c r="AC66" s="2842"/>
      <c r="AD66" s="2842"/>
      <c r="AE66" s="2842"/>
      <c r="AF66" s="2842"/>
      <c r="AG66" s="2843"/>
      <c r="AH66" s="2826" t="str">
        <f t="shared" si="14"/>
        <v/>
      </c>
      <c r="AI66" s="2827"/>
      <c r="AJ66" s="2827"/>
      <c r="AK66" s="2827"/>
      <c r="AL66" s="2827"/>
      <c r="AM66" s="2827"/>
      <c r="AN66" s="2828"/>
      <c r="AO66" s="1064"/>
      <c r="AP66" s="2844" t="str">
        <f>IF(C66="","",VLOOKUP(C66,[5]建物1802!$E$5:$AL$3275,$AO$44,FALSE))</f>
        <v/>
      </c>
      <c r="AQ66" s="2845"/>
      <c r="AR66" s="2845"/>
      <c r="AS66" s="2845"/>
      <c r="AT66" s="2846"/>
      <c r="AU66" s="2808" t="str">
        <f t="shared" si="15"/>
        <v/>
      </c>
      <c r="AV66" s="2809"/>
      <c r="AW66" s="2809"/>
      <c r="AX66" s="2809"/>
      <c r="AY66" s="2809"/>
      <c r="AZ66" s="2810"/>
      <c r="BA66" s="926"/>
      <c r="BB66" s="926"/>
      <c r="BC66" s="926"/>
      <c r="BD66" s="926"/>
      <c r="BE66" s="926"/>
      <c r="BF66" s="926"/>
      <c r="BG66" s="926"/>
      <c r="BH66" s="926"/>
      <c r="BI66" s="926"/>
      <c r="BJ66" s="926"/>
      <c r="BK66" s="926"/>
      <c r="BL66" s="926"/>
      <c r="BM66" s="926"/>
      <c r="BN66" s="926"/>
      <c r="BO66" s="926"/>
      <c r="BP66" s="926"/>
      <c r="BQ66" s="926"/>
      <c r="BR66" s="926"/>
      <c r="BS66" s="926"/>
      <c r="BT66" s="926"/>
      <c r="BU66" s="924"/>
      <c r="BV66" s="1063">
        <v>23</v>
      </c>
      <c r="BW66" s="1069">
        <f t="shared" si="16"/>
        <v>15</v>
      </c>
      <c r="BX66" s="1060"/>
      <c r="BY66" s="1059"/>
      <c r="BZ66" s="942"/>
      <c r="CA66" s="942"/>
      <c r="CB66" s="942"/>
      <c r="CC66" s="942"/>
      <c r="CD66" s="1067"/>
      <c r="CE66" s="1066"/>
      <c r="CF66" s="942"/>
      <c r="CG66" s="936"/>
      <c r="CH66" s="936"/>
      <c r="CI66" s="936"/>
      <c r="CM66" s="1050" t="s">
        <v>2642</v>
      </c>
      <c r="CO66" s="1050" t="s">
        <v>2641</v>
      </c>
      <c r="CP66" s="1050" t="s">
        <v>2640</v>
      </c>
      <c r="CQ66" s="1051"/>
      <c r="CU66" s="916"/>
      <c r="CV66" s="1051"/>
      <c r="CW66" s="936"/>
      <c r="CX66" s="936"/>
      <c r="CY66" s="936"/>
      <c r="CZ66" s="1051"/>
      <c r="DA66" s="942"/>
      <c r="DB66" s="936"/>
      <c r="DC66" s="936"/>
    </row>
    <row r="67" spans="2:107" ht="10.5" customHeight="1">
      <c r="B67" s="927"/>
      <c r="C67" s="2811" t="str">
        <f t="shared" si="11"/>
        <v/>
      </c>
      <c r="D67" s="2812"/>
      <c r="E67" s="2812"/>
      <c r="F67" s="2812"/>
      <c r="G67" s="2812"/>
      <c r="H67" s="2812"/>
      <c r="I67" s="2812"/>
      <c r="J67" s="2812"/>
      <c r="K67" s="2812"/>
      <c r="L67" s="2812"/>
      <c r="M67" s="2813"/>
      <c r="N67" s="2814" t="str">
        <f t="shared" si="12"/>
        <v/>
      </c>
      <c r="O67" s="2815"/>
      <c r="P67" s="2815"/>
      <c r="Q67" s="2815"/>
      <c r="R67" s="2816"/>
      <c r="S67" s="1068" t="str">
        <f t="shared" si="13"/>
        <v/>
      </c>
      <c r="T67" s="2817"/>
      <c r="U67" s="2818"/>
      <c r="V67" s="2818"/>
      <c r="W67" s="2818"/>
      <c r="X67" s="2819"/>
      <c r="Y67" s="2820" t="str">
        <f>IF(C67="","",VLOOKUP(C67,[5]建物1802!$E$5:$AL$3275,2,FALSE))</f>
        <v/>
      </c>
      <c r="Z67" s="2821"/>
      <c r="AA67" s="2822"/>
      <c r="AB67" s="2823" t="str">
        <f>IF(C67="","",VLOOKUP(C67,[5]建物1802!$E$5:$AL$3275,$AO$43,FALSE))</f>
        <v/>
      </c>
      <c r="AC67" s="2824"/>
      <c r="AD67" s="2824"/>
      <c r="AE67" s="2824"/>
      <c r="AF67" s="2824"/>
      <c r="AG67" s="2825"/>
      <c r="AH67" s="2826" t="str">
        <f t="shared" si="14"/>
        <v/>
      </c>
      <c r="AI67" s="2827"/>
      <c r="AJ67" s="2827"/>
      <c r="AK67" s="2827"/>
      <c r="AL67" s="2827"/>
      <c r="AM67" s="2827"/>
      <c r="AN67" s="2828"/>
      <c r="AO67" s="1064"/>
      <c r="AP67" s="2829" t="str">
        <f>IF(C67="","",VLOOKUP(C67,[5]建物1802!$E$5:$AL$3275,$AO$44,FALSE))</f>
        <v/>
      </c>
      <c r="AQ67" s="2830"/>
      <c r="AR67" s="2830"/>
      <c r="AS67" s="2830"/>
      <c r="AT67" s="2831"/>
      <c r="AU67" s="2832" t="str">
        <f t="shared" si="15"/>
        <v/>
      </c>
      <c r="AV67" s="2833"/>
      <c r="AW67" s="2833"/>
      <c r="AX67" s="2833"/>
      <c r="AY67" s="2833"/>
      <c r="AZ67" s="2834"/>
      <c r="BA67" s="926"/>
      <c r="BB67" s="926"/>
      <c r="BC67" s="926"/>
      <c r="BD67" s="926"/>
      <c r="BE67" s="926"/>
      <c r="BF67" s="926"/>
      <c r="BG67" s="926"/>
      <c r="BH67" s="926"/>
      <c r="BI67" s="926"/>
      <c r="BJ67" s="926"/>
      <c r="BK67" s="926"/>
      <c r="BL67" s="926"/>
      <c r="BM67" s="926"/>
      <c r="BN67" s="926"/>
      <c r="BO67" s="926"/>
      <c r="BP67" s="926"/>
      <c r="BQ67" s="926"/>
      <c r="BR67" s="926"/>
      <c r="BS67" s="926"/>
      <c r="BT67" s="926"/>
      <c r="BU67" s="924"/>
      <c r="BV67" s="1063"/>
      <c r="BW67" s="1060"/>
      <c r="BX67" s="1060"/>
      <c r="BY67" s="1059"/>
      <c r="BZ67" s="942"/>
      <c r="CA67" s="942"/>
      <c r="CB67" s="942"/>
      <c r="CC67" s="942"/>
      <c r="CD67" s="1067"/>
      <c r="CE67" s="1066"/>
      <c r="CF67" s="942"/>
      <c r="CG67" s="936"/>
      <c r="CH67" s="936"/>
      <c r="CI67" s="936"/>
      <c r="CM67" s="1050" t="s">
        <v>2639</v>
      </c>
      <c r="CO67" s="1050" t="s">
        <v>2638</v>
      </c>
      <c r="CP67" s="1050" t="s">
        <v>2637</v>
      </c>
      <c r="CQ67" s="1051"/>
      <c r="CU67" s="916"/>
      <c r="CV67" s="1051"/>
      <c r="CW67" s="936"/>
      <c r="CX67" s="936"/>
      <c r="CY67" s="936"/>
      <c r="CZ67" s="1051"/>
      <c r="DA67" s="942"/>
      <c r="DB67" s="936"/>
      <c r="DC67" s="936"/>
    </row>
    <row r="68" spans="2:107" ht="10.5" customHeight="1">
      <c r="B68" s="927"/>
      <c r="C68" s="1062"/>
      <c r="D68" s="1062"/>
      <c r="E68" s="1062"/>
      <c r="F68" s="1062"/>
      <c r="G68" s="1062"/>
      <c r="H68" s="1062"/>
      <c r="I68" s="1062"/>
      <c r="J68" s="1062"/>
      <c r="K68" s="1062"/>
      <c r="L68" s="1062"/>
      <c r="M68" s="1062"/>
      <c r="N68" s="1062"/>
      <c r="O68" s="1062"/>
      <c r="P68" s="1062"/>
      <c r="Q68" s="1062"/>
      <c r="R68" s="1062"/>
      <c r="S68" s="1062"/>
      <c r="T68" s="1062"/>
      <c r="U68" s="1062"/>
      <c r="V68" s="1062"/>
      <c r="W68" s="1062"/>
      <c r="X68" s="1062"/>
      <c r="Y68" s="1062"/>
      <c r="Z68" s="1062"/>
      <c r="AA68" s="1062"/>
      <c r="AB68" s="1062"/>
      <c r="AC68" s="1062"/>
      <c r="AD68" s="1062"/>
      <c r="AE68" s="1062"/>
      <c r="AF68" s="1062"/>
      <c r="AG68" s="1061"/>
      <c r="AH68" s="2853">
        <f>IF(SUM(AH44:AN67)=0,"",SUM(AH44:AN67))</f>
        <v>1014533</v>
      </c>
      <c r="AI68" s="2854"/>
      <c r="AJ68" s="2854"/>
      <c r="AK68" s="2854"/>
      <c r="AL68" s="2854"/>
      <c r="AM68" s="2854"/>
      <c r="AN68" s="2855"/>
      <c r="AO68" s="1064"/>
      <c r="AP68" s="1062"/>
      <c r="AQ68" s="1062"/>
      <c r="AR68" s="1062"/>
      <c r="AS68" s="1062"/>
      <c r="AT68" s="1062"/>
      <c r="AU68" s="1062"/>
      <c r="AV68" s="1062"/>
      <c r="AW68" s="1062"/>
      <c r="AX68" s="1062"/>
      <c r="AY68" s="1062"/>
      <c r="AZ68" s="1062"/>
      <c r="BA68" s="926"/>
      <c r="BB68" s="926"/>
      <c r="BC68" s="926"/>
      <c r="BD68" s="926"/>
      <c r="BE68" s="926"/>
      <c r="BF68" s="926"/>
      <c r="BG68" s="926"/>
      <c r="BH68" s="926"/>
      <c r="BI68" s="926"/>
      <c r="BJ68" s="926"/>
      <c r="BK68" s="926"/>
      <c r="BL68" s="926"/>
      <c r="BM68" s="926"/>
      <c r="BN68" s="926"/>
      <c r="BO68" s="926"/>
      <c r="BP68" s="926"/>
      <c r="BQ68" s="926"/>
      <c r="BR68" s="926"/>
      <c r="BS68" s="926"/>
      <c r="BT68" s="926"/>
      <c r="BU68" s="924"/>
      <c r="BV68" s="1063"/>
      <c r="BW68" s="1060"/>
      <c r="BX68" s="1060"/>
      <c r="BY68" s="1059"/>
      <c r="BZ68" s="942"/>
      <c r="CA68" s="942"/>
      <c r="CB68" s="942"/>
      <c r="CC68" s="942"/>
      <c r="CD68" s="1067"/>
      <c r="CE68" s="1066"/>
      <c r="CF68" s="942"/>
      <c r="CG68" s="936"/>
      <c r="CH68" s="936"/>
      <c r="CI68" s="936"/>
      <c r="CM68" s="1050" t="s">
        <v>2636</v>
      </c>
      <c r="CO68" s="1050" t="s">
        <v>2635</v>
      </c>
      <c r="CQ68" s="1051"/>
      <c r="CU68" s="916"/>
      <c r="CV68" s="1051"/>
      <c r="CW68" s="936"/>
      <c r="CX68" s="936"/>
      <c r="CY68" s="936"/>
      <c r="CZ68" s="1051"/>
      <c r="DA68" s="942"/>
      <c r="DB68" s="936"/>
      <c r="DC68" s="936"/>
    </row>
    <row r="69" spans="2:107" ht="10.5" customHeight="1">
      <c r="B69" s="927"/>
      <c r="C69" s="2835" t="str">
        <f t="shared" ref="C69:C84" si="21">IF(ISNA(VLOOKUP(BV69,引込2,6,FALSE)),"",VLOOKUP(BV69,引込2,6,FALSE))</f>
        <v>PAS 7.2KV200A 重DGR</v>
      </c>
      <c r="D69" s="2836"/>
      <c r="E69" s="2836"/>
      <c r="F69" s="2836"/>
      <c r="G69" s="2836"/>
      <c r="H69" s="2836"/>
      <c r="I69" s="2836"/>
      <c r="J69" s="2836"/>
      <c r="K69" s="2836"/>
      <c r="L69" s="2836"/>
      <c r="M69" s="2837"/>
      <c r="N69" s="2847">
        <f t="shared" ref="N69:N84" si="22">IF(T69&lt;&gt;"",T69,IF(ISNA(VLOOKUP(BV69,引込2,8,FALSE)),"",(VLOOKUP(BV69,引込2,8,FALSE))))</f>
        <v>1</v>
      </c>
      <c r="O69" s="2848"/>
      <c r="P69" s="2848"/>
      <c r="Q69" s="2848"/>
      <c r="R69" s="2849"/>
      <c r="S69" s="1065" t="str">
        <f t="shared" ref="S69:S77" si="23">IF(N69="","","▼")</f>
        <v>▼</v>
      </c>
      <c r="T69" s="2838"/>
      <c r="U69" s="2839"/>
      <c r="V69" s="2839"/>
      <c r="W69" s="2839"/>
      <c r="X69" s="2840"/>
      <c r="Y69" s="2820" t="str">
        <f>IF(C69="","",VLOOKUP(C69,[5]建物1802!$E$5:$AL$3275,2,FALSE))</f>
        <v>台</v>
      </c>
      <c r="Z69" s="2821"/>
      <c r="AA69" s="2822"/>
      <c r="AB69" s="2856">
        <f>IF(C69="","",VLOOKUP(C69,[5]建物1802!$E$5:$AL$3275,$AO$43,FALSE))</f>
        <v>242000</v>
      </c>
      <c r="AC69" s="2857"/>
      <c r="AD69" s="2857"/>
      <c r="AE69" s="2857"/>
      <c r="AF69" s="2857"/>
      <c r="AG69" s="2858"/>
      <c r="AH69" s="2850">
        <f t="shared" ref="AH69:AH84" si="24">IF(N69="","",INT(N69*AB69))</f>
        <v>242000</v>
      </c>
      <c r="AI69" s="2851"/>
      <c r="AJ69" s="2851"/>
      <c r="AK69" s="2851"/>
      <c r="AL69" s="2851"/>
      <c r="AM69" s="2851"/>
      <c r="AN69" s="2852"/>
      <c r="AO69" s="1064"/>
      <c r="AP69" s="2802">
        <f>IF(C69="","",VLOOKUP(C69,[5]建物1802!$E$5:$AL$3275,$AO$44,FALSE))</f>
        <v>1.32</v>
      </c>
      <c r="AQ69" s="2803"/>
      <c r="AR69" s="2803"/>
      <c r="AS69" s="2803"/>
      <c r="AT69" s="2804"/>
      <c r="AU69" s="2805">
        <f t="shared" ref="AU69:AU84" si="25">IF(OR(AP69="",AP69=0),"",N69*AP69)</f>
        <v>1.32</v>
      </c>
      <c r="AV69" s="2806"/>
      <c r="AW69" s="2806"/>
      <c r="AX69" s="2806"/>
      <c r="AY69" s="2806"/>
      <c r="AZ69" s="2807"/>
      <c r="BA69" s="926"/>
      <c r="BB69" s="926"/>
      <c r="BC69" s="926"/>
      <c r="BD69" s="926"/>
      <c r="BE69" s="926"/>
      <c r="BF69" s="926"/>
      <c r="BG69" s="926"/>
      <c r="BH69" s="926"/>
      <c r="BI69" s="926"/>
      <c r="BJ69" s="926"/>
      <c r="BK69" s="926"/>
      <c r="BL69" s="926"/>
      <c r="BM69" s="926"/>
      <c r="BN69" s="926"/>
      <c r="BO69" s="926"/>
      <c r="BP69" s="926"/>
      <c r="BQ69" s="926"/>
      <c r="BR69" s="926"/>
      <c r="BS69" s="926"/>
      <c r="BT69" s="926"/>
      <c r="BU69" s="924"/>
      <c r="BV69" s="1063">
        <v>1</v>
      </c>
      <c r="BW69" s="1060"/>
      <c r="BX69" s="936" t="str">
        <f>Top!$E$24</f>
        <v xml:space="preserve"> B2F</v>
      </c>
      <c r="BY69" s="937" t="str">
        <f t="shared" ref="BY69:BY88" si="26">IF(BX69=0,"",BX69)</f>
        <v xml:space="preserve"> B2F</v>
      </c>
      <c r="BZ69" s="1692">
        <f>IF(BX69="  1F",Top!$O$24+Top!$O$24,Top!$O$24)</f>
        <v>5</v>
      </c>
      <c r="CA69" s="1054">
        <f>IF(BY69="  1F",Top!$P$37+Top!$X$62,Top!$P$37)</f>
        <v>0</v>
      </c>
      <c r="CB69" s="1058">
        <f t="shared" ref="CB69:CB88" si="27">IF(OR(LEFT(BY69,2)=" B",LEFT(BY69,1)="P",BY69="  1F"),0,BZ69)</f>
        <v>0</v>
      </c>
      <c r="CC69" s="1054">
        <f>IF(LEFT(BY69,2)&lt;&gt;" B",0,IF(AND(LEFT(BY69,2)=" B",LEFT(BY70,2)=" B"),BZ70+BZ69,BZ69))</f>
        <v>10</v>
      </c>
      <c r="CD69" s="1057">
        <f ca="1">IF(CC69="",0,SUM(CC69:$CE$89))</f>
        <v>0</v>
      </c>
      <c r="CE69" s="1007">
        <f>IF(OR(BY69="",BY69="  1F"),0,IF(LEFT(BY69,2)=" B",CC69,SUM($CB$69:$CB$69)))</f>
        <v>10</v>
      </c>
      <c r="CF69" s="942"/>
      <c r="CG69" s="936"/>
      <c r="CH69" s="936"/>
      <c r="CI69" s="936"/>
      <c r="CM69" s="1050" t="s">
        <v>2634</v>
      </c>
      <c r="CO69" s="1050" t="s">
        <v>2633</v>
      </c>
      <c r="CQ69" s="1051"/>
      <c r="CU69" s="916"/>
      <c r="CV69" s="1051"/>
      <c r="CW69" s="936"/>
      <c r="CX69" s="936"/>
      <c r="CY69" s="936"/>
      <c r="CZ69" s="1051"/>
      <c r="DA69" s="942"/>
      <c r="DB69" s="936"/>
      <c r="DC69" s="936"/>
    </row>
    <row r="70" spans="2:107" ht="10.5" customHeight="1">
      <c r="B70" s="927"/>
      <c r="C70" s="2835" t="str">
        <f t="shared" si="21"/>
        <v>配電用アレスタ GL-6R-8.4KV</v>
      </c>
      <c r="D70" s="2836"/>
      <c r="E70" s="2836"/>
      <c r="F70" s="2836"/>
      <c r="G70" s="2836"/>
      <c r="H70" s="2836"/>
      <c r="I70" s="2836"/>
      <c r="J70" s="2836"/>
      <c r="K70" s="2836"/>
      <c r="L70" s="2836"/>
      <c r="M70" s="2837"/>
      <c r="N70" s="2847">
        <f t="shared" si="22"/>
        <v>3</v>
      </c>
      <c r="O70" s="2848"/>
      <c r="P70" s="2848"/>
      <c r="Q70" s="2848"/>
      <c r="R70" s="2849"/>
      <c r="S70" s="1065" t="str">
        <f t="shared" si="23"/>
        <v>▼</v>
      </c>
      <c r="T70" s="2838"/>
      <c r="U70" s="2839"/>
      <c r="V70" s="2839"/>
      <c r="W70" s="2839"/>
      <c r="X70" s="2840"/>
      <c r="Y70" s="2820" t="str">
        <f>IF(C70="","",VLOOKUP(C70,[5]建物1802!$E$5:$AL$3275,2,FALSE))</f>
        <v>個</v>
      </c>
      <c r="Z70" s="2821"/>
      <c r="AA70" s="2822"/>
      <c r="AB70" s="2841">
        <f>IF(C70="","",VLOOKUP(C70,[5]建物1802!$E$5:$AL$3275,$AO$43,FALSE))</f>
        <v>12900</v>
      </c>
      <c r="AC70" s="2842"/>
      <c r="AD70" s="2842"/>
      <c r="AE70" s="2842"/>
      <c r="AF70" s="2842"/>
      <c r="AG70" s="2843"/>
      <c r="AH70" s="2850">
        <f t="shared" si="24"/>
        <v>38700</v>
      </c>
      <c r="AI70" s="2851"/>
      <c r="AJ70" s="2851"/>
      <c r="AK70" s="2851"/>
      <c r="AL70" s="2851"/>
      <c r="AM70" s="2851"/>
      <c r="AN70" s="2852"/>
      <c r="AO70" s="1064"/>
      <c r="AP70" s="2844">
        <f>IF(C70="","",VLOOKUP(C70,[5]建物1802!$E$5:$AL$3275,$AO$44,FALSE))</f>
        <v>0.22</v>
      </c>
      <c r="AQ70" s="2845"/>
      <c r="AR70" s="2845"/>
      <c r="AS70" s="2845"/>
      <c r="AT70" s="2846"/>
      <c r="AU70" s="2805">
        <f t="shared" si="25"/>
        <v>0.66</v>
      </c>
      <c r="AV70" s="2806"/>
      <c r="AW70" s="2806"/>
      <c r="AX70" s="2806"/>
      <c r="AY70" s="2806"/>
      <c r="AZ70" s="2807"/>
      <c r="BA70" s="926"/>
      <c r="BB70" s="926"/>
      <c r="BC70" s="926"/>
      <c r="BD70" s="926"/>
      <c r="BE70" s="926"/>
      <c r="BF70" s="926"/>
      <c r="BG70" s="926"/>
      <c r="BH70" s="926"/>
      <c r="BI70" s="926"/>
      <c r="BJ70" s="926"/>
      <c r="BK70" s="926"/>
      <c r="BL70" s="926"/>
      <c r="BM70" s="926"/>
      <c r="BN70" s="926"/>
      <c r="BO70" s="926"/>
      <c r="BP70" s="926"/>
      <c r="BQ70" s="926"/>
      <c r="BR70" s="926"/>
      <c r="BS70" s="926"/>
      <c r="BT70" s="926"/>
      <c r="BU70" s="924"/>
      <c r="BV70" s="1063">
        <v>2</v>
      </c>
      <c r="BW70" s="1060"/>
      <c r="BX70" s="936" t="str">
        <f>Top!$E$26</f>
        <v xml:space="preserve"> B1F</v>
      </c>
      <c r="BY70" s="937" t="str">
        <f t="shared" si="26"/>
        <v xml:space="preserve"> B1F</v>
      </c>
      <c r="BZ70" s="1054">
        <f>IF(CQ235="  1F",Top!$O$26+Top!W63,Top!$O$26)</f>
        <v>5</v>
      </c>
      <c r="CA70" s="1057">
        <f>IF(BZ70="","",SUM(BZ69:BZ70))</f>
        <v>10</v>
      </c>
      <c r="CB70" s="1058">
        <f t="shared" si="27"/>
        <v>0</v>
      </c>
      <c r="CC70" s="1054">
        <f>IF(LEFT(BY70,2)&lt;&gt;" B",0,IF(AND(LEFT(BY70,2)=" B",LEFT(BY71,2)=" B"),BZ71+BZ70,BZ70))</f>
        <v>5</v>
      </c>
      <c r="CD70" s="1057">
        <f ca="1">IF(CC70=0,0,SUM(CC70:CE$89))</f>
        <v>0</v>
      </c>
      <c r="CE70" s="1007">
        <f>IF(OR(BY70="",BY70="  1F"),0,IF(LEFT(BY70,2)=" B",CC70,SUM($CB$69:$CB70)))</f>
        <v>5</v>
      </c>
      <c r="CF70" s="942"/>
      <c r="CG70" s="936"/>
      <c r="CH70" s="936"/>
      <c r="CI70" s="936"/>
      <c r="CM70" s="1050" t="s">
        <v>2632</v>
      </c>
      <c r="CO70" s="1050" t="s">
        <v>2631</v>
      </c>
      <c r="CQ70" s="1051"/>
      <c r="CU70" s="916"/>
      <c r="CV70" s="1051"/>
      <c r="CW70" s="936"/>
      <c r="CX70" s="936"/>
      <c r="CY70" s="936"/>
      <c r="CZ70" s="1051"/>
      <c r="DA70" s="942"/>
      <c r="DB70" s="936"/>
      <c r="DC70" s="936"/>
    </row>
    <row r="71" spans="2:107" ht="10.5" customHeight="1">
      <c r="B71" s="927"/>
      <c r="C71" s="2835" t="str">
        <f t="shared" si="21"/>
        <v>高圧カットアウト PC-6 7.2KV-30A</v>
      </c>
      <c r="D71" s="2836"/>
      <c r="E71" s="2836"/>
      <c r="F71" s="2836"/>
      <c r="G71" s="2836"/>
      <c r="H71" s="2836"/>
      <c r="I71" s="2836"/>
      <c r="J71" s="2836"/>
      <c r="K71" s="2836"/>
      <c r="L71" s="2836"/>
      <c r="M71" s="2837"/>
      <c r="N71" s="2847">
        <f t="shared" si="22"/>
        <v>3</v>
      </c>
      <c r="O71" s="2848"/>
      <c r="P71" s="2848"/>
      <c r="Q71" s="2848"/>
      <c r="R71" s="2849"/>
      <c r="S71" s="1065" t="str">
        <f t="shared" si="23"/>
        <v>▼</v>
      </c>
      <c r="T71" s="2838"/>
      <c r="U71" s="2839"/>
      <c r="V71" s="2839"/>
      <c r="W71" s="2839"/>
      <c r="X71" s="2840"/>
      <c r="Y71" s="2820" t="str">
        <f>IF(C71="","",VLOOKUP(C71,[5]建物1802!$E$5:$AL$3275,2,FALSE))</f>
        <v>個</v>
      </c>
      <c r="Z71" s="2821"/>
      <c r="AA71" s="2822"/>
      <c r="AB71" s="2841">
        <f>IF(C71="","",VLOOKUP(C71,[5]建物1802!$E$5:$AL$3275,$AO$43,FALSE))</f>
        <v>15050</v>
      </c>
      <c r="AC71" s="2842"/>
      <c r="AD71" s="2842"/>
      <c r="AE71" s="2842"/>
      <c r="AF71" s="2842"/>
      <c r="AG71" s="2843"/>
      <c r="AH71" s="2850">
        <f t="shared" si="24"/>
        <v>45150</v>
      </c>
      <c r="AI71" s="2851"/>
      <c r="AJ71" s="2851"/>
      <c r="AK71" s="2851"/>
      <c r="AL71" s="2851"/>
      <c r="AM71" s="2851"/>
      <c r="AN71" s="2852"/>
      <c r="AO71" s="1064"/>
      <c r="AP71" s="2844">
        <f>IF(C71="","",VLOOKUP(C71,[5]建物1802!$E$5:$AL$3275,$AO$44,FALSE))</f>
        <v>0.159</v>
      </c>
      <c r="AQ71" s="2845"/>
      <c r="AR71" s="2845"/>
      <c r="AS71" s="2845"/>
      <c r="AT71" s="2846"/>
      <c r="AU71" s="2805">
        <f t="shared" si="25"/>
        <v>0.47699999999999998</v>
      </c>
      <c r="AV71" s="2806"/>
      <c r="AW71" s="2806"/>
      <c r="AX71" s="2806"/>
      <c r="AY71" s="2806"/>
      <c r="AZ71" s="2807"/>
      <c r="BA71" s="926"/>
      <c r="BB71" s="926"/>
      <c r="BC71" s="926"/>
      <c r="BD71" s="926"/>
      <c r="BE71" s="926"/>
      <c r="BF71" s="926"/>
      <c r="BG71" s="926"/>
      <c r="BH71" s="926"/>
      <c r="BI71" s="926"/>
      <c r="BJ71" s="926"/>
      <c r="BK71" s="926"/>
      <c r="BL71" s="926"/>
      <c r="BM71" s="926"/>
      <c r="BN71" s="926"/>
      <c r="BO71" s="926"/>
      <c r="BP71" s="926"/>
      <c r="BQ71" s="926"/>
      <c r="BR71" s="926"/>
      <c r="BS71" s="926"/>
      <c r="BT71" s="926"/>
      <c r="BU71" s="924"/>
      <c r="BV71" s="1063">
        <v>3</v>
      </c>
      <c r="BW71" s="1060"/>
      <c r="BX71" s="936" t="str">
        <f>Top!$E$28</f>
        <v xml:space="preserve">  1F</v>
      </c>
      <c r="BY71" s="937" t="str">
        <f t="shared" si="26"/>
        <v xml:space="preserve">  1F</v>
      </c>
      <c r="BZ71" s="1054">
        <f>IF(CQ236="  1F",Top!$O$28+Top!W64,Top!$O$28)</f>
        <v>5</v>
      </c>
      <c r="CA71" s="1057">
        <f>IF(BZ71="","",SUM(BZ69:BZ71))</f>
        <v>15</v>
      </c>
      <c r="CB71" s="1058">
        <f>IF(OR(LEFT(BY71,2)=" B",LEFT(BY71,1)="P",BY71="  1F"),0,BZ71)</f>
        <v>0</v>
      </c>
      <c r="CC71" s="1054">
        <f>IF(LEFT(BY71,2)&lt;&gt;" B",0,IF(AND(LEFT(BY71,2)=" B",LEFT(BY72,2)=" B"),BZ72+BZ71,BZ71))</f>
        <v>0</v>
      </c>
      <c r="CD71" s="1057">
        <f>IF(CC71=0,0,SUM(CD69CC71:CE$89))</f>
        <v>0</v>
      </c>
      <c r="CE71" s="1007">
        <f>IF(OR(BY71="",BY71="  1F"),0,IF(LEFT(BY71,2)=" B",CC71,SUM($CB$69:$CB71)))</f>
        <v>0</v>
      </c>
      <c r="CF71" s="942"/>
      <c r="CG71" s="936"/>
      <c r="CH71" s="936"/>
      <c r="CI71" s="936"/>
      <c r="CM71" s="1050" t="s">
        <v>2630</v>
      </c>
      <c r="CO71" s="1050" t="s">
        <v>2629</v>
      </c>
      <c r="CQ71" s="1051"/>
      <c r="CU71" s="916"/>
      <c r="CV71" s="1051"/>
      <c r="CW71" s="936"/>
      <c r="CX71" s="936"/>
      <c r="CY71" s="936"/>
      <c r="CZ71" s="1051"/>
      <c r="DA71" s="942"/>
      <c r="DB71" s="936"/>
      <c r="DC71" s="936"/>
    </row>
    <row r="72" spans="2:107" ht="10.5" customHeight="1">
      <c r="B72" s="927"/>
      <c r="C72" s="2835" t="str">
        <f t="shared" si="21"/>
        <v>支線38sq-7/2.6</v>
      </c>
      <c r="D72" s="2836"/>
      <c r="E72" s="2836"/>
      <c r="F72" s="2836"/>
      <c r="G72" s="2836"/>
      <c r="H72" s="2836"/>
      <c r="I72" s="2836"/>
      <c r="J72" s="2836"/>
      <c r="K72" s="2836"/>
      <c r="L72" s="2836"/>
      <c r="M72" s="2837"/>
      <c r="N72" s="2847">
        <f t="shared" si="22"/>
        <v>75.900000000000006</v>
      </c>
      <c r="O72" s="2848"/>
      <c r="P72" s="2848"/>
      <c r="Q72" s="2848"/>
      <c r="R72" s="2849"/>
      <c r="S72" s="1065" t="str">
        <f t="shared" si="23"/>
        <v>▼</v>
      </c>
      <c r="T72" s="2838"/>
      <c r="U72" s="2839"/>
      <c r="V72" s="2839"/>
      <c r="W72" s="2839"/>
      <c r="X72" s="2840"/>
      <c r="Y72" s="2820" t="str">
        <f>IF(C72="","",VLOOKUP(C72,[5]建物1802!$E$5:$AL$3275,2,FALSE))</f>
        <v>ｍ</v>
      </c>
      <c r="Z72" s="2821"/>
      <c r="AA72" s="2822"/>
      <c r="AB72" s="2841">
        <f>IF(C72="","",VLOOKUP(C72,[5]建物1802!$E$5:$AL$3275,$AO$43,FALSE))</f>
        <v>103</v>
      </c>
      <c r="AC72" s="2842"/>
      <c r="AD72" s="2842"/>
      <c r="AE72" s="2842"/>
      <c r="AF72" s="2842"/>
      <c r="AG72" s="2843"/>
      <c r="AH72" s="2850">
        <f t="shared" si="24"/>
        <v>7817</v>
      </c>
      <c r="AI72" s="2851"/>
      <c r="AJ72" s="2851"/>
      <c r="AK72" s="2851"/>
      <c r="AL72" s="2851"/>
      <c r="AM72" s="2851"/>
      <c r="AN72" s="2852"/>
      <c r="AO72" s="1064"/>
      <c r="AP72" s="2844">
        <f>IF(C72="","",VLOOKUP(C72,[5]建物1802!$E$5:$AL$3275,$AO$44,FALSE))</f>
        <v>5.5E-2</v>
      </c>
      <c r="AQ72" s="2845"/>
      <c r="AR72" s="2845"/>
      <c r="AS72" s="2845"/>
      <c r="AT72" s="2846"/>
      <c r="AU72" s="2805">
        <f t="shared" si="25"/>
        <v>4.1745000000000001</v>
      </c>
      <c r="AV72" s="2806"/>
      <c r="AW72" s="2806"/>
      <c r="AX72" s="2806"/>
      <c r="AY72" s="2806"/>
      <c r="AZ72" s="2807"/>
      <c r="BA72" s="926"/>
      <c r="BB72" s="926"/>
      <c r="BC72" s="926"/>
      <c r="BD72" s="926"/>
      <c r="BE72" s="926"/>
      <c r="BF72" s="926"/>
      <c r="BG72" s="926"/>
      <c r="BH72" s="926"/>
      <c r="BI72" s="926"/>
      <c r="BJ72" s="926"/>
      <c r="BK72" s="926"/>
      <c r="BL72" s="926"/>
      <c r="BM72" s="926"/>
      <c r="BN72" s="926"/>
      <c r="BO72" s="926"/>
      <c r="BP72" s="926"/>
      <c r="BQ72" s="926"/>
      <c r="BR72" s="926"/>
      <c r="BS72" s="926"/>
      <c r="BT72" s="926"/>
      <c r="BU72" s="924"/>
      <c r="BV72" s="1063">
        <v>4</v>
      </c>
      <c r="BW72" s="1060"/>
      <c r="BX72" s="936" t="str">
        <f>Top!$E$30</f>
        <v xml:space="preserve">  2F</v>
      </c>
      <c r="BY72" s="937" t="str">
        <f t="shared" si="26"/>
        <v xml:space="preserve">  2F</v>
      </c>
      <c r="BZ72" s="1054">
        <f>IF(CQ237="  1F",Top!$O$30+Top!W65,Top!$O$30)</f>
        <v>4</v>
      </c>
      <c r="CA72" s="1057">
        <f>IF(BZ72="","",SUM($BZ$69:BZ72))</f>
        <v>19</v>
      </c>
      <c r="CB72" s="1058">
        <f>IF(OR(LEFT(BY72,2)=" B",LEFT(BY72,1)="P",BY72="  1F"),0,BZ72)</f>
        <v>4</v>
      </c>
      <c r="CC72" s="1054">
        <f t="shared" ref="CC72:CC88" si="28">IF(LEFT(BY72,2)&lt;&gt;" B",0,IF(AND(LEFT(BY72,2)=" B",LEFT(BY73,2)=" B"),BZ73+BZ72,BZ72))</f>
        <v>0</v>
      </c>
      <c r="CD72" s="1057">
        <f>IF(CC72=0,0,SUM(CC72:CE$89))</f>
        <v>0</v>
      </c>
      <c r="CE72" s="1007">
        <f>IF(OR(BY72="",BY72="  1F"),0,IF(LEFT(BY72,2)=" B",CC72,SUM($CB$69:$CB72)))</f>
        <v>4</v>
      </c>
      <c r="CF72" s="942"/>
      <c r="CG72" s="936"/>
      <c r="CH72" s="936"/>
      <c r="CI72" s="936"/>
      <c r="CM72" s="1050" t="s">
        <v>2628</v>
      </c>
      <c r="CO72" s="1050" t="s">
        <v>2627</v>
      </c>
      <c r="CQ72" s="1051"/>
      <c r="CU72" s="916"/>
      <c r="CV72" s="1051"/>
      <c r="CW72" s="936"/>
      <c r="CX72" s="936"/>
      <c r="CY72" s="936"/>
      <c r="CZ72" s="1051"/>
      <c r="DA72" s="942"/>
      <c r="DB72" s="936"/>
      <c r="DC72" s="936"/>
    </row>
    <row r="73" spans="2:107" ht="10.5" customHeight="1">
      <c r="B73" s="927"/>
      <c r="C73" s="2835" t="str">
        <f t="shared" si="21"/>
        <v>CP 10-19-350Kg</v>
      </c>
      <c r="D73" s="2836"/>
      <c r="E73" s="2836"/>
      <c r="F73" s="2836"/>
      <c r="G73" s="2836"/>
      <c r="H73" s="2836"/>
      <c r="I73" s="2836"/>
      <c r="J73" s="2836"/>
      <c r="K73" s="2836"/>
      <c r="L73" s="2836"/>
      <c r="M73" s="2837"/>
      <c r="N73" s="2847">
        <f t="shared" si="22"/>
        <v>1</v>
      </c>
      <c r="O73" s="2848"/>
      <c r="P73" s="2848"/>
      <c r="Q73" s="2848"/>
      <c r="R73" s="2849"/>
      <c r="S73" s="1065" t="str">
        <f t="shared" si="23"/>
        <v>▼</v>
      </c>
      <c r="T73" s="2838"/>
      <c r="U73" s="2839"/>
      <c r="V73" s="2839"/>
      <c r="W73" s="2839"/>
      <c r="X73" s="2840"/>
      <c r="Y73" s="2820" t="str">
        <f>IF(C73="","",VLOOKUP(C73,[5]建物1802!$E$5:$AL$3275,2,FALSE))</f>
        <v>本</v>
      </c>
      <c r="Z73" s="2821"/>
      <c r="AA73" s="2822"/>
      <c r="AB73" s="2841">
        <f>IF(C73="","",VLOOKUP(C73,[5]建物1802!$E$5:$AL$3275,$AO$43,FALSE))</f>
        <v>36200</v>
      </c>
      <c r="AC73" s="2842"/>
      <c r="AD73" s="2842"/>
      <c r="AE73" s="2842"/>
      <c r="AF73" s="2842"/>
      <c r="AG73" s="2843"/>
      <c r="AH73" s="2850">
        <f t="shared" si="24"/>
        <v>36200</v>
      </c>
      <c r="AI73" s="2851"/>
      <c r="AJ73" s="2851"/>
      <c r="AK73" s="2851"/>
      <c r="AL73" s="2851"/>
      <c r="AM73" s="2851"/>
      <c r="AN73" s="2852"/>
      <c r="AO73" s="1064"/>
      <c r="AP73" s="2844">
        <f>IF(C73="","",VLOOKUP(C73,[5]建物1802!$E$5:$AL$3275,$AO$44,FALSE))</f>
        <v>2.61</v>
      </c>
      <c r="AQ73" s="2845"/>
      <c r="AR73" s="2845"/>
      <c r="AS73" s="2845"/>
      <c r="AT73" s="2846"/>
      <c r="AU73" s="2805">
        <f t="shared" si="25"/>
        <v>2.61</v>
      </c>
      <c r="AV73" s="2806"/>
      <c r="AW73" s="2806"/>
      <c r="AX73" s="2806"/>
      <c r="AY73" s="2806"/>
      <c r="AZ73" s="2807"/>
      <c r="BA73" s="926"/>
      <c r="BB73" s="926"/>
      <c r="BC73" s="926"/>
      <c r="BD73" s="926"/>
      <c r="BE73" s="926"/>
      <c r="BF73" s="926"/>
      <c r="BG73" s="926"/>
      <c r="BH73" s="926"/>
      <c r="BI73" s="926"/>
      <c r="BJ73" s="926"/>
      <c r="BK73" s="926"/>
      <c r="BL73" s="926"/>
      <c r="BM73" s="926"/>
      <c r="BN73" s="926"/>
      <c r="BO73" s="926"/>
      <c r="BP73" s="926"/>
      <c r="BQ73" s="926"/>
      <c r="BR73" s="926"/>
      <c r="BS73" s="926"/>
      <c r="BT73" s="926"/>
      <c r="BU73" s="924"/>
      <c r="BV73" s="1063">
        <v>5</v>
      </c>
      <c r="BW73" s="1060"/>
      <c r="BX73" s="936" t="str">
        <f>Top!$E$32</f>
        <v xml:space="preserve">  3F</v>
      </c>
      <c r="BY73" s="937" t="str">
        <f t="shared" si="26"/>
        <v xml:space="preserve">  3F</v>
      </c>
      <c r="BZ73" s="1054">
        <f>IF(CQ238="  1F",Top!$O$32+Top!W66,Top!$O$32)</f>
        <v>4</v>
      </c>
      <c r="CA73" s="1057">
        <f>IF(BZ73="","",SUM($BZ$69:BZ73))</f>
        <v>23</v>
      </c>
      <c r="CB73" s="1058">
        <f>IF(OR(LEFT(BY73,2)=" B",LEFT(BY73,1)="P",BY73="  1F"),0,BZ73)</f>
        <v>4</v>
      </c>
      <c r="CC73" s="1054">
        <f t="shared" si="28"/>
        <v>0</v>
      </c>
      <c r="CD73" s="1057">
        <f>IF(CC73=0,0,SUM(CC73:CE$89))</f>
        <v>0</v>
      </c>
      <c r="CE73" s="1007">
        <f>IF(OR(BY73="",BY73="  1F"),0,IF(LEFT(BY73,2)=" B",CC73,SUM($CB$69:$CB73)))</f>
        <v>8</v>
      </c>
      <c r="CF73" s="942"/>
      <c r="CG73" s="936"/>
      <c r="CH73" s="936"/>
      <c r="CI73" s="936"/>
      <c r="CM73" s="1050" t="s">
        <v>2626</v>
      </c>
      <c r="CO73" s="1050" t="s">
        <v>2625</v>
      </c>
      <c r="CQ73" s="1051"/>
      <c r="CU73" s="916"/>
      <c r="CV73" s="1051"/>
      <c r="CW73" s="936"/>
      <c r="CX73" s="936"/>
      <c r="CY73" s="936"/>
      <c r="CZ73" s="1051"/>
      <c r="DA73" s="942"/>
      <c r="DB73" s="936"/>
      <c r="DC73" s="936"/>
    </row>
    <row r="74" spans="2:107" ht="10.5" customHeight="1">
      <c r="B74" s="927"/>
      <c r="C74" s="2835" t="str">
        <f t="shared" si="21"/>
        <v>支線工事</v>
      </c>
      <c r="D74" s="2836"/>
      <c r="E74" s="2836"/>
      <c r="F74" s="2836"/>
      <c r="G74" s="2836"/>
      <c r="H74" s="2836"/>
      <c r="I74" s="2836"/>
      <c r="J74" s="2836"/>
      <c r="K74" s="2836"/>
      <c r="L74" s="2836"/>
      <c r="M74" s="2837"/>
      <c r="N74" s="2847">
        <f t="shared" si="22"/>
        <v>1</v>
      </c>
      <c r="O74" s="2848"/>
      <c r="P74" s="2848"/>
      <c r="Q74" s="2848"/>
      <c r="R74" s="2849"/>
      <c r="S74" s="1065" t="str">
        <f t="shared" si="23"/>
        <v>▼</v>
      </c>
      <c r="T74" s="2838"/>
      <c r="U74" s="2839"/>
      <c r="V74" s="2839"/>
      <c r="W74" s="2839"/>
      <c r="X74" s="2840"/>
      <c r="Y74" s="2820" t="str">
        <f>IF(C74="","",VLOOKUP(C74,[5]建物1802!$E$5:$AL$3275,2,FALSE))</f>
        <v>箇所</v>
      </c>
      <c r="Z74" s="2821"/>
      <c r="AA74" s="2822"/>
      <c r="AB74" s="2841">
        <f>IF(C74="","",VLOOKUP(C74,[5]建物1802!$E$5:$AL$3275,$AO$43,FALSE))</f>
        <v>25000</v>
      </c>
      <c r="AC74" s="2842"/>
      <c r="AD74" s="2842"/>
      <c r="AE74" s="2842"/>
      <c r="AF74" s="2842"/>
      <c r="AG74" s="2843"/>
      <c r="AH74" s="2850">
        <f t="shared" si="24"/>
        <v>25000</v>
      </c>
      <c r="AI74" s="2851"/>
      <c r="AJ74" s="2851"/>
      <c r="AK74" s="2851"/>
      <c r="AL74" s="2851"/>
      <c r="AM74" s="2851"/>
      <c r="AN74" s="2852"/>
      <c r="AO74" s="1064"/>
      <c r="AP74" s="2844">
        <f>IF(C74="","",VLOOKUP(C74,[5]建物1802!$E$5:$AL$3275,$AO$44,FALSE))</f>
        <v>0</v>
      </c>
      <c r="AQ74" s="2845"/>
      <c r="AR74" s="2845"/>
      <c r="AS74" s="2845"/>
      <c r="AT74" s="2846"/>
      <c r="AU74" s="2805" t="str">
        <f t="shared" si="25"/>
        <v/>
      </c>
      <c r="AV74" s="2806"/>
      <c r="AW74" s="2806"/>
      <c r="AX74" s="2806"/>
      <c r="AY74" s="2806"/>
      <c r="AZ74" s="2807"/>
      <c r="BA74" s="926"/>
      <c r="BB74" s="926"/>
      <c r="BC74" s="926"/>
      <c r="BD74" s="926"/>
      <c r="BE74" s="926"/>
      <c r="BF74" s="926"/>
      <c r="BG74" s="926"/>
      <c r="BH74" s="926"/>
      <c r="BI74" s="926"/>
      <c r="BJ74" s="926"/>
      <c r="BK74" s="926"/>
      <c r="BL74" s="926"/>
      <c r="BM74" s="926"/>
      <c r="BN74" s="926"/>
      <c r="BO74" s="926"/>
      <c r="BP74" s="926"/>
      <c r="BQ74" s="926"/>
      <c r="BR74" s="926"/>
      <c r="BS74" s="926"/>
      <c r="BT74" s="926"/>
      <c r="BU74" s="924"/>
      <c r="BV74" s="1063">
        <v>6</v>
      </c>
      <c r="BW74" s="1060"/>
      <c r="BX74" s="936" t="str">
        <f>Top!$E$34</f>
        <v xml:space="preserve">  4F</v>
      </c>
      <c r="BY74" s="937" t="str">
        <f t="shared" si="26"/>
        <v xml:space="preserve">  4F</v>
      </c>
      <c r="BZ74" s="1054">
        <f>IF(CQ239="  1F",Top!$O$34+Top!W67,Top!$O$34)</f>
        <v>4</v>
      </c>
      <c r="CA74" s="1057">
        <f>IF(BZ74="","",SUM($BZ$69:BZ74))</f>
        <v>27</v>
      </c>
      <c r="CB74" s="1058">
        <f t="shared" si="27"/>
        <v>4</v>
      </c>
      <c r="CC74" s="1054">
        <f t="shared" si="28"/>
        <v>0</v>
      </c>
      <c r="CD74" s="1057">
        <f>IF(CC74=0,0,SUM(CC74:CE$89))</f>
        <v>0</v>
      </c>
      <c r="CE74" s="1007">
        <f>IF(OR(BY74="",BY74="  1F"),0,IF(LEFT(BY74,2)=" B",CC74,SUM($CB$69:$CB74)))</f>
        <v>12</v>
      </c>
      <c r="CF74" s="942"/>
      <c r="CG74" s="936"/>
      <c r="CH74" s="936"/>
      <c r="CI74" s="936"/>
      <c r="CM74" s="1050" t="s">
        <v>2624</v>
      </c>
      <c r="CO74" s="1050" t="s">
        <v>2623</v>
      </c>
      <c r="CQ74" s="1051"/>
      <c r="CU74" s="916"/>
      <c r="CV74" s="1051"/>
      <c r="CW74" s="936"/>
      <c r="CX74" s="936"/>
      <c r="CY74" s="936"/>
      <c r="CZ74" s="1051"/>
      <c r="DA74" s="942"/>
      <c r="DB74" s="936"/>
      <c r="DC74" s="936"/>
    </row>
    <row r="75" spans="2:107" ht="10.5" customHeight="1">
      <c r="B75" s="927"/>
      <c r="C75" s="2835" t="str">
        <f t="shared" si="21"/>
        <v>KK 900×900×1200</v>
      </c>
      <c r="D75" s="2836"/>
      <c r="E75" s="2836"/>
      <c r="F75" s="2836"/>
      <c r="G75" s="2836"/>
      <c r="H75" s="2836"/>
      <c r="I75" s="2836"/>
      <c r="J75" s="2836"/>
      <c r="K75" s="2836"/>
      <c r="L75" s="2836"/>
      <c r="M75" s="2837"/>
      <c r="N75" s="2847">
        <f t="shared" si="22"/>
        <v>3</v>
      </c>
      <c r="O75" s="2848"/>
      <c r="P75" s="2848"/>
      <c r="Q75" s="2848"/>
      <c r="R75" s="2849"/>
      <c r="S75" s="1065" t="str">
        <f t="shared" si="23"/>
        <v>▼</v>
      </c>
      <c r="T75" s="2838"/>
      <c r="U75" s="2839"/>
      <c r="V75" s="2839"/>
      <c r="W75" s="2839"/>
      <c r="X75" s="2840"/>
      <c r="Y75" s="2820" t="str">
        <f>IF(C75="","",VLOOKUP(C75,[5]建物1802!$E$5:$AL$3275,2,FALSE))</f>
        <v>基</v>
      </c>
      <c r="Z75" s="2821"/>
      <c r="AA75" s="2822"/>
      <c r="AB75" s="2841">
        <f>IF(C75="","",VLOOKUP(C75,[5]建物1802!$E$5:$AL$3275,$AO$43,FALSE))</f>
        <v>106000</v>
      </c>
      <c r="AC75" s="2842"/>
      <c r="AD75" s="2842"/>
      <c r="AE75" s="2842"/>
      <c r="AF75" s="2842"/>
      <c r="AG75" s="2843"/>
      <c r="AH75" s="2850">
        <f t="shared" si="24"/>
        <v>318000</v>
      </c>
      <c r="AI75" s="2851"/>
      <c r="AJ75" s="2851"/>
      <c r="AK75" s="2851"/>
      <c r="AL75" s="2851"/>
      <c r="AM75" s="2851"/>
      <c r="AN75" s="2852"/>
      <c r="AO75" s="1064"/>
      <c r="AP75" s="2844">
        <f>IF(C75="","",VLOOKUP(C75,[5]建物1802!$E$5:$AL$3275,$AO$44,FALSE))</f>
        <v>2.6399999999999997</v>
      </c>
      <c r="AQ75" s="2845"/>
      <c r="AR75" s="2845"/>
      <c r="AS75" s="2845"/>
      <c r="AT75" s="2846"/>
      <c r="AU75" s="2902">
        <f t="shared" si="25"/>
        <v>7.919999999999999</v>
      </c>
      <c r="AV75" s="2903"/>
      <c r="AW75" s="2903"/>
      <c r="AX75" s="2903"/>
      <c r="AY75" s="2903"/>
      <c r="AZ75" s="2904"/>
      <c r="BA75" s="926"/>
      <c r="BB75" s="926"/>
      <c r="BC75" s="926"/>
      <c r="BD75" s="926"/>
      <c r="BE75" s="926"/>
      <c r="BF75" s="926"/>
      <c r="BG75" s="926"/>
      <c r="BH75" s="926"/>
      <c r="BI75" s="926"/>
      <c r="BJ75" s="926"/>
      <c r="BK75" s="926"/>
      <c r="BL75" s="926"/>
      <c r="BM75" s="926"/>
      <c r="BN75" s="926"/>
      <c r="BO75" s="926"/>
      <c r="BP75" s="926"/>
      <c r="BQ75" s="926"/>
      <c r="BR75" s="926"/>
      <c r="BS75" s="926"/>
      <c r="BT75" s="926"/>
      <c r="BU75" s="924"/>
      <c r="BV75" s="1063">
        <v>7</v>
      </c>
      <c r="BW75" s="1060"/>
      <c r="BX75" s="936" t="str">
        <f>Top!$E$36</f>
        <v xml:space="preserve">  5F</v>
      </c>
      <c r="BY75" s="937" t="str">
        <f t="shared" si="26"/>
        <v xml:space="preserve">  5F</v>
      </c>
      <c r="BZ75" s="1054">
        <f>IF(CQ240="  1F",Top!$O$36+Top!W68,Top!$O$36)</f>
        <v>4</v>
      </c>
      <c r="CA75" s="1057">
        <f>IF(BZ75="","",SUM($BZ$69:BZ75))</f>
        <v>31</v>
      </c>
      <c r="CB75" s="1058">
        <f t="shared" si="27"/>
        <v>4</v>
      </c>
      <c r="CC75" s="1054">
        <f t="shared" si="28"/>
        <v>0</v>
      </c>
      <c r="CD75" s="1057">
        <f>IF(CC75=0,0,SUM(CC75:CE$89))</f>
        <v>0</v>
      </c>
      <c r="CE75" s="1007">
        <f>IF(OR(BY75="",BY75="  1F"),0,IF(LEFT(BY75,2)=" B",CC75,SUM($CB$69:$CB75)))</f>
        <v>16</v>
      </c>
      <c r="CF75" s="942"/>
      <c r="CG75" s="936"/>
      <c r="CH75" s="936"/>
      <c r="CI75" s="936"/>
      <c r="CM75" s="1050" t="s">
        <v>2622</v>
      </c>
      <c r="CO75" s="1050" t="s">
        <v>2621</v>
      </c>
      <c r="CQ75" s="1051"/>
      <c r="CU75" s="916"/>
      <c r="CV75" s="1051"/>
      <c r="CW75" s="936"/>
      <c r="CX75" s="936"/>
      <c r="CY75" s="936"/>
      <c r="CZ75" s="1051"/>
      <c r="DA75" s="942"/>
      <c r="DB75" s="936"/>
      <c r="DC75" s="936"/>
    </row>
    <row r="76" spans="2:107" ht="10.5" customHeight="1">
      <c r="B76" s="927"/>
      <c r="C76" s="2835" t="str">
        <f t="shared" si="21"/>
        <v>AHB-1  650×250</v>
      </c>
      <c r="D76" s="2836"/>
      <c r="E76" s="2836"/>
      <c r="F76" s="2836"/>
      <c r="G76" s="2836"/>
      <c r="H76" s="2836"/>
      <c r="I76" s="2836"/>
      <c r="J76" s="2836"/>
      <c r="K76" s="2836"/>
      <c r="L76" s="2836"/>
      <c r="M76" s="2837"/>
      <c r="N76" s="2847">
        <f t="shared" si="22"/>
        <v>3</v>
      </c>
      <c r="O76" s="2848"/>
      <c r="P76" s="2848"/>
      <c r="Q76" s="2848"/>
      <c r="R76" s="2849"/>
      <c r="S76" s="1065" t="str">
        <f t="shared" si="23"/>
        <v>▼</v>
      </c>
      <c r="T76" s="2838"/>
      <c r="U76" s="2839"/>
      <c r="V76" s="2839"/>
      <c r="W76" s="2839"/>
      <c r="X76" s="2840"/>
      <c r="Y76" s="2820" t="str">
        <f>IF(C76="","",VLOOKUP(C76,[5]建物1802!$E$5:$AL$3275,2,FALSE))</f>
        <v>個</v>
      </c>
      <c r="Z76" s="2821"/>
      <c r="AA76" s="2822"/>
      <c r="AB76" s="2841">
        <f>IF(C76="","",VLOOKUP(C76,[5]建物1802!$E$5:$AL$3275,$AO$43,FALSE))</f>
        <v>21600</v>
      </c>
      <c r="AC76" s="2842"/>
      <c r="AD76" s="2842"/>
      <c r="AE76" s="2842"/>
      <c r="AF76" s="2842"/>
      <c r="AG76" s="2843"/>
      <c r="AH76" s="2850">
        <f t="shared" si="24"/>
        <v>64800</v>
      </c>
      <c r="AI76" s="2851"/>
      <c r="AJ76" s="2851"/>
      <c r="AK76" s="2851"/>
      <c r="AL76" s="2851"/>
      <c r="AM76" s="2851"/>
      <c r="AN76" s="2852"/>
      <c r="AO76" s="1064"/>
      <c r="AP76" s="2844">
        <f>IF(C76="","",VLOOKUP(C76,[5]建物1802!$E$5:$AL$3275,$AO$44,FALSE))</f>
        <v>0.8</v>
      </c>
      <c r="AQ76" s="2845"/>
      <c r="AR76" s="2845"/>
      <c r="AS76" s="2845"/>
      <c r="AT76" s="2846"/>
      <c r="AU76" s="2902">
        <f t="shared" si="25"/>
        <v>2.4000000000000004</v>
      </c>
      <c r="AV76" s="2903"/>
      <c r="AW76" s="2903"/>
      <c r="AX76" s="2903"/>
      <c r="AY76" s="2903"/>
      <c r="AZ76" s="2904"/>
      <c r="BA76" s="926"/>
      <c r="BB76" s="926"/>
      <c r="BC76" s="926"/>
      <c r="BD76" s="926"/>
      <c r="BE76" s="926"/>
      <c r="BF76" s="926"/>
      <c r="BG76" s="926"/>
      <c r="BH76" s="926"/>
      <c r="BI76" s="926"/>
      <c r="BJ76" s="926"/>
      <c r="BK76" s="926"/>
      <c r="BL76" s="926"/>
      <c r="BM76" s="926"/>
      <c r="BN76" s="926"/>
      <c r="BO76" s="926"/>
      <c r="BP76" s="926"/>
      <c r="BQ76" s="926"/>
      <c r="BR76" s="926"/>
      <c r="BS76" s="926"/>
      <c r="BT76" s="926"/>
      <c r="BU76" s="924"/>
      <c r="BV76" s="1063">
        <v>8</v>
      </c>
      <c r="BW76" s="1060"/>
      <c r="BX76" s="936" t="str">
        <f>Top!$E$38</f>
        <v xml:space="preserve">  6F</v>
      </c>
      <c r="BY76" s="937" t="str">
        <f t="shared" si="26"/>
        <v xml:space="preserve">  6F</v>
      </c>
      <c r="BZ76" s="1054">
        <f>IF(CQ241="  1F",Top!$O$38+Top!W69,Top!$O$38)</f>
        <v>4</v>
      </c>
      <c r="CA76" s="1057">
        <f>IF(BZ76="","",SUM($BZ$69:BZ76))</f>
        <v>35</v>
      </c>
      <c r="CB76" s="1058">
        <f t="shared" si="27"/>
        <v>4</v>
      </c>
      <c r="CC76" s="1054">
        <f t="shared" si="28"/>
        <v>0</v>
      </c>
      <c r="CD76" s="1057">
        <f>IF(CC76=0,0,SUM(CC76:CE$89))</f>
        <v>0</v>
      </c>
      <c r="CE76" s="1007">
        <f>IF(OR(BY76="",BY76="  1F"),0,IF(LEFT(BY76,2)=" B",CC76,SUM($CB$69:$CB76)))</f>
        <v>20</v>
      </c>
      <c r="CF76" s="942"/>
      <c r="CG76" s="936"/>
      <c r="CH76" s="936"/>
      <c r="CI76" s="936"/>
      <c r="CM76" s="1050" t="s">
        <v>2620</v>
      </c>
      <c r="CQ76" s="1051"/>
      <c r="CU76" s="916"/>
      <c r="CV76" s="1051"/>
      <c r="CW76" s="936"/>
      <c r="CX76" s="936"/>
      <c r="CY76" s="936"/>
      <c r="CZ76" s="1051"/>
      <c r="DA76" s="942"/>
      <c r="DB76" s="936"/>
      <c r="DC76" s="936"/>
    </row>
    <row r="77" spans="2:107" ht="10.5" customHeight="1">
      <c r="B77" s="927"/>
      <c r="C77" s="2835" t="str">
        <f t="shared" si="21"/>
        <v>土工費(掘削)</v>
      </c>
      <c r="D77" s="2836"/>
      <c r="E77" s="2836"/>
      <c r="F77" s="2836"/>
      <c r="G77" s="2836"/>
      <c r="H77" s="2836"/>
      <c r="I77" s="2836"/>
      <c r="J77" s="2836"/>
      <c r="K77" s="2836"/>
      <c r="L77" s="2836"/>
      <c r="M77" s="2837"/>
      <c r="N77" s="2847">
        <f t="shared" si="22"/>
        <v>69</v>
      </c>
      <c r="O77" s="2848"/>
      <c r="P77" s="2848"/>
      <c r="Q77" s="2848"/>
      <c r="R77" s="2849"/>
      <c r="S77" s="1065" t="str">
        <f t="shared" si="23"/>
        <v>▼</v>
      </c>
      <c r="T77" s="2838"/>
      <c r="U77" s="2839"/>
      <c r="V77" s="2839"/>
      <c r="W77" s="2839"/>
      <c r="X77" s="2840"/>
      <c r="Y77" s="2820" t="str">
        <f>IF(C77="","",VLOOKUP(C77,[5]建物1802!$E$5:$AL$3275,2,FALSE))</f>
        <v>ｍ</v>
      </c>
      <c r="Z77" s="2821"/>
      <c r="AA77" s="2822"/>
      <c r="AB77" s="2841">
        <f>IF(C77="","",VLOOKUP(C77,[5]建物1802!$E$5:$AL$3275,$AO$43,FALSE))</f>
        <v>2500</v>
      </c>
      <c r="AC77" s="2842"/>
      <c r="AD77" s="2842"/>
      <c r="AE77" s="2842"/>
      <c r="AF77" s="2842"/>
      <c r="AG77" s="2843"/>
      <c r="AH77" s="2850">
        <f t="shared" si="24"/>
        <v>172500</v>
      </c>
      <c r="AI77" s="2851"/>
      <c r="AJ77" s="2851"/>
      <c r="AK77" s="2851"/>
      <c r="AL77" s="2851"/>
      <c r="AM77" s="2851"/>
      <c r="AN77" s="2852"/>
      <c r="AO77" s="1064"/>
      <c r="AP77" s="2844">
        <f>IF(C77="","",VLOOKUP(C77,[5]建物1802!$E$5:$AL$3275,$AO$44,FALSE))</f>
        <v>0</v>
      </c>
      <c r="AQ77" s="2845"/>
      <c r="AR77" s="2845"/>
      <c r="AS77" s="2845"/>
      <c r="AT77" s="2846"/>
      <c r="AU77" s="2902" t="str">
        <f t="shared" si="25"/>
        <v/>
      </c>
      <c r="AV77" s="2903"/>
      <c r="AW77" s="2903"/>
      <c r="AX77" s="2903"/>
      <c r="AY77" s="2903"/>
      <c r="AZ77" s="2904"/>
      <c r="BA77" s="926"/>
      <c r="BB77" s="926"/>
      <c r="BC77" s="926"/>
      <c r="BD77" s="926"/>
      <c r="BE77" s="926"/>
      <c r="BF77" s="926"/>
      <c r="BG77" s="926"/>
      <c r="BH77" s="926"/>
      <c r="BI77" s="926"/>
      <c r="BJ77" s="926"/>
      <c r="BK77" s="926"/>
      <c r="BL77" s="926"/>
      <c r="BM77" s="926"/>
      <c r="BN77" s="926"/>
      <c r="BO77" s="926"/>
      <c r="BP77" s="926"/>
      <c r="BQ77" s="926"/>
      <c r="BR77" s="926"/>
      <c r="BS77" s="926"/>
      <c r="BT77" s="926"/>
      <c r="BU77" s="924"/>
      <c r="BV77" s="1063">
        <v>9</v>
      </c>
      <c r="BW77" s="1060"/>
      <c r="BX77" s="936" t="str">
        <f>Top!$E$40</f>
        <v xml:space="preserve">  7F</v>
      </c>
      <c r="BY77" s="937" t="str">
        <f t="shared" si="26"/>
        <v xml:space="preserve">  7F</v>
      </c>
      <c r="BZ77" s="1054">
        <f>IF(CQ242="  1F",Top!$O$40+Top!W70,Top!$O$40)</f>
        <v>4</v>
      </c>
      <c r="CA77" s="1057">
        <f>IF(BZ77="","",SUM($BZ$69:BZ77))</f>
        <v>39</v>
      </c>
      <c r="CB77" s="1058">
        <f t="shared" si="27"/>
        <v>4</v>
      </c>
      <c r="CC77" s="1054">
        <f t="shared" si="28"/>
        <v>0</v>
      </c>
      <c r="CD77" s="1057">
        <f>IF(CC77=0,0,SUM(CC77:CE$89))</f>
        <v>0</v>
      </c>
      <c r="CE77" s="1007">
        <f>IF(OR(BY77="",BY77="  1F"),0,IF(LEFT(BY77,2)=" B",CC77,SUM($CB$69:$CB77)))</f>
        <v>24</v>
      </c>
      <c r="CF77" s="942"/>
      <c r="CG77" s="936"/>
      <c r="CH77" s="936"/>
      <c r="CI77" s="936"/>
      <c r="CM77" s="1050" t="s">
        <v>2619</v>
      </c>
      <c r="CQ77" s="1051"/>
      <c r="CU77" s="916"/>
      <c r="CV77" s="936"/>
      <c r="CW77" s="936"/>
      <c r="CX77" s="936"/>
      <c r="CY77" s="936"/>
      <c r="CZ77" s="1051"/>
      <c r="DA77" s="942"/>
      <c r="DB77" s="936"/>
      <c r="DC77" s="936"/>
    </row>
    <row r="78" spans="2:107" ht="10.5" customHeight="1">
      <c r="B78" s="927"/>
      <c r="C78" s="2835" t="str">
        <f t="shared" si="21"/>
        <v>接地工事 EA-LA</v>
      </c>
      <c r="D78" s="2836"/>
      <c r="E78" s="2836"/>
      <c r="F78" s="2836"/>
      <c r="G78" s="2836"/>
      <c r="H78" s="2836"/>
      <c r="I78" s="2836"/>
      <c r="J78" s="2836"/>
      <c r="K78" s="2836"/>
      <c r="L78" s="2836"/>
      <c r="M78" s="2837"/>
      <c r="N78" s="2847">
        <f t="shared" si="22"/>
        <v>1</v>
      </c>
      <c r="O78" s="2848"/>
      <c r="P78" s="2848"/>
      <c r="Q78" s="2848"/>
      <c r="R78" s="2849"/>
      <c r="S78" s="1065"/>
      <c r="T78" s="2838"/>
      <c r="U78" s="2839"/>
      <c r="V78" s="2839"/>
      <c r="W78" s="2839"/>
      <c r="X78" s="2840"/>
      <c r="Y78" s="2820" t="str">
        <f>IF(C78="","",VLOOKUP(C78,[5]建物1802!$E$5:$AL$3275,2,FALSE))</f>
        <v>箇所</v>
      </c>
      <c r="Z78" s="2821"/>
      <c r="AA78" s="2822"/>
      <c r="AB78" s="2841">
        <f>IF(C78="","",VLOOKUP(C78,[5]建物1802!$E$5:$AL$3275,$AO$43,FALSE))</f>
        <v>19000</v>
      </c>
      <c r="AC78" s="2842"/>
      <c r="AD78" s="2842"/>
      <c r="AE78" s="2842"/>
      <c r="AF78" s="2842"/>
      <c r="AG78" s="2843"/>
      <c r="AH78" s="2850">
        <f t="shared" si="24"/>
        <v>19000</v>
      </c>
      <c r="AI78" s="2851"/>
      <c r="AJ78" s="2851"/>
      <c r="AK78" s="2851"/>
      <c r="AL78" s="2851"/>
      <c r="AM78" s="2851"/>
      <c r="AN78" s="2852"/>
      <c r="AO78" s="1064"/>
      <c r="AP78" s="2844">
        <f>IF(C78="","",VLOOKUP(C78,[5]建物1802!$E$5:$AL$3275,$AO$44,FALSE))</f>
        <v>3.7330000000000001</v>
      </c>
      <c r="AQ78" s="2845"/>
      <c r="AR78" s="2845"/>
      <c r="AS78" s="2845"/>
      <c r="AT78" s="2846"/>
      <c r="AU78" s="2902">
        <f t="shared" si="25"/>
        <v>3.7330000000000001</v>
      </c>
      <c r="AV78" s="2903"/>
      <c r="AW78" s="2903"/>
      <c r="AX78" s="2903"/>
      <c r="AY78" s="2903"/>
      <c r="AZ78" s="2904"/>
      <c r="BA78" s="926"/>
      <c r="BB78" s="926"/>
      <c r="BC78" s="926"/>
      <c r="BD78" s="926"/>
      <c r="BE78" s="926"/>
      <c r="BF78" s="926"/>
      <c r="BG78" s="926"/>
      <c r="BH78" s="926"/>
      <c r="BI78" s="926"/>
      <c r="BJ78" s="926"/>
      <c r="BK78" s="926"/>
      <c r="BL78" s="926"/>
      <c r="BM78" s="926"/>
      <c r="BN78" s="926"/>
      <c r="BO78" s="926"/>
      <c r="BP78" s="926"/>
      <c r="BQ78" s="926"/>
      <c r="BR78" s="926"/>
      <c r="BS78" s="926"/>
      <c r="BT78" s="926"/>
      <c r="BU78" s="924"/>
      <c r="BV78" s="1063">
        <v>10</v>
      </c>
      <c r="BW78" s="1060"/>
      <c r="BX78" s="936" t="str">
        <f>Top!$E$42</f>
        <v xml:space="preserve">  8F</v>
      </c>
      <c r="BY78" s="937" t="str">
        <f t="shared" si="26"/>
        <v xml:space="preserve">  8F</v>
      </c>
      <c r="BZ78" s="1054">
        <f>IF(CQ243="  1F",Top!$O$42+Top!W71,Top!$O$42)</f>
        <v>4</v>
      </c>
      <c r="CA78" s="1057">
        <f>IF(BZ78="","",SUM($BZ$69:BZ78))</f>
        <v>43</v>
      </c>
      <c r="CB78" s="1058">
        <f t="shared" si="27"/>
        <v>4</v>
      </c>
      <c r="CC78" s="1054">
        <f t="shared" si="28"/>
        <v>0</v>
      </c>
      <c r="CD78" s="1057">
        <f>IF(CC78=0,0,SUM(CC78:CE$89))</f>
        <v>0</v>
      </c>
      <c r="CE78" s="1007">
        <f>IF(OR(BY78="",BY78="  1F"),0,IF(LEFT(BY78,2)=" B",CC78,SUM($CB$69:$CB78)))</f>
        <v>28</v>
      </c>
      <c r="CF78" s="942"/>
      <c r="CG78" s="936"/>
      <c r="CH78" s="936"/>
      <c r="CI78" s="936"/>
      <c r="CM78" s="1050" t="s">
        <v>2618</v>
      </c>
      <c r="CQ78" s="1051"/>
      <c r="CU78" s="916"/>
      <c r="CV78" s="936"/>
      <c r="CW78" s="936"/>
      <c r="CX78" s="936"/>
      <c r="CY78" s="936"/>
      <c r="CZ78" s="1051"/>
      <c r="DA78" s="942"/>
      <c r="DB78" s="936"/>
      <c r="DC78" s="936"/>
    </row>
    <row r="79" spans="2:107" ht="10.5" customHeight="1">
      <c r="B79" s="927"/>
      <c r="C79" s="2835" t="str">
        <f t="shared" si="21"/>
        <v>接地工事 EA</v>
      </c>
      <c r="D79" s="2836"/>
      <c r="E79" s="2836"/>
      <c r="F79" s="2836"/>
      <c r="G79" s="2836"/>
      <c r="H79" s="2836"/>
      <c r="I79" s="2836"/>
      <c r="J79" s="2836"/>
      <c r="K79" s="2836"/>
      <c r="L79" s="2836"/>
      <c r="M79" s="2837"/>
      <c r="N79" s="2847">
        <f t="shared" si="22"/>
        <v>1</v>
      </c>
      <c r="O79" s="2848"/>
      <c r="P79" s="2848"/>
      <c r="Q79" s="2848"/>
      <c r="R79" s="2849"/>
      <c r="S79" s="1065"/>
      <c r="T79" s="2838"/>
      <c r="U79" s="2839"/>
      <c r="V79" s="2839"/>
      <c r="W79" s="2839"/>
      <c r="X79" s="2840"/>
      <c r="Y79" s="2820" t="str">
        <f>IF(C79="","",VLOOKUP(C79,[5]建物1802!$E$5:$AL$3275,2,FALSE))</f>
        <v>箇所</v>
      </c>
      <c r="Z79" s="2821"/>
      <c r="AA79" s="2822"/>
      <c r="AB79" s="2841">
        <f>IF(C79="","",VLOOKUP(C79,[5]建物1802!$E$5:$AL$3275,$AO$43,FALSE))</f>
        <v>19000</v>
      </c>
      <c r="AC79" s="2842"/>
      <c r="AD79" s="2842"/>
      <c r="AE79" s="2842"/>
      <c r="AF79" s="2842"/>
      <c r="AG79" s="2843"/>
      <c r="AH79" s="2850">
        <f t="shared" si="24"/>
        <v>19000</v>
      </c>
      <c r="AI79" s="2851"/>
      <c r="AJ79" s="2851"/>
      <c r="AK79" s="2851"/>
      <c r="AL79" s="2851"/>
      <c r="AM79" s="2851"/>
      <c r="AN79" s="2852"/>
      <c r="AO79" s="1064"/>
      <c r="AP79" s="2844">
        <f>IF(C79="","",VLOOKUP(C79,[5]建物1802!$E$5:$AL$3275,$AO$44,FALSE))</f>
        <v>3.7330000000000001</v>
      </c>
      <c r="AQ79" s="2845"/>
      <c r="AR79" s="2845"/>
      <c r="AS79" s="2845"/>
      <c r="AT79" s="2846"/>
      <c r="AU79" s="2902">
        <f t="shared" si="25"/>
        <v>3.7330000000000001</v>
      </c>
      <c r="AV79" s="2903"/>
      <c r="AW79" s="2903"/>
      <c r="AX79" s="2903"/>
      <c r="AY79" s="2903"/>
      <c r="AZ79" s="2904"/>
      <c r="BA79" s="926"/>
      <c r="BB79" s="926"/>
      <c r="BC79" s="926"/>
      <c r="BD79" s="926"/>
      <c r="BE79" s="926"/>
      <c r="BF79" s="926"/>
      <c r="BG79" s="926"/>
      <c r="BH79" s="926"/>
      <c r="BI79" s="926"/>
      <c r="BJ79" s="926"/>
      <c r="BK79" s="926"/>
      <c r="BL79" s="926"/>
      <c r="BM79" s="926"/>
      <c r="BN79" s="926"/>
      <c r="BO79" s="926"/>
      <c r="BP79" s="926"/>
      <c r="BQ79" s="926"/>
      <c r="BR79" s="926"/>
      <c r="BS79" s="926"/>
      <c r="BT79" s="926"/>
      <c r="BU79" s="924"/>
      <c r="BV79" s="1063">
        <v>11</v>
      </c>
      <c r="BW79" s="1060"/>
      <c r="BX79" s="936" t="str">
        <f>Top!$E$44</f>
        <v xml:space="preserve">  9F</v>
      </c>
      <c r="BY79" s="937" t="str">
        <f t="shared" si="26"/>
        <v xml:space="preserve">  9F</v>
      </c>
      <c r="BZ79" s="1054">
        <f>IF(CQ244="  1F",Top!$O$44+Top!W72,Top!$O$44)</f>
        <v>4</v>
      </c>
      <c r="CA79" s="1057">
        <f>IF(BZ79="","",SUM($BZ$69:BZ79))</f>
        <v>47</v>
      </c>
      <c r="CB79" s="1058">
        <f t="shared" si="27"/>
        <v>4</v>
      </c>
      <c r="CC79" s="1054">
        <f t="shared" si="28"/>
        <v>0</v>
      </c>
      <c r="CD79" s="1057">
        <f>IF(CC79=0,0,SUM(CC79:CE$89))</f>
        <v>0</v>
      </c>
      <c r="CE79" s="1007">
        <f>IF(OR(BY79="",BY79="  1F"),0,IF(LEFT(BY79,2)=" B",CC79,SUM($CB$69:$CB79)))</f>
        <v>32</v>
      </c>
      <c r="CF79" s="942"/>
      <c r="CG79" s="936"/>
      <c r="CH79" s="936"/>
      <c r="CI79" s="936"/>
      <c r="CM79" s="1050" t="s">
        <v>2617</v>
      </c>
      <c r="CQ79" s="1051"/>
      <c r="CU79" s="916"/>
      <c r="CV79" s="936"/>
      <c r="CW79" s="936"/>
      <c r="CX79" s="936"/>
      <c r="CY79" s="936"/>
      <c r="CZ79" s="1051"/>
      <c r="DA79" s="942"/>
      <c r="DB79" s="936"/>
      <c r="DC79" s="936"/>
    </row>
    <row r="80" spans="2:107" ht="10.5" customHeight="1">
      <c r="B80" s="927"/>
      <c r="C80" s="2835" t="str">
        <f t="shared" si="21"/>
        <v>接地工事 EB</v>
      </c>
      <c r="D80" s="2836"/>
      <c r="E80" s="2836"/>
      <c r="F80" s="2836"/>
      <c r="G80" s="2836"/>
      <c r="H80" s="2836"/>
      <c r="I80" s="2836"/>
      <c r="J80" s="2836"/>
      <c r="K80" s="2836"/>
      <c r="L80" s="2836"/>
      <c r="M80" s="2837"/>
      <c r="N80" s="2847">
        <f t="shared" si="22"/>
        <v>1</v>
      </c>
      <c r="O80" s="2848"/>
      <c r="P80" s="2848"/>
      <c r="Q80" s="2848"/>
      <c r="R80" s="2849"/>
      <c r="S80" s="1065"/>
      <c r="T80" s="2838"/>
      <c r="U80" s="2839"/>
      <c r="V80" s="2839"/>
      <c r="W80" s="2839"/>
      <c r="X80" s="2840"/>
      <c r="Y80" s="2820" t="str">
        <f>IF(C80="","",VLOOKUP(C80,[5]建物1802!$E$5:$AL$3275,2,FALSE))</f>
        <v>箇所</v>
      </c>
      <c r="Z80" s="2821"/>
      <c r="AA80" s="2822"/>
      <c r="AB80" s="2841">
        <f>IF(C80="","",VLOOKUP(C80,[5]建物1802!$E$5:$AL$3275,$AO$43,FALSE))</f>
        <v>19000</v>
      </c>
      <c r="AC80" s="2842"/>
      <c r="AD80" s="2842"/>
      <c r="AE80" s="2842"/>
      <c r="AF80" s="2842"/>
      <c r="AG80" s="2843"/>
      <c r="AH80" s="2850">
        <f t="shared" si="24"/>
        <v>19000</v>
      </c>
      <c r="AI80" s="2851"/>
      <c r="AJ80" s="2851"/>
      <c r="AK80" s="2851"/>
      <c r="AL80" s="2851"/>
      <c r="AM80" s="2851"/>
      <c r="AN80" s="2852"/>
      <c r="AO80" s="1064"/>
      <c r="AP80" s="2844">
        <f>IF(C80="","",VLOOKUP(C80,[5]建物1802!$E$5:$AL$3275,$AO$44,FALSE))</f>
        <v>3.7330000000000001</v>
      </c>
      <c r="AQ80" s="2845"/>
      <c r="AR80" s="2845"/>
      <c r="AS80" s="2845"/>
      <c r="AT80" s="2846"/>
      <c r="AU80" s="2902">
        <f t="shared" si="25"/>
        <v>3.7330000000000001</v>
      </c>
      <c r="AV80" s="2903"/>
      <c r="AW80" s="2903"/>
      <c r="AX80" s="2903"/>
      <c r="AY80" s="2903"/>
      <c r="AZ80" s="2904"/>
      <c r="BA80" s="926"/>
      <c r="BB80" s="926"/>
      <c r="BC80" s="926"/>
      <c r="BD80" s="926"/>
      <c r="BE80" s="926"/>
      <c r="BF80" s="926"/>
      <c r="BG80" s="926"/>
      <c r="BH80" s="926"/>
      <c r="BI80" s="926"/>
      <c r="BJ80" s="926"/>
      <c r="BK80" s="926"/>
      <c r="BL80" s="926"/>
      <c r="BM80" s="926"/>
      <c r="BN80" s="926"/>
      <c r="BO80" s="926"/>
      <c r="BP80" s="926"/>
      <c r="BQ80" s="926"/>
      <c r="BR80" s="926"/>
      <c r="BS80" s="926"/>
      <c r="BT80" s="926"/>
      <c r="BU80" s="924"/>
      <c r="BV80" s="1063">
        <v>12</v>
      </c>
      <c r="BW80" s="1060"/>
      <c r="BX80" s="936" t="str">
        <f>Top!$E$46</f>
        <v xml:space="preserve"> 10F</v>
      </c>
      <c r="BY80" s="937" t="str">
        <f t="shared" si="26"/>
        <v xml:space="preserve"> 10F</v>
      </c>
      <c r="BZ80" s="1054">
        <f>IF(CQ245="  1F",Top!$O$46+Top!W73,Top!$O$46)</f>
        <v>4</v>
      </c>
      <c r="CA80" s="1057">
        <f>IF(BZ80="","",SUM($BZ$69:BZ80))</f>
        <v>51</v>
      </c>
      <c r="CB80" s="1058">
        <f t="shared" si="27"/>
        <v>4</v>
      </c>
      <c r="CC80" s="1054">
        <f t="shared" si="28"/>
        <v>0</v>
      </c>
      <c r="CD80" s="1057">
        <f>IF(CC80=0,0,SUM(CC80:CE$89))</f>
        <v>0</v>
      </c>
      <c r="CE80" s="1007">
        <f>IF(OR(BY80="",BY80="  1F"),0,IF(LEFT(BY80,2)=" B",CC80,SUM($CB$69:$CB80)))</f>
        <v>36</v>
      </c>
      <c r="CF80" s="942"/>
      <c r="CG80" s="936"/>
      <c r="CH80" s="936"/>
      <c r="CI80" s="936"/>
      <c r="CM80" s="1050" t="s">
        <v>2616</v>
      </c>
      <c r="CQ80" s="1051"/>
      <c r="CU80" s="916"/>
      <c r="CV80" s="936"/>
      <c r="CW80" s="936"/>
      <c r="CX80" s="936"/>
      <c r="CY80" s="936"/>
      <c r="CZ80" s="1051"/>
      <c r="DA80" s="942"/>
      <c r="DB80" s="936"/>
      <c r="DC80" s="936"/>
    </row>
    <row r="81" spans="2:107" ht="10.5" customHeight="1">
      <c r="B81" s="927"/>
      <c r="C81" s="2835" t="str">
        <f t="shared" si="21"/>
        <v>接地工事 ED</v>
      </c>
      <c r="D81" s="2836"/>
      <c r="E81" s="2836"/>
      <c r="F81" s="2836"/>
      <c r="G81" s="2836"/>
      <c r="H81" s="2836"/>
      <c r="I81" s="2836"/>
      <c r="J81" s="2836"/>
      <c r="K81" s="2836"/>
      <c r="L81" s="2836"/>
      <c r="M81" s="2837"/>
      <c r="N81" s="2847">
        <f t="shared" si="22"/>
        <v>1</v>
      </c>
      <c r="O81" s="2848"/>
      <c r="P81" s="2848"/>
      <c r="Q81" s="2848"/>
      <c r="R81" s="2849"/>
      <c r="S81" s="1065"/>
      <c r="T81" s="2838"/>
      <c r="U81" s="2839"/>
      <c r="V81" s="2839"/>
      <c r="W81" s="2839"/>
      <c r="X81" s="2840"/>
      <c r="Y81" s="2820" t="str">
        <f>IF(C81="","",VLOOKUP(C81,[5]建物1802!$E$5:$AL$3275,2,FALSE))</f>
        <v>箇所</v>
      </c>
      <c r="Z81" s="2821"/>
      <c r="AA81" s="2822"/>
      <c r="AB81" s="2841">
        <f>IF(C81="","",VLOOKUP(C81,[5]建物1802!$E$5:$AL$3275,$AO$43,FALSE))</f>
        <v>2800</v>
      </c>
      <c r="AC81" s="2842"/>
      <c r="AD81" s="2842"/>
      <c r="AE81" s="2842"/>
      <c r="AF81" s="2842"/>
      <c r="AG81" s="2843"/>
      <c r="AH81" s="2850">
        <f t="shared" si="24"/>
        <v>2800</v>
      </c>
      <c r="AI81" s="2851"/>
      <c r="AJ81" s="2851"/>
      <c r="AK81" s="2851"/>
      <c r="AL81" s="2851"/>
      <c r="AM81" s="2851"/>
      <c r="AN81" s="2852"/>
      <c r="AO81" s="1064"/>
      <c r="AP81" s="2844">
        <f>IF(C81="","",VLOOKUP(C81,[5]建物1802!$E$5:$AL$3275,$AO$44,FALSE))</f>
        <v>3.7330000000000001</v>
      </c>
      <c r="AQ81" s="2845"/>
      <c r="AR81" s="2845"/>
      <c r="AS81" s="2845"/>
      <c r="AT81" s="2846"/>
      <c r="AU81" s="2902">
        <f t="shared" si="25"/>
        <v>3.7330000000000001</v>
      </c>
      <c r="AV81" s="2903"/>
      <c r="AW81" s="2903"/>
      <c r="AX81" s="2903"/>
      <c r="AY81" s="2903"/>
      <c r="AZ81" s="2904"/>
      <c r="BA81" s="926"/>
      <c r="BB81" s="926"/>
      <c r="BC81" s="926"/>
      <c r="BD81" s="926"/>
      <c r="BE81" s="926"/>
      <c r="BF81" s="926"/>
      <c r="BG81" s="926"/>
      <c r="BH81" s="926"/>
      <c r="BI81" s="926"/>
      <c r="BJ81" s="926"/>
      <c r="BK81" s="926"/>
      <c r="BL81" s="926"/>
      <c r="BM81" s="926"/>
      <c r="BN81" s="926"/>
      <c r="BO81" s="926"/>
      <c r="BP81" s="926"/>
      <c r="BQ81" s="926"/>
      <c r="BR81" s="926"/>
      <c r="BS81" s="926"/>
      <c r="BT81" s="926"/>
      <c r="BU81" s="924"/>
      <c r="BV81" s="1063">
        <v>13</v>
      </c>
      <c r="BW81" s="1060"/>
      <c r="BX81" s="936" t="str">
        <f>Top!$E$48</f>
        <v xml:space="preserve"> 11F</v>
      </c>
      <c r="BY81" s="937" t="str">
        <f t="shared" si="26"/>
        <v xml:space="preserve"> 11F</v>
      </c>
      <c r="BZ81" s="1054">
        <f>IF(CQ246="  1F",Top!$O$48+Top!W74,Top!$O$48)</f>
        <v>4</v>
      </c>
      <c r="CA81" s="1057">
        <f>IF(BZ81="","",SUM($BZ$69:BZ81))</f>
        <v>55</v>
      </c>
      <c r="CB81" s="1058">
        <f t="shared" si="27"/>
        <v>4</v>
      </c>
      <c r="CC81" s="1054">
        <f t="shared" si="28"/>
        <v>0</v>
      </c>
      <c r="CD81" s="1057">
        <f>IF(CC81=0,0,SUM(CC81:CE$89))</f>
        <v>0</v>
      </c>
      <c r="CE81" s="1007">
        <f>IF(OR(BY81="",BY81="  1F"),0,IF(LEFT(BY81,2)=" B",CC81,SUM($CB$69:$CB81)))</f>
        <v>40</v>
      </c>
      <c r="CF81" s="942"/>
      <c r="CG81" s="936"/>
      <c r="CH81" s="936"/>
      <c r="CI81" s="936"/>
      <c r="CM81" s="1050" t="s">
        <v>2615</v>
      </c>
      <c r="CQ81" s="1051"/>
      <c r="CU81" s="916"/>
      <c r="CV81" s="936"/>
      <c r="CW81" s="936"/>
      <c r="CX81" s="936"/>
      <c r="CY81" s="936"/>
      <c r="CZ81" s="1051"/>
      <c r="DA81" s="942"/>
      <c r="DB81" s="936"/>
      <c r="DC81" s="936"/>
    </row>
    <row r="82" spans="2:107" ht="10.5" customHeight="1">
      <c r="B82" s="927"/>
      <c r="C82" s="2835" t="str">
        <f t="shared" si="21"/>
        <v>接地工事 ED-ELB</v>
      </c>
      <c r="D82" s="2836"/>
      <c r="E82" s="2836"/>
      <c r="F82" s="2836"/>
      <c r="G82" s="2836"/>
      <c r="H82" s="2836"/>
      <c r="I82" s="2836"/>
      <c r="J82" s="2836"/>
      <c r="K82" s="2836"/>
      <c r="L82" s="2836"/>
      <c r="M82" s="2837"/>
      <c r="N82" s="2847">
        <f t="shared" si="22"/>
        <v>1</v>
      </c>
      <c r="O82" s="2848"/>
      <c r="P82" s="2848"/>
      <c r="Q82" s="2848"/>
      <c r="R82" s="2849"/>
      <c r="S82" s="1065"/>
      <c r="T82" s="2838"/>
      <c r="U82" s="2839"/>
      <c r="V82" s="2839"/>
      <c r="W82" s="2839"/>
      <c r="X82" s="2840"/>
      <c r="Y82" s="2820" t="str">
        <f>IF(C82="","",VLOOKUP(C82,[5]建物1802!$E$5:$AL$3275,2,FALSE))</f>
        <v>箇所</v>
      </c>
      <c r="Z82" s="2821"/>
      <c r="AA82" s="2822"/>
      <c r="AB82" s="2841">
        <f>IF(C82="","",VLOOKUP(C82,[5]建物1802!$E$5:$AL$3275,$AO$43,FALSE))</f>
        <v>2800</v>
      </c>
      <c r="AC82" s="2842"/>
      <c r="AD82" s="2842"/>
      <c r="AE82" s="2842"/>
      <c r="AF82" s="2842"/>
      <c r="AG82" s="2843"/>
      <c r="AH82" s="2850">
        <f t="shared" si="24"/>
        <v>2800</v>
      </c>
      <c r="AI82" s="2851"/>
      <c r="AJ82" s="2851"/>
      <c r="AK82" s="2851"/>
      <c r="AL82" s="2851"/>
      <c r="AM82" s="2851"/>
      <c r="AN82" s="2852"/>
      <c r="AO82" s="1064"/>
      <c r="AP82" s="2844">
        <f>IF(C82="","",VLOOKUP(C82,[5]建物1802!$E$5:$AL$3275,$AO$44,FALSE))</f>
        <v>3.7330000000000001</v>
      </c>
      <c r="AQ82" s="2845"/>
      <c r="AR82" s="2845"/>
      <c r="AS82" s="2845"/>
      <c r="AT82" s="2846"/>
      <c r="AU82" s="2902">
        <f t="shared" si="25"/>
        <v>3.7330000000000001</v>
      </c>
      <c r="AV82" s="2903"/>
      <c r="AW82" s="2903"/>
      <c r="AX82" s="2903"/>
      <c r="AY82" s="2903"/>
      <c r="AZ82" s="2904"/>
      <c r="BA82" s="926"/>
      <c r="BB82" s="926"/>
      <c r="BC82" s="926"/>
      <c r="BD82" s="926"/>
      <c r="BE82" s="926"/>
      <c r="BF82" s="926"/>
      <c r="BG82" s="926"/>
      <c r="BH82" s="926"/>
      <c r="BI82" s="926"/>
      <c r="BJ82" s="926"/>
      <c r="BK82" s="926"/>
      <c r="BL82" s="926"/>
      <c r="BM82" s="926"/>
      <c r="BN82" s="926"/>
      <c r="BO82" s="926"/>
      <c r="BP82" s="926"/>
      <c r="BQ82" s="926"/>
      <c r="BR82" s="926"/>
      <c r="BS82" s="926"/>
      <c r="BT82" s="926"/>
      <c r="BU82" s="924"/>
      <c r="BV82" s="1063">
        <v>14</v>
      </c>
      <c r="BW82" s="1060"/>
      <c r="BX82" s="936" t="str">
        <f>Top!$E$50</f>
        <v xml:space="preserve"> 12F</v>
      </c>
      <c r="BY82" s="937" t="str">
        <f t="shared" si="26"/>
        <v xml:space="preserve"> 12F</v>
      </c>
      <c r="BZ82" s="1054">
        <f>IF(CQ247="  1F",Top!$O$50+Top!W75,Top!$O$50)</f>
        <v>4</v>
      </c>
      <c r="CA82" s="1057">
        <f>IF(BZ82="","",SUM($BZ$69:BZ82))</f>
        <v>59</v>
      </c>
      <c r="CB82" s="1058">
        <f>IF(OR(LEFT(BY82,2)=" B",LEFT(BY82,1)="P",BY82="  1F"),0,BZ82)</f>
        <v>4</v>
      </c>
      <c r="CC82" s="1054">
        <f t="shared" si="28"/>
        <v>0</v>
      </c>
      <c r="CD82" s="1057">
        <f>IF(CC82=0,0,SUM(CC82:CE$89))</f>
        <v>0</v>
      </c>
      <c r="CE82" s="1007">
        <f>IF(OR(BY82="",BY82="  1F"),0,IF(LEFT(BY82,2)=" B",CC82,SUM($CB$69:$CB82)))</f>
        <v>44</v>
      </c>
      <c r="CF82" s="942"/>
      <c r="CG82" s="936"/>
      <c r="CH82" s="936"/>
      <c r="CI82" s="936"/>
      <c r="CM82" s="1050" t="s">
        <v>2614</v>
      </c>
      <c r="CQ82" s="1051"/>
      <c r="CU82" s="916"/>
      <c r="CV82" s="936"/>
      <c r="CW82" s="936"/>
      <c r="CX82" s="936"/>
      <c r="CY82" s="936"/>
      <c r="CZ82" s="1051"/>
      <c r="DA82" s="942"/>
      <c r="DB82" s="936"/>
      <c r="DC82" s="936"/>
    </row>
    <row r="83" spans="2:107" ht="10.5" customHeight="1">
      <c r="B83" s="927"/>
      <c r="C83" s="2835" t="str">
        <f t="shared" si="21"/>
        <v>接地工事 Ep,Ec</v>
      </c>
      <c r="D83" s="2836"/>
      <c r="E83" s="2836"/>
      <c r="F83" s="2836"/>
      <c r="G83" s="2836"/>
      <c r="H83" s="2836"/>
      <c r="I83" s="2836"/>
      <c r="J83" s="2836"/>
      <c r="K83" s="2836"/>
      <c r="L83" s="2836"/>
      <c r="M83" s="2837"/>
      <c r="N83" s="2847">
        <f t="shared" si="22"/>
        <v>2</v>
      </c>
      <c r="O83" s="2848"/>
      <c r="P83" s="2848"/>
      <c r="Q83" s="2848"/>
      <c r="R83" s="2849"/>
      <c r="S83" s="1065"/>
      <c r="T83" s="2838"/>
      <c r="U83" s="2839"/>
      <c r="V83" s="2839"/>
      <c r="W83" s="2839"/>
      <c r="X83" s="2840"/>
      <c r="Y83" s="2820" t="str">
        <f>IF(C83="","",VLOOKUP(C83,[5]建物1802!$E$5:$AL$3275,2,FALSE))</f>
        <v>箇所</v>
      </c>
      <c r="Z83" s="2821"/>
      <c r="AA83" s="2822"/>
      <c r="AB83" s="2841">
        <f>IF(C83="","",VLOOKUP(C83,[5]建物1802!$E$5:$AL$3275,$AO$43,FALSE))</f>
        <v>720</v>
      </c>
      <c r="AC83" s="2842"/>
      <c r="AD83" s="2842"/>
      <c r="AE83" s="2842"/>
      <c r="AF83" s="2842"/>
      <c r="AG83" s="2843"/>
      <c r="AH83" s="2850">
        <f t="shared" si="24"/>
        <v>1440</v>
      </c>
      <c r="AI83" s="2851"/>
      <c r="AJ83" s="2851"/>
      <c r="AK83" s="2851"/>
      <c r="AL83" s="2851"/>
      <c r="AM83" s="2851"/>
      <c r="AN83" s="2852"/>
      <c r="AO83" s="1064"/>
      <c r="AP83" s="2844">
        <f>IF(C83="","",VLOOKUP(C83,[5]建物1802!$E$5:$AL$3275,$AO$44,FALSE))</f>
        <v>0.183</v>
      </c>
      <c r="AQ83" s="2845"/>
      <c r="AR83" s="2845"/>
      <c r="AS83" s="2845"/>
      <c r="AT83" s="2846"/>
      <c r="AU83" s="2902">
        <f t="shared" si="25"/>
        <v>0.36599999999999999</v>
      </c>
      <c r="AV83" s="2903"/>
      <c r="AW83" s="2903"/>
      <c r="AX83" s="2903"/>
      <c r="AY83" s="2903"/>
      <c r="AZ83" s="2904"/>
      <c r="BA83" s="926"/>
      <c r="BB83" s="926"/>
      <c r="BC83" s="926"/>
      <c r="BD83" s="926"/>
      <c r="BE83" s="926"/>
      <c r="BF83" s="926"/>
      <c r="BG83" s="926"/>
      <c r="BH83" s="926"/>
      <c r="BI83" s="926"/>
      <c r="BJ83" s="926"/>
      <c r="BK83" s="926"/>
      <c r="BL83" s="926"/>
      <c r="BM83" s="926"/>
      <c r="BN83" s="926"/>
      <c r="BO83" s="926"/>
      <c r="BP83" s="926"/>
      <c r="BQ83" s="926"/>
      <c r="BR83" s="926"/>
      <c r="BS83" s="926"/>
      <c r="BT83" s="926"/>
      <c r="BU83" s="924"/>
      <c r="BV83" s="1063">
        <v>15</v>
      </c>
      <c r="BW83" s="1060"/>
      <c r="BX83" s="936" t="str">
        <f>Top!$E$52</f>
        <v>PH1F</v>
      </c>
      <c r="BY83" s="937" t="str">
        <f t="shared" si="26"/>
        <v>PH1F</v>
      </c>
      <c r="BZ83" s="1054">
        <f>IF(CQ248="  1F",Top!$O$52+Top!W76,Top!$O$52)</f>
        <v>4</v>
      </c>
      <c r="CA83" s="1057">
        <f>IF(BZ83="","",SUM($BZ$69:BZ83))</f>
        <v>63</v>
      </c>
      <c r="CB83" s="1058">
        <f>IF(OR(LEFT(BY83,2)=" B",LEFT(BY83,1)="P",BY83="  1F"),0,BZ83)</f>
        <v>0</v>
      </c>
      <c r="CC83" s="1054">
        <f t="shared" si="28"/>
        <v>0</v>
      </c>
      <c r="CD83" s="1057">
        <f>IF(CC83=0,0,SUM(CC83:CE$89))</f>
        <v>0</v>
      </c>
      <c r="CE83" s="1007">
        <f>IF(OR(BY83="",BY83="  1F"),0,IF(LEFT(BY83,2)=" B",CC83,SUM($CB$69:$CB83)))</f>
        <v>44</v>
      </c>
      <c r="CF83" s="942"/>
      <c r="CG83" s="936"/>
      <c r="CH83" s="936"/>
      <c r="CI83" s="936"/>
      <c r="CM83" s="1050" t="s">
        <v>2613</v>
      </c>
      <c r="CQ83" s="1051"/>
      <c r="CU83" s="916"/>
      <c r="CV83" s="936"/>
      <c r="CW83" s="936"/>
      <c r="CX83" s="936"/>
      <c r="CY83" s="936"/>
      <c r="CZ83" s="1051"/>
      <c r="DA83" s="942"/>
      <c r="DB83" s="936"/>
      <c r="DC83" s="936"/>
    </row>
    <row r="84" spans="2:107" ht="10.5" customHeight="1">
      <c r="B84" s="927"/>
      <c r="C84" s="2835" t="str">
        <f t="shared" si="21"/>
        <v/>
      </c>
      <c r="D84" s="2836"/>
      <c r="E84" s="2836"/>
      <c r="F84" s="2836"/>
      <c r="G84" s="2836"/>
      <c r="H84" s="2836"/>
      <c r="I84" s="2836"/>
      <c r="J84" s="2836"/>
      <c r="K84" s="2836"/>
      <c r="L84" s="2836"/>
      <c r="M84" s="2837"/>
      <c r="N84" s="2847" t="str">
        <f t="shared" si="22"/>
        <v/>
      </c>
      <c r="O84" s="2848"/>
      <c r="P84" s="2848"/>
      <c r="Q84" s="2848"/>
      <c r="R84" s="2849"/>
      <c r="S84" s="1065" t="str">
        <f>IF(N84="","","▼")</f>
        <v/>
      </c>
      <c r="T84" s="2838"/>
      <c r="U84" s="2839"/>
      <c r="V84" s="2839"/>
      <c r="W84" s="2839"/>
      <c r="X84" s="2840"/>
      <c r="Y84" s="2820" t="str">
        <f>IF(C84="","",VLOOKUP(C84,[5]建物1802!$E$5:$AL$3275,2,FALSE))</f>
        <v/>
      </c>
      <c r="Z84" s="2821"/>
      <c r="AA84" s="2822"/>
      <c r="AB84" s="2823" t="str">
        <f>IF(C84="","",VLOOKUP(C84,[5]建物1802!$E$5:$AL$3275,$AO$43,FALSE))</f>
        <v/>
      </c>
      <c r="AC84" s="2824"/>
      <c r="AD84" s="2824"/>
      <c r="AE84" s="2824"/>
      <c r="AF84" s="2824"/>
      <c r="AG84" s="2825"/>
      <c r="AH84" s="2850" t="str">
        <f t="shared" si="24"/>
        <v/>
      </c>
      <c r="AI84" s="2851"/>
      <c r="AJ84" s="2851"/>
      <c r="AK84" s="2851"/>
      <c r="AL84" s="2851"/>
      <c r="AM84" s="2851"/>
      <c r="AN84" s="2852"/>
      <c r="AO84" s="1064"/>
      <c r="AP84" s="2896" t="str">
        <f>IF(C84="","",VLOOKUP(C84,[5]建物1802!$E$5:$AL$3275,$AO$44,FALSE))</f>
        <v/>
      </c>
      <c r="AQ84" s="2897"/>
      <c r="AR84" s="2897"/>
      <c r="AS84" s="2897"/>
      <c r="AT84" s="2898"/>
      <c r="AU84" s="2899" t="str">
        <f t="shared" si="25"/>
        <v/>
      </c>
      <c r="AV84" s="2900"/>
      <c r="AW84" s="2900"/>
      <c r="AX84" s="2900"/>
      <c r="AY84" s="2900"/>
      <c r="AZ84" s="2901"/>
      <c r="BA84" s="926"/>
      <c r="BB84" s="926"/>
      <c r="BC84" s="926"/>
      <c r="BD84" s="926"/>
      <c r="BE84" s="926"/>
      <c r="BF84" s="926"/>
      <c r="BG84" s="926"/>
      <c r="BH84" s="926"/>
      <c r="BI84" s="926"/>
      <c r="BJ84" s="926"/>
      <c r="BK84" s="926"/>
      <c r="BL84" s="926"/>
      <c r="BM84" s="926"/>
      <c r="BN84" s="926"/>
      <c r="BO84" s="926"/>
      <c r="BP84" s="926"/>
      <c r="BQ84" s="926"/>
      <c r="BR84" s="926"/>
      <c r="BS84" s="926"/>
      <c r="BT84" s="926"/>
      <c r="BU84" s="924"/>
      <c r="BV84" s="1063">
        <v>16</v>
      </c>
      <c r="BW84" s="1060"/>
      <c r="BX84" s="936" t="str">
        <f>Top!$E$54</f>
        <v>PH2F</v>
      </c>
      <c r="BY84" s="937" t="str">
        <f t="shared" si="26"/>
        <v>PH2F</v>
      </c>
      <c r="BZ84" s="1054">
        <f>IF(CQ249="  1F",Top!$O$54+Top!W77,Top!$O$54)</f>
        <v>4</v>
      </c>
      <c r="CA84" s="1057">
        <f>IF(BZ84="","",SUM($BZ$69:BZ84))</f>
        <v>67</v>
      </c>
      <c r="CB84" s="1058">
        <f>IF(OR(LEFT(BY84,2)=" B",LEFT(BY84,1)="P",BY84="  1F"),0,BZ84)</f>
        <v>0</v>
      </c>
      <c r="CC84" s="1054">
        <f t="shared" si="28"/>
        <v>0</v>
      </c>
      <c r="CD84" s="1057">
        <f>IF(CC84=0,0,SUM(CC84:CE$89))</f>
        <v>0</v>
      </c>
      <c r="CE84" s="1007">
        <f>IF(OR(BY84="",BY84="  1F"),0,IF(LEFT(BY84,2)=" B",CC84,SUM($CB$69:$CB84)))</f>
        <v>44</v>
      </c>
      <c r="CF84" s="942"/>
      <c r="CG84" s="936"/>
      <c r="CH84" s="936"/>
      <c r="CI84" s="936"/>
      <c r="CM84" s="1050" t="s">
        <v>2612</v>
      </c>
      <c r="CQ84" s="1051"/>
      <c r="CU84" s="916"/>
      <c r="CV84" s="1051"/>
      <c r="CW84" s="936"/>
      <c r="CX84" s="936"/>
      <c r="CY84" s="936"/>
      <c r="CZ84" s="1051"/>
      <c r="DA84" s="942"/>
      <c r="DB84" s="936"/>
      <c r="DC84" s="936"/>
    </row>
    <row r="85" spans="2:107" ht="10.5" customHeight="1">
      <c r="B85" s="923"/>
      <c r="C85" s="1062"/>
      <c r="D85" s="1062"/>
      <c r="E85" s="1062"/>
      <c r="F85" s="1062"/>
      <c r="G85" s="1062"/>
      <c r="H85" s="1062"/>
      <c r="I85" s="1062"/>
      <c r="J85" s="1062"/>
      <c r="K85" s="1062"/>
      <c r="L85" s="1062"/>
      <c r="M85" s="1062"/>
      <c r="N85" s="1062"/>
      <c r="O85" s="1062"/>
      <c r="P85" s="1062"/>
      <c r="Q85" s="1062"/>
      <c r="R85" s="1062"/>
      <c r="S85" s="1062"/>
      <c r="T85" s="1062"/>
      <c r="U85" s="1062"/>
      <c r="V85" s="1062"/>
      <c r="W85" s="1062"/>
      <c r="X85" s="1062"/>
      <c r="Y85" s="1062"/>
      <c r="Z85" s="1062"/>
      <c r="AA85" s="1062"/>
      <c r="AB85" s="1062"/>
      <c r="AC85" s="1062"/>
      <c r="AD85" s="1062"/>
      <c r="AE85" s="1062"/>
      <c r="AF85" s="1062"/>
      <c r="AG85" s="1061"/>
      <c r="AH85" s="2853">
        <f>IF(SUM(AH69:AN84)=0,"",SUM(AH69:AN84))</f>
        <v>1014207</v>
      </c>
      <c r="AI85" s="2854"/>
      <c r="AJ85" s="2854"/>
      <c r="AK85" s="2854"/>
      <c r="AL85" s="2854"/>
      <c r="AM85" s="2854"/>
      <c r="AN85" s="2855"/>
      <c r="AO85" s="919"/>
      <c r="AP85" s="919"/>
      <c r="AQ85" s="919"/>
      <c r="AR85" s="919"/>
      <c r="AS85" s="919"/>
      <c r="AT85" s="919"/>
      <c r="AU85" s="2893">
        <f>IF(B2=0,"",IF(SUM(AU44:AZ84)=0,0,SUM(AU44:AZ84)))</f>
        <v>112.17538000000003</v>
      </c>
      <c r="AV85" s="2894"/>
      <c r="AW85" s="2894"/>
      <c r="AX85" s="2894"/>
      <c r="AY85" s="2894"/>
      <c r="AZ85" s="2895"/>
      <c r="BA85" s="919"/>
      <c r="BB85" s="919"/>
      <c r="BC85" s="919"/>
      <c r="BD85" s="919"/>
      <c r="BE85" s="919"/>
      <c r="BF85" s="919"/>
      <c r="BG85" s="919"/>
      <c r="BH85" s="919"/>
      <c r="BI85" s="919"/>
      <c r="BJ85" s="919"/>
      <c r="BK85" s="919"/>
      <c r="BL85" s="919"/>
      <c r="BM85" s="919"/>
      <c r="BN85" s="919"/>
      <c r="BO85" s="919"/>
      <c r="BP85" s="919"/>
      <c r="BQ85" s="919"/>
      <c r="BR85" s="919"/>
      <c r="BS85" s="919"/>
      <c r="BT85" s="919"/>
      <c r="BU85" s="917"/>
      <c r="BV85" s="941"/>
      <c r="BW85" s="1060"/>
      <c r="BX85" s="936">
        <f>Top!$E$56</f>
        <v>0</v>
      </c>
      <c r="BY85" s="937" t="str">
        <f t="shared" si="26"/>
        <v/>
      </c>
      <c r="BZ85" s="1054">
        <f>IF(CQ250="  1F",Top!$O$56+Top!W78,Top!$O$56)</f>
        <v>0</v>
      </c>
      <c r="CA85" s="1057">
        <f>IF(BZ85="","",SUM($BZ$69:BZ85))</f>
        <v>67</v>
      </c>
      <c r="CB85" s="1058">
        <f t="shared" si="27"/>
        <v>0</v>
      </c>
      <c r="CC85" s="1054">
        <f t="shared" si="28"/>
        <v>0</v>
      </c>
      <c r="CD85" s="1057">
        <f>IF(CC85=0,0,SUM(CC85:CE$89))</f>
        <v>0</v>
      </c>
      <c r="CE85" s="1007">
        <f>IF(OR(BY85="",BY85="  1F"),0,IF(LEFT(BY85,2)=" B",CC85,SUM($CB$69:$CB85)))</f>
        <v>0</v>
      </c>
      <c r="CF85" s="942"/>
      <c r="CG85" s="936"/>
      <c r="CH85" s="936"/>
      <c r="CI85" s="936"/>
      <c r="CM85" s="1050" t="s">
        <v>2611</v>
      </c>
      <c r="CQ85" s="1051"/>
      <c r="CU85" s="916"/>
      <c r="CV85" s="1051"/>
      <c r="CW85" s="936"/>
      <c r="CX85" s="936"/>
      <c r="CY85" s="936"/>
      <c r="CZ85" s="1051"/>
      <c r="DA85" s="942"/>
      <c r="DB85" s="936"/>
      <c r="DC85" s="936"/>
    </row>
    <row r="86" spans="2:107">
      <c r="BV86" s="936"/>
      <c r="BW86" s="1060"/>
      <c r="BX86" s="936">
        <f>Top!$E$58</f>
        <v>0</v>
      </c>
      <c r="BY86" s="937" t="str">
        <f t="shared" si="26"/>
        <v/>
      </c>
      <c r="BZ86" s="1054">
        <f>IF(CQ251="  1F",Top!$O$58+Top!W79,Top!$O$58)</f>
        <v>0</v>
      </c>
      <c r="CA86" s="1057">
        <f>IF(BZ86="","",SUM($BZ$69:BZ86))</f>
        <v>67</v>
      </c>
      <c r="CB86" s="1058">
        <f t="shared" si="27"/>
        <v>0</v>
      </c>
      <c r="CC86" s="1054">
        <f t="shared" si="28"/>
        <v>0</v>
      </c>
      <c r="CD86" s="1057">
        <f>IF(CC86=0,0,SUM(CC86:CE$89))</f>
        <v>0</v>
      </c>
      <c r="CE86" s="1007">
        <f>IF(OR(BY86="",BY86="  1F"),0,IF(LEFT(BY86,2)=" B",CC86,SUM($CB$69:$CB86)))</f>
        <v>0</v>
      </c>
      <c r="CF86" s="936"/>
      <c r="CG86" s="936"/>
      <c r="CH86" s="936"/>
      <c r="CI86" s="936"/>
      <c r="CM86" s="1050" t="s">
        <v>2610</v>
      </c>
      <c r="CQ86" s="1051"/>
      <c r="CV86" s="1051"/>
      <c r="CW86" s="936"/>
      <c r="CX86" s="936"/>
      <c r="CY86" s="936"/>
      <c r="CZ86" s="1051"/>
      <c r="DA86" s="942"/>
      <c r="DB86" s="936"/>
      <c r="DC86" s="936"/>
    </row>
    <row r="87" spans="2:107">
      <c r="BV87" s="936"/>
      <c r="BW87" s="1059"/>
      <c r="BX87" s="936">
        <f>Top!$E$60</f>
        <v>0</v>
      </c>
      <c r="BY87" s="937" t="str">
        <f t="shared" si="26"/>
        <v/>
      </c>
      <c r="BZ87" s="1054">
        <f>IF(CQ252="  1F",Top!$O$60+Top!W80,Top!$O$60)</f>
        <v>0</v>
      </c>
      <c r="CA87" s="1057">
        <f>IF(BZ87="","",SUM($BZ$69:BZ87))</f>
        <v>67</v>
      </c>
      <c r="CB87" s="1058">
        <f t="shared" si="27"/>
        <v>0</v>
      </c>
      <c r="CC87" s="1054">
        <f t="shared" si="28"/>
        <v>0</v>
      </c>
      <c r="CD87" s="1057">
        <f>IF(CC87=0,0,SUM(CC87:CE$89))</f>
        <v>0</v>
      </c>
      <c r="CE87" s="1007">
        <f>IF(OR(BY87="",BY87="  1F"),0,IF(LEFT(BY87,2)=" B",CC87,SUM($CB$69:$CB87)))</f>
        <v>0</v>
      </c>
      <c r="CF87" s="936"/>
      <c r="CG87" s="936"/>
      <c r="CH87" s="936"/>
      <c r="CI87" s="936"/>
      <c r="CM87" s="1050" t="s">
        <v>2609</v>
      </c>
      <c r="CQ87" s="1051"/>
      <c r="CV87" s="1051"/>
      <c r="CW87" s="936"/>
      <c r="CX87" s="936"/>
      <c r="CY87" s="936"/>
      <c r="CZ87" s="1051"/>
      <c r="DA87" s="942"/>
      <c r="DB87" s="936"/>
      <c r="DC87" s="936"/>
    </row>
    <row r="88" spans="2:107">
      <c r="BW88" s="916"/>
      <c r="BX88" s="936">
        <f>Top!$E$62</f>
        <v>0</v>
      </c>
      <c r="BY88" s="937" t="str">
        <f t="shared" si="26"/>
        <v/>
      </c>
      <c r="BZ88" s="1054">
        <f>IF(CQ253="  1F",Top!$O$62+Top!W81,Top!$O$62)</f>
        <v>0</v>
      </c>
      <c r="CA88" s="1057">
        <f>IF(BZ88="","",SUM($BZ$69:BZ88))</f>
        <v>67</v>
      </c>
      <c r="CB88" s="1058">
        <f t="shared" si="27"/>
        <v>0</v>
      </c>
      <c r="CC88" s="1054">
        <f t="shared" si="28"/>
        <v>0</v>
      </c>
      <c r="CD88" s="1057">
        <f>IF(CC88=0,0,SUM(CC88:CE$89))</f>
        <v>0</v>
      </c>
      <c r="CE88" s="1007">
        <f>IF(OR(BY88="",BY88="  1F"),0,IF(LEFT(BY88,2)=" B",CC88,SUM($CB$69:$CB88)))</f>
        <v>0</v>
      </c>
      <c r="CM88" s="1050" t="s">
        <v>2608</v>
      </c>
      <c r="CQ88" s="1051"/>
      <c r="CV88" s="1051"/>
      <c r="CW88" s="936"/>
      <c r="CX88" s="936"/>
      <c r="CY88" s="936"/>
      <c r="CZ88" s="1051"/>
      <c r="DA88" s="942"/>
      <c r="DB88" s="936"/>
      <c r="DC88" s="936"/>
    </row>
    <row r="89" spans="2:107">
      <c r="BW89" s="916"/>
      <c r="BX89" s="936"/>
      <c r="BY89" s="936"/>
      <c r="BZ89" s="936"/>
      <c r="CA89" s="1056">
        <f>MAX(CA69:CA88)</f>
        <v>67</v>
      </c>
      <c r="CB89" s="1055"/>
      <c r="CC89" s="1054">
        <f>MAX(CC69:CC88)</f>
        <v>10</v>
      </c>
      <c r="CD89" s="1053"/>
      <c r="CE89" s="1052">
        <f>MAX(CE69:CE88)</f>
        <v>44</v>
      </c>
      <c r="CM89" s="1050" t="s">
        <v>2607</v>
      </c>
      <c r="CQ89" s="1051"/>
      <c r="CV89" s="1051"/>
      <c r="CW89" s="936"/>
      <c r="CX89" s="936"/>
      <c r="CY89" s="936"/>
      <c r="CZ89" s="1051"/>
      <c r="DA89" s="942"/>
      <c r="DB89" s="936"/>
      <c r="DC89" s="936"/>
    </row>
    <row r="90" spans="2:107">
      <c r="BW90" s="916"/>
      <c r="CA90" s="916"/>
      <c r="CM90" s="1050" t="s">
        <v>2606</v>
      </c>
      <c r="CQ90" s="1051"/>
      <c r="CV90" s="1051"/>
      <c r="CW90" s="936"/>
      <c r="CX90" s="936"/>
      <c r="CY90" s="936"/>
      <c r="CZ90" s="1051"/>
      <c r="DA90" s="942"/>
      <c r="DB90" s="936"/>
      <c r="DC90" s="936"/>
    </row>
    <row r="91" spans="2:107">
      <c r="BW91" s="916"/>
      <c r="CA91" s="916"/>
      <c r="CM91" s="1050" t="s">
        <v>2605</v>
      </c>
      <c r="CQ91" s="1051"/>
      <c r="CV91" s="1051"/>
      <c r="CW91" s="936"/>
      <c r="CX91" s="936"/>
      <c r="CY91" s="936"/>
      <c r="CZ91" s="1051"/>
      <c r="DA91" s="942"/>
      <c r="DB91" s="936"/>
      <c r="DC91" s="936"/>
    </row>
    <row r="92" spans="2:107">
      <c r="BW92" s="916"/>
      <c r="CA92" s="916"/>
      <c r="CM92" s="1050" t="s">
        <v>2604</v>
      </c>
      <c r="CQ92" s="1051"/>
      <c r="CV92" s="1051"/>
      <c r="CW92" s="936"/>
      <c r="CX92" s="936"/>
      <c r="CY92" s="936"/>
      <c r="CZ92" s="1051"/>
      <c r="DA92" s="942"/>
      <c r="DB92" s="936"/>
      <c r="DC92" s="936"/>
    </row>
    <row r="93" spans="2:107">
      <c r="BW93" s="916"/>
      <c r="CM93" s="1050" t="s">
        <v>2603</v>
      </c>
      <c r="CQ93" s="1051"/>
      <c r="CV93" s="1051"/>
      <c r="CW93" s="936"/>
      <c r="CX93" s="936"/>
      <c r="CY93" s="936"/>
      <c r="CZ93" s="1051"/>
      <c r="DA93" s="942"/>
      <c r="DB93" s="936"/>
      <c r="DC93" s="936"/>
    </row>
    <row r="94" spans="2:107">
      <c r="BW94" s="916"/>
      <c r="CM94" s="1050" t="s">
        <v>2602</v>
      </c>
      <c r="CQ94" s="1051"/>
      <c r="CV94" s="1051"/>
      <c r="CW94" s="936"/>
      <c r="CX94" s="936"/>
      <c r="CY94" s="936"/>
      <c r="CZ94" s="1051"/>
      <c r="DA94" s="942"/>
      <c r="DB94" s="936"/>
      <c r="DC94" s="936"/>
    </row>
    <row r="95" spans="2:107">
      <c r="BW95" s="916"/>
      <c r="CM95" s="1050" t="s">
        <v>2601</v>
      </c>
      <c r="CQ95" s="1051"/>
      <c r="CV95" s="1051"/>
      <c r="CW95" s="936"/>
      <c r="CX95" s="936"/>
      <c r="CY95" s="936"/>
      <c r="CZ95" s="1051"/>
      <c r="DA95" s="942"/>
      <c r="DB95" s="936"/>
      <c r="DC95" s="936"/>
    </row>
    <row r="96" spans="2:107">
      <c r="BW96" s="916"/>
      <c r="CM96" s="1050" t="s">
        <v>2600</v>
      </c>
      <c r="CQ96" s="1051"/>
      <c r="CV96" s="1051"/>
      <c r="CW96" s="936"/>
      <c r="CX96" s="936"/>
      <c r="CY96" s="936"/>
      <c r="CZ96" s="1051"/>
      <c r="DA96" s="942"/>
      <c r="DB96" s="936"/>
      <c r="DC96" s="936"/>
    </row>
    <row r="97" spans="91:107">
      <c r="CM97" s="1050" t="s">
        <v>2599</v>
      </c>
      <c r="CQ97" s="1051"/>
      <c r="CV97" s="1051"/>
      <c r="CW97" s="936"/>
      <c r="CX97" s="936"/>
      <c r="CY97" s="936"/>
      <c r="CZ97" s="1051"/>
      <c r="DA97" s="942"/>
      <c r="DB97" s="936"/>
      <c r="DC97" s="936"/>
    </row>
    <row r="98" spans="91:107">
      <c r="CM98" s="1050" t="s">
        <v>2598</v>
      </c>
      <c r="CQ98" s="1051"/>
      <c r="CV98" s="1051"/>
      <c r="CZ98" s="1051"/>
      <c r="DA98" s="1004"/>
    </row>
    <row r="99" spans="91:107">
      <c r="CM99" s="1050" t="s">
        <v>2597</v>
      </c>
      <c r="CQ99" s="1051"/>
      <c r="CV99" s="1051"/>
      <c r="CZ99" s="1051"/>
      <c r="DA99" s="1004"/>
    </row>
    <row r="100" spans="91:107">
      <c r="CM100" s="1050" t="s">
        <v>2596</v>
      </c>
      <c r="CQ100" s="1051"/>
      <c r="CV100" s="1051"/>
      <c r="CZ100" s="1051"/>
      <c r="DA100" s="1004"/>
    </row>
    <row r="101" spans="91:107">
      <c r="CM101" s="1050" t="s">
        <v>2595</v>
      </c>
      <c r="CQ101" s="1051"/>
      <c r="CV101" s="1051"/>
      <c r="CZ101" s="1051"/>
      <c r="DA101" s="1004"/>
    </row>
    <row r="102" spans="91:107">
      <c r="CM102" s="1050" t="s">
        <v>2594</v>
      </c>
      <c r="CQ102" s="1051"/>
      <c r="CV102" s="1051"/>
      <c r="CZ102" s="1051"/>
      <c r="DA102" s="1004"/>
    </row>
    <row r="103" spans="91:107">
      <c r="CM103" s="1050" t="s">
        <v>2593</v>
      </c>
      <c r="CQ103" s="1051"/>
      <c r="CV103" s="1051"/>
      <c r="CZ103" s="1051"/>
      <c r="DA103" s="1004"/>
    </row>
    <row r="104" spans="91:107">
      <c r="CM104" s="1050" t="s">
        <v>2592</v>
      </c>
      <c r="CV104" s="1051"/>
      <c r="CZ104" s="1051"/>
      <c r="DA104" s="1004"/>
    </row>
    <row r="105" spans="91:107">
      <c r="CM105" s="1050" t="s">
        <v>2591</v>
      </c>
      <c r="CQ105" s="1051"/>
      <c r="CV105" s="1051"/>
      <c r="CZ105" s="1051"/>
      <c r="DA105" s="1004"/>
    </row>
    <row r="106" spans="91:107">
      <c r="CM106" s="1050" t="s">
        <v>2590</v>
      </c>
      <c r="CQ106" s="1051"/>
      <c r="CV106" s="1051"/>
      <c r="CZ106" s="1051"/>
      <c r="DA106" s="1004"/>
    </row>
    <row r="107" spans="91:107">
      <c r="CM107" s="1050" t="s">
        <v>2589</v>
      </c>
      <c r="CQ107" s="1051"/>
      <c r="CV107" s="1051"/>
      <c r="CZ107" s="1051"/>
      <c r="DA107" s="1004"/>
    </row>
    <row r="108" spans="91:107">
      <c r="CM108" s="1050" t="s">
        <v>2588</v>
      </c>
      <c r="CQ108" s="1051"/>
      <c r="CV108" s="1051"/>
      <c r="CZ108" s="1051"/>
      <c r="DA108" s="1004"/>
    </row>
    <row r="109" spans="91:107">
      <c r="CM109" s="1050" t="s">
        <v>2587</v>
      </c>
      <c r="CQ109" s="1051"/>
      <c r="CZ109" s="1051"/>
      <c r="DA109" s="1004"/>
    </row>
    <row r="110" spans="91:107">
      <c r="CM110" s="1050" t="s">
        <v>2586</v>
      </c>
      <c r="CQ110" s="1051"/>
      <c r="CZ110" s="1051"/>
      <c r="DA110" s="1004"/>
    </row>
    <row r="111" spans="91:107">
      <c r="CM111" s="1050" t="s">
        <v>2585</v>
      </c>
      <c r="CQ111" s="1051"/>
      <c r="CZ111" s="1051"/>
      <c r="DA111" s="1004"/>
    </row>
    <row r="112" spans="91:107">
      <c r="CM112" s="1050" t="s">
        <v>2584</v>
      </c>
      <c r="CQ112" s="1051"/>
      <c r="CZ112" s="1051"/>
      <c r="DA112" s="1004"/>
    </row>
    <row r="113" spans="91:105">
      <c r="CM113" s="1050" t="s">
        <v>2583</v>
      </c>
      <c r="CQ113" s="1051"/>
      <c r="CZ113" s="1051"/>
      <c r="DA113" s="1004"/>
    </row>
    <row r="114" spans="91:105">
      <c r="CM114" s="1050" t="s">
        <v>2582</v>
      </c>
      <c r="CQ114" s="1051"/>
      <c r="CZ114" s="1051"/>
      <c r="DA114" s="1004"/>
    </row>
    <row r="115" spans="91:105">
      <c r="CM115" s="1050" t="s">
        <v>2581</v>
      </c>
      <c r="CQ115" s="1051"/>
      <c r="CZ115" s="1051"/>
      <c r="DA115" s="1004"/>
    </row>
    <row r="116" spans="91:105">
      <c r="CM116" s="1050" t="s">
        <v>2580</v>
      </c>
      <c r="CQ116" s="1051"/>
      <c r="CZ116" s="1051"/>
      <c r="DA116" s="1004"/>
    </row>
    <row r="117" spans="91:105">
      <c r="CM117" s="1050" t="s">
        <v>2579</v>
      </c>
      <c r="CQ117" s="1051"/>
      <c r="CZ117" s="1051"/>
      <c r="DA117" s="1004"/>
    </row>
    <row r="118" spans="91:105">
      <c r="CM118" s="1050" t="s">
        <v>2578</v>
      </c>
      <c r="CQ118" s="1051"/>
      <c r="CZ118" s="1051"/>
      <c r="DA118" s="1004"/>
    </row>
    <row r="119" spans="91:105">
      <c r="CM119" s="1050" t="s">
        <v>2577</v>
      </c>
      <c r="CQ119" s="1051"/>
      <c r="CZ119" s="1051"/>
      <c r="DA119" s="1004"/>
    </row>
    <row r="120" spans="91:105">
      <c r="CM120" s="1050" t="s">
        <v>2576</v>
      </c>
      <c r="CQ120" s="1051"/>
      <c r="CZ120" s="1051"/>
      <c r="DA120" s="1004"/>
    </row>
    <row r="121" spans="91:105">
      <c r="CM121" s="1050" t="s">
        <v>2575</v>
      </c>
      <c r="CQ121" s="1051"/>
      <c r="CZ121" s="1051"/>
      <c r="DA121" s="1004"/>
    </row>
    <row r="122" spans="91:105">
      <c r="CM122" s="1050" t="s">
        <v>2574</v>
      </c>
      <c r="CZ122" s="1051"/>
      <c r="DA122" s="1004"/>
    </row>
    <row r="123" spans="91:105">
      <c r="CM123" s="1050" t="s">
        <v>2573</v>
      </c>
      <c r="CZ123" s="1051"/>
      <c r="DA123" s="1004"/>
    </row>
    <row r="124" spans="91:105">
      <c r="CM124" s="1050" t="s">
        <v>2572</v>
      </c>
      <c r="CZ124" s="1051"/>
      <c r="DA124" s="1004"/>
    </row>
    <row r="125" spans="91:105">
      <c r="CM125" s="1050" t="s">
        <v>2571</v>
      </c>
      <c r="CZ125" s="1051"/>
      <c r="DA125" s="1004"/>
    </row>
    <row r="126" spans="91:105">
      <c r="CM126" s="1050" t="s">
        <v>2570</v>
      </c>
      <c r="CZ126" s="1051"/>
      <c r="DA126" s="1004"/>
    </row>
    <row r="127" spans="91:105">
      <c r="CM127" s="1050" t="s">
        <v>2569</v>
      </c>
      <c r="CZ127" s="1051"/>
      <c r="DA127" s="1004"/>
    </row>
    <row r="128" spans="91:105">
      <c r="CM128" s="1050" t="s">
        <v>2568</v>
      </c>
      <c r="CZ128" s="1051"/>
      <c r="DA128" s="1004"/>
    </row>
    <row r="129" spans="91:105">
      <c r="CM129" s="1050" t="s">
        <v>2567</v>
      </c>
      <c r="CZ129" s="1051"/>
      <c r="DA129" s="1004"/>
    </row>
    <row r="130" spans="91:105">
      <c r="CM130" s="1050" t="s">
        <v>2566</v>
      </c>
      <c r="CZ130" s="1051"/>
      <c r="DA130" s="1004"/>
    </row>
    <row r="131" spans="91:105">
      <c r="CM131" s="1050" t="s">
        <v>2565</v>
      </c>
      <c r="CZ131" s="1051"/>
      <c r="DA131" s="1004"/>
    </row>
    <row r="132" spans="91:105">
      <c r="CM132" s="1050" t="s">
        <v>2564</v>
      </c>
      <c r="CZ132" s="1051"/>
      <c r="DA132" s="1004"/>
    </row>
    <row r="133" spans="91:105">
      <c r="CM133" s="1050" t="s">
        <v>2563</v>
      </c>
      <c r="CZ133" s="1051"/>
      <c r="DA133" s="1004"/>
    </row>
    <row r="134" spans="91:105">
      <c r="CM134" s="1050" t="s">
        <v>2562</v>
      </c>
      <c r="CZ134" s="1051"/>
      <c r="DA134" s="1004"/>
    </row>
    <row r="135" spans="91:105">
      <c r="CM135" s="1050" t="s">
        <v>2561</v>
      </c>
      <c r="CZ135" s="1051"/>
      <c r="DA135" s="1004"/>
    </row>
    <row r="136" spans="91:105">
      <c r="CM136" s="1050" t="s">
        <v>2560</v>
      </c>
      <c r="CZ136" s="1051"/>
      <c r="DA136" s="1004"/>
    </row>
    <row r="137" spans="91:105">
      <c r="CM137" s="1050" t="s">
        <v>2559</v>
      </c>
      <c r="CZ137" s="1051"/>
      <c r="DA137" s="1004"/>
    </row>
    <row r="138" spans="91:105">
      <c r="CM138" s="1050" t="s">
        <v>2558</v>
      </c>
      <c r="CZ138" s="1051"/>
      <c r="DA138" s="1004"/>
    </row>
    <row r="139" spans="91:105">
      <c r="CM139" s="1050" t="s">
        <v>2557</v>
      </c>
      <c r="CZ139" s="1051"/>
      <c r="DA139" s="1004"/>
    </row>
    <row r="140" spans="91:105">
      <c r="CM140" s="1050" t="s">
        <v>2556</v>
      </c>
      <c r="CZ140" s="1051"/>
      <c r="DA140" s="1004"/>
    </row>
    <row r="141" spans="91:105">
      <c r="CM141" s="1050" t="s">
        <v>2555</v>
      </c>
      <c r="CZ141" s="1051"/>
      <c r="DA141" s="1004"/>
    </row>
    <row r="142" spans="91:105">
      <c r="CM142" s="1050" t="s">
        <v>2554</v>
      </c>
      <c r="CZ142" s="1051"/>
      <c r="DA142" s="1004"/>
    </row>
    <row r="143" spans="91:105">
      <c r="CM143" s="1050" t="s">
        <v>2553</v>
      </c>
      <c r="CZ143" s="1051"/>
      <c r="DA143" s="1004"/>
    </row>
    <row r="144" spans="91:105">
      <c r="CM144" s="1050" t="s">
        <v>2552</v>
      </c>
      <c r="CZ144" s="1051"/>
      <c r="DA144" s="1004"/>
    </row>
    <row r="145" spans="91:105">
      <c r="CM145" s="1050" t="s">
        <v>2551</v>
      </c>
      <c r="CZ145" s="1051"/>
      <c r="DA145" s="1004"/>
    </row>
    <row r="146" spans="91:105">
      <c r="CM146" s="1050" t="s">
        <v>2550</v>
      </c>
      <c r="CZ146" s="1051"/>
      <c r="DA146" s="1004"/>
    </row>
    <row r="147" spans="91:105">
      <c r="CM147" s="1050" t="s">
        <v>2549</v>
      </c>
      <c r="CZ147" s="1051"/>
      <c r="DA147" s="1004"/>
    </row>
    <row r="148" spans="91:105">
      <c r="CM148" s="1050" t="s">
        <v>2548</v>
      </c>
      <c r="CZ148" s="1051"/>
      <c r="DA148" s="1004"/>
    </row>
    <row r="149" spans="91:105">
      <c r="CM149" s="1050" t="s">
        <v>2547</v>
      </c>
      <c r="CZ149" s="1051"/>
      <c r="DA149" s="1004"/>
    </row>
    <row r="150" spans="91:105">
      <c r="CM150" s="1050" t="s">
        <v>2546</v>
      </c>
      <c r="CZ150" s="1051"/>
      <c r="DA150" s="1004"/>
    </row>
    <row r="151" spans="91:105">
      <c r="CM151" s="1050" t="s">
        <v>2545</v>
      </c>
      <c r="CZ151" s="1051"/>
      <c r="DA151" s="1004"/>
    </row>
    <row r="152" spans="91:105">
      <c r="CM152" s="1050" t="s">
        <v>2544</v>
      </c>
      <c r="CZ152" s="1051"/>
      <c r="DA152" s="1004"/>
    </row>
    <row r="153" spans="91:105">
      <c r="CM153" s="1050" t="s">
        <v>2543</v>
      </c>
      <c r="CZ153" s="1051"/>
      <c r="DA153" s="1004"/>
    </row>
    <row r="154" spans="91:105">
      <c r="CM154" s="1050" t="s">
        <v>2542</v>
      </c>
      <c r="CZ154" s="1051"/>
      <c r="DA154" s="1004"/>
    </row>
    <row r="155" spans="91:105">
      <c r="CM155" s="1050" t="s">
        <v>2541</v>
      </c>
      <c r="CZ155" s="1051"/>
      <c r="DA155" s="1004"/>
    </row>
    <row r="156" spans="91:105">
      <c r="CM156" s="1050" t="s">
        <v>2540</v>
      </c>
      <c r="CZ156" s="1051"/>
      <c r="DA156" s="1004"/>
    </row>
    <row r="157" spans="91:105">
      <c r="CM157" s="1050" t="s">
        <v>2539</v>
      </c>
      <c r="CZ157" s="1051"/>
      <c r="DA157" s="1004"/>
    </row>
    <row r="158" spans="91:105">
      <c r="CM158" s="1050" t="s">
        <v>2538</v>
      </c>
      <c r="CZ158" s="1051"/>
      <c r="DA158" s="1004"/>
    </row>
    <row r="159" spans="91:105">
      <c r="CM159" s="1050" t="s">
        <v>2537</v>
      </c>
      <c r="CZ159" s="1051"/>
      <c r="DA159" s="1004"/>
    </row>
    <row r="160" spans="91:105">
      <c r="CM160" s="1050" t="s">
        <v>2536</v>
      </c>
      <c r="CZ160" s="1051"/>
      <c r="DA160" s="1004"/>
    </row>
    <row r="161" spans="91:105">
      <c r="CM161" s="1050" t="s">
        <v>2535</v>
      </c>
      <c r="CZ161" s="1051"/>
      <c r="DA161" s="1004"/>
    </row>
    <row r="162" spans="91:105">
      <c r="CM162" s="1050" t="s">
        <v>2534</v>
      </c>
      <c r="CZ162" s="1051"/>
      <c r="DA162" s="1004"/>
    </row>
    <row r="163" spans="91:105">
      <c r="CM163" s="1050" t="s">
        <v>2533</v>
      </c>
      <c r="CZ163" s="1051"/>
      <c r="DA163" s="1004"/>
    </row>
    <row r="164" spans="91:105">
      <c r="CM164" s="1050" t="s">
        <v>2532</v>
      </c>
      <c r="CZ164" s="1051"/>
      <c r="DA164" s="1004"/>
    </row>
    <row r="165" spans="91:105">
      <c r="CM165" s="1050" t="s">
        <v>2531</v>
      </c>
      <c r="CZ165" s="1051"/>
      <c r="DA165" s="1004"/>
    </row>
    <row r="166" spans="91:105">
      <c r="CM166" s="1050" t="s">
        <v>2530</v>
      </c>
      <c r="CZ166" s="1051"/>
      <c r="DA166" s="1004"/>
    </row>
    <row r="167" spans="91:105">
      <c r="CM167" s="1050" t="s">
        <v>2529</v>
      </c>
      <c r="CZ167" s="1051"/>
      <c r="DA167" s="1004"/>
    </row>
    <row r="168" spans="91:105">
      <c r="CM168" s="1050" t="s">
        <v>2528</v>
      </c>
      <c r="CZ168" s="1051"/>
      <c r="DA168" s="1004"/>
    </row>
    <row r="169" spans="91:105">
      <c r="CM169" s="1050" t="s">
        <v>2527</v>
      </c>
      <c r="CZ169" s="1051"/>
      <c r="DA169" s="1004"/>
    </row>
    <row r="170" spans="91:105">
      <c r="CM170" s="1050" t="s">
        <v>2526</v>
      </c>
      <c r="CZ170" s="1051"/>
      <c r="DA170" s="1004"/>
    </row>
    <row r="171" spans="91:105">
      <c r="CM171" s="1050" t="s">
        <v>2525</v>
      </c>
      <c r="CZ171" s="1051"/>
      <c r="DA171" s="1004"/>
    </row>
    <row r="172" spans="91:105">
      <c r="CM172" s="1050" t="s">
        <v>2524</v>
      </c>
      <c r="CZ172" s="1051"/>
      <c r="DA172" s="1004"/>
    </row>
    <row r="173" spans="91:105">
      <c r="CM173" s="1050" t="s">
        <v>2523</v>
      </c>
      <c r="CZ173" s="1051"/>
      <c r="DA173" s="1004"/>
    </row>
    <row r="174" spans="91:105">
      <c r="CM174" s="1050" t="s">
        <v>2522</v>
      </c>
      <c r="CZ174" s="1051"/>
      <c r="DA174" s="1004"/>
    </row>
    <row r="175" spans="91:105">
      <c r="CM175" s="1050" t="s">
        <v>2521</v>
      </c>
      <c r="CZ175" s="1051"/>
      <c r="DA175" s="1004"/>
    </row>
    <row r="176" spans="91:105">
      <c r="CM176" s="1050" t="s">
        <v>2520</v>
      </c>
      <c r="CZ176" s="1051"/>
      <c r="DA176" s="1004"/>
    </row>
    <row r="177" spans="91:105">
      <c r="CM177" s="1050" t="s">
        <v>2519</v>
      </c>
      <c r="CZ177" s="1051"/>
      <c r="DA177" s="1004"/>
    </row>
    <row r="178" spans="91:105">
      <c r="CM178" s="1050" t="s">
        <v>2518</v>
      </c>
      <c r="CZ178" s="1051"/>
      <c r="DA178" s="1004"/>
    </row>
    <row r="179" spans="91:105">
      <c r="CM179" s="1050" t="s">
        <v>2517</v>
      </c>
      <c r="CZ179" s="1051"/>
      <c r="DA179" s="1004"/>
    </row>
    <row r="180" spans="91:105">
      <c r="CM180" s="1050" t="s">
        <v>2516</v>
      </c>
      <c r="CZ180" s="1051"/>
      <c r="DA180" s="1004"/>
    </row>
    <row r="181" spans="91:105">
      <c r="CM181" s="1050" t="s">
        <v>2515</v>
      </c>
      <c r="CZ181" s="1051"/>
      <c r="DA181" s="1004"/>
    </row>
    <row r="182" spans="91:105">
      <c r="CM182" s="1050" t="s">
        <v>2514</v>
      </c>
      <c r="CZ182" s="1051"/>
      <c r="DA182" s="1004"/>
    </row>
    <row r="183" spans="91:105">
      <c r="CM183" s="1050" t="s">
        <v>2513</v>
      </c>
      <c r="CZ183" s="1051"/>
      <c r="DA183" s="1004"/>
    </row>
    <row r="184" spans="91:105">
      <c r="CM184" s="1050" t="s">
        <v>2512</v>
      </c>
      <c r="CZ184" s="1051"/>
      <c r="DA184" s="1004"/>
    </row>
    <row r="185" spans="91:105">
      <c r="CM185" s="1050" t="s">
        <v>2511</v>
      </c>
      <c r="CZ185" s="1051"/>
      <c r="DA185" s="1004"/>
    </row>
    <row r="186" spans="91:105">
      <c r="CM186" s="1050" t="s">
        <v>2510</v>
      </c>
      <c r="CZ186" s="1051"/>
      <c r="DA186" s="1004"/>
    </row>
    <row r="187" spans="91:105">
      <c r="CM187" s="1050" t="s">
        <v>2509</v>
      </c>
      <c r="CZ187" s="1051"/>
      <c r="DA187" s="1004"/>
    </row>
    <row r="188" spans="91:105">
      <c r="CM188" s="1050" t="s">
        <v>2508</v>
      </c>
      <c r="CZ188" s="1051"/>
      <c r="DA188" s="1004"/>
    </row>
    <row r="189" spans="91:105">
      <c r="CM189" s="1050" t="s">
        <v>2507</v>
      </c>
      <c r="CZ189" s="1051"/>
      <c r="DA189" s="1004"/>
    </row>
    <row r="190" spans="91:105">
      <c r="CM190" s="1050" t="s">
        <v>2506</v>
      </c>
      <c r="CZ190" s="1051"/>
      <c r="DA190" s="1004"/>
    </row>
    <row r="191" spans="91:105">
      <c r="CM191" s="1050" t="s">
        <v>2505</v>
      </c>
      <c r="CZ191" s="1051"/>
      <c r="DA191" s="1004"/>
    </row>
    <row r="192" spans="91:105">
      <c r="CM192" s="1050" t="s">
        <v>2504</v>
      </c>
      <c r="CZ192" s="1051"/>
      <c r="DA192" s="1004"/>
    </row>
    <row r="193" spans="91:105">
      <c r="CM193" s="1050" t="s">
        <v>2503</v>
      </c>
      <c r="CZ193" s="1051"/>
      <c r="DA193" s="1004"/>
    </row>
    <row r="194" spans="91:105">
      <c r="CM194" s="1050" t="s">
        <v>2502</v>
      </c>
      <c r="CZ194" s="1051"/>
      <c r="DA194" s="1004"/>
    </row>
    <row r="195" spans="91:105">
      <c r="CM195" s="1050" t="s">
        <v>2501</v>
      </c>
      <c r="CZ195" s="1051"/>
      <c r="DA195" s="1004"/>
    </row>
    <row r="196" spans="91:105">
      <c r="CM196" s="1050" t="s">
        <v>2500</v>
      </c>
      <c r="CZ196" s="1051"/>
      <c r="DA196" s="1004"/>
    </row>
    <row r="197" spans="91:105">
      <c r="CM197" s="1050" t="s">
        <v>2499</v>
      </c>
      <c r="CZ197" s="1051"/>
      <c r="DA197" s="1004"/>
    </row>
    <row r="198" spans="91:105">
      <c r="CM198" s="1050" t="s">
        <v>2498</v>
      </c>
      <c r="CZ198" s="1051"/>
      <c r="DA198" s="1004"/>
    </row>
    <row r="199" spans="91:105">
      <c r="CM199" s="1050" t="s">
        <v>2497</v>
      </c>
      <c r="CZ199" s="1051"/>
      <c r="DA199" s="1004"/>
    </row>
    <row r="200" spans="91:105">
      <c r="CM200" s="1050" t="s">
        <v>2496</v>
      </c>
      <c r="CZ200" s="1051"/>
      <c r="DA200" s="1004"/>
    </row>
    <row r="201" spans="91:105">
      <c r="CM201" s="1050" t="s">
        <v>2495</v>
      </c>
      <c r="CZ201" s="1051"/>
      <c r="DA201" s="1004"/>
    </row>
    <row r="202" spans="91:105">
      <c r="CM202" s="1050" t="s">
        <v>2494</v>
      </c>
      <c r="CZ202" s="1051"/>
      <c r="DA202" s="1004"/>
    </row>
    <row r="203" spans="91:105">
      <c r="CM203" s="1050" t="s">
        <v>2493</v>
      </c>
      <c r="CZ203" s="1051"/>
      <c r="DA203" s="1004"/>
    </row>
    <row r="204" spans="91:105">
      <c r="CM204" s="1050" t="s">
        <v>2492</v>
      </c>
      <c r="CZ204" s="1051"/>
      <c r="DA204" s="1004"/>
    </row>
    <row r="205" spans="91:105">
      <c r="CM205" s="1050" t="s">
        <v>2491</v>
      </c>
      <c r="CZ205" s="1051"/>
      <c r="DA205" s="1004"/>
    </row>
    <row r="206" spans="91:105">
      <c r="CM206" s="1050" t="s">
        <v>2490</v>
      </c>
      <c r="CZ206" s="1051"/>
      <c r="DA206" s="1004"/>
    </row>
    <row r="207" spans="91:105">
      <c r="CM207" s="1050" t="s">
        <v>2489</v>
      </c>
    </row>
    <row r="208" spans="91:105">
      <c r="CM208" s="1050" t="s">
        <v>2488</v>
      </c>
    </row>
    <row r="209" spans="91:91">
      <c r="CM209" s="1050" t="s">
        <v>2487</v>
      </c>
    </row>
    <row r="210" spans="91:91">
      <c r="CM210" s="1050" t="s">
        <v>2486</v>
      </c>
    </row>
    <row r="211" spans="91:91">
      <c r="CM211" s="1050" t="s">
        <v>2485</v>
      </c>
    </row>
    <row r="212" spans="91:91">
      <c r="CM212" s="1050" t="s">
        <v>2484</v>
      </c>
    </row>
    <row r="213" spans="91:91">
      <c r="CM213" s="1050" t="s">
        <v>2483</v>
      </c>
    </row>
    <row r="214" spans="91:91">
      <c r="CM214" s="1050" t="s">
        <v>2482</v>
      </c>
    </row>
    <row r="215" spans="91:91">
      <c r="CM215" s="1050" t="s">
        <v>2481</v>
      </c>
    </row>
    <row r="216" spans="91:91">
      <c r="CM216" s="1050" t="s">
        <v>2480</v>
      </c>
    </row>
    <row r="217" spans="91:91">
      <c r="CM217" s="1050" t="s">
        <v>2479</v>
      </c>
    </row>
    <row r="218" spans="91:91">
      <c r="CM218" s="1050" t="s">
        <v>2478</v>
      </c>
    </row>
    <row r="219" spans="91:91">
      <c r="CM219" s="1050" t="s">
        <v>2477</v>
      </c>
    </row>
    <row r="220" spans="91:91">
      <c r="CM220" s="1050" t="s">
        <v>2476</v>
      </c>
    </row>
    <row r="221" spans="91:91">
      <c r="CM221" s="1050" t="s">
        <v>2475</v>
      </c>
    </row>
    <row r="222" spans="91:91">
      <c r="CM222" s="1050" t="s">
        <v>2474</v>
      </c>
    </row>
    <row r="223" spans="91:91">
      <c r="CM223" s="1050" t="s">
        <v>2473</v>
      </c>
    </row>
  </sheetData>
  <sheetProtection password="8120" sheet="1" objects="1" scenarios="1"/>
  <mergeCells count="582">
    <mergeCell ref="AU78:AZ78"/>
    <mergeCell ref="AU79:AZ79"/>
    <mergeCell ref="AU80:AZ80"/>
    <mergeCell ref="AU81:AZ81"/>
    <mergeCell ref="AU82:AZ82"/>
    <mergeCell ref="AU83:AZ83"/>
    <mergeCell ref="AH83:AN83"/>
    <mergeCell ref="AP78:AT78"/>
    <mergeCell ref="AP79:AT79"/>
    <mergeCell ref="AP80:AT80"/>
    <mergeCell ref="AP81:AT81"/>
    <mergeCell ref="AP82:AT82"/>
    <mergeCell ref="AP83:AT83"/>
    <mergeCell ref="AB18:AI18"/>
    <mergeCell ref="AH78:AN78"/>
    <mergeCell ref="AH79:AN79"/>
    <mergeCell ref="AH80:AN80"/>
    <mergeCell ref="AH81:AN81"/>
    <mergeCell ref="AH82:AN82"/>
    <mergeCell ref="AB78:AG78"/>
    <mergeCell ref="AB79:AG79"/>
    <mergeCell ref="AB80:AG80"/>
    <mergeCell ref="AB81:AG81"/>
    <mergeCell ref="AH56:AN56"/>
    <mergeCell ref="AH48:AN48"/>
    <mergeCell ref="C81:M81"/>
    <mergeCell ref="C82:M82"/>
    <mergeCell ref="C83:M83"/>
    <mergeCell ref="N78:R78"/>
    <mergeCell ref="N79:R79"/>
    <mergeCell ref="N80:R80"/>
    <mergeCell ref="AB82:AG82"/>
    <mergeCell ref="AB83:AG83"/>
    <mergeCell ref="T78:X78"/>
    <mergeCell ref="T79:X79"/>
    <mergeCell ref="T80:X80"/>
    <mergeCell ref="T81:X81"/>
    <mergeCell ref="T82:X82"/>
    <mergeCell ref="T83:X83"/>
    <mergeCell ref="Y78:AA78"/>
    <mergeCell ref="Y79:AA79"/>
    <mergeCell ref="Y80:AA80"/>
    <mergeCell ref="Y81:AA81"/>
    <mergeCell ref="Y82:AA82"/>
    <mergeCell ref="Y83:AA83"/>
    <mergeCell ref="O9:Q10"/>
    <mergeCell ref="R9:U10"/>
    <mergeCell ref="V9:W10"/>
    <mergeCell ref="AH9:AI10"/>
    <mergeCell ref="AP8:AX8"/>
    <mergeCell ref="AL8:AO8"/>
    <mergeCell ref="D14:H14"/>
    <mergeCell ref="I14:N14"/>
    <mergeCell ref="O14:R14"/>
    <mergeCell ref="S14:AB14"/>
    <mergeCell ref="AD14:AM14"/>
    <mergeCell ref="AS11:AU11"/>
    <mergeCell ref="AW11:AX11"/>
    <mergeCell ref="D11:H11"/>
    <mergeCell ref="D8:N8"/>
    <mergeCell ref="O8:R8"/>
    <mergeCell ref="T8:W8"/>
    <mergeCell ref="Y8:AB8"/>
    <mergeCell ref="I11:N11"/>
    <mergeCell ref="O11:R11"/>
    <mergeCell ref="S11:AB11"/>
    <mergeCell ref="I12:M12"/>
    <mergeCell ref="AQ9:AW10"/>
    <mergeCell ref="AC12:AF12"/>
    <mergeCell ref="D7:M7"/>
    <mergeCell ref="O7:W7"/>
    <mergeCell ref="Y7:AF7"/>
    <mergeCell ref="AG7:AI7"/>
    <mergeCell ref="BS3:BS4"/>
    <mergeCell ref="BC5:BC6"/>
    <mergeCell ref="BD5:BH6"/>
    <mergeCell ref="BQ5:BT6"/>
    <mergeCell ref="B3:D4"/>
    <mergeCell ref="E3:W4"/>
    <mergeCell ref="S12:AB12"/>
    <mergeCell ref="BH21:BK21"/>
    <mergeCell ref="BH20:BK20"/>
    <mergeCell ref="BI18:BK18"/>
    <mergeCell ref="BA10:BB11"/>
    <mergeCell ref="Y3:AC4"/>
    <mergeCell ref="AE3:AM4"/>
    <mergeCell ref="AO3:AS4"/>
    <mergeCell ref="AU3:AX4"/>
    <mergeCell ref="AM9:AM10"/>
    <mergeCell ref="AN9:AP10"/>
    <mergeCell ref="Y9:Z10"/>
    <mergeCell ref="AA9:AC10"/>
    <mergeCell ref="AD9:AD10"/>
    <mergeCell ref="AE9:AG10"/>
    <mergeCell ref="AD11:AM11"/>
    <mergeCell ref="AN11:AR11"/>
    <mergeCell ref="AJ9:AL10"/>
    <mergeCell ref="AR21:AY21"/>
    <mergeCell ref="BA21:BG21"/>
    <mergeCell ref="BC3:BD4"/>
    <mergeCell ref="BJ3:BJ4"/>
    <mergeCell ref="BA12:BB13"/>
    <mergeCell ref="BC12:BC14"/>
    <mergeCell ref="BM16:BQ17"/>
    <mergeCell ref="BR16:BT17"/>
    <mergeCell ref="BH22:BK22"/>
    <mergeCell ref="C23:J23"/>
    <mergeCell ref="K23:V23"/>
    <mergeCell ref="X23:AH23"/>
    <mergeCell ref="AI23:AN23"/>
    <mergeCell ref="AR23:AY23"/>
    <mergeCell ref="BA23:BG23"/>
    <mergeCell ref="BH23:BK23"/>
    <mergeCell ref="C20:J20"/>
    <mergeCell ref="K20:V20"/>
    <mergeCell ref="X20:AH20"/>
    <mergeCell ref="AI20:AN20"/>
    <mergeCell ref="AR20:AY20"/>
    <mergeCell ref="BA20:BG20"/>
    <mergeCell ref="BI16:BK17"/>
    <mergeCell ref="BD16:BH17"/>
    <mergeCell ref="AO23:AQ23"/>
    <mergeCell ref="BR18:BT18"/>
    <mergeCell ref="C21:J21"/>
    <mergeCell ref="K21:V21"/>
    <mergeCell ref="X21:AH21"/>
    <mergeCell ref="AI21:AN21"/>
    <mergeCell ref="BH26:BK26"/>
    <mergeCell ref="C22:J22"/>
    <mergeCell ref="K22:V22"/>
    <mergeCell ref="X22:AH22"/>
    <mergeCell ref="AI22:AN22"/>
    <mergeCell ref="AR22:AY22"/>
    <mergeCell ref="BA22:BG22"/>
    <mergeCell ref="C25:J25"/>
    <mergeCell ref="K25:V25"/>
    <mergeCell ref="X25:AH25"/>
    <mergeCell ref="AI25:AN25"/>
    <mergeCell ref="AR27:AY27"/>
    <mergeCell ref="BA27:BG27"/>
    <mergeCell ref="BH27:BK27"/>
    <mergeCell ref="C27:J27"/>
    <mergeCell ref="AR25:AY25"/>
    <mergeCell ref="BA25:BG25"/>
    <mergeCell ref="BH25:BK25"/>
    <mergeCell ref="AR24:AY24"/>
    <mergeCell ref="BA24:BG24"/>
    <mergeCell ref="BH24:BK24"/>
    <mergeCell ref="AR26:AY26"/>
    <mergeCell ref="AI24:AN24"/>
    <mergeCell ref="C24:J24"/>
    <mergeCell ref="K24:V24"/>
    <mergeCell ref="X24:AH24"/>
    <mergeCell ref="AO24:AQ24"/>
    <mergeCell ref="AO25:AQ25"/>
    <mergeCell ref="AO26:AQ26"/>
    <mergeCell ref="AO27:AQ27"/>
    <mergeCell ref="C26:J26"/>
    <mergeCell ref="K26:V26"/>
    <mergeCell ref="X26:AH26"/>
    <mergeCell ref="AI26:AN26"/>
    <mergeCell ref="BA26:BG26"/>
    <mergeCell ref="K31:Q31"/>
    <mergeCell ref="R31:U31"/>
    <mergeCell ref="Y31:AD31"/>
    <mergeCell ref="AF31:AK31"/>
    <mergeCell ref="AL31:AP31"/>
    <mergeCell ref="C28:J28"/>
    <mergeCell ref="K27:V27"/>
    <mergeCell ref="X27:AH27"/>
    <mergeCell ref="AI27:AN27"/>
    <mergeCell ref="AO38:AY38"/>
    <mergeCell ref="AP43:AT43"/>
    <mergeCell ref="V32:X32"/>
    <mergeCell ref="AQ32:AS32"/>
    <mergeCell ref="AO28:AQ28"/>
    <mergeCell ref="BH31:BK31"/>
    <mergeCell ref="C32:I32"/>
    <mergeCell ref="K32:Q32"/>
    <mergeCell ref="R32:U32"/>
    <mergeCell ref="Y32:AD32"/>
    <mergeCell ref="AF32:AK32"/>
    <mergeCell ref="AL32:AP32"/>
    <mergeCell ref="K28:V28"/>
    <mergeCell ref="X28:AH28"/>
    <mergeCell ref="AI28:AN28"/>
    <mergeCell ref="AR28:AY28"/>
    <mergeCell ref="BA28:BG28"/>
    <mergeCell ref="AT31:AX31"/>
    <mergeCell ref="AY31:BA31"/>
    <mergeCell ref="BC31:BE31"/>
    <mergeCell ref="V31:X31"/>
    <mergeCell ref="AQ31:AS31"/>
    <mergeCell ref="BH28:BK28"/>
    <mergeCell ref="C31:I31"/>
    <mergeCell ref="AO37:AY37"/>
    <mergeCell ref="BK37:BN37"/>
    <mergeCell ref="V33:X33"/>
    <mergeCell ref="AQ33:AS33"/>
    <mergeCell ref="C37:Q37"/>
    <mergeCell ref="S37:AG37"/>
    <mergeCell ref="AH37:AJ37"/>
    <mergeCell ref="BA37:BJ37"/>
    <mergeCell ref="BA35:BJ35"/>
    <mergeCell ref="BK35:BN35"/>
    <mergeCell ref="C33:I33"/>
    <mergeCell ref="K33:Q33"/>
    <mergeCell ref="R33:U33"/>
    <mergeCell ref="Y33:AD33"/>
    <mergeCell ref="AF33:AK33"/>
    <mergeCell ref="AL33:AP33"/>
    <mergeCell ref="C35:Q35"/>
    <mergeCell ref="S35:AG35"/>
    <mergeCell ref="AH35:AJ35"/>
    <mergeCell ref="AO35:AY35"/>
    <mergeCell ref="BH43:BM43"/>
    <mergeCell ref="BO43:BT43"/>
    <mergeCell ref="T44:X44"/>
    <mergeCell ref="Y44:AA44"/>
    <mergeCell ref="AB44:AG44"/>
    <mergeCell ref="AU43:AZ43"/>
    <mergeCell ref="AU44:AZ44"/>
    <mergeCell ref="BB44:BD44"/>
    <mergeCell ref="BE44:BT44"/>
    <mergeCell ref="C44:M44"/>
    <mergeCell ref="N44:R44"/>
    <mergeCell ref="T43:X43"/>
    <mergeCell ref="Y43:AA43"/>
    <mergeCell ref="AB43:AG43"/>
    <mergeCell ref="AH43:AN43"/>
    <mergeCell ref="AH44:AN44"/>
    <mergeCell ref="AP44:AT44"/>
    <mergeCell ref="BB43:BG43"/>
    <mergeCell ref="C43:M43"/>
    <mergeCell ref="N43:R43"/>
    <mergeCell ref="AP48:AT48"/>
    <mergeCell ref="AU48:AZ48"/>
    <mergeCell ref="BB48:BD48"/>
    <mergeCell ref="BE48:BK48"/>
    <mergeCell ref="BL45:BT45"/>
    <mergeCell ref="C46:M46"/>
    <mergeCell ref="N46:R46"/>
    <mergeCell ref="T46:X46"/>
    <mergeCell ref="Y46:AA46"/>
    <mergeCell ref="AB46:AG46"/>
    <mergeCell ref="AP46:AT46"/>
    <mergeCell ref="AU46:AZ46"/>
    <mergeCell ref="BL46:BT46"/>
    <mergeCell ref="BB46:BK46"/>
    <mergeCell ref="C45:M45"/>
    <mergeCell ref="N45:R45"/>
    <mergeCell ref="T45:X45"/>
    <mergeCell ref="Y45:AA45"/>
    <mergeCell ref="AB45:AG45"/>
    <mergeCell ref="AH45:AN45"/>
    <mergeCell ref="AP45:AT45"/>
    <mergeCell ref="AH46:AN46"/>
    <mergeCell ref="AU45:AZ45"/>
    <mergeCell ref="BB45:BK45"/>
    <mergeCell ref="BL48:BT48"/>
    <mergeCell ref="AH47:AN47"/>
    <mergeCell ref="AP47:AT47"/>
    <mergeCell ref="AU47:AZ47"/>
    <mergeCell ref="BB47:BK47"/>
    <mergeCell ref="BL47:BT47"/>
    <mergeCell ref="C49:M49"/>
    <mergeCell ref="N49:R49"/>
    <mergeCell ref="T49:X49"/>
    <mergeCell ref="Y49:AA49"/>
    <mergeCell ref="AB49:AG49"/>
    <mergeCell ref="AH49:AN49"/>
    <mergeCell ref="AP49:AT49"/>
    <mergeCell ref="AU49:AZ49"/>
    <mergeCell ref="C48:M48"/>
    <mergeCell ref="N48:R48"/>
    <mergeCell ref="T48:X48"/>
    <mergeCell ref="Y48:AA48"/>
    <mergeCell ref="AB48:AG48"/>
    <mergeCell ref="C47:M47"/>
    <mergeCell ref="N47:R47"/>
    <mergeCell ref="T47:X47"/>
    <mergeCell ref="Y47:AA47"/>
    <mergeCell ref="AB47:AG47"/>
    <mergeCell ref="BL50:BO50"/>
    <mergeCell ref="BQ50:BT50"/>
    <mergeCell ref="C51:M51"/>
    <mergeCell ref="N51:R51"/>
    <mergeCell ref="T51:X51"/>
    <mergeCell ref="Y51:AA51"/>
    <mergeCell ref="AB51:AG51"/>
    <mergeCell ref="AH51:AN51"/>
    <mergeCell ref="AP51:AT51"/>
    <mergeCell ref="AU51:AZ51"/>
    <mergeCell ref="BL51:BT51"/>
    <mergeCell ref="C50:M50"/>
    <mergeCell ref="N50:R50"/>
    <mergeCell ref="T50:X50"/>
    <mergeCell ref="Y50:AA50"/>
    <mergeCell ref="AB50:AG50"/>
    <mergeCell ref="AH50:AN50"/>
    <mergeCell ref="AP50:AT50"/>
    <mergeCell ref="AU50:AZ50"/>
    <mergeCell ref="BB50:BK50"/>
    <mergeCell ref="AP56:AT56"/>
    <mergeCell ref="AU56:AZ56"/>
    <mergeCell ref="BL52:BO52"/>
    <mergeCell ref="BQ52:BT52"/>
    <mergeCell ref="AP53:AT53"/>
    <mergeCell ref="AU53:AZ53"/>
    <mergeCell ref="BL53:BT53"/>
    <mergeCell ref="T56:X56"/>
    <mergeCell ref="Y56:AA56"/>
    <mergeCell ref="AB56:AG56"/>
    <mergeCell ref="BO56:BR56"/>
    <mergeCell ref="C55:M55"/>
    <mergeCell ref="N55:R55"/>
    <mergeCell ref="C52:M52"/>
    <mergeCell ref="N52:R52"/>
    <mergeCell ref="T52:X52"/>
    <mergeCell ref="Y52:AA52"/>
    <mergeCell ref="AB52:AG52"/>
    <mergeCell ref="C53:M53"/>
    <mergeCell ref="N53:R53"/>
    <mergeCell ref="T53:X53"/>
    <mergeCell ref="Y53:AA53"/>
    <mergeCell ref="AB53:AG53"/>
    <mergeCell ref="C57:M57"/>
    <mergeCell ref="N57:R57"/>
    <mergeCell ref="T57:X57"/>
    <mergeCell ref="Y57:AA57"/>
    <mergeCell ref="AB57:AG57"/>
    <mergeCell ref="AH57:AN57"/>
    <mergeCell ref="AP54:AT54"/>
    <mergeCell ref="AU54:AZ54"/>
    <mergeCell ref="AP57:AT57"/>
    <mergeCell ref="AU57:AZ57"/>
    <mergeCell ref="C54:M54"/>
    <mergeCell ref="N54:R54"/>
    <mergeCell ref="T54:X54"/>
    <mergeCell ref="Y54:AA54"/>
    <mergeCell ref="AB54:AG54"/>
    <mergeCell ref="AH54:AN54"/>
    <mergeCell ref="T55:X55"/>
    <mergeCell ref="Y55:AA55"/>
    <mergeCell ref="AB55:AG55"/>
    <mergeCell ref="AP55:AT55"/>
    <mergeCell ref="AU55:AZ55"/>
    <mergeCell ref="AH55:AN55"/>
    <mergeCell ref="C56:M56"/>
    <mergeCell ref="N56:R56"/>
    <mergeCell ref="C75:M75"/>
    <mergeCell ref="N75:R75"/>
    <mergeCell ref="T75:X75"/>
    <mergeCell ref="AH75:AN75"/>
    <mergeCell ref="AU75:AZ75"/>
    <mergeCell ref="C74:M74"/>
    <mergeCell ref="N74:R74"/>
    <mergeCell ref="T74:X74"/>
    <mergeCell ref="AP74:AT74"/>
    <mergeCell ref="Y75:AA75"/>
    <mergeCell ref="AB75:AG75"/>
    <mergeCell ref="AP75:AT75"/>
    <mergeCell ref="Y74:AA74"/>
    <mergeCell ref="AB74:AG74"/>
    <mergeCell ref="AH74:AN74"/>
    <mergeCell ref="C84:M84"/>
    <mergeCell ref="N84:R84"/>
    <mergeCell ref="T84:X84"/>
    <mergeCell ref="Y84:AA84"/>
    <mergeCell ref="AB84:AG84"/>
    <mergeCell ref="AH84:AN84"/>
    <mergeCell ref="C76:M76"/>
    <mergeCell ref="N76:R76"/>
    <mergeCell ref="T76:X76"/>
    <mergeCell ref="Y76:AA76"/>
    <mergeCell ref="AB76:AG76"/>
    <mergeCell ref="AH76:AN76"/>
    <mergeCell ref="C77:M77"/>
    <mergeCell ref="N77:R77"/>
    <mergeCell ref="T77:X77"/>
    <mergeCell ref="Y77:AA77"/>
    <mergeCell ref="AB77:AG77"/>
    <mergeCell ref="AH77:AN77"/>
    <mergeCell ref="N81:R81"/>
    <mergeCell ref="N82:R82"/>
    <mergeCell ref="N83:R83"/>
    <mergeCell ref="C78:M78"/>
    <mergeCell ref="C79:M79"/>
    <mergeCell ref="C80:M80"/>
    <mergeCell ref="CM1:CQ1"/>
    <mergeCell ref="AN14:AR14"/>
    <mergeCell ref="AS14:AU14"/>
    <mergeCell ref="AW14:AX14"/>
    <mergeCell ref="BO14:BP14"/>
    <mergeCell ref="BR14:BS14"/>
    <mergeCell ref="BC9:BC11"/>
    <mergeCell ref="AU85:AZ85"/>
    <mergeCell ref="AP84:AT84"/>
    <mergeCell ref="AU84:AZ84"/>
    <mergeCell ref="AP76:AT76"/>
    <mergeCell ref="AU76:AZ76"/>
    <mergeCell ref="AP77:AT77"/>
    <mergeCell ref="AU77:AZ77"/>
    <mergeCell ref="AH85:AN85"/>
    <mergeCell ref="AU74:AZ74"/>
    <mergeCell ref="AP58:AT58"/>
    <mergeCell ref="AU58:AZ58"/>
    <mergeCell ref="AH58:AN58"/>
    <mergeCell ref="AP52:AT52"/>
    <mergeCell ref="AU52:AZ52"/>
    <mergeCell ref="BB52:BK52"/>
    <mergeCell ref="AH52:AN52"/>
    <mergeCell ref="AH53:AN53"/>
    <mergeCell ref="BP13:BR13"/>
    <mergeCell ref="BO10:BS12"/>
    <mergeCell ref="BX1:CB1"/>
    <mergeCell ref="CC1:CG1"/>
    <mergeCell ref="CH1:CL1"/>
    <mergeCell ref="AJ7:AL7"/>
    <mergeCell ref="AM7:AO7"/>
    <mergeCell ref="AP7:AR7"/>
    <mergeCell ref="AS7:AU7"/>
    <mergeCell ref="BL7:BM8"/>
    <mergeCell ref="AC8:AK8"/>
    <mergeCell ref="CR7:CU7"/>
    <mergeCell ref="CM7:CP7"/>
    <mergeCell ref="CH7:CK7"/>
    <mergeCell ref="CC7:CF7"/>
    <mergeCell ref="AV7:AX7"/>
    <mergeCell ref="BN7:BT8"/>
    <mergeCell ref="BD7:BH7"/>
    <mergeCell ref="BJ7:BJ8"/>
    <mergeCell ref="BX7:CA7"/>
    <mergeCell ref="BH58:BM58"/>
    <mergeCell ref="AP59:AT59"/>
    <mergeCell ref="AU59:AZ59"/>
    <mergeCell ref="C60:M60"/>
    <mergeCell ref="N60:R60"/>
    <mergeCell ref="T60:X60"/>
    <mergeCell ref="Y60:AA60"/>
    <mergeCell ref="AB60:AG60"/>
    <mergeCell ref="AH60:AN60"/>
    <mergeCell ref="AP60:AT60"/>
    <mergeCell ref="C58:M58"/>
    <mergeCell ref="N58:R58"/>
    <mergeCell ref="T58:X58"/>
    <mergeCell ref="Y58:AA58"/>
    <mergeCell ref="AB58:AG58"/>
    <mergeCell ref="AP61:AT61"/>
    <mergeCell ref="AU61:AZ61"/>
    <mergeCell ref="BB58:BG58"/>
    <mergeCell ref="C62:M62"/>
    <mergeCell ref="N62:R62"/>
    <mergeCell ref="T62:X62"/>
    <mergeCell ref="Y62:AA62"/>
    <mergeCell ref="AB62:AG62"/>
    <mergeCell ref="AH62:AN62"/>
    <mergeCell ref="AP62:AT62"/>
    <mergeCell ref="C61:M61"/>
    <mergeCell ref="N61:R61"/>
    <mergeCell ref="T61:X61"/>
    <mergeCell ref="Y61:AA61"/>
    <mergeCell ref="AB61:AG61"/>
    <mergeCell ref="AH61:AN61"/>
    <mergeCell ref="AU60:AZ60"/>
    <mergeCell ref="C59:M59"/>
    <mergeCell ref="N59:R59"/>
    <mergeCell ref="T59:X59"/>
    <mergeCell ref="Y59:AA59"/>
    <mergeCell ref="AB59:AG59"/>
    <mergeCell ref="AH59:AN59"/>
    <mergeCell ref="AU62:AZ62"/>
    <mergeCell ref="N63:R63"/>
    <mergeCell ref="T63:X63"/>
    <mergeCell ref="Y63:AA63"/>
    <mergeCell ref="AB63:AG63"/>
    <mergeCell ref="AH63:AN63"/>
    <mergeCell ref="AP63:AT63"/>
    <mergeCell ref="AU63:AZ63"/>
    <mergeCell ref="C66:M66"/>
    <mergeCell ref="N66:R66"/>
    <mergeCell ref="T66:X66"/>
    <mergeCell ref="Y66:AA66"/>
    <mergeCell ref="AB66:AG66"/>
    <mergeCell ref="AH66:AN66"/>
    <mergeCell ref="AP66:AT66"/>
    <mergeCell ref="AP64:AT64"/>
    <mergeCell ref="AU64:AZ64"/>
    <mergeCell ref="C65:M65"/>
    <mergeCell ref="N65:R65"/>
    <mergeCell ref="T65:X65"/>
    <mergeCell ref="Y65:AA65"/>
    <mergeCell ref="AB65:AG65"/>
    <mergeCell ref="AH65:AN65"/>
    <mergeCell ref="AP65:AT65"/>
    <mergeCell ref="AP73:AT73"/>
    <mergeCell ref="AU73:AZ73"/>
    <mergeCell ref="C70:M70"/>
    <mergeCell ref="N70:R70"/>
    <mergeCell ref="T70:X70"/>
    <mergeCell ref="Y70:AA70"/>
    <mergeCell ref="AB70:AG70"/>
    <mergeCell ref="AH70:AN70"/>
    <mergeCell ref="AP70:AT70"/>
    <mergeCell ref="AU70:AZ70"/>
    <mergeCell ref="C73:M73"/>
    <mergeCell ref="N73:R73"/>
    <mergeCell ref="T73:X73"/>
    <mergeCell ref="Y73:AA73"/>
    <mergeCell ref="AB73:AG73"/>
    <mergeCell ref="AH73:AN73"/>
    <mergeCell ref="C72:M72"/>
    <mergeCell ref="N72:R72"/>
    <mergeCell ref="T72:X72"/>
    <mergeCell ref="Y72:AA72"/>
    <mergeCell ref="AB72:AG72"/>
    <mergeCell ref="AH72:AN72"/>
    <mergeCell ref="AP72:AT72"/>
    <mergeCell ref="AU72:AZ72"/>
    <mergeCell ref="AP71:AT71"/>
    <mergeCell ref="AU71:AZ71"/>
    <mergeCell ref="C71:M71"/>
    <mergeCell ref="N71:R71"/>
    <mergeCell ref="T71:X71"/>
    <mergeCell ref="Y71:AA71"/>
    <mergeCell ref="AB71:AG71"/>
    <mergeCell ref="AH71:AN71"/>
    <mergeCell ref="AH68:AN68"/>
    <mergeCell ref="C69:M69"/>
    <mergeCell ref="N69:R69"/>
    <mergeCell ref="T69:X69"/>
    <mergeCell ref="Y69:AA69"/>
    <mergeCell ref="AB69:AG69"/>
    <mergeCell ref="AH69:AN69"/>
    <mergeCell ref="BN57:BS57"/>
    <mergeCell ref="BO58:BT58"/>
    <mergeCell ref="BB59:BG59"/>
    <mergeCell ref="BH59:BM59"/>
    <mergeCell ref="BO59:BT59"/>
    <mergeCell ref="AP69:AT69"/>
    <mergeCell ref="AU69:AZ69"/>
    <mergeCell ref="AU66:AZ66"/>
    <mergeCell ref="C67:M67"/>
    <mergeCell ref="N67:R67"/>
    <mergeCell ref="T67:X67"/>
    <mergeCell ref="Y67:AA67"/>
    <mergeCell ref="AB67:AG67"/>
    <mergeCell ref="AH67:AN67"/>
    <mergeCell ref="AP67:AT67"/>
    <mergeCell ref="AU67:AZ67"/>
    <mergeCell ref="AU65:AZ65"/>
    <mergeCell ref="C64:M64"/>
    <mergeCell ref="N64:R64"/>
    <mergeCell ref="T64:X64"/>
    <mergeCell ref="Y64:AA64"/>
    <mergeCell ref="AB64:AG64"/>
    <mergeCell ref="AH64:AN64"/>
    <mergeCell ref="C63:M63"/>
    <mergeCell ref="C38:Q38"/>
    <mergeCell ref="S38:AG38"/>
    <mergeCell ref="AH38:AJ38"/>
    <mergeCell ref="BA38:BJ38"/>
    <mergeCell ref="I15:M15"/>
    <mergeCell ref="AO40:AY40"/>
    <mergeCell ref="AO39:AY39"/>
    <mergeCell ref="BA39:BJ39"/>
    <mergeCell ref="BK39:BN39"/>
    <mergeCell ref="BK38:BN38"/>
    <mergeCell ref="C36:Q36"/>
    <mergeCell ref="S36:AG36"/>
    <mergeCell ref="AH36:AJ36"/>
    <mergeCell ref="AO36:AY36"/>
    <mergeCell ref="BA40:BJ40"/>
    <mergeCell ref="BK40:BN40"/>
    <mergeCell ref="O15:R15"/>
    <mergeCell ref="S15:AB15"/>
    <mergeCell ref="AD15:AM15"/>
    <mergeCell ref="AN15:AR15"/>
    <mergeCell ref="AS15:AU15"/>
    <mergeCell ref="AW15:AX15"/>
    <mergeCell ref="BA36:BJ36"/>
    <mergeCell ref="BK36:BN36"/>
  </mergeCells>
  <phoneticPr fontId="1"/>
  <dataValidations count="24">
    <dataValidation type="list" allowBlank="1" showInputMessage="1" showErrorMessage="1" sqref="X21:AH22">
      <formula1>$CM$24:$CM$221</formula1>
    </dataValidation>
    <dataValidation type="list" allowBlank="1" showInputMessage="1" showErrorMessage="1" sqref="AD15:AM15 BA39:BJ39">
      <formula1>$CK$48:$CK$50</formula1>
    </dataValidation>
    <dataValidation type="list" allowBlank="1" showInputMessage="1" showErrorMessage="1" sqref="AF31:AK33">
      <formula1>$CP$44:$CP$67</formula1>
    </dataValidation>
    <dataValidation type="list" allowBlank="1" showInputMessage="1" showErrorMessage="1" sqref="K31:Q33">
      <formula1>$CP$24:$CP$41</formula1>
    </dataValidation>
    <dataValidation type="list" allowBlank="1" showInputMessage="1" showErrorMessage="1" sqref="BA28:BG28 BA35:BG35">
      <formula1>$CO$65:$CO$75</formula1>
    </dataValidation>
    <dataValidation type="list" allowBlank="1" showInputMessage="1" showErrorMessage="1" sqref="BA23:BG26">
      <formula1>$CO$35:$CO$52</formula1>
    </dataValidation>
    <dataValidation type="list" allowBlank="1" showInputMessage="1" showErrorMessage="1" sqref="BA20:BG22">
      <formula1>$CO$24:$CO$32</formula1>
    </dataValidation>
    <dataValidation type="list" allowBlank="1" showInputMessage="1" showErrorMessage="1" sqref="X23:AH28">
      <formula1>$CN$24:$CN$43</formula1>
    </dataValidation>
    <dataValidation type="list" allowBlank="1" showInputMessage="1" showErrorMessage="1" sqref="BA38:BJ38 AD14:AM14">
      <formula1>$CK$24:$CK$45</formula1>
    </dataValidation>
    <dataValidation type="list" showInputMessage="1" showErrorMessage="1" sqref="AD11:AM11 BA36:BJ36">
      <formula1>$CJ$24:$CJ$43</formula1>
    </dataValidation>
    <dataValidation type="list" allowBlank="1" showInputMessage="1" showErrorMessage="1" sqref="S38:AG38">
      <formula1>$CQ$58:$CQ$60</formula1>
    </dataValidation>
    <dataValidation type="list" allowBlank="1" showInputMessage="1" showErrorMessage="1" sqref="S37:AG37">
      <formula1>$CQ$50:$CQ$55</formula1>
    </dataValidation>
    <dataValidation type="list" allowBlank="1" showInputMessage="1" showErrorMessage="1" sqref="S36:AG36">
      <formula1>$CQ$43:$CQ$47</formula1>
    </dataValidation>
    <dataValidation type="list" allowBlank="1" showInputMessage="1" showErrorMessage="1" sqref="S35:AG35">
      <formula1>$CQ$24:$CQ$40</formula1>
    </dataValidation>
    <dataValidation type="list" allowBlank="1" showInputMessage="1" showErrorMessage="1" sqref="BA27:BG27">
      <formula1>$CO$55:$CO$62</formula1>
    </dataValidation>
    <dataValidation type="list" allowBlank="1" showInputMessage="1" showErrorMessage="1" sqref="X20:AH20">
      <formula1>$CL$24:$CL$62</formula1>
    </dataValidation>
    <dataValidation type="list" allowBlank="1" showInputMessage="1" showErrorMessage="1" sqref="T8:W8">
      <formula1>$CG$15:$CG$34</formula1>
    </dataValidation>
    <dataValidation type="list" allowBlank="1" showInputMessage="1" showErrorMessage="1" sqref="BO59:BT59">
      <formula1>"歩掛-2,歩掛-3"</formula1>
    </dataValidation>
    <dataValidation type="list" allowBlank="1" showInputMessage="1" showErrorMessage="1" sqref="BO58:BT58">
      <formula1>"単価-2,単価-3,単価-4"</formula1>
    </dataValidation>
    <dataValidation type="list" allowBlank="1" showInputMessage="1" showErrorMessage="1" sqref="BC31:BE31">
      <formula1>"要,不要"</formula1>
    </dataValidation>
    <dataValidation type="list" allowBlank="1" showInputMessage="1" showErrorMessage="1" sqref="I15">
      <formula1>"架空配線,地中管路"</formula1>
    </dataValidation>
    <dataValidation type="list" allowBlank="1" showInputMessage="1" showErrorMessage="1" sqref="I12">
      <formula1>"架空引込,地中引込"</formula1>
    </dataValidation>
    <dataValidation type="list" allowBlank="1" showInputMessage="1" showErrorMessage="1" sqref="O7:W7">
      <formula1>"B 屋外キュービクル,C 屋外キュービクル,D1 屋上キュービクル,D2 屋内電気室"</formula1>
    </dataValidation>
    <dataValidation type="list" allowBlank="1" showInputMessage="1" showErrorMessage="1" sqref="BR14:BS14">
      <formula1>"　,Ⓐ,Ⓑ,Ⓒ,Ⓓ,Ⓔ,Ⓕ,Ⓖ,Ⓗ,Ⓘ"</formula1>
    </dataValidation>
  </dataValidations>
  <hyperlinks>
    <hyperlink ref="AE3:AL4" location="'2'!D85" display="'2'!D85"/>
    <hyperlink ref="AE3:AM4" location="受変!A1" display="受変!A1"/>
    <hyperlink ref="AO3:AS4" r:id="rId1" location="Help!A556" display="Help"/>
    <hyperlink ref="Y3:AC4" r:id="rId2" location="Top!A46" display="TopPage"/>
    <hyperlink ref="AU3:AX4" r:id="rId3" location="電話!A1" display="電 話"/>
  </hyperlinks>
  <pageMargins left="0.78740157480314965" right="0.39370078740157483" top="0.59055118110236227" bottom="0.55118110236220474" header="0.31496062992125984" footer="0.31496062992125984"/>
  <pageSetup paperSize="9" scale="94" orientation="portrait" r:id="rId4"/>
  <rowBreaks count="1" manualBreakCount="1">
    <brk id="85" min="1" max="72" man="1"/>
  </rowBreaks>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A216"/>
  <sheetViews>
    <sheetView view="pageBreakPreview" zoomScale="140" zoomScaleSheetLayoutView="140" workbookViewId="0"/>
  </sheetViews>
  <sheetFormatPr defaultRowHeight="14.25"/>
  <cols>
    <col min="1" max="72" width="1.42578125" style="912" customWidth="1"/>
    <col min="73" max="74" width="3.7109375" style="912" customWidth="1"/>
    <col min="75" max="75" width="5.28515625" style="912" customWidth="1"/>
    <col min="76" max="76" width="3.7109375" style="912" customWidth="1"/>
    <col min="77" max="79" width="5.7109375" style="912" customWidth="1"/>
    <col min="80" max="97" width="3.7109375" style="912" hidden="1" customWidth="1"/>
    <col min="98" max="106" width="3.7109375" style="912" customWidth="1"/>
    <col min="107" max="108" width="3.42578125" style="912" customWidth="1"/>
    <col min="109" max="124" width="2.85546875" style="912" customWidth="1"/>
    <col min="125" max="16384" width="9.140625" style="912"/>
  </cols>
  <sheetData>
    <row r="1" spans="1:85" ht="12" customHeight="1">
      <c r="A1" s="1049"/>
      <c r="Y1" s="948" t="str">
        <f>IF(B2=0,"このコンピュータの ''日付'' を正しくセットして下さい","")</f>
        <v/>
      </c>
    </row>
    <row r="2" spans="1:85" ht="12" customHeight="1" thickBot="1">
      <c r="B2" s="1048">
        <v>1</v>
      </c>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5"/>
      <c r="AM2" s="975"/>
      <c r="AN2" s="975"/>
      <c r="AO2" s="975"/>
      <c r="AP2" s="975"/>
      <c r="AQ2" s="975"/>
      <c r="AR2" s="975"/>
      <c r="AS2" s="975"/>
      <c r="AT2" s="975"/>
      <c r="AU2" s="975"/>
      <c r="AV2" s="975"/>
      <c r="AW2" s="975"/>
      <c r="AX2" s="975"/>
      <c r="AY2" s="975"/>
      <c r="AZ2" s="975"/>
      <c r="BA2" s="975"/>
      <c r="BB2" s="975"/>
      <c r="BC2" s="975"/>
      <c r="BD2" s="975"/>
      <c r="BE2" s="975"/>
      <c r="BF2" s="975"/>
      <c r="BG2" s="975"/>
      <c r="BH2" s="975"/>
      <c r="BI2" s="975"/>
      <c r="BJ2" s="975"/>
      <c r="BK2" s="975"/>
      <c r="BL2" s="975"/>
      <c r="BM2" s="975"/>
      <c r="BN2" s="975"/>
      <c r="BO2" s="975"/>
      <c r="BP2" s="975"/>
      <c r="BQ2" s="975"/>
      <c r="BR2" s="975"/>
      <c r="BS2" s="975"/>
      <c r="BT2" s="975"/>
      <c r="BU2" s="974"/>
      <c r="BX2" s="1047"/>
    </row>
    <row r="3" spans="1:85" ht="12.75" customHeight="1" thickBot="1">
      <c r="B3" s="3452">
        <f>Top!$G$87</f>
        <v>2</v>
      </c>
      <c r="C3" s="3452"/>
      <c r="D3" s="3452"/>
      <c r="E3" s="3370" t="str">
        <f>IF(B2=0,"",Top!$L$87)</f>
        <v xml:space="preserve"> 受変電設備工事</v>
      </c>
      <c r="F3" s="3371"/>
      <c r="G3" s="3371"/>
      <c r="H3" s="3371"/>
      <c r="I3" s="3371"/>
      <c r="J3" s="3371"/>
      <c r="K3" s="3371"/>
      <c r="L3" s="3371"/>
      <c r="M3" s="3371"/>
      <c r="N3" s="3371"/>
      <c r="O3" s="3371"/>
      <c r="P3" s="3371"/>
      <c r="Q3" s="3371"/>
      <c r="R3" s="3371"/>
      <c r="S3" s="3371"/>
      <c r="T3" s="3371"/>
      <c r="U3" s="3371"/>
      <c r="V3" s="3371"/>
      <c r="W3" s="3371"/>
      <c r="X3" s="1046"/>
      <c r="Y3" s="3521" t="s">
        <v>2472</v>
      </c>
      <c r="Z3" s="3522"/>
      <c r="AA3" s="3522"/>
      <c r="AB3" s="3522"/>
      <c r="AC3" s="3523"/>
      <c r="AD3" s="925"/>
      <c r="AE3" s="3524" t="s">
        <v>2470</v>
      </c>
      <c r="AF3" s="3525"/>
      <c r="AG3" s="3525"/>
      <c r="AH3" s="3525"/>
      <c r="AI3" s="3526"/>
      <c r="AJ3" s="925"/>
      <c r="AK3" s="3527" t="s">
        <v>2469</v>
      </c>
      <c r="AL3" s="3528"/>
      <c r="AM3" s="3528"/>
      <c r="AN3" s="3528"/>
      <c r="AO3" s="3529"/>
      <c r="AP3" s="1035"/>
      <c r="AQ3" s="3502" t="s">
        <v>2370</v>
      </c>
      <c r="AR3" s="3503"/>
      <c r="AS3" s="3503"/>
      <c r="AT3" s="3503"/>
      <c r="AU3" s="3503"/>
      <c r="AV3" s="3504"/>
      <c r="AW3" s="1035"/>
      <c r="AX3" s="3502" t="s">
        <v>2467</v>
      </c>
      <c r="AY3" s="3503"/>
      <c r="AZ3" s="3503"/>
      <c r="BA3" s="3503"/>
      <c r="BB3" s="3503"/>
      <c r="BC3" s="3504"/>
      <c r="BD3" s="1035"/>
      <c r="BE3" s="3502" t="s">
        <v>2466</v>
      </c>
      <c r="BF3" s="3503"/>
      <c r="BG3" s="3503"/>
      <c r="BH3" s="3503"/>
      <c r="BI3" s="3503"/>
      <c r="BJ3" s="3504"/>
      <c r="BK3" s="925"/>
      <c r="BL3" s="3505" t="s">
        <v>2381</v>
      </c>
      <c r="BM3" s="3503"/>
      <c r="BN3" s="3503"/>
      <c r="BO3" s="3503"/>
      <c r="BP3" s="3503"/>
      <c r="BQ3" s="3504"/>
      <c r="BR3" s="925"/>
      <c r="BS3" s="925"/>
      <c r="BT3" s="925"/>
      <c r="BU3" s="924"/>
      <c r="BW3" s="1045"/>
    </row>
    <row r="4" spans="1:85" ht="6" customHeight="1">
      <c r="B4" s="1043"/>
      <c r="C4" s="938"/>
      <c r="D4" s="1044"/>
      <c r="E4" s="1044"/>
      <c r="F4" s="938"/>
      <c r="G4" s="938"/>
      <c r="H4" s="938"/>
      <c r="I4" s="938"/>
      <c r="J4" s="938"/>
      <c r="K4" s="938"/>
      <c r="L4" s="938"/>
      <c r="M4" s="938"/>
      <c r="N4" s="938"/>
      <c r="O4" s="938"/>
      <c r="P4" s="938"/>
      <c r="Q4" s="938"/>
      <c r="R4" s="938"/>
      <c r="S4" s="938"/>
      <c r="T4" s="938"/>
      <c r="U4" s="938"/>
      <c r="V4" s="938"/>
      <c r="W4" s="938"/>
      <c r="X4" s="938"/>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1035"/>
      <c r="AX4" s="1035"/>
      <c r="AY4" s="1035"/>
      <c r="AZ4" s="1035"/>
      <c r="BA4" s="1035"/>
      <c r="BB4" s="1035"/>
      <c r="BC4" s="1035"/>
      <c r="BD4" s="1035"/>
      <c r="BE4" s="1035"/>
      <c r="BF4" s="1035"/>
      <c r="BG4" s="1035"/>
      <c r="BH4" s="1035"/>
      <c r="BI4" s="925"/>
      <c r="BJ4" s="925"/>
      <c r="BK4" s="925"/>
      <c r="BL4" s="925"/>
      <c r="BM4" s="925"/>
      <c r="BN4" s="925"/>
      <c r="BO4" s="925"/>
      <c r="BP4" s="925"/>
      <c r="BQ4" s="925"/>
      <c r="BR4" s="925"/>
      <c r="BS4" s="925"/>
      <c r="BT4" s="925"/>
      <c r="BU4" s="924"/>
    </row>
    <row r="5" spans="1:85" ht="6" customHeight="1">
      <c r="B5" s="1043"/>
      <c r="C5" s="3530"/>
      <c r="D5" s="3530"/>
      <c r="E5" s="3530"/>
      <c r="F5" s="3530"/>
      <c r="G5" s="3530"/>
      <c r="H5" s="3530"/>
      <c r="I5" s="3530"/>
      <c r="J5" s="3530"/>
      <c r="K5" s="3530"/>
      <c r="L5" s="3530"/>
      <c r="M5" s="3530"/>
      <c r="N5" s="3530"/>
      <c r="O5" s="3530"/>
      <c r="P5" s="3530"/>
      <c r="Q5" s="3530"/>
      <c r="R5" s="3530"/>
      <c r="S5" s="3530"/>
      <c r="T5" s="3530"/>
      <c r="U5" s="3530"/>
      <c r="V5" s="3530"/>
      <c r="W5" s="3530"/>
      <c r="X5" s="3530"/>
      <c r="Y5" s="3530"/>
      <c r="Z5" s="3530"/>
      <c r="AA5" s="3530"/>
      <c r="AB5" s="3530"/>
      <c r="AC5" s="3530"/>
      <c r="AD5" s="3530"/>
      <c r="AE5" s="3530"/>
      <c r="AF5" s="3530"/>
      <c r="AG5" s="3530"/>
      <c r="AH5" s="3530"/>
      <c r="AI5" s="3530"/>
      <c r="AJ5" s="3530"/>
      <c r="AK5" s="3530"/>
      <c r="AL5" s="3530"/>
      <c r="AM5" s="3530"/>
      <c r="AN5" s="3530"/>
      <c r="AO5" s="3530"/>
      <c r="AP5" s="3530"/>
      <c r="AQ5" s="3530"/>
      <c r="AR5" s="3530"/>
      <c r="AS5" s="3530"/>
      <c r="AT5" s="925"/>
      <c r="AU5" s="925"/>
      <c r="AV5" s="925"/>
      <c r="AW5" s="1035"/>
      <c r="AX5" s="1035"/>
      <c r="AY5" s="1035"/>
      <c r="AZ5" s="1035"/>
      <c r="BA5" s="1035"/>
      <c r="BB5" s="1035"/>
      <c r="BC5" s="1035"/>
      <c r="BD5" s="1035"/>
      <c r="BE5" s="1035"/>
      <c r="BF5" s="1035"/>
      <c r="BG5" s="1035"/>
      <c r="BH5" s="1035"/>
      <c r="BI5" s="925"/>
      <c r="BJ5" s="925"/>
      <c r="BK5" s="925"/>
      <c r="BL5" s="925"/>
      <c r="BM5" s="925"/>
      <c r="BN5" s="925"/>
      <c r="BO5" s="925"/>
      <c r="BP5" s="925"/>
      <c r="BQ5" s="925"/>
      <c r="BR5" s="925"/>
      <c r="BS5" s="925"/>
      <c r="BT5" s="925"/>
      <c r="BU5" s="924"/>
      <c r="CB5" s="936"/>
      <c r="CC5" s="936"/>
      <c r="CD5" s="936"/>
      <c r="CE5" s="936"/>
      <c r="CF5" s="936"/>
      <c r="CG5" s="936"/>
    </row>
    <row r="6" spans="1:85" ht="12" customHeight="1">
      <c r="B6" s="927"/>
      <c r="C6" s="1041"/>
      <c r="D6" s="2778" t="str">
        <f>IF(B2=0,"","受電方式")</f>
        <v>受電方式</v>
      </c>
      <c r="E6" s="2779"/>
      <c r="F6" s="2779"/>
      <c r="G6" s="2779"/>
      <c r="H6" s="2779"/>
      <c r="I6" s="2905"/>
      <c r="J6" s="3452" t="str">
        <f>IF(B2=0,"",IF(AC6="L","低圧受電",IF(CE47&lt;300,"PF-S 受電","CB 受電")))</f>
        <v>CB 受電</v>
      </c>
      <c r="K6" s="3452"/>
      <c r="L6" s="3452"/>
      <c r="M6" s="3452"/>
      <c r="N6" s="3452"/>
      <c r="O6" s="3452"/>
      <c r="P6" s="1041"/>
      <c r="Q6" s="2778" t="str">
        <f>IF(B2=0,"","受電電圧")</f>
        <v>受電電圧</v>
      </c>
      <c r="R6" s="2779"/>
      <c r="S6" s="2779"/>
      <c r="T6" s="2779"/>
      <c r="U6" s="2779"/>
      <c r="V6" s="2905"/>
      <c r="W6" s="3015" t="str">
        <f>IF(B2=0,"",IF(CC13&lt;=59,"低圧受電",IF(CE53&gt;1950,"特高受電","高圧受電")))</f>
        <v>高圧受電</v>
      </c>
      <c r="X6" s="2774"/>
      <c r="Y6" s="2774"/>
      <c r="Z6" s="2774"/>
      <c r="AA6" s="2774"/>
      <c r="AB6" s="2775"/>
      <c r="AC6" s="1042" t="str">
        <f>IF(CC13&gt;59,"H","L")</f>
        <v>H</v>
      </c>
      <c r="AD6" s="1041"/>
      <c r="AE6" s="1041"/>
      <c r="AF6" s="3531" t="str">
        <f>IF(B2=0,"",IF(AM6&lt;&gt;"",AM6,CE6))</f>
        <v>関西電力</v>
      </c>
      <c r="AG6" s="3532"/>
      <c r="AH6" s="3532"/>
      <c r="AI6" s="3532"/>
      <c r="AJ6" s="3532"/>
      <c r="AK6" s="3532"/>
      <c r="AL6" s="928" t="s">
        <v>2371</v>
      </c>
      <c r="AM6" s="2772"/>
      <c r="AN6" s="2772"/>
      <c r="AO6" s="2772"/>
      <c r="AP6" s="2772"/>
      <c r="AQ6" s="2772"/>
      <c r="AR6" s="3096"/>
      <c r="AS6" s="1041"/>
      <c r="AT6" s="925"/>
      <c r="AU6" s="925"/>
      <c r="AV6" s="925"/>
      <c r="AW6" s="1035"/>
      <c r="AX6" s="1035"/>
      <c r="AY6" s="1035"/>
      <c r="AZ6" s="1035"/>
      <c r="BA6" s="1035"/>
      <c r="BB6" s="1035"/>
      <c r="BC6" s="1035"/>
      <c r="BD6" s="1035"/>
      <c r="BE6" s="1035"/>
      <c r="BF6" s="1035"/>
      <c r="BG6" s="1035"/>
      <c r="BH6" s="1035"/>
      <c r="BI6" s="925"/>
      <c r="BJ6" s="925"/>
      <c r="BK6" s="925"/>
      <c r="BL6" s="925"/>
      <c r="BM6" s="925"/>
      <c r="BN6" s="925"/>
      <c r="BO6" s="925"/>
      <c r="BP6" s="925"/>
      <c r="BQ6" s="925"/>
      <c r="BR6" s="925"/>
      <c r="BS6" s="925"/>
      <c r="BT6" s="925"/>
      <c r="BU6" s="924"/>
      <c r="BY6" s="1040"/>
      <c r="BZ6" s="1040"/>
      <c r="CA6" s="1040"/>
      <c r="CB6" s="936"/>
      <c r="CC6" s="936"/>
      <c r="CD6" s="951">
        <f>Top!CD14</f>
        <v>6</v>
      </c>
      <c r="CE6" s="916" t="str">
        <f>VLOOKUP(CD6,電気料金,2,FALSE)</f>
        <v>関西電力</v>
      </c>
      <c r="CF6" s="936"/>
      <c r="CG6" s="936"/>
    </row>
    <row r="7" spans="1:85" ht="6" customHeight="1">
      <c r="B7" s="927"/>
      <c r="C7" s="1039"/>
      <c r="D7" s="1039"/>
      <c r="E7" s="1039"/>
      <c r="F7" s="1039"/>
      <c r="G7" s="1039"/>
      <c r="H7" s="1039"/>
      <c r="I7" s="1039"/>
      <c r="J7" s="1039"/>
      <c r="K7" s="1039"/>
      <c r="L7" s="1039"/>
      <c r="M7" s="1039"/>
      <c r="N7" s="1039"/>
      <c r="O7" s="1039"/>
      <c r="P7" s="1039"/>
      <c r="Q7" s="1039"/>
      <c r="R7" s="1039"/>
      <c r="S7" s="1039"/>
      <c r="T7" s="1039"/>
      <c r="U7" s="1039"/>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c r="AT7" s="925"/>
      <c r="AU7" s="925"/>
      <c r="AV7" s="925"/>
      <c r="AW7" s="1035"/>
      <c r="AX7" s="1035"/>
      <c r="AY7" s="1035"/>
      <c r="AZ7" s="1035"/>
      <c r="BA7" s="1035"/>
      <c r="BB7" s="1035"/>
      <c r="BC7" s="1035"/>
      <c r="BD7" s="1035"/>
      <c r="BE7" s="1035"/>
      <c r="BF7" s="1035"/>
      <c r="BG7" s="925"/>
      <c r="BH7" s="925"/>
      <c r="BI7" s="925"/>
      <c r="BJ7" s="925"/>
      <c r="BK7" s="925"/>
      <c r="BL7" s="925"/>
      <c r="BM7" s="925"/>
      <c r="BN7" s="925"/>
      <c r="BO7" s="925"/>
      <c r="BP7" s="925"/>
      <c r="BQ7" s="925"/>
      <c r="BR7" s="925"/>
      <c r="BS7" s="925"/>
      <c r="BT7" s="925"/>
      <c r="BU7" s="924"/>
      <c r="BY7" s="1038"/>
      <c r="BZ7" s="1038"/>
      <c r="CA7" s="1038"/>
      <c r="CB7" s="936"/>
      <c r="CC7" s="936"/>
      <c r="CD7" s="936"/>
      <c r="CE7" s="936"/>
      <c r="CF7" s="936"/>
      <c r="CG7" s="936"/>
    </row>
    <row r="8" spans="1:85" ht="9" customHeight="1">
      <c r="B8" s="927"/>
      <c r="C8" s="925"/>
      <c r="D8" s="926"/>
      <c r="E8" s="926"/>
      <c r="F8" s="926"/>
      <c r="G8" s="926"/>
      <c r="H8" s="926"/>
      <c r="I8" s="926"/>
      <c r="J8" s="925"/>
      <c r="K8" s="925"/>
      <c r="L8" s="925"/>
      <c r="M8" s="925"/>
      <c r="N8" s="925"/>
      <c r="O8" s="925"/>
      <c r="P8" s="925"/>
      <c r="Q8" s="1037" t="str">
        <f>IF(W6="特高受電"," 本ソフトは、特高受電には対応していません!!","")</f>
        <v/>
      </c>
      <c r="R8" s="925"/>
      <c r="S8" s="925"/>
      <c r="T8" s="925"/>
      <c r="U8" s="925"/>
      <c r="V8" s="925"/>
      <c r="W8" s="1036"/>
      <c r="X8" s="1036"/>
      <c r="Y8" s="1036"/>
      <c r="Z8" s="1036"/>
      <c r="AA8" s="1036"/>
      <c r="AB8" s="1036"/>
      <c r="AC8" s="1036"/>
      <c r="AD8" s="1036"/>
      <c r="AE8" s="1036"/>
      <c r="AF8" s="1036"/>
      <c r="AG8" s="1036"/>
      <c r="AH8" s="1036"/>
      <c r="AI8" s="1036"/>
      <c r="AJ8" s="1036"/>
      <c r="AK8" s="1036"/>
      <c r="AL8" s="1036"/>
      <c r="AM8" s="1036"/>
      <c r="AN8" s="1036"/>
      <c r="AO8" s="1036"/>
      <c r="AP8" s="1036"/>
      <c r="AQ8" s="1036"/>
      <c r="AR8" s="1036"/>
      <c r="AS8" s="925"/>
      <c r="AT8" s="925"/>
      <c r="AU8" s="925"/>
      <c r="AV8" s="925"/>
      <c r="AW8" s="1035"/>
      <c r="AX8" s="1035"/>
      <c r="AY8" s="1035"/>
      <c r="AZ8" s="1035"/>
      <c r="BA8" s="1035"/>
      <c r="BB8" s="1035"/>
      <c r="BC8" s="1035"/>
      <c r="BD8" s="1035"/>
      <c r="BE8" s="1035"/>
      <c r="BF8" s="1035"/>
      <c r="BG8" s="925"/>
      <c r="BH8" s="925"/>
      <c r="BI8" s="925"/>
      <c r="BJ8" s="925"/>
      <c r="BK8" s="925"/>
      <c r="BL8" s="925"/>
      <c r="BM8" s="925"/>
      <c r="BN8" s="925"/>
      <c r="BO8" s="925"/>
      <c r="BP8" s="925"/>
      <c r="BQ8" s="925"/>
      <c r="BR8" s="925"/>
      <c r="BS8" s="925"/>
      <c r="BT8" s="925"/>
      <c r="BU8" s="924"/>
      <c r="BW8" s="1028"/>
      <c r="BY8" s="3506" t="s">
        <v>2465</v>
      </c>
      <c r="BZ8" s="3507"/>
      <c r="CA8" s="1034" t="s">
        <v>2464</v>
      </c>
      <c r="CB8" s="936"/>
      <c r="CC8" s="936"/>
      <c r="CD8" s="936"/>
      <c r="CE8" s="936"/>
      <c r="CF8" s="936"/>
      <c r="CG8" s="936"/>
    </row>
    <row r="9" spans="1:85" ht="12" customHeight="1">
      <c r="B9" s="927"/>
      <c r="C9" s="925"/>
      <c r="D9" s="3004" t="str">
        <f>IF(B2=0,"","照明負荷")</f>
        <v>照明負荷</v>
      </c>
      <c r="E9" s="3005"/>
      <c r="F9" s="3005"/>
      <c r="G9" s="3005"/>
      <c r="H9" s="3005"/>
      <c r="I9" s="3006"/>
      <c r="J9" s="925"/>
      <c r="K9" s="925"/>
      <c r="L9" s="925"/>
      <c r="M9" s="925"/>
      <c r="N9" s="925"/>
      <c r="O9" s="925"/>
      <c r="P9" s="925"/>
      <c r="Q9" s="925"/>
      <c r="R9" s="925"/>
      <c r="S9" s="925"/>
      <c r="T9" s="925"/>
      <c r="U9" s="925"/>
      <c r="V9" s="925"/>
      <c r="W9" s="925"/>
      <c r="X9" s="925"/>
      <c r="Y9" s="925"/>
      <c r="Z9" s="925"/>
      <c r="AA9" s="925"/>
      <c r="AB9" s="925"/>
      <c r="AC9" s="925"/>
      <c r="AD9" s="925"/>
      <c r="AE9" s="925"/>
      <c r="AF9" s="925"/>
      <c r="AG9" s="925"/>
      <c r="AH9" s="925"/>
      <c r="AI9" s="925"/>
      <c r="AJ9" s="925"/>
      <c r="AK9" s="925"/>
      <c r="AL9" s="925"/>
      <c r="AM9" s="925"/>
      <c r="AN9" s="925"/>
      <c r="AO9" s="925"/>
      <c r="AP9" s="925"/>
      <c r="AQ9" s="925"/>
      <c r="AR9" s="925"/>
      <c r="AS9" s="925"/>
      <c r="AT9" s="925"/>
      <c r="AU9" s="925"/>
      <c r="AV9" s="925"/>
      <c r="AW9" s="925"/>
      <c r="AX9" s="925"/>
      <c r="AY9" s="925"/>
      <c r="AZ9" s="925"/>
      <c r="BA9" s="925"/>
      <c r="BB9" s="925"/>
      <c r="BC9" s="925"/>
      <c r="BD9" s="925"/>
      <c r="BE9" s="925"/>
      <c r="BF9" s="925"/>
      <c r="BG9" s="925"/>
      <c r="BH9" s="925"/>
      <c r="BI9" s="925"/>
      <c r="BJ9" s="925"/>
      <c r="BK9" s="925"/>
      <c r="BL9" s="925"/>
      <c r="BM9" s="925"/>
      <c r="BN9" s="925"/>
      <c r="BO9" s="925"/>
      <c r="BP9" s="925"/>
      <c r="BQ9" s="925"/>
      <c r="BR9" s="925"/>
      <c r="BS9" s="925"/>
      <c r="BT9" s="925"/>
      <c r="BU9" s="924"/>
      <c r="BW9" s="1028"/>
      <c r="BY9" s="3519" t="s">
        <v>2463</v>
      </c>
      <c r="BZ9" s="3519" t="s">
        <v>2462</v>
      </c>
      <c r="CA9" s="3534" t="s">
        <v>2462</v>
      </c>
      <c r="CB9" s="936"/>
      <c r="CC9" s="936"/>
      <c r="CD9" s="936"/>
      <c r="CE9" s="936"/>
      <c r="CF9" s="936"/>
      <c r="CG9" s="936"/>
    </row>
    <row r="10" spans="1:85" ht="4.5" customHeight="1">
      <c r="B10" s="927"/>
      <c r="C10" s="925"/>
      <c r="D10" s="925"/>
      <c r="E10" s="925"/>
      <c r="F10" s="925"/>
      <c r="G10" s="925"/>
      <c r="H10" s="925"/>
      <c r="I10" s="925"/>
      <c r="J10" s="925"/>
      <c r="K10" s="925"/>
      <c r="L10" s="925"/>
      <c r="M10" s="925"/>
      <c r="N10" s="925"/>
      <c r="O10" s="925"/>
      <c r="P10" s="925"/>
      <c r="Q10" s="925"/>
      <c r="R10" s="925"/>
      <c r="S10" s="925"/>
      <c r="T10" s="925"/>
      <c r="U10" s="925"/>
      <c r="V10" s="925"/>
      <c r="W10" s="925"/>
      <c r="X10" s="925"/>
      <c r="Y10" s="925"/>
      <c r="Z10" s="925"/>
      <c r="AA10" s="925"/>
      <c r="AB10" s="925"/>
      <c r="AC10" s="925"/>
      <c r="AD10" s="925"/>
      <c r="AE10" s="925"/>
      <c r="AF10" s="925"/>
      <c r="AG10" s="925"/>
      <c r="AH10" s="925"/>
      <c r="AI10" s="925"/>
      <c r="AJ10" s="925"/>
      <c r="AK10" s="925"/>
      <c r="AL10" s="925"/>
      <c r="AM10" s="925"/>
      <c r="AN10" s="925"/>
      <c r="AO10" s="925"/>
      <c r="AP10" s="925"/>
      <c r="AQ10" s="925"/>
      <c r="AR10" s="925"/>
      <c r="AS10" s="925"/>
      <c r="AT10" s="925"/>
      <c r="AU10" s="925"/>
      <c r="AV10" s="925"/>
      <c r="AW10" s="925"/>
      <c r="AX10" s="925"/>
      <c r="AY10" s="925"/>
      <c r="AZ10" s="925"/>
      <c r="BA10" s="925"/>
      <c r="BB10" s="925"/>
      <c r="BC10" s="925"/>
      <c r="BD10" s="925"/>
      <c r="BE10" s="925"/>
      <c r="BF10" s="925"/>
      <c r="BG10" s="925"/>
      <c r="BH10" s="925"/>
      <c r="BI10" s="925"/>
      <c r="BJ10" s="925"/>
      <c r="BK10" s="925"/>
      <c r="BL10" s="925"/>
      <c r="BM10" s="925"/>
      <c r="BN10" s="925"/>
      <c r="BO10" s="925"/>
      <c r="BP10" s="925"/>
      <c r="BQ10" s="925"/>
      <c r="BR10" s="925"/>
      <c r="BS10" s="925"/>
      <c r="BT10" s="925"/>
      <c r="BU10" s="924"/>
      <c r="BV10" s="1701"/>
      <c r="BW10" s="1702"/>
      <c r="BX10" s="1033"/>
      <c r="BY10" s="3520"/>
      <c r="BZ10" s="3520"/>
      <c r="CA10" s="3535"/>
      <c r="CB10" s="936"/>
      <c r="CC10" s="936"/>
      <c r="CD10" s="936"/>
      <c r="CE10" s="936"/>
      <c r="CF10" s="936"/>
      <c r="CG10" s="936"/>
    </row>
    <row r="11" spans="1:85" ht="12" customHeight="1">
      <c r="B11" s="927"/>
      <c r="C11" s="925"/>
      <c r="D11" s="3491" t="s">
        <v>2448</v>
      </c>
      <c r="E11" s="3492"/>
      <c r="F11" s="3492"/>
      <c r="G11" s="3492"/>
      <c r="H11" s="3492"/>
      <c r="I11" s="3493"/>
      <c r="J11" s="3350" t="s">
        <v>2447</v>
      </c>
      <c r="K11" s="3351"/>
      <c r="L11" s="3351"/>
      <c r="M11" s="3351"/>
      <c r="N11" s="3351"/>
      <c r="O11" s="3351"/>
      <c r="P11" s="3351"/>
      <c r="Q11" s="3351"/>
      <c r="R11" s="3351"/>
      <c r="S11" s="3352"/>
      <c r="T11" s="3007" t="s">
        <v>2446</v>
      </c>
      <c r="U11" s="3007"/>
      <c r="V11" s="3007"/>
      <c r="W11" s="3007"/>
      <c r="X11" s="3007"/>
      <c r="Y11" s="3007"/>
      <c r="Z11" s="3007"/>
      <c r="AA11" s="3007"/>
      <c r="AB11" s="3007"/>
      <c r="AC11" s="3007"/>
      <c r="AD11" s="3007"/>
      <c r="AE11" s="3007"/>
      <c r="AF11" s="3007"/>
      <c r="AG11" s="3007"/>
      <c r="AH11" s="3007"/>
      <c r="AI11" s="3007"/>
      <c r="AJ11" s="3007"/>
      <c r="AK11" s="3007"/>
      <c r="AL11" s="3007" t="s">
        <v>2445</v>
      </c>
      <c r="AM11" s="3007"/>
      <c r="AN11" s="3007"/>
      <c r="AO11" s="3007"/>
      <c r="AP11" s="3007"/>
      <c r="AQ11" s="3007"/>
      <c r="AR11" s="3007"/>
      <c r="AS11" s="3007"/>
      <c r="AT11" s="3007"/>
      <c r="AU11" s="3007"/>
      <c r="AV11" s="3007"/>
      <c r="AW11" s="3007"/>
      <c r="AX11" s="3007"/>
      <c r="AY11" s="3007"/>
      <c r="AZ11" s="3007"/>
      <c r="BA11" s="3007"/>
      <c r="BB11" s="3007"/>
      <c r="BC11" s="3007"/>
      <c r="BD11" s="3491" t="s">
        <v>2444</v>
      </c>
      <c r="BE11" s="3492"/>
      <c r="BF11" s="3492"/>
      <c r="BG11" s="3492"/>
      <c r="BH11" s="3493"/>
      <c r="BI11" s="3491" t="s">
        <v>2443</v>
      </c>
      <c r="BJ11" s="3492"/>
      <c r="BK11" s="3492"/>
      <c r="BL11" s="3492"/>
      <c r="BM11" s="3493"/>
      <c r="BN11" s="3350" t="s">
        <v>473</v>
      </c>
      <c r="BO11" s="3351"/>
      <c r="BP11" s="3351"/>
      <c r="BQ11" s="3351"/>
      <c r="BR11" s="3351"/>
      <c r="BS11" s="3351"/>
      <c r="BT11" s="3352"/>
      <c r="BU11" s="924"/>
      <c r="BV11" s="1027">
        <v>1</v>
      </c>
      <c r="BW11" s="1699" t="s">
        <v>2461</v>
      </c>
      <c r="BX11" s="1030"/>
      <c r="BY11" s="1694">
        <v>1836</v>
      </c>
      <c r="BZ11" s="1694">
        <v>18.12</v>
      </c>
      <c r="CA11" s="1694">
        <v>30</v>
      </c>
      <c r="CB11" s="936"/>
      <c r="CC11" s="936"/>
      <c r="CD11" s="936"/>
      <c r="CE11" s="936"/>
      <c r="CF11" s="936"/>
      <c r="CG11" s="936"/>
    </row>
    <row r="12" spans="1:85" ht="12" customHeight="1">
      <c r="B12" s="927"/>
      <c r="C12" s="925"/>
      <c r="D12" s="3072"/>
      <c r="E12" s="3494"/>
      <c r="F12" s="3494"/>
      <c r="G12" s="3494"/>
      <c r="H12" s="3494"/>
      <c r="I12" s="3073"/>
      <c r="J12" s="3495"/>
      <c r="K12" s="3496"/>
      <c r="L12" s="3496"/>
      <c r="M12" s="3496"/>
      <c r="N12" s="3496"/>
      <c r="O12" s="3496"/>
      <c r="P12" s="3496"/>
      <c r="Q12" s="3496"/>
      <c r="R12" s="3496"/>
      <c r="S12" s="3497"/>
      <c r="T12" s="3072" t="s">
        <v>2441</v>
      </c>
      <c r="U12" s="3494"/>
      <c r="V12" s="3494"/>
      <c r="W12" s="3494"/>
      <c r="X12" s="3494"/>
      <c r="Y12" s="3073"/>
      <c r="Z12" s="3072" t="s">
        <v>2440</v>
      </c>
      <c r="AA12" s="3494"/>
      <c r="AB12" s="3494"/>
      <c r="AC12" s="3494"/>
      <c r="AD12" s="3494"/>
      <c r="AE12" s="3073"/>
      <c r="AF12" s="3072" t="s">
        <v>2439</v>
      </c>
      <c r="AG12" s="3494"/>
      <c r="AH12" s="3494"/>
      <c r="AI12" s="3494"/>
      <c r="AJ12" s="3494"/>
      <c r="AK12" s="3073"/>
      <c r="AL12" s="3072" t="s">
        <v>2438</v>
      </c>
      <c r="AM12" s="3494"/>
      <c r="AN12" s="3494"/>
      <c r="AO12" s="3494"/>
      <c r="AP12" s="3494"/>
      <c r="AQ12" s="3073"/>
      <c r="AR12" s="3072" t="s">
        <v>2437</v>
      </c>
      <c r="AS12" s="3494"/>
      <c r="AT12" s="3494"/>
      <c r="AU12" s="3494"/>
      <c r="AV12" s="3494"/>
      <c r="AW12" s="3073"/>
      <c r="AX12" s="3072" t="s">
        <v>2436</v>
      </c>
      <c r="AY12" s="3494"/>
      <c r="AZ12" s="3494"/>
      <c r="BA12" s="3494"/>
      <c r="BB12" s="3494"/>
      <c r="BC12" s="3073"/>
      <c r="BD12" s="3072" t="s">
        <v>2435</v>
      </c>
      <c r="BE12" s="3494"/>
      <c r="BF12" s="3494"/>
      <c r="BG12" s="3494"/>
      <c r="BH12" s="3073"/>
      <c r="BI12" s="3072" t="s">
        <v>2434</v>
      </c>
      <c r="BJ12" s="3494"/>
      <c r="BK12" s="3494"/>
      <c r="BL12" s="3494"/>
      <c r="BM12" s="3073"/>
      <c r="BN12" s="3495"/>
      <c r="BO12" s="3496"/>
      <c r="BP12" s="3496"/>
      <c r="BQ12" s="3496"/>
      <c r="BR12" s="3496"/>
      <c r="BS12" s="3496"/>
      <c r="BT12" s="3497"/>
      <c r="BU12" s="924"/>
      <c r="BV12" s="1027">
        <v>2</v>
      </c>
      <c r="BW12" s="1699" t="s">
        <v>2460</v>
      </c>
      <c r="BX12" s="1030"/>
      <c r="BY12" s="1694">
        <v>1630.8</v>
      </c>
      <c r="BZ12" s="1694">
        <v>16.510000000000002</v>
      </c>
      <c r="CA12" s="1694">
        <v>29</v>
      </c>
      <c r="CB12" s="936"/>
      <c r="CC12" s="965" t="s">
        <v>2459</v>
      </c>
      <c r="CD12" s="936"/>
      <c r="CE12" s="936"/>
      <c r="CF12" s="936"/>
      <c r="CG12" s="936"/>
    </row>
    <row r="13" spans="1:85" ht="15" customHeight="1">
      <c r="B13" s="927"/>
      <c r="C13" s="925"/>
      <c r="D13" s="3490" t="str">
        <f>IF(B2=0,"",IF(Z13="","","照明負荷"))</f>
        <v>照明負荷</v>
      </c>
      <c r="E13" s="3490"/>
      <c r="F13" s="3490"/>
      <c r="G13" s="3490"/>
      <c r="H13" s="3490"/>
      <c r="I13" s="3490"/>
      <c r="J13" s="2773" t="str">
        <f>IF(B2=0,"",IF(Z13="","","1φ3W"))</f>
        <v>1φ3W</v>
      </c>
      <c r="K13" s="2774"/>
      <c r="L13" s="2774"/>
      <c r="M13" s="2774"/>
      <c r="N13" s="3223" t="str">
        <f>IF(B2=0,"",IF(Z13="","","210/105V"))</f>
        <v>210/105V</v>
      </c>
      <c r="O13" s="3223"/>
      <c r="P13" s="3223"/>
      <c r="Q13" s="3223"/>
      <c r="R13" s="3223"/>
      <c r="S13" s="3224"/>
      <c r="T13" s="3000">
        <f>IF(B2=0,"",IF(Z13="","",SQRT(Z13^2+AF13^2)))</f>
        <v>410.94893580864306</v>
      </c>
      <c r="U13" s="3000"/>
      <c r="V13" s="3000"/>
      <c r="W13" s="3000"/>
      <c r="X13" s="3000"/>
      <c r="Y13" s="3000"/>
      <c r="Z13" s="3029">
        <f>IF($B$2=0,"",IF(OR(B2=0,[1]照差!$CN$370=0),0,[1]照差!$CN$370))</f>
        <v>400.84800000000007</v>
      </c>
      <c r="AA13" s="3000"/>
      <c r="AB13" s="3000"/>
      <c r="AC13" s="3000"/>
      <c r="AD13" s="3000"/>
      <c r="AE13" s="3000"/>
      <c r="AF13" s="3000">
        <f>IF($B$2=0,"",IF(OR(B2=0,[1]照差!$CO$370=0),0,[1]照差!$CO$370))</f>
        <v>90.553347471289911</v>
      </c>
      <c r="AG13" s="3000"/>
      <c r="AH13" s="3000"/>
      <c r="AI13" s="3000"/>
      <c r="AJ13" s="3000"/>
      <c r="AK13" s="3000"/>
      <c r="AL13" s="3000">
        <f>IF(B2=0,"",IF(AR13="","",SQRT(AR13^2+AX13^2)))</f>
        <v>369.85404222777862</v>
      </c>
      <c r="AM13" s="3000"/>
      <c r="AN13" s="3000"/>
      <c r="AO13" s="3000"/>
      <c r="AP13" s="3000"/>
      <c r="AQ13" s="3000"/>
      <c r="AR13" s="3000">
        <f>IF($B$2=0,"",IF(OR(B2=0,[1]照差!$CV$370=0),0,[1]照差!$CV$370))</f>
        <v>360.76319999999993</v>
      </c>
      <c r="AS13" s="3000"/>
      <c r="AT13" s="3000"/>
      <c r="AU13" s="3000"/>
      <c r="AV13" s="3000"/>
      <c r="AW13" s="3000"/>
      <c r="AX13" s="3000">
        <f>IF($B$2=0,"",IF(OR(B2=0,[1]照差!$CW$370=0),0,[1]照差!$CW$370))</f>
        <v>81.49801272416093</v>
      </c>
      <c r="AY13" s="3000"/>
      <c r="AZ13" s="3000"/>
      <c r="BA13" s="3000"/>
      <c r="BB13" s="3000"/>
      <c r="BC13" s="3000"/>
      <c r="BD13" s="3484">
        <f>IF(B2=0,"",IF(Z13="","",1000*AL13/LEFT(N13,3)))</f>
        <v>1761.2097248941841</v>
      </c>
      <c r="BE13" s="3485"/>
      <c r="BF13" s="3485"/>
      <c r="BG13" s="3485"/>
      <c r="BH13" s="3486"/>
      <c r="BI13" s="3160">
        <f>IF(OR(B2=0,T13=0),"",IF(Z13="","",AR13/AL13))</f>
        <v>0.97542045999275573</v>
      </c>
      <c r="BJ13" s="3160"/>
      <c r="BK13" s="3160"/>
      <c r="BL13" s="3160"/>
      <c r="BM13" s="3160"/>
      <c r="BN13" s="3501"/>
      <c r="BO13" s="3501"/>
      <c r="BP13" s="3501"/>
      <c r="BQ13" s="3501"/>
      <c r="BR13" s="3501"/>
      <c r="BS13" s="3501"/>
      <c r="BT13" s="3501"/>
      <c r="BU13" s="924"/>
      <c r="BV13" s="1027">
        <v>3</v>
      </c>
      <c r="BW13" s="1699" t="s">
        <v>2458</v>
      </c>
      <c r="BX13" s="1030" t="s">
        <v>2451</v>
      </c>
      <c r="BY13" s="1694">
        <v>1684.8</v>
      </c>
      <c r="BZ13" s="1694">
        <v>17.22</v>
      </c>
      <c r="CA13" s="1695">
        <v>28</v>
      </c>
      <c r="CB13" s="936"/>
      <c r="CC13" s="1032">
        <f>SUM(Z13:AE19)+SUM(Z29:AE33)</f>
        <v>3027.0154739185664</v>
      </c>
      <c r="CD13" s="1027"/>
      <c r="CE13" s="1031"/>
      <c r="CF13" s="936"/>
      <c r="CG13" s="936"/>
    </row>
    <row r="14" spans="1:85" ht="15" customHeight="1">
      <c r="B14" s="927"/>
      <c r="C14" s="925"/>
      <c r="D14" s="3490" t="str">
        <f>IF(B2=0,"",IF(Z14="","","照明負荷"))</f>
        <v>照明負荷</v>
      </c>
      <c r="E14" s="3490"/>
      <c r="F14" s="3490"/>
      <c r="G14" s="3490"/>
      <c r="H14" s="3490"/>
      <c r="I14" s="3490"/>
      <c r="J14" s="2773" t="str">
        <f>IF(B2=0,"",IF(Z14="","","3φ4W"))</f>
        <v>3φ4W</v>
      </c>
      <c r="K14" s="2774"/>
      <c r="L14" s="2774"/>
      <c r="M14" s="2774"/>
      <c r="N14" s="3223" t="str">
        <f>IF(B2=0,"",IF(Z14="","","440/254V"))</f>
        <v>440/254V</v>
      </c>
      <c r="O14" s="3223"/>
      <c r="P14" s="3223"/>
      <c r="Q14" s="3223"/>
      <c r="R14" s="3223"/>
      <c r="S14" s="3224"/>
      <c r="T14" s="3484">
        <f>IF(B2=0,"",IF(Z14="","",SQRT(Z14^2+AF14^2)))</f>
        <v>89.15552596074518</v>
      </c>
      <c r="U14" s="3485"/>
      <c r="V14" s="3485"/>
      <c r="W14" s="3485"/>
      <c r="X14" s="3485"/>
      <c r="Y14" s="3486"/>
      <c r="Z14" s="3518">
        <f>IF(OR(B2=0,[1]照差!$CP$370=0),"",[1]照差!$CP$370)</f>
        <v>86.688000000000002</v>
      </c>
      <c r="AA14" s="3485"/>
      <c r="AB14" s="3485"/>
      <c r="AC14" s="3485"/>
      <c r="AD14" s="3485"/>
      <c r="AE14" s="3486"/>
      <c r="AF14" s="3484">
        <f>IF(OR(B2=0,[1]照差!$CQ$370=0),"",[1]照差!$CQ$370)</f>
        <v>20.830229603561911</v>
      </c>
      <c r="AG14" s="3485"/>
      <c r="AH14" s="3485"/>
      <c r="AI14" s="3485"/>
      <c r="AJ14" s="3485"/>
      <c r="AK14" s="3486"/>
      <c r="AL14" s="3484">
        <f>IF(B2=0,"",IF(AR14="","",SQRT(AR14^2+AX14^2)))</f>
        <v>80.239973364670661</v>
      </c>
      <c r="AM14" s="3485"/>
      <c r="AN14" s="3485"/>
      <c r="AO14" s="3485"/>
      <c r="AP14" s="3485"/>
      <c r="AQ14" s="3486"/>
      <c r="AR14" s="3484">
        <f>IF(OR(B2=0,[1]照差!$CX$370=0),"",[1]照差!$CX$370)</f>
        <v>78.019199999999998</v>
      </c>
      <c r="AS14" s="3485"/>
      <c r="AT14" s="3485"/>
      <c r="AU14" s="3485"/>
      <c r="AV14" s="3485"/>
      <c r="AW14" s="3486"/>
      <c r="AX14" s="3484">
        <f>IF(OR(B2=0,[1]照差!$CY$370=0),"",[1]照差!$CY$370)</f>
        <v>18.747206643205722</v>
      </c>
      <c r="AY14" s="3485"/>
      <c r="AZ14" s="3485"/>
      <c r="BA14" s="3485"/>
      <c r="BB14" s="3485"/>
      <c r="BC14" s="3486"/>
      <c r="BD14" s="3484">
        <f>IF(B2=0,"",IF(Z14="","",1000*AL14/LEFT(N14,3)))</f>
        <v>182.36357582879694</v>
      </c>
      <c r="BE14" s="3485"/>
      <c r="BF14" s="3485"/>
      <c r="BG14" s="3485"/>
      <c r="BH14" s="3486"/>
      <c r="BI14" s="3160">
        <f>IF(T14=0,"",IF(Z14="","",AR14/AL14))</f>
        <v>0.9723233536659116</v>
      </c>
      <c r="BJ14" s="3160"/>
      <c r="BK14" s="3160"/>
      <c r="BL14" s="3160"/>
      <c r="BM14" s="3160"/>
      <c r="BN14" s="3501"/>
      <c r="BO14" s="3501"/>
      <c r="BP14" s="3501"/>
      <c r="BQ14" s="3501"/>
      <c r="BR14" s="3501"/>
      <c r="BS14" s="3501"/>
      <c r="BT14" s="3501"/>
      <c r="BU14" s="924"/>
      <c r="BV14" s="1027">
        <v>4</v>
      </c>
      <c r="BW14" s="1699" t="s">
        <v>2457</v>
      </c>
      <c r="BX14" s="1030" t="s">
        <v>2451</v>
      </c>
      <c r="BY14" s="1694">
        <v>1123.2</v>
      </c>
      <c r="BZ14" s="1694">
        <v>16.78</v>
      </c>
      <c r="CA14" s="1694">
        <v>25</v>
      </c>
      <c r="CB14" s="936"/>
      <c r="CC14" s="936"/>
      <c r="CD14" s="1027"/>
      <c r="CE14" s="916"/>
      <c r="CF14" s="936"/>
      <c r="CG14" s="936"/>
    </row>
    <row r="15" spans="1:85" ht="15" customHeight="1">
      <c r="B15" s="927"/>
      <c r="C15" s="925"/>
      <c r="D15" s="2773" t="str">
        <f>IF(B2=0,"",IF(Z15="","","発電機連動"))</f>
        <v/>
      </c>
      <c r="E15" s="2774"/>
      <c r="F15" s="2774"/>
      <c r="G15" s="2774"/>
      <c r="H15" s="2774"/>
      <c r="I15" s="2775"/>
      <c r="J15" s="2773" t="str">
        <f>IF(B2=0,"",IF(Z15="","",LEFT(発電!L53,4)))</f>
        <v/>
      </c>
      <c r="K15" s="2774"/>
      <c r="L15" s="2774"/>
      <c r="M15" s="2774"/>
      <c r="N15" s="3223" t="str">
        <f>IF(B2=0,"",IF(Z15="","",発電!Q10&amp;"V"))</f>
        <v/>
      </c>
      <c r="O15" s="3223"/>
      <c r="P15" s="3223"/>
      <c r="Q15" s="3223"/>
      <c r="R15" s="3223"/>
      <c r="S15" s="3224"/>
      <c r="T15" s="3515" t="str">
        <f>IF(B2=0,"",IF(Z15="","",-SQRT(Z15^2+AF15^2)))</f>
        <v/>
      </c>
      <c r="U15" s="3516"/>
      <c r="V15" s="3516"/>
      <c r="W15" s="3516"/>
      <c r="X15" s="3516"/>
      <c r="Y15" s="3517"/>
      <c r="Z15" s="3500" t="str">
        <f>IF(発電!K6="常用連",-発電!BM18*0.8,"")</f>
        <v/>
      </c>
      <c r="AA15" s="3500"/>
      <c r="AB15" s="3500"/>
      <c r="AC15" s="3500"/>
      <c r="AD15" s="3500"/>
      <c r="AE15" s="3500"/>
      <c r="AF15" s="3500" t="str">
        <f>IF(発電!K6="常用連",-発電!BM18*SQRT(1-0.8^2),"")</f>
        <v/>
      </c>
      <c r="AG15" s="3500"/>
      <c r="AH15" s="3500"/>
      <c r="AI15" s="3500"/>
      <c r="AJ15" s="3500"/>
      <c r="AK15" s="3500"/>
      <c r="AL15" s="3500" t="str">
        <f>IF(B2=0,"",IF(AR15="","",-SQRT(AR15^2+AX15^2)))</f>
        <v/>
      </c>
      <c r="AM15" s="3500"/>
      <c r="AN15" s="3500"/>
      <c r="AO15" s="3500"/>
      <c r="AP15" s="3500"/>
      <c r="AQ15" s="3500"/>
      <c r="AR15" s="3500" t="str">
        <f>IF(Z15="","",Z15*0.9)</f>
        <v/>
      </c>
      <c r="AS15" s="3500"/>
      <c r="AT15" s="3500"/>
      <c r="AU15" s="3500"/>
      <c r="AV15" s="3500"/>
      <c r="AW15" s="3500"/>
      <c r="AX15" s="3500" t="str">
        <f>IF(Z15="","",AF15*0.9)</f>
        <v/>
      </c>
      <c r="AY15" s="3500"/>
      <c r="AZ15" s="3500"/>
      <c r="BA15" s="3500"/>
      <c r="BB15" s="3500"/>
      <c r="BC15" s="3500"/>
      <c r="BD15" s="3484" t="str">
        <f>IF(B2=0,"",IF(Z15="","",1000*AL15/LEFT(N15,3)))</f>
        <v/>
      </c>
      <c r="BE15" s="3485"/>
      <c r="BF15" s="3485"/>
      <c r="BG15" s="3485"/>
      <c r="BH15" s="3486"/>
      <c r="BI15" s="3160" t="str">
        <f>IF(B2=0,"",IF(Z15="","",AR15/AL15))</f>
        <v/>
      </c>
      <c r="BJ15" s="3160"/>
      <c r="BK15" s="3160"/>
      <c r="BL15" s="3160"/>
      <c r="BM15" s="3160"/>
      <c r="BN15" s="3501"/>
      <c r="BO15" s="3501"/>
      <c r="BP15" s="3501"/>
      <c r="BQ15" s="3501"/>
      <c r="BR15" s="3501"/>
      <c r="BS15" s="3501"/>
      <c r="BT15" s="3501"/>
      <c r="BU15" s="924"/>
      <c r="BV15" s="1027">
        <v>5</v>
      </c>
      <c r="BW15" s="1699" t="s">
        <v>2456</v>
      </c>
      <c r="BX15" s="1030" t="s">
        <v>2451</v>
      </c>
      <c r="BY15" s="1694">
        <v>1620</v>
      </c>
      <c r="BZ15" s="1694">
        <v>17.09</v>
      </c>
      <c r="CA15" s="1694">
        <v>28</v>
      </c>
      <c r="CB15" s="936"/>
      <c r="CC15" s="942"/>
      <c r="CD15" s="1027"/>
      <c r="CE15" s="916"/>
      <c r="CF15" s="936"/>
      <c r="CG15" s="936"/>
    </row>
    <row r="16" spans="1:85" ht="15" customHeight="1">
      <c r="B16" s="927"/>
      <c r="C16" s="925"/>
      <c r="D16" s="2773" t="str">
        <f>IF(B2=0,"",IF(Z16="","","差込負荷"))</f>
        <v>差込負荷</v>
      </c>
      <c r="E16" s="2774"/>
      <c r="F16" s="2774"/>
      <c r="G16" s="2774"/>
      <c r="H16" s="2774"/>
      <c r="I16" s="2775"/>
      <c r="J16" s="2773" t="str">
        <f>IF(B2=0,"",IF(Z16="","","1φ3W"))</f>
        <v>1φ3W</v>
      </c>
      <c r="K16" s="2774"/>
      <c r="L16" s="2774"/>
      <c r="M16" s="2774"/>
      <c r="N16" s="3223" t="str">
        <f>IF(B2=0,"",IF(Z16="","","210/105V"))</f>
        <v>210/105V</v>
      </c>
      <c r="O16" s="3223"/>
      <c r="P16" s="3223"/>
      <c r="Q16" s="3223"/>
      <c r="R16" s="3223"/>
      <c r="S16" s="3224"/>
      <c r="T16" s="3484">
        <f>IF(B2=0,"",IF(Z16="","",SQRT(Z16^2+AF16^2)))</f>
        <v>836.80000000000018</v>
      </c>
      <c r="U16" s="3485"/>
      <c r="V16" s="3485"/>
      <c r="W16" s="3485"/>
      <c r="X16" s="3485"/>
      <c r="Y16" s="3486"/>
      <c r="Z16" s="3000">
        <f>IF(B2=0,"",[1]照差!$CT$370)</f>
        <v>502.0800000000001</v>
      </c>
      <c r="AA16" s="3000"/>
      <c r="AB16" s="3000"/>
      <c r="AC16" s="3000"/>
      <c r="AD16" s="3000"/>
      <c r="AE16" s="3000"/>
      <c r="AF16" s="3000">
        <f>IF(B2=0,"",[1]照差!$CU$370)</f>
        <v>669.44</v>
      </c>
      <c r="AG16" s="3000"/>
      <c r="AH16" s="3000"/>
      <c r="AI16" s="3000"/>
      <c r="AJ16" s="3000"/>
      <c r="AK16" s="3000"/>
      <c r="AL16" s="3000">
        <f>IF(B2=0,"",IF(AR16="","",SQRT(AR16^2+AX16^2)))</f>
        <v>251.04000000000005</v>
      </c>
      <c r="AM16" s="3000"/>
      <c r="AN16" s="3000"/>
      <c r="AO16" s="3000"/>
      <c r="AP16" s="3000"/>
      <c r="AQ16" s="3000"/>
      <c r="AR16" s="3000">
        <f>IF(B2=0,"",[1]照差!$DB$370)</f>
        <v>150.624</v>
      </c>
      <c r="AS16" s="3000"/>
      <c r="AT16" s="3000"/>
      <c r="AU16" s="3000"/>
      <c r="AV16" s="3000"/>
      <c r="AW16" s="3000"/>
      <c r="AX16" s="3000">
        <f>IF(B2=0,"",[1]照差!$DC$370)</f>
        <v>200.83200000000005</v>
      </c>
      <c r="AY16" s="3000"/>
      <c r="AZ16" s="3000"/>
      <c r="BA16" s="3000"/>
      <c r="BB16" s="3000"/>
      <c r="BC16" s="3000"/>
      <c r="BD16" s="3484">
        <f>IF(B2=0,"",IF(Z16="","",1000*AL16/LEFT(N16,3)))</f>
        <v>1195.4285714285718</v>
      </c>
      <c r="BE16" s="3485"/>
      <c r="BF16" s="3485"/>
      <c r="BG16" s="3485"/>
      <c r="BH16" s="3486"/>
      <c r="BI16" s="3160">
        <f>IF(T16=0,"",IF(Z16="","",AR16/AL16))</f>
        <v>0.59999999999999987</v>
      </c>
      <c r="BJ16" s="3160"/>
      <c r="BK16" s="3160"/>
      <c r="BL16" s="3160"/>
      <c r="BM16" s="3160"/>
      <c r="BN16" s="3501"/>
      <c r="BO16" s="3501"/>
      <c r="BP16" s="3501"/>
      <c r="BQ16" s="3501"/>
      <c r="BR16" s="3501"/>
      <c r="BS16" s="3501"/>
      <c r="BT16" s="3501"/>
      <c r="BU16" s="924"/>
      <c r="BV16" s="1027">
        <v>6</v>
      </c>
      <c r="BW16" s="1699" t="s">
        <v>2455</v>
      </c>
      <c r="BX16" s="1030" t="s">
        <v>2451</v>
      </c>
      <c r="BY16" s="1694">
        <v>1058.4000000000001</v>
      </c>
      <c r="BZ16" s="1694">
        <v>17.98</v>
      </c>
      <c r="CA16" s="1694">
        <v>25</v>
      </c>
      <c r="CB16" s="936"/>
      <c r="CC16" s="936"/>
      <c r="CD16" s="1027"/>
      <c r="CE16" s="916"/>
      <c r="CF16" s="936"/>
      <c r="CG16" s="936"/>
    </row>
    <row r="17" spans="2:99" ht="15" customHeight="1">
      <c r="B17" s="927"/>
      <c r="C17" s="925"/>
      <c r="D17" s="2773" t="str">
        <f>IF(B2=0,"",IF(Z17="","","換気負荷"))</f>
        <v>換気負荷</v>
      </c>
      <c r="E17" s="2774"/>
      <c r="F17" s="2774"/>
      <c r="G17" s="2774"/>
      <c r="H17" s="2774"/>
      <c r="I17" s="2775"/>
      <c r="J17" s="2773" t="str">
        <f>IF(B2=0,"",IF(Z17="","","1φ3W"))</f>
        <v>1φ3W</v>
      </c>
      <c r="K17" s="2774"/>
      <c r="L17" s="2774"/>
      <c r="M17" s="2774"/>
      <c r="N17" s="3223" t="str">
        <f>IF(B2=0,"",IF(Z17="","","210/105V"))</f>
        <v>210/105V</v>
      </c>
      <c r="O17" s="3223"/>
      <c r="P17" s="3223"/>
      <c r="Q17" s="3223"/>
      <c r="R17" s="3223"/>
      <c r="S17" s="3224"/>
      <c r="T17" s="3484">
        <f>IF(B2=0,"",IF(Z17="","",SQRT(Z17^2+AF17^2)))</f>
        <v>173.95058909090912</v>
      </c>
      <c r="U17" s="3485"/>
      <c r="V17" s="3485"/>
      <c r="W17" s="3485"/>
      <c r="X17" s="3485"/>
      <c r="Y17" s="3486"/>
      <c r="Z17" s="3000">
        <f>IF(B2=0,"",[6]動配!$CC$553)</f>
        <v>114.8073888</v>
      </c>
      <c r="AA17" s="3000"/>
      <c r="AB17" s="3000"/>
      <c r="AC17" s="3000"/>
      <c r="AD17" s="3000"/>
      <c r="AE17" s="3000"/>
      <c r="AF17" s="3000">
        <f>IF(B2=0,"",[6]動配!$CD$553)</f>
        <v>130.68309348190354</v>
      </c>
      <c r="AG17" s="3000"/>
      <c r="AH17" s="3000"/>
      <c r="AI17" s="3000"/>
      <c r="AJ17" s="3000"/>
      <c r="AK17" s="3000"/>
      <c r="AL17" s="3000">
        <f>IF(B2=0,"",IF(AR17="","",SQRT(AR17^2+AX17^2)))</f>
        <v>143.02410763636362</v>
      </c>
      <c r="AM17" s="3000"/>
      <c r="AN17" s="3000"/>
      <c r="AO17" s="3000"/>
      <c r="AP17" s="3000"/>
      <c r="AQ17" s="3000"/>
      <c r="AR17" s="3000">
        <f>IF(B2=0,"",[6]動配!$CJ$553)</f>
        <v>94.395911040000016</v>
      </c>
      <c r="AS17" s="3000"/>
      <c r="AT17" s="3000"/>
      <c r="AU17" s="3000"/>
      <c r="AV17" s="3000"/>
      <c r="AW17" s="3000"/>
      <c r="AX17" s="3000">
        <f>IF(B2=0,"",[6]動配!$CK$553)</f>
        <v>107.44909187194898</v>
      </c>
      <c r="AY17" s="3000"/>
      <c r="AZ17" s="3000"/>
      <c r="BA17" s="3000"/>
      <c r="BB17" s="3000"/>
      <c r="BC17" s="3000"/>
      <c r="BD17" s="3484">
        <f>IF(B2=0,"",IF(Z17="","",1000*AL17/LEFT(N17,3)))</f>
        <v>681.06717922077917</v>
      </c>
      <c r="BE17" s="3485"/>
      <c r="BF17" s="3485"/>
      <c r="BG17" s="3485"/>
      <c r="BH17" s="3486"/>
      <c r="BI17" s="3160">
        <f>IF(T17=0,"",IF(Z17="","",AR17/AL17))</f>
        <v>0.66000000000000014</v>
      </c>
      <c r="BJ17" s="3160"/>
      <c r="BK17" s="3160"/>
      <c r="BL17" s="3160"/>
      <c r="BM17" s="3160"/>
      <c r="BN17" s="3501"/>
      <c r="BO17" s="3501"/>
      <c r="BP17" s="3501"/>
      <c r="BQ17" s="3501"/>
      <c r="BR17" s="3501"/>
      <c r="BS17" s="3501"/>
      <c r="BT17" s="3501"/>
      <c r="BU17" s="924"/>
      <c r="BV17" s="1027">
        <v>7</v>
      </c>
      <c r="BW17" s="1699" t="s">
        <v>2454</v>
      </c>
      <c r="BX17" s="1030" t="s">
        <v>2451</v>
      </c>
      <c r="BY17" s="1694">
        <v>1220</v>
      </c>
      <c r="BZ17" s="1694">
        <v>14.02</v>
      </c>
      <c r="CA17" s="1694">
        <v>25</v>
      </c>
      <c r="CB17" s="936"/>
      <c r="CC17" s="936"/>
      <c r="CD17" s="1027"/>
      <c r="CE17" s="916"/>
      <c r="CF17" s="936"/>
      <c r="CG17" s="936"/>
    </row>
    <row r="18" spans="2:99" ht="15" customHeight="1">
      <c r="B18" s="927"/>
      <c r="C18" s="925"/>
      <c r="D18" s="2773" t="str">
        <f>IF(B2=0,"",IF(Z18="","","厨房負荷"))</f>
        <v/>
      </c>
      <c r="E18" s="2774"/>
      <c r="F18" s="2774"/>
      <c r="G18" s="2774"/>
      <c r="H18" s="2774"/>
      <c r="I18" s="2775"/>
      <c r="J18" s="2773" t="str">
        <f>IF(B2=0,"",IF(Z18="","","1φ3W"))</f>
        <v/>
      </c>
      <c r="K18" s="2774"/>
      <c r="L18" s="2774"/>
      <c r="M18" s="2774"/>
      <c r="N18" s="3223" t="str">
        <f>IF(B2=0,"",IF(Z18="","","210/105V"))</f>
        <v/>
      </c>
      <c r="O18" s="3223"/>
      <c r="P18" s="3223"/>
      <c r="Q18" s="3223"/>
      <c r="R18" s="3223"/>
      <c r="S18" s="3224"/>
      <c r="T18" s="3484" t="str">
        <f>IF(B2=0,"",IF(Z18="","",SQRT(Z18^2+AF18^2)))</f>
        <v/>
      </c>
      <c r="U18" s="3485"/>
      <c r="V18" s="3485"/>
      <c r="W18" s="3485"/>
      <c r="X18" s="3485"/>
      <c r="Y18" s="3486"/>
      <c r="Z18" s="3000" t="str">
        <f>IF(B2=0,"",IF([1]低幹!CC480=0,"",[1]動配!CC480))</f>
        <v/>
      </c>
      <c r="AA18" s="3000"/>
      <c r="AB18" s="3000"/>
      <c r="AC18" s="3000"/>
      <c r="AD18" s="3000"/>
      <c r="AE18" s="3000"/>
      <c r="AF18" s="3000">
        <f>IF(B2=0,"",IF([1]動配!CD480=0,"",[1]動配!CD480))</f>
        <v>9.3929618301109379</v>
      </c>
      <c r="AG18" s="3000"/>
      <c r="AH18" s="3000"/>
      <c r="AI18" s="3000"/>
      <c r="AJ18" s="3000"/>
      <c r="AK18" s="3000"/>
      <c r="AL18" s="3000">
        <f>IF(B2=0,"",IF(AR18="","",SQRT(AR18^2+AX18^2)))</f>
        <v>2.6094574330035787</v>
      </c>
      <c r="AM18" s="3000"/>
      <c r="AN18" s="3000"/>
      <c r="AO18" s="3000"/>
      <c r="AP18" s="3000"/>
      <c r="AQ18" s="3000"/>
      <c r="AR18" s="3000">
        <f>IF(B2=0,"",IF([1]動配!CJ480=0,"",[1]動配!CJ480))</f>
        <v>1.46</v>
      </c>
      <c r="AS18" s="3000"/>
      <c r="AT18" s="3000"/>
      <c r="AU18" s="3000"/>
      <c r="AV18" s="3000"/>
      <c r="AW18" s="3000"/>
      <c r="AX18" s="3000">
        <f>IF(B2=0,"",IF([1]動配!CK480=0,"",[1]動配!CK480))</f>
        <v>2.1627917363115725</v>
      </c>
      <c r="AY18" s="3000"/>
      <c r="AZ18" s="3000"/>
      <c r="BA18" s="3000"/>
      <c r="BB18" s="3000"/>
      <c r="BC18" s="3000"/>
      <c r="BD18" s="3484" t="str">
        <f>IF(B2=0,"",IF(Z18="","",1000*AL18/LEFT(N18,3)))</f>
        <v/>
      </c>
      <c r="BE18" s="3485"/>
      <c r="BF18" s="3485"/>
      <c r="BG18" s="3485"/>
      <c r="BH18" s="3486"/>
      <c r="BI18" s="3160" t="str">
        <f>IF(T18=0,"",IF(Z18="","",AR18/AL18))</f>
        <v/>
      </c>
      <c r="BJ18" s="3160"/>
      <c r="BK18" s="3160"/>
      <c r="BL18" s="3160"/>
      <c r="BM18" s="3160"/>
      <c r="BN18" s="3501"/>
      <c r="BO18" s="3501"/>
      <c r="BP18" s="3501"/>
      <c r="BQ18" s="3501"/>
      <c r="BR18" s="3501"/>
      <c r="BS18" s="3501"/>
      <c r="BT18" s="3501"/>
      <c r="BU18" s="924"/>
      <c r="BV18" s="1027">
        <v>8</v>
      </c>
      <c r="BW18" s="1699" t="s">
        <v>2453</v>
      </c>
      <c r="BX18" s="1030" t="s">
        <v>2451</v>
      </c>
      <c r="BY18" s="1694">
        <v>1518.17</v>
      </c>
      <c r="BZ18" s="1694">
        <v>15.06</v>
      </c>
      <c r="CA18" s="1694">
        <v>27</v>
      </c>
      <c r="CB18" s="936"/>
      <c r="CC18" s="936"/>
      <c r="CD18" s="1027"/>
      <c r="CE18" s="916"/>
      <c r="CF18" s="936"/>
      <c r="CG18" s="936"/>
    </row>
    <row r="19" spans="2:99" ht="15" customHeight="1">
      <c r="B19" s="927"/>
      <c r="C19" s="925"/>
      <c r="D19" s="3490" t="str">
        <f>IF(B2=0,"",IF(Z19="","","防災負荷"))</f>
        <v>防災負荷</v>
      </c>
      <c r="E19" s="3490"/>
      <c r="F19" s="3490"/>
      <c r="G19" s="3490"/>
      <c r="H19" s="3490"/>
      <c r="I19" s="3490"/>
      <c r="J19" s="2773" t="str">
        <f>IF(B2=0,"",IF(Z19="","","1φ2W"))</f>
        <v>1φ2W</v>
      </c>
      <c r="K19" s="2774"/>
      <c r="L19" s="2774"/>
      <c r="M19" s="2774"/>
      <c r="N19" s="3223" t="str">
        <f>IF(B2=0,"",IF(Z19="","","105V"))</f>
        <v>105V</v>
      </c>
      <c r="O19" s="3223"/>
      <c r="P19" s="3223"/>
      <c r="Q19" s="3223"/>
      <c r="R19" s="3223"/>
      <c r="S19" s="3224"/>
      <c r="T19" s="3000">
        <f>IF(B2=0,"",IF(Z19="","",SQRT(Z19^2+AF19^2)))</f>
        <v>2.515741009177161</v>
      </c>
      <c r="U19" s="3000"/>
      <c r="V19" s="3000"/>
      <c r="W19" s="3000"/>
      <c r="X19" s="3000"/>
      <c r="Y19" s="3000"/>
      <c r="Z19" s="3000">
        <f>IF(B2=0,"",[3]非誘!$CU$142/1000)</f>
        <v>1.3680000000000001</v>
      </c>
      <c r="AA19" s="3000"/>
      <c r="AB19" s="3000"/>
      <c r="AC19" s="3000"/>
      <c r="AD19" s="3000"/>
      <c r="AE19" s="3000"/>
      <c r="AF19" s="3000">
        <f>IF(B2=0,"",[3]非誘!$CV$142/1000)</f>
        <v>2.1112860595513157</v>
      </c>
      <c r="AG19" s="3000"/>
      <c r="AH19" s="3000"/>
      <c r="AI19" s="3000"/>
      <c r="AJ19" s="3000"/>
      <c r="AK19" s="3000"/>
      <c r="AL19" s="3000">
        <f>IF(B2=0,"",IF(AR19="","",SQRT(AR19^2+AX19^2)))</f>
        <v>2.515741009177161</v>
      </c>
      <c r="AM19" s="3000"/>
      <c r="AN19" s="3000"/>
      <c r="AO19" s="3000"/>
      <c r="AP19" s="3000"/>
      <c r="AQ19" s="3000"/>
      <c r="AR19" s="3000">
        <f>IF(B2=0,"",IF(Z19="","",Z19))</f>
        <v>1.3680000000000001</v>
      </c>
      <c r="AS19" s="3000"/>
      <c r="AT19" s="3000"/>
      <c r="AU19" s="3000"/>
      <c r="AV19" s="3000"/>
      <c r="AW19" s="3000"/>
      <c r="AX19" s="3000">
        <f>IF(B2=0,"",IF(Z19="","",AF19))</f>
        <v>2.1112860595513157</v>
      </c>
      <c r="AY19" s="3000"/>
      <c r="AZ19" s="3000"/>
      <c r="BA19" s="3000"/>
      <c r="BB19" s="3000"/>
      <c r="BC19" s="3000"/>
      <c r="BD19" s="3484">
        <f>IF(B2=0,"",IF(Z19="","",1000*AL19/LEFT(N19,3)))</f>
        <v>23.95943818263963</v>
      </c>
      <c r="BE19" s="3485"/>
      <c r="BF19" s="3485"/>
      <c r="BG19" s="3485"/>
      <c r="BH19" s="3486"/>
      <c r="BI19" s="3160">
        <f>IF(T19=0,"",IF(Z19="","",AR19/AL19))</f>
        <v>0.54377616575381915</v>
      </c>
      <c r="BJ19" s="3160"/>
      <c r="BK19" s="3160"/>
      <c r="BL19" s="3160"/>
      <c r="BM19" s="3160"/>
      <c r="BN19" s="3501"/>
      <c r="BO19" s="3501"/>
      <c r="BP19" s="3501"/>
      <c r="BQ19" s="3501"/>
      <c r="BR19" s="3501"/>
      <c r="BS19" s="3501"/>
      <c r="BT19" s="3501"/>
      <c r="BU19" s="924"/>
      <c r="BV19" s="1027">
        <v>9</v>
      </c>
      <c r="BW19" s="1699" t="s">
        <v>2452</v>
      </c>
      <c r="BX19" s="1030" t="s">
        <v>2451</v>
      </c>
      <c r="BY19" s="1694">
        <v>2008.8</v>
      </c>
      <c r="BZ19" s="1694">
        <v>12.72</v>
      </c>
      <c r="CA19" s="1694">
        <v>28</v>
      </c>
      <c r="CB19" s="3536" t="s">
        <v>2450</v>
      </c>
      <c r="CC19" s="3536"/>
      <c r="CD19" s="1027"/>
      <c r="CE19" s="916"/>
      <c r="CF19" s="3536" t="s">
        <v>2426</v>
      </c>
      <c r="CG19" s="3536" t="s">
        <v>2425</v>
      </c>
      <c r="CJ19" s="916"/>
    </row>
    <row r="20" spans="2:99" ht="4.5" customHeight="1">
      <c r="B20" s="927"/>
      <c r="C20" s="925"/>
      <c r="D20" s="925"/>
      <c r="E20" s="925"/>
      <c r="F20" s="925"/>
      <c r="G20" s="925"/>
      <c r="H20" s="925"/>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c r="AT20" s="925"/>
      <c r="AU20" s="925"/>
      <c r="AV20" s="925"/>
      <c r="AW20" s="925"/>
      <c r="AX20" s="925"/>
      <c r="AY20" s="925"/>
      <c r="AZ20" s="925"/>
      <c r="BA20" s="925"/>
      <c r="BB20" s="925"/>
      <c r="BC20" s="925"/>
      <c r="BD20" s="925"/>
      <c r="BE20" s="925"/>
      <c r="BF20" s="925"/>
      <c r="BG20" s="925"/>
      <c r="BH20" s="925"/>
      <c r="BI20" s="925"/>
      <c r="BJ20" s="925"/>
      <c r="BK20" s="925"/>
      <c r="BL20" s="925"/>
      <c r="BM20" s="925"/>
      <c r="BN20" s="925"/>
      <c r="BO20" s="925"/>
      <c r="BP20" s="925"/>
      <c r="BQ20" s="925"/>
      <c r="BR20" s="925"/>
      <c r="BS20" s="925"/>
      <c r="BT20" s="925"/>
      <c r="BU20" s="924"/>
      <c r="BV20" s="1027"/>
      <c r="BW20" s="1700"/>
      <c r="BX20" s="1029"/>
      <c r="BY20" s="1696"/>
      <c r="BZ20" s="1696"/>
      <c r="CA20" s="1696"/>
      <c r="CB20" s="3536"/>
      <c r="CC20" s="3536"/>
      <c r="CD20" s="1027"/>
      <c r="CE20" s="916"/>
      <c r="CF20" s="3537"/>
      <c r="CG20" s="3537"/>
      <c r="CJ20" s="916"/>
    </row>
    <row r="21" spans="2:99" ht="13.5" customHeight="1">
      <c r="B21" s="927"/>
      <c r="C21" s="925"/>
      <c r="D21" s="925"/>
      <c r="E21" s="925"/>
      <c r="F21" s="925"/>
      <c r="G21" s="925"/>
      <c r="H21" s="925"/>
      <c r="I21" s="925"/>
      <c r="J21" s="3004" t="str">
        <f>IF(AND(J13="",J16="",J17="",J18="",J19=""),"","1φ3W 210/105V")</f>
        <v>1φ3W 210/105V</v>
      </c>
      <c r="K21" s="3005"/>
      <c r="L21" s="3005"/>
      <c r="M21" s="3005"/>
      <c r="N21" s="3005"/>
      <c r="O21" s="3005"/>
      <c r="P21" s="3005"/>
      <c r="Q21" s="3005"/>
      <c r="R21" s="3005"/>
      <c r="S21" s="3005"/>
      <c r="T21" s="3000">
        <f>IF(OR(J21="",B2=0),"",IF(Z21="","",SQRT(Z21^2+AF21^2)))</f>
        <v>1361.0663879416809</v>
      </c>
      <c r="U21" s="3000"/>
      <c r="V21" s="3000"/>
      <c r="W21" s="3000"/>
      <c r="X21" s="3000"/>
      <c r="Y21" s="3000"/>
      <c r="Z21" s="3000">
        <f>IF(B2=0,"",VALUE(Z13)+SUM(Z16:AE19))</f>
        <v>1019.1033888000002</v>
      </c>
      <c r="AA21" s="3000"/>
      <c r="AB21" s="3000"/>
      <c r="AC21" s="3000"/>
      <c r="AD21" s="3000"/>
      <c r="AE21" s="3000"/>
      <c r="AF21" s="3000">
        <f>IF(B2=0,"",VALUE(AF13)+SUM(AF16:AK19))</f>
        <v>902.18068884285583</v>
      </c>
      <c r="AG21" s="3000"/>
      <c r="AH21" s="3000"/>
      <c r="AI21" s="3000"/>
      <c r="AJ21" s="3000"/>
      <c r="AK21" s="3000"/>
      <c r="AL21" s="3000">
        <f>IF(B2=0,"",IF(AR21="","",SQRT(AR21^2+AX21^2)))</f>
        <v>725.0416505515974</v>
      </c>
      <c r="AM21" s="3000"/>
      <c r="AN21" s="3000"/>
      <c r="AO21" s="3000"/>
      <c r="AP21" s="3000"/>
      <c r="AQ21" s="3000"/>
      <c r="AR21" s="3000">
        <f>IF(B2=0,"",VALUE(AR13)+SUM(AR16:AW19))</f>
        <v>608.61111103999997</v>
      </c>
      <c r="AS21" s="3000"/>
      <c r="AT21" s="3000"/>
      <c r="AU21" s="3000"/>
      <c r="AV21" s="3000"/>
      <c r="AW21" s="3000"/>
      <c r="AX21" s="3000">
        <f>IF(B2=0,"",VALUE(AX13)+SUM(AX16:BC19))</f>
        <v>394.05318239197288</v>
      </c>
      <c r="AY21" s="3000"/>
      <c r="AZ21" s="3000"/>
      <c r="BA21" s="3000"/>
      <c r="BB21" s="3000"/>
      <c r="BC21" s="3000"/>
      <c r="BD21" s="1023"/>
      <c r="BE21" s="1023"/>
      <c r="BF21" s="1023"/>
      <c r="BG21" s="1023"/>
      <c r="BH21" s="1023"/>
      <c r="BI21" s="3160">
        <f>IF(OR(J21="",B2=0),"",IF(Z21=0,0,AR21/AL21))</f>
        <v>0.83941537782964692</v>
      </c>
      <c r="BJ21" s="3160"/>
      <c r="BK21" s="3160"/>
      <c r="BL21" s="3160"/>
      <c r="BM21" s="3160"/>
      <c r="BN21" s="925"/>
      <c r="BO21" s="925"/>
      <c r="BP21" s="925"/>
      <c r="BQ21" s="925"/>
      <c r="BR21" s="925"/>
      <c r="BS21" s="925"/>
      <c r="BT21" s="925"/>
      <c r="BU21" s="924"/>
      <c r="BV21" s="1703">
        <v>10</v>
      </c>
      <c r="BW21" s="1704" t="s">
        <v>2449</v>
      </c>
      <c r="BX21" s="1705"/>
      <c r="BY21" s="1697">
        <v>1587.6</v>
      </c>
      <c r="BZ21" s="1697">
        <v>14.94</v>
      </c>
      <c r="CA21" s="1697">
        <v>28</v>
      </c>
      <c r="CB21" s="936"/>
      <c r="CC21" s="1016">
        <f>IF(AL21="","",AL21/0.75)</f>
        <v>966.72220073546316</v>
      </c>
      <c r="CD21" s="1027"/>
      <c r="CE21" s="916"/>
      <c r="CF21" s="951">
        <f>IF(AR21="",0,AR21)</f>
        <v>608.61111103999997</v>
      </c>
      <c r="CG21" s="951">
        <f>IF(AX21="",0,AX21)</f>
        <v>394.05318239197288</v>
      </c>
      <c r="CJ21" s="916"/>
    </row>
    <row r="22" spans="2:99" ht="13.5" customHeight="1">
      <c r="B22" s="927"/>
      <c r="C22" s="925"/>
      <c r="D22" s="925"/>
      <c r="E22" s="925"/>
      <c r="F22" s="925"/>
      <c r="G22" s="925"/>
      <c r="H22" s="925"/>
      <c r="I22" s="925"/>
      <c r="J22" s="3004" t="str">
        <f>IF(J14="","","3φ4W 440/254V")</f>
        <v>3φ4W 440/254V</v>
      </c>
      <c r="K22" s="3005"/>
      <c r="L22" s="3005"/>
      <c r="M22" s="3005"/>
      <c r="N22" s="3005"/>
      <c r="O22" s="3005"/>
      <c r="P22" s="3005"/>
      <c r="Q22" s="3005"/>
      <c r="R22" s="3005"/>
      <c r="S22" s="3005"/>
      <c r="T22" s="3000">
        <f>IF(OR(J22="",B2=0),"",IF(Z22=0,0,SQRT(Z22^2+AF22^2)))</f>
        <v>89.15552596074518</v>
      </c>
      <c r="U22" s="3000"/>
      <c r="V22" s="3000"/>
      <c r="W22" s="3000"/>
      <c r="X22" s="3000"/>
      <c r="Y22" s="3000"/>
      <c r="Z22" s="3000">
        <f>IF(B2=0,"",Z14)</f>
        <v>86.688000000000002</v>
      </c>
      <c r="AA22" s="3000"/>
      <c r="AB22" s="3000"/>
      <c r="AC22" s="3000"/>
      <c r="AD22" s="3000"/>
      <c r="AE22" s="3000"/>
      <c r="AF22" s="3000">
        <f>IF(B2=0,"",AF14)</f>
        <v>20.830229603561911</v>
      </c>
      <c r="AG22" s="3000"/>
      <c r="AH22" s="3000"/>
      <c r="AI22" s="3000"/>
      <c r="AJ22" s="3000"/>
      <c r="AK22" s="3000"/>
      <c r="AL22" s="3000">
        <f>IF(B2=0,"",IF(AR22="","",SQRT(AR22^2+AX22^2)))</f>
        <v>80.239973364670661</v>
      </c>
      <c r="AM22" s="3000"/>
      <c r="AN22" s="3000"/>
      <c r="AO22" s="3000"/>
      <c r="AP22" s="3000"/>
      <c r="AQ22" s="3000"/>
      <c r="AR22" s="3000">
        <f>IF(B2=0,"",AR14)</f>
        <v>78.019199999999998</v>
      </c>
      <c r="AS22" s="3000"/>
      <c r="AT22" s="3000"/>
      <c r="AU22" s="3000"/>
      <c r="AV22" s="3000"/>
      <c r="AW22" s="3000"/>
      <c r="AX22" s="3000">
        <f>IF(B2=0,"",AX14)</f>
        <v>18.747206643205722</v>
      </c>
      <c r="AY22" s="3000"/>
      <c r="AZ22" s="3000"/>
      <c r="BA22" s="3000"/>
      <c r="BB22" s="3000"/>
      <c r="BC22" s="3000"/>
      <c r="BD22" s="1023"/>
      <c r="BE22" s="1023"/>
      <c r="BF22" s="1023"/>
      <c r="BG22" s="1023"/>
      <c r="BH22" s="1023"/>
      <c r="BI22" s="3160">
        <f>IF(OR(J22="",B2=0),"",IF(Z22="","",AR22/AL22))</f>
        <v>0.9723233536659116</v>
      </c>
      <c r="BJ22" s="3160"/>
      <c r="BK22" s="3160"/>
      <c r="BL22" s="3160"/>
      <c r="BM22" s="3160"/>
      <c r="BN22" s="925"/>
      <c r="BO22" s="925"/>
      <c r="BP22" s="925"/>
      <c r="BQ22" s="925"/>
      <c r="BR22" s="925"/>
      <c r="BS22" s="925"/>
      <c r="BT22" s="925"/>
      <c r="BU22" s="924"/>
      <c r="BW22" s="1028"/>
      <c r="CB22" s="936"/>
      <c r="CC22" s="1016">
        <f>IF(AL22="",0,AL22/0.75)</f>
        <v>106.98663115289422</v>
      </c>
      <c r="CD22" s="1027"/>
      <c r="CE22" s="916"/>
      <c r="CF22" s="951">
        <f>IF(AR22="",0,AR22)</f>
        <v>78.019199999999998</v>
      </c>
      <c r="CG22" s="951">
        <f>IF(AX22="",0,AX22)</f>
        <v>18.747206643205722</v>
      </c>
      <c r="CJ22" s="916"/>
    </row>
    <row r="23" spans="2:99" ht="13.5" customHeight="1">
      <c r="B23" s="927"/>
      <c r="C23" s="925"/>
      <c r="D23" s="925"/>
      <c r="E23" s="925"/>
      <c r="F23" s="925"/>
      <c r="G23" s="925"/>
      <c r="H23" s="925"/>
      <c r="I23" s="925"/>
      <c r="J23" s="3498" t="str">
        <f>IF(J15="","",D15&amp;"運転")</f>
        <v/>
      </c>
      <c r="K23" s="3499"/>
      <c r="L23" s="3499"/>
      <c r="M23" s="3499"/>
      <c r="N23" s="3499"/>
      <c r="O23" s="3499"/>
      <c r="P23" s="3499"/>
      <c r="Q23" s="3499"/>
      <c r="R23" s="3499"/>
      <c r="S23" s="3499"/>
      <c r="T23" s="3500" t="str">
        <f>IF(OR(J23="",B2=0),"",IF(Z23="","",-SQRT(Z23^2+AF23^2)))</f>
        <v/>
      </c>
      <c r="U23" s="3500"/>
      <c r="V23" s="3500"/>
      <c r="W23" s="3500"/>
      <c r="X23" s="3500"/>
      <c r="Y23" s="3500"/>
      <c r="Z23" s="3500" t="str">
        <f>IF(OR(J23="",B2=0),"",Z15)</f>
        <v/>
      </c>
      <c r="AA23" s="3500"/>
      <c r="AB23" s="3500"/>
      <c r="AC23" s="3500"/>
      <c r="AD23" s="3500"/>
      <c r="AE23" s="3500"/>
      <c r="AF23" s="3500" t="str">
        <f>IF(OR(J23="",B2=0),"",AF15)</f>
        <v/>
      </c>
      <c r="AG23" s="3500"/>
      <c r="AH23" s="3500"/>
      <c r="AI23" s="3500"/>
      <c r="AJ23" s="3500"/>
      <c r="AK23" s="3500"/>
      <c r="AL23" s="3500" t="str">
        <f>IF(OR(J23="",B2=0),"",IF(AR23="","",-SQRT(AR23^2+AX23^2)))</f>
        <v/>
      </c>
      <c r="AM23" s="3500"/>
      <c r="AN23" s="3500"/>
      <c r="AO23" s="3500"/>
      <c r="AP23" s="3500"/>
      <c r="AQ23" s="3500"/>
      <c r="AR23" s="3500" t="str">
        <f>IF(OR(J23="",B2=0),"",AR15)</f>
        <v/>
      </c>
      <c r="AS23" s="3500"/>
      <c r="AT23" s="3500"/>
      <c r="AU23" s="3500"/>
      <c r="AV23" s="3500"/>
      <c r="AW23" s="3500"/>
      <c r="AX23" s="3500" t="str">
        <f>IF(OR(J23="",B2=0),"",AX15)</f>
        <v/>
      </c>
      <c r="AY23" s="3500"/>
      <c r="AZ23" s="3500"/>
      <c r="BA23" s="3500"/>
      <c r="BB23" s="3500"/>
      <c r="BC23" s="3500"/>
      <c r="BD23" s="1023"/>
      <c r="BE23" s="1023"/>
      <c r="BF23" s="1023"/>
      <c r="BG23" s="1023"/>
      <c r="BH23" s="1023"/>
      <c r="BI23" s="3160" t="str">
        <f>IF(OR(J23="",B2=0),"",IF(Z23="","",AR23/AL23))</f>
        <v/>
      </c>
      <c r="BJ23" s="3160"/>
      <c r="BK23" s="3160"/>
      <c r="BL23" s="3160"/>
      <c r="BM23" s="3160"/>
      <c r="BN23" s="925"/>
      <c r="BO23" s="3533"/>
      <c r="BP23" s="3533"/>
      <c r="BQ23" s="3533"/>
      <c r="BR23" s="3533"/>
      <c r="BS23" s="925"/>
      <c r="BT23" s="925"/>
      <c r="BU23" s="924"/>
      <c r="CB23" s="936"/>
      <c r="CC23" s="1016">
        <f>IF(AL23="",0,AL23/0.75)</f>
        <v>0</v>
      </c>
      <c r="CD23" s="916"/>
      <c r="CE23" s="916"/>
      <c r="CF23" s="951">
        <f>IF(AR23="",0,AR23)</f>
        <v>0</v>
      </c>
      <c r="CG23" s="951">
        <f>IF(AX23="",0,AX23)</f>
        <v>0</v>
      </c>
      <c r="CJ23" s="916"/>
    </row>
    <row r="24" spans="2:99" ht="9" customHeight="1">
      <c r="B24" s="927"/>
      <c r="C24" s="925"/>
      <c r="D24" s="925"/>
      <c r="E24" s="925"/>
      <c r="F24" s="925"/>
      <c r="G24" s="925"/>
      <c r="H24" s="925"/>
      <c r="I24" s="925"/>
      <c r="J24" s="925"/>
      <c r="K24" s="925"/>
      <c r="L24" s="925"/>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c r="AL24" s="925"/>
      <c r="AM24" s="925"/>
      <c r="AN24" s="925"/>
      <c r="AO24" s="925"/>
      <c r="AP24" s="925"/>
      <c r="AQ24" s="925"/>
      <c r="AR24" s="925"/>
      <c r="AS24" s="925"/>
      <c r="AT24" s="925"/>
      <c r="AU24" s="925"/>
      <c r="AV24" s="925"/>
      <c r="AW24" s="925"/>
      <c r="AX24" s="925"/>
      <c r="AY24" s="925"/>
      <c r="AZ24" s="925"/>
      <c r="BA24" s="925"/>
      <c r="BB24" s="925"/>
      <c r="BC24" s="925"/>
      <c r="BD24" s="925"/>
      <c r="BE24" s="925"/>
      <c r="BF24" s="925"/>
      <c r="BG24" s="925"/>
      <c r="BH24" s="925"/>
      <c r="BI24" s="925"/>
      <c r="BJ24" s="925"/>
      <c r="BK24" s="925"/>
      <c r="BL24" s="925"/>
      <c r="BM24" s="925"/>
      <c r="BN24" s="925"/>
      <c r="BO24" s="925"/>
      <c r="BP24" s="925"/>
      <c r="BQ24" s="925"/>
      <c r="BR24" s="925"/>
      <c r="BS24" s="925"/>
      <c r="BT24" s="925"/>
      <c r="BU24" s="924"/>
      <c r="CB24" s="936"/>
      <c r="CC24" s="936"/>
      <c r="CD24" s="916"/>
      <c r="CE24" s="916"/>
      <c r="CF24" s="936"/>
      <c r="CG24" s="936"/>
      <c r="CJ24" s="916"/>
      <c r="CK24" s="936"/>
      <c r="CL24" s="936"/>
      <c r="CM24" s="936"/>
      <c r="CN24" s="936"/>
      <c r="CO24" s="936"/>
      <c r="CP24" s="936"/>
      <c r="CQ24" s="936"/>
      <c r="CR24" s="936"/>
      <c r="CS24" s="936"/>
      <c r="CT24" s="936"/>
      <c r="CU24" s="936"/>
    </row>
    <row r="25" spans="2:99" ht="12" customHeight="1">
      <c r="B25" s="927"/>
      <c r="C25" s="925"/>
      <c r="D25" s="3004" t="str">
        <f>IF(B2=0,"","動力負荷")</f>
        <v>動力負荷</v>
      </c>
      <c r="E25" s="3005"/>
      <c r="F25" s="3005"/>
      <c r="G25" s="3005"/>
      <c r="H25" s="3005"/>
      <c r="I25" s="3006"/>
      <c r="J25" s="925"/>
      <c r="K25" s="925"/>
      <c r="L25" s="925"/>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c r="AL25" s="925"/>
      <c r="AM25" s="925"/>
      <c r="AN25" s="925"/>
      <c r="AO25" s="925"/>
      <c r="AP25" s="925"/>
      <c r="AQ25" s="925"/>
      <c r="AR25" s="925"/>
      <c r="AS25" s="925"/>
      <c r="AT25" s="925"/>
      <c r="AU25" s="925"/>
      <c r="AV25" s="925"/>
      <c r="AW25" s="925"/>
      <c r="AX25" s="925"/>
      <c r="AY25" s="925"/>
      <c r="AZ25" s="925"/>
      <c r="BA25" s="925"/>
      <c r="BB25" s="925"/>
      <c r="BC25" s="925"/>
      <c r="BD25" s="925"/>
      <c r="BE25" s="925"/>
      <c r="BF25" s="925"/>
      <c r="BG25" s="925"/>
      <c r="BH25" s="925"/>
      <c r="BI25" s="925"/>
      <c r="BJ25" s="925"/>
      <c r="BK25" s="925"/>
      <c r="BL25" s="925"/>
      <c r="BM25" s="925"/>
      <c r="BN25" s="925"/>
      <c r="BO25" s="925"/>
      <c r="BP25" s="925"/>
      <c r="BQ25" s="925"/>
      <c r="BR25" s="925"/>
      <c r="BS25" s="925"/>
      <c r="BT25" s="925"/>
      <c r="BU25" s="924"/>
      <c r="CD25" s="916"/>
      <c r="CE25" s="1026"/>
      <c r="CJ25" s="916"/>
      <c r="CK25" s="936"/>
      <c r="CL25" s="936"/>
      <c r="CM25" s="936"/>
      <c r="CN25" s="936"/>
      <c r="CO25" s="936"/>
      <c r="CP25" s="936"/>
      <c r="CQ25" s="936"/>
      <c r="CR25" s="936"/>
      <c r="CS25" s="916" t="s">
        <v>2433</v>
      </c>
      <c r="CT25" s="936"/>
      <c r="CU25" s="936"/>
    </row>
    <row r="26" spans="2:99" ht="4.5" customHeight="1">
      <c r="B26" s="927"/>
      <c r="C26" s="925"/>
      <c r="D26" s="925"/>
      <c r="E26" s="925"/>
      <c r="F26" s="925"/>
      <c r="G26" s="925"/>
      <c r="H26" s="925"/>
      <c r="I26" s="925"/>
      <c r="J26" s="925"/>
      <c r="K26" s="925"/>
      <c r="L26" s="925"/>
      <c r="M26" s="925"/>
      <c r="N26" s="925"/>
      <c r="O26" s="925"/>
      <c r="P26" s="925"/>
      <c r="Q26" s="925"/>
      <c r="R26" s="925"/>
      <c r="S26" s="925"/>
      <c r="T26" s="925"/>
      <c r="U26" s="925"/>
      <c r="V26" s="925"/>
      <c r="W26" s="925"/>
      <c r="X26" s="925"/>
      <c r="Y26" s="925"/>
      <c r="Z26" s="925"/>
      <c r="AA26" s="925"/>
      <c r="AB26" s="925"/>
      <c r="AC26" s="925"/>
      <c r="AD26" s="925"/>
      <c r="AE26" s="925"/>
      <c r="AF26" s="925"/>
      <c r="AG26" s="925"/>
      <c r="AH26" s="925"/>
      <c r="AI26" s="925"/>
      <c r="AJ26" s="925"/>
      <c r="AK26" s="925"/>
      <c r="AL26" s="925"/>
      <c r="AM26" s="925"/>
      <c r="AN26" s="925"/>
      <c r="AO26" s="925"/>
      <c r="AP26" s="925"/>
      <c r="AQ26" s="925"/>
      <c r="AR26" s="925"/>
      <c r="AS26" s="925"/>
      <c r="AT26" s="925"/>
      <c r="AU26" s="925"/>
      <c r="AV26" s="925"/>
      <c r="AW26" s="925"/>
      <c r="AX26" s="925"/>
      <c r="AY26" s="925"/>
      <c r="AZ26" s="925"/>
      <c r="BA26" s="925"/>
      <c r="BB26" s="925"/>
      <c r="BC26" s="925"/>
      <c r="BD26" s="925"/>
      <c r="BE26" s="925"/>
      <c r="BF26" s="925"/>
      <c r="BG26" s="925"/>
      <c r="BH26" s="925"/>
      <c r="BI26" s="925"/>
      <c r="BJ26" s="925"/>
      <c r="BK26" s="925"/>
      <c r="BL26" s="925"/>
      <c r="BM26" s="925"/>
      <c r="BN26" s="925"/>
      <c r="BO26" s="925"/>
      <c r="BP26" s="925"/>
      <c r="BQ26" s="925"/>
      <c r="BR26" s="925"/>
      <c r="BS26" s="925"/>
      <c r="BT26" s="925"/>
      <c r="BU26" s="924"/>
      <c r="CD26" s="916"/>
      <c r="CK26" s="936"/>
      <c r="CL26" s="936"/>
      <c r="CM26" s="936"/>
      <c r="CN26" s="936"/>
      <c r="CO26" s="936"/>
      <c r="CP26" s="936"/>
      <c r="CQ26" s="936"/>
      <c r="CR26" s="936"/>
      <c r="CS26" s="916" t="s">
        <v>2432</v>
      </c>
      <c r="CT26" s="936"/>
      <c r="CU26" s="936"/>
    </row>
    <row r="27" spans="2:99" ht="12" customHeight="1">
      <c r="B27" s="927"/>
      <c r="C27" s="925"/>
      <c r="D27" s="3491" t="s">
        <v>2448</v>
      </c>
      <c r="E27" s="3492"/>
      <c r="F27" s="3492"/>
      <c r="G27" s="3492"/>
      <c r="H27" s="3492"/>
      <c r="I27" s="3493"/>
      <c r="J27" s="3350" t="s">
        <v>2447</v>
      </c>
      <c r="K27" s="3351"/>
      <c r="L27" s="3351"/>
      <c r="M27" s="3351"/>
      <c r="N27" s="3351"/>
      <c r="O27" s="3351"/>
      <c r="P27" s="3351"/>
      <c r="Q27" s="3351"/>
      <c r="R27" s="3351"/>
      <c r="S27" s="3352"/>
      <c r="T27" s="3007" t="s">
        <v>2446</v>
      </c>
      <c r="U27" s="3007"/>
      <c r="V27" s="3007"/>
      <c r="W27" s="3007"/>
      <c r="X27" s="3007"/>
      <c r="Y27" s="3007"/>
      <c r="Z27" s="3007"/>
      <c r="AA27" s="3007"/>
      <c r="AB27" s="3007"/>
      <c r="AC27" s="3007"/>
      <c r="AD27" s="3007"/>
      <c r="AE27" s="3007"/>
      <c r="AF27" s="3007"/>
      <c r="AG27" s="3007"/>
      <c r="AH27" s="3007"/>
      <c r="AI27" s="3007"/>
      <c r="AJ27" s="3007"/>
      <c r="AK27" s="3007"/>
      <c r="AL27" s="3007" t="s">
        <v>2445</v>
      </c>
      <c r="AM27" s="3007"/>
      <c r="AN27" s="3007"/>
      <c r="AO27" s="3007"/>
      <c r="AP27" s="3007"/>
      <c r="AQ27" s="3007"/>
      <c r="AR27" s="3007"/>
      <c r="AS27" s="3007"/>
      <c r="AT27" s="3007"/>
      <c r="AU27" s="3007"/>
      <c r="AV27" s="3007"/>
      <c r="AW27" s="3007"/>
      <c r="AX27" s="3007"/>
      <c r="AY27" s="3007"/>
      <c r="AZ27" s="3007"/>
      <c r="BA27" s="3007"/>
      <c r="BB27" s="3007"/>
      <c r="BC27" s="3007"/>
      <c r="BD27" s="3491" t="s">
        <v>2444</v>
      </c>
      <c r="BE27" s="3492"/>
      <c r="BF27" s="3492"/>
      <c r="BG27" s="3492"/>
      <c r="BH27" s="3493"/>
      <c r="BI27" s="3491" t="s">
        <v>2443</v>
      </c>
      <c r="BJ27" s="3492"/>
      <c r="BK27" s="3492"/>
      <c r="BL27" s="3492"/>
      <c r="BM27" s="3493"/>
      <c r="BN27" s="3350" t="s">
        <v>473</v>
      </c>
      <c r="BO27" s="3351"/>
      <c r="BP27" s="3351"/>
      <c r="BQ27" s="3351"/>
      <c r="BR27" s="3351"/>
      <c r="BS27" s="3351"/>
      <c r="BT27" s="3352"/>
      <c r="BU27" s="924"/>
      <c r="CD27" s="916"/>
      <c r="CK27" s="916" t="s">
        <v>2442</v>
      </c>
      <c r="CL27" s="936"/>
      <c r="CM27" s="916" t="s">
        <v>2430</v>
      </c>
      <c r="CN27" s="936"/>
      <c r="CO27" s="936"/>
      <c r="CP27" s="936"/>
      <c r="CQ27" s="936"/>
      <c r="CR27" s="936"/>
      <c r="CS27" s="916" t="s">
        <v>2430</v>
      </c>
      <c r="CT27" s="936"/>
      <c r="CU27" s="936"/>
    </row>
    <row r="28" spans="2:99" ht="12" customHeight="1">
      <c r="B28" s="927"/>
      <c r="C28" s="925"/>
      <c r="D28" s="3072"/>
      <c r="E28" s="3494"/>
      <c r="F28" s="3494"/>
      <c r="G28" s="3494"/>
      <c r="H28" s="3494"/>
      <c r="I28" s="3073"/>
      <c r="J28" s="3495"/>
      <c r="K28" s="3496"/>
      <c r="L28" s="3496"/>
      <c r="M28" s="3496"/>
      <c r="N28" s="3496"/>
      <c r="O28" s="3496"/>
      <c r="P28" s="3496"/>
      <c r="Q28" s="3496"/>
      <c r="R28" s="3496"/>
      <c r="S28" s="3497"/>
      <c r="T28" s="3072" t="s">
        <v>2441</v>
      </c>
      <c r="U28" s="3494"/>
      <c r="V28" s="3494"/>
      <c r="W28" s="3494"/>
      <c r="X28" s="3494"/>
      <c r="Y28" s="3073"/>
      <c r="Z28" s="3072" t="s">
        <v>2440</v>
      </c>
      <c r="AA28" s="3494"/>
      <c r="AB28" s="3494"/>
      <c r="AC28" s="3494"/>
      <c r="AD28" s="3494"/>
      <c r="AE28" s="3073"/>
      <c r="AF28" s="3072" t="s">
        <v>2439</v>
      </c>
      <c r="AG28" s="3494"/>
      <c r="AH28" s="3494"/>
      <c r="AI28" s="3494"/>
      <c r="AJ28" s="3494"/>
      <c r="AK28" s="3073"/>
      <c r="AL28" s="3072" t="s">
        <v>2438</v>
      </c>
      <c r="AM28" s="3494"/>
      <c r="AN28" s="3494"/>
      <c r="AO28" s="3494"/>
      <c r="AP28" s="3494"/>
      <c r="AQ28" s="3073"/>
      <c r="AR28" s="3072" t="s">
        <v>2437</v>
      </c>
      <c r="AS28" s="3494"/>
      <c r="AT28" s="3494"/>
      <c r="AU28" s="3494"/>
      <c r="AV28" s="3494"/>
      <c r="AW28" s="3073"/>
      <c r="AX28" s="3072" t="s">
        <v>2436</v>
      </c>
      <c r="AY28" s="3494"/>
      <c r="AZ28" s="3494"/>
      <c r="BA28" s="3494"/>
      <c r="BB28" s="3494"/>
      <c r="BC28" s="3073"/>
      <c r="BD28" s="3072" t="s">
        <v>2435</v>
      </c>
      <c r="BE28" s="3494"/>
      <c r="BF28" s="3494"/>
      <c r="BG28" s="3494"/>
      <c r="BH28" s="3073"/>
      <c r="BI28" s="3072" t="s">
        <v>2434</v>
      </c>
      <c r="BJ28" s="3494"/>
      <c r="BK28" s="3494"/>
      <c r="BL28" s="3494"/>
      <c r="BM28" s="3073"/>
      <c r="BN28" s="3495"/>
      <c r="BO28" s="3496"/>
      <c r="BP28" s="3496"/>
      <c r="BQ28" s="3496"/>
      <c r="BR28" s="3496"/>
      <c r="BS28" s="3496"/>
      <c r="BT28" s="3497"/>
      <c r="BU28" s="924"/>
      <c r="BX28" s="990"/>
      <c r="CD28" s="916"/>
      <c r="CK28" s="916" t="s">
        <v>2433</v>
      </c>
      <c r="CL28" s="936"/>
      <c r="CM28" s="916" t="s">
        <v>2429</v>
      </c>
      <c r="CN28" s="936"/>
      <c r="CO28" s="936"/>
      <c r="CP28" s="936"/>
      <c r="CQ28" s="936"/>
      <c r="CR28" s="936"/>
      <c r="CS28" s="916" t="s">
        <v>2429</v>
      </c>
      <c r="CT28" s="936"/>
      <c r="CU28" s="936"/>
    </row>
    <row r="29" spans="2:99" ht="15" customHeight="1">
      <c r="B29" s="927"/>
      <c r="C29" s="925"/>
      <c r="D29" s="3490" t="str">
        <f>IF(B2=0,"",IF(Z29=0,"","200V負荷"))</f>
        <v>200V負荷</v>
      </c>
      <c r="E29" s="3490"/>
      <c r="F29" s="3490"/>
      <c r="G29" s="3490"/>
      <c r="H29" s="3490"/>
      <c r="I29" s="3490"/>
      <c r="J29" s="2773" t="str">
        <f>IF(B2=0,"",IF(Z29=0,"","3φ3W"))</f>
        <v>3φ3W</v>
      </c>
      <c r="K29" s="2774"/>
      <c r="L29" s="2774"/>
      <c r="M29" s="2774"/>
      <c r="N29" s="3223" t="str">
        <f>IF(B2=0,"",IF(Z29=0,"","210V"))</f>
        <v>210V</v>
      </c>
      <c r="O29" s="3223"/>
      <c r="P29" s="3223"/>
      <c r="Q29" s="3223"/>
      <c r="R29" s="3223"/>
      <c r="S29" s="3224"/>
      <c r="T29" s="3000">
        <f>IF(B2=0,"",IF(Z29="","",SQRT(Z29^2+AF29^2)))</f>
        <v>2173.393272836136</v>
      </c>
      <c r="U29" s="3000"/>
      <c r="V29" s="3000"/>
      <c r="W29" s="3000"/>
      <c r="X29" s="3000"/>
      <c r="Y29" s="3000"/>
      <c r="Z29" s="3000">
        <f>IF(B2=0,"",IF(Z15="",[6]動配!$CE$553,[6]動配!$CE$553+Z15))</f>
        <v>1693.1071126185664</v>
      </c>
      <c r="AA29" s="3000"/>
      <c r="AB29" s="3000"/>
      <c r="AC29" s="3000"/>
      <c r="AD29" s="3000"/>
      <c r="AE29" s="3000"/>
      <c r="AF29" s="3000">
        <f>IF(B2=0,"",IF(AF15="",[6]動配!$CF$553,[6]動配!$CF$553+AF15))</f>
        <v>1362.7276410236168</v>
      </c>
      <c r="AG29" s="3000"/>
      <c r="AH29" s="3000"/>
      <c r="AI29" s="3000"/>
      <c r="AJ29" s="3000"/>
      <c r="AK29" s="3000"/>
      <c r="AL29" s="3000">
        <f>IF(B2=0,"",IF(AR29="","",SQRT(AR29^2+AX29^2)))</f>
        <v>1671.3985085871634</v>
      </c>
      <c r="AM29" s="3000"/>
      <c r="AN29" s="3000"/>
      <c r="AO29" s="3000"/>
      <c r="AP29" s="3000"/>
      <c r="AQ29" s="3000"/>
      <c r="AR29" s="3000">
        <f>IF(B2=0,"",IF(AR15="",[6]動配!$CL$553,[6]動配!$CL$553+AR15))</f>
        <v>1182.3260560346455</v>
      </c>
      <c r="AS29" s="3000"/>
      <c r="AT29" s="3000"/>
      <c r="AU29" s="3000"/>
      <c r="AV29" s="3000"/>
      <c r="AW29" s="3000"/>
      <c r="AX29" s="3000">
        <f>IF(B2=0,"",IF(AX15="",[6]動配!$CM$553,[6]動配!$CM$553+AX15))</f>
        <v>1181.3881968806672</v>
      </c>
      <c r="AY29" s="3000"/>
      <c r="AZ29" s="3000"/>
      <c r="BA29" s="3000"/>
      <c r="BB29" s="3000"/>
      <c r="BC29" s="3000"/>
      <c r="BD29" s="3484">
        <f>IF(D29="","",IF(Z29="","",577.35027*AL29/LEFT(N29,3)))</f>
        <v>4595.1541914780764</v>
      </c>
      <c r="BE29" s="3485"/>
      <c r="BF29" s="3485"/>
      <c r="BG29" s="3485"/>
      <c r="BH29" s="3486"/>
      <c r="BI29" s="3160">
        <f>IF(D29="","",IF(Z29="","",AR29/AL29))</f>
        <v>0.707387286730361</v>
      </c>
      <c r="BJ29" s="3160"/>
      <c r="BK29" s="3160"/>
      <c r="BL29" s="3160"/>
      <c r="BM29" s="3160"/>
      <c r="BN29" s="3483" t="str">
        <f>IF(D29="",""," 各階盤")</f>
        <v xml:space="preserve"> 各階盤</v>
      </c>
      <c r="BO29" s="3483"/>
      <c r="BP29" s="3483"/>
      <c r="BQ29" s="3483"/>
      <c r="BR29" s="3483"/>
      <c r="BS29" s="3483"/>
      <c r="BT29" s="3483"/>
      <c r="BU29" s="924"/>
      <c r="BX29" s="1016">
        <f>IF(Z29="",0,Z29)</f>
        <v>1693.1071126185664</v>
      </c>
      <c r="BY29" s="1016">
        <f>IF(AF29="",0,AF29)</f>
        <v>1362.7276410236168</v>
      </c>
      <c r="BZ29" s="1016">
        <f>IF(AR29="",0,AR29)</f>
        <v>1182.3260560346455</v>
      </c>
      <c r="CA29" s="1016">
        <f>IF(AX29="",0,AX29)</f>
        <v>1181.3881968806672</v>
      </c>
      <c r="CD29" s="916"/>
      <c r="CK29" s="916" t="s">
        <v>2432</v>
      </c>
      <c r="CL29" s="936"/>
      <c r="CM29" s="916" t="s">
        <v>2431</v>
      </c>
      <c r="CN29" s="936"/>
      <c r="CO29" s="936"/>
      <c r="CP29" s="936"/>
      <c r="CQ29" s="936"/>
      <c r="CR29" s="936"/>
      <c r="CS29" s="916" t="s">
        <v>2431</v>
      </c>
      <c r="CT29" s="936"/>
      <c r="CU29" s="936"/>
    </row>
    <row r="30" spans="2:99" ht="15" customHeight="1">
      <c r="B30" s="927"/>
      <c r="C30" s="925"/>
      <c r="D30" s="3490" t="str">
        <f>IF(B2=0,"",IF(Z30=0,"","400V負荷"))</f>
        <v>400V負荷</v>
      </c>
      <c r="E30" s="3490"/>
      <c r="F30" s="3490"/>
      <c r="G30" s="3490"/>
      <c r="H30" s="3490"/>
      <c r="I30" s="3490"/>
      <c r="J30" s="2773" t="str">
        <f>IF(D30="","",IF(Z30="","","3φ3W"))</f>
        <v>3φ3W</v>
      </c>
      <c r="K30" s="2774"/>
      <c r="L30" s="2774"/>
      <c r="M30" s="2774"/>
      <c r="N30" s="3223" t="str">
        <f>IF(D30="","",IF(Z30="","","440V"))</f>
        <v>440V</v>
      </c>
      <c r="O30" s="3223"/>
      <c r="P30" s="3223"/>
      <c r="Q30" s="3223"/>
      <c r="R30" s="3223"/>
      <c r="S30" s="3224"/>
      <c r="T30" s="3000">
        <f>IF(B2=0,"",IF(Z30="","",SQRT(Z30^2+AF30^2)))</f>
        <v>87.75075585072743</v>
      </c>
      <c r="U30" s="3000"/>
      <c r="V30" s="3000"/>
      <c r="W30" s="3000"/>
      <c r="X30" s="3000"/>
      <c r="Y30" s="3000"/>
      <c r="Z30" s="3000">
        <f>IF(B2=0,"",[6]動配!$CG$553)</f>
        <v>69.366972500000045</v>
      </c>
      <c r="AA30" s="3000"/>
      <c r="AB30" s="3000"/>
      <c r="AC30" s="3000"/>
      <c r="AD30" s="3000"/>
      <c r="AE30" s="3000"/>
      <c r="AF30" s="3000">
        <f>IF(B2=0,"",[6]動配!$CH$553)</f>
        <v>53.744006908288974</v>
      </c>
      <c r="AG30" s="3000"/>
      <c r="AH30" s="3000"/>
      <c r="AI30" s="3000"/>
      <c r="AJ30" s="3000"/>
      <c r="AK30" s="3000"/>
      <c r="AL30" s="3000">
        <f>IF(B2=0,"",IF(AR30="","",SQRT(AR30^2+AX30^2)))</f>
        <v>26.325226755218232</v>
      </c>
      <c r="AM30" s="3000"/>
      <c r="AN30" s="3000"/>
      <c r="AO30" s="3000"/>
      <c r="AP30" s="3000"/>
      <c r="AQ30" s="3000"/>
      <c r="AR30" s="3000">
        <f>IF(B2=0,"",[6]動配!$CN$553)</f>
        <v>20.810091750000016</v>
      </c>
      <c r="AS30" s="3000"/>
      <c r="AT30" s="3000"/>
      <c r="AU30" s="3000"/>
      <c r="AV30" s="3000"/>
      <c r="AW30" s="3000"/>
      <c r="AX30" s="3000">
        <f>IF(B2=0,"",[6]動配!$CO$553)</f>
        <v>16.123202072486691</v>
      </c>
      <c r="AY30" s="3000"/>
      <c r="AZ30" s="3000"/>
      <c r="BA30" s="3000"/>
      <c r="BB30" s="3000"/>
      <c r="BC30" s="3000"/>
      <c r="BD30" s="3484">
        <f>IF(D30="","",IF(Z30="","",577.35027*AL30/LEFT(N30,3)))</f>
        <v>34.542901761219248</v>
      </c>
      <c r="BE30" s="3485"/>
      <c r="BF30" s="3485"/>
      <c r="BG30" s="3485"/>
      <c r="BH30" s="3486"/>
      <c r="BI30" s="3160">
        <f>IF(D30="","",IF(Z30="","",AR30/AL30))</f>
        <v>0.79050000000000009</v>
      </c>
      <c r="BJ30" s="3160"/>
      <c r="BK30" s="3160"/>
      <c r="BL30" s="3160"/>
      <c r="BM30" s="3160"/>
      <c r="BN30" s="3483" t="str">
        <f>IF(D30="",""," 各階盤")</f>
        <v xml:space="preserve"> 各階盤</v>
      </c>
      <c r="BO30" s="3483"/>
      <c r="BP30" s="3483"/>
      <c r="BQ30" s="3483"/>
      <c r="BR30" s="3483"/>
      <c r="BS30" s="3483"/>
      <c r="BT30" s="3483"/>
      <c r="BU30" s="924"/>
      <c r="BW30" s="1025"/>
      <c r="BX30" s="1016">
        <f>IF(Z30="",0,Z30)</f>
        <v>69.366972500000045</v>
      </c>
      <c r="BY30" s="1016">
        <f>IF(AF30="",0,AF30)</f>
        <v>53.744006908288974</v>
      </c>
      <c r="BZ30" s="1016">
        <f>IF(AR30="",0,AR30)</f>
        <v>20.810091750000016</v>
      </c>
      <c r="CA30" s="1016">
        <f>IF(AX30="",0,AX30)</f>
        <v>16.123202072486691</v>
      </c>
      <c r="CD30" s="916"/>
      <c r="CK30" s="916" t="s">
        <v>2430</v>
      </c>
      <c r="CL30" s="936"/>
      <c r="CM30" s="916" t="s">
        <v>2423</v>
      </c>
      <c r="CN30" s="936"/>
      <c r="CO30" s="936"/>
      <c r="CP30" s="936"/>
      <c r="CQ30" s="936"/>
      <c r="CR30" s="936"/>
      <c r="CS30" s="916" t="s">
        <v>2428</v>
      </c>
      <c r="CT30" s="936"/>
      <c r="CU30" s="936"/>
    </row>
    <row r="31" spans="2:99" ht="15" customHeight="1">
      <c r="B31" s="927"/>
      <c r="C31" s="925"/>
      <c r="D31" s="3490" t="str">
        <f>IF(B2=0,"",IF(Z31=0,"","200V厨房"))</f>
        <v>200V厨房</v>
      </c>
      <c r="E31" s="3490"/>
      <c r="F31" s="3490"/>
      <c r="G31" s="3490"/>
      <c r="H31" s="3490"/>
      <c r="I31" s="3490"/>
      <c r="J31" s="2773" t="str">
        <f>IF(B2=0,"",IF(Z31="","","3φ3W"))</f>
        <v>3φ3W</v>
      </c>
      <c r="K31" s="2774"/>
      <c r="L31" s="2774"/>
      <c r="M31" s="2774"/>
      <c r="N31" s="3223" t="str">
        <f>IF(B2=0,"",IF(Z31="","","210V"))</f>
        <v>210V</v>
      </c>
      <c r="O31" s="3223"/>
      <c r="P31" s="3223"/>
      <c r="Q31" s="3223"/>
      <c r="R31" s="3223"/>
      <c r="S31" s="3224"/>
      <c r="T31" s="3000">
        <f>IF(B2=0,"",IF(Z31="","",SQRT(Z31^2+AF31^2)))</f>
        <v>160.05302044682549</v>
      </c>
      <c r="U31" s="3000"/>
      <c r="V31" s="3000"/>
      <c r="W31" s="3000"/>
      <c r="X31" s="3000"/>
      <c r="Y31" s="3000"/>
      <c r="Z31" s="3000">
        <f>IF(B2=0,"",[1]動配!$CE$480)</f>
        <v>158.75</v>
      </c>
      <c r="AA31" s="3000"/>
      <c r="AB31" s="3000"/>
      <c r="AC31" s="3000"/>
      <c r="AD31" s="3000"/>
      <c r="AE31" s="3000"/>
      <c r="AF31" s="3000">
        <f>IF(B2=0,"",[1]動配!$CF$480)</f>
        <v>20.381532183620013</v>
      </c>
      <c r="AG31" s="3000"/>
      <c r="AH31" s="3000"/>
      <c r="AI31" s="3000"/>
      <c r="AJ31" s="3000"/>
      <c r="AK31" s="3000"/>
      <c r="AL31" s="3000">
        <f>IF(B2=0,"",IF(AR31="","",SQRT(AR31^2+AX31^2)))</f>
        <v>38.356028801008463</v>
      </c>
      <c r="AM31" s="3000"/>
      <c r="AN31" s="3000"/>
      <c r="AO31" s="3000"/>
      <c r="AP31" s="3000"/>
      <c r="AQ31" s="3000"/>
      <c r="AR31" s="3000">
        <f>IF(B2=0,"",[1]動配!$CL$480)</f>
        <v>38.075000000000003</v>
      </c>
      <c r="AS31" s="3000"/>
      <c r="AT31" s="3000"/>
      <c r="AU31" s="3000"/>
      <c r="AV31" s="3000"/>
      <c r="AW31" s="3000"/>
      <c r="AX31" s="3000">
        <f>IF(B2=0,"",[1]動配!$CM$480)</f>
        <v>4.6345787709122588</v>
      </c>
      <c r="AY31" s="3000"/>
      <c r="AZ31" s="3000"/>
      <c r="BA31" s="3000"/>
      <c r="BB31" s="3000"/>
      <c r="BC31" s="3000"/>
      <c r="BD31" s="3484">
        <f>IF(D31="","",IF(Z31="","",577.35027*AL31/LEFT(N31,3)))</f>
        <v>105.45173135423815</v>
      </c>
      <c r="BE31" s="3485"/>
      <c r="BF31" s="3485"/>
      <c r="BG31" s="3485"/>
      <c r="BH31" s="3486"/>
      <c r="BI31" s="3160">
        <f>IF(D31="","",IF(Z31="","",AR31/AL31))</f>
        <v>0.99267315178882465</v>
      </c>
      <c r="BJ31" s="3160"/>
      <c r="BK31" s="3160"/>
      <c r="BL31" s="3160"/>
      <c r="BM31" s="3160"/>
      <c r="BN31" s="3483" t="str">
        <f>IF(D31="",""," 各階盤")</f>
        <v xml:space="preserve"> 各階盤</v>
      </c>
      <c r="BO31" s="3483"/>
      <c r="BP31" s="3483"/>
      <c r="BQ31" s="3483"/>
      <c r="BR31" s="3483"/>
      <c r="BS31" s="3483"/>
      <c r="BT31" s="3483"/>
      <c r="BU31" s="924"/>
      <c r="BX31" s="1016">
        <f>IF(Z31="",0,Z31)</f>
        <v>158.75</v>
      </c>
      <c r="BY31" s="1016">
        <f>IF(AF31="",0,AF31)</f>
        <v>20.381532183620013</v>
      </c>
      <c r="BZ31" s="1016">
        <f>IF(AR31="",0,AR31)</f>
        <v>38.075000000000003</v>
      </c>
      <c r="CA31" s="1016">
        <f>IF(AX31="",0,AX31)</f>
        <v>4.6345787709122588</v>
      </c>
      <c r="CB31" s="936"/>
      <c r="CC31" s="936"/>
      <c r="CD31" s="916"/>
      <c r="CE31" s="936"/>
      <c r="CF31" s="936"/>
      <c r="CG31" s="936"/>
      <c r="CK31" s="916" t="s">
        <v>2429</v>
      </c>
      <c r="CL31" s="936"/>
      <c r="CM31" s="916" t="s">
        <v>2428</v>
      </c>
      <c r="CN31" s="936"/>
      <c r="CO31" s="936"/>
      <c r="CP31" s="936"/>
      <c r="CQ31" s="936"/>
      <c r="CR31" s="936"/>
      <c r="CS31" s="916" t="s">
        <v>2423</v>
      </c>
      <c r="CT31" s="936"/>
      <c r="CU31" s="936"/>
    </row>
    <row r="32" spans="2:99" ht="15" customHeight="1">
      <c r="B32" s="927"/>
      <c r="C32" s="925"/>
      <c r="D32" s="3511" t="str">
        <f>IF(B2=0,"",IF(AND(Z32=0,Z33=0),"","200V"))</f>
        <v/>
      </c>
      <c r="E32" s="3512"/>
      <c r="F32" s="3512"/>
      <c r="G32" s="3513" t="str">
        <f>IF(B2=0,"",IF(AND(Z32=0,Z33=0),"","生産"))</f>
        <v/>
      </c>
      <c r="H32" s="3513"/>
      <c r="I32" s="3514"/>
      <c r="J32" s="3487" t="str">
        <f>IF(OR(B2=0,Z32=0),"","3φ3W")</f>
        <v/>
      </c>
      <c r="K32" s="3488"/>
      <c r="L32" s="3488"/>
      <c r="M32" s="3488"/>
      <c r="N32" s="3362" t="str">
        <f>IF(OR(B2=0,Z32=0),"","210V")</f>
        <v/>
      </c>
      <c r="O32" s="3362"/>
      <c r="P32" s="3362"/>
      <c r="Q32" s="3362"/>
      <c r="R32" s="3362"/>
      <c r="S32" s="3363"/>
      <c r="T32" s="3489" t="str">
        <f>IF(B2=0,"",IF(Z32=0,"",SQRT(Z32^2+AF32^2)))</f>
        <v/>
      </c>
      <c r="U32" s="3489"/>
      <c r="V32" s="3489"/>
      <c r="W32" s="3489"/>
      <c r="X32" s="3489"/>
      <c r="Y32" s="3489"/>
      <c r="Z32" s="3489">
        <f>IF(B2=0,"",[6]動配!$CC$551+[6]動配!$CE$551)</f>
        <v>0</v>
      </c>
      <c r="AA32" s="3489"/>
      <c r="AB32" s="3489"/>
      <c r="AC32" s="3489"/>
      <c r="AD32" s="3489"/>
      <c r="AE32" s="3489"/>
      <c r="AF32" s="3489">
        <f>IF(B2=0,"",[6]動配!$CD$551+[6]動配!$CF$551)</f>
        <v>0</v>
      </c>
      <c r="AG32" s="3489"/>
      <c r="AH32" s="3489"/>
      <c r="AI32" s="3489"/>
      <c r="AJ32" s="3489"/>
      <c r="AK32" s="3489"/>
      <c r="AL32" s="3489" t="str">
        <f>IF(B2=0,"",IF(AR32=0,"",SQRT(AR32^2+AX32^2)))</f>
        <v/>
      </c>
      <c r="AM32" s="3489"/>
      <c r="AN32" s="3489"/>
      <c r="AO32" s="3489"/>
      <c r="AP32" s="3489"/>
      <c r="AQ32" s="3489"/>
      <c r="AR32" s="3489">
        <f>IF(B2=0,"",[6]動配!$CJ$551+[6]動配!$CL$551)</f>
        <v>0</v>
      </c>
      <c r="AS32" s="3489"/>
      <c r="AT32" s="3489"/>
      <c r="AU32" s="3489"/>
      <c r="AV32" s="3489"/>
      <c r="AW32" s="3489"/>
      <c r="AX32" s="3489">
        <f>IF(B2=0,"",[6]動配!$CK$551+[6]動配!$CM$551)</f>
        <v>0</v>
      </c>
      <c r="AY32" s="3489"/>
      <c r="AZ32" s="3489"/>
      <c r="BA32" s="3489"/>
      <c r="BB32" s="3489"/>
      <c r="BC32" s="3489"/>
      <c r="BD32" s="3508" t="str">
        <f>IF(D32="","",IF(Z32="","",577.35027*AL32/LEFT(N32,3)))</f>
        <v/>
      </c>
      <c r="BE32" s="3509"/>
      <c r="BF32" s="3509"/>
      <c r="BG32" s="3509"/>
      <c r="BH32" s="3510"/>
      <c r="BI32" s="3359" t="str">
        <f>IF(D32="","",IF(Z32="","",AR32/AL32))</f>
        <v/>
      </c>
      <c r="BJ32" s="3359"/>
      <c r="BK32" s="3359"/>
      <c r="BL32" s="3359"/>
      <c r="BM32" s="3359"/>
      <c r="BN32" s="3538" t="str">
        <f>IF(D32="",""," 各階盤")</f>
        <v/>
      </c>
      <c r="BO32" s="3538"/>
      <c r="BP32" s="3538"/>
      <c r="BQ32" s="3538"/>
      <c r="BR32" s="3538"/>
      <c r="BS32" s="3538"/>
      <c r="BT32" s="3538"/>
      <c r="BU32" s="924"/>
      <c r="BX32" s="1016">
        <f>IF(Z32="",0,Z32)</f>
        <v>0</v>
      </c>
      <c r="BY32" s="1016">
        <f>IF(AF32="",0,AF32)</f>
        <v>0</v>
      </c>
      <c r="BZ32" s="1016">
        <f>IF(AR32="",0,AR32)</f>
        <v>0</v>
      </c>
      <c r="CA32" s="1016">
        <f>IF(AX32="",0,AX32)</f>
        <v>0</v>
      </c>
      <c r="CB32" s="936"/>
      <c r="CC32" s="936"/>
      <c r="CD32" s="916"/>
      <c r="CE32" s="936"/>
      <c r="CF32" s="936"/>
      <c r="CG32" s="936"/>
      <c r="CK32" s="916"/>
      <c r="CL32" s="936"/>
      <c r="CM32" s="916"/>
      <c r="CN32" s="936"/>
      <c r="CO32" s="936"/>
      <c r="CP32" s="936"/>
      <c r="CQ32" s="936"/>
      <c r="CR32" s="936"/>
      <c r="CS32" s="916"/>
      <c r="CT32" s="936"/>
      <c r="CU32" s="936"/>
    </row>
    <row r="33" spans="2:101" ht="15" customHeight="1">
      <c r="B33" s="927"/>
      <c r="C33" s="925"/>
      <c r="D33" s="3543" t="str">
        <f>IF(B2=0,"",IF(AND(Z32=0,Z33=0),"","400V"))</f>
        <v/>
      </c>
      <c r="E33" s="3544"/>
      <c r="F33" s="3544"/>
      <c r="G33" s="3545" t="str">
        <f>IF(B2=0,"",IF(AND(Z32=0,Z33=0),"","動力"))</f>
        <v/>
      </c>
      <c r="H33" s="3545"/>
      <c r="I33" s="3546"/>
      <c r="J33" s="3547" t="str">
        <f>IF(OR(B2=0,Z33=0),"","3φ3W")</f>
        <v/>
      </c>
      <c r="K33" s="3548"/>
      <c r="L33" s="3548"/>
      <c r="M33" s="3548"/>
      <c r="N33" s="3549" t="str">
        <f>IF(OR(B2=0,Z33=0),"","440V")</f>
        <v/>
      </c>
      <c r="O33" s="3549"/>
      <c r="P33" s="3549"/>
      <c r="Q33" s="3549"/>
      <c r="R33" s="3549"/>
      <c r="S33" s="3550"/>
      <c r="T33" s="3479" t="str">
        <f>IF(B2=0,"",IF(Z33=0,"",SQRT(Z33^2+AF33^2)))</f>
        <v/>
      </c>
      <c r="U33" s="3479"/>
      <c r="V33" s="3479"/>
      <c r="W33" s="3479"/>
      <c r="X33" s="3479"/>
      <c r="Y33" s="3479"/>
      <c r="Z33" s="3479">
        <f>IF(B2=0,"",[6]動配!$CEG$551)</f>
        <v>0</v>
      </c>
      <c r="AA33" s="3479"/>
      <c r="AB33" s="3479"/>
      <c r="AC33" s="3479"/>
      <c r="AD33" s="3479"/>
      <c r="AE33" s="3479"/>
      <c r="AF33" s="3479">
        <f>IF(B2=0,"",[6]動配!$CEH$551)</f>
        <v>0</v>
      </c>
      <c r="AG33" s="3479"/>
      <c r="AH33" s="3479"/>
      <c r="AI33" s="3479"/>
      <c r="AJ33" s="3479"/>
      <c r="AK33" s="3479"/>
      <c r="AL33" s="3479" t="str">
        <f>IF(B2=0,"",IF(AR33=0,"",SQRT(AR33^2+AX33^2)))</f>
        <v/>
      </c>
      <c r="AM33" s="3479"/>
      <c r="AN33" s="3479"/>
      <c r="AO33" s="3479"/>
      <c r="AP33" s="3479"/>
      <c r="AQ33" s="3479"/>
      <c r="AR33" s="3479">
        <f>IF(B2=0,"",[6]動配!$CEN$551)</f>
        <v>0</v>
      </c>
      <c r="AS33" s="3479"/>
      <c r="AT33" s="3479"/>
      <c r="AU33" s="3479"/>
      <c r="AV33" s="3479"/>
      <c r="AW33" s="3479"/>
      <c r="AX33" s="3479">
        <f>IF(B2=0,"",[6]動配!$CEO$551)</f>
        <v>0</v>
      </c>
      <c r="AY33" s="3479"/>
      <c r="AZ33" s="3479"/>
      <c r="BA33" s="3479"/>
      <c r="BB33" s="3479"/>
      <c r="BC33" s="3479"/>
      <c r="BD33" s="3480" t="str">
        <f>IF(D33="","",IF(Z33="","",577.35027*AL33/LEFT(N33,3)))</f>
        <v/>
      </c>
      <c r="BE33" s="3481"/>
      <c r="BF33" s="3481"/>
      <c r="BG33" s="3481"/>
      <c r="BH33" s="3482"/>
      <c r="BI33" s="3334" t="str">
        <f>IF(D33="","",IF(Z33="","",AR33/AL33))</f>
        <v/>
      </c>
      <c r="BJ33" s="3334"/>
      <c r="BK33" s="3334"/>
      <c r="BL33" s="3334"/>
      <c r="BM33" s="3334"/>
      <c r="BN33" s="3551" t="str">
        <f>IF(D33="",""," 各階盤")</f>
        <v/>
      </c>
      <c r="BO33" s="3551"/>
      <c r="BP33" s="3551"/>
      <c r="BQ33" s="3551"/>
      <c r="BR33" s="3551"/>
      <c r="BS33" s="3551"/>
      <c r="BT33" s="3551"/>
      <c r="BU33" s="924"/>
      <c r="BX33" s="1016">
        <f>IF(Z33="",0,Z33)</f>
        <v>0</v>
      </c>
      <c r="BY33" s="1016">
        <f>IF(AF33="",0,AF33)</f>
        <v>0</v>
      </c>
      <c r="BZ33" s="1016">
        <f>IF(AR33="",0,AR33)</f>
        <v>0</v>
      </c>
      <c r="CA33" s="1016">
        <f>IF(AX33="",0,AX33)</f>
        <v>0</v>
      </c>
      <c r="CB33" s="3536" t="s">
        <v>2427</v>
      </c>
      <c r="CC33" s="3536"/>
      <c r="CD33" s="3536"/>
      <c r="CE33" s="936"/>
      <c r="CF33" s="3536" t="s">
        <v>2426</v>
      </c>
      <c r="CG33" s="3536" t="s">
        <v>2425</v>
      </c>
      <c r="CK33" s="916" t="s">
        <v>2424</v>
      </c>
      <c r="CL33" s="936"/>
      <c r="CM33" s="916" t="s">
        <v>2421</v>
      </c>
      <c r="CN33" s="936"/>
      <c r="CO33" s="936"/>
      <c r="CP33" s="936"/>
      <c r="CQ33" s="936"/>
      <c r="CR33" s="936"/>
      <c r="CS33" s="916" t="s">
        <v>2421</v>
      </c>
      <c r="CT33" s="936"/>
      <c r="CU33" s="936"/>
    </row>
    <row r="34" spans="2:101" ht="4.5" customHeight="1">
      <c r="B34" s="927"/>
      <c r="C34" s="925"/>
      <c r="D34" s="1022"/>
      <c r="E34" s="1022"/>
      <c r="F34" s="1022"/>
      <c r="G34" s="1022"/>
      <c r="H34" s="1022"/>
      <c r="I34" s="1022"/>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4"/>
      <c r="BK34" s="1024"/>
      <c r="BL34" s="1024"/>
      <c r="BM34" s="1024"/>
      <c r="BN34" s="1024"/>
      <c r="BO34" s="1024"/>
      <c r="BP34" s="1024"/>
      <c r="BQ34" s="1024"/>
      <c r="BR34" s="1024"/>
      <c r="BS34" s="1024"/>
      <c r="BT34" s="1024"/>
      <c r="BU34" s="924"/>
      <c r="CB34" s="3536"/>
      <c r="CC34" s="3536"/>
      <c r="CD34" s="3536"/>
      <c r="CE34" s="936"/>
      <c r="CF34" s="3537"/>
      <c r="CG34" s="3537"/>
      <c r="CJ34" s="916"/>
      <c r="CK34" s="916" t="s">
        <v>2423</v>
      </c>
      <c r="CL34" s="936"/>
      <c r="CM34" s="916" t="s">
        <v>2422</v>
      </c>
      <c r="CN34" s="936"/>
      <c r="CO34" s="936"/>
      <c r="CP34" s="936"/>
      <c r="CQ34" s="936"/>
      <c r="CR34" s="936"/>
      <c r="CS34" s="916" t="s">
        <v>2422</v>
      </c>
      <c r="CT34" s="936"/>
      <c r="CU34" s="936"/>
    </row>
    <row r="35" spans="2:101" ht="13.5" customHeight="1">
      <c r="B35" s="927"/>
      <c r="C35" s="925"/>
      <c r="D35" s="1022"/>
      <c r="E35" s="1022"/>
      <c r="F35" s="1022"/>
      <c r="G35" s="1022"/>
      <c r="H35" s="1022"/>
      <c r="I35" s="1022"/>
      <c r="J35" s="3004" t="str">
        <f>IF(AND(J29="",J31=""),"","3φ3W   210V")</f>
        <v>3φ3W   210V</v>
      </c>
      <c r="K35" s="3005"/>
      <c r="L35" s="3005"/>
      <c r="M35" s="3005"/>
      <c r="N35" s="3005"/>
      <c r="O35" s="3005"/>
      <c r="P35" s="3005"/>
      <c r="Q35" s="3005"/>
      <c r="R35" s="3005"/>
      <c r="S35" s="3005"/>
      <c r="T35" s="3000">
        <f>IF(B2=0,"",IF(Z35="","",SQRT(Z35^2+AF35^2)))</f>
        <v>2311.3558251740428</v>
      </c>
      <c r="U35" s="3000"/>
      <c r="V35" s="3000"/>
      <c r="W35" s="3000"/>
      <c r="X35" s="3000"/>
      <c r="Y35" s="3000"/>
      <c r="Z35" s="3000">
        <f>IF(BX29+BX31=0,"",BX29+BX31)</f>
        <v>1851.8571126185664</v>
      </c>
      <c r="AA35" s="3000"/>
      <c r="AB35" s="3000"/>
      <c r="AC35" s="3000"/>
      <c r="AD35" s="3000"/>
      <c r="AE35" s="3000"/>
      <c r="AF35" s="3000">
        <f>IF(BY29+BY31=0,"",BY29+BY31)</f>
        <v>1383.1091732072368</v>
      </c>
      <c r="AG35" s="3000"/>
      <c r="AH35" s="3000"/>
      <c r="AI35" s="3000"/>
      <c r="AJ35" s="3000"/>
      <c r="AK35" s="3000"/>
      <c r="AL35" s="3000">
        <f>IF(B2=0,"",IF(AR35="","",SQRT(AR35^2+AX35^2)))</f>
        <v>1701.7722414984783</v>
      </c>
      <c r="AM35" s="3000"/>
      <c r="AN35" s="3000"/>
      <c r="AO35" s="3000"/>
      <c r="AP35" s="3000"/>
      <c r="AQ35" s="3000"/>
      <c r="AR35" s="3000">
        <f>IF(BZ29+BZ31=0,"",BZ29+BZ31)</f>
        <v>1220.4010560346455</v>
      </c>
      <c r="AS35" s="3000"/>
      <c r="AT35" s="3000"/>
      <c r="AU35" s="3000"/>
      <c r="AV35" s="3000"/>
      <c r="AW35" s="3000"/>
      <c r="AX35" s="3000">
        <f>IF(CA29+CA31=0,"",CA29+CA31)</f>
        <v>1186.0227756515794</v>
      </c>
      <c r="AY35" s="3000"/>
      <c r="AZ35" s="3000"/>
      <c r="BA35" s="3000"/>
      <c r="BB35" s="3000"/>
      <c r="BC35" s="3000"/>
      <c r="BD35" s="1023"/>
      <c r="BE35" s="1023"/>
      <c r="BF35" s="1023"/>
      <c r="BG35" s="1023"/>
      <c r="BH35" s="1023"/>
      <c r="BI35" s="3160">
        <f>IF(B2=0,"",IF(Z35="","",AR35/AL35))</f>
        <v>0.71713536410726375</v>
      </c>
      <c r="BJ35" s="3160"/>
      <c r="BK35" s="3160"/>
      <c r="BL35" s="3160"/>
      <c r="BM35" s="3160"/>
      <c r="BN35" s="1022"/>
      <c r="BO35" s="1022"/>
      <c r="BP35" s="1022"/>
      <c r="BQ35" s="1022"/>
      <c r="BR35" s="1022"/>
      <c r="BS35" s="1022"/>
      <c r="BT35" s="1022"/>
      <c r="BU35" s="924"/>
      <c r="CB35" s="936"/>
      <c r="CC35" s="1016">
        <f>IF(AL35="",0,AL35/0.75)</f>
        <v>2269.0296553313042</v>
      </c>
      <c r="CD35" s="916"/>
      <c r="CE35" s="936"/>
      <c r="CF35" s="951">
        <f>IF(AR35="",0,AR35)</f>
        <v>1220.4010560346455</v>
      </c>
      <c r="CG35" s="951">
        <f>IF(AX35="",0,AX35)</f>
        <v>1186.0227756515794</v>
      </c>
      <c r="CK35" s="916" t="s">
        <v>2421</v>
      </c>
      <c r="CL35" s="936"/>
      <c r="CM35" s="916" t="s">
        <v>2420</v>
      </c>
      <c r="CN35" s="936"/>
      <c r="CO35" s="936"/>
      <c r="CP35" s="936"/>
      <c r="CQ35" s="936"/>
      <c r="CR35" s="936"/>
      <c r="CS35" s="916" t="s">
        <v>2420</v>
      </c>
      <c r="CT35" s="936"/>
      <c r="CU35" s="936"/>
    </row>
    <row r="36" spans="2:101" ht="13.5" customHeight="1">
      <c r="B36" s="927"/>
      <c r="C36" s="925"/>
      <c r="D36" s="1022"/>
      <c r="E36" s="1022"/>
      <c r="F36" s="1022"/>
      <c r="G36" s="1022"/>
      <c r="H36" s="1022"/>
      <c r="I36" s="1022"/>
      <c r="J36" s="3004" t="str">
        <f>IF(AND(J30="",J33=""),"","3φ3W   440V")</f>
        <v>3φ3W   440V</v>
      </c>
      <c r="K36" s="3005"/>
      <c r="L36" s="3005"/>
      <c r="M36" s="3005"/>
      <c r="N36" s="3005"/>
      <c r="O36" s="3005"/>
      <c r="P36" s="3005"/>
      <c r="Q36" s="3005"/>
      <c r="R36" s="3005"/>
      <c r="S36" s="3005"/>
      <c r="T36" s="3000">
        <f>IF(B2=0,"",IF(Z36="","",IFERROR(SQRT(Z36^2+AF36^2),"")))</f>
        <v>87.75075585072743</v>
      </c>
      <c r="U36" s="3000"/>
      <c r="V36" s="3000"/>
      <c r="W36" s="3000"/>
      <c r="X36" s="3000"/>
      <c r="Y36" s="3000"/>
      <c r="Z36" s="3000">
        <f>IF(BX30+BX33=0,"",BX30+BX33)</f>
        <v>69.366972500000045</v>
      </c>
      <c r="AA36" s="3000"/>
      <c r="AB36" s="3000"/>
      <c r="AC36" s="3000"/>
      <c r="AD36" s="3000"/>
      <c r="AE36" s="3000"/>
      <c r="AF36" s="3000">
        <f>IF(BY30+BY33=0,"",BY30+BY33)</f>
        <v>53.744006908288974</v>
      </c>
      <c r="AG36" s="3000"/>
      <c r="AH36" s="3000"/>
      <c r="AI36" s="3000"/>
      <c r="AJ36" s="3000"/>
      <c r="AK36" s="3000"/>
      <c r="AL36" s="3000">
        <f>IF(B2=0,"",IF(AR36="","",SQRT(AR36^2+AX36^2)))</f>
        <v>26.325226755218232</v>
      </c>
      <c r="AM36" s="3000"/>
      <c r="AN36" s="3000"/>
      <c r="AO36" s="3000"/>
      <c r="AP36" s="3000"/>
      <c r="AQ36" s="3000"/>
      <c r="AR36" s="3000">
        <f>IF(BZ30+BZ33=0,"",BZ30+BZ33)</f>
        <v>20.810091750000016</v>
      </c>
      <c r="AS36" s="3000"/>
      <c r="AT36" s="3000"/>
      <c r="AU36" s="3000"/>
      <c r="AV36" s="3000"/>
      <c r="AW36" s="3000"/>
      <c r="AX36" s="3000">
        <f>IF(CA30+CA33=0,"",CA30+CA33)</f>
        <v>16.123202072486691</v>
      </c>
      <c r="AY36" s="3000"/>
      <c r="AZ36" s="3000"/>
      <c r="BA36" s="3000"/>
      <c r="BB36" s="3000"/>
      <c r="BC36" s="3000"/>
      <c r="BD36" s="1023"/>
      <c r="BE36" s="1023"/>
      <c r="BF36" s="1023"/>
      <c r="BG36" s="1023"/>
      <c r="BH36" s="1023"/>
      <c r="BI36" s="3160">
        <f>IF(B2=0,"",IF(Z36="","",AR36/AL36))</f>
        <v>0.79050000000000009</v>
      </c>
      <c r="BJ36" s="3160"/>
      <c r="BK36" s="3160"/>
      <c r="BL36" s="3160"/>
      <c r="BM36" s="3160"/>
      <c r="BN36" s="1022"/>
      <c r="BO36" s="1022"/>
      <c r="BP36" s="1022"/>
      <c r="BQ36" s="1022"/>
      <c r="BR36" s="1022"/>
      <c r="BS36" s="1022"/>
      <c r="BT36" s="1022"/>
      <c r="BU36" s="924"/>
      <c r="CB36" s="936"/>
      <c r="CC36" s="1016">
        <f>IF(AL36="",0,AL36/0.75)</f>
        <v>35.100302340290973</v>
      </c>
      <c r="CD36" s="916"/>
      <c r="CE36" s="936"/>
      <c r="CF36" s="951">
        <f>IF(AR36="",0,AR36)</f>
        <v>20.810091750000016</v>
      </c>
      <c r="CG36" s="951">
        <f>IF(AX36="",0,AX36)</f>
        <v>16.123202072486691</v>
      </c>
      <c r="CK36" s="916" t="s">
        <v>2420</v>
      </c>
      <c r="CL36" s="936"/>
      <c r="CM36" s="916" t="s">
        <v>2414</v>
      </c>
      <c r="CN36" s="936"/>
      <c r="CO36" s="936"/>
      <c r="CP36" s="936"/>
      <c r="CQ36" s="936"/>
      <c r="CR36" s="936"/>
      <c r="CS36" s="916" t="s">
        <v>2414</v>
      </c>
      <c r="CT36" s="936"/>
      <c r="CU36" s="936"/>
    </row>
    <row r="37" spans="2:101" ht="9.75" customHeight="1">
      <c r="B37" s="927"/>
      <c r="C37" s="925"/>
      <c r="D37" s="925"/>
      <c r="E37" s="925"/>
      <c r="F37" s="925"/>
      <c r="G37" s="925"/>
      <c r="H37" s="925"/>
      <c r="I37" s="925"/>
      <c r="J37" s="925"/>
      <c r="K37" s="925"/>
      <c r="L37" s="925"/>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c r="AL37" s="925"/>
      <c r="AM37" s="925"/>
      <c r="AN37" s="925"/>
      <c r="AO37" s="925"/>
      <c r="AP37" s="925"/>
      <c r="AQ37" s="925"/>
      <c r="AR37" s="925"/>
      <c r="AS37" s="925"/>
      <c r="AT37" s="925"/>
      <c r="AU37" s="925"/>
      <c r="AV37" s="925"/>
      <c r="AW37" s="925"/>
      <c r="AX37" s="925"/>
      <c r="AY37" s="925"/>
      <c r="AZ37" s="925"/>
      <c r="BA37" s="925"/>
      <c r="BB37" s="925"/>
      <c r="BC37" s="925"/>
      <c r="BD37" s="925"/>
      <c r="BE37" s="925"/>
      <c r="BF37" s="925"/>
      <c r="BG37" s="925"/>
      <c r="BH37" s="925"/>
      <c r="BI37" s="925"/>
      <c r="BJ37" s="925"/>
      <c r="BK37" s="925"/>
      <c r="BL37" s="925"/>
      <c r="BM37" s="925"/>
      <c r="BN37" s="925"/>
      <c r="BO37" s="925"/>
      <c r="BP37" s="925"/>
      <c r="BQ37" s="925"/>
      <c r="BR37" s="925"/>
      <c r="BS37" s="925"/>
      <c r="BT37" s="925"/>
      <c r="BU37" s="924"/>
      <c r="CB37" s="936"/>
      <c r="CC37" s="3542" t="s">
        <v>2419</v>
      </c>
      <c r="CD37" s="3536" t="s">
        <v>2418</v>
      </c>
      <c r="CE37" s="3536" t="s">
        <v>2417</v>
      </c>
      <c r="CF37" s="936"/>
      <c r="CG37" s="936"/>
      <c r="CK37" s="916" t="s">
        <v>2416</v>
      </c>
      <c r="CL37" s="936"/>
      <c r="CM37" s="916" t="s">
        <v>2415</v>
      </c>
      <c r="CN37" s="936"/>
      <c r="CO37" s="936"/>
      <c r="CP37" s="936"/>
      <c r="CQ37" s="936"/>
      <c r="CR37" s="936"/>
      <c r="CS37" s="916" t="s">
        <v>2415</v>
      </c>
      <c r="CT37" s="936"/>
      <c r="CU37" s="936"/>
    </row>
    <row r="38" spans="2:101" ht="3" customHeight="1">
      <c r="B38" s="3449"/>
      <c r="C38" s="3450"/>
      <c r="D38" s="3450"/>
      <c r="E38" s="3450"/>
      <c r="F38" s="3450"/>
      <c r="G38" s="3450"/>
      <c r="H38" s="3450"/>
      <c r="I38" s="3450"/>
      <c r="J38" s="3450"/>
      <c r="K38" s="3450"/>
      <c r="L38" s="3450"/>
      <c r="M38" s="3450"/>
      <c r="N38" s="3450"/>
      <c r="O38" s="3450"/>
      <c r="P38" s="3450"/>
      <c r="Q38" s="3450"/>
      <c r="R38" s="3450"/>
      <c r="S38" s="3450"/>
      <c r="T38" s="3450"/>
      <c r="U38" s="3450"/>
      <c r="V38" s="3450"/>
      <c r="W38" s="3450"/>
      <c r="X38" s="3450"/>
      <c r="Y38" s="3450"/>
      <c r="Z38" s="3450"/>
      <c r="AA38" s="3450"/>
      <c r="AB38" s="3450"/>
      <c r="AC38" s="3450"/>
      <c r="AD38" s="3450"/>
      <c r="AE38" s="3450"/>
      <c r="AF38" s="3450"/>
      <c r="AG38" s="3450"/>
      <c r="AH38" s="3450"/>
      <c r="AI38" s="3450"/>
      <c r="AJ38" s="3450"/>
      <c r="AK38" s="3450"/>
      <c r="AL38" s="3450"/>
      <c r="AM38" s="3450"/>
      <c r="AN38" s="3450"/>
      <c r="AO38" s="3450"/>
      <c r="AP38" s="3450"/>
      <c r="AQ38" s="3450"/>
      <c r="AR38" s="3450"/>
      <c r="AS38" s="3450"/>
      <c r="AT38" s="3450"/>
      <c r="AU38" s="3450"/>
      <c r="AV38" s="3450"/>
      <c r="AW38" s="3450"/>
      <c r="AX38" s="3450"/>
      <c r="AY38" s="3450"/>
      <c r="AZ38" s="3450"/>
      <c r="BA38" s="3450"/>
      <c r="BB38" s="3450"/>
      <c r="BC38" s="3450"/>
      <c r="BD38" s="3450"/>
      <c r="BE38" s="3450"/>
      <c r="BF38" s="3450"/>
      <c r="BG38" s="3450"/>
      <c r="BH38" s="3450"/>
      <c r="BI38" s="3450"/>
      <c r="BJ38" s="3450"/>
      <c r="BK38" s="3450"/>
      <c r="BL38" s="3450"/>
      <c r="BM38" s="3450"/>
      <c r="BN38" s="3450"/>
      <c r="BO38" s="3450"/>
      <c r="BP38" s="3450"/>
      <c r="BQ38" s="3450"/>
      <c r="BR38" s="3450"/>
      <c r="BS38" s="3450"/>
      <c r="BT38" s="3450"/>
      <c r="BU38" s="3451"/>
      <c r="CB38" s="936"/>
      <c r="CC38" s="3537"/>
      <c r="CD38" s="3537"/>
      <c r="CE38" s="3537"/>
      <c r="CF38" s="936"/>
      <c r="CG38" s="936"/>
      <c r="CK38" s="916"/>
      <c r="CL38" s="936"/>
      <c r="CM38" s="916"/>
      <c r="CN38" s="936"/>
      <c r="CO38" s="936"/>
      <c r="CP38" s="936"/>
      <c r="CQ38" s="936"/>
      <c r="CR38" s="936"/>
      <c r="CS38" s="916"/>
      <c r="CT38" s="936"/>
      <c r="CU38" s="936"/>
    </row>
    <row r="39" spans="2:101" ht="13.5" customHeight="1">
      <c r="B39" s="927"/>
      <c r="C39" s="925"/>
      <c r="D39" s="3277" t="str">
        <f>IF(B2=0,"",IF(AC6="H","照明変圧器",""))</f>
        <v>照明変圧器</v>
      </c>
      <c r="E39" s="3277"/>
      <c r="F39" s="3277"/>
      <c r="G39" s="3277"/>
      <c r="H39" s="3277"/>
      <c r="I39" s="3277"/>
      <c r="J39" s="3277"/>
      <c r="K39" s="3277"/>
      <c r="L39" s="925"/>
      <c r="M39" s="925"/>
      <c r="N39" s="3277" t="str">
        <f>IF(OR(D39="",J21=""),"","1φ3W 210/105V")</f>
        <v>1φ3W 210/105V</v>
      </c>
      <c r="O39" s="3277"/>
      <c r="P39" s="3277"/>
      <c r="Q39" s="3277"/>
      <c r="R39" s="3277"/>
      <c r="S39" s="3277"/>
      <c r="T39" s="3277"/>
      <c r="U39" s="3277"/>
      <c r="V39" s="3277"/>
      <c r="W39" s="3277"/>
      <c r="X39" s="925"/>
      <c r="Y39" s="2773" t="str">
        <f>IF(N39="","",IF(AQ39&lt;&gt;"",AQ39,IF(CC21&lt;=20,"  20 KVA×1",IF(CC21&lt;=30,"  30 KVA×1",IF(CC21&lt;=50,"  50 KVA×1",IF(CC21&lt;=75,"  75 KVA×1",IF(CC21&lt;=100," 100 KVA×1",IF(CC21&lt;=150,"  75 KVA×2",IF(CC21&lt;=200," 100 KVA×2",IF(CC21&lt;=300," 150 KVA×2",IF(CC21&lt;=400," 200 KVA×2",IF(CC21&lt;=450," 150 KVA×3",IF(CC21&lt;=600," 200 KVA×3",IF(CC21&lt;=900," 300 KVA×3",IF(CC21&lt;=1000," 500 KVA×2",IF(CC21&lt;=1500," 500 KVA×3",IF(CC21&lt;=2000," 500 KVA×4",IF(CC21&lt;=2500," 500 KVA×5",IF(CC21&lt;=3000," 500 KVA×6","---")))))))))))))))))))</f>
        <v xml:space="preserve"> 500 KVA×2</v>
      </c>
      <c r="Z39" s="2774"/>
      <c r="AA39" s="2774"/>
      <c r="AB39" s="2774"/>
      <c r="AC39" s="2774"/>
      <c r="AD39" s="2774"/>
      <c r="AE39" s="2774"/>
      <c r="AF39" s="2774"/>
      <c r="AG39" s="2774"/>
      <c r="AH39" s="2774"/>
      <c r="AI39" s="2774"/>
      <c r="AJ39" s="2774"/>
      <c r="AK39" s="2774"/>
      <c r="AL39" s="2774"/>
      <c r="AM39" s="2774"/>
      <c r="AN39" s="2774"/>
      <c r="AO39" s="2775"/>
      <c r="AP39" s="1010" t="s">
        <v>2371</v>
      </c>
      <c r="AQ39" s="2771"/>
      <c r="AR39" s="2772"/>
      <c r="AS39" s="2772"/>
      <c r="AT39" s="2772"/>
      <c r="AU39" s="2772"/>
      <c r="AV39" s="2772"/>
      <c r="AW39" s="2772"/>
      <c r="AX39" s="2772"/>
      <c r="AY39" s="2772"/>
      <c r="AZ39" s="2772"/>
      <c r="BA39" s="2772"/>
      <c r="BB39" s="2772"/>
      <c r="BC39" s="2772"/>
      <c r="BD39" s="2772"/>
      <c r="BE39" s="3096"/>
      <c r="BF39" s="933"/>
      <c r="BG39" s="2873" t="str">
        <f>IF(N39="","","変圧器負荷率")</f>
        <v>変圧器負荷率</v>
      </c>
      <c r="BH39" s="2873"/>
      <c r="BI39" s="2873"/>
      <c r="BJ39" s="2873"/>
      <c r="BK39" s="2873"/>
      <c r="BL39" s="2873"/>
      <c r="BM39" s="2873"/>
      <c r="BN39" s="2948"/>
      <c r="BO39" s="3457">
        <f>IF(N39="","",AL21/CC39)</f>
        <v>0.72504165055159742</v>
      </c>
      <c r="BP39" s="3458"/>
      <c r="BQ39" s="3458"/>
      <c r="BR39" s="3458"/>
      <c r="BS39" s="3459"/>
      <c r="BT39" s="925"/>
      <c r="BU39" s="924"/>
      <c r="BX39" s="1021">
        <f>IF(AS59="50 Hz",1,1.2)</f>
        <v>1.2</v>
      </c>
      <c r="BY39" s="995"/>
      <c r="CB39" s="936"/>
      <c r="CC39" s="937">
        <f>IF(Y39="",0,IF(LEN(Y39)&gt;=11,LEFT(Y39,4)*MID(Y39,10,1)+MID(Y39,14,4)*RIGHT(Y39,1),LEFT(Y39,4)*RIGHT(Y39,1)))</f>
        <v>1000</v>
      </c>
      <c r="CD39" s="951" t="str">
        <f>IF(RIGHT(Y39,1)="",0,RIGHT(Y39,1))</f>
        <v>2</v>
      </c>
      <c r="CE39" s="951">
        <f>CD39+CD41+CD43+CD45+CD47</f>
        <v>6</v>
      </c>
      <c r="CF39" s="936"/>
      <c r="CG39" s="936"/>
      <c r="CK39" s="916" t="s">
        <v>2414</v>
      </c>
      <c r="CL39" s="1020"/>
      <c r="CM39" s="916" t="s">
        <v>2413</v>
      </c>
      <c r="CN39" s="1020"/>
      <c r="CO39" s="1020"/>
      <c r="CP39" s="1020"/>
      <c r="CQ39" s="1020"/>
      <c r="CR39" s="1020"/>
      <c r="CS39" s="916" t="s">
        <v>2410</v>
      </c>
      <c r="CT39" s="1018"/>
      <c r="CU39" s="1018"/>
      <c r="CV39" s="1017"/>
      <c r="CW39" s="1017"/>
    </row>
    <row r="40" spans="2:101" ht="3" customHeight="1">
      <c r="B40" s="927"/>
      <c r="C40" s="925"/>
      <c r="D40" s="925"/>
      <c r="E40" s="925"/>
      <c r="F40" s="925"/>
      <c r="G40" s="925"/>
      <c r="H40" s="925"/>
      <c r="I40" s="925"/>
      <c r="J40" s="925"/>
      <c r="K40" s="925"/>
      <c r="L40" s="925"/>
      <c r="M40" s="925"/>
      <c r="N40" s="926"/>
      <c r="O40" s="926"/>
      <c r="P40" s="926"/>
      <c r="Q40" s="926"/>
      <c r="R40" s="926"/>
      <c r="S40" s="926"/>
      <c r="T40" s="926"/>
      <c r="U40" s="926"/>
      <c r="V40" s="926"/>
      <c r="W40" s="926"/>
      <c r="X40" s="925"/>
      <c r="Y40" s="926"/>
      <c r="Z40" s="926"/>
      <c r="AA40" s="926"/>
      <c r="AB40" s="926"/>
      <c r="AC40" s="926"/>
      <c r="AD40" s="926"/>
      <c r="AE40" s="926"/>
      <c r="AF40" s="926"/>
      <c r="AG40" s="926"/>
      <c r="AH40" s="926"/>
      <c r="AI40" s="926"/>
      <c r="AJ40" s="926"/>
      <c r="AK40" s="926"/>
      <c r="AL40" s="926"/>
      <c r="AM40" s="926"/>
      <c r="AN40" s="926"/>
      <c r="AO40" s="926"/>
      <c r="AP40" s="925"/>
      <c r="AQ40" s="926"/>
      <c r="AR40" s="926"/>
      <c r="AS40" s="926"/>
      <c r="AT40" s="926"/>
      <c r="AU40" s="926"/>
      <c r="AV40" s="926"/>
      <c r="AW40" s="926"/>
      <c r="AX40" s="926"/>
      <c r="AY40" s="926"/>
      <c r="AZ40" s="926"/>
      <c r="BA40" s="926"/>
      <c r="BB40" s="926"/>
      <c r="BC40" s="926"/>
      <c r="BD40" s="926"/>
      <c r="BE40" s="926"/>
      <c r="BF40" s="925"/>
      <c r="BG40" s="926"/>
      <c r="BH40" s="926"/>
      <c r="BI40" s="926"/>
      <c r="BJ40" s="926"/>
      <c r="BK40" s="926"/>
      <c r="BL40" s="926"/>
      <c r="BM40" s="926"/>
      <c r="BN40" s="926"/>
      <c r="BO40" s="926"/>
      <c r="BP40" s="926"/>
      <c r="BQ40" s="926"/>
      <c r="BR40" s="925"/>
      <c r="BS40" s="925"/>
      <c r="BT40" s="925"/>
      <c r="BU40" s="924"/>
      <c r="CB40" s="936"/>
      <c r="CC40" s="936"/>
      <c r="CD40" s="916"/>
      <c r="CE40" s="936"/>
      <c r="CF40" s="936"/>
      <c r="CG40" s="936"/>
      <c r="CJ40" s="916"/>
      <c r="CK40" s="916" t="s">
        <v>2412</v>
      </c>
      <c r="CL40" s="1003"/>
      <c r="CM40" s="916"/>
      <c r="CN40" s="1003"/>
      <c r="CO40" s="1003"/>
      <c r="CP40" s="1003"/>
      <c r="CQ40" s="1003"/>
      <c r="CR40" s="1003"/>
      <c r="CS40" s="916" t="s">
        <v>2399</v>
      </c>
      <c r="CT40" s="1003"/>
      <c r="CU40" s="1003"/>
      <c r="CV40" s="926"/>
      <c r="CW40" s="926"/>
    </row>
    <row r="41" spans="2:101" ht="13.5" customHeight="1">
      <c r="B41" s="927"/>
      <c r="C41" s="925"/>
      <c r="D41" s="925"/>
      <c r="E41" s="925"/>
      <c r="F41" s="925"/>
      <c r="G41" s="925"/>
      <c r="H41" s="925"/>
      <c r="I41" s="925"/>
      <c r="J41" s="925"/>
      <c r="K41" s="925"/>
      <c r="L41" s="925"/>
      <c r="M41" s="925"/>
      <c r="N41" s="3004" t="str">
        <f>IF(OR(D39="",J22=""),"","3φ4W 440/254V")</f>
        <v>3φ4W 440/254V</v>
      </c>
      <c r="O41" s="3005"/>
      <c r="P41" s="3005"/>
      <c r="Q41" s="3005"/>
      <c r="R41" s="3005"/>
      <c r="S41" s="3005"/>
      <c r="T41" s="3005"/>
      <c r="U41" s="3005"/>
      <c r="V41" s="3005"/>
      <c r="W41" s="3006"/>
      <c r="X41" s="925"/>
      <c r="Y41" s="2773" t="str">
        <f>IF(N41="","",IF(AQ41&lt;&gt;"",AQ41,IF(CC22&lt;=75,"  75 KVA×1",IF(CC22&lt;=100," 100 KVA×1",IF(CC22&lt;=150," 150 KVA×1",IF(CC22&lt;=200," 100 KVA×2",IF(CC22&lt;=300," 150 KVA×2",IF(CC22&lt;=400," 200 KVA×2",IF(CC22&lt;=600," 300 KVA×2",IF(CC22&lt;=800," 200 KVA× 1 ＋  300 KVA×2",IF(CC22&lt;=1000," 500 KVA×2",IF(CC22&lt;=1250," 500 KVA×1 ＋ 750 KVA×1 ",IF(CC22&lt;=1500," 750 KVA×2",IF(CC22&lt;=2000,"1000 KVA×2",IF(CC22&lt;=2500,"1000 KVA×1＋1500 KVA×1",IF(CC22&lt;=3000,"1500 KVA×2","---"))))))))))))))))</f>
        <v xml:space="preserve"> 150 KVA×1</v>
      </c>
      <c r="Z41" s="2774"/>
      <c r="AA41" s="2774"/>
      <c r="AB41" s="2774"/>
      <c r="AC41" s="2774"/>
      <c r="AD41" s="2774"/>
      <c r="AE41" s="2774"/>
      <c r="AF41" s="2774"/>
      <c r="AG41" s="2774"/>
      <c r="AH41" s="2774"/>
      <c r="AI41" s="2774"/>
      <c r="AJ41" s="2774"/>
      <c r="AK41" s="2774"/>
      <c r="AL41" s="2774"/>
      <c r="AM41" s="2774"/>
      <c r="AN41" s="2774"/>
      <c r="AO41" s="2775"/>
      <c r="AP41" s="1010" t="s">
        <v>2371</v>
      </c>
      <c r="AQ41" s="2771"/>
      <c r="AR41" s="2772"/>
      <c r="AS41" s="2772"/>
      <c r="AT41" s="2772"/>
      <c r="AU41" s="2772"/>
      <c r="AV41" s="2772"/>
      <c r="AW41" s="2772"/>
      <c r="AX41" s="2772"/>
      <c r="AY41" s="2772"/>
      <c r="AZ41" s="2772"/>
      <c r="BA41" s="2772"/>
      <c r="BB41" s="2772"/>
      <c r="BC41" s="2772"/>
      <c r="BD41" s="2772"/>
      <c r="BE41" s="3096"/>
      <c r="BF41" s="933"/>
      <c r="BG41" s="2873" t="str">
        <f>IF(N41="","","変圧器負荷率")</f>
        <v>変圧器負荷率</v>
      </c>
      <c r="BH41" s="2873"/>
      <c r="BI41" s="2873"/>
      <c r="BJ41" s="2873"/>
      <c r="BK41" s="2873"/>
      <c r="BL41" s="2873"/>
      <c r="BM41" s="2873"/>
      <c r="BN41" s="2948"/>
      <c r="BO41" s="3457">
        <f>IF(CC41=0,"",AL22/CC41)</f>
        <v>0.53493315576447109</v>
      </c>
      <c r="BP41" s="3458"/>
      <c r="BQ41" s="3458"/>
      <c r="BR41" s="3458"/>
      <c r="BS41" s="3459"/>
      <c r="BT41" s="925"/>
      <c r="BU41" s="924"/>
      <c r="CB41" s="936"/>
      <c r="CC41" s="937">
        <f>IF(Y41="",0,IF(LEN(Y41)&gt;=11,LEFT(Y41,4)*MID(Y41,10,1)+MID(Y41,14,4)*RIGHT(Y41,1),LEFT(Y41,4)*RIGHT(Y41,1)))</f>
        <v>150</v>
      </c>
      <c r="CD41" s="951" t="str">
        <f>IF(RIGHT(Y41,1)="",0,RIGHT(Y41,1))</f>
        <v>1</v>
      </c>
      <c r="CE41" s="936"/>
      <c r="CF41" s="936"/>
      <c r="CG41" s="936"/>
      <c r="CK41" s="916" t="s">
        <v>2411</v>
      </c>
      <c r="CL41" s="1020"/>
      <c r="CM41" s="916" t="s">
        <v>2411</v>
      </c>
      <c r="CN41" s="1020"/>
      <c r="CO41" s="1020"/>
      <c r="CP41" s="1020"/>
      <c r="CQ41" s="1020"/>
      <c r="CR41" s="1020"/>
      <c r="CS41" s="916" t="s">
        <v>2405</v>
      </c>
      <c r="CT41" s="1018"/>
      <c r="CU41" s="1018"/>
      <c r="CV41" s="1017"/>
      <c r="CW41" s="1017"/>
    </row>
    <row r="42" spans="2:101" ht="3" customHeight="1">
      <c r="B42" s="927"/>
      <c r="C42" s="925"/>
      <c r="D42" s="925"/>
      <c r="E42" s="925"/>
      <c r="F42" s="925"/>
      <c r="G42" s="925"/>
      <c r="H42" s="925"/>
      <c r="I42" s="925"/>
      <c r="J42" s="925"/>
      <c r="K42" s="925"/>
      <c r="L42" s="925"/>
      <c r="M42" s="925"/>
      <c r="N42" s="926"/>
      <c r="O42" s="926"/>
      <c r="P42" s="926"/>
      <c r="Q42" s="926"/>
      <c r="R42" s="926"/>
      <c r="S42" s="926"/>
      <c r="T42" s="926"/>
      <c r="U42" s="926"/>
      <c r="V42" s="926"/>
      <c r="W42" s="926"/>
      <c r="X42" s="925"/>
      <c r="Y42" s="926"/>
      <c r="Z42" s="926"/>
      <c r="AA42" s="926"/>
      <c r="AB42" s="926"/>
      <c r="AC42" s="926"/>
      <c r="AD42" s="926"/>
      <c r="AE42" s="926"/>
      <c r="AF42" s="926"/>
      <c r="AG42" s="926"/>
      <c r="AH42" s="926"/>
      <c r="AI42" s="926"/>
      <c r="AJ42" s="926"/>
      <c r="AK42" s="926"/>
      <c r="AL42" s="926"/>
      <c r="AM42" s="926"/>
      <c r="AN42" s="926"/>
      <c r="AO42" s="926"/>
      <c r="AP42" s="925"/>
      <c r="AQ42" s="926"/>
      <c r="AR42" s="926"/>
      <c r="AS42" s="926"/>
      <c r="AT42" s="926"/>
      <c r="AU42" s="926"/>
      <c r="AV42" s="926"/>
      <c r="AW42" s="926"/>
      <c r="AX42" s="926"/>
      <c r="AY42" s="926"/>
      <c r="AZ42" s="926"/>
      <c r="BA42" s="926"/>
      <c r="BB42" s="926"/>
      <c r="BC42" s="926"/>
      <c r="BD42" s="926"/>
      <c r="BE42" s="926"/>
      <c r="BF42" s="925"/>
      <c r="BG42" s="925"/>
      <c r="BH42" s="925"/>
      <c r="BI42" s="925"/>
      <c r="BJ42" s="925"/>
      <c r="BK42" s="925"/>
      <c r="BL42" s="925"/>
      <c r="BM42" s="925"/>
      <c r="BN42" s="925"/>
      <c r="BO42" s="926"/>
      <c r="BP42" s="926"/>
      <c r="BQ42" s="926"/>
      <c r="BR42" s="926"/>
      <c r="BS42" s="926"/>
      <c r="BT42" s="925"/>
      <c r="BU42" s="924"/>
      <c r="CB42" s="936"/>
      <c r="CC42" s="936"/>
      <c r="CD42" s="916"/>
      <c r="CE42" s="936"/>
      <c r="CF42" s="936"/>
      <c r="CG42" s="936"/>
      <c r="CJ42" s="916"/>
      <c r="CK42" s="916" t="s">
        <v>2410</v>
      </c>
      <c r="CL42" s="1003"/>
      <c r="CM42" s="916" t="s">
        <v>2410</v>
      </c>
      <c r="CN42" s="1003"/>
      <c r="CO42" s="1003"/>
      <c r="CP42" s="1003"/>
      <c r="CQ42" s="1003"/>
      <c r="CR42" s="1003"/>
      <c r="CS42" s="916" t="s">
        <v>2404</v>
      </c>
      <c r="CT42" s="1003"/>
      <c r="CU42" s="1003"/>
      <c r="CV42" s="926"/>
      <c r="CW42" s="926"/>
    </row>
    <row r="43" spans="2:101" ht="13.5" customHeight="1">
      <c r="B43" s="927"/>
      <c r="C43" s="925"/>
      <c r="D43" s="925"/>
      <c r="E43" s="925"/>
      <c r="F43" s="925"/>
      <c r="G43" s="925"/>
      <c r="H43" s="925"/>
      <c r="I43" s="925"/>
      <c r="J43" s="925"/>
      <c r="K43" s="925"/>
      <c r="L43" s="925"/>
      <c r="M43" s="925"/>
      <c r="N43" s="3004" t="str">
        <f>IF(OR(D39="",I23=""),"","3φ3W   210V")</f>
        <v/>
      </c>
      <c r="O43" s="3005"/>
      <c r="P43" s="3005"/>
      <c r="Q43" s="3005"/>
      <c r="R43" s="3005"/>
      <c r="S43" s="3005"/>
      <c r="T43" s="3005"/>
      <c r="U43" s="3005"/>
      <c r="V43" s="3005"/>
      <c r="W43" s="3006"/>
      <c r="X43" s="925"/>
      <c r="Y43" s="2773" t="str">
        <f>IF(N43="","",IF(AQ43&lt;&gt;"",AQ43,IF(CC23&lt;=20,"  20 KVA×1",IF(CC23&lt;=30,"  30 KVA×1",IF(CC23&lt;=50,"  50 KVA×1",IF(CC23&lt;=75,"  75 KVA×1",IF(CC23&lt;=100," 100 KVA×1",IF(CC23&lt;=150," 150 KVA×1",IF(CC23&lt;=200," 200 KVA×1",IF(CC23&lt;=300," 300 KVA×1",IF(CC23&lt;=400," 200 KVA×2",IF(CC23&lt;=600," 300 KVA×2",IF(CC23&lt;=750," 750 KVA×1",IF(CC23&lt;=1000," 500 KVA×2",IF(CC23&lt;=1500," 750 KVA×2",IF(CC23&lt;=2000,"1000 KVA×2",IF(CC23&lt;=3000,"1500 KVA×2",IF(CC23&lt;=4000,"2000 KVA×2","---"))))))))))))))))))</f>
        <v/>
      </c>
      <c r="Z43" s="2774"/>
      <c r="AA43" s="2774"/>
      <c r="AB43" s="2774"/>
      <c r="AC43" s="2774"/>
      <c r="AD43" s="2774"/>
      <c r="AE43" s="2774"/>
      <c r="AF43" s="2774"/>
      <c r="AG43" s="2774"/>
      <c r="AH43" s="2774"/>
      <c r="AI43" s="2774"/>
      <c r="AJ43" s="2774"/>
      <c r="AK43" s="2774"/>
      <c r="AL43" s="2774"/>
      <c r="AM43" s="2774"/>
      <c r="AN43" s="2774"/>
      <c r="AO43" s="2775"/>
      <c r="AP43" s="1010" t="s">
        <v>2371</v>
      </c>
      <c r="AQ43" s="2771"/>
      <c r="AR43" s="2772"/>
      <c r="AS43" s="2772"/>
      <c r="AT43" s="2772"/>
      <c r="AU43" s="2772"/>
      <c r="AV43" s="2772"/>
      <c r="AW43" s="2772"/>
      <c r="AX43" s="2772"/>
      <c r="AY43" s="2772"/>
      <c r="AZ43" s="2772"/>
      <c r="BA43" s="2772"/>
      <c r="BB43" s="2772"/>
      <c r="BC43" s="2772"/>
      <c r="BD43" s="2772"/>
      <c r="BE43" s="3096"/>
      <c r="BF43" s="933"/>
      <c r="BG43" s="2873" t="str">
        <f>IF(N43="","","変圧器負荷率")</f>
        <v/>
      </c>
      <c r="BH43" s="2873"/>
      <c r="BI43" s="2873"/>
      <c r="BJ43" s="2873"/>
      <c r="BK43" s="2873"/>
      <c r="BL43" s="2873"/>
      <c r="BM43" s="2873"/>
      <c r="BN43" s="2948"/>
      <c r="BO43" s="3457" t="str">
        <f>IF(CC43=0,"",AL23/CC43)</f>
        <v/>
      </c>
      <c r="BP43" s="3458"/>
      <c r="BQ43" s="3458"/>
      <c r="BR43" s="3458"/>
      <c r="BS43" s="3459"/>
      <c r="BT43" s="925"/>
      <c r="BU43" s="924"/>
      <c r="CB43" s="936"/>
      <c r="CC43" s="937">
        <f>IF(Y43="",0,IF(LEN(Y43)&gt;=11,LEFT(Y43,4)*MID(Y43,10,1)+MID(Y43,14,4)*RIGHT(Y43,1),LEFT(Y43,4)*RIGHT(Y43,1)))</f>
        <v>0</v>
      </c>
      <c r="CD43" s="951">
        <f>IF(RIGHT(Y43,1)="",0,RIGHT(Y43,1))</f>
        <v>0</v>
      </c>
      <c r="CE43" s="936"/>
      <c r="CF43" s="936"/>
      <c r="CG43" s="936"/>
      <c r="CK43" s="916" t="s">
        <v>2409</v>
      </c>
      <c r="CL43" s="1020"/>
      <c r="CM43" s="916"/>
      <c r="CN43" s="1020"/>
      <c r="CO43" s="1020"/>
      <c r="CP43" s="1020"/>
      <c r="CQ43" s="1020"/>
      <c r="CR43" s="1020"/>
      <c r="CS43" s="916" t="s">
        <v>2408</v>
      </c>
      <c r="CT43" s="1018"/>
      <c r="CU43" s="1018"/>
      <c r="CV43" s="1017"/>
      <c r="CW43" s="1017"/>
    </row>
    <row r="44" spans="2:101" ht="3" customHeight="1">
      <c r="B44" s="3449"/>
      <c r="C44" s="3450"/>
      <c r="D44" s="3450"/>
      <c r="E44" s="3450"/>
      <c r="F44" s="3450"/>
      <c r="G44" s="3450"/>
      <c r="H44" s="3450"/>
      <c r="I44" s="3450"/>
      <c r="J44" s="3450"/>
      <c r="K44" s="3450"/>
      <c r="L44" s="3450"/>
      <c r="M44" s="3450"/>
      <c r="N44" s="3450"/>
      <c r="O44" s="3450"/>
      <c r="P44" s="3450"/>
      <c r="Q44" s="3450"/>
      <c r="R44" s="3450"/>
      <c r="S44" s="3450"/>
      <c r="T44" s="3450"/>
      <c r="U44" s="3450"/>
      <c r="V44" s="3450"/>
      <c r="W44" s="3450"/>
      <c r="X44" s="3450"/>
      <c r="Y44" s="3450"/>
      <c r="Z44" s="3450"/>
      <c r="AA44" s="3450"/>
      <c r="AB44" s="3450"/>
      <c r="AC44" s="3450"/>
      <c r="AD44" s="3450"/>
      <c r="AE44" s="3450"/>
      <c r="AF44" s="3450"/>
      <c r="AG44" s="3450"/>
      <c r="AH44" s="3450"/>
      <c r="AI44" s="3450"/>
      <c r="AJ44" s="3450"/>
      <c r="AK44" s="3450"/>
      <c r="AL44" s="3450"/>
      <c r="AM44" s="3450"/>
      <c r="AN44" s="3450"/>
      <c r="AO44" s="3450"/>
      <c r="AP44" s="3450"/>
      <c r="AQ44" s="3450"/>
      <c r="AR44" s="3450"/>
      <c r="AS44" s="3450"/>
      <c r="AT44" s="3450"/>
      <c r="AU44" s="3450"/>
      <c r="AV44" s="3450"/>
      <c r="AW44" s="3450"/>
      <c r="AX44" s="3450"/>
      <c r="AY44" s="3450"/>
      <c r="AZ44" s="3450"/>
      <c r="BA44" s="3450"/>
      <c r="BB44" s="3450"/>
      <c r="BC44" s="3450"/>
      <c r="BD44" s="3450"/>
      <c r="BE44" s="3450"/>
      <c r="BF44" s="3450"/>
      <c r="BG44" s="3450"/>
      <c r="BH44" s="3450"/>
      <c r="BI44" s="3450"/>
      <c r="BJ44" s="3450"/>
      <c r="BK44" s="3450"/>
      <c r="BL44" s="3450"/>
      <c r="BM44" s="3450"/>
      <c r="BN44" s="3450"/>
      <c r="BO44" s="3450"/>
      <c r="BP44" s="3450"/>
      <c r="BQ44" s="3450"/>
      <c r="BR44" s="3450"/>
      <c r="BS44" s="3450"/>
      <c r="BT44" s="3450"/>
      <c r="BU44" s="3451"/>
      <c r="CB44" s="936"/>
      <c r="CC44" s="936"/>
      <c r="CD44" s="916"/>
      <c r="CE44" s="936"/>
      <c r="CF44" s="936"/>
      <c r="CG44" s="936"/>
      <c r="CJ44" s="916"/>
      <c r="CK44" s="1003"/>
      <c r="CL44" s="1003"/>
      <c r="CM44" s="916" t="s">
        <v>2399</v>
      </c>
      <c r="CN44" s="1003"/>
      <c r="CO44" s="1003"/>
      <c r="CP44" s="1003"/>
      <c r="CQ44" s="1003"/>
      <c r="CR44" s="1003"/>
      <c r="CS44" s="916" t="s">
        <v>2407</v>
      </c>
      <c r="CT44" s="1003"/>
      <c r="CU44" s="1003"/>
      <c r="CV44" s="926"/>
      <c r="CW44" s="926"/>
    </row>
    <row r="45" spans="2:101" ht="13.5" customHeight="1">
      <c r="B45" s="927"/>
      <c r="C45" s="925"/>
      <c r="D45" s="3004" t="str">
        <f>IF(B2=0,"",IF(AC6="H","動力変圧器",""))</f>
        <v>動力変圧器</v>
      </c>
      <c r="E45" s="3005"/>
      <c r="F45" s="3005"/>
      <c r="G45" s="3005"/>
      <c r="H45" s="3005"/>
      <c r="I45" s="3005"/>
      <c r="J45" s="3005"/>
      <c r="K45" s="3006"/>
      <c r="L45" s="926"/>
      <c r="M45" s="926"/>
      <c r="N45" s="3004" t="str">
        <f>IF(OR(D45="",J35=""),"","3φ3W   210V")</f>
        <v>3φ3W   210V</v>
      </c>
      <c r="O45" s="3005"/>
      <c r="P45" s="3005"/>
      <c r="Q45" s="3005"/>
      <c r="R45" s="3005"/>
      <c r="S45" s="3005"/>
      <c r="T45" s="3005"/>
      <c r="U45" s="3005"/>
      <c r="V45" s="3005"/>
      <c r="W45" s="3006"/>
      <c r="X45" s="926"/>
      <c r="Y45" s="2773" t="str">
        <f>IF(N45="","",IF(AQ45&lt;&gt;"",AQ45,IF(CC35&lt;=75,"  75 KVA×1",IF(CC35&lt;=100," 100 KVA×1",IF(CC35&lt;=150," 150 KVA×1",IF(CC35&lt;=200," 100 KVA×2",IF(CC35&lt;=300," 150 KVA×2",IF(CC35&lt;=400," 200 KVA×2",IF(CC35&lt;=600," 300 KVA×2",IF(CC35&lt;=900," 300 KVA×3",IF(CC35&lt;=1000," 500 KVA×2",IF(CC35&lt;=1500," 750 KVA×2",IF(CC35&lt;=2000,"1000 KVA×2",IF(CC35&lt;=3000,"1500 KVA×2",IF(CC35&lt;=4500,"1500 KVA×3",IF(CC35&lt;=6000,"1500 KVA×4","---"))))))))))))))))</f>
        <v>1500 KVA×2</v>
      </c>
      <c r="Z45" s="2774"/>
      <c r="AA45" s="2774"/>
      <c r="AB45" s="2774"/>
      <c r="AC45" s="2774"/>
      <c r="AD45" s="2774"/>
      <c r="AE45" s="2774"/>
      <c r="AF45" s="2774"/>
      <c r="AG45" s="2774"/>
      <c r="AH45" s="2774"/>
      <c r="AI45" s="2774"/>
      <c r="AJ45" s="2774"/>
      <c r="AK45" s="2774"/>
      <c r="AL45" s="2774"/>
      <c r="AM45" s="2774"/>
      <c r="AN45" s="2774"/>
      <c r="AO45" s="2775"/>
      <c r="AP45" s="1010" t="s">
        <v>2371</v>
      </c>
      <c r="AQ45" s="2771"/>
      <c r="AR45" s="2772"/>
      <c r="AS45" s="2772"/>
      <c r="AT45" s="2772"/>
      <c r="AU45" s="2772"/>
      <c r="AV45" s="2772"/>
      <c r="AW45" s="2772"/>
      <c r="AX45" s="2772"/>
      <c r="AY45" s="2772"/>
      <c r="AZ45" s="2772"/>
      <c r="BA45" s="2772"/>
      <c r="BB45" s="2772"/>
      <c r="BC45" s="2772"/>
      <c r="BD45" s="2772"/>
      <c r="BE45" s="3096"/>
      <c r="BF45" s="933"/>
      <c r="BG45" s="2873" t="str">
        <f>IF(N45="","","変圧器負荷率")</f>
        <v>変圧器負荷率</v>
      </c>
      <c r="BH45" s="2873"/>
      <c r="BI45" s="2873"/>
      <c r="BJ45" s="2873"/>
      <c r="BK45" s="2873"/>
      <c r="BL45" s="2873"/>
      <c r="BM45" s="2873"/>
      <c r="BN45" s="2948"/>
      <c r="BO45" s="3457">
        <f>IF(CC45=0,"",AL35/CC45)</f>
        <v>0.56725741383282613</v>
      </c>
      <c r="BP45" s="3458"/>
      <c r="BQ45" s="3458"/>
      <c r="BR45" s="3458"/>
      <c r="BS45" s="3459"/>
      <c r="BT45" s="925"/>
      <c r="BU45" s="924"/>
      <c r="CB45" s="936"/>
      <c r="CC45" s="937">
        <f>IF(Y45="",0,IF(LEN(Y45)&gt;=11,LEFT(Y45,4)*MID(Y45,10,1)+MID(Y45,14,4)*RIGHT(Y45,1),LEFT(Y45,4)*RIGHT(Y45,1)))</f>
        <v>3000</v>
      </c>
      <c r="CD45" s="951" t="str">
        <f>IF(RIGHT(Y45,1)="",0,RIGHT(Y45,1))</f>
        <v>2</v>
      </c>
      <c r="CE45" s="3536" t="s">
        <v>2406</v>
      </c>
      <c r="CF45" s="936"/>
      <c r="CG45" s="936"/>
      <c r="CK45" s="1019"/>
      <c r="CL45" s="1019"/>
      <c r="CM45" s="916" t="s">
        <v>2405</v>
      </c>
      <c r="CN45" s="1019"/>
      <c r="CO45" s="1019"/>
      <c r="CP45" s="1019"/>
      <c r="CQ45" s="1019"/>
      <c r="CR45" s="1019"/>
      <c r="CS45" s="1018"/>
      <c r="CT45" s="1018"/>
      <c r="CU45" s="1018"/>
      <c r="CV45" s="1017"/>
      <c r="CW45" s="1017"/>
    </row>
    <row r="46" spans="2:101" ht="3" customHeight="1">
      <c r="B46" s="927"/>
      <c r="C46" s="925"/>
      <c r="D46" s="926"/>
      <c r="E46" s="926"/>
      <c r="F46" s="926"/>
      <c r="G46" s="926"/>
      <c r="H46" s="926"/>
      <c r="I46" s="926"/>
      <c r="J46" s="926"/>
      <c r="K46" s="926"/>
      <c r="L46" s="926"/>
      <c r="M46" s="926"/>
      <c r="N46" s="926"/>
      <c r="O46" s="926"/>
      <c r="P46" s="926"/>
      <c r="Q46" s="926"/>
      <c r="R46" s="926"/>
      <c r="S46" s="926"/>
      <c r="T46" s="926"/>
      <c r="U46" s="926"/>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6"/>
      <c r="AV46" s="926"/>
      <c r="AW46" s="926"/>
      <c r="AX46" s="926"/>
      <c r="AY46" s="926"/>
      <c r="AZ46" s="926"/>
      <c r="BA46" s="926"/>
      <c r="BB46" s="926"/>
      <c r="BC46" s="926"/>
      <c r="BD46" s="926"/>
      <c r="BE46" s="926"/>
      <c r="BF46" s="926"/>
      <c r="BG46" s="926"/>
      <c r="BH46" s="926"/>
      <c r="BI46" s="926"/>
      <c r="BJ46" s="926"/>
      <c r="BK46" s="926"/>
      <c r="BL46" s="926"/>
      <c r="BM46" s="926"/>
      <c r="BN46" s="926"/>
      <c r="BO46" s="926"/>
      <c r="BP46" s="926"/>
      <c r="BQ46" s="926"/>
      <c r="BR46" s="926"/>
      <c r="BS46" s="926"/>
      <c r="BT46" s="925"/>
      <c r="BU46" s="924"/>
      <c r="CB46" s="936"/>
      <c r="CC46" s="936"/>
      <c r="CD46" s="916"/>
      <c r="CE46" s="3537"/>
      <c r="CF46" s="936"/>
      <c r="CG46" s="936"/>
      <c r="CJ46" s="916"/>
      <c r="CK46" s="1003"/>
      <c r="CL46" s="1003"/>
      <c r="CM46" s="916"/>
      <c r="CN46" s="1003"/>
      <c r="CO46" s="1003"/>
      <c r="CP46" s="1003"/>
      <c r="CQ46" s="1003"/>
      <c r="CR46" s="1003"/>
      <c r="CS46" s="1003"/>
      <c r="CT46" s="1003"/>
      <c r="CU46" s="1003"/>
      <c r="CV46" s="926"/>
      <c r="CW46" s="926"/>
    </row>
    <row r="47" spans="2:101" ht="13.5" customHeight="1">
      <c r="B47" s="927"/>
      <c r="C47" s="925"/>
      <c r="D47" s="926"/>
      <c r="E47" s="926"/>
      <c r="F47" s="926"/>
      <c r="G47" s="926"/>
      <c r="H47" s="926"/>
      <c r="I47" s="926"/>
      <c r="J47" s="926"/>
      <c r="K47" s="926"/>
      <c r="L47" s="926"/>
      <c r="M47" s="926"/>
      <c r="N47" s="3004" t="str">
        <f>IF(OR(D45="",J36=""),"","3φ3W   440V")</f>
        <v>3φ3W   440V</v>
      </c>
      <c r="O47" s="3005"/>
      <c r="P47" s="3005"/>
      <c r="Q47" s="3005"/>
      <c r="R47" s="3005"/>
      <c r="S47" s="3005"/>
      <c r="T47" s="3005"/>
      <c r="U47" s="3005"/>
      <c r="V47" s="3005"/>
      <c r="W47" s="3006"/>
      <c r="X47" s="926"/>
      <c r="Y47" s="2773" t="str">
        <f>IF(N47="","",IF(AQ47&lt;&gt;"",AQ47,IF(CC36&lt;=75,"  75 KVA×1",IF(CC36&lt;=100," 100 KVA×1",IF(CC36&lt;=150," 150 KVA×1",IF(CC36&lt;=200," 100 KVA×2",IF(CC36&lt;=300," 150 KVA×2",IF(CC36&lt;=400," 200 KVA×2",IF(CC36&lt;=600," 300 KVA×2",IF(CC36&lt;=800," 200 KVA× 1 ＋  300 KVA×2",IF(CC36&lt;=1000," 500 KVA×2",IF(CC36&lt;=1250," 500 KVA×1 ＋ 750 KVA×1 ",IF(CC36&lt;=1500," 750 KVA×2",IF(CC36&lt;=2000,"1000 KVA×2",IF(CC36&lt;=2500,"1000 KVA×1＋ 1500 KVA×1",IF(CC36&lt;=3000,"1500 KVA×2","---"))))))))))))))))</f>
        <v xml:space="preserve">  75 KVA×1</v>
      </c>
      <c r="Z47" s="2774"/>
      <c r="AA47" s="2774"/>
      <c r="AB47" s="2774"/>
      <c r="AC47" s="2774"/>
      <c r="AD47" s="2774"/>
      <c r="AE47" s="2774"/>
      <c r="AF47" s="2774"/>
      <c r="AG47" s="2774"/>
      <c r="AH47" s="2774"/>
      <c r="AI47" s="2774"/>
      <c r="AJ47" s="2774"/>
      <c r="AK47" s="2774"/>
      <c r="AL47" s="2774"/>
      <c r="AM47" s="2774"/>
      <c r="AN47" s="2774"/>
      <c r="AO47" s="2775"/>
      <c r="AP47" s="1010" t="s">
        <v>2371</v>
      </c>
      <c r="AQ47" s="2771"/>
      <c r="AR47" s="2772"/>
      <c r="AS47" s="2772"/>
      <c r="AT47" s="2772"/>
      <c r="AU47" s="2772"/>
      <c r="AV47" s="2772"/>
      <c r="AW47" s="2772"/>
      <c r="AX47" s="2772"/>
      <c r="AY47" s="2772"/>
      <c r="AZ47" s="2772"/>
      <c r="BA47" s="2772"/>
      <c r="BB47" s="2772"/>
      <c r="BC47" s="2772"/>
      <c r="BD47" s="2772"/>
      <c r="BE47" s="3096"/>
      <c r="BF47" s="933"/>
      <c r="BG47" s="2873" t="str">
        <f>IF(N47="","","変圧器負荷率")</f>
        <v>変圧器負荷率</v>
      </c>
      <c r="BH47" s="2873"/>
      <c r="BI47" s="2873"/>
      <c r="BJ47" s="2873"/>
      <c r="BK47" s="2873"/>
      <c r="BL47" s="2873"/>
      <c r="BM47" s="2873"/>
      <c r="BN47" s="2948"/>
      <c r="BO47" s="3457">
        <f>IF(CC47=0,"",AL36/CC47)</f>
        <v>0.35100302340290973</v>
      </c>
      <c r="BP47" s="3458"/>
      <c r="BQ47" s="3458"/>
      <c r="BR47" s="3458"/>
      <c r="BS47" s="3459"/>
      <c r="BT47" s="925"/>
      <c r="BU47" s="924"/>
      <c r="CB47" s="936"/>
      <c r="CC47" s="937">
        <f>IF(Y47="",0,IF(LEN(Y47)&gt;=11,LEFT(Y47,4)*MID(Y47,10,1)+MID(Y47,14,4)*RIGHT(Y47,1),LEFT(Y47,4)*RIGHT(Y47,1)))</f>
        <v>75</v>
      </c>
      <c r="CD47" s="951" t="str">
        <f>IF(RIGHT(Y47,1)="",0,RIGHT(Y47,1))</f>
        <v>1</v>
      </c>
      <c r="CE47" s="937">
        <f>SUM(CC39:CC47)</f>
        <v>4225</v>
      </c>
      <c r="CF47" s="936"/>
      <c r="CG47" s="936"/>
      <c r="CK47" s="1019"/>
      <c r="CL47" s="1019"/>
      <c r="CM47" s="916" t="s">
        <v>2404</v>
      </c>
      <c r="CN47" s="1019"/>
      <c r="CO47" s="1019"/>
      <c r="CP47" s="1019"/>
      <c r="CQ47" s="1019"/>
      <c r="CR47" s="1019"/>
      <c r="CS47" s="1018"/>
      <c r="CT47" s="1018"/>
      <c r="CU47" s="1018"/>
      <c r="CV47" s="1017"/>
      <c r="CW47" s="1017"/>
    </row>
    <row r="48" spans="2:101" ht="3" customHeight="1">
      <c r="B48" s="3449"/>
      <c r="C48" s="3450"/>
      <c r="D48" s="3450"/>
      <c r="E48" s="3450"/>
      <c r="F48" s="3450"/>
      <c r="G48" s="3450"/>
      <c r="H48" s="3450"/>
      <c r="I48" s="3450"/>
      <c r="J48" s="3450"/>
      <c r="K48" s="3450"/>
      <c r="L48" s="3450"/>
      <c r="M48" s="3450"/>
      <c r="N48" s="3450"/>
      <c r="O48" s="3450"/>
      <c r="P48" s="3450"/>
      <c r="Q48" s="3450"/>
      <c r="R48" s="3450"/>
      <c r="S48" s="3450"/>
      <c r="T48" s="3450"/>
      <c r="U48" s="3450"/>
      <c r="V48" s="3450"/>
      <c r="W48" s="3450"/>
      <c r="X48" s="3450"/>
      <c r="Y48" s="3450"/>
      <c r="Z48" s="3450"/>
      <c r="AA48" s="3450"/>
      <c r="AB48" s="3450"/>
      <c r="AC48" s="3450"/>
      <c r="AD48" s="3450"/>
      <c r="AE48" s="3450"/>
      <c r="AF48" s="3450"/>
      <c r="AG48" s="3450"/>
      <c r="AH48" s="3450"/>
      <c r="AI48" s="3450"/>
      <c r="AJ48" s="3450"/>
      <c r="AK48" s="3450"/>
      <c r="AL48" s="3450"/>
      <c r="AM48" s="3450"/>
      <c r="AN48" s="3450"/>
      <c r="AO48" s="3450"/>
      <c r="AP48" s="3450"/>
      <c r="AQ48" s="3450"/>
      <c r="AR48" s="3450"/>
      <c r="AS48" s="3450"/>
      <c r="AT48" s="3450"/>
      <c r="AU48" s="3450"/>
      <c r="AV48" s="3450"/>
      <c r="AW48" s="3450"/>
      <c r="AX48" s="3450"/>
      <c r="AY48" s="3450"/>
      <c r="AZ48" s="3450"/>
      <c r="BA48" s="3450"/>
      <c r="BB48" s="3450"/>
      <c r="BC48" s="3450"/>
      <c r="BD48" s="3450"/>
      <c r="BE48" s="3450"/>
      <c r="BF48" s="3450"/>
      <c r="BG48" s="3450"/>
      <c r="BH48" s="3450"/>
      <c r="BI48" s="3450"/>
      <c r="BJ48" s="3450"/>
      <c r="BK48" s="3450"/>
      <c r="BL48" s="3450"/>
      <c r="BM48" s="3450"/>
      <c r="BN48" s="3450"/>
      <c r="BO48" s="3450"/>
      <c r="BP48" s="3450"/>
      <c r="BQ48" s="3450"/>
      <c r="BR48" s="3450"/>
      <c r="BS48" s="3450"/>
      <c r="BT48" s="3450"/>
      <c r="BU48" s="3451"/>
      <c r="CB48" s="936"/>
      <c r="CC48" s="936"/>
      <c r="CD48" s="916"/>
      <c r="CE48" s="936"/>
      <c r="CF48" s="936"/>
      <c r="CG48" s="936"/>
      <c r="CJ48" s="916"/>
      <c r="CK48" s="1003"/>
      <c r="CL48" s="1003"/>
      <c r="CM48" s="916" t="s">
        <v>2399</v>
      </c>
      <c r="CN48" s="1003"/>
      <c r="CO48" s="1003"/>
      <c r="CP48" s="1003"/>
      <c r="CQ48" s="1003"/>
      <c r="CR48" s="1003"/>
      <c r="CS48" s="1003"/>
      <c r="CT48" s="1003"/>
      <c r="CU48" s="1003"/>
      <c r="CV48" s="926"/>
      <c r="CW48" s="926"/>
    </row>
    <row r="49" spans="2:101" ht="13.5" customHeight="1">
      <c r="B49" s="927"/>
      <c r="C49" s="925"/>
      <c r="D49" s="3004" t="str">
        <f>IF(B2=0,"",IF(AC6="H","進相コンデンサ",""))</f>
        <v>進相コンデンサ</v>
      </c>
      <c r="E49" s="3005"/>
      <c r="F49" s="3005"/>
      <c r="G49" s="3005"/>
      <c r="H49" s="3005"/>
      <c r="I49" s="3005"/>
      <c r="J49" s="3005"/>
      <c r="K49" s="3006"/>
      <c r="L49" s="926"/>
      <c r="M49" s="926"/>
      <c r="N49" s="3004" t="str">
        <f>IF(D49="","","6KV  3φ3W")</f>
        <v>6KV  3φ3W</v>
      </c>
      <c r="O49" s="3005"/>
      <c r="P49" s="3005"/>
      <c r="Q49" s="3005"/>
      <c r="R49" s="3005"/>
      <c r="S49" s="3005"/>
      <c r="T49" s="3005"/>
      <c r="U49" s="3005"/>
      <c r="V49" s="3005"/>
      <c r="W49" s="3006"/>
      <c r="X49" s="926"/>
      <c r="Y49" s="2773" t="str">
        <f>IF(N49="","",IF(CE49&lt;=10," "&amp;10*BX39&amp;" Kvar ×1",IF(CE49&lt;=15," "&amp;15*BX39&amp;" Kvar ×1",IF(CE49&lt;=20," "&amp;20*BX39&amp;" Kvar ×1",IF(CE49&lt;=25," "&amp;25*BX39&amp;" Kvar ×1",IF(CE49&lt;=30," "&amp;30*BX39&amp;" Kvar ×1",IF(CE49&lt;=50," 50 Kvar ×1",IF(CE49&lt;=75," 75 Kvar ×1",IF(CE49&lt;=100," 50 Kvar ×2",IF(CE49&lt;=150," 50 Kvar ×3",IF(CE49&lt;=225," 75 Kvar ×3",IF(CE49&lt;=300,"100 Kvar ×3",IF(CE49&lt;=450,"150 Kvar ×3",IF(CE49&lt;=600,"200 Kvar ×3",IF(CE49&lt;=750,"250 Kvar ×3",IF(CE49&lt;=900,"300 Kvar ×3",IF(CE49&lt;=1200,"400 Kvar ×3",IF(CE49&lt;=1500,"500 Kvar ×3","---"))))))))))))))))))</f>
        <v>150 Kvar ×3</v>
      </c>
      <c r="Z49" s="2774"/>
      <c r="AA49" s="2774"/>
      <c r="AB49" s="2774"/>
      <c r="AC49" s="2774"/>
      <c r="AD49" s="2774"/>
      <c r="AE49" s="2774"/>
      <c r="AF49" s="2774"/>
      <c r="AG49" s="2774"/>
      <c r="AH49" s="2774"/>
      <c r="AI49" s="2774"/>
      <c r="AJ49" s="2774"/>
      <c r="AK49" s="2774"/>
      <c r="AL49" s="2774"/>
      <c r="AM49" s="2774"/>
      <c r="AN49" s="2774"/>
      <c r="AO49" s="2775"/>
      <c r="AP49" s="926"/>
      <c r="AQ49" s="3455" t="str">
        <f>IF(N49="","","改善前力率")</f>
        <v>改善前力率</v>
      </c>
      <c r="AR49" s="3456"/>
      <c r="AS49" s="3456"/>
      <c r="AT49" s="3456"/>
      <c r="AU49" s="3456"/>
      <c r="AV49" s="3456"/>
      <c r="AW49" s="3457">
        <f>IF(D49="","",CC49/SQRT(CC49^2+CD49^2))</f>
        <v>0.76657375102445191</v>
      </c>
      <c r="AX49" s="3458"/>
      <c r="AY49" s="3458"/>
      <c r="AZ49" s="3458"/>
      <c r="BA49" s="3459"/>
      <c r="BB49" s="926"/>
      <c r="BC49" s="3455" t="str">
        <f>IF(N49="","","改善目標％")</f>
        <v>改善目標％</v>
      </c>
      <c r="BD49" s="3456"/>
      <c r="BE49" s="3456"/>
      <c r="BF49" s="3456"/>
      <c r="BG49" s="3456"/>
      <c r="BH49" s="3456"/>
      <c r="BI49" s="3457">
        <f>IF(D49="","",IF(BO49&lt;&gt;"",BO49,0.85))</f>
        <v>0.85</v>
      </c>
      <c r="BJ49" s="3458"/>
      <c r="BK49" s="3458"/>
      <c r="BL49" s="3458"/>
      <c r="BM49" s="3459"/>
      <c r="BN49" s="1010" t="s">
        <v>2371</v>
      </c>
      <c r="BO49" s="3470"/>
      <c r="BP49" s="3471"/>
      <c r="BQ49" s="3471"/>
      <c r="BR49" s="3471"/>
      <c r="BS49" s="3472"/>
      <c r="BT49" s="925"/>
      <c r="BU49" s="924"/>
      <c r="BX49" s="995"/>
      <c r="CB49" s="936"/>
      <c r="CC49" s="1016">
        <f>SUM(CF21:CF36)</f>
        <v>1927.8414588246455</v>
      </c>
      <c r="CD49" s="1016">
        <f>SUM(CG21:CG36)</f>
        <v>1614.9463667592447</v>
      </c>
      <c r="CE49" s="1016">
        <f>IF(BI49="","",CD49-CC49*SQRT((1/BI49)^2-1))</f>
        <v>420.17753731389303</v>
      </c>
      <c r="CF49" s="1015">
        <f>IF(BX39=1,VLOOKUP(Y49,ＳＣ_50,2,FALSE),VLOOKUP(Y49,ＳＣ_60,2,FALSE))</f>
        <v>450</v>
      </c>
      <c r="CG49" s="1014"/>
      <c r="CH49" s="1014"/>
      <c r="CI49" s="1014"/>
      <c r="CK49" s="936"/>
      <c r="CL49" s="936"/>
      <c r="CM49" s="936"/>
      <c r="CN49" s="936"/>
      <c r="CO49" s="936"/>
      <c r="CP49" s="936"/>
      <c r="CQ49" s="936"/>
      <c r="CR49" s="936"/>
      <c r="CS49" s="936"/>
      <c r="CT49" s="936"/>
      <c r="CU49" s="936"/>
    </row>
    <row r="50" spans="2:101" ht="3" customHeight="1">
      <c r="B50" s="927"/>
      <c r="C50" s="925"/>
      <c r="D50" s="926"/>
      <c r="E50" s="926"/>
      <c r="F50" s="926"/>
      <c r="G50" s="926"/>
      <c r="H50" s="926"/>
      <c r="I50" s="926"/>
      <c r="J50" s="926"/>
      <c r="K50" s="926"/>
      <c r="L50" s="926"/>
      <c r="M50" s="926"/>
      <c r="N50" s="926"/>
      <c r="O50" s="926"/>
      <c r="P50" s="926"/>
      <c r="Q50" s="926"/>
      <c r="R50" s="926"/>
      <c r="S50" s="926"/>
      <c r="T50" s="926"/>
      <c r="U50" s="926"/>
      <c r="V50" s="926"/>
      <c r="W50" s="926"/>
      <c r="X50" s="926"/>
      <c r="Y50" s="926" t="s">
        <v>2403</v>
      </c>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6"/>
      <c r="AV50" s="926"/>
      <c r="AW50" s="926"/>
      <c r="AX50" s="926"/>
      <c r="AY50" s="926"/>
      <c r="AZ50" s="926"/>
      <c r="BA50" s="926"/>
      <c r="BB50" s="926"/>
      <c r="BC50" s="926"/>
      <c r="BD50" s="926"/>
      <c r="BE50" s="926"/>
      <c r="BF50" s="926"/>
      <c r="BG50" s="926"/>
      <c r="BH50" s="926"/>
      <c r="BI50" s="926"/>
      <c r="BJ50" s="926"/>
      <c r="BK50" s="926"/>
      <c r="BL50" s="926"/>
      <c r="BM50" s="926"/>
      <c r="BN50" s="926"/>
      <c r="BO50" s="926"/>
      <c r="BP50" s="926"/>
      <c r="BQ50" s="926"/>
      <c r="BR50" s="926"/>
      <c r="BS50" s="926"/>
      <c r="BT50" s="925"/>
      <c r="BU50" s="924"/>
      <c r="CB50" s="936"/>
      <c r="CC50" s="936"/>
      <c r="CD50" s="916"/>
      <c r="CE50" s="936"/>
      <c r="CF50" s="936"/>
      <c r="CG50" s="936"/>
      <c r="CJ50" s="916"/>
      <c r="CK50" s="936"/>
      <c r="CL50" s="936"/>
      <c r="CM50" s="936"/>
      <c r="CN50" s="936"/>
      <c r="CO50" s="936"/>
      <c r="CP50" s="936"/>
      <c r="CQ50" s="936"/>
      <c r="CR50" s="936"/>
      <c r="CS50" s="936"/>
      <c r="CT50" s="936"/>
      <c r="CU50" s="936"/>
    </row>
    <row r="51" spans="2:101" ht="13.5" customHeight="1">
      <c r="B51" s="927"/>
      <c r="C51" s="925"/>
      <c r="D51" s="3004" t="str">
        <f>IF(B2=0,"",IF(AND(AC6="H",OR(L59="C",L59="S")),"直列リアクトル",""))</f>
        <v>直列リアクトル</v>
      </c>
      <c r="E51" s="3005"/>
      <c r="F51" s="3005"/>
      <c r="G51" s="3005"/>
      <c r="H51" s="3005"/>
      <c r="I51" s="3005"/>
      <c r="J51" s="3005"/>
      <c r="K51" s="3006"/>
      <c r="L51" s="926"/>
      <c r="M51" s="926"/>
      <c r="N51" s="3004" t="str">
        <f>IF(D51="","","6KV  3φ3W")</f>
        <v>6KV  3φ3W</v>
      </c>
      <c r="O51" s="3005"/>
      <c r="P51" s="3005"/>
      <c r="Q51" s="3005"/>
      <c r="R51" s="3005"/>
      <c r="S51" s="3005"/>
      <c r="T51" s="3005"/>
      <c r="U51" s="3005"/>
      <c r="V51" s="3005"/>
      <c r="W51" s="3006"/>
      <c r="X51" s="926"/>
      <c r="Y51" s="3015" t="str">
        <f>IF(N49="","",LEFT(Y49,8)&amp;" "&amp;100*BI51&amp;"% ×"&amp;RIGHT(Y49,1))</f>
        <v>150 Kvar 6% ×3</v>
      </c>
      <c r="Z51" s="2774"/>
      <c r="AA51" s="2774"/>
      <c r="AB51" s="2774"/>
      <c r="AC51" s="2774"/>
      <c r="AD51" s="2774"/>
      <c r="AE51" s="2774"/>
      <c r="AF51" s="2774"/>
      <c r="AG51" s="2774"/>
      <c r="AH51" s="2774"/>
      <c r="AI51" s="2774"/>
      <c r="AJ51" s="2774"/>
      <c r="AK51" s="2774"/>
      <c r="AL51" s="2774"/>
      <c r="AM51" s="2774"/>
      <c r="AN51" s="2774"/>
      <c r="AO51" s="2775"/>
      <c r="AP51" s="926"/>
      <c r="AQ51" s="3455" t="str">
        <f>IF(N49="","","改善後力率")</f>
        <v>改善後力率</v>
      </c>
      <c r="AR51" s="3456"/>
      <c r="AS51" s="3456"/>
      <c r="AT51" s="3456"/>
      <c r="AU51" s="3456"/>
      <c r="AV51" s="3456"/>
      <c r="AW51" s="3457">
        <f>IF(AQ51="","",CC49/SQRT((CD49-CF49)^2+CC49^2))</f>
        <v>0.85587450686368949</v>
      </c>
      <c r="AX51" s="3458"/>
      <c r="AY51" s="3458"/>
      <c r="AZ51" s="3458"/>
      <c r="BA51" s="3459"/>
      <c r="BB51" s="926"/>
      <c r="BC51" s="3455" t="str">
        <f>IF(N51="","","SR／SC％")</f>
        <v>SR／SC％</v>
      </c>
      <c r="BD51" s="3456"/>
      <c r="BE51" s="3456"/>
      <c r="BF51" s="3456"/>
      <c r="BG51" s="3456"/>
      <c r="BH51" s="3456"/>
      <c r="BI51" s="3473">
        <f>IF(D51="","",IF(BO51&lt;&gt;"",BO51,0.06))</f>
        <v>0.06</v>
      </c>
      <c r="BJ51" s="3474"/>
      <c r="BK51" s="3474"/>
      <c r="BL51" s="3474"/>
      <c r="BM51" s="3475"/>
      <c r="BN51" s="1010" t="s">
        <v>2371</v>
      </c>
      <c r="BO51" s="3476"/>
      <c r="BP51" s="3477"/>
      <c r="BQ51" s="3477"/>
      <c r="BR51" s="3477"/>
      <c r="BS51" s="3478"/>
      <c r="BT51" s="925"/>
      <c r="BU51" s="924"/>
      <c r="BW51" s="1013"/>
      <c r="CB51" s="936"/>
      <c r="CC51" s="916" t="s">
        <v>2402</v>
      </c>
      <c r="CD51" s="936"/>
      <c r="CE51" s="1012">
        <f>IF(D51="","",CF49*BI51/RIGHT(Y49,1))</f>
        <v>9</v>
      </c>
      <c r="CF51" s="1011" t="str">
        <f>IF(CG51=0,CF49*BI51/RIGHT(Y49,1),CF49*BI51/RIGHT(Y49,1)&amp;".0")</f>
        <v>9.0</v>
      </c>
      <c r="CG51" s="972">
        <f>IF(CE51&lt;=10,10,IF(MOD(CE51,2)=1,0.5,0))</f>
        <v>10</v>
      </c>
      <c r="CK51" s="936"/>
      <c r="CL51" s="936"/>
      <c r="CM51" s="936"/>
      <c r="CN51" s="936"/>
      <c r="CO51" s="936"/>
      <c r="CP51" s="936"/>
      <c r="CQ51" s="936"/>
      <c r="CR51" s="936"/>
      <c r="CS51" s="936"/>
      <c r="CT51" s="936"/>
      <c r="CU51" s="936"/>
    </row>
    <row r="52" spans="2:101" ht="3" customHeight="1">
      <c r="B52" s="3449"/>
      <c r="C52" s="3450"/>
      <c r="D52" s="3450"/>
      <c r="E52" s="3450"/>
      <c r="F52" s="3450"/>
      <c r="G52" s="3450"/>
      <c r="H52" s="3450"/>
      <c r="I52" s="3450"/>
      <c r="J52" s="3450"/>
      <c r="K52" s="3450"/>
      <c r="L52" s="3450"/>
      <c r="M52" s="3450"/>
      <c r="N52" s="3450"/>
      <c r="O52" s="3450"/>
      <c r="P52" s="3450"/>
      <c r="Q52" s="3450"/>
      <c r="R52" s="3450"/>
      <c r="S52" s="3450"/>
      <c r="T52" s="3450"/>
      <c r="U52" s="3450"/>
      <c r="V52" s="3450"/>
      <c r="W52" s="3450"/>
      <c r="X52" s="3450"/>
      <c r="Y52" s="3450"/>
      <c r="Z52" s="3450"/>
      <c r="AA52" s="3450"/>
      <c r="AB52" s="3450"/>
      <c r="AC52" s="3450"/>
      <c r="AD52" s="3450"/>
      <c r="AE52" s="3450"/>
      <c r="AF52" s="3450"/>
      <c r="AG52" s="3450"/>
      <c r="AH52" s="3450"/>
      <c r="AI52" s="3450"/>
      <c r="AJ52" s="3450"/>
      <c r="AK52" s="3450"/>
      <c r="AL52" s="3450"/>
      <c r="AM52" s="3450"/>
      <c r="AN52" s="3450"/>
      <c r="AO52" s="3450"/>
      <c r="AP52" s="3450"/>
      <c r="AQ52" s="3450"/>
      <c r="AR52" s="3450"/>
      <c r="AS52" s="3450"/>
      <c r="AT52" s="3450"/>
      <c r="AU52" s="3450"/>
      <c r="AV52" s="3450"/>
      <c r="AW52" s="3450"/>
      <c r="AX52" s="3450"/>
      <c r="AY52" s="3450"/>
      <c r="AZ52" s="3450"/>
      <c r="BA52" s="3450"/>
      <c r="BB52" s="3450"/>
      <c r="BC52" s="3450"/>
      <c r="BD52" s="3450"/>
      <c r="BE52" s="3450"/>
      <c r="BF52" s="3450"/>
      <c r="BG52" s="3450"/>
      <c r="BH52" s="3450"/>
      <c r="BI52" s="3450"/>
      <c r="BJ52" s="3450"/>
      <c r="BK52" s="3450"/>
      <c r="BL52" s="3450"/>
      <c r="BM52" s="3450"/>
      <c r="BN52" s="3450"/>
      <c r="BO52" s="3450"/>
      <c r="BP52" s="3450"/>
      <c r="BQ52" s="3450"/>
      <c r="BR52" s="3450"/>
      <c r="BS52" s="3450"/>
      <c r="BT52" s="3450"/>
      <c r="BU52" s="3451"/>
      <c r="CB52" s="936"/>
      <c r="CC52" s="916" t="s">
        <v>2401</v>
      </c>
      <c r="CD52" s="916"/>
      <c r="CE52" s="936"/>
      <c r="CF52" s="936"/>
      <c r="CG52" s="936"/>
      <c r="CJ52" s="916"/>
      <c r="CK52" s="1003"/>
      <c r="CL52" s="1003"/>
      <c r="CM52" s="916" t="s">
        <v>2399</v>
      </c>
      <c r="CN52" s="1003"/>
      <c r="CO52" s="1003"/>
      <c r="CP52" s="1003"/>
      <c r="CQ52" s="1003"/>
      <c r="CR52" s="1003"/>
      <c r="CS52" s="1003"/>
      <c r="CT52" s="1003"/>
      <c r="CU52" s="1003"/>
      <c r="CV52" s="926"/>
      <c r="CW52" s="926"/>
    </row>
    <row r="53" spans="2:101" ht="13.5" customHeight="1">
      <c r="B53" s="927"/>
      <c r="C53" s="925"/>
      <c r="D53" s="3004" t="str">
        <f>IF(B2=0,"","想定契約電力")</f>
        <v>想定契約電力</v>
      </c>
      <c r="E53" s="3005"/>
      <c r="F53" s="3005"/>
      <c r="G53" s="3005"/>
      <c r="H53" s="3005"/>
      <c r="I53" s="3005"/>
      <c r="J53" s="3005"/>
      <c r="K53" s="3006"/>
      <c r="L53" s="926"/>
      <c r="M53" s="926"/>
      <c r="N53" s="3004" t="str">
        <f>IF(B2=0,"",IF(OR(Y53="",AC6="L"),"低圧受電","6KV  3φ3W"))</f>
        <v>6KV  3φ3W</v>
      </c>
      <c r="O53" s="3005"/>
      <c r="P53" s="3005"/>
      <c r="Q53" s="3005"/>
      <c r="R53" s="3005"/>
      <c r="S53" s="3005"/>
      <c r="T53" s="3005"/>
      <c r="U53" s="3005"/>
      <c r="V53" s="3005"/>
      <c r="W53" s="3006"/>
      <c r="X53" s="926"/>
      <c r="Y53" s="3460" t="str">
        <f>IF(B2=0,"",INT(CE53)&amp;".")</f>
        <v>1795.</v>
      </c>
      <c r="Z53" s="3461"/>
      <c r="AA53" s="3461"/>
      <c r="AB53" s="3461"/>
      <c r="AC53" s="3461"/>
      <c r="AD53" s="3461"/>
      <c r="AE53" s="3461"/>
      <c r="AF53" s="3465" t="str">
        <f>IF($B$2=0,"",RIGHT(100*CE53,2))</f>
        <v>00</v>
      </c>
      <c r="AG53" s="3465"/>
      <c r="AH53" s="3466" t="str">
        <f>IF(Y53="","","[KW]")</f>
        <v>[KW]</v>
      </c>
      <c r="AI53" s="3466"/>
      <c r="AJ53" s="3466"/>
      <c r="AK53" s="3466"/>
      <c r="AL53" s="3466"/>
      <c r="AM53" s="3466"/>
      <c r="AN53" s="3466"/>
      <c r="AO53" s="3467"/>
      <c r="AP53" s="926"/>
      <c r="AQ53" s="3468" t="str">
        <f>IF(AC6="L","","基本料金")</f>
        <v>基本料金</v>
      </c>
      <c r="AR53" s="3469"/>
      <c r="AS53" s="3469"/>
      <c r="AT53" s="3469"/>
      <c r="AU53" s="3469"/>
      <c r="AV53" s="3161">
        <f>IF(AC6="L","",IF(BA53&lt;&gt;"",BA53,VLOOKUP(CD6,電気料金,4,FALSE)))</f>
        <v>1058.4000000000001</v>
      </c>
      <c r="AW53" s="3162"/>
      <c r="AX53" s="3162"/>
      <c r="AY53" s="3163"/>
      <c r="AZ53" s="1010" t="s">
        <v>2371</v>
      </c>
      <c r="BA53" s="3190"/>
      <c r="BB53" s="3191"/>
      <c r="BC53" s="3191"/>
      <c r="BD53" s="3192"/>
      <c r="BE53" s="926"/>
      <c r="BF53" s="3441" t="str">
        <f>IF(OR(Y53="",BN53=""),"",IF(BN53&lt;0,"力率割引／月","力率割増／月"))</f>
        <v>力率割引／月</v>
      </c>
      <c r="BG53" s="3442"/>
      <c r="BH53" s="3442"/>
      <c r="BI53" s="3442"/>
      <c r="BJ53" s="3442"/>
      <c r="BK53" s="3442"/>
      <c r="BL53" s="3442"/>
      <c r="BM53" s="3443"/>
      <c r="BN53" s="3446">
        <f>IF(AC6="L","",-10*INT((((AW51*100)-85)*CE53*AV53/100)/10))</f>
        <v>-11160</v>
      </c>
      <c r="BO53" s="3447"/>
      <c r="BP53" s="3447"/>
      <c r="BQ53" s="3447"/>
      <c r="BR53" s="3447"/>
      <c r="BS53" s="3448"/>
      <c r="BT53" s="925"/>
      <c r="BU53" s="924"/>
      <c r="BW53" s="1009"/>
      <c r="BY53" s="1008"/>
      <c r="CB53" s="936"/>
      <c r="CC53" s="916" t="s">
        <v>2400</v>
      </c>
      <c r="CD53" s="936"/>
      <c r="CE53" s="1007">
        <f>IF(B2=0,"",IF(AC6="L",INT(84.6*CC13)/100,IF(CE47&gt;600,(CE47-600)*0.4+150+120+35+40,IF(CE47&gt;300,(CE47-300)*0.5+120+35+40,IF(CE47&gt;100,(CE47-100)*0.6+35+40,IF(CE47&gt;50,(CE47-50)*0.7+40,CE47*0.8))))))</f>
        <v>1795</v>
      </c>
      <c r="CF53" s="936"/>
      <c r="CG53" s="936"/>
      <c r="CK53" s="936"/>
      <c r="CL53" s="936"/>
      <c r="CM53" s="936"/>
      <c r="CN53" s="936"/>
      <c r="CO53" s="936"/>
      <c r="CP53" s="936"/>
      <c r="CQ53" s="936"/>
      <c r="CR53" s="936"/>
      <c r="CS53" s="936"/>
      <c r="CT53" s="936"/>
      <c r="CU53" s="936"/>
    </row>
    <row r="54" spans="2:101" ht="3" customHeight="1">
      <c r="B54" s="927"/>
      <c r="C54" s="925"/>
      <c r="D54" s="926"/>
      <c r="E54" s="926"/>
      <c r="F54" s="926"/>
      <c r="G54" s="926"/>
      <c r="H54" s="926"/>
      <c r="I54" s="926"/>
      <c r="J54" s="926"/>
      <c r="K54" s="926"/>
      <c r="L54" s="926"/>
      <c r="M54" s="926"/>
      <c r="N54" s="926"/>
      <c r="O54" s="926"/>
      <c r="P54" s="926"/>
      <c r="Q54" s="926"/>
      <c r="R54" s="926"/>
      <c r="S54" s="926"/>
      <c r="T54" s="926"/>
      <c r="U54" s="926"/>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6"/>
      <c r="AV54" s="926"/>
      <c r="AW54" s="926"/>
      <c r="AX54" s="926"/>
      <c r="AY54" s="926"/>
      <c r="AZ54" s="926"/>
      <c r="BA54" s="926"/>
      <c r="BB54" s="926"/>
      <c r="BC54" s="926"/>
      <c r="BD54" s="926"/>
      <c r="BE54" s="926"/>
      <c r="BF54" s="926"/>
      <c r="BG54" s="926"/>
      <c r="BH54" s="926"/>
      <c r="BI54" s="926"/>
      <c r="BJ54" s="926"/>
      <c r="BK54" s="926"/>
      <c r="BL54" s="926"/>
      <c r="BM54" s="926"/>
      <c r="BN54" s="926"/>
      <c r="BO54" s="926"/>
      <c r="BP54" s="926"/>
      <c r="BQ54" s="926"/>
      <c r="BR54" s="926"/>
      <c r="BS54" s="926"/>
      <c r="BT54" s="925"/>
      <c r="BU54" s="924"/>
      <c r="BW54" s="1006"/>
      <c r="CC54" s="916"/>
      <c r="CK54" s="936"/>
      <c r="CL54" s="936"/>
      <c r="CM54" s="936"/>
      <c r="CN54" s="936"/>
      <c r="CO54" s="936"/>
      <c r="CP54" s="936"/>
      <c r="CQ54" s="936"/>
      <c r="CR54" s="936"/>
      <c r="CS54" s="936"/>
      <c r="CT54" s="936"/>
      <c r="CU54" s="936"/>
    </row>
    <row r="55" spans="2:101" ht="13.5" customHeight="1">
      <c r="B55" s="927"/>
      <c r="C55" s="925"/>
      <c r="D55" s="3004" t="str">
        <f>IF(B2=0,"","年間電気料金")</f>
        <v>年間電気料金</v>
      </c>
      <c r="E55" s="3005"/>
      <c r="F55" s="3005"/>
      <c r="G55" s="3005"/>
      <c r="H55" s="3005"/>
      <c r="I55" s="3005"/>
      <c r="J55" s="3005"/>
      <c r="K55" s="3006"/>
      <c r="L55" s="926"/>
      <c r="M55" s="926"/>
      <c r="N55" s="3435" t="str">
        <f>IF(D55="","","年間稼働日数")</f>
        <v>年間稼働日数</v>
      </c>
      <c r="O55" s="3436"/>
      <c r="P55" s="3436"/>
      <c r="Q55" s="3436"/>
      <c r="R55" s="3436"/>
      <c r="S55" s="3436"/>
      <c r="T55" s="3437"/>
      <c r="U55" s="3227">
        <f>IF(AC6="L","",IF(Y55="",250,Y55))</f>
        <v>250</v>
      </c>
      <c r="V55" s="3228"/>
      <c r="W55" s="3229"/>
      <c r="X55" s="928" t="s">
        <v>2371</v>
      </c>
      <c r="Y55" s="3438"/>
      <c r="Z55" s="3439"/>
      <c r="AA55" s="3440"/>
      <c r="AB55" s="3441" t="str">
        <f>IF(D55="","","1日稼働時間")</f>
        <v>1日稼働時間</v>
      </c>
      <c r="AC55" s="3442"/>
      <c r="AD55" s="3442"/>
      <c r="AE55" s="3442"/>
      <c r="AF55" s="3442"/>
      <c r="AG55" s="3442"/>
      <c r="AH55" s="3443"/>
      <c r="AI55" s="3008">
        <f>IF(U55="","",IF(AL55="",8,AL55))</f>
        <v>8</v>
      </c>
      <c r="AJ55" s="3010"/>
      <c r="AK55" s="928" t="s">
        <v>2371</v>
      </c>
      <c r="AL55" s="3444"/>
      <c r="AM55" s="3445"/>
      <c r="AN55" s="3462" t="str">
        <f>IF(D55="","","基本")</f>
        <v>基本</v>
      </c>
      <c r="AO55" s="3463"/>
      <c r="AP55" s="3464"/>
      <c r="AQ55" s="3426">
        <f>IF(OR(W6="低圧受電",U55=""),"",12*CE53*AV53+12*BN53)</f>
        <v>22664016.000000004</v>
      </c>
      <c r="AR55" s="3427"/>
      <c r="AS55" s="3427"/>
      <c r="AT55" s="3427"/>
      <c r="AU55" s="3427"/>
      <c r="AV55" s="3427"/>
      <c r="AW55" s="3427"/>
      <c r="AX55" s="3428"/>
      <c r="AY55" s="3429" t="str">
        <f>IF(D55="","","電力")</f>
        <v>電力</v>
      </c>
      <c r="AZ55" s="3430"/>
      <c r="BA55" s="3431"/>
      <c r="BB55" s="3426">
        <f>IF(U55="","",(U55*AI55*VLOOKUP(CD6,電気料金,5,FALSE)*CE53)/1.5+U55*(24-AI55)*CE53*0.02)</f>
        <v>43175733.333333336</v>
      </c>
      <c r="BC55" s="3427"/>
      <c r="BD55" s="3427"/>
      <c r="BE55" s="3427"/>
      <c r="BF55" s="3427"/>
      <c r="BG55" s="3427"/>
      <c r="BH55" s="3427"/>
      <c r="BI55" s="3427"/>
      <c r="BJ55" s="3432" t="str">
        <f>IF(D55="","","計")</f>
        <v>計</v>
      </c>
      <c r="BK55" s="3433"/>
      <c r="BL55" s="3426">
        <f>IF(U55="","",AQ55+BB55)</f>
        <v>65839749.333333343</v>
      </c>
      <c r="BM55" s="3427"/>
      <c r="BN55" s="3427"/>
      <c r="BO55" s="3427"/>
      <c r="BP55" s="3427"/>
      <c r="BQ55" s="3427"/>
      <c r="BR55" s="3427"/>
      <c r="BS55" s="3434"/>
      <c r="BT55" s="925"/>
      <c r="BU55" s="924"/>
      <c r="BW55" s="1005"/>
      <c r="BX55" s="1005"/>
      <c r="BY55" s="1005"/>
      <c r="BZ55" s="1005"/>
      <c r="CA55" s="1005"/>
      <c r="CB55" s="1005"/>
      <c r="CC55" s="1005"/>
      <c r="CE55" s="1004"/>
      <c r="CK55" s="936"/>
      <c r="CL55" s="936"/>
      <c r="CM55" s="936"/>
      <c r="CN55" s="936"/>
      <c r="CO55" s="936"/>
      <c r="CP55" s="936"/>
      <c r="CQ55" s="936"/>
      <c r="CR55" s="936"/>
      <c r="CS55" s="936"/>
      <c r="CT55" s="936"/>
      <c r="CU55" s="936"/>
    </row>
    <row r="56" spans="2:101" ht="3" customHeight="1">
      <c r="B56" s="3449"/>
      <c r="C56" s="3450"/>
      <c r="D56" s="3450"/>
      <c r="E56" s="3450"/>
      <c r="F56" s="3450"/>
      <c r="G56" s="3450"/>
      <c r="H56" s="3450"/>
      <c r="I56" s="3450"/>
      <c r="J56" s="3450"/>
      <c r="K56" s="3450"/>
      <c r="L56" s="3450"/>
      <c r="M56" s="3450"/>
      <c r="N56" s="3450"/>
      <c r="O56" s="3450"/>
      <c r="P56" s="3450"/>
      <c r="Q56" s="3450"/>
      <c r="R56" s="3450"/>
      <c r="S56" s="3450"/>
      <c r="T56" s="3450"/>
      <c r="U56" s="3450"/>
      <c r="V56" s="3450"/>
      <c r="W56" s="3450"/>
      <c r="X56" s="3450"/>
      <c r="Y56" s="3450"/>
      <c r="Z56" s="3450"/>
      <c r="AA56" s="3450"/>
      <c r="AB56" s="3450"/>
      <c r="AC56" s="3450"/>
      <c r="AD56" s="3450"/>
      <c r="AE56" s="3450"/>
      <c r="AF56" s="3450"/>
      <c r="AG56" s="3450"/>
      <c r="AH56" s="3450"/>
      <c r="AI56" s="3450"/>
      <c r="AJ56" s="3450"/>
      <c r="AK56" s="3450"/>
      <c r="AL56" s="3450"/>
      <c r="AM56" s="3450"/>
      <c r="AN56" s="3450"/>
      <c r="AO56" s="3450"/>
      <c r="AP56" s="3450"/>
      <c r="AQ56" s="3450"/>
      <c r="AR56" s="3450"/>
      <c r="AS56" s="3450"/>
      <c r="AT56" s="3450"/>
      <c r="AU56" s="3450"/>
      <c r="AV56" s="3450"/>
      <c r="AW56" s="3450"/>
      <c r="AX56" s="3450"/>
      <c r="AY56" s="3450"/>
      <c r="AZ56" s="3450"/>
      <c r="BA56" s="3450"/>
      <c r="BB56" s="3450"/>
      <c r="BC56" s="3450"/>
      <c r="BD56" s="3450"/>
      <c r="BE56" s="3450"/>
      <c r="BF56" s="3450"/>
      <c r="BG56" s="3450"/>
      <c r="BH56" s="3450"/>
      <c r="BI56" s="3450"/>
      <c r="BJ56" s="3450"/>
      <c r="BK56" s="3450"/>
      <c r="BL56" s="3450"/>
      <c r="BM56" s="3450"/>
      <c r="BN56" s="3450"/>
      <c r="BO56" s="3450"/>
      <c r="BP56" s="3450"/>
      <c r="BQ56" s="3450"/>
      <c r="BR56" s="3450"/>
      <c r="BS56" s="3450"/>
      <c r="BT56" s="3450"/>
      <c r="BU56" s="3451"/>
      <c r="CC56" s="936"/>
      <c r="CD56" s="916"/>
      <c r="CJ56" s="916"/>
      <c r="CK56" s="1003"/>
      <c r="CL56" s="1003"/>
      <c r="CM56" s="916" t="s">
        <v>2399</v>
      </c>
      <c r="CN56" s="1003"/>
      <c r="CO56" s="1003"/>
      <c r="CP56" s="1003"/>
      <c r="CQ56" s="1003"/>
      <c r="CR56" s="1003"/>
      <c r="CS56" s="1003"/>
      <c r="CT56" s="1003"/>
      <c r="CU56" s="1003"/>
      <c r="CV56" s="926"/>
      <c r="CW56" s="926"/>
    </row>
    <row r="57" spans="2:101" ht="9" customHeight="1" thickBot="1">
      <c r="B57" s="1002"/>
      <c r="C57" s="1001"/>
      <c r="D57" s="1001"/>
      <c r="E57" s="1001"/>
      <c r="F57" s="1001"/>
      <c r="G57" s="1001"/>
      <c r="H57" s="1001"/>
      <c r="I57" s="1001"/>
      <c r="J57" s="1001"/>
      <c r="K57" s="1001"/>
      <c r="L57" s="1001"/>
      <c r="M57" s="1001"/>
      <c r="N57" s="1001"/>
      <c r="O57" s="1001"/>
      <c r="P57" s="1001"/>
      <c r="Q57" s="1001"/>
      <c r="R57" s="1001"/>
      <c r="S57" s="1001"/>
      <c r="T57" s="1001"/>
      <c r="U57" s="1001"/>
      <c r="V57" s="1001"/>
      <c r="W57" s="1001"/>
      <c r="X57" s="1001"/>
      <c r="Y57" s="1001"/>
      <c r="Z57" s="1001"/>
      <c r="AA57" s="1001"/>
      <c r="AB57" s="1001"/>
      <c r="AC57" s="1001"/>
      <c r="AD57" s="1001"/>
      <c r="AE57" s="1001"/>
      <c r="AF57" s="1001"/>
      <c r="AG57" s="1001"/>
      <c r="AH57" s="1001"/>
      <c r="AI57" s="1001"/>
      <c r="AJ57" s="1001"/>
      <c r="AK57" s="1001"/>
      <c r="AL57" s="1001"/>
      <c r="AM57" s="1001"/>
      <c r="AN57" s="1001"/>
      <c r="AO57" s="1001"/>
      <c r="AP57" s="1001"/>
      <c r="AQ57" s="1001"/>
      <c r="AR57" s="1001"/>
      <c r="AS57" s="1001"/>
      <c r="AT57" s="1001"/>
      <c r="AU57" s="1001"/>
      <c r="AV57" s="1001"/>
      <c r="AW57" s="1001"/>
      <c r="AX57" s="1001"/>
      <c r="AY57" s="1001"/>
      <c r="AZ57" s="1001"/>
      <c r="BA57" s="1001"/>
      <c r="BB57" s="1001"/>
      <c r="BC57" s="1001"/>
      <c r="BD57" s="1001"/>
      <c r="BE57" s="1001"/>
      <c r="BF57" s="1001"/>
      <c r="BG57" s="1001"/>
      <c r="BH57" s="1001"/>
      <c r="BI57" s="1001"/>
      <c r="BJ57" s="1001"/>
      <c r="BK57" s="1001"/>
      <c r="BL57" s="1001"/>
      <c r="BM57" s="1001"/>
      <c r="BN57" s="1001"/>
      <c r="BO57" s="1001"/>
      <c r="BP57" s="1001"/>
      <c r="BQ57" s="1001"/>
      <c r="BR57" s="1001"/>
      <c r="BS57" s="1001"/>
      <c r="BT57" s="1001"/>
      <c r="BU57" s="1000"/>
      <c r="CK57" s="936"/>
      <c r="CL57" s="936"/>
      <c r="CM57" s="936"/>
      <c r="CN57" s="936"/>
      <c r="CO57" s="936"/>
      <c r="CP57" s="936"/>
      <c r="CQ57" s="936"/>
      <c r="CR57" s="936"/>
      <c r="CS57" s="936"/>
      <c r="CT57" s="936"/>
      <c r="CU57" s="936"/>
    </row>
    <row r="58" spans="2:101" ht="9.75" customHeight="1" thickTop="1">
      <c r="B58" s="999"/>
      <c r="C58" s="998"/>
      <c r="D58" s="998"/>
      <c r="E58" s="998"/>
      <c r="F58" s="998"/>
      <c r="G58" s="998"/>
      <c r="H58" s="998"/>
      <c r="I58" s="998"/>
      <c r="J58" s="998"/>
      <c r="K58" s="998"/>
      <c r="L58" s="998"/>
      <c r="M58" s="998"/>
      <c r="N58" s="998"/>
      <c r="O58" s="998"/>
      <c r="P58" s="998"/>
      <c r="Q58" s="998"/>
      <c r="R58" s="998"/>
      <c r="S58" s="998"/>
      <c r="T58" s="998"/>
      <c r="U58" s="998"/>
      <c r="V58" s="998"/>
      <c r="W58" s="998"/>
      <c r="X58" s="998"/>
      <c r="Y58" s="998"/>
      <c r="Z58" s="998"/>
      <c r="AA58" s="998"/>
      <c r="AB58" s="998"/>
      <c r="AC58" s="998"/>
      <c r="AD58" s="998"/>
      <c r="AE58" s="998"/>
      <c r="AF58" s="998"/>
      <c r="AG58" s="998"/>
      <c r="AH58" s="998"/>
      <c r="AI58" s="998"/>
      <c r="AJ58" s="998"/>
      <c r="AK58" s="998"/>
      <c r="AL58" s="998"/>
      <c r="AM58" s="998"/>
      <c r="AN58" s="998"/>
      <c r="AO58" s="998"/>
      <c r="AP58" s="998"/>
      <c r="AQ58" s="998"/>
      <c r="AR58" s="998"/>
      <c r="AS58" s="998"/>
      <c r="AT58" s="998"/>
      <c r="AU58" s="998"/>
      <c r="AV58" s="998"/>
      <c r="AW58" s="998"/>
      <c r="AX58" s="998"/>
      <c r="AY58" s="998"/>
      <c r="AZ58" s="998"/>
      <c r="BA58" s="998"/>
      <c r="BB58" s="998"/>
      <c r="BC58" s="998"/>
      <c r="BD58" s="998"/>
      <c r="BE58" s="998"/>
      <c r="BF58" s="998"/>
      <c r="BG58" s="998"/>
      <c r="BH58" s="998"/>
      <c r="BI58" s="998"/>
      <c r="BJ58" s="998"/>
      <c r="BK58" s="998"/>
      <c r="BL58" s="998"/>
      <c r="BM58" s="998"/>
      <c r="BN58" s="998"/>
      <c r="BO58" s="998"/>
      <c r="BP58" s="998"/>
      <c r="BQ58" s="998"/>
      <c r="BR58" s="998"/>
      <c r="BS58" s="998"/>
      <c r="BT58" s="998"/>
      <c r="BU58" s="997"/>
      <c r="CC58" s="936"/>
      <c r="CD58" s="936"/>
      <c r="CE58" s="936"/>
    </row>
    <row r="59" spans="2:101" ht="13.5" customHeight="1">
      <c r="B59" s="927"/>
      <c r="C59" s="925"/>
      <c r="D59" s="3004" t="str">
        <f>IF(AC6="H","高圧受電盤","")</f>
        <v>高圧受電盤</v>
      </c>
      <c r="E59" s="3005"/>
      <c r="F59" s="3005"/>
      <c r="G59" s="3005"/>
      <c r="H59" s="3005"/>
      <c r="I59" s="3005"/>
      <c r="J59" s="3005"/>
      <c r="K59" s="3006"/>
      <c r="L59" s="996" t="str">
        <f>IF(T59="CB 受電","C","S")</f>
        <v>C</v>
      </c>
      <c r="M59" s="926"/>
      <c r="N59" s="3004" t="str">
        <f>IF(D59="","","受電方式")</f>
        <v>受電方式</v>
      </c>
      <c r="O59" s="3005"/>
      <c r="P59" s="3005"/>
      <c r="Q59" s="3005"/>
      <c r="R59" s="3005"/>
      <c r="S59" s="3006"/>
      <c r="T59" s="3452" t="str">
        <f>J6</f>
        <v>CB 受電</v>
      </c>
      <c r="U59" s="3452"/>
      <c r="V59" s="3452"/>
      <c r="W59" s="3452"/>
      <c r="X59" s="3452"/>
      <c r="Y59" s="3452"/>
      <c r="Z59" s="926"/>
      <c r="AA59" s="3004" t="str">
        <f>IF(D59="","","受電電圧")</f>
        <v>受電電圧</v>
      </c>
      <c r="AB59" s="3005"/>
      <c r="AC59" s="3005"/>
      <c r="AD59" s="3005"/>
      <c r="AE59" s="3005"/>
      <c r="AF59" s="3006"/>
      <c r="AG59" s="3452" t="str">
        <f>IF(AC6="H","6600 V","")</f>
        <v>6600 V</v>
      </c>
      <c r="AH59" s="3452"/>
      <c r="AI59" s="3452"/>
      <c r="AJ59" s="3452"/>
      <c r="AK59" s="3452"/>
      <c r="AL59" s="3452"/>
      <c r="AM59" s="926"/>
      <c r="AN59" s="3453" t="str">
        <f>IF(B2=0,"","周波数")</f>
        <v>周波数</v>
      </c>
      <c r="AO59" s="3454"/>
      <c r="AP59" s="3454"/>
      <c r="AQ59" s="3454"/>
      <c r="AR59" s="3454"/>
      <c r="AS59" s="3161" t="str">
        <f>IF(B2=0,"",IF(OR(LEFT(AF6,2)="北海",LEFT(AF6,2)="東北",LEFT(AF6,2)="東京"),"50 Hz","60 Hz"))</f>
        <v>60 Hz</v>
      </c>
      <c r="AT59" s="3162"/>
      <c r="AU59" s="3162"/>
      <c r="AV59" s="3163"/>
      <c r="AW59" s="925"/>
      <c r="AX59" s="925"/>
      <c r="AY59" s="925"/>
      <c r="AZ59" s="925"/>
      <c r="BA59" s="925"/>
      <c r="BB59" s="925"/>
      <c r="BC59" s="938"/>
      <c r="BD59" s="938"/>
      <c r="BE59" s="938"/>
      <c r="BF59" s="938"/>
      <c r="BG59" s="938"/>
      <c r="BH59" s="938"/>
      <c r="BI59" s="938"/>
      <c r="BJ59" s="938"/>
      <c r="BK59" s="938"/>
      <c r="BL59" s="938"/>
      <c r="BM59" s="938"/>
      <c r="BN59" s="938"/>
      <c r="BO59" s="938"/>
      <c r="BP59" s="925"/>
      <c r="BQ59" s="925"/>
      <c r="BR59" s="925"/>
      <c r="BS59" s="925"/>
      <c r="BT59" s="925"/>
      <c r="BU59" s="924"/>
      <c r="BW59" s="995"/>
      <c r="CC59" s="936"/>
      <c r="CD59" s="916" t="s">
        <v>2398</v>
      </c>
      <c r="CE59" s="936"/>
      <c r="CJ59" s="916"/>
    </row>
    <row r="60" spans="2:101" ht="3" customHeight="1">
      <c r="B60" s="927"/>
      <c r="C60" s="925"/>
      <c r="D60" s="925"/>
      <c r="E60" s="925"/>
      <c r="F60" s="925"/>
      <c r="G60" s="925"/>
      <c r="H60" s="925"/>
      <c r="I60" s="925"/>
      <c r="J60" s="925"/>
      <c r="K60" s="925"/>
      <c r="L60" s="925"/>
      <c r="M60" s="925"/>
      <c r="N60" s="925"/>
      <c r="O60" s="925"/>
      <c r="P60" s="925"/>
      <c r="Q60" s="925"/>
      <c r="R60" s="925"/>
      <c r="S60" s="925"/>
      <c r="T60" s="925"/>
      <c r="U60" s="925"/>
      <c r="V60" s="925"/>
      <c r="W60" s="925"/>
      <c r="X60" s="925"/>
      <c r="Y60" s="935"/>
      <c r="Z60" s="935"/>
      <c r="AA60" s="935"/>
      <c r="AB60" s="935"/>
      <c r="AC60" s="935"/>
      <c r="AD60" s="935"/>
      <c r="AE60" s="935"/>
      <c r="AF60" s="935"/>
      <c r="AG60" s="935"/>
      <c r="AH60" s="935"/>
      <c r="AI60" s="935"/>
      <c r="AJ60" s="935"/>
      <c r="AK60" s="935"/>
      <c r="AL60" s="935"/>
      <c r="AM60" s="935"/>
      <c r="AN60" s="935"/>
      <c r="AO60" s="935"/>
      <c r="AP60" s="925"/>
      <c r="AQ60" s="925"/>
      <c r="AR60" s="925"/>
      <c r="AS60" s="925"/>
      <c r="AT60" s="925"/>
      <c r="AU60" s="925"/>
      <c r="AV60" s="925"/>
      <c r="AW60" s="925"/>
      <c r="AX60" s="925"/>
      <c r="AY60" s="926"/>
      <c r="AZ60" s="926"/>
      <c r="BA60" s="926"/>
      <c r="BB60" s="926"/>
      <c r="BC60" s="926"/>
      <c r="BD60" s="925"/>
      <c r="BE60" s="925"/>
      <c r="BF60" s="925"/>
      <c r="BG60" s="925"/>
      <c r="BH60" s="925"/>
      <c r="BI60" s="925"/>
      <c r="BJ60" s="925"/>
      <c r="BK60" s="925"/>
      <c r="BL60" s="925"/>
      <c r="BM60" s="925"/>
      <c r="BN60" s="925"/>
      <c r="BO60" s="925"/>
      <c r="BP60" s="925"/>
      <c r="BQ60" s="925"/>
      <c r="BR60" s="925"/>
      <c r="BS60" s="925"/>
      <c r="BT60" s="925"/>
      <c r="BU60" s="924"/>
      <c r="CC60" s="936"/>
      <c r="CD60" s="916" t="s">
        <v>2397</v>
      </c>
      <c r="CE60" s="936"/>
      <c r="CJ60" s="916"/>
    </row>
    <row r="61" spans="2:101" ht="13.5" customHeight="1">
      <c r="B61" s="927"/>
      <c r="C61" s="925"/>
      <c r="D61" s="925"/>
      <c r="E61" s="925"/>
      <c r="F61" s="925"/>
      <c r="G61" s="925"/>
      <c r="H61" s="925"/>
      <c r="I61" s="925"/>
      <c r="J61" s="925"/>
      <c r="K61" s="925"/>
      <c r="L61" s="925"/>
      <c r="M61" s="925"/>
      <c r="N61" s="3004" t="str">
        <f>IF(D59="","",IF(L59="C","CB一次側　計器・表示灯・継電器",IF(L59="S","受電盤 一次側  計 器・継電器")))</f>
        <v>CB一次側　計器・表示灯・継電器</v>
      </c>
      <c r="O61" s="3005"/>
      <c r="P61" s="3005"/>
      <c r="Q61" s="3005"/>
      <c r="R61" s="3005"/>
      <c r="S61" s="3005"/>
      <c r="T61" s="3005"/>
      <c r="U61" s="3005"/>
      <c r="V61" s="3005"/>
      <c r="W61" s="3005"/>
      <c r="X61" s="3005"/>
      <c r="Y61" s="3005"/>
      <c r="Z61" s="3005"/>
      <c r="AA61" s="3005"/>
      <c r="AB61" s="3005"/>
      <c r="AC61" s="3005"/>
      <c r="AD61" s="3006"/>
      <c r="AE61" s="925"/>
      <c r="AF61" s="3373" t="str">
        <f>IF(AC6="H","2VT","")</f>
        <v>2VT</v>
      </c>
      <c r="AG61" s="3374"/>
      <c r="AH61" s="3375"/>
      <c r="AI61" s="1707"/>
      <c r="AJ61" s="3373" t="str">
        <f>IF(AC6="H","VT-T","")</f>
        <v>VT-T</v>
      </c>
      <c r="AK61" s="3374"/>
      <c r="AL61" s="3375"/>
      <c r="AM61" s="1707"/>
      <c r="AN61" s="3413" t="str">
        <f>IF(AC6="H","Ⓥ","")</f>
        <v>Ⓥ</v>
      </c>
      <c r="AO61" s="3414"/>
      <c r="AP61" s="3415"/>
      <c r="AQ61" s="1707"/>
      <c r="AR61" s="3416" t="str">
        <f>IF(AC6="H","VCT","")</f>
        <v>VCT</v>
      </c>
      <c r="AS61" s="3417"/>
      <c r="AT61" s="3418"/>
      <c r="AU61" s="1707"/>
      <c r="AV61" s="3413" t="str">
        <f>IF(AC6="H","ZCT","")</f>
        <v>ZCT</v>
      </c>
      <c r="AW61" s="3414"/>
      <c r="AX61" s="3415"/>
      <c r="AY61" s="1707"/>
      <c r="AZ61" s="3413" t="str">
        <f>IF(AC6="L","",IF(VALUE([7]引込!Y8)&gt;=70,"67G","51G"))</f>
        <v>67G</v>
      </c>
      <c r="BA61" s="3414"/>
      <c r="BB61" s="3415"/>
      <c r="BC61" s="1707"/>
      <c r="BD61" s="3373" t="str">
        <f>IF(AV61&lt;&gt;"","ZCTT","")</f>
        <v>ZCTT</v>
      </c>
      <c r="BE61" s="3374"/>
      <c r="BF61" s="3375"/>
      <c r="BG61" s="1707"/>
      <c r="BH61" s="3416" t="str">
        <f>IF(B2=0,"",IF(VALUE(LEFT(Y53,4))&gt;=1000,"27",""))</f>
        <v>27</v>
      </c>
      <c r="BI61" s="3417"/>
      <c r="BJ61" s="3418"/>
      <c r="BK61" s="1707"/>
      <c r="BL61" s="3413" t="str">
        <f>IF(B2=0,"",IF(VALUE(LEFT(Y53,4))&gt;=1000,"59",""))</f>
        <v>59</v>
      </c>
      <c r="BM61" s="3414"/>
      <c r="BN61" s="3415"/>
      <c r="BO61" s="1707"/>
      <c r="BP61" s="3413" t="str">
        <f>IF(B2=0,"",IF(VALUE(LEFT(Y53,4))&gt;=1000,"Hz",""))</f>
        <v>Hz</v>
      </c>
      <c r="BQ61" s="3414"/>
      <c r="BR61" s="3415"/>
      <c r="BS61" s="925"/>
      <c r="BT61" s="925"/>
      <c r="BU61" s="924"/>
      <c r="BW61" s="995"/>
      <c r="CC61" s="936"/>
      <c r="CD61" s="916" t="s">
        <v>2396</v>
      </c>
      <c r="CE61" s="936"/>
      <c r="CJ61" s="916"/>
    </row>
    <row r="62" spans="2:101" ht="3" customHeight="1">
      <c r="B62" s="927"/>
      <c r="C62" s="925"/>
      <c r="D62" s="925"/>
      <c r="E62" s="925"/>
      <c r="F62" s="925"/>
      <c r="G62" s="925"/>
      <c r="H62" s="925"/>
      <c r="I62" s="925"/>
      <c r="J62" s="925"/>
      <c r="K62" s="925"/>
      <c r="L62" s="925"/>
      <c r="M62" s="925"/>
      <c r="N62" s="925"/>
      <c r="O62" s="925"/>
      <c r="P62" s="925"/>
      <c r="Q62" s="925"/>
      <c r="R62" s="925"/>
      <c r="S62" s="925"/>
      <c r="T62" s="925"/>
      <c r="U62" s="925"/>
      <c r="V62" s="925"/>
      <c r="W62" s="925"/>
      <c r="X62" s="925"/>
      <c r="Y62" s="935"/>
      <c r="Z62" s="935"/>
      <c r="AA62" s="935"/>
      <c r="AB62" s="935"/>
      <c r="AC62" s="935"/>
      <c r="AD62" s="935"/>
      <c r="AE62" s="935"/>
      <c r="AF62" s="1707"/>
      <c r="AG62" s="1707"/>
      <c r="AH62" s="1707"/>
      <c r="AI62" s="1707"/>
      <c r="AJ62" s="1707"/>
      <c r="AK62" s="1707"/>
      <c r="AL62" s="1707"/>
      <c r="AM62" s="1707"/>
      <c r="AN62" s="1707"/>
      <c r="AO62" s="1707"/>
      <c r="AP62" s="1707"/>
      <c r="AQ62" s="1707"/>
      <c r="AR62" s="1707"/>
      <c r="AS62" s="1707"/>
      <c r="AT62" s="1707"/>
      <c r="AU62" s="1707"/>
      <c r="AV62" s="1707"/>
      <c r="AW62" s="1707"/>
      <c r="AX62" s="1707"/>
      <c r="AY62" s="1706"/>
      <c r="AZ62" s="1706"/>
      <c r="BA62" s="1706"/>
      <c r="BB62" s="1706"/>
      <c r="BC62" s="1706"/>
      <c r="BD62" s="1707"/>
      <c r="BE62" s="1707"/>
      <c r="BF62" s="1707"/>
      <c r="BG62" s="1707"/>
      <c r="BH62" s="1707"/>
      <c r="BI62" s="1707"/>
      <c r="BJ62" s="1707"/>
      <c r="BK62" s="1707"/>
      <c r="BL62" s="1707"/>
      <c r="BM62" s="1707"/>
      <c r="BN62" s="1707"/>
      <c r="BO62" s="1707"/>
      <c r="BP62" s="1707"/>
      <c r="BQ62" s="1707"/>
      <c r="BR62" s="1707"/>
      <c r="BS62" s="925"/>
      <c r="BT62" s="925"/>
      <c r="BU62" s="924"/>
      <c r="CC62" s="936"/>
      <c r="CD62" s="916" t="s">
        <v>2395</v>
      </c>
      <c r="CE62" s="936"/>
    </row>
    <row r="63" spans="2:101" ht="15" customHeight="1">
      <c r="B63" s="927"/>
      <c r="C63" s="925"/>
      <c r="D63" s="925"/>
      <c r="E63" s="925"/>
      <c r="F63" s="925"/>
      <c r="G63" s="925"/>
      <c r="H63" s="925"/>
      <c r="I63" s="925"/>
      <c r="J63" s="925"/>
      <c r="K63" s="925"/>
      <c r="L63" s="925"/>
      <c r="M63" s="925"/>
      <c r="N63" s="3004" t="str">
        <f>IF(D59="","",IF(L59="C","CB二次側　計器・表示灯・継電器",IF(L59="S","受電盤 二次側　計 器・継電器")))</f>
        <v>CB二次側　計器・表示灯・継電器</v>
      </c>
      <c r="O63" s="3005"/>
      <c r="P63" s="3005"/>
      <c r="Q63" s="3005"/>
      <c r="R63" s="3005"/>
      <c r="S63" s="3005"/>
      <c r="T63" s="3005"/>
      <c r="U63" s="3005"/>
      <c r="V63" s="3005"/>
      <c r="W63" s="3005"/>
      <c r="X63" s="3005"/>
      <c r="Y63" s="3005"/>
      <c r="Z63" s="3005"/>
      <c r="AA63" s="3005"/>
      <c r="AB63" s="3005"/>
      <c r="AC63" s="3005"/>
      <c r="AD63" s="3006"/>
      <c r="AE63" s="925"/>
      <c r="AF63" s="3373" t="str">
        <f>IF(AC6="H","2CT","")</f>
        <v>2CT</v>
      </c>
      <c r="AG63" s="3374"/>
      <c r="AH63" s="3375"/>
      <c r="AI63" s="1707"/>
      <c r="AJ63" s="3373" t="str">
        <f>IF(AC6="H","CT-T","")</f>
        <v>CT-T</v>
      </c>
      <c r="AK63" s="3374"/>
      <c r="AL63" s="3375"/>
      <c r="AM63" s="1707"/>
      <c r="AN63" s="3413" t="str">
        <f>IF(AC6="H","Ⓐ","")</f>
        <v>Ⓐ</v>
      </c>
      <c r="AO63" s="3414"/>
      <c r="AP63" s="3415"/>
      <c r="AQ63" s="1707"/>
      <c r="AR63" s="3373" t="str">
        <f>IF(OR(B2=0,AC6="L"),"",IF(CE53&gt;=150,"2×51",""))</f>
        <v>2×51</v>
      </c>
      <c r="AS63" s="3374"/>
      <c r="AT63" s="3375"/>
      <c r="AU63" s="1707"/>
      <c r="AV63" s="3373" t="str">
        <f>IF(B2=0,"",IF(VALUE(LEFT(Y53,4))&gt;=500,"cosφ",""))</f>
        <v>cosφ</v>
      </c>
      <c r="AW63" s="3374"/>
      <c r="AX63" s="3375"/>
      <c r="AY63" s="1707"/>
      <c r="AZ63" s="3413" t="str">
        <f>IF(OR(B2=0,AC6="L"),"",IF(CC39&gt;300,"55",""))</f>
        <v>55</v>
      </c>
      <c r="BA63" s="3414"/>
      <c r="BB63" s="3415"/>
      <c r="BC63" s="1707"/>
      <c r="BD63" s="3420" t="str">
        <f>IF(B2=0,"",IF(VALUE(LEFT(Y53,4))&gt;=500,"WM",""))</f>
        <v>WM</v>
      </c>
      <c r="BE63" s="3421"/>
      <c r="BF63" s="3422"/>
      <c r="BG63" s="1707"/>
      <c r="BH63" s="3420" t="str">
        <f>IF(B2=0,"",IF(VALUE(LEFT(Y53,4))&gt;=500,"WH",""))</f>
        <v>WH</v>
      </c>
      <c r="BI63" s="3421"/>
      <c r="BJ63" s="3422"/>
      <c r="BK63" s="1707"/>
      <c r="BL63" s="3413" t="str">
        <f>IF(B2=0,"",IF(VALUE(LEFT(Y53,4))&gt;=1000,"VarH",""))</f>
        <v>VarH</v>
      </c>
      <c r="BM63" s="3414"/>
      <c r="BN63" s="3415"/>
      <c r="BO63" s="1707"/>
      <c r="BP63" s="1707"/>
      <c r="BQ63" s="1707"/>
      <c r="BR63" s="1707"/>
      <c r="BS63" s="925"/>
      <c r="BT63" s="925"/>
      <c r="BU63" s="924"/>
      <c r="CC63" s="936"/>
      <c r="CD63" s="916" t="s">
        <v>2394</v>
      </c>
      <c r="CE63" s="936"/>
    </row>
    <row r="64" spans="2:101" ht="2.25" customHeight="1">
      <c r="B64" s="927"/>
      <c r="C64" s="925"/>
      <c r="D64" s="925"/>
      <c r="E64" s="925"/>
      <c r="F64" s="925"/>
      <c r="G64" s="925"/>
      <c r="H64" s="925"/>
      <c r="I64" s="925"/>
      <c r="J64" s="925"/>
      <c r="K64" s="925"/>
      <c r="L64" s="925"/>
      <c r="M64" s="925"/>
      <c r="N64" s="925"/>
      <c r="O64" s="925"/>
      <c r="P64" s="925"/>
      <c r="Q64" s="925"/>
      <c r="R64" s="925"/>
      <c r="S64" s="925"/>
      <c r="T64" s="925"/>
      <c r="U64" s="925"/>
      <c r="V64" s="925"/>
      <c r="W64" s="925"/>
      <c r="X64" s="925"/>
      <c r="Y64" s="935"/>
      <c r="Z64" s="935"/>
      <c r="AA64" s="935"/>
      <c r="AB64" s="935"/>
      <c r="AC64" s="935"/>
      <c r="AD64" s="935"/>
      <c r="AE64" s="935"/>
      <c r="AF64" s="935"/>
      <c r="AG64" s="935"/>
      <c r="AH64" s="935"/>
      <c r="AI64" s="935"/>
      <c r="AJ64" s="935"/>
      <c r="AK64" s="935"/>
      <c r="AL64" s="935"/>
      <c r="AM64" s="935"/>
      <c r="AN64" s="935"/>
      <c r="AO64" s="935"/>
      <c r="AP64" s="925"/>
      <c r="AQ64" s="925"/>
      <c r="AR64" s="925"/>
      <c r="AS64" s="925"/>
      <c r="AT64" s="925"/>
      <c r="AU64" s="925"/>
      <c r="AV64" s="925"/>
      <c r="AW64" s="925"/>
      <c r="AX64" s="925"/>
      <c r="AY64" s="926"/>
      <c r="AZ64" s="926"/>
      <c r="BA64" s="926"/>
      <c r="BB64" s="926"/>
      <c r="BC64" s="926"/>
      <c r="BD64" s="925"/>
      <c r="BE64" s="925"/>
      <c r="BF64" s="925"/>
      <c r="BG64" s="925"/>
      <c r="BH64" s="925"/>
      <c r="BI64" s="925"/>
      <c r="BJ64" s="925"/>
      <c r="BK64" s="925"/>
      <c r="BL64" s="925"/>
      <c r="BM64" s="925"/>
      <c r="BN64" s="925"/>
      <c r="BO64" s="925"/>
      <c r="BP64" s="925"/>
      <c r="BQ64" s="925"/>
      <c r="BR64" s="925"/>
      <c r="BS64" s="925"/>
      <c r="BT64" s="925"/>
      <c r="BU64" s="924"/>
      <c r="CC64" s="936"/>
      <c r="CD64" s="916" t="s">
        <v>2393</v>
      </c>
      <c r="CE64" s="936"/>
    </row>
    <row r="65" spans="1:88" ht="15" customHeight="1">
      <c r="B65" s="927"/>
      <c r="C65" s="925"/>
      <c r="D65" s="925"/>
      <c r="E65" s="925"/>
      <c r="F65" s="925"/>
      <c r="G65" s="925"/>
      <c r="H65" s="925"/>
      <c r="I65" s="925"/>
      <c r="J65" s="925"/>
      <c r="K65" s="925"/>
      <c r="L65" s="925"/>
      <c r="M65" s="925"/>
      <c r="N65" s="925"/>
      <c r="O65" s="925"/>
      <c r="P65" s="925"/>
      <c r="Q65" s="925"/>
      <c r="R65" s="925"/>
      <c r="S65" s="925"/>
      <c r="T65" s="925"/>
      <c r="U65" s="925"/>
      <c r="V65" s="925"/>
      <c r="W65" s="925"/>
      <c r="X65" s="925"/>
      <c r="Y65" s="935"/>
      <c r="Z65" s="935"/>
      <c r="AA65" s="935"/>
      <c r="AB65" s="935"/>
      <c r="AC65" s="935"/>
      <c r="AD65" s="935"/>
      <c r="AE65" s="935"/>
      <c r="AF65" s="935"/>
      <c r="AG65" s="935"/>
      <c r="AH65" s="935"/>
      <c r="AI65" s="935"/>
      <c r="AJ65" s="935"/>
      <c r="AK65" s="935"/>
      <c r="AL65" s="935"/>
      <c r="AM65" s="935"/>
      <c r="AN65" s="935"/>
      <c r="AO65" s="935"/>
      <c r="AP65" s="925"/>
      <c r="AQ65" s="925"/>
      <c r="AR65" s="925"/>
      <c r="AS65" s="925"/>
      <c r="AT65" s="925"/>
      <c r="AU65" s="925"/>
      <c r="AV65" s="925"/>
      <c r="AW65" s="925"/>
      <c r="AX65" s="925"/>
      <c r="AY65" s="926"/>
      <c r="AZ65" s="926"/>
      <c r="BA65" s="926"/>
      <c r="BB65" s="926"/>
      <c r="BC65" s="926"/>
      <c r="BD65" s="925"/>
      <c r="BE65" s="925"/>
      <c r="BF65" s="925"/>
      <c r="BG65" s="925"/>
      <c r="BH65" s="925"/>
      <c r="BI65" s="925"/>
      <c r="BJ65" s="925"/>
      <c r="BK65" s="925"/>
      <c r="BL65" s="925"/>
      <c r="BM65" s="925"/>
      <c r="BN65" s="925"/>
      <c r="BO65" s="925"/>
      <c r="BP65" s="925"/>
      <c r="BQ65" s="925"/>
      <c r="BR65" s="925"/>
      <c r="BS65" s="925"/>
      <c r="BT65" s="925"/>
      <c r="BU65" s="924"/>
      <c r="CC65" s="936"/>
      <c r="CD65" s="916" t="s">
        <v>2392</v>
      </c>
      <c r="CE65" s="936"/>
    </row>
    <row r="66" spans="1:88" ht="11.25" customHeight="1">
      <c r="B66" s="927"/>
      <c r="C66" s="925"/>
      <c r="D66" s="3004" t="str">
        <f>IF(AC6="H","高圧ＳＣ盤","")</f>
        <v>高圧ＳＣ盤</v>
      </c>
      <c r="E66" s="3005"/>
      <c r="F66" s="3005"/>
      <c r="G66" s="3005"/>
      <c r="H66" s="3005"/>
      <c r="I66" s="3005"/>
      <c r="J66" s="3005"/>
      <c r="K66" s="3006"/>
      <c r="L66" s="925"/>
      <c r="M66" s="925"/>
      <c r="N66" s="3306" t="str">
        <f>IF(D66="","","進相コンデンサ")</f>
        <v>進相コンデンサ</v>
      </c>
      <c r="O66" s="3306"/>
      <c r="P66" s="3306"/>
      <c r="Q66" s="3306"/>
      <c r="R66" s="3306"/>
      <c r="S66" s="3306"/>
      <c r="T66" s="3306"/>
      <c r="U66" s="3306"/>
      <c r="V66" s="3306"/>
      <c r="W66" s="3306"/>
      <c r="X66" s="3306" t="str">
        <f>IF(D66="","",Y49)</f>
        <v>150 Kvar ×3</v>
      </c>
      <c r="Y66" s="3306"/>
      <c r="Z66" s="3306"/>
      <c r="AA66" s="3306"/>
      <c r="AB66" s="3306"/>
      <c r="AC66" s="3306"/>
      <c r="AD66" s="3306"/>
      <c r="AE66" s="3423" t="str">
        <f>IF(OR(B2=0,AC6="L"),"",IF(AND(VALUE(LEFT(X66,3))&gt;=100,RIGHT(X66,1)="1"),1&amp;"面",IF(AND(VALUE(LEFT(X66,3))&gt;=100,RIGHT(X66,1)="2"),2&amp;"面",IF(AND(VALUE(LEFT(X66,3))&gt;=100,RIGHT(X66,1)="3"),3&amp;"面",IF(RIGHT(X66,1)="3",2&amp;"面",1&amp;"面")))))</f>
        <v>3面</v>
      </c>
      <c r="AF66" s="3424"/>
      <c r="AG66" s="3425"/>
      <c r="AH66" s="925"/>
      <c r="AI66" s="3004" t="str">
        <f>IF($D$66="","","電力ヒューズ")</f>
        <v>電力ヒューズ</v>
      </c>
      <c r="AJ66" s="3005"/>
      <c r="AK66" s="3005"/>
      <c r="AL66" s="3005"/>
      <c r="AM66" s="3005"/>
      <c r="AN66" s="3006"/>
      <c r="AO66" s="3419" t="str">
        <f>IF(X66="","","3 ×"&amp;RIGHT(X66,1))</f>
        <v>3 ×3</v>
      </c>
      <c r="AP66" s="3419"/>
      <c r="AQ66" s="3419"/>
      <c r="AR66" s="3419"/>
      <c r="AS66" s="925"/>
      <c r="AT66" s="3004" t="str">
        <f>IF($D$66="","","VMC")</f>
        <v>VMC</v>
      </c>
      <c r="AU66" s="3005"/>
      <c r="AV66" s="3005"/>
      <c r="AW66" s="3005"/>
      <c r="AX66" s="3005"/>
      <c r="AY66" s="3006"/>
      <c r="AZ66" s="3373" t="str">
        <f>IF(X66="","","×"&amp;RIGHT(X66,1))</f>
        <v>×3</v>
      </c>
      <c r="BA66" s="3374"/>
      <c r="BB66" s="3375"/>
      <c r="BC66" s="926"/>
      <c r="BD66" s="925"/>
      <c r="BE66" s="925"/>
      <c r="BF66" s="925"/>
      <c r="BG66" s="925"/>
      <c r="BH66" s="925"/>
      <c r="BI66" s="925"/>
      <c r="BJ66" s="925"/>
      <c r="BK66" s="925"/>
      <c r="BL66" s="925"/>
      <c r="BM66" s="925"/>
      <c r="BN66" s="925"/>
      <c r="BO66" s="925"/>
      <c r="BP66" s="925"/>
      <c r="BQ66" s="925"/>
      <c r="BR66" s="925"/>
      <c r="BS66" s="925"/>
      <c r="BT66" s="925"/>
      <c r="BU66" s="924"/>
      <c r="CC66" s="936"/>
      <c r="CD66" s="916" t="s">
        <v>2391</v>
      </c>
      <c r="CE66" s="936"/>
    </row>
    <row r="67" spans="1:88" ht="11.25" customHeight="1">
      <c r="A67" s="977"/>
      <c r="B67" s="927"/>
      <c r="C67" s="925"/>
      <c r="D67" s="925"/>
      <c r="E67" s="925"/>
      <c r="F67" s="925"/>
      <c r="G67" s="925"/>
      <c r="H67" s="925"/>
      <c r="I67" s="925"/>
      <c r="J67" s="925"/>
      <c r="K67" s="925"/>
      <c r="L67" s="925"/>
      <c r="M67" s="925"/>
      <c r="N67" s="3321" t="str">
        <f>IF(D66="","","直列リアクトル")</f>
        <v>直列リアクトル</v>
      </c>
      <c r="O67" s="3321"/>
      <c r="P67" s="3321"/>
      <c r="Q67" s="3321"/>
      <c r="R67" s="3321"/>
      <c r="S67" s="3321"/>
      <c r="T67" s="3321"/>
      <c r="U67" s="3321"/>
      <c r="V67" s="3321"/>
      <c r="W67" s="3321"/>
      <c r="X67" s="3321" t="str">
        <f>IF(D66="","",Y51)</f>
        <v>150 Kvar 6% ×3</v>
      </c>
      <c r="Y67" s="3321"/>
      <c r="Z67" s="3321"/>
      <c r="AA67" s="3321"/>
      <c r="AB67" s="3321"/>
      <c r="AC67" s="3321"/>
      <c r="AD67" s="3321"/>
      <c r="AE67" s="3241"/>
      <c r="AF67" s="3242"/>
      <c r="AG67" s="3243"/>
      <c r="AH67" s="925"/>
      <c r="AI67" s="925"/>
      <c r="AJ67" s="925"/>
      <c r="AK67" s="925"/>
      <c r="AL67" s="925"/>
      <c r="AM67" s="925"/>
      <c r="AN67" s="925"/>
      <c r="AO67" s="925"/>
      <c r="AP67" s="925"/>
      <c r="AQ67" s="925"/>
      <c r="AR67" s="925"/>
      <c r="AS67" s="925"/>
      <c r="AT67" s="925"/>
      <c r="AU67" s="925"/>
      <c r="AV67" s="925"/>
      <c r="AW67" s="925"/>
      <c r="AX67" s="925"/>
      <c r="AY67" s="925"/>
      <c r="AZ67" s="925"/>
      <c r="BA67" s="925"/>
      <c r="BB67" s="925"/>
      <c r="BC67" s="925"/>
      <c r="BD67" s="925"/>
      <c r="BE67" s="925"/>
      <c r="BF67" s="925"/>
      <c r="BG67" s="925"/>
      <c r="BH67" s="925"/>
      <c r="BI67" s="925"/>
      <c r="BJ67" s="925"/>
      <c r="BK67" s="925"/>
      <c r="BL67" s="925"/>
      <c r="BM67" s="925"/>
      <c r="BN67" s="925"/>
      <c r="BO67" s="925"/>
      <c r="BP67" s="925"/>
      <c r="BQ67" s="925"/>
      <c r="BR67" s="925"/>
      <c r="BS67" s="925"/>
      <c r="BT67" s="925"/>
      <c r="BU67" s="924"/>
      <c r="CC67" s="936"/>
      <c r="CD67" s="916" t="s">
        <v>2390</v>
      </c>
      <c r="CE67" s="936"/>
    </row>
    <row r="68" spans="1:88" ht="6" customHeight="1">
      <c r="B68" s="927"/>
      <c r="C68" s="925"/>
      <c r="D68" s="925"/>
      <c r="E68" s="925"/>
      <c r="F68" s="925"/>
      <c r="G68" s="925"/>
      <c r="H68" s="925"/>
      <c r="I68" s="925"/>
      <c r="J68" s="925"/>
      <c r="K68" s="925"/>
      <c r="L68" s="925"/>
      <c r="M68" s="925"/>
      <c r="N68" s="925"/>
      <c r="O68" s="925"/>
      <c r="P68" s="925"/>
      <c r="Q68" s="925"/>
      <c r="R68" s="925"/>
      <c r="S68" s="925"/>
      <c r="T68" s="925"/>
      <c r="U68" s="925"/>
      <c r="V68" s="925"/>
      <c r="W68" s="925"/>
      <c r="X68" s="925"/>
      <c r="Y68" s="935"/>
      <c r="Z68" s="935"/>
      <c r="AA68" s="935"/>
      <c r="AB68" s="935"/>
      <c r="AC68" s="935"/>
      <c r="AD68" s="935"/>
      <c r="AE68" s="935"/>
      <c r="AF68" s="935"/>
      <c r="AG68" s="935"/>
      <c r="AH68" s="935"/>
      <c r="AI68" s="935"/>
      <c r="AJ68" s="935"/>
      <c r="AK68" s="935"/>
      <c r="AL68" s="935"/>
      <c r="AM68" s="935"/>
      <c r="AN68" s="935"/>
      <c r="AO68" s="935"/>
      <c r="AP68" s="925"/>
      <c r="AQ68" s="925"/>
      <c r="AR68" s="925"/>
      <c r="AS68" s="925"/>
      <c r="AT68" s="925"/>
      <c r="AU68" s="925"/>
      <c r="AV68" s="925"/>
      <c r="AW68" s="925"/>
      <c r="AX68" s="925"/>
      <c r="AY68" s="926"/>
      <c r="AZ68" s="926"/>
      <c r="BA68" s="926"/>
      <c r="BB68" s="926"/>
      <c r="BC68" s="926"/>
      <c r="BD68" s="925"/>
      <c r="BE68" s="925"/>
      <c r="BF68" s="925"/>
      <c r="BG68" s="925"/>
      <c r="BH68" s="925"/>
      <c r="BI68" s="925"/>
      <c r="BJ68" s="925"/>
      <c r="BK68" s="925"/>
      <c r="BL68" s="925"/>
      <c r="BM68" s="925"/>
      <c r="BN68" s="925"/>
      <c r="BO68" s="925"/>
      <c r="BP68" s="925"/>
      <c r="BQ68" s="925"/>
      <c r="BR68" s="925"/>
      <c r="BS68" s="925"/>
      <c r="BT68" s="925"/>
      <c r="BU68" s="924"/>
      <c r="CC68" s="936"/>
      <c r="CD68" s="916" t="s">
        <v>2389</v>
      </c>
      <c r="CE68" s="936"/>
    </row>
    <row r="69" spans="1:88" ht="11.25" customHeight="1">
      <c r="B69" s="927"/>
      <c r="C69" s="925"/>
      <c r="D69" s="925"/>
      <c r="E69" s="925"/>
      <c r="F69" s="925"/>
      <c r="G69" s="925"/>
      <c r="H69" s="925"/>
      <c r="I69" s="925"/>
      <c r="J69" s="925"/>
      <c r="K69" s="925"/>
      <c r="L69" s="925"/>
      <c r="M69" s="925"/>
      <c r="N69" s="925"/>
      <c r="O69" s="925"/>
      <c r="P69" s="925"/>
      <c r="Q69" s="925"/>
      <c r="R69" s="925"/>
      <c r="S69" s="925"/>
      <c r="T69" s="925"/>
      <c r="U69" s="925"/>
      <c r="V69" s="925"/>
      <c r="W69" s="925"/>
      <c r="X69" s="925"/>
      <c r="Y69" s="935"/>
      <c r="Z69" s="935"/>
      <c r="AA69" s="935"/>
      <c r="AB69" s="935"/>
      <c r="AC69" s="935"/>
      <c r="AD69" s="935"/>
      <c r="AE69" s="935"/>
      <c r="AF69" s="935"/>
      <c r="AG69" s="935"/>
      <c r="AH69" s="935"/>
      <c r="AI69" s="3406" t="str">
        <f>IF(N71="","","1面あたり")</f>
        <v>1面あたり</v>
      </c>
      <c r="AJ69" s="3406"/>
      <c r="AK69" s="3406"/>
      <c r="AL69" s="3406"/>
      <c r="AM69" s="3406"/>
      <c r="AN69" s="3406"/>
      <c r="AO69" s="935"/>
      <c r="AP69" s="925"/>
      <c r="AQ69" s="925"/>
      <c r="AR69" s="925"/>
      <c r="AS69" s="994"/>
      <c r="AT69" s="994"/>
      <c r="AU69" s="994"/>
      <c r="AV69" s="3406" t="str">
        <f>IF(N71="","","1面あたり")</f>
        <v>1面あたり</v>
      </c>
      <c r="AW69" s="3406"/>
      <c r="AX69" s="3406"/>
      <c r="AY69" s="3406"/>
      <c r="AZ69" s="3406"/>
      <c r="BA69" s="926"/>
      <c r="BB69" s="926"/>
      <c r="BC69" s="926"/>
      <c r="BD69" s="925"/>
      <c r="BE69" s="925"/>
      <c r="BF69" s="925"/>
      <c r="BG69" s="925"/>
      <c r="BH69" s="925"/>
      <c r="BI69" s="925"/>
      <c r="BJ69" s="925"/>
      <c r="BK69" s="925"/>
      <c r="BL69" s="925"/>
      <c r="BM69" s="925"/>
      <c r="BN69" s="925"/>
      <c r="BO69" s="925"/>
      <c r="BP69" s="925"/>
      <c r="BQ69" s="3017"/>
      <c r="BR69" s="3017"/>
      <c r="BS69" s="3017"/>
      <c r="BT69" s="925"/>
      <c r="BU69" s="924"/>
      <c r="CC69" s="936"/>
      <c r="CD69" s="916" t="s">
        <v>2388</v>
      </c>
      <c r="CE69" s="936"/>
    </row>
    <row r="70" spans="1:88" ht="3" customHeight="1">
      <c r="B70" s="927"/>
      <c r="C70" s="925"/>
      <c r="D70" s="925"/>
      <c r="E70" s="925"/>
      <c r="F70" s="925"/>
      <c r="G70" s="925"/>
      <c r="H70" s="925"/>
      <c r="I70" s="925"/>
      <c r="J70" s="925"/>
      <c r="K70" s="925"/>
      <c r="L70" s="925"/>
      <c r="M70" s="925"/>
      <c r="N70" s="925"/>
      <c r="O70" s="925"/>
      <c r="P70" s="925"/>
      <c r="Q70" s="925"/>
      <c r="R70" s="925"/>
      <c r="S70" s="925"/>
      <c r="T70" s="925"/>
      <c r="U70" s="925"/>
      <c r="V70" s="925"/>
      <c r="W70" s="925"/>
      <c r="X70" s="925"/>
      <c r="Y70" s="935"/>
      <c r="Z70" s="935"/>
      <c r="AA70" s="935"/>
      <c r="AB70" s="935"/>
      <c r="AC70" s="935"/>
      <c r="AD70" s="935"/>
      <c r="AE70" s="935"/>
      <c r="AF70" s="935"/>
      <c r="AG70" s="935"/>
      <c r="AH70" s="935"/>
      <c r="AI70" s="3412"/>
      <c r="AJ70" s="3412"/>
      <c r="AK70" s="3412"/>
      <c r="AL70" s="3412"/>
      <c r="AM70" s="3412"/>
      <c r="AN70" s="3412"/>
      <c r="AO70" s="935"/>
      <c r="AP70" s="925"/>
      <c r="AQ70" s="925"/>
      <c r="AR70" s="925"/>
      <c r="AS70" s="993"/>
      <c r="AT70" s="993"/>
      <c r="AU70" s="993"/>
      <c r="AV70" s="3412"/>
      <c r="AW70" s="3412"/>
      <c r="AX70" s="3412"/>
      <c r="AY70" s="3412"/>
      <c r="AZ70" s="3412"/>
      <c r="BA70" s="926"/>
      <c r="BB70" s="926"/>
      <c r="BC70" s="926"/>
      <c r="BD70" s="3376"/>
      <c r="BE70" s="3376"/>
      <c r="BF70" s="3376"/>
      <c r="BG70" s="3376"/>
      <c r="BH70" s="3376"/>
      <c r="BI70" s="3376"/>
      <c r="BJ70" s="3376"/>
      <c r="BK70" s="3376"/>
      <c r="BL70" s="3376"/>
      <c r="BM70" s="3376"/>
      <c r="BN70" s="3376"/>
      <c r="BO70" s="3376"/>
      <c r="BP70" s="3376"/>
      <c r="BQ70" s="3376"/>
      <c r="BR70" s="3376"/>
      <c r="BS70" s="3376"/>
      <c r="BT70" s="3376"/>
      <c r="BU70" s="3377"/>
      <c r="CC70" s="936"/>
      <c r="CD70" s="916"/>
      <c r="CE70" s="936"/>
    </row>
    <row r="71" spans="1:88" ht="11.25" customHeight="1">
      <c r="A71" s="977"/>
      <c r="B71" s="927"/>
      <c r="C71" s="925"/>
      <c r="D71" s="3409" t="str">
        <f>IF(AC6="H","低圧配電盤","")</f>
        <v>低圧配電盤</v>
      </c>
      <c r="E71" s="3410"/>
      <c r="F71" s="3410"/>
      <c r="G71" s="3410"/>
      <c r="H71" s="3410"/>
      <c r="I71" s="3410"/>
      <c r="J71" s="3410"/>
      <c r="K71" s="3411"/>
      <c r="L71" s="992"/>
      <c r="M71" s="988"/>
      <c r="N71" s="3386" t="str">
        <f>IF(N39="","","1φ3W 210/105V")</f>
        <v>1φ3W 210/105V</v>
      </c>
      <c r="O71" s="3030"/>
      <c r="P71" s="3030"/>
      <c r="Q71" s="3030"/>
      <c r="R71" s="3030"/>
      <c r="S71" s="3030"/>
      <c r="T71" s="3030"/>
      <c r="U71" s="3030"/>
      <c r="V71" s="3030"/>
      <c r="W71" s="3031"/>
      <c r="X71" s="3393" t="str">
        <f>IF(Y39="","",LEFT(Y39,10))</f>
        <v xml:space="preserve"> 500 KVA×2</v>
      </c>
      <c r="Y71" s="3394"/>
      <c r="Z71" s="3394"/>
      <c r="AA71" s="3394"/>
      <c r="AB71" s="3394"/>
      <c r="AC71" s="3394"/>
      <c r="AD71" s="3395"/>
      <c r="AE71" s="3393" t="str">
        <f>IF(Y39="","",1+INT(CJ131*1.1/12)&amp;"面")</f>
        <v>1面</v>
      </c>
      <c r="AF71" s="3394"/>
      <c r="AG71" s="3395"/>
      <c r="AH71" s="925"/>
      <c r="AI71" s="3004" t="str">
        <f>IF(N71="","","MCCB 数")</f>
        <v>MCCB 数</v>
      </c>
      <c r="AJ71" s="3005"/>
      <c r="AK71" s="3005"/>
      <c r="AL71" s="3005"/>
      <c r="AM71" s="3005"/>
      <c r="AN71" s="3006"/>
      <c r="AO71" s="3402">
        <f>IF(AC6="L","",1+[6]低幹!$BZ$422/(1+INT([6]低幹!$BZ$422*1.1/12)))</f>
        <v>10</v>
      </c>
      <c r="AP71" s="3403"/>
      <c r="AQ71" s="3404"/>
      <c r="AR71" s="926"/>
      <c r="AS71" s="3004" t="str">
        <f>IF(N71="","","計器・表示灯・継電器")</f>
        <v>計器・表示灯・継電器</v>
      </c>
      <c r="AT71" s="3005"/>
      <c r="AU71" s="3005"/>
      <c r="AV71" s="3005"/>
      <c r="AW71" s="3005"/>
      <c r="AX71" s="3005"/>
      <c r="AY71" s="3005"/>
      <c r="AZ71" s="3005"/>
      <c r="BA71" s="3005"/>
      <c r="BB71" s="3005"/>
      <c r="BC71" s="3006"/>
      <c r="BD71" s="980"/>
      <c r="BE71" s="3373" t="str">
        <f>IF(N71="","","Ⓥ")</f>
        <v>Ⓥ</v>
      </c>
      <c r="BF71" s="3374"/>
      <c r="BG71" s="3375"/>
      <c r="BH71" s="926"/>
      <c r="BI71" s="3373" t="str">
        <f>IF(N71="","","LGR")</f>
        <v>LGR</v>
      </c>
      <c r="BJ71" s="3374"/>
      <c r="BK71" s="3375"/>
      <c r="BL71" s="926"/>
      <c r="BM71" s="3373" t="str">
        <f>IF(N71="","","ZCT")</f>
        <v>ZCT</v>
      </c>
      <c r="BN71" s="3374"/>
      <c r="BO71" s="3375"/>
      <c r="BP71" s="926"/>
      <c r="BQ71" s="3406"/>
      <c r="BR71" s="3406"/>
      <c r="BS71" s="3406"/>
      <c r="BT71" s="926"/>
      <c r="BU71" s="979"/>
      <c r="CC71" s="990"/>
      <c r="CD71" s="916" t="s">
        <v>2387</v>
      </c>
      <c r="CE71" s="936"/>
    </row>
    <row r="72" spans="1:88" ht="2.25" customHeight="1">
      <c r="A72" s="977"/>
      <c r="B72" s="927"/>
      <c r="C72" s="925"/>
      <c r="D72" s="991"/>
      <c r="E72" s="991"/>
      <c r="F72" s="991"/>
      <c r="G72" s="991"/>
      <c r="H72" s="991"/>
      <c r="I72" s="991"/>
      <c r="J72" s="991"/>
      <c r="K72" s="991"/>
      <c r="L72" s="933"/>
      <c r="M72" s="988"/>
      <c r="N72" s="3387"/>
      <c r="O72" s="3388"/>
      <c r="P72" s="3388"/>
      <c r="Q72" s="3388"/>
      <c r="R72" s="3388"/>
      <c r="S72" s="3388"/>
      <c r="T72" s="3388"/>
      <c r="U72" s="3388"/>
      <c r="V72" s="3388"/>
      <c r="W72" s="3389"/>
      <c r="X72" s="983"/>
      <c r="Y72" s="982"/>
      <c r="Z72" s="982"/>
      <c r="AA72" s="982"/>
      <c r="AB72" s="982"/>
      <c r="AC72" s="982"/>
      <c r="AD72" s="981"/>
      <c r="AE72" s="3396"/>
      <c r="AF72" s="3397"/>
      <c r="AG72" s="3398"/>
      <c r="AH72" s="925"/>
      <c r="AI72" s="926"/>
      <c r="AJ72" s="926"/>
      <c r="AK72" s="926"/>
      <c r="AL72" s="926"/>
      <c r="AM72" s="926"/>
      <c r="AN72" s="926"/>
      <c r="AO72" s="926"/>
      <c r="AP72" s="926"/>
      <c r="AQ72" s="926"/>
      <c r="AR72" s="926"/>
      <c r="AS72" s="926"/>
      <c r="AT72" s="926"/>
      <c r="AU72" s="926"/>
      <c r="AV72" s="926"/>
      <c r="AW72" s="926"/>
      <c r="AX72" s="926"/>
      <c r="AY72" s="926"/>
      <c r="AZ72" s="926"/>
      <c r="BA72" s="926"/>
      <c r="BB72" s="926"/>
      <c r="BC72" s="926"/>
      <c r="BD72" s="980"/>
      <c r="BE72" s="926"/>
      <c r="BF72" s="926"/>
      <c r="BG72" s="926"/>
      <c r="BH72" s="926"/>
      <c r="BI72" s="926"/>
      <c r="BJ72" s="926"/>
      <c r="BK72" s="926"/>
      <c r="BL72" s="926"/>
      <c r="BM72" s="926"/>
      <c r="BN72" s="926"/>
      <c r="BO72" s="926"/>
      <c r="BP72" s="926"/>
      <c r="BQ72" s="926"/>
      <c r="BR72" s="926"/>
      <c r="BS72" s="926"/>
      <c r="BT72" s="926"/>
      <c r="BU72" s="979"/>
      <c r="CC72" s="990"/>
      <c r="CD72" s="916" t="s">
        <v>2386</v>
      </c>
      <c r="CE72" s="936"/>
    </row>
    <row r="73" spans="1:88" ht="11.25" customHeight="1">
      <c r="A73" s="977"/>
      <c r="B73" s="927"/>
      <c r="C73" s="925"/>
      <c r="D73" s="925"/>
      <c r="E73" s="925"/>
      <c r="F73" s="925"/>
      <c r="G73" s="925"/>
      <c r="H73" s="925"/>
      <c r="I73" s="925"/>
      <c r="J73" s="925"/>
      <c r="K73" s="925"/>
      <c r="L73" s="933"/>
      <c r="M73" s="988"/>
      <c r="N73" s="3390"/>
      <c r="O73" s="3391"/>
      <c r="P73" s="3391"/>
      <c r="Q73" s="3391"/>
      <c r="R73" s="3391"/>
      <c r="S73" s="3391"/>
      <c r="T73" s="3391"/>
      <c r="U73" s="3391"/>
      <c r="V73" s="3391"/>
      <c r="W73" s="3392"/>
      <c r="X73" s="3399" t="str">
        <f>IF(MID(Y39,12,1)="＋",RIGHT(Y39,9),"")</f>
        <v/>
      </c>
      <c r="Y73" s="3400"/>
      <c r="Z73" s="3400"/>
      <c r="AA73" s="3400"/>
      <c r="AB73" s="3400"/>
      <c r="AC73" s="3400"/>
      <c r="AD73" s="3401"/>
      <c r="AE73" s="3399"/>
      <c r="AF73" s="3400"/>
      <c r="AG73" s="3401"/>
      <c r="AH73" s="925"/>
      <c r="AI73" s="3407" t="str">
        <f>IF(N75="","","1面あたり")</f>
        <v>1面あたり</v>
      </c>
      <c r="AJ73" s="3407"/>
      <c r="AK73" s="3407"/>
      <c r="AL73" s="3407"/>
      <c r="AM73" s="3407"/>
      <c r="AN73" s="3407"/>
      <c r="AO73" s="3154" t="str">
        <f>IF(N71="","","TR")</f>
        <v>TR</v>
      </c>
      <c r="AP73" s="3154"/>
      <c r="AQ73" s="3370" t="str">
        <f>IF(AO73="","",IF(X73&lt;&gt;"","26"&amp;" ×"&amp;(RIGHT(X71,1)+RIGHT(X73,1)),"26"&amp;" ×"&amp;RIGHT(X71,1)))</f>
        <v>26 ×2</v>
      </c>
      <c r="AR73" s="3371"/>
      <c r="AS73" s="3371"/>
      <c r="AT73" s="3372"/>
      <c r="AU73" s="986"/>
      <c r="AV73" s="3407" t="str">
        <f>IF(N75="","","1面あたり")</f>
        <v>1面あたり</v>
      </c>
      <c r="AW73" s="3407"/>
      <c r="AX73" s="3407"/>
      <c r="AY73" s="3407"/>
      <c r="AZ73" s="3407"/>
      <c r="BA73" s="926"/>
      <c r="BB73" s="926"/>
      <c r="BC73" s="926"/>
      <c r="BD73" s="980"/>
      <c r="BE73" s="3373" t="str">
        <f>IF(N71="","","Ⓐ")</f>
        <v>Ⓐ</v>
      </c>
      <c r="BF73" s="3374"/>
      <c r="BG73" s="3375"/>
      <c r="BH73" s="926"/>
      <c r="BI73" s="3373" t="str">
        <f>IF(N71="","","2CT")</f>
        <v>2CT</v>
      </c>
      <c r="BJ73" s="3374"/>
      <c r="BK73" s="3375"/>
      <c r="BL73" s="926"/>
      <c r="BM73" s="3373" t="str">
        <f>IF(N71="","","49×2")</f>
        <v>49×2</v>
      </c>
      <c r="BN73" s="3374"/>
      <c r="BO73" s="3375"/>
      <c r="BP73" s="926"/>
      <c r="BQ73" s="926"/>
      <c r="BR73" s="926"/>
      <c r="BS73" s="926"/>
      <c r="BT73" s="926"/>
      <c r="BU73" s="979"/>
      <c r="CC73" s="990"/>
      <c r="CD73" s="916" t="s">
        <v>2385</v>
      </c>
      <c r="CE73" s="936"/>
    </row>
    <row r="74" spans="1:88" ht="3" customHeight="1">
      <c r="B74" s="927"/>
      <c r="C74" s="925"/>
      <c r="D74" s="925"/>
      <c r="E74" s="925"/>
      <c r="F74" s="925"/>
      <c r="G74" s="925"/>
      <c r="H74" s="925"/>
      <c r="I74" s="925"/>
      <c r="J74" s="925"/>
      <c r="K74" s="925"/>
      <c r="L74" s="925"/>
      <c r="M74" s="925"/>
      <c r="N74" s="926"/>
      <c r="O74" s="926"/>
      <c r="P74" s="926"/>
      <c r="Q74" s="926"/>
      <c r="R74" s="926"/>
      <c r="S74" s="926"/>
      <c r="T74" s="926"/>
      <c r="U74" s="926"/>
      <c r="V74" s="926"/>
      <c r="W74" s="926"/>
      <c r="X74" s="926"/>
      <c r="Y74" s="926"/>
      <c r="Z74" s="926"/>
      <c r="AA74" s="926"/>
      <c r="AB74" s="926"/>
      <c r="AC74" s="926"/>
      <c r="AD74" s="926"/>
      <c r="AE74" s="926"/>
      <c r="AF74" s="926"/>
      <c r="AG74" s="926"/>
      <c r="AH74" s="935"/>
      <c r="AI74" s="3408"/>
      <c r="AJ74" s="3408"/>
      <c r="AK74" s="3408"/>
      <c r="AL74" s="3408"/>
      <c r="AM74" s="3408"/>
      <c r="AN74" s="3408"/>
      <c r="AO74" s="926"/>
      <c r="AP74" s="926"/>
      <c r="AQ74" s="926"/>
      <c r="AR74" s="926"/>
      <c r="AS74" s="984"/>
      <c r="AT74" s="984"/>
      <c r="AU74" s="984"/>
      <c r="AV74" s="3408"/>
      <c r="AW74" s="3408"/>
      <c r="AX74" s="3408"/>
      <c r="AY74" s="3408"/>
      <c r="AZ74" s="3408"/>
      <c r="BA74" s="926"/>
      <c r="BB74" s="926"/>
      <c r="BC74" s="926"/>
      <c r="BD74" s="3376"/>
      <c r="BE74" s="3376"/>
      <c r="BF74" s="3376"/>
      <c r="BG74" s="3376"/>
      <c r="BH74" s="3376"/>
      <c r="BI74" s="3376"/>
      <c r="BJ74" s="3376"/>
      <c r="BK74" s="3376"/>
      <c r="BL74" s="3376"/>
      <c r="BM74" s="3376"/>
      <c r="BN74" s="3376"/>
      <c r="BO74" s="3376"/>
      <c r="BP74" s="3376"/>
      <c r="BQ74" s="3376"/>
      <c r="BR74" s="3376"/>
      <c r="BS74" s="3376"/>
      <c r="BT74" s="3376"/>
      <c r="BU74" s="3377"/>
      <c r="CC74" s="936"/>
      <c r="CD74" s="916" t="s">
        <v>2384</v>
      </c>
      <c r="CE74" s="936"/>
      <c r="CJ74" s="916"/>
    </row>
    <row r="75" spans="1:88" ht="11.25" customHeight="1">
      <c r="A75" s="977"/>
      <c r="B75" s="927"/>
      <c r="C75" s="925"/>
      <c r="D75" s="925"/>
      <c r="E75" s="925"/>
      <c r="F75" s="925"/>
      <c r="G75" s="925"/>
      <c r="H75" s="925"/>
      <c r="I75" s="925"/>
      <c r="J75" s="925"/>
      <c r="K75" s="925"/>
      <c r="L75" s="933"/>
      <c r="M75" s="988"/>
      <c r="N75" s="3386" t="str">
        <f>IF(N41="","","3φ4W 440/254V")</f>
        <v>3φ4W 440/254V</v>
      </c>
      <c r="O75" s="3030"/>
      <c r="P75" s="3030"/>
      <c r="Q75" s="3030"/>
      <c r="R75" s="3030"/>
      <c r="S75" s="3030"/>
      <c r="T75" s="3030"/>
      <c r="U75" s="3030"/>
      <c r="V75" s="3030"/>
      <c r="W75" s="3031"/>
      <c r="X75" s="3393" t="str">
        <f>IF(Y41="","",LEFT(Y41,10))</f>
        <v xml:space="preserve"> 150 KVA×1</v>
      </c>
      <c r="Y75" s="3394"/>
      <c r="Z75" s="3394"/>
      <c r="AA75" s="3394"/>
      <c r="AB75" s="3394"/>
      <c r="AC75" s="3394"/>
      <c r="AD75" s="3395"/>
      <c r="AE75" s="3393" t="str">
        <f>IF(Y41="","",1+INT(CO131*1.1/12)&amp;"面")</f>
        <v>1面</v>
      </c>
      <c r="AF75" s="3394"/>
      <c r="AG75" s="3395"/>
      <c r="AH75" s="925"/>
      <c r="AI75" s="3004" t="str">
        <f>IF(N75="","","MCCB 数")</f>
        <v>MCCB 数</v>
      </c>
      <c r="AJ75" s="3005"/>
      <c r="AK75" s="3005"/>
      <c r="AL75" s="3005"/>
      <c r="AM75" s="3005"/>
      <c r="AN75" s="3006"/>
      <c r="AO75" s="3402">
        <f>IF(AC6="L","",1+[6]低幹!$BW$422/(1+INT([6]低幹!$BW$422*1.1/12)))</f>
        <v>9.6666666666666661</v>
      </c>
      <c r="AP75" s="3403"/>
      <c r="AQ75" s="3404"/>
      <c r="AR75" s="926"/>
      <c r="AS75" s="3004" t="str">
        <f>IF(N75="","","計器・表示灯・継電器")</f>
        <v>計器・表示灯・継電器</v>
      </c>
      <c r="AT75" s="3005"/>
      <c r="AU75" s="3005"/>
      <c r="AV75" s="3005"/>
      <c r="AW75" s="3005"/>
      <c r="AX75" s="3005"/>
      <c r="AY75" s="3005"/>
      <c r="AZ75" s="3005"/>
      <c r="BA75" s="3005"/>
      <c r="BB75" s="3005"/>
      <c r="BC75" s="3006"/>
      <c r="BD75" s="980"/>
      <c r="BE75" s="3373" t="str">
        <f>IF(N75="","","Ⓥ")</f>
        <v>Ⓥ</v>
      </c>
      <c r="BF75" s="3374"/>
      <c r="BG75" s="3375"/>
      <c r="BH75" s="926"/>
      <c r="BI75" s="3373" t="str">
        <f>IF(N75="","","LGR")</f>
        <v>LGR</v>
      </c>
      <c r="BJ75" s="3374"/>
      <c r="BK75" s="3375"/>
      <c r="BL75" s="926"/>
      <c r="BM75" s="3373" t="str">
        <f>IF(N75="","","ZCT")</f>
        <v>ZCT</v>
      </c>
      <c r="BN75" s="3374"/>
      <c r="BO75" s="3375"/>
      <c r="BP75" s="926"/>
      <c r="BQ75" s="3373" t="str">
        <f>IF(N75="","","2VT")</f>
        <v>2VT</v>
      </c>
      <c r="BR75" s="3374"/>
      <c r="BS75" s="3375"/>
      <c r="BT75" s="926"/>
      <c r="BU75" s="979"/>
      <c r="CC75" s="936"/>
      <c r="CD75" s="916" t="s">
        <v>2383</v>
      </c>
      <c r="CE75" s="936"/>
    </row>
    <row r="76" spans="1:88" ht="2.25" customHeight="1">
      <c r="A76" s="977"/>
      <c r="B76" s="927"/>
      <c r="C76" s="925"/>
      <c r="D76" s="925"/>
      <c r="E76" s="925"/>
      <c r="F76" s="925"/>
      <c r="G76" s="925"/>
      <c r="H76" s="925"/>
      <c r="I76" s="925"/>
      <c r="J76" s="925"/>
      <c r="K76" s="925"/>
      <c r="L76" s="933"/>
      <c r="M76" s="988"/>
      <c r="N76" s="3387"/>
      <c r="O76" s="3388"/>
      <c r="P76" s="3388"/>
      <c r="Q76" s="3388"/>
      <c r="R76" s="3388"/>
      <c r="S76" s="3388"/>
      <c r="T76" s="3388"/>
      <c r="U76" s="3388"/>
      <c r="V76" s="3388"/>
      <c r="W76" s="3389"/>
      <c r="X76" s="983"/>
      <c r="Y76" s="982"/>
      <c r="Z76" s="982"/>
      <c r="AA76" s="982"/>
      <c r="AB76" s="982"/>
      <c r="AC76" s="982"/>
      <c r="AD76" s="981"/>
      <c r="AE76" s="3396"/>
      <c r="AF76" s="3397"/>
      <c r="AG76" s="3398"/>
      <c r="AH76" s="925"/>
      <c r="AI76" s="926"/>
      <c r="AJ76" s="926"/>
      <c r="AK76" s="926"/>
      <c r="AL76" s="926"/>
      <c r="AM76" s="926"/>
      <c r="AN76" s="926"/>
      <c r="AO76" s="926"/>
      <c r="AP76" s="926"/>
      <c r="AQ76" s="926"/>
      <c r="AR76" s="926"/>
      <c r="AS76" s="989"/>
      <c r="AT76" s="989"/>
      <c r="AU76" s="989"/>
      <c r="AV76" s="989"/>
      <c r="AW76" s="989"/>
      <c r="AX76" s="989"/>
      <c r="AY76" s="989"/>
      <c r="AZ76" s="989"/>
      <c r="BA76" s="989"/>
      <c r="BB76" s="989"/>
      <c r="BC76" s="989"/>
      <c r="BD76" s="980"/>
      <c r="BE76" s="926"/>
      <c r="BF76" s="926"/>
      <c r="BG76" s="926"/>
      <c r="BH76" s="926"/>
      <c r="BI76" s="926"/>
      <c r="BJ76" s="926"/>
      <c r="BK76" s="926"/>
      <c r="BL76" s="926"/>
      <c r="BM76" s="926"/>
      <c r="BN76" s="926"/>
      <c r="BO76" s="926"/>
      <c r="BP76" s="926"/>
      <c r="BQ76" s="926"/>
      <c r="BR76" s="926"/>
      <c r="BS76" s="926"/>
      <c r="BT76" s="926"/>
      <c r="BU76" s="979"/>
      <c r="CC76" s="936"/>
      <c r="CD76" s="936"/>
      <c r="CE76" s="936"/>
    </row>
    <row r="77" spans="1:88" ht="11.25" customHeight="1">
      <c r="A77" s="977"/>
      <c r="B77" s="927"/>
      <c r="C77" s="925"/>
      <c r="D77" s="925"/>
      <c r="E77" s="925"/>
      <c r="F77" s="925"/>
      <c r="G77" s="925"/>
      <c r="H77" s="925"/>
      <c r="I77" s="925"/>
      <c r="J77" s="925"/>
      <c r="K77" s="925"/>
      <c r="L77" s="933"/>
      <c r="M77" s="988"/>
      <c r="N77" s="3390"/>
      <c r="O77" s="3391"/>
      <c r="P77" s="3391"/>
      <c r="Q77" s="3391"/>
      <c r="R77" s="3391"/>
      <c r="S77" s="3391"/>
      <c r="T77" s="3391"/>
      <c r="U77" s="3391"/>
      <c r="V77" s="3391"/>
      <c r="W77" s="3392"/>
      <c r="X77" s="3399" t="str">
        <f>IF(MID(Y41,12,1)="＋",RIGHT(Y41,9),"")</f>
        <v/>
      </c>
      <c r="Y77" s="3400"/>
      <c r="Z77" s="3400"/>
      <c r="AA77" s="3400"/>
      <c r="AB77" s="3400"/>
      <c r="AC77" s="3400"/>
      <c r="AD77" s="3401"/>
      <c r="AE77" s="3399"/>
      <c r="AF77" s="3400"/>
      <c r="AG77" s="3401"/>
      <c r="AH77" s="925"/>
      <c r="AI77" s="3407" t="str">
        <f>IF(N79="","","1面あたり")</f>
        <v/>
      </c>
      <c r="AJ77" s="3407"/>
      <c r="AK77" s="3407"/>
      <c r="AL77" s="3407"/>
      <c r="AM77" s="3407"/>
      <c r="AN77" s="3407"/>
      <c r="AO77" s="3154" t="str">
        <f>IF(N75="","","TR")</f>
        <v>TR</v>
      </c>
      <c r="AP77" s="3154"/>
      <c r="AQ77" s="3370" t="str">
        <f>IF(AO77="","",IF(X77&lt;&gt;"","26"&amp;" ×"&amp;(RIGHT(X75,1)+RIGHT(X77,1)),"26"&amp;" ×"&amp;RIGHT(X75,1)))</f>
        <v>26 ×1</v>
      </c>
      <c r="AR77" s="3371"/>
      <c r="AS77" s="3371"/>
      <c r="AT77" s="3372"/>
      <c r="AU77" s="986"/>
      <c r="AV77" s="3407" t="str">
        <f>IF(N79="","","1面あたり")</f>
        <v/>
      </c>
      <c r="AW77" s="3407"/>
      <c r="AX77" s="3407"/>
      <c r="AY77" s="3407"/>
      <c r="AZ77" s="3407"/>
      <c r="BA77" s="926"/>
      <c r="BB77" s="926"/>
      <c r="BC77" s="926"/>
      <c r="BD77" s="980"/>
      <c r="BE77" s="3373" t="str">
        <f>IF(N75="","","Ⓐ")</f>
        <v>Ⓐ</v>
      </c>
      <c r="BF77" s="3374"/>
      <c r="BG77" s="3375"/>
      <c r="BH77" s="926"/>
      <c r="BI77" s="3373" t="str">
        <f>IF(N75="","","2CT")</f>
        <v>2CT</v>
      </c>
      <c r="BJ77" s="3374"/>
      <c r="BK77" s="3375"/>
      <c r="BL77" s="926"/>
      <c r="BM77" s="3373" t="str">
        <f>IF(N75="","","49×2")</f>
        <v>49×2</v>
      </c>
      <c r="BN77" s="3374"/>
      <c r="BO77" s="3375"/>
      <c r="BP77" s="926"/>
      <c r="BQ77" s="926"/>
      <c r="BR77" s="926"/>
      <c r="BS77" s="926"/>
      <c r="BT77" s="926"/>
      <c r="BU77" s="979"/>
      <c r="CD77" s="916"/>
    </row>
    <row r="78" spans="1:88" ht="3" customHeight="1">
      <c r="B78" s="927"/>
      <c r="C78" s="925"/>
      <c r="D78" s="925"/>
      <c r="E78" s="925"/>
      <c r="F78" s="925"/>
      <c r="G78" s="925"/>
      <c r="H78" s="925"/>
      <c r="I78" s="925"/>
      <c r="J78" s="925"/>
      <c r="K78" s="925"/>
      <c r="L78" s="925"/>
      <c r="M78" s="925"/>
      <c r="N78" s="926"/>
      <c r="O78" s="926"/>
      <c r="P78" s="926"/>
      <c r="Q78" s="926"/>
      <c r="R78" s="926"/>
      <c r="S78" s="926"/>
      <c r="T78" s="926"/>
      <c r="U78" s="926"/>
      <c r="V78" s="926"/>
      <c r="W78" s="926"/>
      <c r="X78" s="926"/>
      <c r="Y78" s="926"/>
      <c r="Z78" s="926"/>
      <c r="AA78" s="926"/>
      <c r="AB78" s="926"/>
      <c r="AC78" s="926"/>
      <c r="AD78" s="926"/>
      <c r="AE78" s="926"/>
      <c r="AF78" s="926"/>
      <c r="AG78" s="926"/>
      <c r="AH78" s="935"/>
      <c r="AI78" s="3408"/>
      <c r="AJ78" s="3408"/>
      <c r="AK78" s="3408"/>
      <c r="AL78" s="3408"/>
      <c r="AM78" s="3408"/>
      <c r="AN78" s="3408"/>
      <c r="AO78" s="926"/>
      <c r="AP78" s="926"/>
      <c r="AQ78" s="926"/>
      <c r="AR78" s="926"/>
      <c r="AS78" s="984"/>
      <c r="AT78" s="984"/>
      <c r="AU78" s="984"/>
      <c r="AV78" s="3408"/>
      <c r="AW78" s="3408"/>
      <c r="AX78" s="3408"/>
      <c r="AY78" s="3408"/>
      <c r="AZ78" s="3408"/>
      <c r="BA78" s="926"/>
      <c r="BB78" s="926"/>
      <c r="BC78" s="926"/>
      <c r="BD78" s="3376"/>
      <c r="BE78" s="3376"/>
      <c r="BF78" s="3376"/>
      <c r="BG78" s="3376"/>
      <c r="BH78" s="3376"/>
      <c r="BI78" s="3376"/>
      <c r="BJ78" s="3376"/>
      <c r="BK78" s="3376"/>
      <c r="BL78" s="3376"/>
      <c r="BM78" s="3376"/>
      <c r="BN78" s="3376"/>
      <c r="BO78" s="3376"/>
      <c r="BP78" s="3376"/>
      <c r="BQ78" s="3376"/>
      <c r="BR78" s="3376"/>
      <c r="BS78" s="3376"/>
      <c r="BT78" s="3376"/>
      <c r="BU78" s="3377"/>
      <c r="CC78" s="936"/>
      <c r="CD78" s="916"/>
      <c r="CJ78" s="916"/>
    </row>
    <row r="79" spans="1:88" ht="11.25" customHeight="1">
      <c r="A79" s="977"/>
      <c r="B79" s="927"/>
      <c r="C79" s="925"/>
      <c r="D79" s="925"/>
      <c r="E79" s="925"/>
      <c r="F79" s="925"/>
      <c r="G79" s="925"/>
      <c r="H79" s="925"/>
      <c r="I79" s="925"/>
      <c r="J79" s="925"/>
      <c r="K79" s="925"/>
      <c r="L79" s="933"/>
      <c r="M79" s="933"/>
      <c r="N79" s="3386" t="str">
        <f>IF(N43="","","3φ3W 210V")</f>
        <v/>
      </c>
      <c r="O79" s="3030"/>
      <c r="P79" s="3030"/>
      <c r="Q79" s="3030"/>
      <c r="R79" s="3030"/>
      <c r="S79" s="3030"/>
      <c r="T79" s="3030"/>
      <c r="U79" s="3030"/>
      <c r="V79" s="3030"/>
      <c r="W79" s="3031"/>
      <c r="X79" s="3393" t="str">
        <f>IF(Y43="","",LEFT(Y43,10))</f>
        <v/>
      </c>
      <c r="Y79" s="3394"/>
      <c r="Z79" s="3394"/>
      <c r="AA79" s="3394"/>
      <c r="AB79" s="3394"/>
      <c r="AC79" s="3394"/>
      <c r="AD79" s="3395"/>
      <c r="AE79" s="3393" t="str">
        <f>IF(Y43="","",IF(MID(Y43,12,1)="＋",MID(Y43,10,1)+RIGHT(Y43,1)&amp;"面",MID(Y43,10,1)&amp;"面"))</f>
        <v/>
      </c>
      <c r="AF79" s="3394"/>
      <c r="AG79" s="3395"/>
      <c r="AH79" s="925"/>
      <c r="AI79" s="3004" t="str">
        <f>IF(N79="","","MCCB 数")</f>
        <v/>
      </c>
      <c r="AJ79" s="3005"/>
      <c r="AK79" s="3005"/>
      <c r="AL79" s="3005"/>
      <c r="AM79" s="3005"/>
      <c r="AN79" s="3006"/>
      <c r="AO79" s="3402" t="s">
        <v>1992</v>
      </c>
      <c r="AP79" s="3403"/>
      <c r="AQ79" s="3404"/>
      <c r="AR79" s="926"/>
      <c r="AS79" s="3004" t="str">
        <f>IF(N79="","","計器・表示灯・継電器")</f>
        <v/>
      </c>
      <c r="AT79" s="3005"/>
      <c r="AU79" s="3005"/>
      <c r="AV79" s="3005"/>
      <c r="AW79" s="3005"/>
      <c r="AX79" s="3005"/>
      <c r="AY79" s="3005"/>
      <c r="AZ79" s="3005"/>
      <c r="BA79" s="3005"/>
      <c r="BB79" s="3005"/>
      <c r="BC79" s="3006"/>
      <c r="BD79" s="980"/>
      <c r="BE79" s="3373" t="str">
        <f>IF(N79="","","Ⓥ")</f>
        <v/>
      </c>
      <c r="BF79" s="3374"/>
      <c r="BG79" s="3375"/>
      <c r="BH79" s="926"/>
      <c r="BI79" s="3373" t="str">
        <f>IF(N79="","","LGR")</f>
        <v/>
      </c>
      <c r="BJ79" s="3374"/>
      <c r="BK79" s="3375"/>
      <c r="BL79" s="926"/>
      <c r="BM79" s="3373" t="str">
        <f>IF(N79="","","ZCT")</f>
        <v/>
      </c>
      <c r="BN79" s="3374"/>
      <c r="BO79" s="3375"/>
      <c r="BP79" s="926"/>
      <c r="BQ79" s="3406"/>
      <c r="BR79" s="3406"/>
      <c r="BS79" s="3406"/>
      <c r="BT79" s="926"/>
      <c r="BU79" s="979"/>
      <c r="CD79" s="916"/>
    </row>
    <row r="80" spans="1:88" ht="2.25" customHeight="1">
      <c r="A80" s="977"/>
      <c r="B80" s="927"/>
      <c r="C80" s="925"/>
      <c r="D80" s="925"/>
      <c r="E80" s="925"/>
      <c r="F80" s="925"/>
      <c r="G80" s="925"/>
      <c r="H80" s="925"/>
      <c r="I80" s="925"/>
      <c r="J80" s="925"/>
      <c r="K80" s="925"/>
      <c r="L80" s="933"/>
      <c r="M80" s="933"/>
      <c r="N80" s="3387"/>
      <c r="O80" s="3388"/>
      <c r="P80" s="3388"/>
      <c r="Q80" s="3388"/>
      <c r="R80" s="3388"/>
      <c r="S80" s="3388"/>
      <c r="T80" s="3388"/>
      <c r="U80" s="3388"/>
      <c r="V80" s="3388"/>
      <c r="W80" s="3389"/>
      <c r="X80" s="983"/>
      <c r="Y80" s="982"/>
      <c r="Z80" s="982"/>
      <c r="AA80" s="982"/>
      <c r="AB80" s="982"/>
      <c r="AC80" s="982"/>
      <c r="AD80" s="981"/>
      <c r="AE80" s="3396"/>
      <c r="AF80" s="3397"/>
      <c r="AG80" s="3398"/>
      <c r="AH80" s="925"/>
      <c r="AI80" s="926"/>
      <c r="AJ80" s="926"/>
      <c r="AK80" s="926"/>
      <c r="AL80" s="926"/>
      <c r="AM80" s="926"/>
      <c r="AN80" s="926"/>
      <c r="AO80" s="926"/>
      <c r="AP80" s="926"/>
      <c r="AQ80" s="926"/>
      <c r="AR80" s="926"/>
      <c r="AS80" s="926"/>
      <c r="AT80" s="926"/>
      <c r="AU80" s="926"/>
      <c r="AV80" s="926"/>
      <c r="AW80" s="926"/>
      <c r="AX80" s="926"/>
      <c r="AY80" s="926"/>
      <c r="AZ80" s="926"/>
      <c r="BA80" s="926"/>
      <c r="BB80" s="926"/>
      <c r="BC80" s="926"/>
      <c r="BD80" s="980"/>
      <c r="BE80" s="926"/>
      <c r="BF80" s="926"/>
      <c r="BG80" s="926"/>
      <c r="BH80" s="926"/>
      <c r="BI80" s="926"/>
      <c r="BJ80" s="926"/>
      <c r="BK80" s="926"/>
      <c r="BL80" s="926"/>
      <c r="BM80" s="926"/>
      <c r="BN80" s="926"/>
      <c r="BO80" s="926"/>
      <c r="BP80" s="926"/>
      <c r="BQ80" s="926"/>
      <c r="BR80" s="926"/>
      <c r="BS80" s="926"/>
      <c r="BT80" s="926"/>
      <c r="BU80" s="979"/>
      <c r="CD80" s="916"/>
    </row>
    <row r="81" spans="1:88" ht="11.25" customHeight="1">
      <c r="A81" s="977"/>
      <c r="B81" s="927"/>
      <c r="C81" s="925"/>
      <c r="D81" s="925"/>
      <c r="E81" s="925"/>
      <c r="F81" s="925"/>
      <c r="G81" s="925"/>
      <c r="H81" s="925"/>
      <c r="I81" s="925"/>
      <c r="J81" s="925"/>
      <c r="K81" s="925"/>
      <c r="L81" s="933"/>
      <c r="M81" s="933"/>
      <c r="N81" s="3390"/>
      <c r="O81" s="3391"/>
      <c r="P81" s="3391"/>
      <c r="Q81" s="3391"/>
      <c r="R81" s="3391"/>
      <c r="S81" s="3391"/>
      <c r="T81" s="3391"/>
      <c r="U81" s="3391"/>
      <c r="V81" s="3391"/>
      <c r="W81" s="3392"/>
      <c r="X81" s="3399" t="str">
        <f>IF(MID(Y43,12,1)="＋",RIGHT(Y43,9),"")</f>
        <v/>
      </c>
      <c r="Y81" s="3400"/>
      <c r="Z81" s="3400"/>
      <c r="AA81" s="3400"/>
      <c r="AB81" s="3400"/>
      <c r="AC81" s="3400"/>
      <c r="AD81" s="3401"/>
      <c r="AE81" s="3399"/>
      <c r="AF81" s="3400"/>
      <c r="AG81" s="3401"/>
      <c r="AH81" s="925"/>
      <c r="AI81" s="3407" t="str">
        <f>IF(N83="","","1面あたり")</f>
        <v>1面あたり</v>
      </c>
      <c r="AJ81" s="3407"/>
      <c r="AK81" s="3407"/>
      <c r="AL81" s="3407"/>
      <c r="AM81" s="3407"/>
      <c r="AN81" s="3407"/>
      <c r="AO81" s="3154" t="str">
        <f>IF(N79="","","TR")</f>
        <v/>
      </c>
      <c r="AP81" s="3154"/>
      <c r="AQ81" s="3370" t="str">
        <f>IF(AO81="","",IF(X81&lt;&gt;"","26"&amp;" ×"&amp;(RIGHT(X79,1)+RIGHT(X81,1)),"26"&amp;" ×"&amp;RIGHT(X79,1)))</f>
        <v/>
      </c>
      <c r="AR81" s="3371"/>
      <c r="AS81" s="3371"/>
      <c r="AT81" s="3372"/>
      <c r="AU81" s="986"/>
      <c r="AV81" s="3407" t="str">
        <f>IF(N83="","","1面あたり")</f>
        <v>1面あたり</v>
      </c>
      <c r="AW81" s="3407"/>
      <c r="AX81" s="3407"/>
      <c r="AY81" s="3407"/>
      <c r="AZ81" s="3407"/>
      <c r="BA81" s="926"/>
      <c r="BB81" s="926"/>
      <c r="BC81" s="926"/>
      <c r="BD81" s="980"/>
      <c r="BE81" s="3373" t="str">
        <f>IF(N79="","","Ⓐ")</f>
        <v/>
      </c>
      <c r="BF81" s="3374"/>
      <c r="BG81" s="3375"/>
      <c r="BH81" s="926"/>
      <c r="BI81" s="3373" t="str">
        <f>IF(N79="","","2CT")</f>
        <v/>
      </c>
      <c r="BJ81" s="3374"/>
      <c r="BK81" s="3375"/>
      <c r="BL81" s="926"/>
      <c r="BM81" s="3373" t="str">
        <f>IF(N79="","","49×2")</f>
        <v/>
      </c>
      <c r="BN81" s="3374"/>
      <c r="BO81" s="3375"/>
      <c r="BP81" s="926"/>
      <c r="BQ81" s="926"/>
      <c r="BR81" s="926"/>
      <c r="BS81" s="926"/>
      <c r="BT81" s="926"/>
      <c r="BU81" s="979"/>
    </row>
    <row r="82" spans="1:88" ht="3" customHeight="1">
      <c r="B82" s="927"/>
      <c r="C82" s="925"/>
      <c r="D82" s="925"/>
      <c r="E82" s="925"/>
      <c r="F82" s="925"/>
      <c r="G82" s="925"/>
      <c r="H82" s="925"/>
      <c r="I82" s="925"/>
      <c r="J82" s="925"/>
      <c r="K82" s="925"/>
      <c r="L82" s="925"/>
      <c r="M82" s="925"/>
      <c r="N82" s="926"/>
      <c r="O82" s="926"/>
      <c r="P82" s="926"/>
      <c r="Q82" s="926"/>
      <c r="R82" s="926"/>
      <c r="S82" s="926"/>
      <c r="T82" s="926"/>
      <c r="U82" s="926"/>
      <c r="V82" s="926"/>
      <c r="W82" s="926"/>
      <c r="X82" s="926"/>
      <c r="Y82" s="926"/>
      <c r="Z82" s="926"/>
      <c r="AA82" s="926"/>
      <c r="AB82" s="926"/>
      <c r="AC82" s="926"/>
      <c r="AD82" s="926"/>
      <c r="AE82" s="926"/>
      <c r="AF82" s="926"/>
      <c r="AG82" s="926"/>
      <c r="AH82" s="935"/>
      <c r="AI82" s="3408"/>
      <c r="AJ82" s="3408"/>
      <c r="AK82" s="3408"/>
      <c r="AL82" s="3408"/>
      <c r="AM82" s="3408"/>
      <c r="AN82" s="3408"/>
      <c r="AO82" s="926"/>
      <c r="AP82" s="926"/>
      <c r="AQ82" s="926"/>
      <c r="AR82" s="926"/>
      <c r="AS82" s="984"/>
      <c r="AT82" s="984"/>
      <c r="AU82" s="984"/>
      <c r="AV82" s="3408"/>
      <c r="AW82" s="3408"/>
      <c r="AX82" s="3408"/>
      <c r="AY82" s="3408"/>
      <c r="AZ82" s="3408"/>
      <c r="BA82" s="926"/>
      <c r="BB82" s="926"/>
      <c r="BC82" s="926"/>
      <c r="BD82" s="3376"/>
      <c r="BE82" s="3376"/>
      <c r="BF82" s="3376"/>
      <c r="BG82" s="3376"/>
      <c r="BH82" s="3376"/>
      <c r="BI82" s="3376"/>
      <c r="BJ82" s="3376"/>
      <c r="BK82" s="3376"/>
      <c r="BL82" s="3376"/>
      <c r="BM82" s="3376"/>
      <c r="BN82" s="3376"/>
      <c r="BO82" s="3376"/>
      <c r="BP82" s="3376"/>
      <c r="BQ82" s="3376"/>
      <c r="BR82" s="3376"/>
      <c r="BS82" s="3376"/>
      <c r="BT82" s="3376"/>
      <c r="BU82" s="3377"/>
      <c r="BV82" s="987"/>
      <c r="CC82" s="936"/>
      <c r="CD82" s="916"/>
      <c r="CJ82" s="916"/>
    </row>
    <row r="83" spans="1:88" ht="11.25" customHeight="1">
      <c r="A83" s="977"/>
      <c r="B83" s="927"/>
      <c r="C83" s="925"/>
      <c r="D83" s="925"/>
      <c r="E83" s="925"/>
      <c r="F83" s="925"/>
      <c r="G83" s="925"/>
      <c r="H83" s="925"/>
      <c r="I83" s="925"/>
      <c r="J83" s="925"/>
      <c r="K83" s="925"/>
      <c r="L83" s="925"/>
      <c r="M83" s="925"/>
      <c r="N83" s="3386" t="str">
        <f>IF(N45="","","3φ3W 210V")</f>
        <v>3φ3W 210V</v>
      </c>
      <c r="O83" s="3030"/>
      <c r="P83" s="3030"/>
      <c r="Q83" s="3030"/>
      <c r="R83" s="3030"/>
      <c r="S83" s="3030"/>
      <c r="T83" s="3030"/>
      <c r="U83" s="3030"/>
      <c r="V83" s="3030"/>
      <c r="W83" s="3031"/>
      <c r="X83" s="3393" t="str">
        <f>IF(Y45="","",LEFT(Y45,10))</f>
        <v>1500 KVA×2</v>
      </c>
      <c r="Y83" s="3394"/>
      <c r="Z83" s="3394"/>
      <c r="AA83" s="3394"/>
      <c r="AB83" s="3394"/>
      <c r="AC83" s="3394"/>
      <c r="AD83" s="3395"/>
      <c r="AE83" s="3393" t="str">
        <f>IF(Y45="","",1+INT(CU131*1.1/12)&amp;"面")</f>
        <v>1面</v>
      </c>
      <c r="AF83" s="3394"/>
      <c r="AG83" s="3395"/>
      <c r="AH83" s="925"/>
      <c r="AI83" s="3004" t="str">
        <f>IF(N83="","","MCCB 数")</f>
        <v>MCCB 数</v>
      </c>
      <c r="AJ83" s="3005"/>
      <c r="AK83" s="3005"/>
      <c r="AL83" s="3005"/>
      <c r="AM83" s="3005"/>
      <c r="AN83" s="3006"/>
      <c r="AO83" s="3402">
        <f>IF(AC6="L","",1+[6]低幹!$CF$422/(1+INT([6]低幹!$CF$422*1.1/12)))</f>
        <v>10.25</v>
      </c>
      <c r="AP83" s="3403"/>
      <c r="AQ83" s="3404"/>
      <c r="AR83" s="926"/>
      <c r="AS83" s="3004" t="str">
        <f>IF(N83="","","計器・表示灯・継電器")</f>
        <v>計器・表示灯・継電器</v>
      </c>
      <c r="AT83" s="3005"/>
      <c r="AU83" s="3005"/>
      <c r="AV83" s="3005"/>
      <c r="AW83" s="3005"/>
      <c r="AX83" s="3005"/>
      <c r="AY83" s="3005"/>
      <c r="AZ83" s="3005"/>
      <c r="BA83" s="3005"/>
      <c r="BB83" s="3005"/>
      <c r="BC83" s="3006"/>
      <c r="BD83" s="980"/>
      <c r="BE83" s="3373" t="str">
        <f>IF(N83="","","Ⓥ")</f>
        <v>Ⓥ</v>
      </c>
      <c r="BF83" s="3374"/>
      <c r="BG83" s="3375"/>
      <c r="BH83" s="926"/>
      <c r="BI83" s="3373" t="str">
        <f>IF(N83="","","LGR")</f>
        <v>LGR</v>
      </c>
      <c r="BJ83" s="3374"/>
      <c r="BK83" s="3375"/>
      <c r="BL83" s="926"/>
      <c r="BM83" s="3373" t="str">
        <f>IF(N83="","","ZCT")</f>
        <v>ZCT</v>
      </c>
      <c r="BN83" s="3374"/>
      <c r="BO83" s="3375"/>
      <c r="BP83" s="926"/>
      <c r="BQ83" s="3406"/>
      <c r="BR83" s="3406"/>
      <c r="BS83" s="3406"/>
      <c r="BT83" s="926"/>
      <c r="BU83" s="979"/>
      <c r="CD83" s="916"/>
      <c r="CJ83" s="916"/>
    </row>
    <row r="84" spans="1:88" ht="2.25" customHeight="1">
      <c r="A84" s="977"/>
      <c r="B84" s="927"/>
      <c r="C84" s="925"/>
      <c r="D84" s="925"/>
      <c r="E84" s="925"/>
      <c r="F84" s="925"/>
      <c r="G84" s="925"/>
      <c r="H84" s="925"/>
      <c r="I84" s="925"/>
      <c r="J84" s="925"/>
      <c r="K84" s="925"/>
      <c r="L84" s="925"/>
      <c r="M84" s="925"/>
      <c r="N84" s="3387"/>
      <c r="O84" s="3388"/>
      <c r="P84" s="3388"/>
      <c r="Q84" s="3388"/>
      <c r="R84" s="3388"/>
      <c r="S84" s="3388"/>
      <c r="T84" s="3388"/>
      <c r="U84" s="3388"/>
      <c r="V84" s="3388"/>
      <c r="W84" s="3389"/>
      <c r="X84" s="983"/>
      <c r="Y84" s="982"/>
      <c r="Z84" s="982"/>
      <c r="AA84" s="982"/>
      <c r="AB84" s="982"/>
      <c r="AC84" s="982"/>
      <c r="AD84" s="981"/>
      <c r="AE84" s="3396"/>
      <c r="AF84" s="3397"/>
      <c r="AG84" s="3398"/>
      <c r="AH84" s="925"/>
      <c r="AI84" s="926"/>
      <c r="AJ84" s="926"/>
      <c r="AK84" s="926"/>
      <c r="AL84" s="926"/>
      <c r="AM84" s="926"/>
      <c r="AN84" s="926"/>
      <c r="AO84" s="926"/>
      <c r="AP84" s="926"/>
      <c r="AQ84" s="926"/>
      <c r="AR84" s="926"/>
      <c r="AS84" s="926"/>
      <c r="AT84" s="926"/>
      <c r="AU84" s="926"/>
      <c r="AV84" s="926"/>
      <c r="AW84" s="926"/>
      <c r="AX84" s="926"/>
      <c r="AY84" s="926"/>
      <c r="AZ84" s="926"/>
      <c r="BA84" s="926"/>
      <c r="BB84" s="926"/>
      <c r="BC84" s="926"/>
      <c r="BD84" s="980"/>
      <c r="BE84" s="926"/>
      <c r="BF84" s="926"/>
      <c r="BG84" s="926"/>
      <c r="BH84" s="926"/>
      <c r="BI84" s="926"/>
      <c r="BJ84" s="926"/>
      <c r="BK84" s="926"/>
      <c r="BL84" s="926"/>
      <c r="BM84" s="926"/>
      <c r="BN84" s="926"/>
      <c r="BO84" s="926"/>
      <c r="BP84" s="926"/>
      <c r="BQ84" s="926"/>
      <c r="BR84" s="926"/>
      <c r="BS84" s="926"/>
      <c r="BT84" s="926"/>
      <c r="BU84" s="979"/>
      <c r="CD84" s="916"/>
      <c r="CJ84" s="916"/>
    </row>
    <row r="85" spans="1:88" ht="11.25" customHeight="1">
      <c r="A85" s="977"/>
      <c r="B85" s="927"/>
      <c r="C85" s="925"/>
      <c r="D85" s="925"/>
      <c r="E85" s="925"/>
      <c r="F85" s="925"/>
      <c r="G85" s="925"/>
      <c r="H85" s="925"/>
      <c r="I85" s="925"/>
      <c r="J85" s="925"/>
      <c r="K85" s="925"/>
      <c r="L85" s="925"/>
      <c r="M85" s="925"/>
      <c r="N85" s="3390"/>
      <c r="O85" s="3391"/>
      <c r="P85" s="3391"/>
      <c r="Q85" s="3391"/>
      <c r="R85" s="3391"/>
      <c r="S85" s="3391"/>
      <c r="T85" s="3391"/>
      <c r="U85" s="3391"/>
      <c r="V85" s="3391"/>
      <c r="W85" s="3392"/>
      <c r="X85" s="3399" t="str">
        <f>IF(MID(Y45,12,1)="＋",RIGHT(Y45,9),"")</f>
        <v/>
      </c>
      <c r="Y85" s="3400"/>
      <c r="Z85" s="3400"/>
      <c r="AA85" s="3400"/>
      <c r="AB85" s="3400"/>
      <c r="AC85" s="3400"/>
      <c r="AD85" s="3401"/>
      <c r="AE85" s="3399"/>
      <c r="AF85" s="3400"/>
      <c r="AG85" s="3401"/>
      <c r="AH85" s="925"/>
      <c r="AI85" s="3407" t="str">
        <f>IF(N87="","","1面あたり")</f>
        <v>1面あたり</v>
      </c>
      <c r="AJ85" s="3407"/>
      <c r="AK85" s="3407"/>
      <c r="AL85" s="3407"/>
      <c r="AM85" s="3407"/>
      <c r="AN85" s="3407"/>
      <c r="AO85" s="3154" t="str">
        <f>IF(N83="","","TR")</f>
        <v>TR</v>
      </c>
      <c r="AP85" s="3154"/>
      <c r="AQ85" s="3370" t="str">
        <f>IF(AO85="","",IF(X85&lt;&gt;"","26"&amp;" ×"&amp;(RIGHT(X83,1)+RIGHT(X85,1)),"26"&amp;" ×"&amp;RIGHT(X83,1)))</f>
        <v>26 ×2</v>
      </c>
      <c r="AR85" s="3371"/>
      <c r="AS85" s="3371"/>
      <c r="AT85" s="3372"/>
      <c r="AU85" s="986"/>
      <c r="AV85" s="3407" t="str">
        <f>IF(N87="","","1面あたり")</f>
        <v>1面あたり</v>
      </c>
      <c r="AW85" s="3407"/>
      <c r="AX85" s="3407"/>
      <c r="AY85" s="3407"/>
      <c r="AZ85" s="3407"/>
      <c r="BA85" s="926"/>
      <c r="BB85" s="926"/>
      <c r="BC85" s="926"/>
      <c r="BD85" s="980"/>
      <c r="BE85" s="3373" t="str">
        <f>IF(N83="","","Ⓐ")</f>
        <v>Ⓐ</v>
      </c>
      <c r="BF85" s="3374"/>
      <c r="BG85" s="3375"/>
      <c r="BH85" s="926"/>
      <c r="BI85" s="3373" t="str">
        <f>IF(N83="","","2CT")</f>
        <v>2CT</v>
      </c>
      <c r="BJ85" s="3374"/>
      <c r="BK85" s="3375"/>
      <c r="BL85" s="926"/>
      <c r="BM85" s="3373" t="str">
        <f>IF(N83="","","49×2")</f>
        <v>49×2</v>
      </c>
      <c r="BN85" s="3374"/>
      <c r="BO85" s="3375"/>
      <c r="BP85" s="926"/>
      <c r="BQ85" s="926"/>
      <c r="BR85" s="926"/>
      <c r="BS85" s="926"/>
      <c r="BT85" s="926"/>
      <c r="BU85" s="979"/>
      <c r="CD85" s="916"/>
      <c r="CJ85" s="916"/>
    </row>
    <row r="86" spans="1:88" ht="3" customHeight="1">
      <c r="B86" s="927"/>
      <c r="C86" s="925"/>
      <c r="D86" s="985"/>
      <c r="E86" s="925"/>
      <c r="F86" s="925"/>
      <c r="G86" s="925"/>
      <c r="H86" s="925"/>
      <c r="I86" s="925"/>
      <c r="J86" s="925"/>
      <c r="K86" s="925"/>
      <c r="L86" s="925"/>
      <c r="M86" s="925"/>
      <c r="N86" s="926"/>
      <c r="O86" s="926"/>
      <c r="P86" s="926"/>
      <c r="Q86" s="926"/>
      <c r="R86" s="926"/>
      <c r="S86" s="926"/>
      <c r="T86" s="926"/>
      <c r="U86" s="926"/>
      <c r="V86" s="926"/>
      <c r="W86" s="926"/>
      <c r="X86" s="926"/>
      <c r="Y86" s="926"/>
      <c r="Z86" s="926"/>
      <c r="AA86" s="926"/>
      <c r="AB86" s="926"/>
      <c r="AC86" s="926"/>
      <c r="AD86" s="926"/>
      <c r="AE86" s="926"/>
      <c r="AF86" s="926"/>
      <c r="AG86" s="926"/>
      <c r="AH86" s="935"/>
      <c r="AI86" s="3408"/>
      <c r="AJ86" s="3408"/>
      <c r="AK86" s="3408"/>
      <c r="AL86" s="3408"/>
      <c r="AM86" s="3408"/>
      <c r="AN86" s="3408"/>
      <c r="AO86" s="926"/>
      <c r="AP86" s="926"/>
      <c r="AQ86" s="926"/>
      <c r="AR86" s="926"/>
      <c r="AS86" s="984"/>
      <c r="AT86" s="984"/>
      <c r="AU86" s="984"/>
      <c r="AV86" s="3408"/>
      <c r="AW86" s="3408"/>
      <c r="AX86" s="3408"/>
      <c r="AY86" s="3408"/>
      <c r="AZ86" s="3408"/>
      <c r="BA86" s="926"/>
      <c r="BB86" s="926"/>
      <c r="BC86" s="926"/>
      <c r="BD86" s="3376"/>
      <c r="BE86" s="3376"/>
      <c r="BF86" s="3376"/>
      <c r="BG86" s="3376"/>
      <c r="BH86" s="3376"/>
      <c r="BI86" s="3376"/>
      <c r="BJ86" s="3376"/>
      <c r="BK86" s="3376"/>
      <c r="BL86" s="3376"/>
      <c r="BM86" s="3376"/>
      <c r="BN86" s="3376"/>
      <c r="BO86" s="3376"/>
      <c r="BP86" s="3376"/>
      <c r="BQ86" s="3376"/>
      <c r="BR86" s="3376"/>
      <c r="BS86" s="3376"/>
      <c r="BT86" s="3376"/>
      <c r="BU86" s="3377"/>
      <c r="CC86" s="936"/>
      <c r="CD86" s="916"/>
      <c r="CJ86" s="916"/>
    </row>
    <row r="87" spans="1:88" ht="11.25" customHeight="1">
      <c r="A87" s="977"/>
      <c r="B87" s="927"/>
      <c r="C87" s="925"/>
      <c r="D87" s="925"/>
      <c r="E87" s="925"/>
      <c r="F87" s="925"/>
      <c r="G87" s="925"/>
      <c r="H87" s="925"/>
      <c r="I87" s="925"/>
      <c r="J87" s="925"/>
      <c r="K87" s="925"/>
      <c r="L87" s="925"/>
      <c r="M87" s="925"/>
      <c r="N87" s="3386" t="str">
        <f>IF(N47="","","3φ3W 440V")</f>
        <v>3φ3W 440V</v>
      </c>
      <c r="O87" s="3030"/>
      <c r="P87" s="3030"/>
      <c r="Q87" s="3030"/>
      <c r="R87" s="3030"/>
      <c r="S87" s="3030"/>
      <c r="T87" s="3030"/>
      <c r="U87" s="3030"/>
      <c r="V87" s="3030"/>
      <c r="W87" s="3031"/>
      <c r="X87" s="3393" t="str">
        <f>IF(Y47="","",LEFT(Y47,10))</f>
        <v xml:space="preserve">  75 KVA×1</v>
      </c>
      <c r="Y87" s="3394"/>
      <c r="Z87" s="3394"/>
      <c r="AA87" s="3394"/>
      <c r="AB87" s="3394"/>
      <c r="AC87" s="3394"/>
      <c r="AD87" s="3395"/>
      <c r="AE87" s="3393" t="str">
        <f>IF(Y47="","",1+INT(CY131*1.1/12)&amp;"面")</f>
        <v>1面</v>
      </c>
      <c r="AF87" s="3394"/>
      <c r="AG87" s="3395"/>
      <c r="AH87" s="925"/>
      <c r="AI87" s="3004" t="str">
        <f>IF(N87="","","MCCB 数")</f>
        <v>MCCB 数</v>
      </c>
      <c r="AJ87" s="3005"/>
      <c r="AK87" s="3005"/>
      <c r="AL87" s="3005"/>
      <c r="AM87" s="3005"/>
      <c r="AN87" s="3006"/>
      <c r="AO87" s="3402">
        <f>IF(AC6="L","",1+[6]低幹!$CL$422/(1+INT([6]低幹!$CL$422*1.1/12)))</f>
        <v>2</v>
      </c>
      <c r="AP87" s="3403"/>
      <c r="AQ87" s="3404"/>
      <c r="AR87" s="926"/>
      <c r="AS87" s="3004" t="str">
        <f>IF(N87="","","計器・表示灯・継電器")</f>
        <v>計器・表示灯・継電器</v>
      </c>
      <c r="AT87" s="3005"/>
      <c r="AU87" s="3005"/>
      <c r="AV87" s="3005"/>
      <c r="AW87" s="3005"/>
      <c r="AX87" s="3005"/>
      <c r="AY87" s="3005"/>
      <c r="AZ87" s="3005"/>
      <c r="BA87" s="3005"/>
      <c r="BB87" s="3005"/>
      <c r="BC87" s="3006"/>
      <c r="BD87" s="980"/>
      <c r="BE87" s="3373" t="str">
        <f>IF(N87="","","Ⓥ")</f>
        <v>Ⓥ</v>
      </c>
      <c r="BF87" s="3374"/>
      <c r="BG87" s="3375"/>
      <c r="BH87" s="926"/>
      <c r="BI87" s="3373" t="str">
        <f>IF(N87="","","LGR")</f>
        <v>LGR</v>
      </c>
      <c r="BJ87" s="3374"/>
      <c r="BK87" s="3375"/>
      <c r="BL87" s="926"/>
      <c r="BM87" s="3373" t="str">
        <f>IF(N87="","","ZCT")</f>
        <v>ZCT</v>
      </c>
      <c r="BN87" s="3374"/>
      <c r="BO87" s="3375"/>
      <c r="BP87" s="926"/>
      <c r="BQ87" s="3373" t="str">
        <f>IF(N87="","","2VT")</f>
        <v>2VT</v>
      </c>
      <c r="BR87" s="3374"/>
      <c r="BS87" s="3375"/>
      <c r="BT87" s="926"/>
      <c r="BU87" s="979"/>
    </row>
    <row r="88" spans="1:88" ht="2.25" customHeight="1">
      <c r="A88" s="977"/>
      <c r="B88" s="927"/>
      <c r="C88" s="925"/>
      <c r="D88" s="925"/>
      <c r="E88" s="925"/>
      <c r="F88" s="925"/>
      <c r="G88" s="925"/>
      <c r="H88" s="925"/>
      <c r="I88" s="925"/>
      <c r="J88" s="925"/>
      <c r="K88" s="925"/>
      <c r="L88" s="925"/>
      <c r="M88" s="925"/>
      <c r="N88" s="3387"/>
      <c r="O88" s="3388"/>
      <c r="P88" s="3388"/>
      <c r="Q88" s="3388"/>
      <c r="R88" s="3388"/>
      <c r="S88" s="3388"/>
      <c r="T88" s="3388"/>
      <c r="U88" s="3388"/>
      <c r="V88" s="3388"/>
      <c r="W88" s="3389"/>
      <c r="X88" s="983"/>
      <c r="Y88" s="982"/>
      <c r="Z88" s="982"/>
      <c r="AA88" s="982"/>
      <c r="AB88" s="982"/>
      <c r="AC88" s="982"/>
      <c r="AD88" s="981"/>
      <c r="AE88" s="3396"/>
      <c r="AF88" s="3397"/>
      <c r="AG88" s="3398"/>
      <c r="AH88" s="925"/>
      <c r="AI88" s="926"/>
      <c r="AJ88" s="926"/>
      <c r="AK88" s="926"/>
      <c r="AL88" s="926"/>
      <c r="AM88" s="926"/>
      <c r="AN88" s="926"/>
      <c r="AO88" s="926"/>
      <c r="AP88" s="926"/>
      <c r="AQ88" s="926"/>
      <c r="AR88" s="926"/>
      <c r="AS88" s="926"/>
      <c r="AT88" s="926"/>
      <c r="AU88" s="926"/>
      <c r="AV88" s="926"/>
      <c r="AW88" s="926"/>
      <c r="AX88" s="926"/>
      <c r="AY88" s="926"/>
      <c r="AZ88" s="926"/>
      <c r="BA88" s="926"/>
      <c r="BB88" s="926"/>
      <c r="BC88" s="926"/>
      <c r="BD88" s="980"/>
      <c r="BE88" s="926"/>
      <c r="BF88" s="926"/>
      <c r="BG88" s="926"/>
      <c r="BH88" s="926"/>
      <c r="BI88" s="926"/>
      <c r="BJ88" s="926"/>
      <c r="BK88" s="926"/>
      <c r="BL88" s="926"/>
      <c r="BM88" s="926"/>
      <c r="BN88" s="926"/>
      <c r="BO88" s="926"/>
      <c r="BP88" s="926"/>
      <c r="BQ88" s="926"/>
      <c r="BR88" s="926"/>
      <c r="BS88" s="926"/>
      <c r="BT88" s="926"/>
      <c r="BU88" s="979"/>
    </row>
    <row r="89" spans="1:88" ht="11.25" customHeight="1">
      <c r="A89" s="977"/>
      <c r="B89" s="927"/>
      <c r="C89" s="925"/>
      <c r="D89" s="925"/>
      <c r="E89" s="925"/>
      <c r="F89" s="925"/>
      <c r="G89" s="925"/>
      <c r="H89" s="925"/>
      <c r="I89" s="925"/>
      <c r="J89" s="925"/>
      <c r="K89" s="925"/>
      <c r="L89" s="925"/>
      <c r="M89" s="925"/>
      <c r="N89" s="3390"/>
      <c r="O89" s="3391"/>
      <c r="P89" s="3391"/>
      <c r="Q89" s="3391"/>
      <c r="R89" s="3391"/>
      <c r="S89" s="3391"/>
      <c r="T89" s="3391"/>
      <c r="U89" s="3391"/>
      <c r="V89" s="3391"/>
      <c r="W89" s="3392"/>
      <c r="X89" s="3399" t="str">
        <f>IF(MID(Y47,12,1)="＋",RIGHT(Y47,9),"")</f>
        <v/>
      </c>
      <c r="Y89" s="3400"/>
      <c r="Z89" s="3400"/>
      <c r="AA89" s="3400"/>
      <c r="AB89" s="3400"/>
      <c r="AC89" s="3400"/>
      <c r="AD89" s="3401"/>
      <c r="AE89" s="3399"/>
      <c r="AF89" s="3400"/>
      <c r="AG89" s="3401"/>
      <c r="AH89" s="925"/>
      <c r="AI89" s="926"/>
      <c r="AJ89" s="926"/>
      <c r="AK89" s="926"/>
      <c r="AL89" s="926"/>
      <c r="AM89" s="926"/>
      <c r="AN89" s="926"/>
      <c r="AO89" s="3154" t="str">
        <f>IF(N87="","","TR")</f>
        <v>TR</v>
      </c>
      <c r="AP89" s="3154"/>
      <c r="AQ89" s="3370" t="str">
        <f>IF(AO89="","",IF(X89&lt;&gt;"","26"&amp;" ×"&amp;(RIGHT(X87,1)+RIGHT(X89,1)),"26"&amp;" ×"&amp;RIGHT(X87,1)))</f>
        <v>26 ×1</v>
      </c>
      <c r="AR89" s="3371"/>
      <c r="AS89" s="3371"/>
      <c r="AT89" s="3372"/>
      <c r="AU89" s="926"/>
      <c r="AV89" s="926"/>
      <c r="AW89" s="926"/>
      <c r="AX89" s="926"/>
      <c r="AY89" s="926"/>
      <c r="AZ89" s="926"/>
      <c r="BA89" s="926"/>
      <c r="BB89" s="926"/>
      <c r="BC89" s="926"/>
      <c r="BD89" s="980"/>
      <c r="BE89" s="3373" t="str">
        <f>IF(N87="","","Ⓐ")</f>
        <v>Ⓐ</v>
      </c>
      <c r="BF89" s="3374"/>
      <c r="BG89" s="3375"/>
      <c r="BH89" s="926"/>
      <c r="BI89" s="3373" t="str">
        <f>IF(N87="","","2CT")</f>
        <v>2CT</v>
      </c>
      <c r="BJ89" s="3374"/>
      <c r="BK89" s="3375"/>
      <c r="BL89" s="926"/>
      <c r="BM89" s="3373" t="str">
        <f>IF(N87="","","49×2")</f>
        <v>49×2</v>
      </c>
      <c r="BN89" s="3374"/>
      <c r="BO89" s="3375"/>
      <c r="BP89" s="926"/>
      <c r="BQ89" s="926"/>
      <c r="BR89" s="926"/>
      <c r="BS89" s="926"/>
      <c r="BT89" s="926"/>
      <c r="BU89" s="979"/>
    </row>
    <row r="90" spans="1:88" ht="3" customHeight="1">
      <c r="A90" s="977"/>
      <c r="B90" s="923"/>
      <c r="C90" s="918"/>
      <c r="D90" s="918"/>
      <c r="E90" s="918"/>
      <c r="F90" s="918"/>
      <c r="G90" s="918"/>
      <c r="H90" s="918"/>
      <c r="I90" s="918"/>
      <c r="J90" s="918"/>
      <c r="K90" s="918"/>
      <c r="L90" s="918"/>
      <c r="M90" s="918"/>
      <c r="N90" s="978"/>
      <c r="O90" s="978"/>
      <c r="P90" s="978"/>
      <c r="Q90" s="978"/>
      <c r="R90" s="978"/>
      <c r="S90" s="978"/>
      <c r="T90" s="978"/>
      <c r="U90" s="978"/>
      <c r="V90" s="978"/>
      <c r="W90" s="978"/>
      <c r="X90" s="918"/>
      <c r="Y90" s="918"/>
      <c r="Z90" s="918"/>
      <c r="AA90" s="918"/>
      <c r="AB90" s="918"/>
      <c r="AC90" s="918"/>
      <c r="AD90" s="918"/>
      <c r="AE90" s="918"/>
      <c r="AF90" s="918"/>
      <c r="AG90" s="918"/>
      <c r="AH90" s="918"/>
      <c r="AI90" s="918"/>
      <c r="AJ90" s="918"/>
      <c r="AK90" s="918"/>
      <c r="AL90" s="918"/>
      <c r="AM90" s="918"/>
      <c r="AN90" s="918"/>
      <c r="AO90" s="918"/>
      <c r="AP90" s="918"/>
      <c r="AQ90" s="918"/>
      <c r="AR90" s="918"/>
      <c r="AS90" s="918"/>
      <c r="AT90" s="918"/>
      <c r="AU90" s="918"/>
      <c r="AV90" s="918"/>
      <c r="AW90" s="918"/>
      <c r="AX90" s="918"/>
      <c r="AY90" s="918"/>
      <c r="AZ90" s="918"/>
      <c r="BA90" s="918"/>
      <c r="BB90" s="918"/>
      <c r="BC90" s="918"/>
      <c r="BD90" s="3378"/>
      <c r="BE90" s="3378"/>
      <c r="BF90" s="3378"/>
      <c r="BG90" s="3378"/>
      <c r="BH90" s="3378"/>
      <c r="BI90" s="3378"/>
      <c r="BJ90" s="3378"/>
      <c r="BK90" s="3378"/>
      <c r="BL90" s="3378"/>
      <c r="BM90" s="3378"/>
      <c r="BN90" s="3378"/>
      <c r="BO90" s="3378"/>
      <c r="BP90" s="3378"/>
      <c r="BQ90" s="3378"/>
      <c r="BR90" s="3378"/>
      <c r="BS90" s="3378"/>
      <c r="BT90" s="3378"/>
      <c r="BU90" s="3379"/>
    </row>
    <row r="91" spans="1:88" ht="7.5" customHeight="1">
      <c r="A91" s="977"/>
      <c r="B91" s="976"/>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c r="AL91" s="975"/>
      <c r="AM91" s="975"/>
      <c r="AN91" s="975"/>
      <c r="AO91" s="975"/>
      <c r="AP91" s="975"/>
      <c r="AQ91" s="975"/>
      <c r="AR91" s="975"/>
      <c r="AS91" s="975"/>
      <c r="AT91" s="975"/>
      <c r="AU91" s="975"/>
      <c r="AV91" s="975"/>
      <c r="AW91" s="975"/>
      <c r="AX91" s="975"/>
      <c r="AY91" s="975"/>
      <c r="AZ91" s="975"/>
      <c r="BA91" s="975"/>
      <c r="BB91" s="975"/>
      <c r="BC91" s="975"/>
      <c r="BD91" s="975"/>
      <c r="BE91" s="975"/>
      <c r="BF91" s="975"/>
      <c r="BG91" s="975"/>
      <c r="BH91" s="975"/>
      <c r="BI91" s="975"/>
      <c r="BJ91" s="975"/>
      <c r="BK91" s="975"/>
      <c r="BL91" s="975"/>
      <c r="BM91" s="975"/>
      <c r="BN91" s="975"/>
      <c r="BO91" s="975"/>
      <c r="BP91" s="975"/>
      <c r="BQ91" s="975"/>
      <c r="BR91" s="975"/>
      <c r="BS91" s="975"/>
      <c r="BT91" s="975"/>
      <c r="BU91" s="974"/>
      <c r="CD91" s="916"/>
      <c r="CJ91" s="916"/>
    </row>
    <row r="92" spans="1:88" ht="7.5" customHeight="1" thickBot="1">
      <c r="A92" s="3193"/>
      <c r="B92" s="927"/>
      <c r="C92" s="925"/>
      <c r="D92" s="925"/>
      <c r="E92" s="925"/>
      <c r="F92" s="925"/>
      <c r="G92" s="925"/>
      <c r="H92" s="925"/>
      <c r="I92" s="925"/>
      <c r="J92" s="925"/>
      <c r="K92" s="925"/>
      <c r="L92" s="925"/>
      <c r="M92" s="925"/>
      <c r="N92" s="925"/>
      <c r="O92" s="925"/>
      <c r="P92" s="925"/>
      <c r="Q92" s="925"/>
      <c r="R92" s="925"/>
      <c r="S92" s="925"/>
      <c r="T92" s="925"/>
      <c r="U92" s="925"/>
      <c r="V92" s="925"/>
      <c r="W92" s="925"/>
      <c r="X92" s="925"/>
      <c r="Y92" s="935"/>
      <c r="Z92" s="935"/>
      <c r="AA92" s="935"/>
      <c r="AB92" s="935"/>
      <c r="AC92" s="935"/>
      <c r="AD92" s="935"/>
      <c r="AE92" s="935"/>
      <c r="AF92" s="935"/>
      <c r="AG92" s="935"/>
      <c r="AH92" s="935"/>
      <c r="AI92" s="935"/>
      <c r="AJ92" s="935"/>
      <c r="AK92" s="935"/>
      <c r="AL92" s="935"/>
      <c r="AM92" s="935"/>
      <c r="AN92" s="935"/>
      <c r="AO92" s="935"/>
      <c r="AP92" s="925"/>
      <c r="AQ92" s="925"/>
      <c r="AR92" s="925"/>
      <c r="AS92" s="925"/>
      <c r="AT92" s="925"/>
      <c r="AU92" s="925"/>
      <c r="AV92" s="925"/>
      <c r="AW92" s="925"/>
      <c r="AX92" s="925"/>
      <c r="AY92" s="926"/>
      <c r="AZ92" s="926"/>
      <c r="BA92" s="926"/>
      <c r="BB92" s="926"/>
      <c r="BC92" s="926"/>
      <c r="BD92" s="925"/>
      <c r="BE92" s="925"/>
      <c r="BF92" s="925"/>
      <c r="BG92" s="925"/>
      <c r="BH92" s="925"/>
      <c r="BI92" s="925"/>
      <c r="BJ92" s="925"/>
      <c r="BK92" s="925"/>
      <c r="BL92" s="925"/>
      <c r="BM92" s="925"/>
      <c r="BN92" s="925"/>
      <c r="BO92" s="925"/>
      <c r="BP92" s="925"/>
      <c r="BQ92" s="925"/>
      <c r="BR92" s="925"/>
      <c r="BS92" s="925"/>
      <c r="BT92" s="925"/>
      <c r="BU92" s="924"/>
      <c r="CD92" s="916"/>
      <c r="CJ92" s="916"/>
    </row>
    <row r="93" spans="1:88" ht="13.5" customHeight="1" thickBot="1">
      <c r="A93" s="3193"/>
      <c r="B93" s="927"/>
      <c r="C93" s="925"/>
      <c r="D93" s="3380" t="str">
        <f>IF(B2=0,"",IF(S93&lt;&gt;"",S93,"屋外キュービクル受変電設備"))</f>
        <v>開放型受変電設備</v>
      </c>
      <c r="E93" s="3381"/>
      <c r="F93" s="3381"/>
      <c r="G93" s="3381"/>
      <c r="H93" s="3381"/>
      <c r="I93" s="3381"/>
      <c r="J93" s="3381"/>
      <c r="K93" s="3381"/>
      <c r="L93" s="3381"/>
      <c r="M93" s="3381"/>
      <c r="N93" s="3381"/>
      <c r="O93" s="3381"/>
      <c r="P93" s="3381"/>
      <c r="Q93" s="3382"/>
      <c r="R93" s="973" t="s">
        <v>2371</v>
      </c>
      <c r="S93" s="2771" t="s">
        <v>2382</v>
      </c>
      <c r="T93" s="2772"/>
      <c r="U93" s="2772"/>
      <c r="V93" s="2772"/>
      <c r="W93" s="2772"/>
      <c r="X93" s="2772"/>
      <c r="Y93" s="2772"/>
      <c r="Z93" s="2772"/>
      <c r="AA93" s="2772"/>
      <c r="AB93" s="2772"/>
      <c r="AC93" s="2772"/>
      <c r="AD93" s="2772"/>
      <c r="AE93" s="2772"/>
      <c r="AF93" s="3096"/>
      <c r="AG93" s="935"/>
      <c r="AH93" s="2773" t="str">
        <f>IF(OR(B2=0,AC6="L"),"",引込!D7)</f>
        <v>D2 屋内電気室</v>
      </c>
      <c r="AI93" s="2774"/>
      <c r="AJ93" s="2774"/>
      <c r="AK93" s="2774"/>
      <c r="AL93" s="2774"/>
      <c r="AM93" s="2774"/>
      <c r="AN93" s="2774"/>
      <c r="AO93" s="2774"/>
      <c r="AP93" s="2774"/>
      <c r="AQ93" s="2775"/>
      <c r="AR93" s="2948" t="str">
        <f>IF(B2=0,"","設置階")</f>
        <v>設置階</v>
      </c>
      <c r="AS93" s="2920"/>
      <c r="AT93" s="2920"/>
      <c r="AU93" s="2921"/>
      <c r="AV93" s="3227" t="str">
        <f>IF(B2=0,"",引込!O8)</f>
        <v xml:space="preserve">  1F</v>
      </c>
      <c r="AW93" s="3228"/>
      <c r="AX93" s="3229"/>
      <c r="AY93" s="3346" t="str">
        <f>IF(B2=0,"",IF(LEFT(AV93,2)=" B","GL－",IF(AV93="  1F","GL±","GL＋")))</f>
        <v>GL±</v>
      </c>
      <c r="AZ93" s="3347"/>
      <c r="BA93" s="3347"/>
      <c r="BB93" s="3348">
        <f>IF(AV93="","",VLOOKUP(AV93,[8]照差!$CR$234:$DC$253,7,FALSE)+Top!$W$63)</f>
        <v>0.75</v>
      </c>
      <c r="BC93" s="3348"/>
      <c r="BD93" s="3348"/>
      <c r="BE93" s="3348"/>
      <c r="BF93" s="3349"/>
      <c r="BG93" s="2773" t="str">
        <f>IF(AV93="","","m")</f>
        <v>m</v>
      </c>
      <c r="BH93" s="2775"/>
      <c r="BI93" s="925"/>
      <c r="BJ93" s="3383" t="s">
        <v>2381</v>
      </c>
      <c r="BK93" s="3384"/>
      <c r="BL93" s="3384"/>
      <c r="BM93" s="3384"/>
      <c r="BN93" s="3384"/>
      <c r="BO93" s="3385"/>
      <c r="BP93" s="925"/>
      <c r="BQ93" s="3179" t="s">
        <v>2380</v>
      </c>
      <c r="BR93" s="3180"/>
      <c r="BS93" s="3181"/>
      <c r="BT93" s="925"/>
      <c r="BU93" s="924"/>
      <c r="BW93" s="3345" t="s">
        <v>3257</v>
      </c>
      <c r="BX93" s="3345"/>
      <c r="BY93" s="3225"/>
      <c r="BZ93" s="3225"/>
      <c r="CA93" s="971"/>
      <c r="CC93" s="972" t="str">
        <f>IF(LEFT(D93,2)="屋外","OCB",IF(LEFT(D93,2)="屋内","ICB","FRM"))</f>
        <v>FRM</v>
      </c>
      <c r="CD93" s="916"/>
      <c r="CE93" s="936"/>
      <c r="CF93" s="936"/>
      <c r="CG93" s="936"/>
    </row>
    <row r="94" spans="1:88" ht="2.25" customHeight="1">
      <c r="A94" s="3193"/>
      <c r="B94" s="927"/>
      <c r="C94" s="925"/>
      <c r="D94" s="925"/>
      <c r="E94" s="925"/>
      <c r="F94" s="925"/>
      <c r="G94" s="925"/>
      <c r="H94" s="925"/>
      <c r="I94" s="925"/>
      <c r="J94" s="925"/>
      <c r="K94" s="925"/>
      <c r="L94" s="925"/>
      <c r="M94" s="925"/>
      <c r="N94" s="925"/>
      <c r="O94" s="925"/>
      <c r="P94" s="925"/>
      <c r="Q94" s="925"/>
      <c r="R94" s="925"/>
      <c r="S94" s="925"/>
      <c r="T94" s="925"/>
      <c r="U94" s="925"/>
      <c r="V94" s="925"/>
      <c r="W94" s="925"/>
      <c r="X94" s="925"/>
      <c r="Y94" s="935"/>
      <c r="Z94" s="935"/>
      <c r="AA94" s="935"/>
      <c r="AB94" s="935"/>
      <c r="AC94" s="935"/>
      <c r="AD94" s="935"/>
      <c r="AE94" s="935"/>
      <c r="AF94" s="935"/>
      <c r="AG94" s="935"/>
      <c r="AH94" s="935"/>
      <c r="AI94" s="935"/>
      <c r="AJ94" s="935"/>
      <c r="AK94" s="935"/>
      <c r="AL94" s="935"/>
      <c r="AM94" s="935"/>
      <c r="AN94" s="935"/>
      <c r="AO94" s="935"/>
      <c r="AP94" s="925"/>
      <c r="AQ94" s="925"/>
      <c r="AR94" s="925"/>
      <c r="AS94" s="925"/>
      <c r="AT94" s="925"/>
      <c r="AU94" s="925"/>
      <c r="AV94" s="925"/>
      <c r="AW94" s="925"/>
      <c r="AX94" s="925"/>
      <c r="AY94" s="926"/>
      <c r="AZ94" s="926"/>
      <c r="BA94" s="926"/>
      <c r="BB94" s="926"/>
      <c r="BC94" s="926"/>
      <c r="BD94" s="925"/>
      <c r="BE94" s="925"/>
      <c r="BF94" s="925"/>
      <c r="BG94" s="925"/>
      <c r="BH94" s="925"/>
      <c r="BI94" s="925"/>
      <c r="BJ94" s="925"/>
      <c r="BK94" s="925"/>
      <c r="BL94" s="925"/>
      <c r="BM94" s="925"/>
      <c r="BN94" s="925"/>
      <c r="BO94" s="925"/>
      <c r="BP94" s="925"/>
      <c r="BQ94" s="925"/>
      <c r="BR94" s="925"/>
      <c r="BS94" s="925"/>
      <c r="BT94" s="925"/>
      <c r="BU94" s="924"/>
      <c r="BW94" s="3345"/>
      <c r="BX94" s="3345"/>
      <c r="BY94" s="971"/>
      <c r="BZ94" s="971"/>
      <c r="CA94" s="971"/>
      <c r="CC94" s="936"/>
      <c r="CD94" s="916"/>
      <c r="CE94" s="936"/>
      <c r="CF94" s="936"/>
      <c r="CG94" s="936"/>
    </row>
    <row r="95" spans="1:88" ht="15" customHeight="1">
      <c r="A95" s="3193"/>
      <c r="B95" s="3360"/>
      <c r="C95" s="2873" t="str">
        <f>IF(B2=0,"","集 計 表")</f>
        <v>集 計 表</v>
      </c>
      <c r="D95" s="2873"/>
      <c r="E95" s="2873"/>
      <c r="F95" s="2873"/>
      <c r="G95" s="2873"/>
      <c r="H95" s="2873"/>
      <c r="I95" s="925"/>
      <c r="J95" s="925"/>
      <c r="K95" s="925"/>
      <c r="L95" s="925"/>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26"/>
      <c r="AQ95" s="926"/>
      <c r="AR95" s="926"/>
      <c r="AS95" s="926"/>
      <c r="AT95" s="926"/>
      <c r="AU95" s="926"/>
      <c r="AV95" s="926"/>
      <c r="AW95" s="926"/>
      <c r="AX95" s="926"/>
      <c r="AY95" s="926"/>
      <c r="AZ95" s="926"/>
      <c r="BA95" s="926"/>
      <c r="BB95" s="925"/>
      <c r="BC95" s="926"/>
      <c r="BD95" s="925"/>
      <c r="BE95" s="925"/>
      <c r="BF95" s="925"/>
      <c r="BG95" s="925"/>
      <c r="BH95" s="2873" t="str">
        <f>IF(B2=0,"","機器単価")</f>
        <v>機器単価</v>
      </c>
      <c r="BI95" s="2873"/>
      <c r="BJ95" s="2873"/>
      <c r="BK95" s="2873"/>
      <c r="BL95" s="2873"/>
      <c r="BM95" s="2873"/>
      <c r="BN95" s="925"/>
      <c r="BO95" s="925"/>
      <c r="BP95" s="925"/>
      <c r="BQ95" s="925"/>
      <c r="BR95" s="925"/>
      <c r="BS95" s="925"/>
      <c r="BT95" s="925"/>
      <c r="BU95" s="924"/>
      <c r="BW95" s="3345"/>
      <c r="BX95" s="3345"/>
      <c r="BY95" s="971"/>
      <c r="BZ95" s="971"/>
      <c r="CA95" s="971"/>
      <c r="CC95" s="936"/>
      <c r="CD95" s="916"/>
      <c r="CE95" s="936"/>
      <c r="CF95" s="936"/>
      <c r="CG95" s="936"/>
    </row>
    <row r="96" spans="1:88" ht="2.25" customHeight="1">
      <c r="A96" s="3193"/>
      <c r="B96" s="3360"/>
      <c r="C96" s="925"/>
      <c r="D96" s="925"/>
      <c r="E96" s="925"/>
      <c r="F96" s="925"/>
      <c r="G96" s="925"/>
      <c r="H96" s="925"/>
      <c r="I96" s="925"/>
      <c r="J96" s="925"/>
      <c r="K96" s="925"/>
      <c r="L96" s="925"/>
      <c r="M96" s="925"/>
      <c r="N96" s="925"/>
      <c r="O96" s="925"/>
      <c r="P96" s="925"/>
      <c r="Q96" s="925"/>
      <c r="R96" s="925"/>
      <c r="S96" s="925"/>
      <c r="T96" s="925"/>
      <c r="U96" s="925"/>
      <c r="V96" s="925"/>
      <c r="W96" s="925"/>
      <c r="X96" s="925"/>
      <c r="Y96" s="935"/>
      <c r="Z96" s="935"/>
      <c r="AA96" s="935"/>
      <c r="AB96" s="935"/>
      <c r="AC96" s="935"/>
      <c r="AD96" s="935"/>
      <c r="AE96" s="935"/>
      <c r="AF96" s="935"/>
      <c r="AG96" s="935"/>
      <c r="AH96" s="935"/>
      <c r="AI96" s="935"/>
      <c r="AJ96" s="935"/>
      <c r="AK96" s="935"/>
      <c r="AL96" s="935"/>
      <c r="AM96" s="935"/>
      <c r="AN96" s="935"/>
      <c r="AO96" s="935"/>
      <c r="AP96" s="925"/>
      <c r="AQ96" s="925"/>
      <c r="AR96" s="925"/>
      <c r="AS96" s="925"/>
      <c r="AT96" s="925"/>
      <c r="AU96" s="925"/>
      <c r="AV96" s="925"/>
      <c r="AW96" s="925"/>
      <c r="AX96" s="925"/>
      <c r="AY96" s="926"/>
      <c r="AZ96" s="926"/>
      <c r="BA96" s="926"/>
      <c r="BB96" s="926"/>
      <c r="BC96" s="926"/>
      <c r="BD96" s="925"/>
      <c r="BE96" s="925"/>
      <c r="BF96" s="925"/>
      <c r="BG96" s="925"/>
      <c r="BH96" s="925"/>
      <c r="BI96" s="925"/>
      <c r="BJ96" s="925"/>
      <c r="BK96" s="925"/>
      <c r="BL96" s="925"/>
      <c r="BM96" s="925"/>
      <c r="BN96" s="925"/>
      <c r="BO96" s="925"/>
      <c r="BP96" s="925"/>
      <c r="BQ96" s="925"/>
      <c r="BR96" s="925"/>
      <c r="BS96" s="925"/>
      <c r="BT96" s="925"/>
      <c r="BU96" s="924"/>
      <c r="BW96" s="3345"/>
      <c r="BX96" s="3345"/>
      <c r="BY96" s="971"/>
      <c r="BZ96" s="971"/>
      <c r="CA96" s="971"/>
      <c r="CC96" s="936"/>
      <c r="CD96" s="916"/>
      <c r="CE96" s="936"/>
      <c r="CF96" s="936"/>
      <c r="CG96" s="936"/>
    </row>
    <row r="97" spans="1:105" ht="15" customHeight="1">
      <c r="A97" s="3193"/>
      <c r="B97" s="3360"/>
      <c r="C97" s="3354" t="s">
        <v>2379</v>
      </c>
      <c r="D97" s="3354"/>
      <c r="E97" s="3354"/>
      <c r="F97" s="3354"/>
      <c r="G97" s="3354"/>
      <c r="H97" s="3354"/>
      <c r="I97" s="3354"/>
      <c r="J97" s="3354"/>
      <c r="K97" s="3354"/>
      <c r="L97" s="3354"/>
      <c r="M97" s="3350" t="s">
        <v>2378</v>
      </c>
      <c r="N97" s="3351"/>
      <c r="O97" s="3352"/>
      <c r="P97" s="3350" t="s">
        <v>2377</v>
      </c>
      <c r="Q97" s="3351"/>
      <c r="R97" s="3352"/>
      <c r="S97" s="3350" t="s">
        <v>2376</v>
      </c>
      <c r="T97" s="3351"/>
      <c r="U97" s="3351"/>
      <c r="V97" s="3351"/>
      <c r="W97" s="3351"/>
      <c r="X97" s="3351"/>
      <c r="Y97" s="3351"/>
      <c r="Z97" s="3352"/>
      <c r="AA97" s="970" t="s">
        <v>2371</v>
      </c>
      <c r="AB97" s="3353" t="s">
        <v>2375</v>
      </c>
      <c r="AC97" s="3353"/>
      <c r="AD97" s="3353"/>
      <c r="AE97" s="3353"/>
      <c r="AF97" s="3353"/>
      <c r="AG97" s="3353"/>
      <c r="AH97" s="3353"/>
      <c r="AI97" s="3353" t="s">
        <v>2374</v>
      </c>
      <c r="AJ97" s="3353"/>
      <c r="AK97" s="3353"/>
      <c r="AL97" s="3353"/>
      <c r="AM97" s="3353"/>
      <c r="AN97" s="3353"/>
      <c r="AO97" s="3353"/>
      <c r="AP97" s="3353"/>
      <c r="AQ97" s="3353" t="s">
        <v>2373</v>
      </c>
      <c r="AR97" s="3353"/>
      <c r="AS97" s="3353"/>
      <c r="AT97" s="3353"/>
      <c r="AU97" s="3353"/>
      <c r="AV97" s="3354" t="s">
        <v>2372</v>
      </c>
      <c r="AW97" s="3354"/>
      <c r="AX97" s="3354"/>
      <c r="AY97" s="3354"/>
      <c r="AZ97" s="3354"/>
      <c r="BA97" s="3354"/>
      <c r="BB97" s="967">
        <f>IF(BL152="北海道",4,IF(BL152="東北",6,IF(BL152="関東",8,IF(BL152="中部",10,IF(BL152="近畿",12,IF(BL152="北陸",14,IF(BL152="中国",16,IF(BL152="四国",18,IF(BL152="九州",20,IF(BL152="沖縄",22,RIGHT(AX152,1)+21))))))))))</f>
        <v>12</v>
      </c>
      <c r="BC97" s="3277" t="str">
        <f>IF(AF61="","","2VT")</f>
        <v>2VT</v>
      </c>
      <c r="BD97" s="3277"/>
      <c r="BE97" s="3277"/>
      <c r="BF97" s="3277"/>
      <c r="BG97" s="3277"/>
      <c r="BH97" s="3161">
        <f t="shared" ref="BH97:BH118" si="0">IF(BC97="","",IF(BO97&lt;&gt;"",BO97,IF(BW97="",BX97,BW97)))</f>
        <v>60000</v>
      </c>
      <c r="BI97" s="3162"/>
      <c r="BJ97" s="3162"/>
      <c r="BK97" s="3162"/>
      <c r="BL97" s="3162"/>
      <c r="BM97" s="3163"/>
      <c r="BN97" s="934" t="s">
        <v>2371</v>
      </c>
      <c r="BO97" s="3231"/>
      <c r="BP97" s="3231"/>
      <c r="BQ97" s="3231"/>
      <c r="BR97" s="3231"/>
      <c r="BS97" s="3231"/>
      <c r="BT97" s="3231"/>
      <c r="BU97" s="924"/>
      <c r="BW97" s="958"/>
      <c r="BX97" s="957">
        <v>60000</v>
      </c>
      <c r="BY97" s="956"/>
      <c r="BZ97" s="956"/>
      <c r="CA97" s="956"/>
      <c r="CC97" s="969"/>
      <c r="CD97" s="969"/>
      <c r="CE97" s="936"/>
      <c r="CF97" s="936"/>
      <c r="CG97" s="936"/>
      <c r="CI97" s="1708"/>
      <c r="CJ97" s="1708"/>
      <c r="CK97" s="1708"/>
      <c r="CL97" s="1708"/>
      <c r="CM97" s="1708"/>
      <c r="CN97" s="1708"/>
      <c r="CO97" s="1708"/>
      <c r="CP97" s="1708"/>
      <c r="CQ97" s="1708"/>
      <c r="CR97" s="1708"/>
      <c r="CS97" s="1708"/>
      <c r="CT97" s="1708"/>
      <c r="CU97" s="1708"/>
      <c r="CV97" s="1708"/>
      <c r="CW97" s="1708"/>
      <c r="CX97" s="1708"/>
      <c r="CY97" s="1708"/>
      <c r="CZ97" s="1708"/>
      <c r="DA97" s="1708"/>
    </row>
    <row r="98" spans="1:105" ht="13.5" customHeight="1">
      <c r="A98" s="3193"/>
      <c r="B98" s="3360"/>
      <c r="C98" s="3361" t="str">
        <f>IF(D59="","","高圧受電盤")</f>
        <v>高圧受電盤</v>
      </c>
      <c r="D98" s="3362"/>
      <c r="E98" s="3362"/>
      <c r="F98" s="3362"/>
      <c r="G98" s="3362"/>
      <c r="H98" s="3362"/>
      <c r="I98" s="3362"/>
      <c r="J98" s="3362"/>
      <c r="K98" s="3362"/>
      <c r="L98" s="3363"/>
      <c r="M98" s="3364">
        <f>IF(C98="","",1)</f>
        <v>1</v>
      </c>
      <c r="N98" s="3365"/>
      <c r="O98" s="3366"/>
      <c r="P98" s="3367" t="str">
        <f>IF(M98="","","面")</f>
        <v>面</v>
      </c>
      <c r="Q98" s="3368"/>
      <c r="R98" s="3369"/>
      <c r="S98" s="3355">
        <f>IF(OR(B2=0,C98=""),"",IF(AB98&lt;&gt;"",AB98,IF(CC93="FRM",1000*INT(CC98/M98/1000),IF(CC93="ICB",1000*INT(1.3*CC98/M98/1000),1000*INT(1.4*CC98/M98/1000)))))</f>
        <v>1366000</v>
      </c>
      <c r="T98" s="3356"/>
      <c r="U98" s="3356"/>
      <c r="V98" s="3356"/>
      <c r="W98" s="3356"/>
      <c r="X98" s="3356"/>
      <c r="Y98" s="3356"/>
      <c r="Z98" s="3356"/>
      <c r="AA98" s="968" t="s">
        <v>2371</v>
      </c>
      <c r="AB98" s="3405"/>
      <c r="AC98" s="3405"/>
      <c r="AD98" s="3405"/>
      <c r="AE98" s="3405"/>
      <c r="AF98" s="3405"/>
      <c r="AG98" s="3405"/>
      <c r="AH98" s="3405"/>
      <c r="AI98" s="3355">
        <f t="shared" ref="AI98:AI104" si="1">IF(C98="","",M98*S98)</f>
        <v>1366000</v>
      </c>
      <c r="AJ98" s="3356"/>
      <c r="AK98" s="3356"/>
      <c r="AL98" s="3356"/>
      <c r="AM98" s="3356"/>
      <c r="AN98" s="3356"/>
      <c r="AO98" s="3356"/>
      <c r="AP98" s="3357"/>
      <c r="AQ98" s="3358">
        <f>IF(C98="","",IF(CC93="FRM",5.84,6.64))</f>
        <v>5.84</v>
      </c>
      <c r="AR98" s="3358"/>
      <c r="AS98" s="3358"/>
      <c r="AT98" s="3358"/>
      <c r="AU98" s="3358"/>
      <c r="AV98" s="3359">
        <f>IF(C98="","",M98*AQ98)</f>
        <v>5.84</v>
      </c>
      <c r="AW98" s="3359"/>
      <c r="AX98" s="3359"/>
      <c r="AY98" s="3359"/>
      <c r="AZ98" s="3359"/>
      <c r="BA98" s="3359"/>
      <c r="BB98" s="967">
        <f>RIGHT(AX153,1)+25</f>
        <v>26</v>
      </c>
      <c r="BC98" s="3277" t="str">
        <f>IF(AF63="","","2CT")</f>
        <v>2CT</v>
      </c>
      <c r="BD98" s="3277"/>
      <c r="BE98" s="3277"/>
      <c r="BF98" s="3277"/>
      <c r="BG98" s="3277"/>
      <c r="BH98" s="3161">
        <f t="shared" si="0"/>
        <v>40000</v>
      </c>
      <c r="BI98" s="3162"/>
      <c r="BJ98" s="3162"/>
      <c r="BK98" s="3162"/>
      <c r="BL98" s="3162"/>
      <c r="BM98" s="3163"/>
      <c r="BN98" s="934" t="s">
        <v>2371</v>
      </c>
      <c r="BO98" s="3231"/>
      <c r="BP98" s="3231"/>
      <c r="BQ98" s="3231"/>
      <c r="BR98" s="3231"/>
      <c r="BS98" s="3231"/>
      <c r="BT98" s="3231"/>
      <c r="BU98" s="924"/>
      <c r="BW98" s="958"/>
      <c r="BX98" s="957">
        <v>40000</v>
      </c>
      <c r="BY98" s="956"/>
      <c r="BZ98" s="966"/>
      <c r="CA98" s="956"/>
      <c r="CC98" s="3291">
        <f>IF(C98="","",SUM(BH97:BM118)-BH105)</f>
        <v>1366000</v>
      </c>
      <c r="CD98" s="3291"/>
      <c r="CE98" s="952">
        <f>IF(S98="",0,S98*CF98)</f>
        <v>1366000</v>
      </c>
      <c r="CF98" s="951">
        <f>IF(M98="",0,M98)</f>
        <v>1</v>
      </c>
      <c r="CG98" s="942"/>
      <c r="CH98" s="942"/>
      <c r="CI98" s="1708"/>
      <c r="CJ98" s="1708"/>
      <c r="CK98" s="1708"/>
      <c r="CL98" s="1708"/>
      <c r="CM98" s="1708"/>
      <c r="CN98" s="1708"/>
      <c r="CO98" s="1708"/>
      <c r="CP98" s="1708"/>
      <c r="CQ98" s="1708"/>
      <c r="CR98" s="1708"/>
      <c r="CS98" s="1708"/>
      <c r="CT98" s="1708"/>
      <c r="CU98" s="1708"/>
      <c r="CV98" s="1708"/>
      <c r="CW98" s="1708"/>
      <c r="CX98" s="1708"/>
      <c r="CY98" s="1708"/>
      <c r="CZ98" s="1708"/>
      <c r="DA98" s="1708"/>
    </row>
    <row r="99" spans="1:105" ht="13.5" customHeight="1">
      <c r="A99" s="3193"/>
      <c r="B99" s="3360"/>
      <c r="C99" s="3336" t="str">
        <f>IF(D66="","","高圧ＳＣ盤")</f>
        <v>高圧ＳＣ盤</v>
      </c>
      <c r="D99" s="3337"/>
      <c r="E99" s="3337"/>
      <c r="F99" s="3337"/>
      <c r="G99" s="3337"/>
      <c r="H99" s="3337"/>
      <c r="I99" s="3337"/>
      <c r="J99" s="3337"/>
      <c r="K99" s="3337"/>
      <c r="L99" s="3338"/>
      <c r="M99" s="3339">
        <f>IF(C99="","",M100)</f>
        <v>3</v>
      </c>
      <c r="N99" s="3340"/>
      <c r="O99" s="3341"/>
      <c r="P99" s="3342" t="str">
        <f>IF(M99="","","面")</f>
        <v>面</v>
      </c>
      <c r="Q99" s="3343"/>
      <c r="R99" s="3344"/>
      <c r="S99" s="3208">
        <f>IF(OR(B2=0,C99=""),"",IF(AB99&lt;&gt;"",AB99,IF(CC93="FRM",1000*INT(CC99/M99/1000),IF(CC93="ICB",1000*INT(1.3*CC99/M99/1000),1000*INT(1.4*CC99/M99/1000)))))</f>
        <v>516000</v>
      </c>
      <c r="T99" s="3209"/>
      <c r="U99" s="3209"/>
      <c r="V99" s="3209"/>
      <c r="W99" s="3209"/>
      <c r="X99" s="3209"/>
      <c r="Y99" s="3209"/>
      <c r="Z99" s="3210"/>
      <c r="AA99" s="964" t="s">
        <v>2371</v>
      </c>
      <c r="AB99" s="3215"/>
      <c r="AC99" s="3215"/>
      <c r="AD99" s="3215"/>
      <c r="AE99" s="3215"/>
      <c r="AF99" s="3215"/>
      <c r="AG99" s="3215"/>
      <c r="AH99" s="3215"/>
      <c r="AI99" s="3208">
        <f t="shared" si="1"/>
        <v>1548000</v>
      </c>
      <c r="AJ99" s="3209"/>
      <c r="AK99" s="3209"/>
      <c r="AL99" s="3209"/>
      <c r="AM99" s="3209"/>
      <c r="AN99" s="3209"/>
      <c r="AO99" s="3209"/>
      <c r="AP99" s="3210"/>
      <c r="AQ99" s="3284"/>
      <c r="AR99" s="3284"/>
      <c r="AS99" s="3284"/>
      <c r="AT99" s="3284"/>
      <c r="AU99" s="3284"/>
      <c r="AV99" s="3280"/>
      <c r="AW99" s="3281"/>
      <c r="AX99" s="3281"/>
      <c r="AY99" s="3281"/>
      <c r="AZ99" s="3281"/>
      <c r="BA99" s="3282"/>
      <c r="BB99" s="926"/>
      <c r="BC99" s="3277" t="str">
        <f>IF(AN61="","","Ⓥ")</f>
        <v>Ⓥ</v>
      </c>
      <c r="BD99" s="3277"/>
      <c r="BE99" s="3277"/>
      <c r="BF99" s="3277"/>
      <c r="BG99" s="3277"/>
      <c r="BH99" s="3161">
        <f t="shared" si="0"/>
        <v>20000</v>
      </c>
      <c r="BI99" s="3162"/>
      <c r="BJ99" s="3162"/>
      <c r="BK99" s="3162"/>
      <c r="BL99" s="3162"/>
      <c r="BM99" s="3163"/>
      <c r="BN99" s="934" t="s">
        <v>2371</v>
      </c>
      <c r="BO99" s="3231"/>
      <c r="BP99" s="3231"/>
      <c r="BQ99" s="3231"/>
      <c r="BR99" s="3231"/>
      <c r="BS99" s="3231"/>
      <c r="BT99" s="3231"/>
      <c r="BU99" s="924"/>
      <c r="BW99" s="958"/>
      <c r="BX99" s="957">
        <v>20000</v>
      </c>
      <c r="BY99" s="956"/>
      <c r="BZ99" s="956"/>
      <c r="CA99" s="956"/>
      <c r="CC99" s="3291">
        <f>IF(C99="","",1000*INT((M102*S102+M103*S103+BH118)/1000))</f>
        <v>1550000</v>
      </c>
      <c r="CD99" s="3291"/>
      <c r="CE99" s="952">
        <f>IF(S99="",0,S99*CF99)</f>
        <v>1548000</v>
      </c>
      <c r="CF99" s="951">
        <f>IF(M99="",0,M99)</f>
        <v>3</v>
      </c>
      <c r="CG99" s="942"/>
      <c r="CH99" s="942"/>
      <c r="CI99" s="1708"/>
      <c r="CJ99" s="1708"/>
      <c r="CK99" s="1708"/>
      <c r="CL99" s="1708"/>
      <c r="CM99" s="1708"/>
      <c r="CN99" s="1708"/>
      <c r="CO99" s="1708"/>
      <c r="CP99" s="1708"/>
      <c r="CQ99" s="1708"/>
      <c r="CR99" s="1708"/>
      <c r="CS99" s="1708"/>
      <c r="CT99" s="1708"/>
      <c r="CU99" s="1708"/>
      <c r="CV99" s="1708"/>
      <c r="CW99" s="1708"/>
      <c r="CX99" s="1708"/>
      <c r="CY99" s="1708"/>
      <c r="CZ99" s="1708"/>
      <c r="DA99" s="1708"/>
    </row>
    <row r="100" spans="1:105" ht="13.5" customHeight="1">
      <c r="A100" s="3193"/>
      <c r="B100" s="3360"/>
      <c r="C100" s="2930" t="str">
        <f>IF(X66="","",LEFT(AS59,2)&amp;"Hz SC"&amp;LEFT(X66,8)&amp;" "&amp;100*LEFT(BI51,4)&amp;"%")</f>
        <v>60Hz SC150 Kvar 6%</v>
      </c>
      <c r="D100" s="2931"/>
      <c r="E100" s="2931"/>
      <c r="F100" s="2931"/>
      <c r="G100" s="2931"/>
      <c r="H100" s="2931"/>
      <c r="I100" s="2931"/>
      <c r="J100" s="2931"/>
      <c r="K100" s="2931"/>
      <c r="L100" s="2932"/>
      <c r="M100" s="3202">
        <f>IF(X66="","",VALUE(RIGHT(X66,1)))</f>
        <v>3</v>
      </c>
      <c r="N100" s="3203"/>
      <c r="O100" s="3204"/>
      <c r="P100" s="3205" t="str">
        <f>IF(M100="","","台")</f>
        <v>台</v>
      </c>
      <c r="Q100" s="3206"/>
      <c r="R100" s="3207"/>
      <c r="S100" s="3208">
        <f>IF(C100="","",IF(AB100&lt;&gt;"",AB100,VLOOKUP(C100,[5]建物1802!$E$5:$AL$3275,$BB$97,FALSE)))</f>
        <v>228000</v>
      </c>
      <c r="T100" s="3209"/>
      <c r="U100" s="3209"/>
      <c r="V100" s="3209"/>
      <c r="W100" s="3209"/>
      <c r="X100" s="3209"/>
      <c r="Y100" s="3209"/>
      <c r="Z100" s="3210"/>
      <c r="AA100" s="964" t="s">
        <v>2371</v>
      </c>
      <c r="AB100" s="3215"/>
      <c r="AC100" s="3215"/>
      <c r="AD100" s="3215"/>
      <c r="AE100" s="3215"/>
      <c r="AF100" s="3215"/>
      <c r="AG100" s="3215"/>
      <c r="AH100" s="3215"/>
      <c r="AI100" s="3208">
        <f t="shared" si="1"/>
        <v>684000</v>
      </c>
      <c r="AJ100" s="3209"/>
      <c r="AK100" s="3209"/>
      <c r="AL100" s="3209"/>
      <c r="AM100" s="3209"/>
      <c r="AN100" s="3209"/>
      <c r="AO100" s="3209"/>
      <c r="AP100" s="3210"/>
      <c r="AQ100" s="3280">
        <f>IF(C100="","",IF(AB100&lt;&gt;"",AB100,VLOOKUP(C100,[5]建物1802!$E$5:$AL$3275,26,FALSE)))</f>
        <v>3.18</v>
      </c>
      <c r="AR100" s="3281"/>
      <c r="AS100" s="3281"/>
      <c r="AT100" s="3281"/>
      <c r="AU100" s="3282"/>
      <c r="AV100" s="3280">
        <f>IF(OR(C100="",AQ100=""),"",M100*AQ100)</f>
        <v>9.5400000000000009</v>
      </c>
      <c r="AW100" s="3281"/>
      <c r="AX100" s="3281"/>
      <c r="AY100" s="3281"/>
      <c r="AZ100" s="3281"/>
      <c r="BA100" s="3282"/>
      <c r="BB100" s="926"/>
      <c r="BC100" s="3277" t="str">
        <f>IF(AN63="","","Ⓐ")</f>
        <v>Ⓐ</v>
      </c>
      <c r="BD100" s="3277"/>
      <c r="BE100" s="3277"/>
      <c r="BF100" s="3277"/>
      <c r="BG100" s="3277"/>
      <c r="BH100" s="3161">
        <f t="shared" si="0"/>
        <v>20000</v>
      </c>
      <c r="BI100" s="3162"/>
      <c r="BJ100" s="3162"/>
      <c r="BK100" s="3162"/>
      <c r="BL100" s="3162"/>
      <c r="BM100" s="3163"/>
      <c r="BN100" s="934" t="s">
        <v>2371</v>
      </c>
      <c r="BO100" s="3231"/>
      <c r="BP100" s="3231"/>
      <c r="BQ100" s="3231"/>
      <c r="BR100" s="3231"/>
      <c r="BS100" s="3231"/>
      <c r="BT100" s="3231"/>
      <c r="BU100" s="924"/>
      <c r="BW100" s="958"/>
      <c r="BX100" s="957">
        <v>20000</v>
      </c>
      <c r="BY100" s="956"/>
      <c r="BZ100" s="956"/>
      <c r="CA100" s="956"/>
      <c r="CC100" s="965">
        <v>26</v>
      </c>
      <c r="CD100" s="916"/>
      <c r="CE100" s="941"/>
      <c r="CF100" s="936"/>
      <c r="CG100" s="936"/>
      <c r="CI100" s="1708"/>
      <c r="CJ100" s="1708"/>
      <c r="CK100" s="1708"/>
      <c r="CL100" s="1708"/>
      <c r="CM100" s="1708"/>
      <c r="CN100" s="1708"/>
      <c r="CO100" s="1708"/>
      <c r="CP100" s="1708"/>
      <c r="CQ100" s="1708"/>
      <c r="CR100" s="1708"/>
      <c r="CS100" s="1708"/>
      <c r="CT100" s="1708"/>
      <c r="CU100" s="1708"/>
      <c r="CV100" s="1708"/>
      <c r="CW100" s="1708"/>
      <c r="CX100" s="1708"/>
      <c r="CY100" s="1708"/>
      <c r="CZ100" s="1708"/>
      <c r="DA100" s="1708"/>
    </row>
    <row r="101" spans="1:105" ht="13.5" customHeight="1">
      <c r="A101" s="3193"/>
      <c r="B101" s="3360"/>
      <c r="C101" s="3335" t="str">
        <f>IF(X66="","",LEFT(AS59,2)&amp;"Hz SR"&amp;LEFT(X67,11))</f>
        <v>60Hz SR150 Kvar 6%</v>
      </c>
      <c r="D101" s="3335"/>
      <c r="E101" s="3335"/>
      <c r="F101" s="3335"/>
      <c r="G101" s="3335"/>
      <c r="H101" s="3335"/>
      <c r="I101" s="3335"/>
      <c r="J101" s="3335"/>
      <c r="K101" s="3335"/>
      <c r="L101" s="3335"/>
      <c r="M101" s="3208">
        <f>IF(X67="","",VALUE(RIGHT(X67,1)))</f>
        <v>3</v>
      </c>
      <c r="N101" s="3209"/>
      <c r="O101" s="3209"/>
      <c r="P101" s="3317" t="str">
        <f>IF(M101="","","台")</f>
        <v>台</v>
      </c>
      <c r="Q101" s="3318"/>
      <c r="R101" s="3319"/>
      <c r="S101" s="3208">
        <f>IF(C101="","",IF(AB101&lt;&gt;"",AB101,VLOOKUP(C101,[5]建物1802!$E$5:$AL$3275,$BB$97,FALSE)))</f>
        <v>591000</v>
      </c>
      <c r="T101" s="3209"/>
      <c r="U101" s="3209"/>
      <c r="V101" s="3209"/>
      <c r="W101" s="3209"/>
      <c r="X101" s="3209"/>
      <c r="Y101" s="3209"/>
      <c r="Z101" s="3210"/>
      <c r="AA101" s="964" t="s">
        <v>2371</v>
      </c>
      <c r="AB101" s="3215"/>
      <c r="AC101" s="3215"/>
      <c r="AD101" s="3215"/>
      <c r="AE101" s="3215"/>
      <c r="AF101" s="3215"/>
      <c r="AG101" s="3215"/>
      <c r="AH101" s="3215"/>
      <c r="AI101" s="3325">
        <f t="shared" si="1"/>
        <v>1773000</v>
      </c>
      <c r="AJ101" s="3325"/>
      <c r="AK101" s="3325"/>
      <c r="AL101" s="3325"/>
      <c r="AM101" s="3325"/>
      <c r="AN101" s="3325"/>
      <c r="AO101" s="3325"/>
      <c r="AP101" s="3325"/>
      <c r="AQ101" s="3280">
        <f>IF(C101="","",IF(AB101&lt;&gt;"",AB101,VLOOKUP(C101,[5]建物1802!$E$5:$AL$3275,26,FALSE)))</f>
        <v>1.8220000000000001</v>
      </c>
      <c r="AR101" s="3281"/>
      <c r="AS101" s="3281"/>
      <c r="AT101" s="3281"/>
      <c r="AU101" s="3282"/>
      <c r="AV101" s="3280">
        <f>IF(OR(C101="",AQ101=""),"",M101*AQ101)</f>
        <v>5.4660000000000002</v>
      </c>
      <c r="AW101" s="3281"/>
      <c r="AX101" s="3281"/>
      <c r="AY101" s="3281"/>
      <c r="AZ101" s="3281"/>
      <c r="BA101" s="3282"/>
      <c r="BB101" s="926"/>
      <c r="BC101" s="3277" t="str">
        <f>IF(AR63="","","2×51")</f>
        <v>2×51</v>
      </c>
      <c r="BD101" s="3277"/>
      <c r="BE101" s="3277"/>
      <c r="BF101" s="3277"/>
      <c r="BG101" s="3277"/>
      <c r="BH101" s="3161">
        <f t="shared" si="0"/>
        <v>50000</v>
      </c>
      <c r="BI101" s="3162"/>
      <c r="BJ101" s="3162"/>
      <c r="BK101" s="3162"/>
      <c r="BL101" s="3162"/>
      <c r="BM101" s="3163"/>
      <c r="BN101" s="934" t="s">
        <v>2371</v>
      </c>
      <c r="BO101" s="3231"/>
      <c r="BP101" s="3231"/>
      <c r="BQ101" s="3231"/>
      <c r="BR101" s="3231"/>
      <c r="BS101" s="3231"/>
      <c r="BT101" s="3231"/>
      <c r="BU101" s="924"/>
      <c r="BW101" s="958"/>
      <c r="BX101" s="957">
        <v>50000</v>
      </c>
      <c r="BY101" s="956"/>
      <c r="BZ101" s="956"/>
      <c r="CA101" s="956"/>
      <c r="CC101" s="951">
        <f>IF(AQ73="",0,VALUE(RIGHT(AQ73,1)))</f>
        <v>2</v>
      </c>
      <c r="CD101" s="916"/>
      <c r="CE101" s="941"/>
      <c r="CF101" s="936"/>
      <c r="CG101" s="936"/>
      <c r="CI101" s="1708"/>
      <c r="CJ101" s="1708"/>
      <c r="CK101" s="1708"/>
      <c r="CL101" s="1708"/>
      <c r="CM101" s="1708"/>
      <c r="CN101" s="1708"/>
      <c r="CO101" s="1708"/>
      <c r="CP101" s="1708"/>
      <c r="CQ101" s="1708"/>
      <c r="CR101" s="1708"/>
      <c r="CS101" s="1708"/>
      <c r="CT101" s="1708"/>
      <c r="CU101" s="1708"/>
      <c r="CV101" s="1708"/>
      <c r="CW101" s="1708"/>
      <c r="CX101" s="1708"/>
      <c r="CY101" s="1708"/>
      <c r="CZ101" s="1708"/>
      <c r="DA101" s="1708"/>
    </row>
    <row r="102" spans="1:105" ht="13.5" customHeight="1">
      <c r="A102" s="3193"/>
      <c r="B102" s="3360"/>
      <c r="C102" s="3326" t="str">
        <f>IF(AI66="","","LBS7.2KV200A(PF付)")</f>
        <v>LBS7.2KV200A(PF付)</v>
      </c>
      <c r="D102" s="3326"/>
      <c r="E102" s="3326"/>
      <c r="F102" s="3326"/>
      <c r="G102" s="3326"/>
      <c r="H102" s="3326"/>
      <c r="I102" s="3326"/>
      <c r="J102" s="3326"/>
      <c r="K102" s="3326"/>
      <c r="L102" s="3326"/>
      <c r="M102" s="3327">
        <f>IF(AI66="","",VALUE(RIGHT(AO66,1)))</f>
        <v>3</v>
      </c>
      <c r="N102" s="3328"/>
      <c r="O102" s="3328"/>
      <c r="P102" s="3205" t="str">
        <f>IF(M102="","","台")</f>
        <v>台</v>
      </c>
      <c r="Q102" s="3206"/>
      <c r="R102" s="3207"/>
      <c r="S102" s="3208">
        <f>IF(C102="","",IF(AB102&lt;&gt;"",AB102,VLOOKUP(C102,[5]建物1802!$E$5:$AL$3275,$BB$97,FALSE)))</f>
        <v>82300</v>
      </c>
      <c r="T102" s="3209"/>
      <c r="U102" s="3209"/>
      <c r="V102" s="3209"/>
      <c r="W102" s="3209"/>
      <c r="X102" s="3209"/>
      <c r="Y102" s="3209"/>
      <c r="Z102" s="3210"/>
      <c r="AA102" s="964" t="s">
        <v>2371</v>
      </c>
      <c r="AB102" s="3215"/>
      <c r="AC102" s="3215"/>
      <c r="AD102" s="3215"/>
      <c r="AE102" s="3215"/>
      <c r="AF102" s="3215"/>
      <c r="AG102" s="3215"/>
      <c r="AH102" s="3215"/>
      <c r="AI102" s="3325">
        <f t="shared" si="1"/>
        <v>246900</v>
      </c>
      <c r="AJ102" s="3325"/>
      <c r="AK102" s="3325"/>
      <c r="AL102" s="3325"/>
      <c r="AM102" s="3325"/>
      <c r="AN102" s="3325"/>
      <c r="AO102" s="3325"/>
      <c r="AP102" s="3325"/>
      <c r="AQ102" s="3280">
        <f>IF(C102="","",IF(AB102&lt;&gt;"",AB102,VLOOKUP(C102,[5]建物1802!$E$5:$AL$3275,26,FALSE)))</f>
        <v>0.82299999999999995</v>
      </c>
      <c r="AR102" s="3281"/>
      <c r="AS102" s="3281"/>
      <c r="AT102" s="3281"/>
      <c r="AU102" s="3282"/>
      <c r="AV102" s="3280">
        <f>IF(OR(C102="",AQ102=""),"",M102*AQ102)</f>
        <v>2.4689999999999999</v>
      </c>
      <c r="AW102" s="3281"/>
      <c r="AX102" s="3281"/>
      <c r="AY102" s="3281"/>
      <c r="AZ102" s="3281"/>
      <c r="BA102" s="3282"/>
      <c r="BB102" s="926"/>
      <c r="BC102" s="3277" t="str">
        <f>IF(AV61="","","ZCT")</f>
        <v>ZCT</v>
      </c>
      <c r="BD102" s="3277"/>
      <c r="BE102" s="3277"/>
      <c r="BF102" s="3277"/>
      <c r="BG102" s="3277"/>
      <c r="BH102" s="3161">
        <f t="shared" si="0"/>
        <v>30000</v>
      </c>
      <c r="BI102" s="3162"/>
      <c r="BJ102" s="3162"/>
      <c r="BK102" s="3162"/>
      <c r="BL102" s="3162"/>
      <c r="BM102" s="3163"/>
      <c r="BN102" s="934" t="s">
        <v>2371</v>
      </c>
      <c r="BO102" s="3231"/>
      <c r="BP102" s="3231"/>
      <c r="BQ102" s="3231"/>
      <c r="BR102" s="3231"/>
      <c r="BS102" s="3231"/>
      <c r="BT102" s="3231"/>
      <c r="BU102" s="924"/>
      <c r="BW102" s="958"/>
      <c r="BX102" s="957">
        <v>30000</v>
      </c>
      <c r="BY102" s="956"/>
      <c r="BZ102" s="956"/>
      <c r="CA102" s="956"/>
      <c r="CC102" s="951">
        <f>IF(AQ77="",0,VALUE(RIGHT(AQ77,1)))</f>
        <v>1</v>
      </c>
      <c r="CD102" s="916"/>
      <c r="CE102" s="941"/>
      <c r="CF102" s="936"/>
      <c r="CG102" s="936"/>
      <c r="CI102" s="1708"/>
      <c r="CJ102" s="1708"/>
      <c r="CK102" s="1708"/>
      <c r="CL102" s="1708"/>
      <c r="CM102" s="1708"/>
      <c r="CN102" s="1708"/>
      <c r="CO102" s="1708"/>
      <c r="CP102" s="1708"/>
      <c r="CQ102" s="1708"/>
      <c r="CR102" s="1708"/>
      <c r="CS102" s="1708"/>
      <c r="CT102" s="1708"/>
      <c r="CU102" s="1708"/>
      <c r="CV102" s="1708"/>
      <c r="CW102" s="1708"/>
      <c r="CX102" s="1708"/>
      <c r="CY102" s="1708"/>
      <c r="CZ102" s="1708"/>
      <c r="DA102" s="1708"/>
    </row>
    <row r="103" spans="1:105" ht="13.5" customHeight="1">
      <c r="A103" s="3193"/>
      <c r="B103" s="3360"/>
      <c r="C103" s="3335" t="str">
        <f>IF(AT66="","","VMC 7.2KV 200A")</f>
        <v>VMC 7.2KV 200A</v>
      </c>
      <c r="D103" s="3335"/>
      <c r="E103" s="3335"/>
      <c r="F103" s="3335"/>
      <c r="G103" s="3335"/>
      <c r="H103" s="3335"/>
      <c r="I103" s="3335"/>
      <c r="J103" s="3335"/>
      <c r="K103" s="3335"/>
      <c r="L103" s="3335"/>
      <c r="M103" s="3208">
        <f>IF(AT66="","",VALUE(RIGHT(AZ66,1)))</f>
        <v>3</v>
      </c>
      <c r="N103" s="3209"/>
      <c r="O103" s="3209"/>
      <c r="P103" s="3205" t="str">
        <f>IF(M103="","","台")</f>
        <v>台</v>
      </c>
      <c r="Q103" s="3206"/>
      <c r="R103" s="3207"/>
      <c r="S103" s="3208">
        <f>IF(C103="","",IF(AB103&lt;&gt;"",AB103,VLOOKUP(C103,[5]建物1802!$E$5:$AL$3275,$BB$97,FALSE)))</f>
        <v>368000</v>
      </c>
      <c r="T103" s="3209"/>
      <c r="U103" s="3209"/>
      <c r="V103" s="3209"/>
      <c r="W103" s="3209"/>
      <c r="X103" s="3209"/>
      <c r="Y103" s="3209"/>
      <c r="Z103" s="3210"/>
      <c r="AA103" s="964" t="s">
        <v>2371</v>
      </c>
      <c r="AB103" s="3215"/>
      <c r="AC103" s="3215"/>
      <c r="AD103" s="3215"/>
      <c r="AE103" s="3215"/>
      <c r="AF103" s="3215"/>
      <c r="AG103" s="3215"/>
      <c r="AH103" s="3215"/>
      <c r="AI103" s="3325">
        <f t="shared" si="1"/>
        <v>1104000</v>
      </c>
      <c r="AJ103" s="3325"/>
      <c r="AK103" s="3325"/>
      <c r="AL103" s="3325"/>
      <c r="AM103" s="3325"/>
      <c r="AN103" s="3325"/>
      <c r="AO103" s="3325"/>
      <c r="AP103" s="3325"/>
      <c r="AQ103" s="3280">
        <f>IF(C103="","",IF(AB103&lt;&gt;"",AB103,VLOOKUP(C103,[5]建物1802!$E$5:$AL$3275,26,FALSE)))</f>
        <v>0.94599999999999995</v>
      </c>
      <c r="AR103" s="3281"/>
      <c r="AS103" s="3281"/>
      <c r="AT103" s="3281"/>
      <c r="AU103" s="3282"/>
      <c r="AV103" s="3280">
        <f>IF(OR(C103="",AQ103=""),"",M103*AQ103)</f>
        <v>2.8380000000000001</v>
      </c>
      <c r="AW103" s="3281"/>
      <c r="AX103" s="3281"/>
      <c r="AY103" s="3281"/>
      <c r="AZ103" s="3281"/>
      <c r="BA103" s="3282"/>
      <c r="BB103" s="926"/>
      <c r="BC103" s="3277" t="str">
        <f>IF(AV63="","","cosφ")</f>
        <v>cosφ</v>
      </c>
      <c r="BD103" s="3277"/>
      <c r="BE103" s="3277"/>
      <c r="BF103" s="3277"/>
      <c r="BG103" s="3277"/>
      <c r="BH103" s="3161">
        <f t="shared" si="0"/>
        <v>40000</v>
      </c>
      <c r="BI103" s="3162"/>
      <c r="BJ103" s="3162"/>
      <c r="BK103" s="3162"/>
      <c r="BL103" s="3162"/>
      <c r="BM103" s="3163"/>
      <c r="BN103" s="934" t="s">
        <v>2371</v>
      </c>
      <c r="BO103" s="3231"/>
      <c r="BP103" s="3231"/>
      <c r="BQ103" s="3231"/>
      <c r="BR103" s="3231"/>
      <c r="BS103" s="3231"/>
      <c r="BT103" s="3231"/>
      <c r="BU103" s="924"/>
      <c r="BW103" s="958"/>
      <c r="BX103" s="957">
        <v>40000</v>
      </c>
      <c r="BY103" s="956"/>
      <c r="BZ103" s="956"/>
      <c r="CA103" s="956"/>
      <c r="CC103" s="951">
        <f>IF(AQ81="",0,VALUE(RIGHT(AQ81,1)))</f>
        <v>0</v>
      </c>
      <c r="CD103" s="916"/>
      <c r="CE103" s="941"/>
      <c r="CF103" s="936"/>
      <c r="CG103" s="936"/>
      <c r="CI103" s="1708"/>
      <c r="CJ103" s="1708"/>
      <c r="CK103" s="1708"/>
      <c r="CL103" s="1708"/>
      <c r="CM103" s="1708"/>
      <c r="CN103" s="1708"/>
      <c r="CO103" s="1708"/>
      <c r="CP103" s="1708"/>
      <c r="CQ103" s="1708"/>
      <c r="CR103" s="1708"/>
      <c r="CS103" s="1708"/>
      <c r="CT103" s="1708"/>
      <c r="CU103" s="1708"/>
      <c r="CV103" s="1708"/>
      <c r="CW103" s="1708"/>
      <c r="CX103" s="1708"/>
      <c r="CY103" s="1708"/>
      <c r="CZ103" s="1708"/>
      <c r="DA103" s="1708"/>
    </row>
    <row r="104" spans="1:105" ht="13.5" customHeight="1">
      <c r="A104" s="3193"/>
      <c r="B104" s="3360"/>
      <c r="C104" s="3329" t="str">
        <f>IF(X67="","","SR防振装置")</f>
        <v>SR防振装置</v>
      </c>
      <c r="D104" s="3330"/>
      <c r="E104" s="3330"/>
      <c r="F104" s="3330"/>
      <c r="G104" s="3330"/>
      <c r="H104" s="3330"/>
      <c r="I104" s="3330"/>
      <c r="J104" s="3330"/>
      <c r="K104" s="3330"/>
      <c r="L104" s="3331"/>
      <c r="M104" s="3199">
        <f>IF(X67="","",VALUE(RIGHT(X71,1)))</f>
        <v>2</v>
      </c>
      <c r="N104" s="3200"/>
      <c r="O104" s="3200"/>
      <c r="P104" s="3312" t="str">
        <f>IF(M104="","","台分")</f>
        <v>台分</v>
      </c>
      <c r="Q104" s="3313"/>
      <c r="R104" s="3314"/>
      <c r="S104" s="3199">
        <f>IF(OR(B2=0,C104=""),"",IF(AB104&lt;&gt;"",AB104,50000))</f>
        <v>50000</v>
      </c>
      <c r="T104" s="3200"/>
      <c r="U104" s="3200"/>
      <c r="V104" s="3200"/>
      <c r="W104" s="3200"/>
      <c r="X104" s="3200"/>
      <c r="Y104" s="3200"/>
      <c r="Z104" s="3201"/>
      <c r="AA104" s="964" t="s">
        <v>2371</v>
      </c>
      <c r="AB104" s="3332"/>
      <c r="AC104" s="3332"/>
      <c r="AD104" s="3332"/>
      <c r="AE104" s="3332"/>
      <c r="AF104" s="3332"/>
      <c r="AG104" s="3332"/>
      <c r="AH104" s="3332"/>
      <c r="AI104" s="3200">
        <f t="shared" si="1"/>
        <v>100000</v>
      </c>
      <c r="AJ104" s="3200"/>
      <c r="AK104" s="3200"/>
      <c r="AL104" s="3200"/>
      <c r="AM104" s="3200"/>
      <c r="AN104" s="3200"/>
      <c r="AO104" s="3200"/>
      <c r="AP104" s="3201"/>
      <c r="AQ104" s="3333">
        <f>IF(C104="","",1.2)</f>
        <v>1.2</v>
      </c>
      <c r="AR104" s="3333"/>
      <c r="AS104" s="3333"/>
      <c r="AT104" s="3333"/>
      <c r="AU104" s="3333"/>
      <c r="AV104" s="3334">
        <f>IF(C104="","",M104*AQ104)</f>
        <v>2.4</v>
      </c>
      <c r="AW104" s="3334"/>
      <c r="AX104" s="3334"/>
      <c r="AY104" s="3334"/>
      <c r="AZ104" s="3334"/>
      <c r="BA104" s="3334"/>
      <c r="BB104" s="926"/>
      <c r="BC104" s="3277" t="str">
        <f>IF(AZ61="","",IF(AZ61="51G","51G",""))</f>
        <v/>
      </c>
      <c r="BD104" s="3277"/>
      <c r="BE104" s="3277"/>
      <c r="BF104" s="3277"/>
      <c r="BG104" s="3277"/>
      <c r="BH104" s="3161" t="str">
        <f t="shared" si="0"/>
        <v/>
      </c>
      <c r="BI104" s="3162"/>
      <c r="BJ104" s="3162"/>
      <c r="BK104" s="3162"/>
      <c r="BL104" s="3162"/>
      <c r="BM104" s="3163"/>
      <c r="BN104" s="934" t="s">
        <v>2371</v>
      </c>
      <c r="BO104" s="3231"/>
      <c r="BP104" s="3231"/>
      <c r="BQ104" s="3231"/>
      <c r="BR104" s="3231"/>
      <c r="BS104" s="3231"/>
      <c r="BT104" s="3231"/>
      <c r="BU104" s="924"/>
      <c r="BW104" s="958"/>
      <c r="BX104" s="957">
        <v>50000</v>
      </c>
      <c r="BY104" s="956"/>
      <c r="BZ104" s="956"/>
      <c r="CA104" s="956"/>
      <c r="CC104" s="951">
        <f>IF(AQ85="",0,VALUE(RIGHT(AQ85,1)))</f>
        <v>2</v>
      </c>
      <c r="CD104" s="944"/>
      <c r="CE104" s="941"/>
      <c r="CF104" s="936"/>
      <c r="CG104" s="936"/>
      <c r="CI104" s="1708"/>
      <c r="CJ104" s="1708"/>
      <c r="CK104" s="1708"/>
      <c r="CL104" s="1708"/>
      <c r="CM104" s="1708"/>
      <c r="CN104" s="1708"/>
      <c r="CO104" s="1708"/>
      <c r="CP104" s="1708"/>
      <c r="CQ104" s="1708"/>
      <c r="CR104" s="1708"/>
      <c r="CS104" s="1708"/>
      <c r="CT104" s="1708"/>
      <c r="CU104" s="1708"/>
      <c r="CV104" s="1708"/>
      <c r="CW104" s="1708"/>
      <c r="CX104" s="1708"/>
      <c r="CY104" s="1708"/>
      <c r="CZ104" s="1708"/>
      <c r="DA104" s="1708"/>
    </row>
    <row r="105" spans="1:105" ht="13.5" customHeight="1">
      <c r="A105" s="3193"/>
      <c r="B105" s="3360"/>
      <c r="C105" s="3256" t="str">
        <f>IF(C99="","","（小計）")</f>
        <v>（小計）</v>
      </c>
      <c r="D105" s="3257"/>
      <c r="E105" s="3257"/>
      <c r="F105" s="3257"/>
      <c r="G105" s="3257"/>
      <c r="H105" s="3257"/>
      <c r="I105" s="3257"/>
      <c r="J105" s="3257"/>
      <c r="K105" s="3257"/>
      <c r="L105" s="3258"/>
      <c r="M105" s="3259"/>
      <c r="N105" s="3260"/>
      <c r="O105" s="3260"/>
      <c r="P105" s="3260"/>
      <c r="Q105" s="3260"/>
      <c r="R105" s="3261"/>
      <c r="S105" s="3262">
        <f>IF(C98="","",SUM(AI98:AP104))</f>
        <v>6821900</v>
      </c>
      <c r="T105" s="3263"/>
      <c r="U105" s="3263"/>
      <c r="V105" s="3263"/>
      <c r="W105" s="3263"/>
      <c r="X105" s="3263"/>
      <c r="Y105" s="3263"/>
      <c r="Z105" s="3264"/>
      <c r="AA105" s="3265"/>
      <c r="AB105" s="3266"/>
      <c r="AC105" s="3266"/>
      <c r="AD105" s="3266"/>
      <c r="AE105" s="3266"/>
      <c r="AF105" s="3266"/>
      <c r="AG105" s="3266"/>
      <c r="AH105" s="3266"/>
      <c r="AI105" s="3266"/>
      <c r="AJ105" s="3266"/>
      <c r="AK105" s="3266"/>
      <c r="AL105" s="3266"/>
      <c r="AM105" s="3266"/>
      <c r="AN105" s="3266"/>
      <c r="AO105" s="3266"/>
      <c r="AP105" s="3266"/>
      <c r="AQ105" s="3322"/>
      <c r="AR105" s="3322"/>
      <c r="AS105" s="3322"/>
      <c r="AT105" s="3322"/>
      <c r="AU105" s="3322"/>
      <c r="AV105" s="3322"/>
      <c r="AW105" s="3322"/>
      <c r="AX105" s="3322"/>
      <c r="AY105" s="3322"/>
      <c r="AZ105" s="3322"/>
      <c r="BA105" s="3323"/>
      <c r="BB105" s="946"/>
      <c r="BC105" s="3277" t="str">
        <f>IF(OR(AQ73&lt;&gt;"",AQ77&lt;&gt;"",AQ81&lt;&gt;"",AQ85&lt;&gt;"",AQ89&lt;&gt;""),"26×"&amp;CD105,"")</f>
        <v>26×6</v>
      </c>
      <c r="BD105" s="3277"/>
      <c r="BE105" s="3277"/>
      <c r="BF105" s="3277"/>
      <c r="BG105" s="3277"/>
      <c r="BH105" s="3161">
        <f t="shared" si="0"/>
        <v>20000</v>
      </c>
      <c r="BI105" s="3162"/>
      <c r="BJ105" s="3162"/>
      <c r="BK105" s="3162"/>
      <c r="BL105" s="3162"/>
      <c r="BM105" s="3163"/>
      <c r="BN105" s="934" t="s">
        <v>2371</v>
      </c>
      <c r="BO105" s="3235"/>
      <c r="BP105" s="3236"/>
      <c r="BQ105" s="3236"/>
      <c r="BR105" s="3236"/>
      <c r="BS105" s="3236"/>
      <c r="BT105" s="3237"/>
      <c r="BU105" s="924"/>
      <c r="BW105" s="958"/>
      <c r="BX105" s="957">
        <v>20000</v>
      </c>
      <c r="BY105" s="956"/>
      <c r="BZ105" s="956"/>
      <c r="CA105" s="956"/>
      <c r="CC105" s="951">
        <f>IF(AQ89="",0,VALUE(RIGHT(AQ89,1)))</f>
        <v>1</v>
      </c>
      <c r="CD105" s="963">
        <f>CC101+CC102+CC103+CC104+CC105</f>
        <v>6</v>
      </c>
      <c r="CE105" s="941"/>
      <c r="CF105" s="936"/>
      <c r="CG105" s="936"/>
      <c r="CI105" s="1708"/>
      <c r="CJ105" s="1708"/>
      <c r="CK105" s="1708"/>
      <c r="CL105" s="1708"/>
      <c r="CM105" s="1708"/>
      <c r="CN105" s="1708"/>
      <c r="CO105" s="1708"/>
      <c r="CP105" s="1708"/>
      <c r="CQ105" s="1708"/>
      <c r="CR105" s="1708"/>
      <c r="CS105" s="1708"/>
      <c r="CT105" s="1708"/>
      <c r="CU105" s="1708"/>
      <c r="CV105" s="1708"/>
      <c r="CW105" s="1708"/>
      <c r="CX105" s="1708"/>
      <c r="CY105" s="1708"/>
      <c r="CZ105" s="1708"/>
      <c r="DA105" s="1708"/>
    </row>
    <row r="106" spans="1:105" ht="13.5" customHeight="1">
      <c r="A106" s="3193"/>
      <c r="B106" s="3360"/>
      <c r="C106" s="3297" t="str">
        <f>IF(N71="","","低圧照明盤")</f>
        <v>低圧照明盤</v>
      </c>
      <c r="D106" s="3297"/>
      <c r="E106" s="3297"/>
      <c r="F106" s="3297"/>
      <c r="G106" s="3297"/>
      <c r="H106" s="3297"/>
      <c r="I106" s="3297"/>
      <c r="J106" s="3297"/>
      <c r="K106" s="3297"/>
      <c r="L106" s="3297"/>
      <c r="M106" s="3324">
        <f>IF(AE71="","",VALUE(LEFT(AE71,1)))</f>
        <v>1</v>
      </c>
      <c r="N106" s="3324"/>
      <c r="O106" s="3324"/>
      <c r="P106" s="3305" t="str">
        <f>IF(M106="","","面")</f>
        <v>面</v>
      </c>
      <c r="Q106" s="3305"/>
      <c r="R106" s="3305"/>
      <c r="S106" s="3269">
        <f>IF(OR(B2=0,C106=""),"",IF(AB106&lt;&gt;"",AB106,IF(CC93="FRM",CC106,IF(CC93="ICB",1000*INT(1.2*CC106/1000),1000*INT(1.25*CC106/1000)))))</f>
        <v>1294000</v>
      </c>
      <c r="T106" s="3270"/>
      <c r="U106" s="3270"/>
      <c r="V106" s="3270"/>
      <c r="W106" s="3270"/>
      <c r="X106" s="3270"/>
      <c r="Y106" s="3270"/>
      <c r="Z106" s="3271"/>
      <c r="AA106" s="954" t="s">
        <v>2371</v>
      </c>
      <c r="AB106" s="3268"/>
      <c r="AC106" s="3268"/>
      <c r="AD106" s="3268"/>
      <c r="AE106" s="3268"/>
      <c r="AF106" s="3268"/>
      <c r="AG106" s="3268"/>
      <c r="AH106" s="3268"/>
      <c r="AI106" s="3269">
        <f>IF(C106="","",M106*S106)</f>
        <v>1294000</v>
      </c>
      <c r="AJ106" s="3270"/>
      <c r="AK106" s="3270"/>
      <c r="AL106" s="3270"/>
      <c r="AM106" s="3270"/>
      <c r="AN106" s="3270"/>
      <c r="AO106" s="3270"/>
      <c r="AP106" s="3271"/>
      <c r="AQ106" s="3272">
        <f>IF(C106="","",IF(CC101="FRM",4.77,6.1))</f>
        <v>6.1</v>
      </c>
      <c r="AR106" s="3272"/>
      <c r="AS106" s="3272"/>
      <c r="AT106" s="3272"/>
      <c r="AU106" s="3272"/>
      <c r="AV106" s="3273">
        <f>IF(C106="","",M106*AQ106)</f>
        <v>6.1</v>
      </c>
      <c r="AW106" s="3273"/>
      <c r="AX106" s="3273"/>
      <c r="AY106" s="3273"/>
      <c r="AZ106" s="3273"/>
      <c r="BA106" s="3273"/>
      <c r="BB106" s="926"/>
      <c r="BC106" s="3321" t="str">
        <f>IF(AZ61="","",IF(AZ61="67G","67G",IF(AZ61="51G","51G","")))</f>
        <v>67G</v>
      </c>
      <c r="BD106" s="3321"/>
      <c r="BE106" s="3321"/>
      <c r="BF106" s="3321"/>
      <c r="BG106" s="3321"/>
      <c r="BH106" s="3161">
        <f t="shared" si="0"/>
        <v>60000</v>
      </c>
      <c r="BI106" s="3162"/>
      <c r="BJ106" s="3162"/>
      <c r="BK106" s="3162"/>
      <c r="BL106" s="3162"/>
      <c r="BM106" s="3163"/>
      <c r="BN106" s="930" t="s">
        <v>2371</v>
      </c>
      <c r="BO106" s="3198"/>
      <c r="BP106" s="3198"/>
      <c r="BQ106" s="3198"/>
      <c r="BR106" s="3198"/>
      <c r="BS106" s="3198"/>
      <c r="BT106" s="3198"/>
      <c r="BU106" s="924"/>
      <c r="BW106" s="958"/>
      <c r="BX106" s="957">
        <v>60000</v>
      </c>
      <c r="BY106" s="956"/>
      <c r="BZ106" s="956"/>
      <c r="CA106" s="956"/>
      <c r="CC106" s="3291">
        <f>IF(C106="","",SUM(BH120:BM126)+BH127*AO71+BH118+BH130+BH105*CC101)</f>
        <v>1294000</v>
      </c>
      <c r="CD106" s="3291"/>
      <c r="CE106" s="952">
        <f>IF(S106="",0,S106*CF106)</f>
        <v>1294000</v>
      </c>
      <c r="CF106" s="951">
        <f>IF(M106="",0,M106)</f>
        <v>1</v>
      </c>
      <c r="CG106" s="942"/>
      <c r="CH106" s="942"/>
      <c r="CI106" s="1708"/>
      <c r="CJ106" s="1708"/>
      <c r="CK106" s="1708"/>
      <c r="CL106" s="1708"/>
      <c r="CM106" s="1708"/>
      <c r="CN106" s="1708"/>
      <c r="CO106" s="1708"/>
      <c r="CP106" s="1708"/>
      <c r="CQ106" s="1708"/>
      <c r="CR106" s="1708"/>
      <c r="CS106" s="1708"/>
      <c r="CT106" s="1708"/>
      <c r="CU106" s="1708"/>
      <c r="CV106" s="1708"/>
      <c r="CW106" s="1708"/>
      <c r="CX106" s="1708"/>
      <c r="CY106" s="1708"/>
      <c r="CZ106" s="1708"/>
      <c r="DA106" s="1708"/>
    </row>
    <row r="107" spans="1:105" ht="13.5" customHeight="1">
      <c r="A107" s="3193"/>
      <c r="B107" s="3360"/>
      <c r="C107" s="2930" t="str">
        <f>IF(N71="","",N71)</f>
        <v>1φ3W 210/105V</v>
      </c>
      <c r="D107" s="2931"/>
      <c r="E107" s="2931"/>
      <c r="F107" s="2931"/>
      <c r="G107" s="2931"/>
      <c r="H107" s="2931"/>
      <c r="I107" s="2931"/>
      <c r="J107" s="2931"/>
      <c r="K107" s="2931"/>
      <c r="L107" s="2932"/>
      <c r="M107" s="3292"/>
      <c r="N107" s="3292"/>
      <c r="O107" s="3292"/>
      <c r="P107" s="3293"/>
      <c r="Q107" s="3293"/>
      <c r="R107" s="3293"/>
      <c r="S107" s="3294"/>
      <c r="T107" s="3295"/>
      <c r="U107" s="3295"/>
      <c r="V107" s="3295"/>
      <c r="W107" s="3295"/>
      <c r="X107" s="3295"/>
      <c r="Y107" s="3295"/>
      <c r="Z107" s="3296"/>
      <c r="AA107" s="949"/>
      <c r="AB107" s="3215"/>
      <c r="AC107" s="3215"/>
      <c r="AD107" s="3215"/>
      <c r="AE107" s="3215"/>
      <c r="AF107" s="3215"/>
      <c r="AG107" s="3215"/>
      <c r="AH107" s="3215"/>
      <c r="AI107" s="3208"/>
      <c r="AJ107" s="3209"/>
      <c r="AK107" s="3209"/>
      <c r="AL107" s="3209"/>
      <c r="AM107" s="3209"/>
      <c r="AN107" s="3209"/>
      <c r="AO107" s="3209"/>
      <c r="AP107" s="3210"/>
      <c r="AQ107" s="3284"/>
      <c r="AR107" s="3284"/>
      <c r="AS107" s="3284"/>
      <c r="AT107" s="3284"/>
      <c r="AU107" s="3284"/>
      <c r="AV107" s="3283"/>
      <c r="AW107" s="3283"/>
      <c r="AX107" s="3283"/>
      <c r="AY107" s="3283"/>
      <c r="AZ107" s="3283"/>
      <c r="BA107" s="3283"/>
      <c r="BB107" s="926"/>
      <c r="BC107" s="3277" t="str">
        <f>IF(AZ63="","","55")</f>
        <v>55</v>
      </c>
      <c r="BD107" s="3277"/>
      <c r="BE107" s="3277"/>
      <c r="BF107" s="3277"/>
      <c r="BG107" s="3277"/>
      <c r="BH107" s="3161">
        <f t="shared" si="0"/>
        <v>70000</v>
      </c>
      <c r="BI107" s="3162"/>
      <c r="BJ107" s="3162"/>
      <c r="BK107" s="3162"/>
      <c r="BL107" s="3162"/>
      <c r="BM107" s="3163"/>
      <c r="BN107" s="934" t="s">
        <v>2371</v>
      </c>
      <c r="BO107" s="3231"/>
      <c r="BP107" s="3231"/>
      <c r="BQ107" s="3231"/>
      <c r="BR107" s="3231"/>
      <c r="BS107" s="3231"/>
      <c r="BT107" s="3231"/>
      <c r="BU107" s="924"/>
      <c r="BW107" s="958"/>
      <c r="BX107" s="957">
        <v>70000</v>
      </c>
      <c r="BY107" s="956"/>
      <c r="BZ107" s="956"/>
      <c r="CA107" s="956"/>
      <c r="CC107" s="936"/>
      <c r="CD107" s="916"/>
      <c r="CE107" s="941"/>
      <c r="CF107" s="936"/>
      <c r="CG107" s="936"/>
      <c r="CI107" s="1708"/>
      <c r="CJ107" s="1708"/>
      <c r="CK107" s="1708"/>
      <c r="CL107" s="1708"/>
      <c r="CM107" s="1708"/>
      <c r="CN107" s="1708"/>
      <c r="CO107" s="1708"/>
      <c r="CP107" s="1708"/>
      <c r="CQ107" s="1708"/>
      <c r="CR107" s="1708"/>
      <c r="CS107" s="1708"/>
      <c r="CT107" s="1708"/>
      <c r="CU107" s="1708"/>
      <c r="CV107" s="1708"/>
      <c r="CW107" s="1708"/>
      <c r="CX107" s="1708"/>
      <c r="CY107" s="1708"/>
      <c r="CZ107" s="1708"/>
      <c r="DA107" s="1708"/>
    </row>
    <row r="108" spans="1:105" ht="13.5" customHeight="1">
      <c r="A108" s="3193"/>
      <c r="B108" s="3360"/>
      <c r="C108" s="2811" t="str">
        <f>IF(X71="","","TR"&amp;LEFT(C107,2)&amp;LEFT(AS59,2)&amp;"Hz"&amp;LEFT(X71,4)&amp;"KVA")</f>
        <v>TR1φ60Hz 500KVA</v>
      </c>
      <c r="D108" s="2812"/>
      <c r="E108" s="2812"/>
      <c r="F108" s="2812"/>
      <c r="G108" s="2812"/>
      <c r="H108" s="2812"/>
      <c r="I108" s="2812"/>
      <c r="J108" s="2812"/>
      <c r="K108" s="2812"/>
      <c r="L108" s="2813"/>
      <c r="M108" s="3320">
        <f>IF(X71="","",VALUE(RIGHT(X71,1)))</f>
        <v>2</v>
      </c>
      <c r="N108" s="3320"/>
      <c r="O108" s="3320"/>
      <c r="P108" s="3309" t="str">
        <f>IF(M108="","","台")</f>
        <v>台</v>
      </c>
      <c r="Q108" s="3309"/>
      <c r="R108" s="3309"/>
      <c r="S108" s="3208">
        <f>IF(C108="","",IF(AB108&lt;&gt;"",AB108,VLOOKUP(C108,[5]建物1802!$E$5:$AL$3275,$BB$97,FALSE)))</f>
        <v>1510000</v>
      </c>
      <c r="T108" s="3209"/>
      <c r="U108" s="3209"/>
      <c r="V108" s="3209"/>
      <c r="W108" s="3209"/>
      <c r="X108" s="3209"/>
      <c r="Y108" s="3209"/>
      <c r="Z108" s="3210"/>
      <c r="AA108" s="950" t="s">
        <v>2371</v>
      </c>
      <c r="AB108" s="3211"/>
      <c r="AC108" s="3211"/>
      <c r="AD108" s="3211"/>
      <c r="AE108" s="3211"/>
      <c r="AF108" s="3211"/>
      <c r="AG108" s="3211"/>
      <c r="AH108" s="3211"/>
      <c r="AI108" s="3212">
        <f>IF(C108="","",M108*S108)</f>
        <v>3020000</v>
      </c>
      <c r="AJ108" s="3213"/>
      <c r="AK108" s="3213"/>
      <c r="AL108" s="3213"/>
      <c r="AM108" s="3213"/>
      <c r="AN108" s="3213"/>
      <c r="AO108" s="3213"/>
      <c r="AP108" s="3214"/>
      <c r="AQ108" s="3280">
        <f>IF(C108="","",IF(AB108&lt;&gt;"",AB108,VLOOKUP(C108,[5]建物1802!$E$5:$AL$3275,26,FALSE)))</f>
        <v>7.6</v>
      </c>
      <c r="AR108" s="3281"/>
      <c r="AS108" s="3281"/>
      <c r="AT108" s="3281"/>
      <c r="AU108" s="3282"/>
      <c r="AV108" s="3280">
        <f>IF(OR(C108="",AQ108=""),"",M108*AQ108)</f>
        <v>15.2</v>
      </c>
      <c r="AW108" s="3281"/>
      <c r="AX108" s="3281"/>
      <c r="AY108" s="3281"/>
      <c r="AZ108" s="3281"/>
      <c r="BA108" s="3282"/>
      <c r="BB108" s="926"/>
      <c r="BC108" s="3277" t="str">
        <f>IF(BD63="","","WM")</f>
        <v>WM</v>
      </c>
      <c r="BD108" s="3277"/>
      <c r="BE108" s="3277"/>
      <c r="BF108" s="3277"/>
      <c r="BG108" s="3277"/>
      <c r="BH108" s="3161">
        <f t="shared" si="0"/>
        <v>30000</v>
      </c>
      <c r="BI108" s="3162"/>
      <c r="BJ108" s="3162"/>
      <c r="BK108" s="3162"/>
      <c r="BL108" s="3162"/>
      <c r="BM108" s="3163"/>
      <c r="BN108" s="934" t="s">
        <v>2371</v>
      </c>
      <c r="BO108" s="3231"/>
      <c r="BP108" s="3231"/>
      <c r="BQ108" s="3231"/>
      <c r="BR108" s="3231"/>
      <c r="BS108" s="3231"/>
      <c r="BT108" s="3231"/>
      <c r="BU108" s="924"/>
      <c r="BW108" s="958"/>
      <c r="BX108" s="957">
        <v>30000</v>
      </c>
      <c r="BY108" s="956"/>
      <c r="BZ108" s="956"/>
      <c r="CA108" s="956"/>
      <c r="CC108" s="936"/>
      <c r="CD108" s="916"/>
      <c r="CE108" s="941"/>
      <c r="CF108" s="936"/>
      <c r="CG108" s="936"/>
      <c r="CI108" s="1708"/>
      <c r="CJ108" s="1708"/>
      <c r="CK108" s="1708"/>
      <c r="CL108" s="1708"/>
      <c r="CM108" s="1708"/>
      <c r="CN108" s="1708"/>
      <c r="CO108" s="1708"/>
      <c r="CP108" s="1708"/>
      <c r="CQ108" s="1708"/>
      <c r="CR108" s="1708"/>
      <c r="CS108" s="1708"/>
      <c r="CT108" s="1708"/>
      <c r="CU108" s="1708"/>
      <c r="CV108" s="1708"/>
      <c r="CW108" s="1708"/>
      <c r="CX108" s="1708"/>
      <c r="CY108" s="1708"/>
      <c r="CZ108" s="1708"/>
      <c r="DA108" s="1708"/>
    </row>
    <row r="109" spans="1:105" ht="13.5" customHeight="1">
      <c r="A109" s="3193"/>
      <c r="B109" s="3360"/>
      <c r="C109" s="2930" t="str">
        <f>IF(X71="","","26・TR防振装置")</f>
        <v>26・TR防振装置</v>
      </c>
      <c r="D109" s="2931"/>
      <c r="E109" s="2931"/>
      <c r="F109" s="2931"/>
      <c r="G109" s="2931"/>
      <c r="H109" s="2931"/>
      <c r="I109" s="2931"/>
      <c r="J109" s="2931"/>
      <c r="K109" s="2931"/>
      <c r="L109" s="2932"/>
      <c r="M109" s="3315">
        <f>IF(X71="","",VALUE(RIGHT(X71,1)))</f>
        <v>2</v>
      </c>
      <c r="N109" s="3316"/>
      <c r="O109" s="3316"/>
      <c r="P109" s="3317" t="str">
        <f>IF(M109="","","台分")</f>
        <v>台分</v>
      </c>
      <c r="Q109" s="3318"/>
      <c r="R109" s="3319"/>
      <c r="S109" s="3208">
        <f>IF(OR(B2=0,C109=""),"",IF(AB109&lt;&gt;"",AB109,35000+1000*INT(5000*SQRT(LEFT(X71,4))/1000)))</f>
        <v>146000</v>
      </c>
      <c r="T109" s="3209"/>
      <c r="U109" s="3209"/>
      <c r="V109" s="3209"/>
      <c r="W109" s="3209"/>
      <c r="X109" s="3209"/>
      <c r="Y109" s="3209"/>
      <c r="Z109" s="3210"/>
      <c r="AA109" s="949" t="s">
        <v>2371</v>
      </c>
      <c r="AB109" s="3215"/>
      <c r="AC109" s="3215"/>
      <c r="AD109" s="3215"/>
      <c r="AE109" s="3215"/>
      <c r="AF109" s="3215"/>
      <c r="AG109" s="3215"/>
      <c r="AH109" s="3215"/>
      <c r="AI109" s="3208">
        <f>IF(C109="","",M109*S109)</f>
        <v>292000</v>
      </c>
      <c r="AJ109" s="3209"/>
      <c r="AK109" s="3209"/>
      <c r="AL109" s="3209"/>
      <c r="AM109" s="3209"/>
      <c r="AN109" s="3209"/>
      <c r="AO109" s="3209"/>
      <c r="AP109" s="3210"/>
      <c r="AQ109" s="3284">
        <f>IF(OR(CC93="OCB",CC93="ICB"),"",IF(S109="","",S109*1.2*10^-5))</f>
        <v>1.7520000000000002</v>
      </c>
      <c r="AR109" s="3284"/>
      <c r="AS109" s="3284"/>
      <c r="AT109" s="3284"/>
      <c r="AU109" s="3284"/>
      <c r="AV109" s="3280">
        <f>IF(OR(C109="",AQ109=""),"",M109*AQ109)</f>
        <v>3.5040000000000004</v>
      </c>
      <c r="AW109" s="3281"/>
      <c r="AX109" s="3281"/>
      <c r="AY109" s="3281"/>
      <c r="AZ109" s="3281"/>
      <c r="BA109" s="3282"/>
      <c r="BB109" s="926"/>
      <c r="BC109" s="3277" t="str">
        <f>IF(BH63="","","WH")</f>
        <v>WH</v>
      </c>
      <c r="BD109" s="3277"/>
      <c r="BE109" s="3277"/>
      <c r="BF109" s="3277"/>
      <c r="BG109" s="3277"/>
      <c r="BH109" s="3161">
        <f t="shared" si="0"/>
        <v>40000</v>
      </c>
      <c r="BI109" s="3162"/>
      <c r="BJ109" s="3162"/>
      <c r="BK109" s="3162"/>
      <c r="BL109" s="3162"/>
      <c r="BM109" s="3163"/>
      <c r="BN109" s="934" t="s">
        <v>2371</v>
      </c>
      <c r="BO109" s="3231"/>
      <c r="BP109" s="3231"/>
      <c r="BQ109" s="3231"/>
      <c r="BR109" s="3231"/>
      <c r="BS109" s="3231"/>
      <c r="BT109" s="3231"/>
      <c r="BU109" s="924"/>
      <c r="BW109" s="958"/>
      <c r="BX109" s="957">
        <v>40000</v>
      </c>
      <c r="BY109" s="956"/>
      <c r="BZ109" s="956"/>
      <c r="CA109" s="956"/>
      <c r="CC109" s="936"/>
      <c r="CD109" s="916"/>
      <c r="CE109" s="941"/>
      <c r="CF109" s="936"/>
      <c r="CG109" s="936"/>
      <c r="CI109" s="1708"/>
      <c r="CJ109" s="1708"/>
      <c r="CK109" s="1708"/>
      <c r="CL109" s="1708"/>
      <c r="CM109" s="1708"/>
      <c r="CN109" s="1708"/>
      <c r="CO109" s="1708"/>
      <c r="CP109" s="1708"/>
      <c r="CQ109" s="1708"/>
      <c r="CR109" s="1708"/>
      <c r="CS109" s="1708"/>
      <c r="CT109" s="1708"/>
      <c r="CU109" s="1708"/>
      <c r="CV109" s="1708"/>
      <c r="CW109" s="1708"/>
      <c r="CX109" s="1708"/>
      <c r="CY109" s="1708"/>
      <c r="CZ109" s="1708"/>
      <c r="DA109" s="1708"/>
    </row>
    <row r="110" spans="1:105" ht="13.5" customHeight="1">
      <c r="A110" s="3193"/>
      <c r="B110" s="3360"/>
      <c r="C110" s="3195" t="str">
        <f>IF(X71="","","TR編組銅帯")</f>
        <v>TR編組銅帯</v>
      </c>
      <c r="D110" s="3196"/>
      <c r="E110" s="3196"/>
      <c r="F110" s="3196"/>
      <c r="G110" s="3196"/>
      <c r="H110" s="3196"/>
      <c r="I110" s="3196"/>
      <c r="J110" s="3196"/>
      <c r="K110" s="3196"/>
      <c r="L110" s="3197"/>
      <c r="M110" s="3199">
        <f>IF(X71="","",VALUE(RIGHT(X71,1)))</f>
        <v>2</v>
      </c>
      <c r="N110" s="3200"/>
      <c r="O110" s="3200"/>
      <c r="P110" s="3312" t="str">
        <f>IF(M110="","","台分")</f>
        <v>台分</v>
      </c>
      <c r="Q110" s="3313"/>
      <c r="R110" s="3314"/>
      <c r="S110" s="3244">
        <f>IF(OR(B2=0,C110=""),"",IF(AB110&lt;&gt;"",AB110,25000+1000*INT(40000*LEFT(X71,4)/MID(N71,6,3)/1000)))</f>
        <v>120000</v>
      </c>
      <c r="T110" s="3245"/>
      <c r="U110" s="3245"/>
      <c r="V110" s="3245"/>
      <c r="W110" s="3245"/>
      <c r="X110" s="3245"/>
      <c r="Y110" s="3245"/>
      <c r="Z110" s="3246"/>
      <c r="AA110" s="930" t="s">
        <v>2371</v>
      </c>
      <c r="AB110" s="3198"/>
      <c r="AC110" s="3198"/>
      <c r="AD110" s="3198"/>
      <c r="AE110" s="3198"/>
      <c r="AF110" s="3198"/>
      <c r="AG110" s="3198"/>
      <c r="AH110" s="3198"/>
      <c r="AI110" s="3199">
        <f>IF(C110="","",M110*S110)</f>
        <v>240000</v>
      </c>
      <c r="AJ110" s="3200"/>
      <c r="AK110" s="3200"/>
      <c r="AL110" s="3200"/>
      <c r="AM110" s="3200"/>
      <c r="AN110" s="3200"/>
      <c r="AO110" s="3200"/>
      <c r="AP110" s="3201"/>
      <c r="AQ110" s="3249">
        <f>IF(S110="","",S110*1.5*10^-5)</f>
        <v>1.8</v>
      </c>
      <c r="AR110" s="3249"/>
      <c r="AS110" s="3249"/>
      <c r="AT110" s="3249"/>
      <c r="AU110" s="3249"/>
      <c r="AV110" s="3250">
        <f>IF(C110="","",M110*AQ110)</f>
        <v>3.6</v>
      </c>
      <c r="AW110" s="3250"/>
      <c r="AX110" s="3250"/>
      <c r="AY110" s="3250"/>
      <c r="AZ110" s="3250"/>
      <c r="BA110" s="3250"/>
      <c r="BB110" s="926"/>
      <c r="BC110" s="3277" t="str">
        <f>IF(BL63="","","VarH")</f>
        <v>VarH</v>
      </c>
      <c r="BD110" s="3277"/>
      <c r="BE110" s="3277"/>
      <c r="BF110" s="3277"/>
      <c r="BG110" s="3277"/>
      <c r="BH110" s="3161">
        <f t="shared" si="0"/>
        <v>40000</v>
      </c>
      <c r="BI110" s="3162"/>
      <c r="BJ110" s="3162"/>
      <c r="BK110" s="3162"/>
      <c r="BL110" s="3162"/>
      <c r="BM110" s="3163"/>
      <c r="BN110" s="934" t="s">
        <v>2371</v>
      </c>
      <c r="BO110" s="3231"/>
      <c r="BP110" s="3231"/>
      <c r="BQ110" s="3231"/>
      <c r="BR110" s="3231"/>
      <c r="BS110" s="3231"/>
      <c r="BT110" s="3231"/>
      <c r="BU110" s="924"/>
      <c r="BW110" s="958"/>
      <c r="BX110" s="957">
        <v>40000</v>
      </c>
      <c r="BY110" s="956"/>
      <c r="BZ110" s="956"/>
      <c r="CA110" s="956"/>
      <c r="CC110" s="936"/>
      <c r="CD110" s="916"/>
      <c r="CE110" s="941"/>
      <c r="CF110" s="936"/>
      <c r="CG110" s="936"/>
      <c r="CI110" s="1708"/>
      <c r="CJ110" s="1708"/>
      <c r="CK110" s="1708"/>
      <c r="CL110" s="1708"/>
      <c r="CM110" s="1708"/>
      <c r="CN110" s="1708"/>
      <c r="CO110" s="1708"/>
      <c r="CP110" s="1708"/>
      <c r="CQ110" s="1708"/>
      <c r="CR110" s="1708"/>
      <c r="CS110" s="1708"/>
      <c r="CT110" s="1708"/>
      <c r="CU110" s="1708"/>
      <c r="CV110" s="1708"/>
      <c r="CW110" s="1708"/>
      <c r="CX110" s="1708"/>
      <c r="CY110" s="1708"/>
      <c r="CZ110" s="1708"/>
      <c r="DA110" s="1708"/>
    </row>
    <row r="111" spans="1:105" ht="13.5" customHeight="1">
      <c r="A111" s="3193"/>
      <c r="B111" s="3360"/>
      <c r="C111" s="3256" t="str">
        <f>IF(C106="","","（小計）")</f>
        <v>（小計）</v>
      </c>
      <c r="D111" s="3257"/>
      <c r="E111" s="3257"/>
      <c r="F111" s="3257"/>
      <c r="G111" s="3257"/>
      <c r="H111" s="3257"/>
      <c r="I111" s="3257"/>
      <c r="J111" s="3257"/>
      <c r="K111" s="3257"/>
      <c r="L111" s="3258"/>
      <c r="M111" s="3259"/>
      <c r="N111" s="3260"/>
      <c r="O111" s="3260"/>
      <c r="P111" s="3260"/>
      <c r="Q111" s="3260"/>
      <c r="R111" s="3261"/>
      <c r="S111" s="3262">
        <f>IF(C106="","",SUM(AI106:AP110))</f>
        <v>4846000</v>
      </c>
      <c r="T111" s="3263"/>
      <c r="U111" s="3263"/>
      <c r="V111" s="3263"/>
      <c r="W111" s="3263"/>
      <c r="X111" s="3263"/>
      <c r="Y111" s="3263"/>
      <c r="Z111" s="3264"/>
      <c r="AA111" s="3265"/>
      <c r="AB111" s="3266"/>
      <c r="AC111" s="3266"/>
      <c r="AD111" s="3266"/>
      <c r="AE111" s="3266"/>
      <c r="AF111" s="3266"/>
      <c r="AG111" s="3266"/>
      <c r="AH111" s="3266"/>
      <c r="AI111" s="3266"/>
      <c r="AJ111" s="3266"/>
      <c r="AK111" s="3266"/>
      <c r="AL111" s="3266"/>
      <c r="AM111" s="3266"/>
      <c r="AN111" s="3266"/>
      <c r="AO111" s="3266"/>
      <c r="AP111" s="3266"/>
      <c r="AQ111" s="3266"/>
      <c r="AR111" s="3266"/>
      <c r="AS111" s="3266"/>
      <c r="AT111" s="3266"/>
      <c r="AU111" s="3266"/>
      <c r="AV111" s="3266"/>
      <c r="AW111" s="3266"/>
      <c r="AX111" s="3266"/>
      <c r="AY111" s="3266"/>
      <c r="AZ111" s="3266"/>
      <c r="BA111" s="3267"/>
      <c r="BB111" s="946"/>
      <c r="BC111" s="3004"/>
      <c r="BD111" s="3005"/>
      <c r="BE111" s="3005"/>
      <c r="BF111" s="3005"/>
      <c r="BG111" s="3006"/>
      <c r="BH111" s="3161" t="str">
        <f t="shared" si="0"/>
        <v/>
      </c>
      <c r="BI111" s="3162"/>
      <c r="BJ111" s="3162"/>
      <c r="BK111" s="3162"/>
      <c r="BL111" s="3162"/>
      <c r="BM111" s="3163"/>
      <c r="BN111" s="934"/>
      <c r="BO111" s="3235"/>
      <c r="BP111" s="3236"/>
      <c r="BQ111" s="3236"/>
      <c r="BR111" s="3236"/>
      <c r="BS111" s="3236"/>
      <c r="BT111" s="3237"/>
      <c r="BU111" s="924"/>
      <c r="BW111" s="958"/>
      <c r="BX111" s="957"/>
      <c r="BY111" s="956"/>
      <c r="BZ111" s="956"/>
      <c r="CA111" s="956"/>
      <c r="CC111" s="955"/>
      <c r="CD111" s="955"/>
      <c r="CE111" s="941"/>
      <c r="CF111" s="936"/>
      <c r="CG111" s="936"/>
      <c r="CI111" s="1708"/>
      <c r="CJ111" s="1708"/>
      <c r="CK111" s="1708"/>
      <c r="CL111" s="1708"/>
      <c r="CM111" s="1708"/>
      <c r="CN111" s="1708"/>
      <c r="CO111" s="1708"/>
      <c r="CP111" s="1708"/>
      <c r="CQ111" s="1708"/>
      <c r="CR111" s="1708"/>
      <c r="CS111" s="1708"/>
      <c r="CT111" s="1708"/>
      <c r="CU111" s="1708"/>
      <c r="CV111" s="1708"/>
      <c r="CW111" s="1708"/>
      <c r="CX111" s="1708"/>
      <c r="CY111" s="1708"/>
      <c r="CZ111" s="1708"/>
      <c r="DA111" s="1708"/>
    </row>
    <row r="112" spans="1:105" ht="13.5" customHeight="1">
      <c r="A112" s="3193"/>
      <c r="B112" s="3360"/>
      <c r="C112" s="3297" t="str">
        <f>IF(N75="","","低圧照明盤")</f>
        <v>低圧照明盤</v>
      </c>
      <c r="D112" s="3297"/>
      <c r="E112" s="3297"/>
      <c r="F112" s="3297"/>
      <c r="G112" s="3297"/>
      <c r="H112" s="3297"/>
      <c r="I112" s="3297"/>
      <c r="J112" s="3297"/>
      <c r="K112" s="3297"/>
      <c r="L112" s="3297"/>
      <c r="M112" s="3269">
        <f>IF(AE75="","",VALUE(LEFT(AE75,1)))</f>
        <v>1</v>
      </c>
      <c r="N112" s="3270"/>
      <c r="O112" s="3270"/>
      <c r="P112" s="3305" t="str">
        <f>IF(M112="","","面")</f>
        <v>面</v>
      </c>
      <c r="Q112" s="3305"/>
      <c r="R112" s="3305"/>
      <c r="S112" s="3304">
        <f>IF(OR(B2=0,C112=""),"",IF(AB112&lt;&gt;"",AB112,IF(CC93="FRM",CC112,IF(CC93="ICB",1000*INT(1.2*CC112/1000),1000*INT(1.25*CC112/1000)))))</f>
        <v>1192000</v>
      </c>
      <c r="T112" s="3304"/>
      <c r="U112" s="3304"/>
      <c r="V112" s="3304"/>
      <c r="W112" s="3304"/>
      <c r="X112" s="3304"/>
      <c r="Y112" s="3304"/>
      <c r="Z112" s="3304"/>
      <c r="AA112" s="960" t="s">
        <v>2371</v>
      </c>
      <c r="AB112" s="3268"/>
      <c r="AC112" s="3268"/>
      <c r="AD112" s="3268"/>
      <c r="AE112" s="3268"/>
      <c r="AF112" s="3268"/>
      <c r="AG112" s="3268"/>
      <c r="AH112" s="3268"/>
      <c r="AI112" s="3269">
        <f>IF(C112="","",M112*S112)</f>
        <v>1192000</v>
      </c>
      <c r="AJ112" s="3270"/>
      <c r="AK112" s="3270"/>
      <c r="AL112" s="3270"/>
      <c r="AM112" s="3270"/>
      <c r="AN112" s="3270"/>
      <c r="AO112" s="3270"/>
      <c r="AP112" s="3271"/>
      <c r="AQ112" s="3272">
        <f>IF(C112="","",IF(CC107="FRM",4.77,6.1))</f>
        <v>6.1</v>
      </c>
      <c r="AR112" s="3272"/>
      <c r="AS112" s="3272"/>
      <c r="AT112" s="3272"/>
      <c r="AU112" s="3272"/>
      <c r="AV112" s="3273">
        <f>IF(C112="","",M112*AQ112)</f>
        <v>6.1</v>
      </c>
      <c r="AW112" s="3273"/>
      <c r="AX112" s="3273"/>
      <c r="AY112" s="3273"/>
      <c r="AZ112" s="3273"/>
      <c r="BA112" s="3273"/>
      <c r="BB112" s="926"/>
      <c r="BC112" s="3277" t="str">
        <f>IF(BH61="","","27")</f>
        <v>27</v>
      </c>
      <c r="BD112" s="3277"/>
      <c r="BE112" s="3277"/>
      <c r="BF112" s="3277"/>
      <c r="BG112" s="3277"/>
      <c r="BH112" s="3161">
        <f t="shared" si="0"/>
        <v>40000</v>
      </c>
      <c r="BI112" s="3162"/>
      <c r="BJ112" s="3162"/>
      <c r="BK112" s="3162"/>
      <c r="BL112" s="3162"/>
      <c r="BM112" s="3163"/>
      <c r="BN112" s="934" t="s">
        <v>2371</v>
      </c>
      <c r="BO112" s="3231"/>
      <c r="BP112" s="3231"/>
      <c r="BQ112" s="3231"/>
      <c r="BR112" s="3231"/>
      <c r="BS112" s="3231"/>
      <c r="BT112" s="3231"/>
      <c r="BU112" s="924"/>
      <c r="BW112" s="958"/>
      <c r="BX112" s="957">
        <v>40000</v>
      </c>
      <c r="BY112" s="956"/>
      <c r="BZ112" s="956"/>
      <c r="CA112" s="956"/>
      <c r="CC112" s="3291">
        <f>IF(C112="","",SUM(BH120:BM126)+BH127*AO75+BH128+BH131+BH118+BH105*CC102)</f>
        <v>1192000</v>
      </c>
      <c r="CD112" s="3291"/>
      <c r="CE112" s="952">
        <f>IF(S112="",0,S112*CF112)</f>
        <v>1192000</v>
      </c>
      <c r="CF112" s="951">
        <f>IF(M112="",0,M112)</f>
        <v>1</v>
      </c>
      <c r="CG112" s="942"/>
      <c r="CH112" s="942"/>
      <c r="CI112" s="1708"/>
      <c r="CJ112" s="1708"/>
      <c r="CK112" s="1708"/>
      <c r="CL112" s="1708"/>
      <c r="CM112" s="1708"/>
      <c r="CN112" s="1708"/>
      <c r="CO112" s="1708"/>
      <c r="CP112" s="1708"/>
      <c r="CQ112" s="1708"/>
      <c r="CR112" s="1708"/>
      <c r="CS112" s="1708"/>
      <c r="CT112" s="1708"/>
      <c r="CU112" s="1708"/>
      <c r="CV112" s="1708"/>
      <c r="CW112" s="1708"/>
      <c r="CX112" s="1708"/>
      <c r="CY112" s="1708"/>
      <c r="CZ112" s="1708"/>
      <c r="DA112" s="1708"/>
    </row>
    <row r="113" spans="1:105" ht="13.5" customHeight="1">
      <c r="A113" s="3193"/>
      <c r="B113" s="3360"/>
      <c r="C113" s="2930" t="str">
        <f>IF(N75="","",N75)</f>
        <v>3φ4W 440/254V</v>
      </c>
      <c r="D113" s="2931"/>
      <c r="E113" s="2931"/>
      <c r="F113" s="2931"/>
      <c r="G113" s="2931"/>
      <c r="H113" s="2931"/>
      <c r="I113" s="2931"/>
      <c r="J113" s="2931"/>
      <c r="K113" s="2931"/>
      <c r="L113" s="2932"/>
      <c r="M113" s="3292"/>
      <c r="N113" s="3292"/>
      <c r="O113" s="3292"/>
      <c r="P113" s="3293"/>
      <c r="Q113" s="3293"/>
      <c r="R113" s="3293"/>
      <c r="S113" s="3294"/>
      <c r="T113" s="3295"/>
      <c r="U113" s="3295"/>
      <c r="V113" s="3295"/>
      <c r="W113" s="3295"/>
      <c r="X113" s="3295"/>
      <c r="Y113" s="3295"/>
      <c r="Z113" s="3296"/>
      <c r="AA113" s="949"/>
      <c r="AB113" s="3215"/>
      <c r="AC113" s="3215"/>
      <c r="AD113" s="3215"/>
      <c r="AE113" s="3215"/>
      <c r="AF113" s="3215"/>
      <c r="AG113" s="3215"/>
      <c r="AH113" s="3215"/>
      <c r="AI113" s="3208"/>
      <c r="AJ113" s="3209"/>
      <c r="AK113" s="3209"/>
      <c r="AL113" s="3209"/>
      <c r="AM113" s="3209"/>
      <c r="AN113" s="3209"/>
      <c r="AO113" s="3209"/>
      <c r="AP113" s="3210"/>
      <c r="AQ113" s="3284"/>
      <c r="AR113" s="3284"/>
      <c r="AS113" s="3284"/>
      <c r="AT113" s="3284"/>
      <c r="AU113" s="3284"/>
      <c r="AV113" s="3283"/>
      <c r="AW113" s="3283"/>
      <c r="AX113" s="3283"/>
      <c r="AY113" s="3283"/>
      <c r="AZ113" s="3283"/>
      <c r="BA113" s="3283"/>
      <c r="BB113" s="926"/>
      <c r="BC113" s="3277" t="str">
        <f>IF(BL61="","","59")</f>
        <v>59</v>
      </c>
      <c r="BD113" s="3277"/>
      <c r="BE113" s="3277"/>
      <c r="BF113" s="3277"/>
      <c r="BG113" s="3277"/>
      <c r="BH113" s="3161">
        <f t="shared" si="0"/>
        <v>40000</v>
      </c>
      <c r="BI113" s="3162"/>
      <c r="BJ113" s="3162"/>
      <c r="BK113" s="3162"/>
      <c r="BL113" s="3162"/>
      <c r="BM113" s="3163"/>
      <c r="BN113" s="934" t="s">
        <v>2371</v>
      </c>
      <c r="BO113" s="3231"/>
      <c r="BP113" s="3231"/>
      <c r="BQ113" s="3231"/>
      <c r="BR113" s="3231"/>
      <c r="BS113" s="3231"/>
      <c r="BT113" s="3231"/>
      <c r="BU113" s="924"/>
      <c r="BW113" s="958"/>
      <c r="BX113" s="957">
        <v>40000</v>
      </c>
      <c r="BY113" s="956"/>
      <c r="BZ113" s="956"/>
      <c r="CA113" s="956"/>
      <c r="CC113" s="936"/>
      <c r="CD113" s="916"/>
      <c r="CE113" s="941"/>
      <c r="CF113" s="936"/>
      <c r="CG113" s="936"/>
      <c r="CI113" s="1708"/>
      <c r="CJ113" s="1708"/>
      <c r="CK113" s="1708"/>
      <c r="CL113" s="1708"/>
      <c r="CM113" s="1708"/>
      <c r="CN113" s="1708"/>
      <c r="CO113" s="1708"/>
      <c r="CP113" s="1708"/>
      <c r="CQ113" s="1708"/>
      <c r="CR113" s="1708"/>
      <c r="CS113" s="1708"/>
      <c r="CT113" s="1708"/>
      <c r="CU113" s="1708"/>
      <c r="CV113" s="1708"/>
      <c r="CW113" s="1708"/>
      <c r="CX113" s="1708"/>
      <c r="CY113" s="1708"/>
      <c r="CZ113" s="1708"/>
      <c r="DA113" s="1708"/>
    </row>
    <row r="114" spans="1:105" ht="13.5" customHeight="1">
      <c r="A114" s="3193"/>
      <c r="B114" s="3360"/>
      <c r="C114" s="2811" t="str">
        <f>IF(X75="","","TR"&amp;LEFT(N75,2)&amp;LEFT(AS59,2)&amp;"Hz"&amp;LEFT(X75,4)&amp;"KVA")</f>
        <v>TR3φ60Hz 150KVA</v>
      </c>
      <c r="D114" s="2812"/>
      <c r="E114" s="2812"/>
      <c r="F114" s="2812"/>
      <c r="G114" s="2812"/>
      <c r="H114" s="2812"/>
      <c r="I114" s="2812"/>
      <c r="J114" s="2812"/>
      <c r="K114" s="2812"/>
      <c r="L114" s="2813"/>
      <c r="M114" s="3308">
        <f>IF(X75="","",VALUE(RIGHT(X75,1)))</f>
        <v>1</v>
      </c>
      <c r="N114" s="3308"/>
      <c r="O114" s="3308"/>
      <c r="P114" s="3309" t="str">
        <f>IF(M114="","","台")</f>
        <v>台</v>
      </c>
      <c r="Q114" s="3309"/>
      <c r="R114" s="3309"/>
      <c r="S114" s="3208">
        <f>IF(C114="","",IF(AB114&lt;&gt;"",AB114,VLOOKUP(C114,[5]建物1802!$E$5:$AL$3275,$BB$97,FALSE)))</f>
        <v>582000</v>
      </c>
      <c r="T114" s="3209"/>
      <c r="U114" s="3209"/>
      <c r="V114" s="3209"/>
      <c r="W114" s="3209"/>
      <c r="X114" s="3209"/>
      <c r="Y114" s="3209"/>
      <c r="Z114" s="3210"/>
      <c r="AA114" s="950" t="s">
        <v>2371</v>
      </c>
      <c r="AB114" s="3211"/>
      <c r="AC114" s="3211"/>
      <c r="AD114" s="3211"/>
      <c r="AE114" s="3211"/>
      <c r="AF114" s="3211"/>
      <c r="AG114" s="3211"/>
      <c r="AH114" s="3211"/>
      <c r="AI114" s="3212">
        <f>IF(C114="","",M114*S114)</f>
        <v>582000</v>
      </c>
      <c r="AJ114" s="3213"/>
      <c r="AK114" s="3213"/>
      <c r="AL114" s="3213"/>
      <c r="AM114" s="3213"/>
      <c r="AN114" s="3213"/>
      <c r="AO114" s="3213"/>
      <c r="AP114" s="3214"/>
      <c r="AQ114" s="3280">
        <f>IF(C114="","",IF(AB114&lt;&gt;"",AB114,VLOOKUP(C114,[5]建物1802!$E$5:$AL$3275,26,FALSE)))</f>
        <v>4.9400000000000004</v>
      </c>
      <c r="AR114" s="3281"/>
      <c r="AS114" s="3281"/>
      <c r="AT114" s="3281"/>
      <c r="AU114" s="3282"/>
      <c r="AV114" s="3280">
        <f>IF(OR(C114="",AQ114=""),"",M114*AQ114)</f>
        <v>4.9400000000000004</v>
      </c>
      <c r="AW114" s="3281"/>
      <c r="AX114" s="3281"/>
      <c r="AY114" s="3281"/>
      <c r="AZ114" s="3281"/>
      <c r="BA114" s="3282"/>
      <c r="BB114" s="926"/>
      <c r="BC114" s="3277" t="str">
        <f>IF(BP61="","","Hz")</f>
        <v>Hz</v>
      </c>
      <c r="BD114" s="3277"/>
      <c r="BE114" s="3277"/>
      <c r="BF114" s="3277"/>
      <c r="BG114" s="3277"/>
      <c r="BH114" s="3161">
        <f t="shared" si="0"/>
        <v>40000</v>
      </c>
      <c r="BI114" s="3162"/>
      <c r="BJ114" s="3162"/>
      <c r="BK114" s="3162"/>
      <c r="BL114" s="3162"/>
      <c r="BM114" s="3163"/>
      <c r="BN114" s="934" t="s">
        <v>2371</v>
      </c>
      <c r="BO114" s="3231"/>
      <c r="BP114" s="3231"/>
      <c r="BQ114" s="3231"/>
      <c r="BR114" s="3231"/>
      <c r="BS114" s="3231"/>
      <c r="BT114" s="3231"/>
      <c r="BU114" s="924"/>
      <c r="BW114" s="958"/>
      <c r="BX114" s="957">
        <v>40000</v>
      </c>
      <c r="BY114" s="956"/>
      <c r="BZ114" s="956"/>
      <c r="CA114" s="956"/>
      <c r="CC114" s="936"/>
      <c r="CD114" s="916"/>
      <c r="CE114" s="941"/>
      <c r="CF114" s="936"/>
      <c r="CG114" s="936"/>
      <c r="CI114" s="1708"/>
      <c r="CJ114" s="1708"/>
      <c r="CK114" s="1708"/>
      <c r="CL114" s="1708"/>
      <c r="CM114" s="1708"/>
      <c r="CN114" s="1708"/>
      <c r="CO114" s="1708"/>
      <c r="CP114" s="1708"/>
      <c r="CQ114" s="1708"/>
      <c r="CR114" s="1708"/>
      <c r="CS114" s="1708"/>
      <c r="CT114" s="1708"/>
      <c r="CU114" s="1708"/>
      <c r="CV114" s="1708"/>
      <c r="CW114" s="1708"/>
      <c r="CX114" s="1708"/>
      <c r="CY114" s="1708"/>
      <c r="CZ114" s="1708"/>
      <c r="DA114" s="1708"/>
    </row>
    <row r="115" spans="1:105" ht="13.5" customHeight="1">
      <c r="A115" s="3193"/>
      <c r="B115" s="3360"/>
      <c r="C115" s="2930" t="str">
        <f>IF(X75="","","26・TR防振装置")</f>
        <v>26・TR防振装置</v>
      </c>
      <c r="D115" s="2931"/>
      <c r="E115" s="2931"/>
      <c r="F115" s="2931"/>
      <c r="G115" s="2931"/>
      <c r="H115" s="2931"/>
      <c r="I115" s="2931"/>
      <c r="J115" s="2931"/>
      <c r="K115" s="2931"/>
      <c r="L115" s="2932"/>
      <c r="M115" s="3308">
        <f>IF(X75="","",VALUE(RIGHT(X75,1)))</f>
        <v>1</v>
      </c>
      <c r="N115" s="3308"/>
      <c r="O115" s="3308"/>
      <c r="P115" s="3309" t="str">
        <f>IF(M115="","","台分")</f>
        <v>台分</v>
      </c>
      <c r="Q115" s="3309"/>
      <c r="R115" s="3309"/>
      <c r="S115" s="3208">
        <f>IF(OR(B2=0,C115=""),"",IF(AB115&lt;&gt;"",AB115,35000+1000*INT(5000*SQRT(LEFT(X75,4))/1000)))</f>
        <v>96000</v>
      </c>
      <c r="T115" s="3209"/>
      <c r="U115" s="3209"/>
      <c r="V115" s="3209"/>
      <c r="W115" s="3209"/>
      <c r="X115" s="3209"/>
      <c r="Y115" s="3209"/>
      <c r="Z115" s="3210"/>
      <c r="AA115" s="949" t="s">
        <v>2371</v>
      </c>
      <c r="AB115" s="3215"/>
      <c r="AC115" s="3215"/>
      <c r="AD115" s="3215"/>
      <c r="AE115" s="3215"/>
      <c r="AF115" s="3215"/>
      <c r="AG115" s="3215"/>
      <c r="AH115" s="3215"/>
      <c r="AI115" s="3208">
        <f>IF(C115="","",M115*S115)</f>
        <v>96000</v>
      </c>
      <c r="AJ115" s="3209"/>
      <c r="AK115" s="3209"/>
      <c r="AL115" s="3209"/>
      <c r="AM115" s="3209"/>
      <c r="AN115" s="3209"/>
      <c r="AO115" s="3209"/>
      <c r="AP115" s="3210"/>
      <c r="AQ115" s="3284">
        <f>IF(OR(CC93="OCB",CC93="ICB"),"",IF(S115="","",S115*1.2*10^-5))</f>
        <v>1.1520000000000001</v>
      </c>
      <c r="AR115" s="3284"/>
      <c r="AS115" s="3284"/>
      <c r="AT115" s="3284"/>
      <c r="AU115" s="3284"/>
      <c r="AV115" s="3280">
        <f>IF(OR(C115="",AQ115=""),"",M115*AQ115)</f>
        <v>1.1520000000000001</v>
      </c>
      <c r="AW115" s="3281"/>
      <c r="AX115" s="3281"/>
      <c r="AY115" s="3281"/>
      <c r="AZ115" s="3281"/>
      <c r="BA115" s="3282"/>
      <c r="BB115" s="926"/>
      <c r="BC115" s="3277" t="str">
        <f>IF(J6="CB 受電","VCB","")</f>
        <v>VCB</v>
      </c>
      <c r="BD115" s="3277"/>
      <c r="BE115" s="3277"/>
      <c r="BF115" s="3277"/>
      <c r="BG115" s="3277"/>
      <c r="BH115" s="3161">
        <f t="shared" si="0"/>
        <v>546000</v>
      </c>
      <c r="BI115" s="3162"/>
      <c r="BJ115" s="3162"/>
      <c r="BK115" s="3162"/>
      <c r="BL115" s="3162"/>
      <c r="BM115" s="3163"/>
      <c r="BN115" s="934" t="s">
        <v>2371</v>
      </c>
      <c r="BO115" s="3231"/>
      <c r="BP115" s="3231"/>
      <c r="BQ115" s="3231"/>
      <c r="BR115" s="3231"/>
      <c r="BS115" s="3231"/>
      <c r="BT115" s="3231"/>
      <c r="BU115" s="924"/>
      <c r="BW115" s="958"/>
      <c r="BX115" s="957">
        <v>546000</v>
      </c>
      <c r="BY115" s="956"/>
      <c r="BZ115" s="956"/>
      <c r="CA115" s="956"/>
      <c r="CC115" s="936"/>
      <c r="CD115" s="916"/>
      <c r="CE115" s="941"/>
      <c r="CF115" s="936"/>
      <c r="CG115" s="936"/>
      <c r="CI115" s="1708"/>
      <c r="CJ115" s="1708"/>
      <c r="CK115" s="1708"/>
      <c r="CL115" s="1708"/>
      <c r="CM115" s="1708"/>
      <c r="CN115" s="1708"/>
      <c r="CO115" s="1708"/>
      <c r="CP115" s="1708"/>
      <c r="CQ115" s="1708"/>
      <c r="CR115" s="1708"/>
      <c r="CS115" s="1708"/>
      <c r="CT115" s="1708"/>
      <c r="CU115" s="1708"/>
      <c r="CV115" s="1708"/>
      <c r="CW115" s="1708"/>
      <c r="CX115" s="1708"/>
      <c r="CY115" s="1708"/>
      <c r="CZ115" s="1708"/>
      <c r="DA115" s="1708"/>
    </row>
    <row r="116" spans="1:105" ht="13.5" customHeight="1">
      <c r="A116" s="3193"/>
      <c r="B116" s="3360"/>
      <c r="C116" s="3195" t="str">
        <f>IF(X75="","","TR編組銅帯")</f>
        <v>TR編組銅帯</v>
      </c>
      <c r="D116" s="3196"/>
      <c r="E116" s="3196"/>
      <c r="F116" s="3196"/>
      <c r="G116" s="3196"/>
      <c r="H116" s="3196"/>
      <c r="I116" s="3196"/>
      <c r="J116" s="3196"/>
      <c r="K116" s="3196"/>
      <c r="L116" s="3197"/>
      <c r="M116" s="3310">
        <f>IF(X75="","",VALUE(RIGHT(X75,1)))</f>
        <v>1</v>
      </c>
      <c r="N116" s="3310"/>
      <c r="O116" s="3310"/>
      <c r="P116" s="3311" t="str">
        <f>IF(M116="","","台分")</f>
        <v>台分</v>
      </c>
      <c r="Q116" s="3311"/>
      <c r="R116" s="3311"/>
      <c r="S116" s="3244">
        <f>IF(OR(B2=0,C116=""),"",IF(AB116&lt;&gt;"",AB116,25000+1000*INT(40000*LEFT(X75,4)/MID(N75,6,3)/SQRT(3)/1000)))</f>
        <v>32000</v>
      </c>
      <c r="T116" s="3245"/>
      <c r="U116" s="3245"/>
      <c r="V116" s="3245"/>
      <c r="W116" s="3245"/>
      <c r="X116" s="3245"/>
      <c r="Y116" s="3245"/>
      <c r="Z116" s="3246"/>
      <c r="AA116" s="930" t="s">
        <v>2371</v>
      </c>
      <c r="AB116" s="3198"/>
      <c r="AC116" s="3198"/>
      <c r="AD116" s="3198"/>
      <c r="AE116" s="3198"/>
      <c r="AF116" s="3198"/>
      <c r="AG116" s="3198"/>
      <c r="AH116" s="3198"/>
      <c r="AI116" s="3199">
        <f>IF(C116="","",M116*S116)</f>
        <v>32000</v>
      </c>
      <c r="AJ116" s="3200"/>
      <c r="AK116" s="3200"/>
      <c r="AL116" s="3200"/>
      <c r="AM116" s="3200"/>
      <c r="AN116" s="3200"/>
      <c r="AO116" s="3200"/>
      <c r="AP116" s="3201"/>
      <c r="AQ116" s="3249">
        <f>IF(S116="","",S116*1.5*10^-5)</f>
        <v>0.48000000000000004</v>
      </c>
      <c r="AR116" s="3249"/>
      <c r="AS116" s="3249"/>
      <c r="AT116" s="3249"/>
      <c r="AU116" s="3249"/>
      <c r="AV116" s="3250">
        <f>IF(C116="","",M116*AQ116)</f>
        <v>0.48000000000000004</v>
      </c>
      <c r="AW116" s="3250"/>
      <c r="AX116" s="3250"/>
      <c r="AY116" s="3250"/>
      <c r="AZ116" s="3250"/>
      <c r="BA116" s="3250"/>
      <c r="BB116" s="926"/>
      <c r="BC116" s="3277" t="str">
        <f>IF(J6="PF-S 受電","PF-S","")</f>
        <v/>
      </c>
      <c r="BD116" s="3277"/>
      <c r="BE116" s="3277"/>
      <c r="BF116" s="3277"/>
      <c r="BG116" s="3277"/>
      <c r="BH116" s="3161" t="str">
        <f t="shared" si="0"/>
        <v/>
      </c>
      <c r="BI116" s="3162"/>
      <c r="BJ116" s="3162"/>
      <c r="BK116" s="3162"/>
      <c r="BL116" s="3162"/>
      <c r="BM116" s="3163"/>
      <c r="BN116" s="934" t="s">
        <v>2371</v>
      </c>
      <c r="BO116" s="3231"/>
      <c r="BP116" s="3231"/>
      <c r="BQ116" s="3231"/>
      <c r="BR116" s="3231"/>
      <c r="BS116" s="3231"/>
      <c r="BT116" s="3231"/>
      <c r="BU116" s="924"/>
      <c r="BW116" s="958"/>
      <c r="BX116" s="957">
        <v>150000</v>
      </c>
      <c r="BY116" s="956"/>
      <c r="BZ116" s="956"/>
      <c r="CA116" s="956"/>
      <c r="CC116" s="936"/>
      <c r="CD116" s="916"/>
      <c r="CE116" s="941"/>
      <c r="CF116" s="936"/>
      <c r="CG116" s="936"/>
      <c r="CI116" s="1708"/>
      <c r="CJ116" s="1708"/>
      <c r="CK116" s="1708"/>
      <c r="CL116" s="1708"/>
      <c r="CM116" s="1708"/>
      <c r="CN116" s="1708"/>
      <c r="CO116" s="1708"/>
      <c r="CP116" s="1708"/>
      <c r="CQ116" s="1708"/>
      <c r="CR116" s="1708"/>
      <c r="CS116" s="1708"/>
      <c r="CT116" s="1708"/>
      <c r="CU116" s="1708"/>
      <c r="CV116" s="1708"/>
      <c r="CW116" s="1708"/>
      <c r="CX116" s="1708"/>
      <c r="CY116" s="1708"/>
      <c r="CZ116" s="1708"/>
      <c r="DA116" s="1708"/>
    </row>
    <row r="117" spans="1:105" ht="13.5" customHeight="1">
      <c r="A117" s="3193"/>
      <c r="B117" s="3360"/>
      <c r="C117" s="3256" t="str">
        <f>IF(C112="","","（小計）")</f>
        <v>（小計）</v>
      </c>
      <c r="D117" s="3257"/>
      <c r="E117" s="3257"/>
      <c r="F117" s="3257"/>
      <c r="G117" s="3257"/>
      <c r="H117" s="3257"/>
      <c r="I117" s="3257"/>
      <c r="J117" s="3257"/>
      <c r="K117" s="3257"/>
      <c r="L117" s="3258"/>
      <c r="M117" s="3259"/>
      <c r="N117" s="3260"/>
      <c r="O117" s="3260"/>
      <c r="P117" s="3260"/>
      <c r="Q117" s="3260"/>
      <c r="R117" s="3261"/>
      <c r="S117" s="3262">
        <f>IF(C112="","",SUM(AI112:AP116))</f>
        <v>1902000</v>
      </c>
      <c r="T117" s="3263"/>
      <c r="U117" s="3263"/>
      <c r="V117" s="3263"/>
      <c r="W117" s="3263"/>
      <c r="X117" s="3263"/>
      <c r="Y117" s="3263"/>
      <c r="Z117" s="3264"/>
      <c r="AA117" s="3259"/>
      <c r="AB117" s="3260"/>
      <c r="AC117" s="3260"/>
      <c r="AD117" s="3260"/>
      <c r="AE117" s="3260"/>
      <c r="AF117" s="3260"/>
      <c r="AG117" s="3260"/>
      <c r="AH117" s="3260"/>
      <c r="AI117" s="3260"/>
      <c r="AJ117" s="3260"/>
      <c r="AK117" s="3260"/>
      <c r="AL117" s="3260"/>
      <c r="AM117" s="3260"/>
      <c r="AN117" s="3260"/>
      <c r="AO117" s="3260"/>
      <c r="AP117" s="3260"/>
      <c r="AQ117" s="3260"/>
      <c r="AR117" s="3260"/>
      <c r="AS117" s="3260"/>
      <c r="AT117" s="3260"/>
      <c r="AU117" s="3260"/>
      <c r="AV117" s="3260"/>
      <c r="AW117" s="3260"/>
      <c r="AX117" s="3260"/>
      <c r="AY117" s="3260"/>
      <c r="AZ117" s="3260"/>
      <c r="BA117" s="3261"/>
      <c r="BB117" s="946"/>
      <c r="BC117" s="3004"/>
      <c r="BD117" s="3005"/>
      <c r="BE117" s="3005"/>
      <c r="BF117" s="3005"/>
      <c r="BG117" s="3006"/>
      <c r="BH117" s="3161" t="str">
        <f t="shared" si="0"/>
        <v/>
      </c>
      <c r="BI117" s="3162"/>
      <c r="BJ117" s="3162"/>
      <c r="BK117" s="3162"/>
      <c r="BL117" s="3162"/>
      <c r="BM117" s="3163"/>
      <c r="BN117" s="934"/>
      <c r="BO117" s="3235"/>
      <c r="BP117" s="3236"/>
      <c r="BQ117" s="3236"/>
      <c r="BR117" s="3236"/>
      <c r="BS117" s="3236"/>
      <c r="BT117" s="3237"/>
      <c r="BU117" s="924"/>
      <c r="BW117" s="958"/>
      <c r="BX117" s="957"/>
      <c r="BY117" s="956"/>
      <c r="BZ117" s="956"/>
      <c r="CA117" s="956"/>
      <c r="CC117" s="955"/>
      <c r="CD117" s="955"/>
      <c r="CE117" s="941"/>
      <c r="CF117" s="936"/>
      <c r="CG117" s="936"/>
      <c r="CI117" s="1708"/>
      <c r="CJ117" s="1708"/>
      <c r="CK117" s="1708"/>
      <c r="CL117" s="1708"/>
      <c r="CM117" s="1708"/>
      <c r="CN117" s="1708"/>
      <c r="CO117" s="1708"/>
      <c r="CP117" s="1708"/>
      <c r="CQ117" s="1708"/>
      <c r="CR117" s="1708"/>
      <c r="CS117" s="1708"/>
      <c r="CT117" s="1708"/>
      <c r="CU117" s="1708"/>
      <c r="CV117" s="1708"/>
      <c r="CW117" s="1708"/>
      <c r="CX117" s="1708"/>
      <c r="CY117" s="1708"/>
      <c r="CZ117" s="1708"/>
      <c r="DA117" s="1708"/>
    </row>
    <row r="118" spans="1:105" ht="13.5" customHeight="1">
      <c r="A118" s="3193"/>
      <c r="B118" s="3360"/>
      <c r="C118" s="3297" t="str">
        <f>IF(N79="","","低圧照明盤")</f>
        <v/>
      </c>
      <c r="D118" s="3297"/>
      <c r="E118" s="3297"/>
      <c r="F118" s="3297"/>
      <c r="G118" s="3297"/>
      <c r="H118" s="3297"/>
      <c r="I118" s="3297"/>
      <c r="J118" s="3297"/>
      <c r="K118" s="3297"/>
      <c r="L118" s="3297"/>
      <c r="M118" s="3304" t="str">
        <f>IF(AE79="","",VALUE(LEFT(AE79,1)))</f>
        <v/>
      </c>
      <c r="N118" s="3304"/>
      <c r="O118" s="3304"/>
      <c r="P118" s="3305" t="str">
        <f>IF(M118="","","面")</f>
        <v/>
      </c>
      <c r="Q118" s="3305"/>
      <c r="R118" s="3305"/>
      <c r="S118" s="3269" t="str">
        <f>IF(OR(B2=0,C118=""),"",IF(AB118&lt;&gt;"",AB118,IF(CC93="FRM",CC118,IF(CC93="ICB",1000*INT(1.2*CC118/1000),1000*INT(1.25*CC118/1000)))))</f>
        <v/>
      </c>
      <c r="T118" s="3270"/>
      <c r="U118" s="3270"/>
      <c r="V118" s="3270"/>
      <c r="W118" s="3270"/>
      <c r="X118" s="3270"/>
      <c r="Y118" s="3270"/>
      <c r="Z118" s="3271"/>
      <c r="AA118" s="954" t="s">
        <v>2371</v>
      </c>
      <c r="AB118" s="3268"/>
      <c r="AC118" s="3268"/>
      <c r="AD118" s="3268"/>
      <c r="AE118" s="3268"/>
      <c r="AF118" s="3268"/>
      <c r="AG118" s="3268"/>
      <c r="AH118" s="3268"/>
      <c r="AI118" s="3269" t="str">
        <f>IF(C118="","",M118*S118)</f>
        <v/>
      </c>
      <c r="AJ118" s="3270"/>
      <c r="AK118" s="3270"/>
      <c r="AL118" s="3270"/>
      <c r="AM118" s="3270"/>
      <c r="AN118" s="3270"/>
      <c r="AO118" s="3270"/>
      <c r="AP118" s="3271"/>
      <c r="AQ118" s="3272" t="str">
        <f>IF(C118="","",IF(CC113="FRM",4.77,6.1))</f>
        <v/>
      </c>
      <c r="AR118" s="3272"/>
      <c r="AS118" s="3272"/>
      <c r="AT118" s="3272"/>
      <c r="AU118" s="3272"/>
      <c r="AV118" s="3273" t="str">
        <f>IF(C118="","",M118*AQ118)</f>
        <v/>
      </c>
      <c r="AW118" s="3273"/>
      <c r="AX118" s="3273"/>
      <c r="AY118" s="3273"/>
      <c r="AZ118" s="3273"/>
      <c r="BA118" s="3273"/>
      <c r="BB118" s="926"/>
      <c r="BC118" s="3277" t="str">
        <f>IF(C98="","","Panel")</f>
        <v>Panel</v>
      </c>
      <c r="BD118" s="3277"/>
      <c r="BE118" s="3277"/>
      <c r="BF118" s="3277"/>
      <c r="BG118" s="3277"/>
      <c r="BH118" s="3161">
        <f t="shared" si="0"/>
        <v>200000</v>
      </c>
      <c r="BI118" s="3162"/>
      <c r="BJ118" s="3162"/>
      <c r="BK118" s="3162"/>
      <c r="BL118" s="3162"/>
      <c r="BM118" s="3163"/>
      <c r="BN118" s="934" t="s">
        <v>2371</v>
      </c>
      <c r="BO118" s="3231"/>
      <c r="BP118" s="3231"/>
      <c r="BQ118" s="3231"/>
      <c r="BR118" s="3231"/>
      <c r="BS118" s="3231"/>
      <c r="BT118" s="3231"/>
      <c r="BU118" s="924"/>
      <c r="BW118" s="958"/>
      <c r="BX118" s="957">
        <v>200000</v>
      </c>
      <c r="BY118" s="956"/>
      <c r="BZ118" s="956"/>
      <c r="CA118" s="956"/>
      <c r="CC118" s="3291" t="str">
        <f>IF(C118="","",SUM(BH120:BM126)+BH127*AO79+BH132+BH118+BH105*CC103)</f>
        <v/>
      </c>
      <c r="CD118" s="3291"/>
      <c r="CE118" s="952">
        <f>IF(S118="",0,S118*CF118)</f>
        <v>0</v>
      </c>
      <c r="CF118" s="951">
        <f>IF(M118="",0,M118)</f>
        <v>0</v>
      </c>
      <c r="CG118" s="942"/>
      <c r="CH118" s="942"/>
      <c r="CI118" s="1708"/>
      <c r="CJ118" s="1708"/>
      <c r="CK118" s="1708"/>
      <c r="CL118" s="1708"/>
      <c r="CM118" s="1708"/>
      <c r="CN118" s="1708"/>
      <c r="CO118" s="1708"/>
      <c r="CP118" s="1708"/>
      <c r="CQ118" s="1708"/>
      <c r="CR118" s="1708"/>
      <c r="CS118" s="1708"/>
      <c r="CT118" s="1708"/>
      <c r="CU118" s="1708"/>
      <c r="CV118" s="1708"/>
      <c r="CW118" s="1708"/>
      <c r="CX118" s="1708"/>
      <c r="CY118" s="1708"/>
      <c r="CZ118" s="1708"/>
      <c r="DA118" s="1708"/>
    </row>
    <row r="119" spans="1:105" ht="13.5" customHeight="1">
      <c r="A119" s="3193"/>
      <c r="B119" s="3360"/>
      <c r="C119" s="2930" t="str">
        <f>IF(N79="","",N79)</f>
        <v/>
      </c>
      <c r="D119" s="2931"/>
      <c r="E119" s="2931"/>
      <c r="F119" s="2931"/>
      <c r="G119" s="2931"/>
      <c r="H119" s="2931"/>
      <c r="I119" s="2931"/>
      <c r="J119" s="2931"/>
      <c r="K119" s="2931"/>
      <c r="L119" s="2932"/>
      <c r="M119" s="3292"/>
      <c r="N119" s="3292"/>
      <c r="O119" s="3292"/>
      <c r="P119" s="3293"/>
      <c r="Q119" s="3293"/>
      <c r="R119" s="3293"/>
      <c r="S119" s="3294"/>
      <c r="T119" s="3295"/>
      <c r="U119" s="3295"/>
      <c r="V119" s="3295"/>
      <c r="W119" s="3295"/>
      <c r="X119" s="3295"/>
      <c r="Y119" s="3295"/>
      <c r="Z119" s="3296"/>
      <c r="AA119" s="949"/>
      <c r="AB119" s="3215"/>
      <c r="AC119" s="3215"/>
      <c r="AD119" s="3215"/>
      <c r="AE119" s="3215"/>
      <c r="AF119" s="3215"/>
      <c r="AG119" s="3215"/>
      <c r="AH119" s="3215"/>
      <c r="AI119" s="3208"/>
      <c r="AJ119" s="3209"/>
      <c r="AK119" s="3209"/>
      <c r="AL119" s="3209"/>
      <c r="AM119" s="3209"/>
      <c r="AN119" s="3209"/>
      <c r="AO119" s="3209"/>
      <c r="AP119" s="3210"/>
      <c r="AQ119" s="3284"/>
      <c r="AR119" s="3284"/>
      <c r="AS119" s="3284"/>
      <c r="AT119" s="3284"/>
      <c r="AU119" s="3284"/>
      <c r="AV119" s="3283"/>
      <c r="AW119" s="3283"/>
      <c r="AX119" s="3283"/>
      <c r="AY119" s="3283"/>
      <c r="AZ119" s="3283"/>
      <c r="BA119" s="3283"/>
      <c r="BB119" s="926"/>
      <c r="BC119" s="926"/>
      <c r="BD119" s="925"/>
      <c r="BE119" s="925"/>
      <c r="BF119" s="925"/>
      <c r="BG119" s="925"/>
      <c r="BH119" s="925"/>
      <c r="BI119" s="925"/>
      <c r="BJ119" s="925"/>
      <c r="BK119" s="925"/>
      <c r="BL119" s="925"/>
      <c r="BM119" s="925"/>
      <c r="BN119" s="926"/>
      <c r="BO119" s="926"/>
      <c r="BP119" s="926"/>
      <c r="BQ119" s="926"/>
      <c r="BR119" s="926"/>
      <c r="BS119" s="926"/>
      <c r="BT119" s="926"/>
      <c r="BU119" s="924"/>
      <c r="BW119" s="962"/>
      <c r="BX119" s="961"/>
      <c r="BY119" s="961"/>
      <c r="BZ119" s="961"/>
      <c r="CA119" s="961"/>
      <c r="CC119" s="936"/>
      <c r="CD119" s="916"/>
      <c r="CE119" s="941"/>
      <c r="CF119" s="936"/>
      <c r="CG119" s="936"/>
      <c r="CI119" s="1708"/>
      <c r="CJ119" s="1708"/>
      <c r="CK119" s="1708"/>
      <c r="CL119" s="1708"/>
      <c r="CM119" s="1708"/>
      <c r="CN119" s="1708"/>
      <c r="CO119" s="1708"/>
      <c r="CP119" s="1708"/>
      <c r="CQ119" s="1708"/>
      <c r="CR119" s="1708"/>
      <c r="CS119" s="1708"/>
      <c r="CT119" s="1708"/>
      <c r="CU119" s="1708"/>
      <c r="CV119" s="1708"/>
      <c r="CW119" s="1708"/>
      <c r="CX119" s="1708"/>
      <c r="CY119" s="1708"/>
      <c r="CZ119" s="1708"/>
      <c r="DA119" s="1708"/>
    </row>
    <row r="120" spans="1:105" ht="13.5" customHeight="1">
      <c r="A120" s="3193"/>
      <c r="B120" s="3360"/>
      <c r="C120" s="2811" t="str">
        <f>IF(N79="","","TR"&amp;LEFT(N79,2)&amp;LEFT(AS59,2)&amp;"Hz"&amp;LEFT(X79,4)&amp;"KVA")</f>
        <v/>
      </c>
      <c r="D120" s="2812"/>
      <c r="E120" s="2812"/>
      <c r="F120" s="2812"/>
      <c r="G120" s="2812"/>
      <c r="H120" s="2812"/>
      <c r="I120" s="2812"/>
      <c r="J120" s="2812"/>
      <c r="K120" s="2812"/>
      <c r="L120" s="2813"/>
      <c r="M120" s="3308" t="str">
        <f>IF(X79="","",VALUE(RIGHT(X79,1)))</f>
        <v/>
      </c>
      <c r="N120" s="3308"/>
      <c r="O120" s="3308"/>
      <c r="P120" s="3309" t="str">
        <f>IF(M120="","","台")</f>
        <v/>
      </c>
      <c r="Q120" s="3309"/>
      <c r="R120" s="3309"/>
      <c r="S120" s="3208" t="str">
        <f>IF(C120="","",IF(AB120&lt;&gt;"",AB120,VLOOKUP(C120,[5]建物1802!$E$5:$AL$3275,$BB$97,FALSE)))</f>
        <v/>
      </c>
      <c r="T120" s="3209"/>
      <c r="U120" s="3209"/>
      <c r="V120" s="3209"/>
      <c r="W120" s="3209"/>
      <c r="X120" s="3209"/>
      <c r="Y120" s="3209"/>
      <c r="Z120" s="3210"/>
      <c r="AA120" s="950" t="s">
        <v>2359</v>
      </c>
      <c r="AB120" s="3211"/>
      <c r="AC120" s="3211"/>
      <c r="AD120" s="3211"/>
      <c r="AE120" s="3211"/>
      <c r="AF120" s="3211"/>
      <c r="AG120" s="3211"/>
      <c r="AH120" s="3211"/>
      <c r="AI120" s="3212" t="str">
        <f>IF(C120="","",M120*S120)</f>
        <v/>
      </c>
      <c r="AJ120" s="3213"/>
      <c r="AK120" s="3213"/>
      <c r="AL120" s="3213"/>
      <c r="AM120" s="3213"/>
      <c r="AN120" s="3213"/>
      <c r="AO120" s="3213"/>
      <c r="AP120" s="3214"/>
      <c r="AQ120" s="3280" t="str">
        <f>IF(C120="","",IF(AB120&lt;&gt;"",AB120,VLOOKUP(C120,[5]建物1802!$E$5:$AL$3275,26,FALSE)))</f>
        <v/>
      </c>
      <c r="AR120" s="3281"/>
      <c r="AS120" s="3281"/>
      <c r="AT120" s="3281"/>
      <c r="AU120" s="3282"/>
      <c r="AV120" s="3280" t="str">
        <f>IF(OR(C120="",AQ120=""),"",M120*AQ120)</f>
        <v/>
      </c>
      <c r="AW120" s="3281"/>
      <c r="AX120" s="3281"/>
      <c r="AY120" s="3281"/>
      <c r="AZ120" s="3281"/>
      <c r="BA120" s="3282"/>
      <c r="BB120" s="926"/>
      <c r="BC120" s="3277" t="str">
        <f>IF(BE71="","","Ⓥ")</f>
        <v>Ⓥ</v>
      </c>
      <c r="BD120" s="3277"/>
      <c r="BE120" s="3277"/>
      <c r="BF120" s="3277"/>
      <c r="BG120" s="3277"/>
      <c r="BH120" s="3161">
        <f t="shared" ref="BH120:BH129" si="2">IF(BC120="","",IF(BO120&lt;&gt;"",BO120,IF(BW120="",BX120,BW120)))</f>
        <v>20000</v>
      </c>
      <c r="BI120" s="3162"/>
      <c r="BJ120" s="3162"/>
      <c r="BK120" s="3162"/>
      <c r="BL120" s="3162"/>
      <c r="BM120" s="3163"/>
      <c r="BN120" s="934" t="s">
        <v>2359</v>
      </c>
      <c r="BO120" s="3231"/>
      <c r="BP120" s="3231"/>
      <c r="BQ120" s="3231"/>
      <c r="BR120" s="3231"/>
      <c r="BS120" s="3231"/>
      <c r="BT120" s="3231"/>
      <c r="BU120" s="924"/>
      <c r="BW120" s="958"/>
      <c r="BX120" s="957">
        <v>20000</v>
      </c>
      <c r="BY120" s="956"/>
      <c r="BZ120" s="956"/>
      <c r="CA120" s="956"/>
      <c r="CC120" s="936"/>
      <c r="CD120" s="916"/>
      <c r="CE120" s="941"/>
      <c r="CF120" s="936"/>
      <c r="CG120" s="936"/>
      <c r="CI120" s="1708"/>
      <c r="CJ120" s="1708"/>
      <c r="CK120" s="1708"/>
      <c r="CL120" s="1708"/>
      <c r="CM120" s="1708"/>
      <c r="CN120" s="1708"/>
      <c r="CO120" s="1708"/>
      <c r="CP120" s="1708"/>
      <c r="CQ120" s="1708"/>
      <c r="CR120" s="1708"/>
      <c r="CS120" s="1708"/>
      <c r="CT120" s="1708"/>
      <c r="CU120" s="1708"/>
      <c r="CV120" s="1708"/>
      <c r="CW120" s="1708"/>
      <c r="CX120" s="1708"/>
      <c r="CY120" s="1708"/>
      <c r="CZ120" s="1708"/>
      <c r="DA120" s="1708"/>
    </row>
    <row r="121" spans="1:105" ht="13.5" customHeight="1">
      <c r="A121" s="3193"/>
      <c r="B121" s="927"/>
      <c r="C121" s="2930" t="str">
        <f>IF(X79="","","26・TR防振装置")</f>
        <v/>
      </c>
      <c r="D121" s="2931"/>
      <c r="E121" s="2931"/>
      <c r="F121" s="2931"/>
      <c r="G121" s="2931"/>
      <c r="H121" s="2931"/>
      <c r="I121" s="2931"/>
      <c r="J121" s="2931"/>
      <c r="K121" s="2931"/>
      <c r="L121" s="2932"/>
      <c r="M121" s="3308" t="str">
        <f>IF(X79="","",VALUE(RIGHT(X79,1)))</f>
        <v/>
      </c>
      <c r="N121" s="3308"/>
      <c r="O121" s="3308"/>
      <c r="P121" s="3309" t="str">
        <f>IF(M121="","","台分")</f>
        <v/>
      </c>
      <c r="Q121" s="3309"/>
      <c r="R121" s="3309"/>
      <c r="S121" s="3208" t="str">
        <f>IF(OR(B2=0,C121=""),"",IF(AB121&lt;&gt;"",AB121,35000+1000*INT(5000*SQRT(LEFT(X79,4))/1000)))</f>
        <v/>
      </c>
      <c r="T121" s="3209"/>
      <c r="U121" s="3209"/>
      <c r="V121" s="3209"/>
      <c r="W121" s="3209"/>
      <c r="X121" s="3209"/>
      <c r="Y121" s="3209"/>
      <c r="Z121" s="3210"/>
      <c r="AA121" s="949" t="s">
        <v>2359</v>
      </c>
      <c r="AB121" s="3215"/>
      <c r="AC121" s="3215"/>
      <c r="AD121" s="3215"/>
      <c r="AE121" s="3215"/>
      <c r="AF121" s="3215"/>
      <c r="AG121" s="3215"/>
      <c r="AH121" s="3215"/>
      <c r="AI121" s="3208" t="str">
        <f>IF(C121="","",M121*S121)</f>
        <v/>
      </c>
      <c r="AJ121" s="3209"/>
      <c r="AK121" s="3209"/>
      <c r="AL121" s="3209"/>
      <c r="AM121" s="3209"/>
      <c r="AN121" s="3209"/>
      <c r="AO121" s="3209"/>
      <c r="AP121" s="3210"/>
      <c r="AQ121" s="3284" t="str">
        <f>IF(OR(CC93="OCB",CC93="ICB"),"",IF(S121="","",S121*1.2*10^-5))</f>
        <v/>
      </c>
      <c r="AR121" s="3284"/>
      <c r="AS121" s="3284"/>
      <c r="AT121" s="3284"/>
      <c r="AU121" s="3284"/>
      <c r="AV121" s="3280" t="str">
        <f>IF(OR(C121="",AQ121=""),"",M121*AQ121)</f>
        <v/>
      </c>
      <c r="AW121" s="3281"/>
      <c r="AX121" s="3281"/>
      <c r="AY121" s="3281"/>
      <c r="AZ121" s="3281"/>
      <c r="BA121" s="3282"/>
      <c r="BB121" s="926"/>
      <c r="BC121" s="3277" t="str">
        <f>IF(BE73="","","Ⓐ")</f>
        <v>Ⓐ</v>
      </c>
      <c r="BD121" s="3277"/>
      <c r="BE121" s="3277"/>
      <c r="BF121" s="3277"/>
      <c r="BG121" s="3277"/>
      <c r="BH121" s="3161">
        <f t="shared" si="2"/>
        <v>20000</v>
      </c>
      <c r="BI121" s="3162"/>
      <c r="BJ121" s="3162"/>
      <c r="BK121" s="3162"/>
      <c r="BL121" s="3162"/>
      <c r="BM121" s="3163"/>
      <c r="BN121" s="934" t="s">
        <v>2359</v>
      </c>
      <c r="BO121" s="3231"/>
      <c r="BP121" s="3231"/>
      <c r="BQ121" s="3231"/>
      <c r="BR121" s="3231"/>
      <c r="BS121" s="3231"/>
      <c r="BT121" s="3231"/>
      <c r="BU121" s="924"/>
      <c r="BW121" s="958"/>
      <c r="BX121" s="957">
        <v>20000</v>
      </c>
      <c r="BY121" s="956"/>
      <c r="BZ121" s="956"/>
      <c r="CA121" s="956"/>
      <c r="CC121" s="936"/>
      <c r="CD121" s="916"/>
      <c r="CE121" s="941"/>
      <c r="CF121" s="936"/>
      <c r="CG121" s="936"/>
      <c r="CI121" s="1708"/>
      <c r="CJ121" s="1708"/>
      <c r="CK121" s="1708"/>
      <c r="CL121" s="1708"/>
      <c r="CM121" s="1708"/>
      <c r="CN121" s="1708"/>
      <c r="CO121" s="1708"/>
      <c r="CP121" s="1708"/>
      <c r="CQ121" s="1708"/>
      <c r="CR121" s="1708"/>
      <c r="CS121" s="1708"/>
      <c r="CT121" s="1708"/>
      <c r="CU121" s="1708"/>
      <c r="CV121" s="1708"/>
      <c r="CW121" s="1708"/>
      <c r="CX121" s="1708"/>
      <c r="CY121" s="1708"/>
      <c r="CZ121" s="1708"/>
      <c r="DA121" s="1708"/>
    </row>
    <row r="122" spans="1:105" ht="13.5" customHeight="1">
      <c r="A122" s="3193"/>
      <c r="B122" s="927"/>
      <c r="C122" s="3195" t="str">
        <f>IF(X79="","","TR編組銅帯")</f>
        <v/>
      </c>
      <c r="D122" s="3196"/>
      <c r="E122" s="3196"/>
      <c r="F122" s="3196"/>
      <c r="G122" s="3196"/>
      <c r="H122" s="3196"/>
      <c r="I122" s="3196"/>
      <c r="J122" s="3196"/>
      <c r="K122" s="3196"/>
      <c r="L122" s="3197"/>
      <c r="M122" s="3310" t="str">
        <f>IF(X79="","",VALUE(RIGHT(X79,1)))</f>
        <v/>
      </c>
      <c r="N122" s="3310"/>
      <c r="O122" s="3310"/>
      <c r="P122" s="3311" t="str">
        <f>IF(M122="","","台分")</f>
        <v/>
      </c>
      <c r="Q122" s="3311"/>
      <c r="R122" s="3312"/>
      <c r="S122" s="3244" t="str">
        <f>IF(OR(B2=0,C122=""),"",IF(AB122&lt;&gt;"",AB122,25000+1000*INT(40000*LEFT(X79,4)/MID(N79,6,3)/SQRT(3)/1000)))</f>
        <v/>
      </c>
      <c r="T122" s="3245"/>
      <c r="U122" s="3245"/>
      <c r="V122" s="3245"/>
      <c r="W122" s="3245"/>
      <c r="X122" s="3245"/>
      <c r="Y122" s="3245"/>
      <c r="Z122" s="3246"/>
      <c r="AA122" s="930" t="s">
        <v>2359</v>
      </c>
      <c r="AB122" s="3198"/>
      <c r="AC122" s="3198"/>
      <c r="AD122" s="3198"/>
      <c r="AE122" s="3198"/>
      <c r="AF122" s="3198"/>
      <c r="AG122" s="3198"/>
      <c r="AH122" s="3198"/>
      <c r="AI122" s="3199" t="str">
        <f>IF(C122="","",M122*S122)</f>
        <v/>
      </c>
      <c r="AJ122" s="3200"/>
      <c r="AK122" s="3200"/>
      <c r="AL122" s="3200"/>
      <c r="AM122" s="3200"/>
      <c r="AN122" s="3200"/>
      <c r="AO122" s="3200"/>
      <c r="AP122" s="3201"/>
      <c r="AQ122" s="3249" t="str">
        <f>IF(S122="","",S122*1.5*10^-5)</f>
        <v/>
      </c>
      <c r="AR122" s="3249"/>
      <c r="AS122" s="3249"/>
      <c r="AT122" s="3249"/>
      <c r="AU122" s="3249"/>
      <c r="AV122" s="3250" t="str">
        <f>IF(C122="","",M122*AQ122)</f>
        <v/>
      </c>
      <c r="AW122" s="3250"/>
      <c r="AX122" s="3250"/>
      <c r="AY122" s="3250"/>
      <c r="AZ122" s="3250"/>
      <c r="BA122" s="3250"/>
      <c r="BB122" s="926"/>
      <c r="BC122" s="3277" t="str">
        <f>IF(BI71="","","LGR")</f>
        <v>LGR</v>
      </c>
      <c r="BD122" s="3277"/>
      <c r="BE122" s="3277"/>
      <c r="BF122" s="3277"/>
      <c r="BG122" s="3277"/>
      <c r="BH122" s="3161">
        <f t="shared" si="2"/>
        <v>50000</v>
      </c>
      <c r="BI122" s="3162"/>
      <c r="BJ122" s="3162"/>
      <c r="BK122" s="3162"/>
      <c r="BL122" s="3162"/>
      <c r="BM122" s="3163"/>
      <c r="BN122" s="934" t="s">
        <v>2359</v>
      </c>
      <c r="BO122" s="3231"/>
      <c r="BP122" s="3231"/>
      <c r="BQ122" s="3231"/>
      <c r="BR122" s="3231"/>
      <c r="BS122" s="3231"/>
      <c r="BT122" s="3231"/>
      <c r="BU122" s="924"/>
      <c r="BW122" s="958"/>
      <c r="BX122" s="957">
        <v>50000</v>
      </c>
      <c r="BY122" s="956"/>
      <c r="BZ122" s="956"/>
      <c r="CA122" s="956"/>
      <c r="CC122" s="936"/>
      <c r="CD122" s="916"/>
      <c r="CE122" s="941"/>
      <c r="CF122" s="936"/>
      <c r="CG122" s="936"/>
      <c r="CI122" s="1708"/>
      <c r="CJ122" s="1708"/>
      <c r="CK122" s="1708"/>
      <c r="CL122" s="1708"/>
      <c r="CM122" s="1708"/>
      <c r="CN122" s="1708"/>
      <c r="CO122" s="1708"/>
      <c r="CP122" s="1708"/>
      <c r="CQ122" s="1708"/>
      <c r="CR122" s="1708"/>
      <c r="CS122" s="1708"/>
      <c r="CT122" s="1708"/>
      <c r="CU122" s="1708"/>
      <c r="CV122" s="1708"/>
      <c r="CW122" s="1708"/>
      <c r="CX122" s="1708"/>
      <c r="CY122" s="1708"/>
      <c r="CZ122" s="1708"/>
      <c r="DA122" s="1708"/>
    </row>
    <row r="123" spans="1:105" ht="13.5" customHeight="1">
      <c r="A123" s="3193"/>
      <c r="B123" s="927"/>
      <c r="C123" s="3256" t="str">
        <f>IF(C118="","","（小計）")</f>
        <v/>
      </c>
      <c r="D123" s="3257"/>
      <c r="E123" s="3257"/>
      <c r="F123" s="3257"/>
      <c r="G123" s="3257"/>
      <c r="H123" s="3257"/>
      <c r="I123" s="3257"/>
      <c r="J123" s="3257"/>
      <c r="K123" s="3257"/>
      <c r="L123" s="3258"/>
      <c r="M123" s="3259"/>
      <c r="N123" s="3260"/>
      <c r="O123" s="3260"/>
      <c r="P123" s="3260"/>
      <c r="Q123" s="3260"/>
      <c r="R123" s="3261"/>
      <c r="S123" s="3262" t="str">
        <f>IF(C118="","",SUM(AI118:AP122))</f>
        <v/>
      </c>
      <c r="T123" s="3263"/>
      <c r="U123" s="3263"/>
      <c r="V123" s="3263"/>
      <c r="W123" s="3263"/>
      <c r="X123" s="3263"/>
      <c r="Y123" s="3263"/>
      <c r="Z123" s="3264"/>
      <c r="AA123" s="3259"/>
      <c r="AB123" s="3260"/>
      <c r="AC123" s="3260"/>
      <c r="AD123" s="3260"/>
      <c r="AE123" s="3260"/>
      <c r="AF123" s="3260"/>
      <c r="AG123" s="3260"/>
      <c r="AH123" s="3260"/>
      <c r="AI123" s="3260"/>
      <c r="AJ123" s="3260"/>
      <c r="AK123" s="3260"/>
      <c r="AL123" s="3260"/>
      <c r="AM123" s="3260"/>
      <c r="AN123" s="3260"/>
      <c r="AO123" s="3260"/>
      <c r="AP123" s="3260"/>
      <c r="AQ123" s="3260"/>
      <c r="AR123" s="3260"/>
      <c r="AS123" s="3260"/>
      <c r="AT123" s="3260"/>
      <c r="AU123" s="3260"/>
      <c r="AV123" s="3260"/>
      <c r="AW123" s="3260"/>
      <c r="AX123" s="3260"/>
      <c r="AY123" s="3260"/>
      <c r="AZ123" s="3260"/>
      <c r="BA123" s="3261"/>
      <c r="BB123" s="946"/>
      <c r="BC123" s="3004"/>
      <c r="BD123" s="3005"/>
      <c r="BE123" s="3005"/>
      <c r="BF123" s="3005"/>
      <c r="BG123" s="3006"/>
      <c r="BH123" s="3161" t="str">
        <f t="shared" si="2"/>
        <v/>
      </c>
      <c r="BI123" s="3162"/>
      <c r="BJ123" s="3162"/>
      <c r="BK123" s="3162"/>
      <c r="BL123" s="3162"/>
      <c r="BM123" s="3163"/>
      <c r="BN123" s="934"/>
      <c r="BO123" s="3235"/>
      <c r="BP123" s="3236"/>
      <c r="BQ123" s="3236"/>
      <c r="BR123" s="3236"/>
      <c r="BS123" s="3236"/>
      <c r="BT123" s="3237"/>
      <c r="BU123" s="924"/>
      <c r="BW123" s="958"/>
      <c r="BX123" s="957"/>
      <c r="BY123" s="956"/>
      <c r="BZ123" s="956"/>
      <c r="CA123" s="956"/>
      <c r="CC123" s="955"/>
      <c r="CD123" s="955"/>
      <c r="CE123" s="941"/>
      <c r="CF123" s="936"/>
      <c r="CG123" s="936"/>
      <c r="CI123" s="1708"/>
      <c r="CJ123" s="1708"/>
      <c r="CK123" s="1708"/>
      <c r="CL123" s="1708"/>
      <c r="CM123" s="1708"/>
      <c r="CN123" s="1708"/>
      <c r="CO123" s="1708"/>
      <c r="CP123" s="1708"/>
      <c r="CQ123" s="1708"/>
      <c r="CR123" s="1708"/>
      <c r="CS123" s="1708"/>
      <c r="CT123" s="1708"/>
      <c r="CU123" s="1708"/>
      <c r="CV123" s="1708"/>
      <c r="CW123" s="1708"/>
      <c r="CX123" s="1708"/>
      <c r="CY123" s="1708"/>
      <c r="CZ123" s="1708"/>
      <c r="DA123" s="1708"/>
    </row>
    <row r="124" spans="1:105" ht="13.5" customHeight="1">
      <c r="A124" s="3193"/>
      <c r="B124" s="927"/>
      <c r="C124" s="3297" t="str">
        <f>IF(N83="","","低圧動力盤")</f>
        <v>低圧動力盤</v>
      </c>
      <c r="D124" s="3297"/>
      <c r="E124" s="3297"/>
      <c r="F124" s="3297"/>
      <c r="G124" s="3297"/>
      <c r="H124" s="3297"/>
      <c r="I124" s="3297"/>
      <c r="J124" s="3297"/>
      <c r="K124" s="3297"/>
      <c r="L124" s="3297"/>
      <c r="M124" s="3304">
        <f>IF(AE83="","",VALUE(LEFT(AE83,1)))</f>
        <v>1</v>
      </c>
      <c r="N124" s="3304"/>
      <c r="O124" s="3304"/>
      <c r="P124" s="3305" t="str">
        <f>IF(M124="","","面")</f>
        <v>面</v>
      </c>
      <c r="Q124" s="3305"/>
      <c r="R124" s="3305"/>
      <c r="S124" s="3269">
        <f>IF(OR(B2=0,C124=""),"",IF(AB124&lt;&gt;"",AB124,IF(CC93="FRM",CC124,IF(CC93="ICB",1000*INT(1.2*CC124/1000),1000*INT(1.25*CC124/1000)))))</f>
        <v>1546250</v>
      </c>
      <c r="T124" s="3270"/>
      <c r="U124" s="3270"/>
      <c r="V124" s="3270"/>
      <c r="W124" s="3270"/>
      <c r="X124" s="3270"/>
      <c r="Y124" s="3270"/>
      <c r="Z124" s="3271"/>
      <c r="AA124" s="960" t="s">
        <v>2359</v>
      </c>
      <c r="AB124" s="3268"/>
      <c r="AC124" s="3268"/>
      <c r="AD124" s="3268"/>
      <c r="AE124" s="3268"/>
      <c r="AF124" s="3268"/>
      <c r="AG124" s="3268"/>
      <c r="AH124" s="3268"/>
      <c r="AI124" s="3269">
        <f>IF(C124="","",M124*S124)</f>
        <v>1546250</v>
      </c>
      <c r="AJ124" s="3270"/>
      <c r="AK124" s="3270"/>
      <c r="AL124" s="3270"/>
      <c r="AM124" s="3270"/>
      <c r="AN124" s="3270"/>
      <c r="AO124" s="3270"/>
      <c r="AP124" s="3271"/>
      <c r="AQ124" s="3272">
        <f>IF(C124="","",IF(CC119="FRM",4.77,6.1))</f>
        <v>6.1</v>
      </c>
      <c r="AR124" s="3272"/>
      <c r="AS124" s="3272"/>
      <c r="AT124" s="3272"/>
      <c r="AU124" s="3272"/>
      <c r="AV124" s="3273">
        <f>IF(C124="","",M124*AQ124)</f>
        <v>6.1</v>
      </c>
      <c r="AW124" s="3273"/>
      <c r="AX124" s="3273"/>
      <c r="AY124" s="3273"/>
      <c r="AZ124" s="3273"/>
      <c r="BA124" s="3273"/>
      <c r="BB124" s="926"/>
      <c r="BC124" s="3277" t="str">
        <f>IF(BI73="","","2CT")</f>
        <v>2CT</v>
      </c>
      <c r="BD124" s="3277"/>
      <c r="BE124" s="3277"/>
      <c r="BF124" s="3277"/>
      <c r="BG124" s="3277"/>
      <c r="BH124" s="3161">
        <f t="shared" si="2"/>
        <v>40000</v>
      </c>
      <c r="BI124" s="3162"/>
      <c r="BJ124" s="3162"/>
      <c r="BK124" s="3162"/>
      <c r="BL124" s="3162"/>
      <c r="BM124" s="3163"/>
      <c r="BN124" s="934" t="s">
        <v>2359</v>
      </c>
      <c r="BO124" s="3231"/>
      <c r="BP124" s="3231"/>
      <c r="BQ124" s="3231"/>
      <c r="BR124" s="3231"/>
      <c r="BS124" s="3231"/>
      <c r="BT124" s="3231"/>
      <c r="BU124" s="924"/>
      <c r="BW124" s="958"/>
      <c r="BX124" s="957">
        <v>40000</v>
      </c>
      <c r="BY124" s="956"/>
      <c r="BZ124" s="956"/>
      <c r="CA124" s="956"/>
      <c r="CC124" s="3291">
        <f>IF(C124="","",SUM(BH120:BM126)+BH127*AO83+BH133+BH118+BH105*CC104)</f>
        <v>1546250</v>
      </c>
      <c r="CD124" s="3291"/>
      <c r="CE124" s="952">
        <f>IF(S124="",0,S124*CF124)</f>
        <v>1546250</v>
      </c>
      <c r="CF124" s="951">
        <f>IF(M124="",0,M124)</f>
        <v>1</v>
      </c>
      <c r="CG124" s="942"/>
      <c r="CH124" s="942"/>
      <c r="CI124" s="1708"/>
      <c r="CJ124" s="1708"/>
      <c r="CK124" s="1708"/>
      <c r="CL124" s="1708"/>
      <c r="CM124" s="1708"/>
      <c r="CN124" s="1708"/>
      <c r="CO124" s="1708"/>
      <c r="CP124" s="1708"/>
      <c r="CQ124" s="1708"/>
      <c r="CR124" s="1708"/>
      <c r="CS124" s="1708"/>
      <c r="CT124" s="1708"/>
      <c r="CU124" s="1708"/>
      <c r="CV124" s="1708"/>
      <c r="CW124" s="1708"/>
      <c r="CX124" s="1708"/>
      <c r="CY124" s="1708"/>
      <c r="CZ124" s="1708"/>
      <c r="DA124" s="1708"/>
    </row>
    <row r="125" spans="1:105" ht="13.5" customHeight="1">
      <c r="A125" s="3193"/>
      <c r="B125" s="927"/>
      <c r="C125" s="2930" t="str">
        <f>IF(N83="","",N83)</f>
        <v>3φ3W 210V</v>
      </c>
      <c r="D125" s="2931"/>
      <c r="E125" s="2931"/>
      <c r="F125" s="2931"/>
      <c r="G125" s="2931"/>
      <c r="H125" s="2931"/>
      <c r="I125" s="2931"/>
      <c r="J125" s="2931"/>
      <c r="K125" s="2931"/>
      <c r="L125" s="2932"/>
      <c r="M125" s="3292"/>
      <c r="N125" s="3292"/>
      <c r="O125" s="3292"/>
      <c r="P125" s="3293"/>
      <c r="Q125" s="3293"/>
      <c r="R125" s="3293"/>
      <c r="S125" s="3294"/>
      <c r="T125" s="3295"/>
      <c r="U125" s="3295"/>
      <c r="V125" s="3295"/>
      <c r="W125" s="3295"/>
      <c r="X125" s="3295"/>
      <c r="Y125" s="3295"/>
      <c r="Z125" s="3296"/>
      <c r="AA125" s="949"/>
      <c r="AB125" s="3215"/>
      <c r="AC125" s="3215"/>
      <c r="AD125" s="3215"/>
      <c r="AE125" s="3215"/>
      <c r="AF125" s="3215"/>
      <c r="AG125" s="3215"/>
      <c r="AH125" s="3215"/>
      <c r="AI125" s="3208"/>
      <c r="AJ125" s="3209"/>
      <c r="AK125" s="3209"/>
      <c r="AL125" s="3209"/>
      <c r="AM125" s="3209"/>
      <c r="AN125" s="3209"/>
      <c r="AO125" s="3209"/>
      <c r="AP125" s="3210"/>
      <c r="AQ125" s="3284"/>
      <c r="AR125" s="3284"/>
      <c r="AS125" s="3284"/>
      <c r="AT125" s="3284"/>
      <c r="AU125" s="3284"/>
      <c r="AV125" s="3283"/>
      <c r="AW125" s="3283"/>
      <c r="AX125" s="3283"/>
      <c r="AY125" s="3283"/>
      <c r="AZ125" s="3283"/>
      <c r="BA125" s="3283"/>
      <c r="BB125" s="926"/>
      <c r="BC125" s="3277" t="str">
        <f>IF(BM71="","","ZCT")</f>
        <v>ZCT</v>
      </c>
      <c r="BD125" s="3277"/>
      <c r="BE125" s="3277"/>
      <c r="BF125" s="3277"/>
      <c r="BG125" s="3277"/>
      <c r="BH125" s="3161">
        <f t="shared" si="2"/>
        <v>30000</v>
      </c>
      <c r="BI125" s="3162"/>
      <c r="BJ125" s="3162"/>
      <c r="BK125" s="3162"/>
      <c r="BL125" s="3162"/>
      <c r="BM125" s="3163"/>
      <c r="BN125" s="934" t="s">
        <v>2359</v>
      </c>
      <c r="BO125" s="3231"/>
      <c r="BP125" s="3231"/>
      <c r="BQ125" s="3231"/>
      <c r="BR125" s="3231"/>
      <c r="BS125" s="3231"/>
      <c r="BT125" s="3231"/>
      <c r="BU125" s="924"/>
      <c r="BW125" s="958"/>
      <c r="BX125" s="957">
        <v>30000</v>
      </c>
      <c r="BY125" s="956"/>
      <c r="BZ125" s="956"/>
      <c r="CA125" s="956"/>
      <c r="CC125" s="936"/>
      <c r="CD125" s="916"/>
      <c r="CE125" s="936"/>
      <c r="CF125" s="936"/>
      <c r="CG125" s="936"/>
      <c r="CI125" s="1708"/>
      <c r="CJ125" s="1708"/>
      <c r="CK125" s="1708"/>
      <c r="CL125" s="1708"/>
      <c r="CM125" s="1708"/>
      <c r="CN125" s="1708"/>
      <c r="CO125" s="1708"/>
      <c r="CP125" s="1708"/>
      <c r="CQ125" s="1708"/>
      <c r="CR125" s="1708"/>
      <c r="CS125" s="1708"/>
      <c r="CT125" s="1708"/>
      <c r="CU125" s="1708"/>
      <c r="CV125" s="1708"/>
      <c r="CW125" s="1708"/>
      <c r="CX125" s="1708"/>
      <c r="CY125" s="1708"/>
      <c r="CZ125" s="1708"/>
      <c r="DA125" s="1708"/>
    </row>
    <row r="126" spans="1:105" ht="13.5" customHeight="1">
      <c r="A126" s="3193"/>
      <c r="B126" s="927"/>
      <c r="C126" s="2811" t="str">
        <f>IF(N83="","","TR"&amp;LEFT(N83,2)&amp;LEFT(AS59,2)&amp;"Hz"&amp;LEFT(X83,4)&amp;"KVA")</f>
        <v>TR3φ60Hz1500KVA</v>
      </c>
      <c r="D126" s="2812"/>
      <c r="E126" s="2812"/>
      <c r="F126" s="2812"/>
      <c r="G126" s="2812"/>
      <c r="H126" s="2812"/>
      <c r="I126" s="2812"/>
      <c r="J126" s="2812"/>
      <c r="K126" s="2812"/>
      <c r="L126" s="2813"/>
      <c r="M126" s="3308">
        <f>IF(X83="","",VALUE(RIGHT(X83,1)))</f>
        <v>2</v>
      </c>
      <c r="N126" s="3308"/>
      <c r="O126" s="3308"/>
      <c r="P126" s="3309" t="str">
        <f>IF(M126="","","台")</f>
        <v>台</v>
      </c>
      <c r="Q126" s="3309"/>
      <c r="R126" s="3309"/>
      <c r="S126" s="3208">
        <f>IF(C126="","",IF(AB126&lt;&gt;"",AB126,VLOOKUP(C126,[5]建物1802!$E$5:$AL$3275,$BB$97,FALSE)))</f>
        <v>4353000</v>
      </c>
      <c r="T126" s="3209"/>
      <c r="U126" s="3209"/>
      <c r="V126" s="3209"/>
      <c r="W126" s="3209"/>
      <c r="X126" s="3209"/>
      <c r="Y126" s="3209"/>
      <c r="Z126" s="3210"/>
      <c r="AA126" s="950" t="s">
        <v>2359</v>
      </c>
      <c r="AB126" s="3211"/>
      <c r="AC126" s="3211"/>
      <c r="AD126" s="3211"/>
      <c r="AE126" s="3211"/>
      <c r="AF126" s="3211"/>
      <c r="AG126" s="3211"/>
      <c r="AH126" s="3211"/>
      <c r="AI126" s="3212">
        <f>IF(C126="","",M126*S126)</f>
        <v>8706000</v>
      </c>
      <c r="AJ126" s="3213"/>
      <c r="AK126" s="3213"/>
      <c r="AL126" s="3213"/>
      <c r="AM126" s="3213"/>
      <c r="AN126" s="3213"/>
      <c r="AO126" s="3213"/>
      <c r="AP126" s="3214"/>
      <c r="AQ126" s="3280">
        <f>IF(C126="","",IF(AB126&lt;&gt;"",AB126,VLOOKUP(C126,[5]建物1802!$E$5:$AL$3275,26,FALSE)))</f>
        <v>8.74</v>
      </c>
      <c r="AR126" s="3281"/>
      <c r="AS126" s="3281"/>
      <c r="AT126" s="3281"/>
      <c r="AU126" s="3282"/>
      <c r="AV126" s="3280">
        <f>IF(OR(C126="",AQ126=""),"",M126*AQ126)</f>
        <v>17.48</v>
      </c>
      <c r="AW126" s="3281"/>
      <c r="AX126" s="3281"/>
      <c r="AY126" s="3281"/>
      <c r="AZ126" s="3281"/>
      <c r="BA126" s="3282"/>
      <c r="BB126" s="926"/>
      <c r="BC126" s="3277" t="str">
        <f>IF(BM73="","","49×2")</f>
        <v>49×2</v>
      </c>
      <c r="BD126" s="3277"/>
      <c r="BE126" s="3277"/>
      <c r="BF126" s="3277"/>
      <c r="BG126" s="3277"/>
      <c r="BH126" s="3161">
        <f t="shared" si="2"/>
        <v>25000</v>
      </c>
      <c r="BI126" s="3162"/>
      <c r="BJ126" s="3162"/>
      <c r="BK126" s="3162"/>
      <c r="BL126" s="3162"/>
      <c r="BM126" s="3163"/>
      <c r="BN126" s="934" t="s">
        <v>2359</v>
      </c>
      <c r="BO126" s="3231"/>
      <c r="BP126" s="3231"/>
      <c r="BQ126" s="3231"/>
      <c r="BR126" s="3231"/>
      <c r="BS126" s="3231"/>
      <c r="BT126" s="3231"/>
      <c r="BU126" s="924"/>
      <c r="BW126" s="958"/>
      <c r="BX126" s="957">
        <v>25000</v>
      </c>
      <c r="BY126" s="956"/>
      <c r="BZ126" s="956"/>
      <c r="CA126" s="956"/>
      <c r="CC126" s="936"/>
      <c r="CD126" s="916"/>
      <c r="CE126" s="936"/>
      <c r="CF126" s="936"/>
      <c r="CG126" s="936"/>
      <c r="CI126" s="1708"/>
      <c r="CJ126" s="1708"/>
      <c r="CK126" s="1708"/>
      <c r="CL126" s="1708"/>
      <c r="CM126" s="1708"/>
      <c r="CN126" s="1708"/>
      <c r="CO126" s="1708"/>
      <c r="CP126" s="1708"/>
      <c r="CQ126" s="1708"/>
      <c r="CR126" s="1708"/>
      <c r="CS126" s="1708"/>
      <c r="CT126" s="1708"/>
      <c r="CU126" s="1708"/>
      <c r="CV126" s="1708"/>
      <c r="CW126" s="1708"/>
      <c r="CX126" s="1708"/>
      <c r="CY126" s="1708"/>
      <c r="CZ126" s="1708"/>
      <c r="DA126" s="1708"/>
    </row>
    <row r="127" spans="1:105" ht="13.5" customHeight="1">
      <c r="A127" s="3193"/>
      <c r="B127" s="927"/>
      <c r="C127" s="2930" t="str">
        <f>IF(X83="","","26・TR防振装置")</f>
        <v>26・TR防振装置</v>
      </c>
      <c r="D127" s="2931"/>
      <c r="E127" s="2931"/>
      <c r="F127" s="2931"/>
      <c r="G127" s="2931"/>
      <c r="H127" s="2931"/>
      <c r="I127" s="2931"/>
      <c r="J127" s="2931"/>
      <c r="K127" s="2931"/>
      <c r="L127" s="2932"/>
      <c r="M127" s="3308">
        <f>IF(X83="","",VALUE(RIGHT(X83,1)))</f>
        <v>2</v>
      </c>
      <c r="N127" s="3308"/>
      <c r="O127" s="3308"/>
      <c r="P127" s="3309" t="str">
        <f>IF(M127="","","台分")</f>
        <v>台分</v>
      </c>
      <c r="Q127" s="3309"/>
      <c r="R127" s="3309"/>
      <c r="S127" s="3208">
        <f>IF(OR(B2=0,C127=""),"",IF(AB127&lt;&gt;"",AB127,35000+1000*INT(5000*SQRT(LEFT(X83,4))/1000)))</f>
        <v>228000</v>
      </c>
      <c r="T127" s="3209"/>
      <c r="U127" s="3209"/>
      <c r="V127" s="3209"/>
      <c r="W127" s="3209"/>
      <c r="X127" s="3209"/>
      <c r="Y127" s="3209"/>
      <c r="Z127" s="3210"/>
      <c r="AA127" s="949" t="s">
        <v>2359</v>
      </c>
      <c r="AB127" s="3215"/>
      <c r="AC127" s="3215"/>
      <c r="AD127" s="3215"/>
      <c r="AE127" s="3215"/>
      <c r="AF127" s="3215"/>
      <c r="AG127" s="3215"/>
      <c r="AH127" s="3215"/>
      <c r="AI127" s="3208">
        <f>IF(C127="","",M127*S127)</f>
        <v>456000</v>
      </c>
      <c r="AJ127" s="3209"/>
      <c r="AK127" s="3209"/>
      <c r="AL127" s="3209"/>
      <c r="AM127" s="3209"/>
      <c r="AN127" s="3209"/>
      <c r="AO127" s="3209"/>
      <c r="AP127" s="3210"/>
      <c r="AQ127" s="3284">
        <f>IF(OR(CC93="OCB",CC93="ICB"),"",IF(S127="","",S127*1.2*10^-5))</f>
        <v>2.7360000000000002</v>
      </c>
      <c r="AR127" s="3284"/>
      <c r="AS127" s="3284"/>
      <c r="AT127" s="3284"/>
      <c r="AU127" s="3284"/>
      <c r="AV127" s="3280">
        <f>IF(OR(C127="",AQ127=""),"",M127*AQ127)</f>
        <v>5.4720000000000004</v>
      </c>
      <c r="AW127" s="3281"/>
      <c r="AX127" s="3281"/>
      <c r="AY127" s="3281"/>
      <c r="AZ127" s="3281"/>
      <c r="BA127" s="3282"/>
      <c r="BB127" s="926"/>
      <c r="BC127" s="3277" t="str">
        <f>IF(AO71="","","MCCB")</f>
        <v>MCCB</v>
      </c>
      <c r="BD127" s="3277"/>
      <c r="BE127" s="3277"/>
      <c r="BF127" s="3277"/>
      <c r="BG127" s="3277"/>
      <c r="BH127" s="3161">
        <f t="shared" si="2"/>
        <v>45000</v>
      </c>
      <c r="BI127" s="3162"/>
      <c r="BJ127" s="3162"/>
      <c r="BK127" s="3162"/>
      <c r="BL127" s="3162"/>
      <c r="BM127" s="3163"/>
      <c r="BN127" s="934" t="s">
        <v>2359</v>
      </c>
      <c r="BO127" s="3231"/>
      <c r="BP127" s="3231"/>
      <c r="BQ127" s="3231"/>
      <c r="BR127" s="3231"/>
      <c r="BS127" s="3231"/>
      <c r="BT127" s="3231"/>
      <c r="BU127" s="924"/>
      <c r="BW127" s="958"/>
      <c r="BX127" s="957">
        <v>45000</v>
      </c>
      <c r="BY127" s="956"/>
      <c r="BZ127" s="956"/>
      <c r="CA127" s="956"/>
      <c r="CC127" s="936"/>
      <c r="CD127" s="916"/>
      <c r="CE127" s="936"/>
      <c r="CF127" s="936"/>
      <c r="CG127" s="936"/>
      <c r="CI127" s="1708"/>
      <c r="CJ127" s="1708"/>
      <c r="CK127" s="1708"/>
      <c r="CL127" s="1708"/>
      <c r="CM127" s="1708"/>
      <c r="CN127" s="1708"/>
      <c r="CO127" s="1708"/>
      <c r="CP127" s="1708"/>
      <c r="CQ127" s="1708"/>
      <c r="CR127" s="1708"/>
      <c r="CS127" s="1708"/>
      <c r="CT127" s="1708"/>
      <c r="CU127" s="1708"/>
      <c r="CV127" s="1708"/>
      <c r="CW127" s="1708"/>
      <c r="CX127" s="1708"/>
      <c r="CY127" s="1708"/>
      <c r="CZ127" s="1708"/>
      <c r="DA127" s="1708"/>
    </row>
    <row r="128" spans="1:105" ht="13.5" customHeight="1">
      <c r="B128" s="927"/>
      <c r="C128" s="3195" t="str">
        <f>IF(X83="","","TR編組銅帯")</f>
        <v>TR編組銅帯</v>
      </c>
      <c r="D128" s="3196"/>
      <c r="E128" s="3196"/>
      <c r="F128" s="3196"/>
      <c r="G128" s="3196"/>
      <c r="H128" s="3196"/>
      <c r="I128" s="3196"/>
      <c r="J128" s="3196"/>
      <c r="K128" s="3196"/>
      <c r="L128" s="3197"/>
      <c r="M128" s="3288">
        <f>IF(X83="","",VALUE(RIGHT(X83,1)))</f>
        <v>2</v>
      </c>
      <c r="N128" s="3289"/>
      <c r="O128" s="3290"/>
      <c r="P128" s="3241" t="str">
        <f>IF(M128="","","台分")</f>
        <v>台分</v>
      </c>
      <c r="Q128" s="3242"/>
      <c r="R128" s="3243"/>
      <c r="S128" s="3244">
        <f>IF(OR(B2=0,C128=""),"",IF(AB128&lt;&gt;"",AB128,25000+1000*INT(40000*LEFT(X83,4)/MID(N83,6,3)/SQRT(3)/1000)))</f>
        <v>189000</v>
      </c>
      <c r="T128" s="3245"/>
      <c r="U128" s="3245"/>
      <c r="V128" s="3245"/>
      <c r="W128" s="3245"/>
      <c r="X128" s="3245"/>
      <c r="Y128" s="3245"/>
      <c r="Z128" s="3246"/>
      <c r="AA128" s="930" t="s">
        <v>2359</v>
      </c>
      <c r="AB128" s="3198"/>
      <c r="AC128" s="3198"/>
      <c r="AD128" s="3198"/>
      <c r="AE128" s="3198"/>
      <c r="AF128" s="3198"/>
      <c r="AG128" s="3198"/>
      <c r="AH128" s="3198"/>
      <c r="AI128" s="3199">
        <f>IF(C128="","",M128*S128)</f>
        <v>378000</v>
      </c>
      <c r="AJ128" s="3200"/>
      <c r="AK128" s="3200"/>
      <c r="AL128" s="3200"/>
      <c r="AM128" s="3200"/>
      <c r="AN128" s="3200"/>
      <c r="AO128" s="3200"/>
      <c r="AP128" s="3201"/>
      <c r="AQ128" s="3249">
        <f>IF(S128="","",S128*1.5*10^-5)</f>
        <v>2.8350000000000004</v>
      </c>
      <c r="AR128" s="3249"/>
      <c r="AS128" s="3249"/>
      <c r="AT128" s="3249"/>
      <c r="AU128" s="3249"/>
      <c r="AV128" s="3250">
        <f>IF(C128="","",M128*AQ128)</f>
        <v>5.6700000000000008</v>
      </c>
      <c r="AW128" s="3250"/>
      <c r="AX128" s="3250"/>
      <c r="AY128" s="3250"/>
      <c r="AZ128" s="3250"/>
      <c r="BA128" s="3250"/>
      <c r="BB128" s="926"/>
      <c r="BC128" s="3306" t="str">
        <f>IF(AND(BQ75="",BQ87=""),"","2VT")</f>
        <v>2VT</v>
      </c>
      <c r="BD128" s="3306"/>
      <c r="BE128" s="3306"/>
      <c r="BF128" s="3306"/>
      <c r="BG128" s="3306"/>
      <c r="BH128" s="3161">
        <f t="shared" si="2"/>
        <v>40000</v>
      </c>
      <c r="BI128" s="3162"/>
      <c r="BJ128" s="3162"/>
      <c r="BK128" s="3162"/>
      <c r="BL128" s="3162"/>
      <c r="BM128" s="3163"/>
      <c r="BN128" s="959" t="s">
        <v>2359</v>
      </c>
      <c r="BO128" s="3307"/>
      <c r="BP128" s="3307"/>
      <c r="BQ128" s="3307"/>
      <c r="BR128" s="3307"/>
      <c r="BS128" s="3307"/>
      <c r="BT128" s="3307"/>
      <c r="BU128" s="924"/>
      <c r="BW128" s="958"/>
      <c r="BX128" s="957">
        <v>40000</v>
      </c>
      <c r="BY128" s="956"/>
      <c r="BZ128" s="956"/>
      <c r="CA128" s="956"/>
      <c r="CC128" s="936"/>
      <c r="CD128" s="916"/>
      <c r="CE128" s="936"/>
      <c r="CF128" s="936"/>
      <c r="CG128" s="936"/>
      <c r="CI128" s="1708"/>
      <c r="CJ128" s="1708"/>
      <c r="CK128" s="1708"/>
      <c r="CL128" s="1708"/>
      <c r="CM128" s="1708"/>
      <c r="CN128" s="1708"/>
      <c r="CO128" s="1708"/>
      <c r="CP128" s="1708"/>
      <c r="CQ128" s="1708"/>
      <c r="CR128" s="1708"/>
      <c r="CS128" s="1708"/>
      <c r="CT128" s="1708"/>
      <c r="CU128" s="1708"/>
      <c r="CV128" s="1708"/>
      <c r="CW128" s="1708"/>
      <c r="CX128" s="1708"/>
      <c r="CY128" s="1708"/>
      <c r="CZ128" s="1708"/>
      <c r="DA128" s="1708"/>
    </row>
    <row r="129" spans="2:105" ht="13.5" customHeight="1" thickBot="1">
      <c r="B129" s="927"/>
      <c r="C129" s="3256" t="str">
        <f>IF(C124="","","（小計）")</f>
        <v>（小計）</v>
      </c>
      <c r="D129" s="3257"/>
      <c r="E129" s="3257"/>
      <c r="F129" s="3257"/>
      <c r="G129" s="3257"/>
      <c r="H129" s="3257"/>
      <c r="I129" s="3257"/>
      <c r="J129" s="3257"/>
      <c r="K129" s="3257"/>
      <c r="L129" s="3258"/>
      <c r="M129" s="3259"/>
      <c r="N129" s="3260"/>
      <c r="O129" s="3260"/>
      <c r="P129" s="3260"/>
      <c r="Q129" s="3260"/>
      <c r="R129" s="3261"/>
      <c r="S129" s="3262">
        <f>IF(C124="","",SUM(AI124:AP128))</f>
        <v>11086250</v>
      </c>
      <c r="T129" s="3263"/>
      <c r="U129" s="3263"/>
      <c r="V129" s="3263"/>
      <c r="W129" s="3263"/>
      <c r="X129" s="3263"/>
      <c r="Y129" s="3263"/>
      <c r="Z129" s="3264"/>
      <c r="AA129" s="3259"/>
      <c r="AB129" s="3260"/>
      <c r="AC129" s="3260"/>
      <c r="AD129" s="3260"/>
      <c r="AE129" s="3260"/>
      <c r="AF129" s="3260"/>
      <c r="AG129" s="3260"/>
      <c r="AH129" s="3260"/>
      <c r="AI129" s="3260"/>
      <c r="AJ129" s="3260"/>
      <c r="AK129" s="3260"/>
      <c r="AL129" s="3260"/>
      <c r="AM129" s="3260"/>
      <c r="AN129" s="3260"/>
      <c r="AO129" s="3260"/>
      <c r="AP129" s="3260"/>
      <c r="AQ129" s="3260"/>
      <c r="AR129" s="3260"/>
      <c r="AS129" s="3260"/>
      <c r="AT129" s="3260"/>
      <c r="AU129" s="3260"/>
      <c r="AV129" s="3260"/>
      <c r="AW129" s="3260"/>
      <c r="AX129" s="3260"/>
      <c r="AY129" s="3260"/>
      <c r="AZ129" s="3260"/>
      <c r="BA129" s="3261"/>
      <c r="BB129" s="946"/>
      <c r="BC129" s="3004"/>
      <c r="BD129" s="3005"/>
      <c r="BE129" s="3005"/>
      <c r="BF129" s="3005"/>
      <c r="BG129" s="3006"/>
      <c r="BH129" s="3161" t="str">
        <f t="shared" si="2"/>
        <v/>
      </c>
      <c r="BI129" s="3162"/>
      <c r="BJ129" s="3162"/>
      <c r="BK129" s="3162"/>
      <c r="BL129" s="3162"/>
      <c r="BM129" s="3163"/>
      <c r="BN129" s="934"/>
      <c r="BO129" s="3235"/>
      <c r="BP129" s="3236"/>
      <c r="BQ129" s="3236"/>
      <c r="BR129" s="3236"/>
      <c r="BS129" s="3236"/>
      <c r="BT129" s="3237"/>
      <c r="BU129" s="924"/>
      <c r="BW129" s="958"/>
      <c r="BX129" s="957"/>
      <c r="BY129" s="956"/>
      <c r="BZ129" s="956"/>
      <c r="CA129" s="956"/>
      <c r="CC129" s="955"/>
      <c r="CD129" s="955"/>
      <c r="CE129" s="936"/>
      <c r="CF129" s="936"/>
      <c r="CG129" s="936"/>
      <c r="CI129" s="1708"/>
      <c r="CJ129" s="1708"/>
      <c r="CK129" s="1708"/>
      <c r="CL129" s="1708"/>
      <c r="CM129" s="1708"/>
      <c r="CN129" s="1708"/>
      <c r="CO129" s="1708"/>
      <c r="CP129" s="1708"/>
      <c r="CQ129" s="1708"/>
      <c r="CR129" s="1708"/>
      <c r="CS129" s="1708"/>
      <c r="CT129" s="1708"/>
      <c r="CU129" s="1708"/>
      <c r="CV129" s="1708"/>
      <c r="CW129" s="1708"/>
      <c r="CX129" s="1708"/>
      <c r="CY129" s="1708"/>
      <c r="CZ129" s="1708"/>
      <c r="DA129" s="1708"/>
    </row>
    <row r="130" spans="2:105" ht="13.5" customHeight="1">
      <c r="B130" s="927"/>
      <c r="C130" s="3297" t="str">
        <f>IF(N87="","","低圧動力盤")</f>
        <v>低圧動力盤</v>
      </c>
      <c r="D130" s="3297"/>
      <c r="E130" s="3297"/>
      <c r="F130" s="3297"/>
      <c r="G130" s="3297"/>
      <c r="H130" s="3297"/>
      <c r="I130" s="3297"/>
      <c r="J130" s="3297"/>
      <c r="K130" s="3297"/>
      <c r="L130" s="3297"/>
      <c r="M130" s="3298">
        <f>IF(AE87="","",VALUE(LEFT(AE87,1)))</f>
        <v>1</v>
      </c>
      <c r="N130" s="3299"/>
      <c r="O130" s="3300"/>
      <c r="P130" s="3301" t="str">
        <f>IF(M130="","","面")</f>
        <v>面</v>
      </c>
      <c r="Q130" s="3302"/>
      <c r="R130" s="3303"/>
      <c r="S130" s="3269">
        <f>IF(OR(B2=0,C130=""),"",IF(AB130&lt;&gt;"",AB130,IF(CC93="FRM",CC130,IF(CC93="ICB",1000*INT(1.2*CC130/1000),1000*INT(1.25*CC130/1000)))))</f>
        <v>523000</v>
      </c>
      <c r="T130" s="3270"/>
      <c r="U130" s="3270"/>
      <c r="V130" s="3270"/>
      <c r="W130" s="3270"/>
      <c r="X130" s="3270"/>
      <c r="Y130" s="3270"/>
      <c r="Z130" s="3271"/>
      <c r="AA130" s="954" t="s">
        <v>2359</v>
      </c>
      <c r="AB130" s="3268"/>
      <c r="AC130" s="3268"/>
      <c r="AD130" s="3268"/>
      <c r="AE130" s="3268"/>
      <c r="AF130" s="3268"/>
      <c r="AG130" s="3268"/>
      <c r="AH130" s="3268"/>
      <c r="AI130" s="3269">
        <f>IF(C130="","",M130*S130)</f>
        <v>523000</v>
      </c>
      <c r="AJ130" s="3270"/>
      <c r="AK130" s="3270"/>
      <c r="AL130" s="3270"/>
      <c r="AM130" s="3270"/>
      <c r="AN130" s="3270"/>
      <c r="AO130" s="3270"/>
      <c r="AP130" s="3271"/>
      <c r="AQ130" s="3272">
        <f>IF(C130="","",IF(CC125="FRM",4.77,6.1))</f>
        <v>6.1</v>
      </c>
      <c r="AR130" s="3272"/>
      <c r="AS130" s="3272"/>
      <c r="AT130" s="3272"/>
      <c r="AU130" s="3272"/>
      <c r="AV130" s="3273">
        <f>IF(C130="","",M130*AQ130)</f>
        <v>6.1</v>
      </c>
      <c r="AW130" s="3273"/>
      <c r="AX130" s="3273"/>
      <c r="AY130" s="3273"/>
      <c r="AZ130" s="3273"/>
      <c r="BA130" s="3273"/>
      <c r="BB130" s="926"/>
      <c r="BC130" s="3274" t="str">
        <f>IF(N71="","","CuBar他")</f>
        <v>CuBar他</v>
      </c>
      <c r="BD130" s="3275"/>
      <c r="BE130" s="3275"/>
      <c r="BF130" s="3275"/>
      <c r="BG130" s="3275"/>
      <c r="BH130" s="3285">
        <f>IF(BC130="","",IF(CC93="FRM",1000*INT((150000+15000*AO71+50000*LEFT(X71,4)/MID(N71,6,3))/1000),750*INT((150000+15000*AO71+50000*LEFT(X71,4)/MID(N71,6,3))/1000)))</f>
        <v>419000</v>
      </c>
      <c r="BI130" s="3285"/>
      <c r="BJ130" s="3285"/>
      <c r="BK130" s="3285"/>
      <c r="BL130" s="3285"/>
      <c r="BM130" s="3285"/>
      <c r="BN130" s="953" t="s">
        <v>2359</v>
      </c>
      <c r="BO130" s="3286"/>
      <c r="BP130" s="3286"/>
      <c r="BQ130" s="3286"/>
      <c r="BR130" s="3286"/>
      <c r="BS130" s="3286"/>
      <c r="BT130" s="3287"/>
      <c r="BU130" s="924"/>
      <c r="CC130" s="3291">
        <f>IF(C130="","",SUM(BH120:BM126)+BH127*AO87+BH134+BH128+BH105*CC105)</f>
        <v>523000</v>
      </c>
      <c r="CD130" s="3291"/>
      <c r="CE130" s="952">
        <f>IF(S130="",0,S130*CF130)</f>
        <v>523000</v>
      </c>
      <c r="CF130" s="951">
        <f>IF(M130="",0,M130)</f>
        <v>1</v>
      </c>
      <c r="CG130" s="942"/>
      <c r="CH130" s="942"/>
      <c r="CI130" s="1708"/>
      <c r="CJ130" s="1708"/>
      <c r="CK130" s="1708"/>
      <c r="CL130" s="1708"/>
      <c r="CM130" s="1708"/>
      <c r="CN130" s="1708"/>
      <c r="CO130" s="1708"/>
      <c r="CP130" s="1708"/>
      <c r="CQ130" s="1708"/>
      <c r="CR130" s="1708"/>
      <c r="CS130" s="1708"/>
      <c r="CT130" s="1708"/>
      <c r="CU130" s="1708"/>
      <c r="CV130" s="1708"/>
      <c r="CW130" s="1708"/>
      <c r="CX130" s="1708"/>
      <c r="CY130" s="1708"/>
      <c r="CZ130" s="1708"/>
      <c r="DA130" s="1708"/>
    </row>
    <row r="131" spans="2:105" ht="13.5" customHeight="1">
      <c r="B131" s="927"/>
      <c r="C131" s="2930" t="str">
        <f>IF(N87="","",N87)</f>
        <v>3φ3W 440V</v>
      </c>
      <c r="D131" s="2931"/>
      <c r="E131" s="2931"/>
      <c r="F131" s="2931"/>
      <c r="G131" s="2931"/>
      <c r="H131" s="2931"/>
      <c r="I131" s="2931"/>
      <c r="J131" s="2931"/>
      <c r="K131" s="2931"/>
      <c r="L131" s="2932"/>
      <c r="M131" s="3292"/>
      <c r="N131" s="3292"/>
      <c r="O131" s="3292"/>
      <c r="P131" s="3293"/>
      <c r="Q131" s="3293"/>
      <c r="R131" s="3293"/>
      <c r="S131" s="3294"/>
      <c r="T131" s="3295"/>
      <c r="U131" s="3295"/>
      <c r="V131" s="3295"/>
      <c r="W131" s="3295"/>
      <c r="X131" s="3295"/>
      <c r="Y131" s="3295"/>
      <c r="Z131" s="3296"/>
      <c r="AA131" s="949"/>
      <c r="AB131" s="3215"/>
      <c r="AC131" s="3215"/>
      <c r="AD131" s="3215"/>
      <c r="AE131" s="3215"/>
      <c r="AF131" s="3215"/>
      <c r="AG131" s="3215"/>
      <c r="AH131" s="3215"/>
      <c r="AI131" s="3208"/>
      <c r="AJ131" s="3209"/>
      <c r="AK131" s="3209"/>
      <c r="AL131" s="3209"/>
      <c r="AM131" s="3209"/>
      <c r="AN131" s="3209"/>
      <c r="AO131" s="3209"/>
      <c r="AP131" s="3210"/>
      <c r="AQ131" s="3284"/>
      <c r="AR131" s="3284"/>
      <c r="AS131" s="3284"/>
      <c r="AT131" s="3284"/>
      <c r="AU131" s="3284"/>
      <c r="AV131" s="3283"/>
      <c r="AW131" s="3283"/>
      <c r="AX131" s="3283"/>
      <c r="AY131" s="3283"/>
      <c r="AZ131" s="3283"/>
      <c r="BA131" s="3283"/>
      <c r="BB131" s="926"/>
      <c r="BC131" s="3276" t="str">
        <f>IF(N75="","","CuBar他")</f>
        <v>CuBar他</v>
      </c>
      <c r="BD131" s="3277"/>
      <c r="BE131" s="3277"/>
      <c r="BF131" s="3277"/>
      <c r="BG131" s="3277"/>
      <c r="BH131" s="3278">
        <f>IF(N75="","",IF(CC93="FRM",1000*INT((150000+15000*AO75+50000*LEFT(X75,4)/MID(N75,6,3))/1000),750*INT((150000+15000*AO75+50000*LEFT(X75,4)/MID(N75,6,3))/1000)))</f>
        <v>312000</v>
      </c>
      <c r="BI131" s="3278"/>
      <c r="BJ131" s="3278"/>
      <c r="BK131" s="3278"/>
      <c r="BL131" s="3278"/>
      <c r="BM131" s="3278"/>
      <c r="BN131" s="934" t="s">
        <v>2359</v>
      </c>
      <c r="BO131" s="3231"/>
      <c r="BP131" s="3231"/>
      <c r="BQ131" s="3231"/>
      <c r="BR131" s="3231"/>
      <c r="BS131" s="3231"/>
      <c r="BT131" s="3279"/>
      <c r="BU131" s="924"/>
      <c r="CC131" s="936"/>
      <c r="CD131" s="916"/>
      <c r="CE131" s="941"/>
      <c r="CF131" s="936"/>
      <c r="CG131" s="936"/>
      <c r="CI131" s="1708"/>
      <c r="CJ131" s="1708"/>
      <c r="CK131" s="1708"/>
      <c r="CL131" s="1708"/>
      <c r="CM131" s="1708"/>
      <c r="CN131" s="1708"/>
      <c r="CO131" s="1708"/>
      <c r="CP131" s="1708"/>
      <c r="CQ131" s="1708"/>
      <c r="CR131" s="1708"/>
      <c r="CS131" s="1708"/>
      <c r="CT131" s="1708"/>
      <c r="CU131" s="1708"/>
      <c r="CV131" s="1708"/>
      <c r="CW131" s="1708"/>
      <c r="CX131" s="1708"/>
      <c r="CY131" s="1708"/>
      <c r="CZ131" s="1708"/>
      <c r="DA131" s="1708"/>
    </row>
    <row r="132" spans="2:105" ht="13.5" customHeight="1">
      <c r="B132" s="927"/>
      <c r="C132" s="2811" t="str">
        <f>IF(N87="","","TR"&amp;LEFT(N87,2)&amp;LEFT(AS59,2)&amp;"Hz"&amp;LEFT(X87,4)&amp;"KVA")</f>
        <v>TR3φ60Hz  75KVA</v>
      </c>
      <c r="D132" s="2812"/>
      <c r="E132" s="2812"/>
      <c r="F132" s="2812"/>
      <c r="G132" s="2812"/>
      <c r="H132" s="2812"/>
      <c r="I132" s="2812"/>
      <c r="J132" s="2812"/>
      <c r="K132" s="2812"/>
      <c r="L132" s="2813"/>
      <c r="M132" s="3202">
        <f>IF(X87="","",VALUE(RIGHT(X87,1)))</f>
        <v>1</v>
      </c>
      <c r="N132" s="3203"/>
      <c r="O132" s="3204"/>
      <c r="P132" s="3205" t="str">
        <f>IF(M132="","","台")</f>
        <v>台</v>
      </c>
      <c r="Q132" s="3206"/>
      <c r="R132" s="3207"/>
      <c r="S132" s="3208">
        <f>IF(C132="","",IF(AB132&lt;&gt;"",AB132,VLOOKUP(C132,[5]建物1802!$E$5:$AL$3275,$BB$97,FALSE)))</f>
        <v>353000</v>
      </c>
      <c r="T132" s="3209"/>
      <c r="U132" s="3209"/>
      <c r="V132" s="3209"/>
      <c r="W132" s="3209"/>
      <c r="X132" s="3209"/>
      <c r="Y132" s="3209"/>
      <c r="Z132" s="3210"/>
      <c r="AA132" s="950" t="s">
        <v>2359</v>
      </c>
      <c r="AB132" s="3211"/>
      <c r="AC132" s="3211"/>
      <c r="AD132" s="3211"/>
      <c r="AE132" s="3211"/>
      <c r="AF132" s="3211"/>
      <c r="AG132" s="3211"/>
      <c r="AH132" s="3211"/>
      <c r="AI132" s="3212">
        <f>IF(C132="","",M132*S132)</f>
        <v>353000</v>
      </c>
      <c r="AJ132" s="3213"/>
      <c r="AK132" s="3213"/>
      <c r="AL132" s="3213"/>
      <c r="AM132" s="3213"/>
      <c r="AN132" s="3213"/>
      <c r="AO132" s="3213"/>
      <c r="AP132" s="3214"/>
      <c r="AQ132" s="3280">
        <f>IF(C132="","",IF(AB132&lt;&gt;"",AB132,VLOOKUP(C132,[5]建物1802!$E$5:$AL$3275,26,FALSE)))</f>
        <v>3.62</v>
      </c>
      <c r="AR132" s="3281"/>
      <c r="AS132" s="3281"/>
      <c r="AT132" s="3281"/>
      <c r="AU132" s="3282"/>
      <c r="AV132" s="3280">
        <f>IF(OR(C132="",AQ132=""),"",M132*AQ132)</f>
        <v>3.62</v>
      </c>
      <c r="AW132" s="3281"/>
      <c r="AX132" s="3281"/>
      <c r="AY132" s="3281"/>
      <c r="AZ132" s="3281"/>
      <c r="BA132" s="3282"/>
      <c r="BB132" s="926"/>
      <c r="BC132" s="3276" t="str">
        <f>IF(N79="","","CuBar他")</f>
        <v/>
      </c>
      <c r="BD132" s="3277"/>
      <c r="BE132" s="3277"/>
      <c r="BF132" s="3277"/>
      <c r="BG132" s="3277"/>
      <c r="BH132" s="3278" t="str">
        <f>IF(N79="","",IF(CC93="FRM",1000*INT((150000+15000*AO79+50000*LEFT(X79,4)/MID(N79,6,3))/1000),750*INT((150000+15000*AO79+50000*LEFT(X79,4)/MID(N79,6,3))/1000)))</f>
        <v/>
      </c>
      <c r="BI132" s="3278"/>
      <c r="BJ132" s="3278"/>
      <c r="BK132" s="3278"/>
      <c r="BL132" s="3278"/>
      <c r="BM132" s="3278"/>
      <c r="BN132" s="934" t="s">
        <v>2359</v>
      </c>
      <c r="BO132" s="3231"/>
      <c r="BP132" s="3231"/>
      <c r="BQ132" s="3231"/>
      <c r="BR132" s="3231"/>
      <c r="BS132" s="3231"/>
      <c r="BT132" s="3279"/>
      <c r="BU132" s="924"/>
      <c r="BW132" s="948"/>
      <c r="CC132" s="936"/>
      <c r="CD132" s="916"/>
      <c r="CE132" s="941"/>
      <c r="CF132" s="936"/>
      <c r="CG132" s="936"/>
      <c r="CI132" s="1708"/>
      <c r="CJ132" s="1708"/>
      <c r="CK132" s="1708"/>
      <c r="CL132" s="1708"/>
      <c r="CM132" s="1708"/>
      <c r="CN132" s="1708"/>
      <c r="CO132" s="1708"/>
      <c r="CP132" s="1708"/>
      <c r="CQ132" s="1708"/>
      <c r="CR132" s="1708"/>
      <c r="CS132" s="1708"/>
      <c r="CT132" s="1708"/>
      <c r="CU132" s="1708"/>
      <c r="CV132" s="1708"/>
      <c r="CW132" s="1708"/>
      <c r="CX132" s="1708"/>
      <c r="CY132" s="1708"/>
      <c r="CZ132" s="1708"/>
      <c r="DA132" s="1708"/>
    </row>
    <row r="133" spans="2:105" ht="13.5" customHeight="1">
      <c r="B133" s="927"/>
      <c r="C133" s="2930" t="str">
        <f>IF(X87="","","26・TR防振装置")</f>
        <v>26・TR防振装置</v>
      </c>
      <c r="D133" s="2931"/>
      <c r="E133" s="2931"/>
      <c r="F133" s="2931"/>
      <c r="G133" s="2931"/>
      <c r="H133" s="2931"/>
      <c r="I133" s="2931"/>
      <c r="J133" s="2931"/>
      <c r="K133" s="2931"/>
      <c r="L133" s="2932"/>
      <c r="M133" s="3202">
        <f>IF(X87="","",VALUE(RIGHT(X87,1)))</f>
        <v>1</v>
      </c>
      <c r="N133" s="3203"/>
      <c r="O133" s="3204"/>
      <c r="P133" s="3205" t="str">
        <f>IF(M133="","","台分")</f>
        <v>台分</v>
      </c>
      <c r="Q133" s="3206"/>
      <c r="R133" s="3207"/>
      <c r="S133" s="3208">
        <f>IF(OR(B2=0,C133=""),"",IF(AB133&lt;&gt;"",AB133,35000+1000*INT(5000*SQRT(LEFT(X87,4))/1000)))</f>
        <v>78000</v>
      </c>
      <c r="T133" s="3209"/>
      <c r="U133" s="3209"/>
      <c r="V133" s="3209"/>
      <c r="W133" s="3209"/>
      <c r="X133" s="3209"/>
      <c r="Y133" s="3209"/>
      <c r="Z133" s="3210"/>
      <c r="AA133" s="949" t="s">
        <v>2359</v>
      </c>
      <c r="AB133" s="3215"/>
      <c r="AC133" s="3215"/>
      <c r="AD133" s="3215"/>
      <c r="AE133" s="3215"/>
      <c r="AF133" s="3215"/>
      <c r="AG133" s="3215"/>
      <c r="AH133" s="3215"/>
      <c r="AI133" s="3208">
        <f>IF(C133="","",M133*S133)</f>
        <v>78000</v>
      </c>
      <c r="AJ133" s="3209"/>
      <c r="AK133" s="3209"/>
      <c r="AL133" s="3209"/>
      <c r="AM133" s="3209"/>
      <c r="AN133" s="3209"/>
      <c r="AO133" s="3209"/>
      <c r="AP133" s="3210"/>
      <c r="AQ133" s="3284">
        <f>IF(OR(CC93="OCB",CC93="ICB"),"",IF(S133="","",S133*1.2*10^-5))</f>
        <v>0.93600000000000005</v>
      </c>
      <c r="AR133" s="3284"/>
      <c r="AS133" s="3284"/>
      <c r="AT133" s="3284"/>
      <c r="AU133" s="3284"/>
      <c r="AV133" s="3280">
        <f>IF(OR(C133="",AQ133=""),"",M133*AQ133)</f>
        <v>0.93600000000000005</v>
      </c>
      <c r="AW133" s="3281"/>
      <c r="AX133" s="3281"/>
      <c r="AY133" s="3281"/>
      <c r="AZ133" s="3281"/>
      <c r="BA133" s="3282"/>
      <c r="BB133" s="926"/>
      <c r="BC133" s="3276" t="str">
        <f>IF(N83="","","CuBar他")</f>
        <v>CuBar他</v>
      </c>
      <c r="BD133" s="3277"/>
      <c r="BE133" s="3277"/>
      <c r="BF133" s="3277"/>
      <c r="BG133" s="3277"/>
      <c r="BH133" s="3278">
        <f>IF(N83="","",IF(CC93="FRM",1000*INT((150000+15000*AO83+50000*LEFT(X83,4)/MID(N83,6,3))/1000),750*INT((150000+15000*AO83+50000*LEFT(X83,4)/MID(N83,6,3))/1000)))</f>
        <v>660000</v>
      </c>
      <c r="BI133" s="3278"/>
      <c r="BJ133" s="3278"/>
      <c r="BK133" s="3278"/>
      <c r="BL133" s="3278"/>
      <c r="BM133" s="3278"/>
      <c r="BN133" s="934" t="s">
        <v>2359</v>
      </c>
      <c r="BO133" s="3231"/>
      <c r="BP133" s="3231"/>
      <c r="BQ133" s="3231"/>
      <c r="BR133" s="3231"/>
      <c r="BS133" s="3231"/>
      <c r="BT133" s="3279"/>
      <c r="BU133" s="924"/>
      <c r="BW133" s="948"/>
      <c r="CC133" s="936"/>
      <c r="CD133" s="916"/>
      <c r="CE133" s="941"/>
      <c r="CF133" s="936"/>
      <c r="CG133" s="936"/>
    </row>
    <row r="134" spans="2:105" ht="13.5" customHeight="1" thickBot="1">
      <c r="B134" s="927"/>
      <c r="C134" s="3195" t="str">
        <f>IF(X87="","","TR編組銅帯")</f>
        <v>TR編組銅帯</v>
      </c>
      <c r="D134" s="3196"/>
      <c r="E134" s="3196"/>
      <c r="F134" s="3196"/>
      <c r="G134" s="3196"/>
      <c r="H134" s="3196"/>
      <c r="I134" s="3196"/>
      <c r="J134" s="3196"/>
      <c r="K134" s="3196"/>
      <c r="L134" s="3197"/>
      <c r="M134" s="3238">
        <f>IF(X87="","",VALUE(RIGHT(X87,1)))</f>
        <v>1</v>
      </c>
      <c r="N134" s="3239"/>
      <c r="O134" s="3240"/>
      <c r="P134" s="3241" t="str">
        <f>IF(M134="","","台分")</f>
        <v>台分</v>
      </c>
      <c r="Q134" s="3242"/>
      <c r="R134" s="3243"/>
      <c r="S134" s="3244">
        <f>IF(OR(B2=0,C134=""),"",IF(AB134&lt;&gt;"",AB134,25000+1000*INT(40000*LEFT(X87,4)/MID(N87,6,3)/SQRT(3)/1000)))</f>
        <v>28000</v>
      </c>
      <c r="T134" s="3245"/>
      <c r="U134" s="3245"/>
      <c r="V134" s="3245"/>
      <c r="W134" s="3245"/>
      <c r="X134" s="3245"/>
      <c r="Y134" s="3245"/>
      <c r="Z134" s="3246"/>
      <c r="AA134" s="930" t="s">
        <v>2359</v>
      </c>
      <c r="AB134" s="3198"/>
      <c r="AC134" s="3198"/>
      <c r="AD134" s="3198"/>
      <c r="AE134" s="3198"/>
      <c r="AF134" s="3198"/>
      <c r="AG134" s="3198"/>
      <c r="AH134" s="3198"/>
      <c r="AI134" s="3199">
        <f>IF(C134="","",M134*S134)</f>
        <v>28000</v>
      </c>
      <c r="AJ134" s="3200"/>
      <c r="AK134" s="3200"/>
      <c r="AL134" s="3200"/>
      <c r="AM134" s="3200"/>
      <c r="AN134" s="3200"/>
      <c r="AO134" s="3200"/>
      <c r="AP134" s="3201"/>
      <c r="AQ134" s="3249">
        <f>IF(S134="","",S134*1.5*10^-5)</f>
        <v>0.42000000000000004</v>
      </c>
      <c r="AR134" s="3249"/>
      <c r="AS134" s="3249"/>
      <c r="AT134" s="3249"/>
      <c r="AU134" s="3249"/>
      <c r="AV134" s="3250">
        <f>IF(C134="","",M134*AQ134)</f>
        <v>0.42000000000000004</v>
      </c>
      <c r="AW134" s="3250"/>
      <c r="AX134" s="3250"/>
      <c r="AY134" s="3250"/>
      <c r="AZ134" s="3250"/>
      <c r="BA134" s="3250"/>
      <c r="BB134" s="926"/>
      <c r="BC134" s="3251" t="str">
        <f>IF(N87="","","CuBar他")</f>
        <v>CuBar他</v>
      </c>
      <c r="BD134" s="3252"/>
      <c r="BE134" s="3252"/>
      <c r="BF134" s="3252"/>
      <c r="BG134" s="3252"/>
      <c r="BH134" s="3253">
        <f>IF(N87="","",IF(CC93="FRM",1000*INT((150000+15000*AO87+50000*LEFT(X87,4)/MID(N87,6,3))/1000),750*INT((150000+15000*AO87+50000*LEFT(X87,4)/MID(N87,6,3))/1000)))</f>
        <v>188000</v>
      </c>
      <c r="BI134" s="3253"/>
      <c r="BJ134" s="3253"/>
      <c r="BK134" s="3253"/>
      <c r="BL134" s="3253"/>
      <c r="BM134" s="3253"/>
      <c r="BN134" s="947" t="s">
        <v>2359</v>
      </c>
      <c r="BO134" s="3254"/>
      <c r="BP134" s="3254"/>
      <c r="BQ134" s="3254"/>
      <c r="BR134" s="3254"/>
      <c r="BS134" s="3254"/>
      <c r="BT134" s="3255"/>
      <c r="BU134" s="924"/>
      <c r="CC134" s="936"/>
      <c r="CD134" s="916"/>
      <c r="CE134" s="941"/>
      <c r="CF134" s="936"/>
      <c r="CG134" s="936"/>
    </row>
    <row r="135" spans="2:105" ht="13.5" customHeight="1" thickBot="1">
      <c r="B135" s="927"/>
      <c r="C135" s="3256" t="str">
        <f>IF(C130="","","（小計）")</f>
        <v>（小計）</v>
      </c>
      <c r="D135" s="3257"/>
      <c r="E135" s="3257"/>
      <c r="F135" s="3257"/>
      <c r="G135" s="3257"/>
      <c r="H135" s="3257"/>
      <c r="I135" s="3257"/>
      <c r="J135" s="3257"/>
      <c r="K135" s="3257"/>
      <c r="L135" s="3258"/>
      <c r="M135" s="3259"/>
      <c r="N135" s="3260"/>
      <c r="O135" s="3260"/>
      <c r="P135" s="3260"/>
      <c r="Q135" s="3260"/>
      <c r="R135" s="3261"/>
      <c r="S135" s="3262">
        <f>IF(C130="","",SUM(AI130:AP134))</f>
        <v>982000</v>
      </c>
      <c r="T135" s="3263"/>
      <c r="U135" s="3263"/>
      <c r="V135" s="3263"/>
      <c r="W135" s="3263"/>
      <c r="X135" s="3263"/>
      <c r="Y135" s="3263"/>
      <c r="Z135" s="3264"/>
      <c r="AA135" s="3265"/>
      <c r="AB135" s="3266"/>
      <c r="AC135" s="3266"/>
      <c r="AD135" s="3266"/>
      <c r="AE135" s="3266"/>
      <c r="AF135" s="3266"/>
      <c r="AG135" s="3266"/>
      <c r="AH135" s="3266"/>
      <c r="AI135" s="3266"/>
      <c r="AJ135" s="3266"/>
      <c r="AK135" s="3266"/>
      <c r="AL135" s="3266"/>
      <c r="AM135" s="3266"/>
      <c r="AN135" s="3266"/>
      <c r="AO135" s="3266"/>
      <c r="AP135" s="3266"/>
      <c r="AQ135" s="3266"/>
      <c r="AR135" s="3266"/>
      <c r="AS135" s="3266"/>
      <c r="AT135" s="3266"/>
      <c r="AU135" s="3266"/>
      <c r="AV135" s="3266"/>
      <c r="AW135" s="3266"/>
      <c r="AX135" s="3266"/>
      <c r="AY135" s="3266"/>
      <c r="AZ135" s="3266"/>
      <c r="BA135" s="3267"/>
      <c r="BB135" s="946"/>
      <c r="BC135" s="3004"/>
      <c r="BD135" s="3005"/>
      <c r="BE135" s="3005"/>
      <c r="BF135" s="3005"/>
      <c r="BG135" s="3006"/>
      <c r="BH135" s="3232"/>
      <c r="BI135" s="3233"/>
      <c r="BJ135" s="3233"/>
      <c r="BK135" s="3233"/>
      <c r="BL135" s="3233"/>
      <c r="BM135" s="3234"/>
      <c r="BN135" s="945"/>
      <c r="BO135" s="3235"/>
      <c r="BP135" s="3236"/>
      <c r="BQ135" s="3236"/>
      <c r="BR135" s="3236"/>
      <c r="BS135" s="3236"/>
      <c r="BT135" s="3237"/>
      <c r="BU135" s="924"/>
      <c r="CC135" s="944"/>
      <c r="CD135" s="944"/>
      <c r="CE135" s="941"/>
      <c r="CF135" s="943">
        <f>SUM(CF98:CF130)*0.9</f>
        <v>7.2</v>
      </c>
      <c r="CG135" s="942"/>
      <c r="CH135" s="942"/>
      <c r="CI135" s="942"/>
    </row>
    <row r="136" spans="2:105" ht="4.5" customHeight="1">
      <c r="B136" s="927"/>
      <c r="C136" s="925"/>
      <c r="D136" s="925"/>
      <c r="E136" s="925"/>
      <c r="F136" s="925"/>
      <c r="G136" s="925"/>
      <c r="H136" s="925"/>
      <c r="I136" s="925"/>
      <c r="J136" s="925"/>
      <c r="K136" s="925"/>
      <c r="L136" s="925"/>
      <c r="M136" s="925"/>
      <c r="N136" s="925"/>
      <c r="O136" s="925"/>
      <c r="P136" s="925"/>
      <c r="Q136" s="925"/>
      <c r="R136" s="925"/>
      <c r="S136" s="925"/>
      <c r="T136" s="925"/>
      <c r="U136" s="925"/>
      <c r="V136" s="925"/>
      <c r="W136" s="925"/>
      <c r="X136" s="925"/>
      <c r="Y136" s="935"/>
      <c r="Z136" s="935"/>
      <c r="AA136" s="935"/>
      <c r="AB136" s="935"/>
      <c r="AC136" s="935"/>
      <c r="AD136" s="935"/>
      <c r="AE136" s="935"/>
      <c r="AF136" s="935"/>
      <c r="AG136" s="935"/>
      <c r="AH136" s="935"/>
      <c r="AI136" s="935"/>
      <c r="AJ136" s="935"/>
      <c r="AK136" s="935"/>
      <c r="AL136" s="935"/>
      <c r="AM136" s="935"/>
      <c r="AN136" s="935"/>
      <c r="AO136" s="935"/>
      <c r="AP136" s="925"/>
      <c r="AQ136" s="925"/>
      <c r="AR136" s="925"/>
      <c r="AS136" s="925"/>
      <c r="AT136" s="925"/>
      <c r="AU136" s="925"/>
      <c r="AV136" s="925"/>
      <c r="AW136" s="925"/>
      <c r="AX136" s="925"/>
      <c r="AY136" s="926"/>
      <c r="AZ136" s="926"/>
      <c r="BA136" s="926"/>
      <c r="BB136" s="926"/>
      <c r="BC136" s="926"/>
      <c r="BD136" s="925"/>
      <c r="BE136" s="925"/>
      <c r="BF136" s="925"/>
      <c r="BG136" s="925"/>
      <c r="BH136" s="925"/>
      <c r="BI136" s="925"/>
      <c r="BJ136" s="925"/>
      <c r="BK136" s="925"/>
      <c r="BL136" s="925"/>
      <c r="BM136" s="925"/>
      <c r="BN136" s="925"/>
      <c r="BO136" s="925"/>
      <c r="BP136" s="925"/>
      <c r="BQ136" s="925"/>
      <c r="BR136" s="925"/>
      <c r="BS136" s="925"/>
      <c r="BT136" s="925"/>
      <c r="BU136" s="924"/>
      <c r="CC136" s="936"/>
      <c r="CD136" s="916"/>
      <c r="CE136" s="941"/>
      <c r="CF136" s="936"/>
      <c r="CG136" s="936"/>
    </row>
    <row r="137" spans="2:105" ht="15" customHeight="1">
      <c r="B137" s="927"/>
      <c r="C137" s="3222" t="str">
        <f>IF(C98="","","機器コンクリート基礎")</f>
        <v>機器コンクリート基礎</v>
      </c>
      <c r="D137" s="3223"/>
      <c r="E137" s="3223"/>
      <c r="F137" s="3223"/>
      <c r="G137" s="3223"/>
      <c r="H137" s="3223"/>
      <c r="I137" s="3223"/>
      <c r="J137" s="3223"/>
      <c r="K137" s="3223"/>
      <c r="L137" s="3224"/>
      <c r="M137" s="3219">
        <f>IF(C98="","",1)</f>
        <v>1</v>
      </c>
      <c r="N137" s="3220"/>
      <c r="O137" s="3221"/>
      <c r="P137" s="3227" t="str">
        <f>IF(M137="","","式")</f>
        <v>式</v>
      </c>
      <c r="Q137" s="3228"/>
      <c r="R137" s="3229"/>
      <c r="S137" s="3161">
        <f>IF(AC6="L","",IF(AB137&lt;&gt;"",AB137,IF(CC93="FRM",CC137,IF(CC93="ICB",1000*INT(1.7*CC137/1000),1000*INT(2.3*CC137/1000)))))</f>
        <v>86400</v>
      </c>
      <c r="T137" s="3162"/>
      <c r="U137" s="3162"/>
      <c r="V137" s="3162"/>
      <c r="W137" s="3162"/>
      <c r="X137" s="3162"/>
      <c r="Y137" s="3162"/>
      <c r="Z137" s="3163"/>
      <c r="AA137" s="934" t="s">
        <v>2359</v>
      </c>
      <c r="AB137" s="3231"/>
      <c r="AC137" s="3231"/>
      <c r="AD137" s="3231"/>
      <c r="AE137" s="3231"/>
      <c r="AF137" s="3231"/>
      <c r="AG137" s="3231"/>
      <c r="AH137" s="3231"/>
      <c r="AI137" s="3161">
        <f>IF(C137="","",M137*S137)</f>
        <v>86400</v>
      </c>
      <c r="AJ137" s="3162"/>
      <c r="AK137" s="3162"/>
      <c r="AL137" s="3162"/>
      <c r="AM137" s="3162"/>
      <c r="AN137" s="3162"/>
      <c r="AO137" s="3162"/>
      <c r="AP137" s="3163"/>
      <c r="AQ137" s="3216"/>
      <c r="AR137" s="3216"/>
      <c r="AS137" s="3216"/>
      <c r="AT137" s="3216"/>
      <c r="AU137" s="3216"/>
      <c r="AV137" s="3160"/>
      <c r="AW137" s="3160"/>
      <c r="AX137" s="3160"/>
      <c r="AY137" s="3160"/>
      <c r="AZ137" s="3160"/>
      <c r="BA137" s="3160"/>
      <c r="BB137" s="926"/>
      <c r="BC137" s="926"/>
      <c r="BD137" s="925"/>
      <c r="BE137" s="925"/>
      <c r="BF137" s="925"/>
      <c r="BG137" s="925"/>
      <c r="BH137" s="925"/>
      <c r="BI137" s="925"/>
      <c r="BJ137" s="925"/>
      <c r="BK137" s="925"/>
      <c r="BL137" s="925"/>
      <c r="BM137" s="925"/>
      <c r="BN137" s="925"/>
      <c r="BO137" s="925"/>
      <c r="BP137" s="925"/>
      <c r="BQ137" s="925"/>
      <c r="BR137" s="925"/>
      <c r="BS137" s="925"/>
      <c r="BT137" s="925"/>
      <c r="BU137" s="924"/>
      <c r="CC137" s="3247">
        <f>12000*CF135</f>
        <v>86400</v>
      </c>
      <c r="CD137" s="3248"/>
      <c r="CE137" s="937">
        <f>IF(S137="",0,S137)</f>
        <v>86400</v>
      </c>
      <c r="CF137" s="936"/>
      <c r="CG137" s="936"/>
    </row>
    <row r="138" spans="2:105" ht="2.25" customHeight="1">
      <c r="B138" s="927"/>
      <c r="C138" s="926"/>
      <c r="D138" s="926"/>
      <c r="E138" s="926"/>
      <c r="F138" s="926"/>
      <c r="G138" s="926"/>
      <c r="H138" s="926"/>
      <c r="I138" s="926"/>
      <c r="J138" s="926"/>
      <c r="K138" s="926"/>
      <c r="L138" s="926"/>
      <c r="M138" s="926"/>
      <c r="N138" s="926"/>
      <c r="O138" s="926"/>
      <c r="P138" s="926"/>
      <c r="Q138" s="926"/>
      <c r="R138" s="926"/>
      <c r="S138" s="926"/>
      <c r="T138" s="926"/>
      <c r="U138" s="926"/>
      <c r="V138" s="926"/>
      <c r="W138" s="926"/>
      <c r="X138" s="926"/>
      <c r="Y138" s="940"/>
      <c r="Z138" s="940"/>
      <c r="AA138" s="940"/>
      <c r="AB138" s="940"/>
      <c r="AC138" s="940"/>
      <c r="AD138" s="940"/>
      <c r="AE138" s="940"/>
      <c r="AF138" s="940"/>
      <c r="AG138" s="940"/>
      <c r="AH138" s="940"/>
      <c r="AI138" s="940"/>
      <c r="AJ138" s="940"/>
      <c r="AK138" s="940"/>
      <c r="AL138" s="940"/>
      <c r="AM138" s="940"/>
      <c r="AN138" s="940"/>
      <c r="AO138" s="940"/>
      <c r="AP138" s="926"/>
      <c r="AQ138" s="926"/>
      <c r="AR138" s="926"/>
      <c r="AS138" s="926"/>
      <c r="AT138" s="926"/>
      <c r="AU138" s="926"/>
      <c r="AV138" s="926"/>
      <c r="AW138" s="926"/>
      <c r="AX138" s="926"/>
      <c r="AY138" s="926"/>
      <c r="AZ138" s="926"/>
      <c r="BA138" s="926"/>
      <c r="BB138" s="926"/>
      <c r="BC138" s="926"/>
      <c r="BD138" s="925"/>
      <c r="BE138" s="925"/>
      <c r="BF138" s="925"/>
      <c r="BG138" s="925"/>
      <c r="BH138" s="925"/>
      <c r="BI138" s="925"/>
      <c r="BJ138" s="925"/>
      <c r="BK138" s="925"/>
      <c r="BL138" s="925"/>
      <c r="BM138" s="925"/>
      <c r="BN138" s="925"/>
      <c r="BO138" s="925"/>
      <c r="BP138" s="925"/>
      <c r="BQ138" s="925"/>
      <c r="BR138" s="925"/>
      <c r="BS138" s="925"/>
      <c r="BT138" s="925"/>
      <c r="BU138" s="924"/>
      <c r="CC138" s="936"/>
      <c r="CD138" s="916"/>
      <c r="CE138" s="941"/>
      <c r="CF138" s="936"/>
      <c r="CG138" s="936"/>
    </row>
    <row r="139" spans="2:105" ht="15" customHeight="1">
      <c r="B139" s="927"/>
      <c r="C139" s="3222" t="str">
        <f>IF(C98="","","機器運搬揚重費")</f>
        <v>機器運搬揚重費</v>
      </c>
      <c r="D139" s="3223"/>
      <c r="E139" s="3223"/>
      <c r="F139" s="3223"/>
      <c r="G139" s="3223"/>
      <c r="H139" s="3223"/>
      <c r="I139" s="3223"/>
      <c r="J139" s="3223"/>
      <c r="K139" s="3223"/>
      <c r="L139" s="3224"/>
      <c r="M139" s="3219">
        <f>IF(C98="","",1)</f>
        <v>1</v>
      </c>
      <c r="N139" s="3220"/>
      <c r="O139" s="3221"/>
      <c r="P139" s="3227" t="str">
        <f>IF(M139="","","式")</f>
        <v>式</v>
      </c>
      <c r="Q139" s="3228"/>
      <c r="R139" s="3229"/>
      <c r="S139" s="3161">
        <f>IF(AB139&lt;&gt;"",AB139,IF(C139="","",IF(OR(LEFT(引込!D7,2)="B ",LEFT(引込!D7,2)="C ",引込!O8,4="  1F"),CC139/5,CC139)))</f>
        <v>724000</v>
      </c>
      <c r="T139" s="3162"/>
      <c r="U139" s="3162"/>
      <c r="V139" s="3162"/>
      <c r="W139" s="3162"/>
      <c r="X139" s="3162"/>
      <c r="Y139" s="3162"/>
      <c r="Z139" s="3163"/>
      <c r="AA139" s="934" t="s">
        <v>2359</v>
      </c>
      <c r="AB139" s="3231"/>
      <c r="AC139" s="3231"/>
      <c r="AD139" s="3231"/>
      <c r="AE139" s="3231"/>
      <c r="AF139" s="3231"/>
      <c r="AG139" s="3231"/>
      <c r="AH139" s="3231"/>
      <c r="AI139" s="3161">
        <f>IF(C139="","",M139*S139)</f>
        <v>724000</v>
      </c>
      <c r="AJ139" s="3162"/>
      <c r="AK139" s="3162"/>
      <c r="AL139" s="3162"/>
      <c r="AM139" s="3162"/>
      <c r="AN139" s="3162"/>
      <c r="AO139" s="3162"/>
      <c r="AP139" s="3163"/>
      <c r="AQ139" s="3216"/>
      <c r="AR139" s="3216"/>
      <c r="AS139" s="3216"/>
      <c r="AT139" s="3216"/>
      <c r="AU139" s="3216"/>
      <c r="AV139" s="3160"/>
      <c r="AW139" s="3160"/>
      <c r="AX139" s="3160"/>
      <c r="AY139" s="3160"/>
      <c r="AZ139" s="3160"/>
      <c r="BA139" s="3160"/>
      <c r="BB139" s="926"/>
      <c r="BC139" s="926"/>
      <c r="BD139" s="938"/>
      <c r="BE139" s="938"/>
      <c r="BF139" s="938"/>
      <c r="BG139" s="938"/>
      <c r="BH139" s="938"/>
      <c r="BI139" s="938"/>
      <c r="BJ139" s="938"/>
      <c r="BK139" s="938"/>
      <c r="BL139" s="938"/>
      <c r="BM139" s="938"/>
      <c r="BN139" s="938"/>
      <c r="BO139" s="938"/>
      <c r="BP139" s="938"/>
      <c r="BQ139" s="938"/>
      <c r="BR139" s="938"/>
      <c r="BS139" s="938"/>
      <c r="BT139" s="938"/>
      <c r="BU139" s="924"/>
      <c r="CC139" s="3247">
        <f>1000*INT(0.6*CE53*(引込!R9*300+5000)/10000)</f>
        <v>724000</v>
      </c>
      <c r="CD139" s="3248"/>
      <c r="CE139" s="937">
        <f>IF(S139="",0,S139)</f>
        <v>724000</v>
      </c>
      <c r="CF139" s="936"/>
      <c r="CG139" s="936"/>
    </row>
    <row r="140" spans="2:105" ht="2.25" customHeight="1">
      <c r="B140" s="927"/>
      <c r="C140" s="926"/>
      <c r="D140" s="926"/>
      <c r="E140" s="926"/>
      <c r="F140" s="926"/>
      <c r="G140" s="926"/>
      <c r="H140" s="926"/>
      <c r="I140" s="926"/>
      <c r="J140" s="926"/>
      <c r="K140" s="926"/>
      <c r="L140" s="926"/>
      <c r="M140" s="926"/>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26"/>
      <c r="AN140" s="926"/>
      <c r="AO140" s="926"/>
      <c r="AP140" s="926"/>
      <c r="AQ140" s="926"/>
      <c r="AR140" s="926"/>
      <c r="AS140" s="926"/>
      <c r="AT140" s="926"/>
      <c r="AU140" s="926"/>
      <c r="AV140" s="926"/>
      <c r="AW140" s="926"/>
      <c r="AX140" s="926"/>
      <c r="AY140" s="926"/>
      <c r="AZ140" s="926"/>
      <c r="BA140" s="926"/>
      <c r="BB140" s="926"/>
      <c r="BC140" s="926"/>
      <c r="BD140" s="938"/>
      <c r="BE140" s="938"/>
      <c r="BF140" s="938"/>
      <c r="BG140" s="938"/>
      <c r="BH140" s="938"/>
      <c r="BI140" s="938"/>
      <c r="BJ140" s="938"/>
      <c r="BK140" s="938"/>
      <c r="BL140" s="938"/>
      <c r="BM140" s="938"/>
      <c r="BN140" s="938"/>
      <c r="BO140" s="938"/>
      <c r="BP140" s="938"/>
      <c r="BQ140" s="938"/>
      <c r="BR140" s="938"/>
      <c r="BS140" s="938"/>
      <c r="BT140" s="938"/>
      <c r="BU140" s="924"/>
      <c r="CC140" s="936"/>
      <c r="CD140" s="916"/>
      <c r="CE140" s="941"/>
      <c r="CF140" s="936"/>
      <c r="CG140" s="936"/>
    </row>
    <row r="141" spans="2:105" ht="15" customHeight="1">
      <c r="B141" s="927"/>
      <c r="C141" s="3222" t="str">
        <f>IF(OR(C98="",LEFT(D93,1)&lt;&gt;"開"),"","フレーム・パイプ材料")</f>
        <v>フレーム・パイプ材料</v>
      </c>
      <c r="D141" s="3223"/>
      <c r="E141" s="3223"/>
      <c r="F141" s="3223"/>
      <c r="G141" s="3223"/>
      <c r="H141" s="3223"/>
      <c r="I141" s="3223"/>
      <c r="J141" s="3223"/>
      <c r="K141" s="3223"/>
      <c r="L141" s="3224"/>
      <c r="M141" s="3219">
        <f>IF(C141="","",1)</f>
        <v>1</v>
      </c>
      <c r="N141" s="3220"/>
      <c r="O141" s="3221"/>
      <c r="P141" s="3227" t="str">
        <f>IF(M141="","","式")</f>
        <v>式</v>
      </c>
      <c r="Q141" s="3228"/>
      <c r="R141" s="3229"/>
      <c r="S141" s="3230">
        <f>IF(AB141&lt;&gt;"",AB141,IF(C141="","",1000*INT(400*(66+16*(CE39+1))/1000)+1000*INT((300*CC13)/1000)))</f>
        <v>979000</v>
      </c>
      <c r="T141" s="3162"/>
      <c r="U141" s="3162"/>
      <c r="V141" s="3162"/>
      <c r="W141" s="3162"/>
      <c r="X141" s="3162"/>
      <c r="Y141" s="3162"/>
      <c r="Z141" s="3163"/>
      <c r="AA141" s="934" t="s">
        <v>2359</v>
      </c>
      <c r="AB141" s="3231"/>
      <c r="AC141" s="3231"/>
      <c r="AD141" s="3231"/>
      <c r="AE141" s="3231"/>
      <c r="AF141" s="3231"/>
      <c r="AG141" s="3231"/>
      <c r="AH141" s="3231"/>
      <c r="AI141" s="3161">
        <f>IF(C141="","",M141*S141)</f>
        <v>979000</v>
      </c>
      <c r="AJ141" s="3162"/>
      <c r="AK141" s="3162"/>
      <c r="AL141" s="3162"/>
      <c r="AM141" s="3162"/>
      <c r="AN141" s="3162"/>
      <c r="AO141" s="3162"/>
      <c r="AP141" s="3163"/>
      <c r="AQ141" s="3216"/>
      <c r="AR141" s="3216"/>
      <c r="AS141" s="3216"/>
      <c r="AT141" s="3216"/>
      <c r="AU141" s="3216"/>
      <c r="AV141" s="3160">
        <f>IF(C141="","",2*0.15*(66+16*(CE39+1)))</f>
        <v>53.4</v>
      </c>
      <c r="AW141" s="3160"/>
      <c r="AX141" s="3160"/>
      <c r="AY141" s="3160"/>
      <c r="AZ141" s="3160"/>
      <c r="BA141" s="3160"/>
      <c r="BB141" s="926"/>
      <c r="BC141" s="926"/>
      <c r="BD141" s="925"/>
      <c r="BE141" s="925"/>
      <c r="BF141" s="925"/>
      <c r="BG141" s="925"/>
      <c r="BH141" s="925"/>
      <c r="BI141" s="925"/>
      <c r="BJ141" s="925"/>
      <c r="BK141" s="925"/>
      <c r="BL141" s="925"/>
      <c r="BM141" s="925"/>
      <c r="BN141" s="925"/>
      <c r="BO141" s="925"/>
      <c r="BP141" s="925"/>
      <c r="BQ141" s="925"/>
      <c r="BR141" s="925"/>
      <c r="BS141" s="925"/>
      <c r="BT141" s="925"/>
      <c r="BU141" s="924"/>
      <c r="CC141" s="3247">
        <v>0</v>
      </c>
      <c r="CD141" s="3248"/>
      <c r="CE141" s="937">
        <f>IF(S141="",0,S141)</f>
        <v>979000</v>
      </c>
      <c r="CF141" s="936"/>
      <c r="CG141" s="936"/>
    </row>
    <row r="142" spans="2:105" ht="2.25" customHeight="1">
      <c r="B142" s="927"/>
      <c r="C142" s="926"/>
      <c r="D142" s="926"/>
      <c r="E142" s="926"/>
      <c r="F142" s="926"/>
      <c r="G142" s="926"/>
      <c r="H142" s="926"/>
      <c r="I142" s="926"/>
      <c r="J142" s="926"/>
      <c r="K142" s="926"/>
      <c r="L142" s="926"/>
      <c r="M142" s="926"/>
      <c r="N142" s="926"/>
      <c r="O142" s="926"/>
      <c r="P142" s="926"/>
      <c r="Q142" s="926"/>
      <c r="R142" s="926"/>
      <c r="S142" s="926"/>
      <c r="T142" s="926"/>
      <c r="U142" s="926"/>
      <c r="V142" s="926"/>
      <c r="W142" s="926"/>
      <c r="X142" s="926"/>
      <c r="Y142" s="926"/>
      <c r="Z142" s="926"/>
      <c r="AA142" s="926"/>
      <c r="AB142" s="926"/>
      <c r="AC142" s="926"/>
      <c r="AD142" s="926"/>
      <c r="AE142" s="926"/>
      <c r="AF142" s="926"/>
      <c r="AG142" s="926"/>
      <c r="AH142" s="926"/>
      <c r="AI142" s="926"/>
      <c r="AJ142" s="926"/>
      <c r="AK142" s="926"/>
      <c r="AL142" s="926"/>
      <c r="AM142" s="926"/>
      <c r="AN142" s="926"/>
      <c r="AO142" s="926"/>
      <c r="AP142" s="926"/>
      <c r="AQ142" s="926"/>
      <c r="AR142" s="926"/>
      <c r="AS142" s="926"/>
      <c r="AT142" s="926"/>
      <c r="AU142" s="926"/>
      <c r="AV142" s="926"/>
      <c r="AW142" s="926"/>
      <c r="AX142" s="926"/>
      <c r="AY142" s="926"/>
      <c r="AZ142" s="926"/>
      <c r="BA142" s="926"/>
      <c r="BB142" s="926"/>
      <c r="BC142" s="926"/>
      <c r="BD142" s="925"/>
      <c r="BE142" s="925"/>
      <c r="BF142" s="925"/>
      <c r="BG142" s="925"/>
      <c r="BH142" s="925"/>
      <c r="BI142" s="925"/>
      <c r="BJ142" s="925"/>
      <c r="BK142" s="925"/>
      <c r="BL142" s="925"/>
      <c r="BM142" s="925"/>
      <c r="BN142" s="925"/>
      <c r="BO142" s="925"/>
      <c r="BP142" s="925"/>
      <c r="BQ142" s="925"/>
      <c r="BR142" s="925"/>
      <c r="BS142" s="925"/>
      <c r="BT142" s="925"/>
      <c r="BU142" s="924"/>
      <c r="CC142" s="936"/>
      <c r="CD142" s="916"/>
      <c r="CE142" s="941"/>
      <c r="CF142" s="936"/>
      <c r="CG142" s="936"/>
    </row>
    <row r="143" spans="2:105" ht="15" customHeight="1">
      <c r="B143" s="927"/>
      <c r="C143" s="3222" t="str">
        <f>IF(C98="","","試験調整費")</f>
        <v>試験調整費</v>
      </c>
      <c r="D143" s="3223"/>
      <c r="E143" s="3223"/>
      <c r="F143" s="3223"/>
      <c r="G143" s="3223"/>
      <c r="H143" s="3223"/>
      <c r="I143" s="3223"/>
      <c r="J143" s="3223"/>
      <c r="K143" s="3223"/>
      <c r="L143" s="3224"/>
      <c r="M143" s="3219">
        <f>IF(C102="","",1)</f>
        <v>1</v>
      </c>
      <c r="N143" s="3220"/>
      <c r="O143" s="3221"/>
      <c r="P143" s="3227" t="str">
        <f>IF(M143="","","式")</f>
        <v>式</v>
      </c>
      <c r="Q143" s="3228"/>
      <c r="R143" s="3229"/>
      <c r="S143" s="3161">
        <f>IF(AB143&lt;&gt;"",AB143,IF(C143="","",1000*INT(10^4.2*(SQRT(CE53*700/1000))/1000)))</f>
        <v>561000</v>
      </c>
      <c r="T143" s="3162"/>
      <c r="U143" s="3162"/>
      <c r="V143" s="3162"/>
      <c r="W143" s="3162"/>
      <c r="X143" s="3162"/>
      <c r="Y143" s="3162"/>
      <c r="Z143" s="3163"/>
      <c r="AA143" s="934" t="s">
        <v>2359</v>
      </c>
      <c r="AB143" s="3231"/>
      <c r="AC143" s="3231"/>
      <c r="AD143" s="3231"/>
      <c r="AE143" s="3231"/>
      <c r="AF143" s="3231"/>
      <c r="AG143" s="3231"/>
      <c r="AH143" s="3231"/>
      <c r="AI143" s="3161">
        <f>IF(C143="","",M143*S143)</f>
        <v>561000</v>
      </c>
      <c r="AJ143" s="3162"/>
      <c r="AK143" s="3162"/>
      <c r="AL143" s="3162"/>
      <c r="AM143" s="3162"/>
      <c r="AN143" s="3162"/>
      <c r="AO143" s="3162"/>
      <c r="AP143" s="3163"/>
      <c r="AQ143" s="3216"/>
      <c r="AR143" s="3216"/>
      <c r="AS143" s="3216"/>
      <c r="AT143" s="3216"/>
      <c r="AU143" s="3216"/>
      <c r="AV143" s="3160"/>
      <c r="AW143" s="3160"/>
      <c r="AX143" s="3160"/>
      <c r="AY143" s="3160"/>
      <c r="AZ143" s="3160"/>
      <c r="BA143" s="3160"/>
      <c r="BB143" s="926"/>
      <c r="BC143" s="926"/>
      <c r="BD143" s="925"/>
      <c r="BE143" s="925"/>
      <c r="BF143" s="925"/>
      <c r="BG143" s="925"/>
      <c r="BH143" s="925"/>
      <c r="BI143" s="925"/>
      <c r="BJ143" s="925"/>
      <c r="BK143" s="925"/>
      <c r="BL143" s="925"/>
      <c r="BM143" s="925"/>
      <c r="BN143" s="925"/>
      <c r="BO143" s="925"/>
      <c r="BP143" s="925"/>
      <c r="BQ143" s="925"/>
      <c r="BR143" s="925"/>
      <c r="BS143" s="925"/>
      <c r="BT143" s="925"/>
      <c r="BU143" s="924"/>
      <c r="CC143" s="936"/>
      <c r="CD143" s="916"/>
      <c r="CE143" s="937">
        <f>IF(S143="",0,S143)</f>
        <v>561000</v>
      </c>
      <c r="CF143" s="936"/>
      <c r="CG143" s="936"/>
    </row>
    <row r="144" spans="2:105" ht="2.25" customHeight="1">
      <c r="B144" s="927"/>
      <c r="C144" s="926"/>
      <c r="D144" s="926"/>
      <c r="E144" s="926"/>
      <c r="F144" s="926"/>
      <c r="G144" s="926"/>
      <c r="H144" s="926"/>
      <c r="I144" s="926"/>
      <c r="J144" s="926"/>
      <c r="K144" s="926"/>
      <c r="L144" s="926"/>
      <c r="M144" s="926"/>
      <c r="N144" s="926"/>
      <c r="O144" s="926"/>
      <c r="P144" s="926"/>
      <c r="Q144" s="926"/>
      <c r="R144" s="926"/>
      <c r="S144" s="926"/>
      <c r="T144" s="926"/>
      <c r="U144" s="926"/>
      <c r="V144" s="926"/>
      <c r="W144" s="926"/>
      <c r="X144" s="926"/>
      <c r="Y144" s="940"/>
      <c r="Z144" s="940"/>
      <c r="AA144" s="940"/>
      <c r="AB144" s="940"/>
      <c r="AC144" s="940"/>
      <c r="AD144" s="940"/>
      <c r="AE144" s="940"/>
      <c r="AF144" s="940"/>
      <c r="AG144" s="940"/>
      <c r="AH144" s="940"/>
      <c r="AI144" s="940"/>
      <c r="AJ144" s="940"/>
      <c r="AK144" s="940"/>
      <c r="AL144" s="940"/>
      <c r="AM144" s="940"/>
      <c r="AN144" s="940"/>
      <c r="AO144" s="940"/>
      <c r="AP144" s="926"/>
      <c r="AQ144" s="926"/>
      <c r="AR144" s="926"/>
      <c r="AS144" s="926"/>
      <c r="AT144" s="926"/>
      <c r="AU144" s="926"/>
      <c r="AV144" s="926"/>
      <c r="AW144" s="926"/>
      <c r="AX144" s="926"/>
      <c r="AY144" s="926"/>
      <c r="AZ144" s="926"/>
      <c r="BA144" s="926"/>
      <c r="BB144" s="926"/>
      <c r="BC144" s="926"/>
      <c r="BD144" s="925"/>
      <c r="BE144" s="925"/>
      <c r="BF144" s="925"/>
      <c r="BG144" s="925"/>
      <c r="BH144" s="925"/>
      <c r="BI144" s="925"/>
      <c r="BJ144" s="925"/>
      <c r="BK144" s="925"/>
      <c r="BL144" s="925"/>
      <c r="BM144" s="925"/>
      <c r="BN144" s="925"/>
      <c r="BO144" s="925"/>
      <c r="BP144" s="925"/>
      <c r="BQ144" s="925"/>
      <c r="BR144" s="925"/>
      <c r="BS144" s="925"/>
      <c r="BT144" s="925"/>
      <c r="BU144" s="924"/>
      <c r="CC144" s="936"/>
      <c r="CD144" s="916"/>
      <c r="CE144" s="941"/>
      <c r="CF144" s="936"/>
      <c r="CG144" s="936"/>
    </row>
    <row r="145" spans="2:85" ht="15" customHeight="1">
      <c r="B145" s="927"/>
      <c r="C145" s="3217" t="str">
        <f>IF(B2=0,"",IF(AND(B2=1,D93="開放型受変電設備"),"換気 ",""))</f>
        <v xml:space="preserve">換気 </v>
      </c>
      <c r="D145" s="3218"/>
      <c r="E145" s="3218"/>
      <c r="F145" s="2774" t="str">
        <f>IF(C145="","",IF('S3'!O51&lt;&gt;0,'S3'!Q51&amp;"×"&amp;'S3'!O51,IF('S3'!O52&lt;&gt;0,'S3'!Q52&amp;"×"&amp;'S3'!O52,'S3'!Q53&amp;"×"&amp;'S3'!O53)))</f>
        <v>2.2 KW×2</v>
      </c>
      <c r="G145" s="2774"/>
      <c r="H145" s="2774"/>
      <c r="I145" s="2774"/>
      <c r="J145" s="2774"/>
      <c r="K145" s="2774"/>
      <c r="L145" s="2775"/>
      <c r="M145" s="3219">
        <f>IF(C145="","",1)</f>
        <v>1</v>
      </c>
      <c r="N145" s="3220"/>
      <c r="O145" s="3221"/>
      <c r="P145" s="3227" t="str">
        <f>IF(M145="","","式")</f>
        <v>式</v>
      </c>
      <c r="Q145" s="3228"/>
      <c r="R145" s="3229"/>
      <c r="S145" s="3161">
        <f>IF(AB145&lt;&gt;"",AB145,IF(C145="","",IF(LEFT(F145,3)="0.2",110000*RIGHT(F145,1),IF(LEFT(F145,3)="0.7",120000*RIGHT(F145,1),IF(LEFT(F145,3)="2.2",130000*RIGHT(F145,1),"")))))</f>
        <v>260000</v>
      </c>
      <c r="T145" s="3162"/>
      <c r="U145" s="3162"/>
      <c r="V145" s="3162"/>
      <c r="W145" s="3162"/>
      <c r="X145" s="3162"/>
      <c r="Y145" s="3162"/>
      <c r="Z145" s="3163"/>
      <c r="AA145" s="934" t="s">
        <v>2359</v>
      </c>
      <c r="AB145" s="3231"/>
      <c r="AC145" s="3231"/>
      <c r="AD145" s="3231"/>
      <c r="AE145" s="3231"/>
      <c r="AF145" s="3231"/>
      <c r="AG145" s="3231"/>
      <c r="AH145" s="3231"/>
      <c r="AI145" s="3161">
        <f>IF(C145="","",M145*S145)</f>
        <v>260000</v>
      </c>
      <c r="AJ145" s="3162"/>
      <c r="AK145" s="3162"/>
      <c r="AL145" s="3162"/>
      <c r="AM145" s="3162"/>
      <c r="AN145" s="3162"/>
      <c r="AO145" s="3162"/>
      <c r="AP145" s="3163"/>
      <c r="AQ145" s="3216"/>
      <c r="AR145" s="3216"/>
      <c r="AS145" s="3216"/>
      <c r="AT145" s="3216"/>
      <c r="AU145" s="3216"/>
      <c r="AV145" s="3160"/>
      <c r="AW145" s="3160"/>
      <c r="AX145" s="3160"/>
      <c r="AY145" s="3160"/>
      <c r="AZ145" s="3160"/>
      <c r="BA145" s="3160"/>
      <c r="BB145" s="926"/>
      <c r="BC145" s="926"/>
      <c r="BD145" s="925"/>
      <c r="BE145" s="925"/>
      <c r="BF145" s="925"/>
      <c r="BG145" s="925"/>
      <c r="BH145" s="925"/>
      <c r="BI145" s="925"/>
      <c r="BJ145" s="925"/>
      <c r="BK145" s="925"/>
      <c r="BL145" s="925"/>
      <c r="BM145" s="925"/>
      <c r="BN145" s="925"/>
      <c r="BO145" s="925"/>
      <c r="BP145" s="925"/>
      <c r="BQ145" s="925"/>
      <c r="BR145" s="925"/>
      <c r="BS145" s="925"/>
      <c r="BT145" s="925"/>
      <c r="BU145" s="924"/>
      <c r="BW145" s="929"/>
      <c r="BX145" s="929"/>
      <c r="BY145" s="929"/>
      <c r="CC145" s="936"/>
      <c r="CD145" s="916"/>
      <c r="CE145" s="937">
        <f>IF(S145="",0,AI145)</f>
        <v>260000</v>
      </c>
      <c r="CF145" s="936"/>
      <c r="CG145" s="936"/>
    </row>
    <row r="146" spans="2:85" ht="2.25" customHeight="1" thickBot="1">
      <c r="B146" s="927"/>
      <c r="C146" s="926"/>
      <c r="D146" s="926"/>
      <c r="E146" s="926"/>
      <c r="F146" s="926"/>
      <c r="G146" s="926"/>
      <c r="H146" s="926"/>
      <c r="I146" s="926"/>
      <c r="J146" s="926"/>
      <c r="K146" s="926"/>
      <c r="L146" s="926"/>
      <c r="M146" s="926"/>
      <c r="N146" s="926"/>
      <c r="O146" s="926"/>
      <c r="P146" s="926"/>
      <c r="Q146" s="926"/>
      <c r="R146" s="926"/>
      <c r="S146" s="926"/>
      <c r="T146" s="926"/>
      <c r="U146" s="926"/>
      <c r="V146" s="926"/>
      <c r="W146" s="926"/>
      <c r="X146" s="926"/>
      <c r="Y146" s="940"/>
      <c r="Z146" s="940"/>
      <c r="AA146" s="940"/>
      <c r="AB146" s="940"/>
      <c r="AC146" s="940"/>
      <c r="AD146" s="940"/>
      <c r="AE146" s="940"/>
      <c r="AF146" s="940"/>
      <c r="AG146" s="940"/>
      <c r="AH146" s="940"/>
      <c r="AI146" s="940"/>
      <c r="AJ146" s="940"/>
      <c r="AK146" s="940"/>
      <c r="AL146" s="940"/>
      <c r="AM146" s="940"/>
      <c r="AN146" s="940"/>
      <c r="AO146" s="940"/>
      <c r="AP146" s="926"/>
      <c r="AQ146" s="926"/>
      <c r="AR146" s="926"/>
      <c r="AS146" s="926"/>
      <c r="AT146" s="926"/>
      <c r="AU146" s="926"/>
      <c r="AV146" s="926"/>
      <c r="AW146" s="926"/>
      <c r="AX146" s="926"/>
      <c r="AY146" s="926"/>
      <c r="AZ146" s="926"/>
      <c r="BA146" s="926"/>
      <c r="BB146" s="926"/>
      <c r="BC146" s="926"/>
      <c r="BD146" s="925"/>
      <c r="BE146" s="925"/>
      <c r="BF146" s="925"/>
      <c r="BG146" s="925"/>
      <c r="BH146" s="925"/>
      <c r="BI146" s="925"/>
      <c r="BJ146" s="925"/>
      <c r="BK146" s="925"/>
      <c r="BL146" s="925"/>
      <c r="BM146" s="925"/>
      <c r="BN146" s="925"/>
      <c r="BO146" s="925"/>
      <c r="BP146" s="925"/>
      <c r="BQ146" s="925"/>
      <c r="BR146" s="925"/>
      <c r="BS146" s="925"/>
      <c r="BT146" s="925"/>
      <c r="BU146" s="924"/>
      <c r="CC146" s="936"/>
      <c r="CD146" s="916"/>
      <c r="CE146" s="941"/>
      <c r="CF146" s="936"/>
      <c r="CG146" s="936"/>
    </row>
    <row r="147" spans="2:85" ht="15" customHeight="1" thickBot="1">
      <c r="B147" s="927"/>
      <c r="C147" s="2149" t="s">
        <v>2370</v>
      </c>
      <c r="D147" s="2150"/>
      <c r="E147" s="2150"/>
      <c r="F147" s="2150"/>
      <c r="G147" s="2150"/>
      <c r="H147" s="2151"/>
      <c r="I147" s="926"/>
      <c r="J147" s="926"/>
      <c r="K147" s="926"/>
      <c r="L147" s="926"/>
      <c r="M147" s="926"/>
      <c r="N147" s="926"/>
      <c r="O147" s="926"/>
      <c r="P147" s="926"/>
      <c r="Q147" s="926"/>
      <c r="R147" s="926"/>
      <c r="S147" s="926"/>
      <c r="T147" s="926"/>
      <c r="U147" s="926"/>
      <c r="V147" s="926"/>
      <c r="W147" s="926"/>
      <c r="X147" s="926"/>
      <c r="Y147" s="940"/>
      <c r="Z147" s="940"/>
      <c r="AA147" s="940"/>
      <c r="AB147" s="940"/>
      <c r="AC147" s="940"/>
      <c r="AD147" s="940"/>
      <c r="AE147" s="940"/>
      <c r="AF147" s="940"/>
      <c r="AG147" s="940"/>
      <c r="AH147" s="1112" t="str">
        <f>IF(B2=0,"","盤合計")</f>
        <v>盤合計</v>
      </c>
      <c r="AI147" s="3161">
        <f>IF(C98="","",SUM(CE98:CE130))</f>
        <v>7469250</v>
      </c>
      <c r="AJ147" s="3162"/>
      <c r="AK147" s="3162"/>
      <c r="AL147" s="3162"/>
      <c r="AM147" s="3162"/>
      <c r="AN147" s="3162"/>
      <c r="AO147" s="3162"/>
      <c r="AP147" s="3163"/>
      <c r="AQ147" s="926"/>
      <c r="AR147" s="926"/>
      <c r="AS147" s="926"/>
      <c r="AT147" s="926"/>
      <c r="AU147" s="1112" t="str">
        <f>IF(B2=0,"","電工数計")</f>
        <v>電工数計</v>
      </c>
      <c r="AV147" s="3160">
        <f>IF(C98="","",SUM(AV98:BA134))</f>
        <v>115.42700000000001</v>
      </c>
      <c r="AW147" s="3160"/>
      <c r="AX147" s="3160"/>
      <c r="AY147" s="3160"/>
      <c r="AZ147" s="3160"/>
      <c r="BA147" s="3160"/>
      <c r="BB147" s="926"/>
      <c r="BC147" s="933"/>
      <c r="BD147" s="933"/>
      <c r="BE147" s="933"/>
      <c r="BF147" s="933"/>
      <c r="BG147" s="933"/>
      <c r="BH147" s="933"/>
      <c r="BI147" s="933"/>
      <c r="BJ147" s="933"/>
      <c r="BK147" s="933"/>
      <c r="BL147" s="933"/>
      <c r="BM147" s="933"/>
      <c r="BN147" s="933"/>
      <c r="BO147" s="933"/>
      <c r="BP147" s="933"/>
      <c r="BQ147" s="933"/>
      <c r="BR147" s="925"/>
      <c r="BS147" s="925"/>
      <c r="BT147" s="925"/>
      <c r="BU147" s="924"/>
      <c r="CC147" s="936"/>
      <c r="CD147" s="916"/>
      <c r="CE147" s="941"/>
      <c r="CF147" s="936"/>
      <c r="CG147" s="936"/>
    </row>
    <row r="148" spans="2:85" ht="2.25" customHeight="1">
      <c r="B148" s="927"/>
      <c r="C148" s="926"/>
      <c r="D148" s="926"/>
      <c r="E148" s="926"/>
      <c r="F148" s="926"/>
      <c r="G148" s="926"/>
      <c r="H148" s="926"/>
      <c r="I148" s="926"/>
      <c r="J148" s="926"/>
      <c r="K148" s="926"/>
      <c r="L148" s="926"/>
      <c r="M148" s="926"/>
      <c r="N148" s="926"/>
      <c r="O148" s="926"/>
      <c r="P148" s="926"/>
      <c r="Q148" s="926"/>
      <c r="R148" s="926"/>
      <c r="S148" s="926"/>
      <c r="T148" s="926"/>
      <c r="U148" s="926"/>
      <c r="V148" s="926"/>
      <c r="W148" s="926"/>
      <c r="X148" s="926"/>
      <c r="Y148" s="940"/>
      <c r="Z148" s="940"/>
      <c r="AA148" s="940"/>
      <c r="AB148" s="940"/>
      <c r="AC148" s="940"/>
      <c r="AD148" s="940"/>
      <c r="AE148" s="940"/>
      <c r="AF148" s="940"/>
      <c r="AG148" s="940"/>
      <c r="AH148" s="1698"/>
      <c r="AI148" s="940"/>
      <c r="AJ148" s="940"/>
      <c r="AK148" s="940"/>
      <c r="AL148" s="940"/>
      <c r="AM148" s="940"/>
      <c r="AN148" s="940"/>
      <c r="AO148" s="940"/>
      <c r="AP148" s="926"/>
      <c r="AQ148" s="926"/>
      <c r="AR148" s="926"/>
      <c r="AS148" s="926"/>
      <c r="AT148" s="926"/>
      <c r="AU148" s="926"/>
      <c r="AV148" s="926"/>
      <c r="AW148" s="926"/>
      <c r="AX148" s="926"/>
      <c r="AY148" s="926"/>
      <c r="AZ148" s="926"/>
      <c r="BA148" s="926"/>
      <c r="BB148" s="926"/>
      <c r="BC148" s="926"/>
      <c r="BD148" s="925"/>
      <c r="BE148" s="925"/>
      <c r="BF148" s="925"/>
      <c r="BG148" s="925"/>
      <c r="BH148" s="925"/>
      <c r="BI148" s="925"/>
      <c r="BJ148" s="925"/>
      <c r="BK148" s="925"/>
      <c r="BL148" s="925"/>
      <c r="BM148" s="925"/>
      <c r="BN148" s="925"/>
      <c r="BO148" s="925"/>
      <c r="BP148" s="925"/>
      <c r="BQ148" s="925"/>
      <c r="BR148" s="925"/>
      <c r="BS148" s="925"/>
      <c r="BT148" s="925"/>
      <c r="BU148" s="924"/>
      <c r="CC148" s="936"/>
      <c r="CD148" s="916"/>
      <c r="CE148" s="941"/>
      <c r="CF148" s="936"/>
      <c r="CG148" s="936"/>
    </row>
    <row r="149" spans="2:85" ht="15" customHeight="1">
      <c r="B149" s="927"/>
      <c r="C149" s="926"/>
      <c r="D149" s="926"/>
      <c r="E149" s="926"/>
      <c r="F149" s="926"/>
      <c r="G149" s="926"/>
      <c r="H149" s="926"/>
      <c r="I149" s="926"/>
      <c r="J149" s="926"/>
      <c r="K149" s="926"/>
      <c r="L149" s="926"/>
      <c r="M149" s="926"/>
      <c r="N149" s="926"/>
      <c r="O149" s="926"/>
      <c r="P149" s="926"/>
      <c r="Q149" s="926"/>
      <c r="R149" s="926"/>
      <c r="S149" s="926"/>
      <c r="T149" s="926"/>
      <c r="U149" s="926"/>
      <c r="V149" s="926"/>
      <c r="W149" s="926"/>
      <c r="X149" s="926"/>
      <c r="Y149" s="940"/>
      <c r="Z149" s="940"/>
      <c r="AA149" s="940"/>
      <c r="AB149" s="940"/>
      <c r="AC149" s="940"/>
      <c r="AD149" s="940"/>
      <c r="AE149" s="940"/>
      <c r="AF149" s="940"/>
      <c r="AG149" s="940"/>
      <c r="AH149" s="1112" t="str">
        <f>IF(B2=0,"","機器類合計")</f>
        <v>機器類合計</v>
      </c>
      <c r="AI149" s="3161">
        <f>IF(C98="","",SUM(AI98:AI134)-AI147+CE149)</f>
        <v>20168900</v>
      </c>
      <c r="AJ149" s="3162"/>
      <c r="AK149" s="3162"/>
      <c r="AL149" s="3162"/>
      <c r="AM149" s="3162"/>
      <c r="AN149" s="3162"/>
      <c r="AO149" s="3162"/>
      <c r="AP149" s="3163"/>
      <c r="AQ149" s="926"/>
      <c r="AR149" s="926"/>
      <c r="AS149" s="926"/>
      <c r="AT149" s="926"/>
      <c r="AU149" s="926"/>
      <c r="AV149" s="926"/>
      <c r="AW149" s="926"/>
      <c r="AX149" s="926"/>
      <c r="AY149" s="926"/>
      <c r="AZ149" s="926"/>
      <c r="BA149" s="926"/>
      <c r="BB149" s="926"/>
      <c r="BC149" s="926"/>
      <c r="BD149" s="938"/>
      <c r="BE149" s="938"/>
      <c r="BF149" s="938"/>
      <c r="BG149" s="938"/>
      <c r="BH149" s="938"/>
      <c r="BI149" s="938"/>
      <c r="BJ149" s="938"/>
      <c r="BK149" s="938"/>
      <c r="BL149" s="925"/>
      <c r="BM149" s="925"/>
      <c r="BN149" s="925"/>
      <c r="BO149" s="925"/>
      <c r="BP149" s="925"/>
      <c r="BQ149" s="925"/>
      <c r="BR149" s="925"/>
      <c r="BS149" s="925"/>
      <c r="BT149" s="925"/>
      <c r="BU149" s="924"/>
      <c r="CC149" s="936"/>
      <c r="CD149" s="916"/>
      <c r="CE149" s="937">
        <f>IF(M155="",0,M155)</f>
        <v>2000000</v>
      </c>
      <c r="CF149" s="936"/>
      <c r="CG149" s="936"/>
    </row>
    <row r="150" spans="2:85" ht="15" customHeight="1" thickBot="1">
      <c r="B150" s="927"/>
      <c r="C150" s="925"/>
      <c r="D150" s="925"/>
      <c r="E150" s="925"/>
      <c r="F150" s="925"/>
      <c r="G150" s="925"/>
      <c r="H150" s="925"/>
      <c r="I150" s="925"/>
      <c r="J150" s="925"/>
      <c r="K150" s="925"/>
      <c r="L150" s="925"/>
      <c r="M150" s="925"/>
      <c r="N150" s="925"/>
      <c r="O150" s="925"/>
      <c r="P150" s="925"/>
      <c r="Q150" s="925"/>
      <c r="R150" s="925"/>
      <c r="S150" s="925"/>
      <c r="T150" s="925"/>
      <c r="U150" s="925"/>
      <c r="V150" s="925"/>
      <c r="W150" s="935"/>
      <c r="X150" s="935"/>
      <c r="Y150" s="935"/>
      <c r="Z150" s="935"/>
      <c r="AA150" s="935"/>
      <c r="AB150" s="935"/>
      <c r="AC150" s="935"/>
      <c r="AD150" s="935"/>
      <c r="AE150" s="935"/>
      <c r="AF150" s="935"/>
      <c r="AG150" s="935"/>
      <c r="AH150" s="935"/>
      <c r="AI150" s="935"/>
      <c r="AJ150" s="935"/>
      <c r="AK150" s="935"/>
      <c r="AL150" s="935"/>
      <c r="AM150" s="935"/>
      <c r="AN150" s="935"/>
      <c r="AO150" s="935"/>
      <c r="AP150" s="925"/>
      <c r="AQ150" s="925"/>
      <c r="AR150" s="925"/>
      <c r="AS150" s="925"/>
      <c r="AT150" s="925"/>
      <c r="AU150" s="925"/>
      <c r="AV150" s="925"/>
      <c r="AW150" s="925"/>
      <c r="AX150" s="925"/>
      <c r="AY150" s="926"/>
      <c r="AZ150" s="926"/>
      <c r="BA150" s="926"/>
      <c r="BB150" s="926"/>
      <c r="BC150" s="926"/>
      <c r="BD150" s="925"/>
      <c r="BE150" s="925"/>
      <c r="BF150" s="925"/>
      <c r="BG150" s="925"/>
      <c r="BH150" s="925"/>
      <c r="BI150" s="925"/>
      <c r="BJ150" s="925"/>
      <c r="BK150" s="925"/>
      <c r="BL150" s="925"/>
      <c r="BM150" s="925"/>
      <c r="BN150" s="925"/>
      <c r="BO150" s="925"/>
      <c r="BP150" s="925"/>
      <c r="BQ150" s="925"/>
      <c r="BR150" s="925"/>
      <c r="BS150" s="925"/>
      <c r="BT150" s="925"/>
      <c r="BU150" s="924"/>
      <c r="BW150" s="915" t="s">
        <v>2369</v>
      </c>
      <c r="BX150" s="913">
        <v>10</v>
      </c>
      <c r="BY150" s="914" t="s">
        <v>2368</v>
      </c>
      <c r="BZ150" s="913">
        <v>12</v>
      </c>
      <c r="CD150" s="916"/>
    </row>
    <row r="151" spans="2:85" ht="15" customHeight="1" thickBot="1">
      <c r="B151" s="927"/>
      <c r="C151" s="2873">
        <f>B3</f>
        <v>2</v>
      </c>
      <c r="D151" s="2873"/>
      <c r="E151" s="2873"/>
      <c r="F151" s="2971" t="str">
        <f>E3</f>
        <v xml:space="preserve"> 受変電設備工事</v>
      </c>
      <c r="G151" s="2972"/>
      <c r="H151" s="2972"/>
      <c r="I151" s="2972"/>
      <c r="J151" s="2972"/>
      <c r="K151" s="2972"/>
      <c r="L151" s="2972"/>
      <c r="M151" s="2972"/>
      <c r="N151" s="2972"/>
      <c r="O151" s="2972"/>
      <c r="P151" s="2972"/>
      <c r="Q151" s="2972"/>
      <c r="R151" s="2972"/>
      <c r="S151" s="2972"/>
      <c r="T151" s="2972"/>
      <c r="U151" s="3164"/>
      <c r="V151" s="2971" t="str">
        <f>"  "&amp;D93</f>
        <v xml:space="preserve">  開放型受変電設備</v>
      </c>
      <c r="W151" s="2972"/>
      <c r="X151" s="2972"/>
      <c r="Y151" s="2972"/>
      <c r="Z151" s="2972"/>
      <c r="AA151" s="2972"/>
      <c r="AB151" s="2972"/>
      <c r="AC151" s="2972"/>
      <c r="AD151" s="2972"/>
      <c r="AE151" s="2972"/>
      <c r="AF151" s="2972"/>
      <c r="AG151" s="2972"/>
      <c r="AH151" s="2972"/>
      <c r="AI151" s="2972"/>
      <c r="AJ151" s="2972"/>
      <c r="AK151" s="2972"/>
      <c r="AL151" s="2972"/>
      <c r="AM151" s="3164"/>
      <c r="AN151" s="926"/>
      <c r="AO151" s="926"/>
      <c r="AP151" s="926"/>
      <c r="AQ151" s="926"/>
      <c r="AR151" s="926"/>
      <c r="AS151" s="926"/>
      <c r="AT151" s="926"/>
      <c r="AU151" s="926"/>
      <c r="AV151" s="926"/>
      <c r="AW151" s="926"/>
      <c r="AX151" s="926"/>
      <c r="AY151" s="926"/>
      <c r="AZ151" s="926"/>
      <c r="BA151" s="926"/>
      <c r="BB151" s="926"/>
      <c r="BC151" s="926"/>
      <c r="BD151" s="926"/>
      <c r="BE151" s="926"/>
      <c r="BF151" s="926"/>
      <c r="BG151" s="926"/>
      <c r="BH151" s="926"/>
      <c r="BI151" s="926"/>
      <c r="BJ151" s="926"/>
      <c r="BK151" s="925"/>
      <c r="BL151" s="925"/>
      <c r="BM151" s="925"/>
      <c r="BN151" s="925"/>
      <c r="BO151" s="925"/>
      <c r="BP151" s="925"/>
      <c r="BQ151" s="3179" t="s">
        <v>2367</v>
      </c>
      <c r="BR151" s="3180"/>
      <c r="BS151" s="3181"/>
      <c r="BT151" s="925"/>
      <c r="BU151" s="924"/>
      <c r="BW151" s="915" t="s">
        <v>2366</v>
      </c>
      <c r="BX151" s="913">
        <v>15</v>
      </c>
      <c r="BY151" s="914" t="s">
        <v>2365</v>
      </c>
      <c r="BZ151" s="913">
        <v>18</v>
      </c>
      <c r="CD151" s="916"/>
    </row>
    <row r="152" spans="2:85" ht="15" customHeight="1" thickTop="1" thickBot="1">
      <c r="B152" s="927"/>
      <c r="C152" s="3007" t="str">
        <f>IF(B2=0,"","配管配線材料")</f>
        <v>配管配線材料</v>
      </c>
      <c r="D152" s="3007"/>
      <c r="E152" s="3007"/>
      <c r="F152" s="3007"/>
      <c r="G152" s="3007"/>
      <c r="H152" s="3007"/>
      <c r="I152" s="3007"/>
      <c r="J152" s="3007"/>
      <c r="K152" s="3007"/>
      <c r="L152" s="3007"/>
      <c r="M152" s="2922">
        <f>IF($B$2=0,"",IF(AC6="L",0,IF(AB152&lt;&gt;"",1000*INT((1+AB152/100)*2000*Y53/1000),1000*INT(2000*Y53/1000))))</f>
        <v>3590000</v>
      </c>
      <c r="N152" s="3177"/>
      <c r="O152" s="3177"/>
      <c r="P152" s="3177"/>
      <c r="Q152" s="3177"/>
      <c r="R152" s="3177"/>
      <c r="S152" s="3177"/>
      <c r="T152" s="3177"/>
      <c r="U152" s="3178"/>
      <c r="V152" s="934" t="s">
        <v>2359</v>
      </c>
      <c r="W152" s="3194" t="str">
        <f>IF(B2=0,"","掛率％")</f>
        <v>掛率％</v>
      </c>
      <c r="X152" s="3194"/>
      <c r="Y152" s="3194"/>
      <c r="Z152" s="3194"/>
      <c r="AA152" s="3194"/>
      <c r="AB152" s="3182"/>
      <c r="AC152" s="3182"/>
      <c r="AD152" s="3182"/>
      <c r="AE152" s="3182"/>
      <c r="AF152" s="3183" t="str">
        <f>IF(AB152="","",1000*INT(2000*Y53/1000))</f>
        <v/>
      </c>
      <c r="AG152" s="3174"/>
      <c r="AH152" s="3174"/>
      <c r="AI152" s="3174"/>
      <c r="AJ152" s="3174"/>
      <c r="AK152" s="3174"/>
      <c r="AL152" s="3174"/>
      <c r="AM152" s="3174"/>
      <c r="AN152" s="931" t="str">
        <f>IF(AF152="","","元値")</f>
        <v/>
      </c>
      <c r="AO152" s="926"/>
      <c r="AP152" s="926"/>
      <c r="AQ152" s="926"/>
      <c r="AR152" s="3184" t="str">
        <f>IF(B2=0,"","単価設定")</f>
        <v>単価設定</v>
      </c>
      <c r="AS152" s="3185"/>
      <c r="AT152" s="3185"/>
      <c r="AU152" s="3185"/>
      <c r="AV152" s="3185"/>
      <c r="AW152" s="3186"/>
      <c r="AX152" s="2800" t="str">
        <f>IF(B2=0,"",IF(BE152="",原価!AD42,BE152))</f>
        <v>単価-1</v>
      </c>
      <c r="AY152" s="2800"/>
      <c r="AZ152" s="2800"/>
      <c r="BA152" s="2800"/>
      <c r="BB152" s="2800"/>
      <c r="BC152" s="2800"/>
      <c r="BD152" s="932" t="s">
        <v>2359</v>
      </c>
      <c r="BE152" s="2795"/>
      <c r="BF152" s="2796"/>
      <c r="BG152" s="2796"/>
      <c r="BH152" s="2796"/>
      <c r="BI152" s="2796"/>
      <c r="BJ152" s="2797"/>
      <c r="BK152" s="933"/>
      <c r="BL152" s="3187" t="str">
        <f>IF(B2=0,"",IF(AND(AX152="単価-1",AX153="歩掛-1"),Top!BH15,"User"))</f>
        <v>近畿</v>
      </c>
      <c r="BM152" s="2915"/>
      <c r="BN152" s="2915"/>
      <c r="BO152" s="2915"/>
      <c r="BP152" s="933"/>
      <c r="BQ152" s="925"/>
      <c r="BR152" s="925"/>
      <c r="BS152" s="925"/>
      <c r="BT152" s="925"/>
      <c r="BU152" s="924"/>
      <c r="BW152" s="915" t="s">
        <v>2364</v>
      </c>
      <c r="BX152" s="913">
        <v>20</v>
      </c>
      <c r="BY152" s="914" t="s">
        <v>2363</v>
      </c>
      <c r="BZ152" s="913">
        <v>24</v>
      </c>
      <c r="CD152" s="916"/>
    </row>
    <row r="153" spans="2:85" ht="15" customHeight="1" thickTop="1" thickBot="1">
      <c r="B153" s="927"/>
      <c r="C153" s="3007" t="str">
        <f>IF(B2=0,"","機　　器　　類")</f>
        <v>機　　器　　類</v>
      </c>
      <c r="D153" s="3007"/>
      <c r="E153" s="3007"/>
      <c r="F153" s="3007"/>
      <c r="G153" s="3007"/>
      <c r="H153" s="3007"/>
      <c r="I153" s="3007"/>
      <c r="J153" s="3007"/>
      <c r="K153" s="3007"/>
      <c r="L153" s="3007"/>
      <c r="M153" s="2922">
        <f>IF($B$2=0,"",IF(OR(B2=0,AC6="L"),0,IF(AB153&lt;&gt;"",1000*INT(((1+AB153/100)*(AI147+AI149))*1.1/1000),1000*INT((AI147+AI149)*1.1/1000))))</f>
        <v>30401000</v>
      </c>
      <c r="N153" s="3177"/>
      <c r="O153" s="3177"/>
      <c r="P153" s="3177"/>
      <c r="Q153" s="3177"/>
      <c r="R153" s="3177"/>
      <c r="S153" s="3177"/>
      <c r="T153" s="3177"/>
      <c r="U153" s="3178"/>
      <c r="V153" s="930" t="s">
        <v>2359</v>
      </c>
      <c r="W153" s="3226" t="str">
        <f>IF(B2=0,"","掛率％")</f>
        <v>掛率％</v>
      </c>
      <c r="X153" s="3194"/>
      <c r="Y153" s="3194"/>
      <c r="Z153" s="3194"/>
      <c r="AA153" s="3194"/>
      <c r="AB153" s="3182"/>
      <c r="AC153" s="3182"/>
      <c r="AD153" s="3182"/>
      <c r="AE153" s="3182"/>
      <c r="AF153" s="3183" t="str">
        <f>IF(AB153="","",1000*INT(1.1*(AI147+AI149)/1000))</f>
        <v/>
      </c>
      <c r="AG153" s="3174"/>
      <c r="AH153" s="3174"/>
      <c r="AI153" s="3174"/>
      <c r="AJ153" s="3174"/>
      <c r="AK153" s="3174"/>
      <c r="AL153" s="3174"/>
      <c r="AM153" s="3174"/>
      <c r="AN153" s="931" t="str">
        <f>IF(AF153="","","元値")</f>
        <v/>
      </c>
      <c r="AO153" s="926"/>
      <c r="AP153" s="926"/>
      <c r="AQ153" s="926"/>
      <c r="AR153" s="3184" t="str">
        <f>IF(B2=0,"","歩掛設定")</f>
        <v>歩掛設定</v>
      </c>
      <c r="AS153" s="3185"/>
      <c r="AT153" s="3185"/>
      <c r="AU153" s="3185"/>
      <c r="AV153" s="3185"/>
      <c r="AW153" s="3186"/>
      <c r="AX153" s="2800" t="str">
        <f>IF(B2=0,"",IF(BE153="",原価!AD43,BE153))</f>
        <v>歩掛-1</v>
      </c>
      <c r="AY153" s="2800"/>
      <c r="AZ153" s="2800"/>
      <c r="BA153" s="2800"/>
      <c r="BB153" s="2800"/>
      <c r="BC153" s="2800"/>
      <c r="BD153" s="932" t="s">
        <v>2359</v>
      </c>
      <c r="BE153" s="2801"/>
      <c r="BF153" s="2801"/>
      <c r="BG153" s="2801"/>
      <c r="BH153" s="2801"/>
      <c r="BI153" s="2801"/>
      <c r="BJ153" s="2801"/>
      <c r="BK153" s="3158" t="str">
        <f>IF(B2=0,"","建設物価")</f>
        <v>建設物価</v>
      </c>
      <c r="BL153" s="3159"/>
      <c r="BM153" s="3159"/>
      <c r="BN153" s="3159"/>
      <c r="BO153" s="3159"/>
      <c r="BP153" s="3159"/>
      <c r="BQ153" s="925"/>
      <c r="BR153" s="925"/>
      <c r="BS153" s="925"/>
      <c r="BT153" s="925"/>
      <c r="BU153" s="924"/>
      <c r="BW153" s="915" t="s">
        <v>2362</v>
      </c>
      <c r="BX153" s="913">
        <v>25</v>
      </c>
      <c r="BY153" s="914" t="s">
        <v>2361</v>
      </c>
      <c r="BZ153" s="913">
        <v>30</v>
      </c>
      <c r="CB153" s="3541" t="s">
        <v>3255</v>
      </c>
      <c r="CC153" s="3541"/>
      <c r="CD153" s="916"/>
    </row>
    <row r="154" spans="2:85" ht="15" customHeight="1" thickTop="1" thickBot="1">
      <c r="B154" s="927"/>
      <c r="C154" s="3176" t="str">
        <f>IF(B2=0,"","付帯工事費等")</f>
        <v>付帯工事費等</v>
      </c>
      <c r="D154" s="3007"/>
      <c r="E154" s="3007"/>
      <c r="F154" s="3007"/>
      <c r="G154" s="3007"/>
      <c r="H154" s="3007"/>
      <c r="I154" s="3007"/>
      <c r="J154" s="3007"/>
      <c r="K154" s="3007"/>
      <c r="L154" s="3007"/>
      <c r="M154" s="2922">
        <f>IF($B$2=0,"",IF(C98="",0,IF(AB154&lt;&gt;"",1000*INT(CB154/1000),1000*INT(CB155/1000))))</f>
        <v>2610000</v>
      </c>
      <c r="N154" s="3177"/>
      <c r="O154" s="3177"/>
      <c r="P154" s="3177"/>
      <c r="Q154" s="3177"/>
      <c r="R154" s="3177"/>
      <c r="S154" s="3177"/>
      <c r="T154" s="3177"/>
      <c r="U154" s="3178"/>
      <c r="V154" s="930" t="s">
        <v>2359</v>
      </c>
      <c r="W154" s="3194" t="str">
        <f>IF(B2=0,"","掛率％")</f>
        <v>掛率％</v>
      </c>
      <c r="X154" s="3194"/>
      <c r="Y154" s="3194"/>
      <c r="Z154" s="3194"/>
      <c r="AA154" s="3194"/>
      <c r="AB154" s="3182"/>
      <c r="AC154" s="3182"/>
      <c r="AD154" s="3182"/>
      <c r="AE154" s="3182"/>
      <c r="AF154" s="3183" t="str">
        <f>IF(AB154="","",CE137+CE139+CE141+CE143)</f>
        <v/>
      </c>
      <c r="AG154" s="3174"/>
      <c r="AH154" s="3174"/>
      <c r="AI154" s="3174"/>
      <c r="AJ154" s="3174"/>
      <c r="AK154" s="3174"/>
      <c r="AL154" s="3174"/>
      <c r="AM154" s="3174"/>
      <c r="AN154" s="931" t="str">
        <f>IF(AF154="","","元値")</f>
        <v/>
      </c>
      <c r="AO154" s="926"/>
      <c r="AP154" s="926"/>
      <c r="AQ154" s="926"/>
      <c r="AR154" s="926"/>
      <c r="AS154" s="926"/>
      <c r="AT154" s="926"/>
      <c r="AU154" s="926"/>
      <c r="AV154" s="926"/>
      <c r="AW154" s="926"/>
      <c r="AX154" s="926"/>
      <c r="AY154" s="926"/>
      <c r="AZ154" s="926"/>
      <c r="BA154" s="926"/>
      <c r="BB154" s="926"/>
      <c r="BC154" s="926"/>
      <c r="BD154" s="926"/>
      <c r="BE154" s="926"/>
      <c r="BF154" s="926"/>
      <c r="BG154" s="926"/>
      <c r="BH154" s="926"/>
      <c r="BI154" s="926"/>
      <c r="BJ154" s="926"/>
      <c r="BK154" s="925"/>
      <c r="BL154" s="925"/>
      <c r="BM154" s="925"/>
      <c r="BN154" s="925"/>
      <c r="BO154" s="925"/>
      <c r="BP154" s="925"/>
      <c r="BQ154" s="925"/>
      <c r="BR154" s="925"/>
      <c r="BS154" s="925"/>
      <c r="BT154" s="925"/>
      <c r="BU154" s="924"/>
      <c r="BW154" s="915" t="s">
        <v>2361</v>
      </c>
      <c r="BX154" s="913">
        <v>30</v>
      </c>
      <c r="BY154" s="914" t="s">
        <v>2360</v>
      </c>
      <c r="BZ154" s="913">
        <v>36</v>
      </c>
      <c r="CA154" s="929"/>
      <c r="CB154" s="3539">
        <f>(1+AB154/100)*(CE137+CE139+CE141+CE143+CE145)</f>
        <v>2610400</v>
      </c>
      <c r="CC154" s="3540"/>
      <c r="CD154" s="916"/>
    </row>
    <row r="155" spans="2:85" ht="15" customHeight="1" thickBot="1">
      <c r="B155" s="927"/>
      <c r="C155" s="3176" t="str">
        <f>IF(B2=0,"","監視・警報 制御盤")</f>
        <v>監視・警報 制御盤</v>
      </c>
      <c r="D155" s="3007"/>
      <c r="E155" s="3007"/>
      <c r="F155" s="3007"/>
      <c r="G155" s="3007"/>
      <c r="H155" s="3007"/>
      <c r="I155" s="3007"/>
      <c r="J155" s="3007"/>
      <c r="K155" s="3007"/>
      <c r="L155" s="3007"/>
      <c r="M155" s="2922">
        <f>IF($B$2=0,"",IF(OR(BB155="不要",BB155=""),0,IF(AND(W155="",BB155="設置"),2*10^6,W155)))</f>
        <v>2000000</v>
      </c>
      <c r="N155" s="3177"/>
      <c r="O155" s="3177"/>
      <c r="P155" s="3177"/>
      <c r="Q155" s="3177"/>
      <c r="R155" s="3177"/>
      <c r="S155" s="3177"/>
      <c r="T155" s="3177"/>
      <c r="U155" s="3178"/>
      <c r="V155" s="930" t="s">
        <v>2359</v>
      </c>
      <c r="W155" s="3190"/>
      <c r="X155" s="3191"/>
      <c r="Y155" s="3191"/>
      <c r="Z155" s="3191"/>
      <c r="AA155" s="3191"/>
      <c r="AB155" s="3191"/>
      <c r="AC155" s="3191"/>
      <c r="AD155" s="3191"/>
      <c r="AE155" s="3192"/>
      <c r="AF155" s="3188" t="str">
        <f>IF(BB155="設置","←←←←←←←←","")</f>
        <v>←←←←←←←←</v>
      </c>
      <c r="AG155" s="3154"/>
      <c r="AH155" s="3154"/>
      <c r="AI155" s="3154"/>
      <c r="AJ155" s="3154"/>
      <c r="AK155" s="3154"/>
      <c r="AL155" s="3154"/>
      <c r="AM155" s="3154"/>
      <c r="AN155" s="3154"/>
      <c r="AO155" s="3154"/>
      <c r="AP155" s="3154"/>
      <c r="AQ155" s="3189"/>
      <c r="AR155" s="3176" t="str">
        <f>IF(B2=0,"","監視・警報 制御盤")</f>
        <v>監視・警報 制御盤</v>
      </c>
      <c r="AS155" s="3007"/>
      <c r="AT155" s="3007"/>
      <c r="AU155" s="3007"/>
      <c r="AV155" s="3007"/>
      <c r="AW155" s="3007"/>
      <c r="AX155" s="3007"/>
      <c r="AY155" s="3007"/>
      <c r="AZ155" s="3007"/>
      <c r="BA155" s="3007"/>
      <c r="BB155" s="2773" t="str">
        <f>IF(B2=0,"",IF(BG155&lt;&gt;"",BG155,IF(CE53&gt;=500,"設置","")))</f>
        <v>設置</v>
      </c>
      <c r="BC155" s="2774"/>
      <c r="BD155" s="2774"/>
      <c r="BE155" s="2775"/>
      <c r="BF155" s="928" t="s">
        <v>2359</v>
      </c>
      <c r="BG155" s="2771"/>
      <c r="BH155" s="2772"/>
      <c r="BI155" s="2772"/>
      <c r="BJ155" s="3096"/>
      <c r="BK155" s="925"/>
      <c r="BL155" s="925"/>
      <c r="BM155" s="925"/>
      <c r="BN155" s="925"/>
      <c r="BO155" s="925"/>
      <c r="BP155" s="925"/>
      <c r="BQ155" s="925"/>
      <c r="BR155" s="925"/>
      <c r="BS155" s="925"/>
      <c r="BT155" s="925"/>
      <c r="BU155" s="924"/>
      <c r="BW155" s="915" t="s">
        <v>2358</v>
      </c>
      <c r="BX155" s="913">
        <v>50</v>
      </c>
      <c r="BY155" s="914" t="s">
        <v>2358</v>
      </c>
      <c r="BZ155" s="913">
        <v>50</v>
      </c>
      <c r="CA155" s="929"/>
      <c r="CB155" s="3539">
        <f>CE137+CE139+CE141+CE143+CE145</f>
        <v>2610400</v>
      </c>
      <c r="CC155" s="3540"/>
      <c r="CD155" s="916"/>
    </row>
    <row r="156" spans="2:85" ht="15" customHeight="1">
      <c r="B156" s="927"/>
      <c r="C156" s="3165" t="str">
        <f>IF(B2=0,"","電　　工　　費")</f>
        <v>電　　工　　費</v>
      </c>
      <c r="D156" s="3166"/>
      <c r="E156" s="3166"/>
      <c r="F156" s="3166"/>
      <c r="G156" s="3166"/>
      <c r="H156" s="3166"/>
      <c r="I156" s="3166"/>
      <c r="J156" s="3166"/>
      <c r="K156" s="3166"/>
      <c r="L156" s="3167"/>
      <c r="M156" s="3168">
        <f>IF($B$2=0,"",IF(C98="",0,1000*INT(1.15*AV147*AB156/1000)))</f>
        <v>796000</v>
      </c>
      <c r="N156" s="3169"/>
      <c r="O156" s="3169"/>
      <c r="P156" s="3169"/>
      <c r="Q156" s="3169"/>
      <c r="R156" s="3169"/>
      <c r="S156" s="3169"/>
      <c r="T156" s="3169"/>
      <c r="U156" s="3170"/>
      <c r="V156" s="3171" t="str">
        <f>IF(B2=0,"","電工単価")</f>
        <v>電工単価</v>
      </c>
      <c r="W156" s="3172"/>
      <c r="X156" s="3172"/>
      <c r="Y156" s="3172"/>
      <c r="Z156" s="3172"/>
      <c r="AA156" s="3173"/>
      <c r="AB156" s="3174">
        <f>IF(B2=0,"",IF(AI156="",原価!AD44,AI156))</f>
        <v>6000</v>
      </c>
      <c r="AC156" s="3174"/>
      <c r="AD156" s="3174"/>
      <c r="AE156" s="3174"/>
      <c r="AF156" s="3174"/>
      <c r="AG156" s="3174"/>
      <c r="AH156" s="928" t="s">
        <v>2357</v>
      </c>
      <c r="AI156" s="3175"/>
      <c r="AJ156" s="3175"/>
      <c r="AK156" s="3175"/>
      <c r="AL156" s="3175"/>
      <c r="AM156" s="3175"/>
      <c r="AN156" s="926"/>
      <c r="AO156" s="926"/>
      <c r="AP156" s="926"/>
      <c r="AQ156" s="926"/>
      <c r="AR156" s="926"/>
      <c r="AS156" s="926"/>
      <c r="AT156" s="926"/>
      <c r="AU156" s="926"/>
      <c r="AV156" s="926"/>
      <c r="AW156" s="926"/>
      <c r="AX156" s="926"/>
      <c r="AY156" s="926"/>
      <c r="AZ156" s="926"/>
      <c r="BA156" s="926"/>
      <c r="BB156" s="926"/>
      <c r="BC156" s="926"/>
      <c r="BD156" s="926"/>
      <c r="BE156" s="926"/>
      <c r="BF156" s="926"/>
      <c r="BG156" s="926"/>
      <c r="BH156" s="926"/>
      <c r="BI156" s="926"/>
      <c r="BJ156" s="926"/>
      <c r="BK156" s="925"/>
      <c r="BL156" s="925"/>
      <c r="BM156" s="925"/>
      <c r="BN156" s="925"/>
      <c r="BO156" s="925"/>
      <c r="BP156" s="925"/>
      <c r="BQ156" s="925"/>
      <c r="BR156" s="925"/>
      <c r="BS156" s="925"/>
      <c r="BT156" s="925"/>
      <c r="BU156" s="924"/>
      <c r="BW156" s="915" t="s">
        <v>2356</v>
      </c>
      <c r="BX156" s="913">
        <v>75</v>
      </c>
      <c r="BY156" s="914" t="s">
        <v>2356</v>
      </c>
      <c r="BZ156" s="913">
        <v>75</v>
      </c>
      <c r="CD156" s="916"/>
    </row>
    <row r="157" spans="2:85" ht="15" customHeight="1">
      <c r="B157" s="927"/>
      <c r="C157" s="2873">
        <f>IF(C151="","",C151)</f>
        <v>2</v>
      </c>
      <c r="D157" s="2873"/>
      <c r="E157" s="2873"/>
      <c r="F157" s="2971" t="str">
        <f>IF(C157="","","　の 計")</f>
        <v>　の 計</v>
      </c>
      <c r="G157" s="2972"/>
      <c r="H157" s="2972"/>
      <c r="I157" s="2972"/>
      <c r="J157" s="2972"/>
      <c r="K157" s="2972"/>
      <c r="L157" s="3164"/>
      <c r="M157" s="2922">
        <f>IF(AC6="L","",SUM(M152:U156))</f>
        <v>39397000</v>
      </c>
      <c r="N157" s="3177"/>
      <c r="O157" s="3177"/>
      <c r="P157" s="3177"/>
      <c r="Q157" s="3177"/>
      <c r="R157" s="3177"/>
      <c r="S157" s="3177"/>
      <c r="T157" s="3177"/>
      <c r="U157" s="3178"/>
      <c r="V157" s="926"/>
      <c r="W157" s="926"/>
      <c r="X157" s="926"/>
      <c r="Y157" s="926"/>
      <c r="Z157" s="926"/>
      <c r="AA157" s="926"/>
      <c r="AB157" s="926"/>
      <c r="AC157" s="926"/>
      <c r="AD157" s="926"/>
      <c r="AE157" s="926"/>
      <c r="AF157" s="926"/>
      <c r="AG157" s="926"/>
      <c r="AH157" s="926"/>
      <c r="AI157" s="926"/>
      <c r="AJ157" s="926"/>
      <c r="AK157" s="926"/>
      <c r="AL157" s="926"/>
      <c r="AM157" s="926"/>
      <c r="AN157" s="926"/>
      <c r="AO157" s="926"/>
      <c r="AP157" s="926"/>
      <c r="AQ157" s="926"/>
      <c r="AR157" s="926"/>
      <c r="AS157" s="926"/>
      <c r="AT157" s="926"/>
      <c r="AU157" s="926"/>
      <c r="AV157" s="926"/>
      <c r="AW157" s="926"/>
      <c r="AX157" s="926"/>
      <c r="AY157" s="926"/>
      <c r="AZ157" s="926"/>
      <c r="BA157" s="926"/>
      <c r="BB157" s="926"/>
      <c r="BC157" s="926"/>
      <c r="BD157" s="926"/>
      <c r="BE157" s="926"/>
      <c r="BF157" s="926"/>
      <c r="BG157" s="926"/>
      <c r="BH157" s="926"/>
      <c r="BI157" s="926"/>
      <c r="BJ157" s="926"/>
      <c r="BK157" s="925"/>
      <c r="BL157" s="925"/>
      <c r="BM157" s="925"/>
      <c r="BN157" s="925"/>
      <c r="BO157" s="925"/>
      <c r="BP157" s="925"/>
      <c r="BQ157" s="925"/>
      <c r="BR157" s="925"/>
      <c r="BS157" s="925"/>
      <c r="BT157" s="925"/>
      <c r="BU157" s="924"/>
      <c r="BW157" s="915" t="s">
        <v>2355</v>
      </c>
      <c r="BX157" s="913">
        <v>100</v>
      </c>
      <c r="BY157" s="914" t="s">
        <v>2355</v>
      </c>
      <c r="BZ157" s="913">
        <v>100</v>
      </c>
      <c r="CD157" s="916"/>
    </row>
    <row r="158" spans="2:85" ht="15" customHeight="1">
      <c r="B158" s="923"/>
      <c r="C158" s="918"/>
      <c r="D158" s="918"/>
      <c r="E158" s="918"/>
      <c r="F158" s="918"/>
      <c r="G158" s="918"/>
      <c r="H158" s="918"/>
      <c r="I158" s="918"/>
      <c r="J158" s="918"/>
      <c r="K158" s="918"/>
      <c r="L158" s="918"/>
      <c r="M158" s="918"/>
      <c r="N158" s="918"/>
      <c r="O158" s="918"/>
      <c r="P158" s="918"/>
      <c r="Q158" s="918"/>
      <c r="R158" s="918"/>
      <c r="S158" s="918"/>
      <c r="T158" s="918"/>
      <c r="U158" s="918"/>
      <c r="V158" s="918"/>
      <c r="W158" s="918"/>
      <c r="X158" s="918"/>
      <c r="Y158" s="922"/>
      <c r="Z158" s="921"/>
      <c r="AA158" s="921"/>
      <c r="AB158" s="921"/>
      <c r="AC158" s="921"/>
      <c r="AD158" s="921"/>
      <c r="AE158" s="921"/>
      <c r="AF158" s="921"/>
      <c r="AG158" s="920"/>
      <c r="AH158" s="920"/>
      <c r="AI158" s="920"/>
      <c r="AJ158" s="920"/>
      <c r="AK158" s="920"/>
      <c r="AL158" s="920"/>
      <c r="AM158" s="920"/>
      <c r="AN158" s="920"/>
      <c r="AO158" s="920"/>
      <c r="AP158" s="918"/>
      <c r="AQ158" s="918"/>
      <c r="AR158" s="918"/>
      <c r="AS158" s="918"/>
      <c r="AT158" s="918"/>
      <c r="AU158" s="918"/>
      <c r="AV158" s="918"/>
      <c r="AW158" s="918"/>
      <c r="AX158" s="918"/>
      <c r="AY158" s="919"/>
      <c r="AZ158" s="919"/>
      <c r="BA158" s="919"/>
      <c r="BB158" s="919"/>
      <c r="BC158" s="919"/>
      <c r="BD158" s="918"/>
      <c r="BE158" s="918"/>
      <c r="BF158" s="918"/>
      <c r="BG158" s="918"/>
      <c r="BH158" s="918"/>
      <c r="BI158" s="918"/>
      <c r="BJ158" s="918"/>
      <c r="BK158" s="918"/>
      <c r="BL158" s="918"/>
      <c r="BM158" s="918"/>
      <c r="BN158" s="918"/>
      <c r="BO158" s="918"/>
      <c r="BP158" s="918"/>
      <c r="BQ158" s="918"/>
      <c r="BR158" s="918"/>
      <c r="BS158" s="918"/>
      <c r="BT158" s="918"/>
      <c r="BU158" s="917"/>
      <c r="BW158" s="915" t="s">
        <v>2354</v>
      </c>
      <c r="BX158" s="913">
        <v>150</v>
      </c>
      <c r="BY158" s="914" t="s">
        <v>2354</v>
      </c>
      <c r="BZ158" s="913">
        <v>150</v>
      </c>
      <c r="CD158" s="916"/>
    </row>
    <row r="159" spans="2:85">
      <c r="BW159" s="915" t="s">
        <v>2353</v>
      </c>
      <c r="BX159" s="913">
        <v>225</v>
      </c>
      <c r="BY159" s="914" t="s">
        <v>2353</v>
      </c>
      <c r="BZ159" s="913">
        <v>225</v>
      </c>
    </row>
    <row r="160" spans="2:85">
      <c r="K160" s="1691"/>
      <c r="L160" s="1274" t="s">
        <v>2931</v>
      </c>
      <c r="M160" s="3155">
        <f>M152</f>
        <v>3590000</v>
      </c>
      <c r="N160" s="3156"/>
      <c r="O160" s="3156"/>
      <c r="P160" s="3156"/>
      <c r="Q160" s="3156"/>
      <c r="R160" s="3156"/>
      <c r="S160" s="3156"/>
      <c r="T160" s="3156"/>
      <c r="U160" s="3157"/>
      <c r="BW160" s="915" t="s">
        <v>2352</v>
      </c>
      <c r="BX160" s="913">
        <v>300</v>
      </c>
      <c r="BY160" s="914" t="s">
        <v>2352</v>
      </c>
      <c r="BZ160" s="913">
        <v>300</v>
      </c>
    </row>
    <row r="161" spans="11:78">
      <c r="K161" s="1691"/>
      <c r="L161" s="1274" t="s">
        <v>2964</v>
      </c>
      <c r="M161" s="3155">
        <f>M153+M155</f>
        <v>32401000</v>
      </c>
      <c r="N161" s="3156"/>
      <c r="O161" s="3156"/>
      <c r="P161" s="3156"/>
      <c r="Q161" s="3156"/>
      <c r="R161" s="3156"/>
      <c r="S161" s="3156"/>
      <c r="T161" s="3156"/>
      <c r="U161" s="3157"/>
      <c r="BW161" s="915" t="s">
        <v>2351</v>
      </c>
      <c r="BX161" s="913">
        <v>450</v>
      </c>
      <c r="BY161" s="914" t="s">
        <v>2351</v>
      </c>
      <c r="BZ161" s="913">
        <v>450</v>
      </c>
    </row>
    <row r="162" spans="11:78">
      <c r="K162" s="1691"/>
      <c r="L162" s="1274" t="s">
        <v>3254</v>
      </c>
      <c r="M162" s="3155">
        <f>M156+M154</f>
        <v>3406000</v>
      </c>
      <c r="N162" s="3156"/>
      <c r="O162" s="3156"/>
      <c r="P162" s="3156"/>
      <c r="Q162" s="3156"/>
      <c r="R162" s="3156"/>
      <c r="S162" s="3156"/>
      <c r="T162" s="3156"/>
      <c r="U162" s="3157"/>
      <c r="BW162" s="915" t="s">
        <v>2350</v>
      </c>
      <c r="BX162" s="913">
        <v>600</v>
      </c>
      <c r="BY162" s="914" t="s">
        <v>2350</v>
      </c>
      <c r="BZ162" s="913">
        <v>600</v>
      </c>
    </row>
    <row r="163" spans="11:78">
      <c r="BW163" s="915" t="s">
        <v>2349</v>
      </c>
      <c r="BX163" s="913">
        <v>750</v>
      </c>
      <c r="BY163" s="914" t="s">
        <v>2349</v>
      </c>
      <c r="BZ163" s="913">
        <v>750</v>
      </c>
    </row>
    <row r="164" spans="11:78">
      <c r="BW164" s="915" t="s">
        <v>2348</v>
      </c>
      <c r="BX164" s="913">
        <v>900</v>
      </c>
      <c r="BY164" s="914" t="s">
        <v>2348</v>
      </c>
      <c r="BZ164" s="913">
        <v>900</v>
      </c>
    </row>
    <row r="165" spans="11:78">
      <c r="BW165" s="915" t="s">
        <v>2347</v>
      </c>
      <c r="BX165" s="913">
        <v>1200</v>
      </c>
      <c r="BY165" s="914" t="s">
        <v>2347</v>
      </c>
      <c r="BZ165" s="913">
        <v>1200</v>
      </c>
    </row>
    <row r="166" spans="11:78">
      <c r="BW166" s="915" t="s">
        <v>2346</v>
      </c>
      <c r="BX166" s="913">
        <v>1500</v>
      </c>
      <c r="BY166" s="914" t="s">
        <v>2346</v>
      </c>
      <c r="BZ166" s="913">
        <v>1500</v>
      </c>
    </row>
    <row r="216" spans="100:100">
      <c r="CV216" s="912" t="s">
        <v>3258</v>
      </c>
    </row>
  </sheetData>
  <sheetProtection password="8120" sheet="1" objects="1" scenarios="1"/>
  <mergeCells count="977">
    <mergeCell ref="CB154:CC154"/>
    <mergeCell ref="CB155:CC155"/>
    <mergeCell ref="CB153:CC153"/>
    <mergeCell ref="CF33:CF34"/>
    <mergeCell ref="CG33:CG34"/>
    <mergeCell ref="CC37:CC38"/>
    <mergeCell ref="CD37:CD38"/>
    <mergeCell ref="CE37:CE38"/>
    <mergeCell ref="B48:BU48"/>
    <mergeCell ref="D49:K49"/>
    <mergeCell ref="N49:W49"/>
    <mergeCell ref="Y49:AO49"/>
    <mergeCell ref="AQ49:AV49"/>
    <mergeCell ref="AW49:BA49"/>
    <mergeCell ref="BC49:BH49"/>
    <mergeCell ref="BI49:BM49"/>
    <mergeCell ref="D33:F33"/>
    <mergeCell ref="G33:I33"/>
    <mergeCell ref="J33:M33"/>
    <mergeCell ref="N33:S33"/>
    <mergeCell ref="T33:Y33"/>
    <mergeCell ref="CE45:CE46"/>
    <mergeCell ref="CB33:CD34"/>
    <mergeCell ref="BN33:BT33"/>
    <mergeCell ref="Z15:AE15"/>
    <mergeCell ref="AF15:AK15"/>
    <mergeCell ref="BO23:BR23"/>
    <mergeCell ref="CA9:CA10"/>
    <mergeCell ref="CB19:CC20"/>
    <mergeCell ref="CF19:CF20"/>
    <mergeCell ref="CG19:CG20"/>
    <mergeCell ref="BN27:BT28"/>
    <mergeCell ref="BN32:BT32"/>
    <mergeCell ref="AR13:AW13"/>
    <mergeCell ref="AX13:BC13"/>
    <mergeCell ref="BD13:BH13"/>
    <mergeCell ref="BI13:BM13"/>
    <mergeCell ref="BN13:BT13"/>
    <mergeCell ref="AR14:AW14"/>
    <mergeCell ref="Z18:AE18"/>
    <mergeCell ref="AF18:AK18"/>
    <mergeCell ref="AL28:AQ28"/>
    <mergeCell ref="AR28:AW28"/>
    <mergeCell ref="AX28:BC28"/>
    <mergeCell ref="BD28:BH28"/>
    <mergeCell ref="BI28:BM28"/>
    <mergeCell ref="AX29:BC29"/>
    <mergeCell ref="B3:D3"/>
    <mergeCell ref="E3:W3"/>
    <mergeCell ref="Y3:AC3"/>
    <mergeCell ref="AE3:AI3"/>
    <mergeCell ref="AK3:AO3"/>
    <mergeCell ref="AQ3:AV3"/>
    <mergeCell ref="C5:AS5"/>
    <mergeCell ref="D6:I6"/>
    <mergeCell ref="J6:O6"/>
    <mergeCell ref="Q6:V6"/>
    <mergeCell ref="W6:AB6"/>
    <mergeCell ref="AF6:AK6"/>
    <mergeCell ref="AM6:AR6"/>
    <mergeCell ref="D9:I9"/>
    <mergeCell ref="BY9:BY10"/>
    <mergeCell ref="BZ9:BZ10"/>
    <mergeCell ref="BN11:BT12"/>
    <mergeCell ref="T12:Y12"/>
    <mergeCell ref="Z12:AE12"/>
    <mergeCell ref="AF12:AK12"/>
    <mergeCell ref="AL12:AQ12"/>
    <mergeCell ref="AR12:AW12"/>
    <mergeCell ref="AX12:BC12"/>
    <mergeCell ref="D11:I12"/>
    <mergeCell ref="J11:S12"/>
    <mergeCell ref="T11:AK11"/>
    <mergeCell ref="AL11:BC11"/>
    <mergeCell ref="BD11:BH11"/>
    <mergeCell ref="BI11:BM11"/>
    <mergeCell ref="BD12:BH12"/>
    <mergeCell ref="BI12:BM12"/>
    <mergeCell ref="D32:F32"/>
    <mergeCell ref="G32:I32"/>
    <mergeCell ref="D13:I13"/>
    <mergeCell ref="J13:M13"/>
    <mergeCell ref="N13:S13"/>
    <mergeCell ref="T13:Y13"/>
    <mergeCell ref="Z13:AE13"/>
    <mergeCell ref="AF13:AK13"/>
    <mergeCell ref="AL13:AQ13"/>
    <mergeCell ref="D15:I15"/>
    <mergeCell ref="J15:M15"/>
    <mergeCell ref="N15:S15"/>
    <mergeCell ref="T15:Y15"/>
    <mergeCell ref="D14:I14"/>
    <mergeCell ref="J14:M14"/>
    <mergeCell ref="N14:S14"/>
    <mergeCell ref="T14:Y14"/>
    <mergeCell ref="Z14:AE14"/>
    <mergeCell ref="AF14:AK14"/>
    <mergeCell ref="AL14:AQ14"/>
    <mergeCell ref="D18:I18"/>
    <mergeCell ref="J18:M18"/>
    <mergeCell ref="N18:S18"/>
    <mergeCell ref="T18:Y18"/>
    <mergeCell ref="AX3:BC3"/>
    <mergeCell ref="BE3:BJ3"/>
    <mergeCell ref="BL3:BQ3"/>
    <mergeCell ref="BY8:BZ8"/>
    <mergeCell ref="BD18:BH18"/>
    <mergeCell ref="BI18:BM18"/>
    <mergeCell ref="BN18:BT18"/>
    <mergeCell ref="BD32:BH32"/>
    <mergeCell ref="BI32:BM32"/>
    <mergeCell ref="AX14:BC14"/>
    <mergeCell ref="BD14:BH14"/>
    <mergeCell ref="BI14:BM14"/>
    <mergeCell ref="BN14:BT14"/>
    <mergeCell ref="BD16:BH16"/>
    <mergeCell ref="BI16:BM16"/>
    <mergeCell ref="BN16:BT16"/>
    <mergeCell ref="AX23:BC23"/>
    <mergeCell ref="BI23:BM23"/>
    <mergeCell ref="AL27:BC27"/>
    <mergeCell ref="BD27:BH27"/>
    <mergeCell ref="BI27:BM27"/>
    <mergeCell ref="AX30:BC30"/>
    <mergeCell ref="BD30:BH30"/>
    <mergeCell ref="BI30:BM30"/>
    <mergeCell ref="BG45:BN45"/>
    <mergeCell ref="BO45:BS45"/>
    <mergeCell ref="B44:BU44"/>
    <mergeCell ref="AL15:AQ15"/>
    <mergeCell ref="AR15:AW15"/>
    <mergeCell ref="AX15:BC15"/>
    <mergeCell ref="BD15:BH15"/>
    <mergeCell ref="BI15:BM15"/>
    <mergeCell ref="BN15:BT15"/>
    <mergeCell ref="AL17:AQ17"/>
    <mergeCell ref="AR17:AW17"/>
    <mergeCell ref="AX17:BC17"/>
    <mergeCell ref="BD17:BH17"/>
    <mergeCell ref="BI17:BM17"/>
    <mergeCell ref="BN17:BT17"/>
    <mergeCell ref="D16:I16"/>
    <mergeCell ref="J16:M16"/>
    <mergeCell ref="N16:S16"/>
    <mergeCell ref="T16:Y16"/>
    <mergeCell ref="Z16:AE16"/>
    <mergeCell ref="AF16:AK16"/>
    <mergeCell ref="AL16:AQ16"/>
    <mergeCell ref="AR16:AW16"/>
    <mergeCell ref="AX16:BC16"/>
    <mergeCell ref="D17:I17"/>
    <mergeCell ref="J17:M17"/>
    <mergeCell ref="N17:S17"/>
    <mergeCell ref="T17:Y17"/>
    <mergeCell ref="Z17:AE17"/>
    <mergeCell ref="AF17:AK17"/>
    <mergeCell ref="BN19:BT19"/>
    <mergeCell ref="AL19:AQ19"/>
    <mergeCell ref="AR19:AW19"/>
    <mergeCell ref="AX19:BC19"/>
    <mergeCell ref="D19:I19"/>
    <mergeCell ref="J19:M19"/>
    <mergeCell ref="N19:S19"/>
    <mergeCell ref="T19:Y19"/>
    <mergeCell ref="Z19:AE19"/>
    <mergeCell ref="AF19:AK19"/>
    <mergeCell ref="AL18:AQ18"/>
    <mergeCell ref="AR18:AW18"/>
    <mergeCell ref="AX18:BC18"/>
    <mergeCell ref="BD19:BH19"/>
    <mergeCell ref="BI19:BM19"/>
    <mergeCell ref="T21:Y21"/>
    <mergeCell ref="Z21:AE21"/>
    <mergeCell ref="AF21:AK21"/>
    <mergeCell ref="AL21:AQ21"/>
    <mergeCell ref="AR21:AW21"/>
    <mergeCell ref="AX21:BC21"/>
    <mergeCell ref="BI21:BM21"/>
    <mergeCell ref="J22:S22"/>
    <mergeCell ref="T22:Y22"/>
    <mergeCell ref="Z22:AE22"/>
    <mergeCell ref="AF22:AK22"/>
    <mergeCell ref="AL22:AQ22"/>
    <mergeCell ref="AR22:AW22"/>
    <mergeCell ref="AX22:BC22"/>
    <mergeCell ref="BI22:BM22"/>
    <mergeCell ref="J21:S21"/>
    <mergeCell ref="J23:S23"/>
    <mergeCell ref="D30:I30"/>
    <mergeCell ref="J30:M30"/>
    <mergeCell ref="N30:S30"/>
    <mergeCell ref="T30:Y30"/>
    <mergeCell ref="Z30:AE30"/>
    <mergeCell ref="AF30:AK30"/>
    <mergeCell ref="AL30:AQ30"/>
    <mergeCell ref="AR30:AW30"/>
    <mergeCell ref="T23:Y23"/>
    <mergeCell ref="Z23:AE23"/>
    <mergeCell ref="AF23:AK23"/>
    <mergeCell ref="AL23:AQ23"/>
    <mergeCell ref="AR23:AW23"/>
    <mergeCell ref="T28:Y28"/>
    <mergeCell ref="AL29:AQ29"/>
    <mergeCell ref="AR29:AW29"/>
    <mergeCell ref="D31:I31"/>
    <mergeCell ref="J31:M31"/>
    <mergeCell ref="N31:S31"/>
    <mergeCell ref="T31:Y31"/>
    <mergeCell ref="Z31:AE31"/>
    <mergeCell ref="AF31:AK31"/>
    <mergeCell ref="D25:I25"/>
    <mergeCell ref="D27:I28"/>
    <mergeCell ref="J27:S28"/>
    <mergeCell ref="T27:AK27"/>
    <mergeCell ref="Z28:AE28"/>
    <mergeCell ref="AF28:AK28"/>
    <mergeCell ref="D29:I29"/>
    <mergeCell ref="J29:M29"/>
    <mergeCell ref="N29:S29"/>
    <mergeCell ref="T29:Y29"/>
    <mergeCell ref="Z29:AE29"/>
    <mergeCell ref="AF29:AK29"/>
    <mergeCell ref="BI33:BM33"/>
    <mergeCell ref="J35:S35"/>
    <mergeCell ref="T35:Y35"/>
    <mergeCell ref="Z35:AE35"/>
    <mergeCell ref="AF35:AK35"/>
    <mergeCell ref="AL35:AQ35"/>
    <mergeCell ref="AR35:AW35"/>
    <mergeCell ref="BN30:BT30"/>
    <mergeCell ref="BN29:BT29"/>
    <mergeCell ref="BD29:BH29"/>
    <mergeCell ref="BI29:BM29"/>
    <mergeCell ref="AR31:AW31"/>
    <mergeCell ref="AX31:BC31"/>
    <mergeCell ref="J32:M32"/>
    <mergeCell ref="N32:S32"/>
    <mergeCell ref="T32:Y32"/>
    <mergeCell ref="Z32:AE32"/>
    <mergeCell ref="AF32:AK32"/>
    <mergeCell ref="AL32:AQ32"/>
    <mergeCell ref="AR32:AW32"/>
    <mergeCell ref="AX32:BC32"/>
    <mergeCell ref="BD31:BH31"/>
    <mergeCell ref="BI31:BM31"/>
    <mergeCell ref="BN31:BT31"/>
    <mergeCell ref="BO39:BS39"/>
    <mergeCell ref="J36:S36"/>
    <mergeCell ref="T36:Y36"/>
    <mergeCell ref="Z36:AE36"/>
    <mergeCell ref="AF36:AK36"/>
    <mergeCell ref="AL36:AQ36"/>
    <mergeCell ref="AR36:AW36"/>
    <mergeCell ref="AL31:AQ31"/>
    <mergeCell ref="Z33:AE33"/>
    <mergeCell ref="AF33:AK33"/>
    <mergeCell ref="AX36:BC36"/>
    <mergeCell ref="BI36:BM36"/>
    <mergeCell ref="B38:BU38"/>
    <mergeCell ref="D39:K39"/>
    <mergeCell ref="N39:W39"/>
    <mergeCell ref="Y39:AO39"/>
    <mergeCell ref="AQ39:BE39"/>
    <mergeCell ref="BG39:BN39"/>
    <mergeCell ref="AX35:BC35"/>
    <mergeCell ref="BI35:BM35"/>
    <mergeCell ref="AL33:AQ33"/>
    <mergeCell ref="AR33:AW33"/>
    <mergeCell ref="AX33:BC33"/>
    <mergeCell ref="BD33:BH33"/>
    <mergeCell ref="AF53:AG53"/>
    <mergeCell ref="AH53:AO53"/>
    <mergeCell ref="AQ53:AU53"/>
    <mergeCell ref="BG47:BN47"/>
    <mergeCell ref="BO47:BS47"/>
    <mergeCell ref="N41:W41"/>
    <mergeCell ref="Y41:AO41"/>
    <mergeCell ref="AQ41:BE41"/>
    <mergeCell ref="BG41:BN41"/>
    <mergeCell ref="BO41:BS41"/>
    <mergeCell ref="N43:W43"/>
    <mergeCell ref="Y43:AO43"/>
    <mergeCell ref="AQ43:BE43"/>
    <mergeCell ref="BG43:BN43"/>
    <mergeCell ref="BO43:BS43"/>
    <mergeCell ref="BO49:BS49"/>
    <mergeCell ref="BI51:BM51"/>
    <mergeCell ref="BO51:BS51"/>
    <mergeCell ref="B52:BU52"/>
    <mergeCell ref="BC51:BH51"/>
    <mergeCell ref="N47:W47"/>
    <mergeCell ref="Y47:AO47"/>
    <mergeCell ref="AQ47:BE47"/>
    <mergeCell ref="D45:K45"/>
    <mergeCell ref="N45:W45"/>
    <mergeCell ref="Y45:AO45"/>
    <mergeCell ref="AQ45:BE45"/>
    <mergeCell ref="BF53:BM53"/>
    <mergeCell ref="BN53:BS53"/>
    <mergeCell ref="D55:K55"/>
    <mergeCell ref="B56:BU56"/>
    <mergeCell ref="D59:K59"/>
    <mergeCell ref="N59:S59"/>
    <mergeCell ref="T59:Y59"/>
    <mergeCell ref="AA59:AF59"/>
    <mergeCell ref="AG59:AL59"/>
    <mergeCell ref="AN59:AR59"/>
    <mergeCell ref="AV53:AY53"/>
    <mergeCell ref="D51:K51"/>
    <mergeCell ref="N51:W51"/>
    <mergeCell ref="Y51:AO51"/>
    <mergeCell ref="AQ51:AV51"/>
    <mergeCell ref="AW51:BA51"/>
    <mergeCell ref="BA53:BD53"/>
    <mergeCell ref="D53:K53"/>
    <mergeCell ref="N53:W53"/>
    <mergeCell ref="Y53:AE53"/>
    <mergeCell ref="AN55:AP55"/>
    <mergeCell ref="AQ55:AX55"/>
    <mergeCell ref="AY55:BA55"/>
    <mergeCell ref="BP61:BR61"/>
    <mergeCell ref="N63:AD63"/>
    <mergeCell ref="AF63:AH63"/>
    <mergeCell ref="AJ63:AL63"/>
    <mergeCell ref="AN63:AP63"/>
    <mergeCell ref="AR63:AT63"/>
    <mergeCell ref="N61:AD61"/>
    <mergeCell ref="AS59:AV59"/>
    <mergeCell ref="BB55:BI55"/>
    <mergeCell ref="BJ55:BK55"/>
    <mergeCell ref="BL55:BS55"/>
    <mergeCell ref="N55:T55"/>
    <mergeCell ref="U55:W55"/>
    <mergeCell ref="Y55:AA55"/>
    <mergeCell ref="AB55:AH55"/>
    <mergeCell ref="AI55:AJ55"/>
    <mergeCell ref="AL55:AM55"/>
    <mergeCell ref="BQ69:BS69"/>
    <mergeCell ref="BD70:BU70"/>
    <mergeCell ref="BH61:BJ61"/>
    <mergeCell ref="BL61:BN61"/>
    <mergeCell ref="AO66:AR66"/>
    <mergeCell ref="AT66:AY66"/>
    <mergeCell ref="AZ66:BB66"/>
    <mergeCell ref="N67:W67"/>
    <mergeCell ref="X67:AD67"/>
    <mergeCell ref="BH63:BJ63"/>
    <mergeCell ref="BL63:BN63"/>
    <mergeCell ref="N66:W66"/>
    <mergeCell ref="X66:AD66"/>
    <mergeCell ref="AE66:AG67"/>
    <mergeCell ref="AI66:AN66"/>
    <mergeCell ref="AF61:AH61"/>
    <mergeCell ref="AJ61:AL61"/>
    <mergeCell ref="AN61:AP61"/>
    <mergeCell ref="AR61:AT61"/>
    <mergeCell ref="AV61:AX61"/>
    <mergeCell ref="BD63:BF63"/>
    <mergeCell ref="AZ61:BB61"/>
    <mergeCell ref="BD61:BF61"/>
    <mergeCell ref="D71:K71"/>
    <mergeCell ref="N71:W73"/>
    <mergeCell ref="X71:AD71"/>
    <mergeCell ref="AE71:AG73"/>
    <mergeCell ref="AI71:AN71"/>
    <mergeCell ref="AO71:AQ71"/>
    <mergeCell ref="AI69:AN70"/>
    <mergeCell ref="AV69:AZ70"/>
    <mergeCell ref="AV63:AX63"/>
    <mergeCell ref="AZ63:BB63"/>
    <mergeCell ref="D66:K66"/>
    <mergeCell ref="AS71:BC71"/>
    <mergeCell ref="BE71:BG71"/>
    <mergeCell ref="BI71:BK71"/>
    <mergeCell ref="BM71:BO71"/>
    <mergeCell ref="BQ71:BS71"/>
    <mergeCell ref="X73:AD73"/>
    <mergeCell ref="AI73:AN74"/>
    <mergeCell ref="AO73:AP73"/>
    <mergeCell ref="AQ73:AT73"/>
    <mergeCell ref="AV73:AZ74"/>
    <mergeCell ref="BE73:BG73"/>
    <mergeCell ref="BI73:BK73"/>
    <mergeCell ref="BM73:BO73"/>
    <mergeCell ref="BD74:BU74"/>
    <mergeCell ref="BE77:BG77"/>
    <mergeCell ref="N75:W77"/>
    <mergeCell ref="X75:AD75"/>
    <mergeCell ref="AE75:AG77"/>
    <mergeCell ref="AI75:AN75"/>
    <mergeCell ref="AO75:AQ75"/>
    <mergeCell ref="AS75:BC75"/>
    <mergeCell ref="BI77:BK77"/>
    <mergeCell ref="BQ79:BS79"/>
    <mergeCell ref="BM77:BO77"/>
    <mergeCell ref="BD78:BU78"/>
    <mergeCell ref="BM75:BO75"/>
    <mergeCell ref="BQ75:BS75"/>
    <mergeCell ref="BE75:BG75"/>
    <mergeCell ref="BI75:BK75"/>
    <mergeCell ref="X77:AD77"/>
    <mergeCell ref="AI77:AN78"/>
    <mergeCell ref="AO77:AP77"/>
    <mergeCell ref="AQ77:AT77"/>
    <mergeCell ref="AV77:AZ78"/>
    <mergeCell ref="BM81:BO81"/>
    <mergeCell ref="BI79:BK79"/>
    <mergeCell ref="BM79:BO79"/>
    <mergeCell ref="N79:W81"/>
    <mergeCell ref="X81:AD81"/>
    <mergeCell ref="AI81:AN82"/>
    <mergeCell ref="AO81:AP81"/>
    <mergeCell ref="AQ81:AT81"/>
    <mergeCell ref="AV81:AZ82"/>
    <mergeCell ref="BE81:BG81"/>
    <mergeCell ref="BI81:BK81"/>
    <mergeCell ref="BD82:BU82"/>
    <mergeCell ref="X79:AD79"/>
    <mergeCell ref="AE79:AG81"/>
    <mergeCell ref="AI79:AN79"/>
    <mergeCell ref="AO79:AQ79"/>
    <mergeCell ref="AS79:BC79"/>
    <mergeCell ref="BE79:BG79"/>
    <mergeCell ref="BO98:BT98"/>
    <mergeCell ref="AB98:AH98"/>
    <mergeCell ref="AI103:AP103"/>
    <mergeCell ref="BM83:BO83"/>
    <mergeCell ref="BQ83:BS83"/>
    <mergeCell ref="X85:AD85"/>
    <mergeCell ref="AI85:AN86"/>
    <mergeCell ref="AO85:AP85"/>
    <mergeCell ref="AQ85:AT85"/>
    <mergeCell ref="AV85:AZ86"/>
    <mergeCell ref="BE85:BG85"/>
    <mergeCell ref="X87:AD87"/>
    <mergeCell ref="AE87:AG89"/>
    <mergeCell ref="AI87:AN87"/>
    <mergeCell ref="AO87:AQ87"/>
    <mergeCell ref="AS87:BC87"/>
    <mergeCell ref="BE87:BG87"/>
    <mergeCell ref="BI87:BK87"/>
    <mergeCell ref="BE83:BG83"/>
    <mergeCell ref="BI83:BK83"/>
    <mergeCell ref="BM87:BO87"/>
    <mergeCell ref="BQ87:BS87"/>
    <mergeCell ref="X89:AD89"/>
    <mergeCell ref="AO89:AP89"/>
    <mergeCell ref="AQ89:AT89"/>
    <mergeCell ref="BE89:BG89"/>
    <mergeCell ref="BI89:BK89"/>
    <mergeCell ref="BM85:BO85"/>
    <mergeCell ref="BD86:BU86"/>
    <mergeCell ref="BI85:BK85"/>
    <mergeCell ref="BM89:BO89"/>
    <mergeCell ref="BD90:BU90"/>
    <mergeCell ref="D93:Q93"/>
    <mergeCell ref="S93:AF93"/>
    <mergeCell ref="AH93:AQ93"/>
    <mergeCell ref="AR93:AU93"/>
    <mergeCell ref="AV93:AX93"/>
    <mergeCell ref="BJ93:BO93"/>
    <mergeCell ref="BQ93:BS93"/>
    <mergeCell ref="N87:W89"/>
    <mergeCell ref="N83:W85"/>
    <mergeCell ref="X83:AD83"/>
    <mergeCell ref="AE83:AG85"/>
    <mergeCell ref="AI83:AN83"/>
    <mergeCell ref="AO83:AQ83"/>
    <mergeCell ref="AS83:BC83"/>
    <mergeCell ref="AI98:AP98"/>
    <mergeCell ref="AQ98:AU98"/>
    <mergeCell ref="AV98:BA98"/>
    <mergeCell ref="BC98:BG98"/>
    <mergeCell ref="BH98:BM98"/>
    <mergeCell ref="B95:B120"/>
    <mergeCell ref="C95:H95"/>
    <mergeCell ref="BH95:BM95"/>
    <mergeCell ref="C97:L97"/>
    <mergeCell ref="M97:O97"/>
    <mergeCell ref="P97:R97"/>
    <mergeCell ref="BH109:BM109"/>
    <mergeCell ref="C111:L111"/>
    <mergeCell ref="C98:L98"/>
    <mergeCell ref="M98:O98"/>
    <mergeCell ref="P98:R98"/>
    <mergeCell ref="S98:Z98"/>
    <mergeCell ref="BH97:BM97"/>
    <mergeCell ref="AQ102:AU102"/>
    <mergeCell ref="BC103:BG103"/>
    <mergeCell ref="C101:L101"/>
    <mergeCell ref="M101:O101"/>
    <mergeCell ref="P101:R101"/>
    <mergeCell ref="S101:Z101"/>
    <mergeCell ref="BW93:BX96"/>
    <mergeCell ref="AY93:BA93"/>
    <mergeCell ref="BG93:BH93"/>
    <mergeCell ref="BB93:BF93"/>
    <mergeCell ref="S97:Z97"/>
    <mergeCell ref="AB97:AH97"/>
    <mergeCell ref="AI97:AP97"/>
    <mergeCell ref="AQ97:AU97"/>
    <mergeCell ref="AV97:BA97"/>
    <mergeCell ref="BC97:BG97"/>
    <mergeCell ref="BO97:BT97"/>
    <mergeCell ref="BO103:BT103"/>
    <mergeCell ref="BO105:BT105"/>
    <mergeCell ref="BH104:BM104"/>
    <mergeCell ref="BO104:BT104"/>
    <mergeCell ref="BH103:BM103"/>
    <mergeCell ref="CC106:CD106"/>
    <mergeCell ref="CC99:CD99"/>
    <mergeCell ref="C100:L100"/>
    <mergeCell ref="M100:O100"/>
    <mergeCell ref="P100:R100"/>
    <mergeCell ref="S100:Z100"/>
    <mergeCell ref="AB100:AH100"/>
    <mergeCell ref="AI100:AP100"/>
    <mergeCell ref="AQ100:AU100"/>
    <mergeCell ref="BC100:BG100"/>
    <mergeCell ref="C99:L99"/>
    <mergeCell ref="M99:O99"/>
    <mergeCell ref="P99:R99"/>
    <mergeCell ref="S99:Z99"/>
    <mergeCell ref="AB99:AH99"/>
    <mergeCell ref="AI99:AP99"/>
    <mergeCell ref="AQ99:AU99"/>
    <mergeCell ref="AV99:BA99"/>
    <mergeCell ref="BO99:BT99"/>
    <mergeCell ref="AV104:BA104"/>
    <mergeCell ref="C103:L103"/>
    <mergeCell ref="M103:O103"/>
    <mergeCell ref="P103:R103"/>
    <mergeCell ref="S103:Z103"/>
    <mergeCell ref="AB103:AH103"/>
    <mergeCell ref="CC98:CD98"/>
    <mergeCell ref="BO106:BT106"/>
    <mergeCell ref="BO102:BT102"/>
    <mergeCell ref="AQ101:AU101"/>
    <mergeCell ref="AV101:BA101"/>
    <mergeCell ref="BC101:BG101"/>
    <mergeCell ref="BH101:BM101"/>
    <mergeCell ref="BO101:BT101"/>
    <mergeCell ref="BO100:BT100"/>
    <mergeCell ref="AV100:BA100"/>
    <mergeCell ref="AV102:BA102"/>
    <mergeCell ref="BC102:BG102"/>
    <mergeCell ref="BH102:BM102"/>
    <mergeCell ref="BC99:BG99"/>
    <mergeCell ref="BH99:BM99"/>
    <mergeCell ref="BH100:BM100"/>
    <mergeCell ref="AQ103:AU103"/>
    <mergeCell ref="AV103:BA103"/>
    <mergeCell ref="BC105:BG105"/>
    <mergeCell ref="AQ106:AU106"/>
    <mergeCell ref="AV106:BA106"/>
    <mergeCell ref="C106:L106"/>
    <mergeCell ref="M106:O106"/>
    <mergeCell ref="P106:R106"/>
    <mergeCell ref="S106:Z106"/>
    <mergeCell ref="AB106:AH106"/>
    <mergeCell ref="AB101:AH101"/>
    <mergeCell ref="AI101:AP101"/>
    <mergeCell ref="C102:L102"/>
    <mergeCell ref="M102:O102"/>
    <mergeCell ref="P102:R102"/>
    <mergeCell ref="S102:Z102"/>
    <mergeCell ref="AB102:AH102"/>
    <mergeCell ref="AI102:AP102"/>
    <mergeCell ref="BC104:BG104"/>
    <mergeCell ref="C104:L104"/>
    <mergeCell ref="M104:O104"/>
    <mergeCell ref="P104:R104"/>
    <mergeCell ref="S104:Z104"/>
    <mergeCell ref="AB104:AH104"/>
    <mergeCell ref="AI104:AP104"/>
    <mergeCell ref="AQ104:AU104"/>
    <mergeCell ref="BH105:BM105"/>
    <mergeCell ref="BH106:BM106"/>
    <mergeCell ref="C108:L108"/>
    <mergeCell ref="M108:O108"/>
    <mergeCell ref="P108:R108"/>
    <mergeCell ref="S108:Z108"/>
    <mergeCell ref="AB108:AH108"/>
    <mergeCell ref="AI108:AP108"/>
    <mergeCell ref="AQ107:AU107"/>
    <mergeCell ref="AV107:BA107"/>
    <mergeCell ref="BC107:BG107"/>
    <mergeCell ref="BH107:BM107"/>
    <mergeCell ref="C107:L107"/>
    <mergeCell ref="M107:O107"/>
    <mergeCell ref="P107:R107"/>
    <mergeCell ref="S107:Z107"/>
    <mergeCell ref="AB107:AH107"/>
    <mergeCell ref="AI107:AP107"/>
    <mergeCell ref="AI106:AP106"/>
    <mergeCell ref="BC106:BG106"/>
    <mergeCell ref="C105:L105"/>
    <mergeCell ref="M105:R105"/>
    <mergeCell ref="S105:Z105"/>
    <mergeCell ref="AA105:BA105"/>
    <mergeCell ref="C109:L109"/>
    <mergeCell ref="M109:O109"/>
    <mergeCell ref="P109:R109"/>
    <mergeCell ref="S109:Z109"/>
    <mergeCell ref="AB109:AH109"/>
    <mergeCell ref="AI109:AP109"/>
    <mergeCell ref="AQ109:AU109"/>
    <mergeCell ref="BO109:BT109"/>
    <mergeCell ref="AQ108:AU108"/>
    <mergeCell ref="AV108:BA108"/>
    <mergeCell ref="BC108:BG108"/>
    <mergeCell ref="BH108:BM108"/>
    <mergeCell ref="BO108:BT108"/>
    <mergeCell ref="BO107:BT107"/>
    <mergeCell ref="AV109:BA109"/>
    <mergeCell ref="BC109:BG109"/>
    <mergeCell ref="AQ110:AU110"/>
    <mergeCell ref="AV110:BA110"/>
    <mergeCell ref="BC110:BG110"/>
    <mergeCell ref="BH110:BM110"/>
    <mergeCell ref="BO110:BT110"/>
    <mergeCell ref="BH111:BM111"/>
    <mergeCell ref="BO111:BT111"/>
    <mergeCell ref="BC111:BG111"/>
    <mergeCell ref="CC112:CD112"/>
    <mergeCell ref="C113:L113"/>
    <mergeCell ref="M113:O113"/>
    <mergeCell ref="P113:R113"/>
    <mergeCell ref="S113:Z113"/>
    <mergeCell ref="AB113:AH113"/>
    <mergeCell ref="AI113:AP113"/>
    <mergeCell ref="C110:L110"/>
    <mergeCell ref="M110:O110"/>
    <mergeCell ref="P110:R110"/>
    <mergeCell ref="S110:Z110"/>
    <mergeCell ref="AB110:AH110"/>
    <mergeCell ref="AI110:AP110"/>
    <mergeCell ref="M111:R111"/>
    <mergeCell ref="S111:Z111"/>
    <mergeCell ref="AA111:BA111"/>
    <mergeCell ref="C114:L114"/>
    <mergeCell ref="M114:O114"/>
    <mergeCell ref="P114:R114"/>
    <mergeCell ref="S114:Z114"/>
    <mergeCell ref="AB114:AH114"/>
    <mergeCell ref="BC112:BG112"/>
    <mergeCell ref="AI114:AP114"/>
    <mergeCell ref="AQ114:AU114"/>
    <mergeCell ref="AV114:BA114"/>
    <mergeCell ref="BC114:BG114"/>
    <mergeCell ref="AQ112:AU112"/>
    <mergeCell ref="AV112:BA112"/>
    <mergeCell ref="C112:L112"/>
    <mergeCell ref="M112:O112"/>
    <mergeCell ref="P112:R112"/>
    <mergeCell ref="S112:Z112"/>
    <mergeCell ref="AB112:AH112"/>
    <mergeCell ref="AI112:AP112"/>
    <mergeCell ref="BH114:BM114"/>
    <mergeCell ref="BO114:BT114"/>
    <mergeCell ref="AQ113:AU113"/>
    <mergeCell ref="AV113:BA113"/>
    <mergeCell ref="BC113:BG113"/>
    <mergeCell ref="BH113:BM113"/>
    <mergeCell ref="BO113:BT113"/>
    <mergeCell ref="BH112:BM112"/>
    <mergeCell ref="BO112:BT112"/>
    <mergeCell ref="C116:L116"/>
    <mergeCell ref="M116:O116"/>
    <mergeCell ref="P116:R116"/>
    <mergeCell ref="S116:Z116"/>
    <mergeCell ref="AB116:AH116"/>
    <mergeCell ref="C115:L115"/>
    <mergeCell ref="M115:O115"/>
    <mergeCell ref="P115:R115"/>
    <mergeCell ref="S115:Z115"/>
    <mergeCell ref="AB115:AH115"/>
    <mergeCell ref="AQ115:AU115"/>
    <mergeCell ref="AV115:BA115"/>
    <mergeCell ref="BC115:BG115"/>
    <mergeCell ref="BH115:BM115"/>
    <mergeCell ref="BO115:BT115"/>
    <mergeCell ref="AI115:AP115"/>
    <mergeCell ref="AI116:AP116"/>
    <mergeCell ref="AQ116:AU116"/>
    <mergeCell ref="AV116:BA116"/>
    <mergeCell ref="BC116:BG116"/>
    <mergeCell ref="BH116:BM116"/>
    <mergeCell ref="BO116:BT116"/>
    <mergeCell ref="C117:L117"/>
    <mergeCell ref="M117:R117"/>
    <mergeCell ref="S117:Z117"/>
    <mergeCell ref="AA117:BA117"/>
    <mergeCell ref="BC117:BG117"/>
    <mergeCell ref="BH117:BM117"/>
    <mergeCell ref="BO117:BT117"/>
    <mergeCell ref="C118:L118"/>
    <mergeCell ref="M118:O118"/>
    <mergeCell ref="P118:R118"/>
    <mergeCell ref="S118:Z118"/>
    <mergeCell ref="AB118:AH118"/>
    <mergeCell ref="AI118:AP118"/>
    <mergeCell ref="AQ118:AU118"/>
    <mergeCell ref="AV118:BA118"/>
    <mergeCell ref="BC118:BG118"/>
    <mergeCell ref="BH118:BM118"/>
    <mergeCell ref="BO118:BT118"/>
    <mergeCell ref="CC118:CD118"/>
    <mergeCell ref="C119:L119"/>
    <mergeCell ref="M119:O119"/>
    <mergeCell ref="P119:R119"/>
    <mergeCell ref="S119:Z119"/>
    <mergeCell ref="AB119:AH119"/>
    <mergeCell ref="AI119:AP119"/>
    <mergeCell ref="AQ119:AU119"/>
    <mergeCell ref="AV119:BA119"/>
    <mergeCell ref="BH120:BM120"/>
    <mergeCell ref="BO120:BT120"/>
    <mergeCell ref="C121:L121"/>
    <mergeCell ref="M121:O121"/>
    <mergeCell ref="P121:R121"/>
    <mergeCell ref="S121:Z121"/>
    <mergeCell ref="AB121:AH121"/>
    <mergeCell ref="AI121:AP121"/>
    <mergeCell ref="AQ121:AU121"/>
    <mergeCell ref="AQ120:AU120"/>
    <mergeCell ref="AV120:BA120"/>
    <mergeCell ref="BC120:BG120"/>
    <mergeCell ref="AV121:BA121"/>
    <mergeCell ref="BC121:BG121"/>
    <mergeCell ref="BH121:BM121"/>
    <mergeCell ref="BO121:BT121"/>
    <mergeCell ref="C120:L120"/>
    <mergeCell ref="M120:O120"/>
    <mergeCell ref="P120:R120"/>
    <mergeCell ref="S120:Z120"/>
    <mergeCell ref="AB120:AH120"/>
    <mergeCell ref="AI120:AP120"/>
    <mergeCell ref="BO123:BT123"/>
    <mergeCell ref="C122:L122"/>
    <mergeCell ref="M122:O122"/>
    <mergeCell ref="P122:R122"/>
    <mergeCell ref="S122:Z122"/>
    <mergeCell ref="AB122:AH122"/>
    <mergeCell ref="AI122:AP122"/>
    <mergeCell ref="AQ122:AU122"/>
    <mergeCell ref="AV122:BA122"/>
    <mergeCell ref="BC122:BG122"/>
    <mergeCell ref="BO122:BT122"/>
    <mergeCell ref="C123:L123"/>
    <mergeCell ref="M123:R123"/>
    <mergeCell ref="S123:Z123"/>
    <mergeCell ref="AA123:BA123"/>
    <mergeCell ref="BC123:BG123"/>
    <mergeCell ref="BH123:BM123"/>
    <mergeCell ref="BH122:BM122"/>
    <mergeCell ref="C126:L126"/>
    <mergeCell ref="M126:O126"/>
    <mergeCell ref="P126:R126"/>
    <mergeCell ref="S126:Z126"/>
    <mergeCell ref="AB126:AH126"/>
    <mergeCell ref="AI126:AP126"/>
    <mergeCell ref="C127:L127"/>
    <mergeCell ref="M127:O127"/>
    <mergeCell ref="P127:R127"/>
    <mergeCell ref="S127:Z127"/>
    <mergeCell ref="AB127:AH127"/>
    <mergeCell ref="AQ126:AU126"/>
    <mergeCell ref="AV126:BA126"/>
    <mergeCell ref="AQ127:AU127"/>
    <mergeCell ref="AV127:BA127"/>
    <mergeCell ref="BC127:BG127"/>
    <mergeCell ref="BH127:BM127"/>
    <mergeCell ref="BO127:BT127"/>
    <mergeCell ref="AI127:AP127"/>
    <mergeCell ref="AI128:AP128"/>
    <mergeCell ref="AQ128:AU128"/>
    <mergeCell ref="AV128:BA128"/>
    <mergeCell ref="BC128:BG128"/>
    <mergeCell ref="BH128:BM128"/>
    <mergeCell ref="BO126:BT126"/>
    <mergeCell ref="BC126:BG126"/>
    <mergeCell ref="BH126:BM126"/>
    <mergeCell ref="BO128:BT128"/>
    <mergeCell ref="CC124:CD124"/>
    <mergeCell ref="C125:L125"/>
    <mergeCell ref="M125:O125"/>
    <mergeCell ref="P125:R125"/>
    <mergeCell ref="S125:Z125"/>
    <mergeCell ref="AB125:AH125"/>
    <mergeCell ref="AI125:AP125"/>
    <mergeCell ref="C124:L124"/>
    <mergeCell ref="M124:O124"/>
    <mergeCell ref="AQ125:AU125"/>
    <mergeCell ref="AV125:BA125"/>
    <mergeCell ref="BC125:BG125"/>
    <mergeCell ref="BH125:BM125"/>
    <mergeCell ref="BO125:BT125"/>
    <mergeCell ref="P124:R124"/>
    <mergeCell ref="S124:Z124"/>
    <mergeCell ref="AB124:AH124"/>
    <mergeCell ref="AI124:AP124"/>
    <mergeCell ref="AQ124:AU124"/>
    <mergeCell ref="AV124:BA124"/>
    <mergeCell ref="BO124:BT124"/>
    <mergeCell ref="BC124:BG124"/>
    <mergeCell ref="BH124:BM124"/>
    <mergeCell ref="C128:L128"/>
    <mergeCell ref="M128:O128"/>
    <mergeCell ref="P128:R128"/>
    <mergeCell ref="S128:Z128"/>
    <mergeCell ref="AB128:AH128"/>
    <mergeCell ref="CC130:CD130"/>
    <mergeCell ref="C131:L131"/>
    <mergeCell ref="M131:O131"/>
    <mergeCell ref="P131:R131"/>
    <mergeCell ref="S131:Z131"/>
    <mergeCell ref="AB131:AH131"/>
    <mergeCell ref="AI131:AP131"/>
    <mergeCell ref="AQ131:AU131"/>
    <mergeCell ref="C129:L129"/>
    <mergeCell ref="M129:R129"/>
    <mergeCell ref="S129:Z129"/>
    <mergeCell ref="AA129:BA129"/>
    <mergeCell ref="BC129:BG129"/>
    <mergeCell ref="BH129:BM129"/>
    <mergeCell ref="BO129:BT129"/>
    <mergeCell ref="C130:L130"/>
    <mergeCell ref="M130:O130"/>
    <mergeCell ref="P130:R130"/>
    <mergeCell ref="S130:Z130"/>
    <mergeCell ref="AB130:AH130"/>
    <mergeCell ref="AI130:AP130"/>
    <mergeCell ref="AQ130:AU130"/>
    <mergeCell ref="AV130:BA130"/>
    <mergeCell ref="BC130:BG130"/>
    <mergeCell ref="BC133:BG133"/>
    <mergeCell ref="BH133:BM133"/>
    <mergeCell ref="BO133:BT133"/>
    <mergeCell ref="AQ132:AU132"/>
    <mergeCell ref="AV132:BA132"/>
    <mergeCell ref="BC132:BG132"/>
    <mergeCell ref="BH132:BM132"/>
    <mergeCell ref="BO132:BT132"/>
    <mergeCell ref="BC131:BG131"/>
    <mergeCell ref="BH131:BM131"/>
    <mergeCell ref="BO131:BT131"/>
    <mergeCell ref="AV131:BA131"/>
    <mergeCell ref="AQ133:AU133"/>
    <mergeCell ref="AV133:BA133"/>
    <mergeCell ref="BH130:BM130"/>
    <mergeCell ref="BO130:BT130"/>
    <mergeCell ref="AQ134:AU134"/>
    <mergeCell ref="AV134:BA134"/>
    <mergeCell ref="BC134:BG134"/>
    <mergeCell ref="BH134:BM134"/>
    <mergeCell ref="BO134:BT134"/>
    <mergeCell ref="C135:L135"/>
    <mergeCell ref="M135:R135"/>
    <mergeCell ref="S135:Z135"/>
    <mergeCell ref="AA135:BA135"/>
    <mergeCell ref="BC135:BG135"/>
    <mergeCell ref="CC141:CD141"/>
    <mergeCell ref="C143:L143"/>
    <mergeCell ref="M143:O143"/>
    <mergeCell ref="P143:R143"/>
    <mergeCell ref="S143:Z143"/>
    <mergeCell ref="AB143:AH143"/>
    <mergeCell ref="CC137:CD137"/>
    <mergeCell ref="C139:L139"/>
    <mergeCell ref="M139:O139"/>
    <mergeCell ref="P139:R139"/>
    <mergeCell ref="S139:Z139"/>
    <mergeCell ref="AB139:AH139"/>
    <mergeCell ref="AI139:AP139"/>
    <mergeCell ref="AQ139:AU139"/>
    <mergeCell ref="AV139:BA139"/>
    <mergeCell ref="CC139:CD139"/>
    <mergeCell ref="C137:L137"/>
    <mergeCell ref="M137:O137"/>
    <mergeCell ref="P137:R137"/>
    <mergeCell ref="S137:Z137"/>
    <mergeCell ref="AB137:AH137"/>
    <mergeCell ref="AI137:AP137"/>
    <mergeCell ref="AQ137:AU137"/>
    <mergeCell ref="AV137:BA137"/>
    <mergeCell ref="BY93:BZ93"/>
    <mergeCell ref="AV143:BA143"/>
    <mergeCell ref="M153:U153"/>
    <mergeCell ref="W153:AA153"/>
    <mergeCell ref="AB153:AE153"/>
    <mergeCell ref="AF153:AM153"/>
    <mergeCell ref="AI147:AP147"/>
    <mergeCell ref="V151:AM151"/>
    <mergeCell ref="AI143:AP143"/>
    <mergeCell ref="AQ143:AU143"/>
    <mergeCell ref="M141:O141"/>
    <mergeCell ref="P141:R141"/>
    <mergeCell ref="S141:Z141"/>
    <mergeCell ref="AB141:AH141"/>
    <mergeCell ref="AI141:AP141"/>
    <mergeCell ref="P145:R145"/>
    <mergeCell ref="S145:Z145"/>
    <mergeCell ref="AB145:AH145"/>
    <mergeCell ref="W152:AA152"/>
    <mergeCell ref="BH135:BM135"/>
    <mergeCell ref="BO135:BT135"/>
    <mergeCell ref="M134:O134"/>
    <mergeCell ref="P134:R134"/>
    <mergeCell ref="S134:Z134"/>
    <mergeCell ref="AQ145:AU145"/>
    <mergeCell ref="AV145:BA145"/>
    <mergeCell ref="AQ141:AU141"/>
    <mergeCell ref="AV141:BA141"/>
    <mergeCell ref="C145:E145"/>
    <mergeCell ref="F145:L145"/>
    <mergeCell ref="M145:O145"/>
    <mergeCell ref="AR153:AW153"/>
    <mergeCell ref="C152:L152"/>
    <mergeCell ref="M152:U152"/>
    <mergeCell ref="C141:L141"/>
    <mergeCell ref="A92:A127"/>
    <mergeCell ref="C154:L154"/>
    <mergeCell ref="M154:U154"/>
    <mergeCell ref="W154:AA154"/>
    <mergeCell ref="AB154:AE154"/>
    <mergeCell ref="AF154:AM154"/>
    <mergeCell ref="C153:L153"/>
    <mergeCell ref="C147:H147"/>
    <mergeCell ref="AI145:AP145"/>
    <mergeCell ref="C134:L134"/>
    <mergeCell ref="AB134:AH134"/>
    <mergeCell ref="AI134:AP134"/>
    <mergeCell ref="C132:L132"/>
    <mergeCell ref="M132:O132"/>
    <mergeCell ref="P132:R132"/>
    <mergeCell ref="S132:Z132"/>
    <mergeCell ref="AB132:AH132"/>
    <mergeCell ref="AI132:AP132"/>
    <mergeCell ref="C133:L133"/>
    <mergeCell ref="M133:O133"/>
    <mergeCell ref="P133:R133"/>
    <mergeCell ref="S133:Z133"/>
    <mergeCell ref="AB133:AH133"/>
    <mergeCell ref="AI133:AP133"/>
    <mergeCell ref="BQ151:BS151"/>
    <mergeCell ref="AB152:AE152"/>
    <mergeCell ref="AF152:AM152"/>
    <mergeCell ref="AR152:AW152"/>
    <mergeCell ref="AX152:BC152"/>
    <mergeCell ref="BE152:BJ152"/>
    <mergeCell ref="BL152:BO152"/>
    <mergeCell ref="AF155:AQ155"/>
    <mergeCell ref="AR155:BA155"/>
    <mergeCell ref="BB155:BE155"/>
    <mergeCell ref="BG155:BJ155"/>
    <mergeCell ref="W155:AE155"/>
    <mergeCell ref="M160:U160"/>
    <mergeCell ref="M161:U161"/>
    <mergeCell ref="M162:U162"/>
    <mergeCell ref="BK153:BP153"/>
    <mergeCell ref="AX153:BC153"/>
    <mergeCell ref="BE153:BJ153"/>
    <mergeCell ref="AV147:BA147"/>
    <mergeCell ref="AI149:AP149"/>
    <mergeCell ref="C151:E151"/>
    <mergeCell ref="F151:U151"/>
    <mergeCell ref="C156:L156"/>
    <mergeCell ref="M156:U156"/>
    <mergeCell ref="V156:AA156"/>
    <mergeCell ref="AB156:AG156"/>
    <mergeCell ref="AI156:AM156"/>
    <mergeCell ref="C155:L155"/>
    <mergeCell ref="M155:U155"/>
    <mergeCell ref="C157:E157"/>
    <mergeCell ref="F157:L157"/>
    <mergeCell ref="M157:U157"/>
  </mergeCells>
  <phoneticPr fontId="1"/>
  <dataValidations count="10">
    <dataValidation type="list" allowBlank="1" showInputMessage="1" showErrorMessage="1" sqref="BO51:BS51">
      <formula1>" 6％,13％"</formula1>
    </dataValidation>
    <dataValidation type="list" allowBlank="1" showInputMessage="1" showErrorMessage="1" sqref="AM6:AR6">
      <formula1>$BW$11:$BW$21</formula1>
    </dataValidation>
    <dataValidation type="list" allowBlank="1" showInputMessage="1" showErrorMessage="1" sqref="S93:AF93">
      <formula1>"屋外キュービクル受変電設備,屋内キュービクル受変電設備,開放型受変電設備"</formula1>
    </dataValidation>
    <dataValidation type="list" allowBlank="1" showInputMessage="1" showErrorMessage="1" sqref="AQ39:BE39">
      <formula1>$CK$27:$CK$44</formula1>
    </dataValidation>
    <dataValidation type="list" allowBlank="1" showInputMessage="1" showErrorMessage="1" sqref="AQ47:BE47 AQ41:BE41">
      <formula1>$CM$27:$CM$48</formula1>
    </dataValidation>
    <dataValidation type="list" allowBlank="1" showInputMessage="1" showErrorMessage="1" sqref="AQ43:BE43">
      <formula1>$CS$25:$CS$42</formula1>
    </dataValidation>
    <dataValidation type="list" allowBlank="1" showInputMessage="1" showErrorMessage="1" sqref="AQ45:BE45">
      <formula1>$CS$25:$CS$44</formula1>
    </dataValidation>
    <dataValidation type="list" allowBlank="1" showInputMessage="1" showErrorMessage="1" sqref="BE153:BJ153">
      <formula1>"歩掛-1,歩掛-2,歩掛-3"</formula1>
    </dataValidation>
    <dataValidation type="list" allowBlank="1" showInputMessage="1" showErrorMessage="1" sqref="BE152:BJ152">
      <formula1>"単価-1,単価-2,単価-3,単価-4"</formula1>
    </dataValidation>
    <dataValidation type="list" allowBlank="1" showInputMessage="1" showErrorMessage="1" sqref="BG155:BJ155">
      <formula1>"不要,設置"</formula1>
    </dataValidation>
  </dataValidations>
  <hyperlinks>
    <hyperlink ref="AE3:AI3" location="受変!A93" display="集 計 表"/>
    <hyperlink ref="BQ151:BS151" location="受変!A1" display="Top"/>
    <hyperlink ref="BJ93:BO93" location="引込!A1" display="引込!A1"/>
    <hyperlink ref="BL3:BQ3" r:id="rId1" location="引込!A1" display="引込工事"/>
    <hyperlink ref="BQ93:BS93" location="受変!A1" display="Top"/>
    <hyperlink ref="C147:H147" location="'S3'!B2" display="換気風量"/>
    <hyperlink ref="AK3:AO3" r:id="rId2" location="Help!A627" display="Help"/>
    <hyperlink ref="AQ3:AV3" location="'S3'!A1" display="換気風量"/>
    <hyperlink ref="AX3:BC3" r:id="rId3" location="S4!A1" display="耐震措置"/>
    <hyperlink ref="BE3:BJ3" location="'S5'!A1" display="励磁突入"/>
    <hyperlink ref="Y3:AC3" r:id="rId4" location="Top!A46" display="TopPage"/>
  </hyperlinks>
  <pageMargins left="0.70866141732283472" right="0.59055118110236227" top="0.59055118110236227" bottom="0.59055118110236227" header="0.31496062992125984" footer="0.31496062992125984"/>
  <pageSetup paperSize="9" scale="94" fitToHeight="0" orientation="portrait" r:id="rId5"/>
  <rowBreaks count="1" manualBreakCount="1">
    <brk id="90" min="1" max="72" man="1"/>
  </rowBreaks>
  <colBreaks count="1" manualBreakCount="1">
    <brk id="73" max="1048575" man="1"/>
  </colBreaks>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N84"/>
  <sheetViews>
    <sheetView view="pageBreakPreview" zoomScale="140" zoomScaleSheetLayoutView="140" workbookViewId="0"/>
  </sheetViews>
  <sheetFormatPr defaultRowHeight="14.25"/>
  <cols>
    <col min="1" max="1" width="1.7109375" style="912" customWidth="1"/>
    <col min="2" max="73" width="1.42578125" style="912" customWidth="1"/>
    <col min="74" max="74" width="3.28515625" style="912" customWidth="1"/>
    <col min="75" max="83" width="3.28515625" style="912" hidden="1" customWidth="1"/>
    <col min="84" max="117" width="3.28515625" style="912" customWidth="1"/>
    <col min="118" max="118" width="12.28515625" style="912" bestFit="1" customWidth="1"/>
    <col min="119" max="16384" width="9.140625" style="912"/>
  </cols>
  <sheetData>
    <row r="1" spans="1:116" ht="12" customHeight="1" thickBot="1">
      <c r="A1" s="1727"/>
      <c r="Y1" s="948" t="str">
        <f>IF(B2=0,"このコンピュータの ''日付'' を正しくセットして下さい","")</f>
        <v/>
      </c>
    </row>
    <row r="2" spans="1:116" ht="12" customHeight="1" thickBot="1">
      <c r="B2" s="1367">
        <v>1</v>
      </c>
      <c r="C2" s="1366"/>
      <c r="D2" s="1366"/>
      <c r="E2" s="1366"/>
      <c r="F2" s="1366"/>
      <c r="G2" s="1366"/>
      <c r="H2" s="1366"/>
      <c r="I2" s="1366"/>
      <c r="J2" s="1366"/>
      <c r="K2" s="1366"/>
      <c r="L2" s="1366"/>
      <c r="M2" s="1366"/>
      <c r="N2" s="1366"/>
      <c r="O2" s="1366"/>
      <c r="P2" s="1366"/>
      <c r="Q2" s="1366"/>
      <c r="R2" s="1366"/>
      <c r="S2" s="1366"/>
      <c r="T2" s="1366"/>
      <c r="U2" s="1366"/>
      <c r="V2" s="1366"/>
      <c r="W2" s="1366"/>
      <c r="X2" s="1366"/>
      <c r="Y2" s="1366"/>
      <c r="Z2" s="1366"/>
      <c r="AA2" s="1366"/>
      <c r="AB2" s="1366"/>
      <c r="AC2" s="1366"/>
      <c r="AD2" s="1366"/>
      <c r="AE2" s="1366"/>
      <c r="AF2" s="1366"/>
      <c r="AG2" s="1366"/>
      <c r="AH2" s="1366"/>
      <c r="AI2" s="1366"/>
      <c r="AJ2" s="1366"/>
      <c r="AK2" s="1366"/>
      <c r="AL2" s="1366"/>
      <c r="AM2" s="1366"/>
      <c r="AN2" s="1366"/>
      <c r="AO2" s="1366"/>
      <c r="AP2" s="1366"/>
      <c r="AQ2" s="1366"/>
      <c r="AR2" s="1366"/>
      <c r="AS2" s="1366"/>
      <c r="AT2" s="1366"/>
      <c r="AU2" s="1366"/>
      <c r="AV2" s="1366"/>
      <c r="AW2" s="1366"/>
      <c r="AX2" s="1366"/>
      <c r="AY2" s="1366"/>
      <c r="AZ2" s="1366"/>
      <c r="BA2" s="1366"/>
      <c r="BB2" s="1366"/>
      <c r="BC2" s="1366"/>
      <c r="BD2" s="1366"/>
      <c r="BE2" s="1366"/>
      <c r="BF2" s="1366"/>
      <c r="BG2" s="1366"/>
      <c r="BH2" s="1366"/>
      <c r="BI2" s="1366"/>
      <c r="BJ2" s="1366"/>
      <c r="BK2" s="1366"/>
      <c r="BL2" s="1366"/>
      <c r="BM2" s="1366"/>
      <c r="BN2" s="1366"/>
      <c r="BO2" s="1366"/>
      <c r="BP2" s="1366"/>
      <c r="BQ2" s="1366"/>
      <c r="BR2" s="1366"/>
      <c r="BS2" s="1366"/>
      <c r="BT2" s="1366"/>
      <c r="BU2" s="1365"/>
    </row>
    <row r="3" spans="1:116" ht="12.75" customHeight="1" thickBot="1">
      <c r="B3" s="3853">
        <f>Top!$G$88</f>
        <v>3</v>
      </c>
      <c r="C3" s="3452"/>
      <c r="D3" s="3452"/>
      <c r="E3" s="3370" t="str">
        <f>IF(B2=0,"",Top!$L$88)</f>
        <v xml:space="preserve"> 自家用発電設備工事</v>
      </c>
      <c r="F3" s="3371"/>
      <c r="G3" s="3371"/>
      <c r="H3" s="3371"/>
      <c r="I3" s="3371"/>
      <c r="J3" s="3371"/>
      <c r="K3" s="3371"/>
      <c r="L3" s="3371"/>
      <c r="M3" s="3371"/>
      <c r="N3" s="3371"/>
      <c r="O3" s="3371"/>
      <c r="P3" s="3371"/>
      <c r="Q3" s="3371"/>
      <c r="R3" s="3371"/>
      <c r="S3" s="3371"/>
      <c r="T3" s="3371"/>
      <c r="U3" s="3371"/>
      <c r="V3" s="3371"/>
      <c r="W3" s="3371"/>
      <c r="X3" s="1043"/>
      <c r="Y3" s="3521" t="s">
        <v>2471</v>
      </c>
      <c r="Z3" s="3522"/>
      <c r="AA3" s="3522"/>
      <c r="AB3" s="3522"/>
      <c r="AC3" s="3523"/>
      <c r="AD3" s="925"/>
      <c r="AE3" s="925"/>
      <c r="AF3" s="2773" t="str">
        <f>IF(B2=0,"",受変!W6)</f>
        <v>高圧受電</v>
      </c>
      <c r="AG3" s="2774"/>
      <c r="AH3" s="2774"/>
      <c r="AI3" s="2774"/>
      <c r="AJ3" s="2774"/>
      <c r="AK3" s="2774"/>
      <c r="AL3" s="2775"/>
      <c r="AM3" s="925"/>
      <c r="AN3" s="2778" t="str">
        <f>IF(B2=0,"","周波数")</f>
        <v>周波数</v>
      </c>
      <c r="AO3" s="2779"/>
      <c r="AP3" s="2779"/>
      <c r="AQ3" s="2779"/>
      <c r="AR3" s="3851" t="str">
        <f>IF(B2=0,"",受変!AS59)</f>
        <v>60 Hz</v>
      </c>
      <c r="AS3" s="3851"/>
      <c r="AT3" s="3851"/>
      <c r="AU3" s="3851"/>
      <c r="AV3" s="925"/>
      <c r="AW3" s="925"/>
      <c r="AX3" s="925"/>
      <c r="AY3" s="925"/>
      <c r="AZ3" s="925"/>
      <c r="BA3" s="925"/>
      <c r="BB3" s="925"/>
      <c r="BC3" s="925"/>
      <c r="BD3" s="925"/>
      <c r="BE3" s="925"/>
      <c r="BF3" s="925"/>
      <c r="BG3" s="925"/>
      <c r="BH3" s="925"/>
      <c r="BI3" s="3502" t="s">
        <v>2467</v>
      </c>
      <c r="BJ3" s="3503"/>
      <c r="BK3" s="3503"/>
      <c r="BL3" s="3503"/>
      <c r="BM3" s="3503"/>
      <c r="BN3" s="3504"/>
      <c r="BO3" s="925"/>
      <c r="BP3" s="3521" t="s">
        <v>2469</v>
      </c>
      <c r="BQ3" s="3522"/>
      <c r="BR3" s="3522"/>
      <c r="BS3" s="3522"/>
      <c r="BT3" s="3523"/>
      <c r="BU3" s="1290"/>
      <c r="BW3" s="1126">
        <f>IF(OR(B2=0,K8="不要"),0,1)</f>
        <v>1</v>
      </c>
      <c r="BX3" s="916"/>
      <c r="BZ3" s="916"/>
    </row>
    <row r="4" spans="1:116" ht="6.75" customHeight="1" thickBot="1">
      <c r="B4" s="1292"/>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925"/>
      <c r="BM4" s="925"/>
      <c r="BN4" s="925"/>
      <c r="BO4" s="925"/>
      <c r="BP4" s="1364"/>
      <c r="BQ4" s="925"/>
      <c r="BR4" s="925"/>
      <c r="BS4" s="925"/>
      <c r="BT4" s="925"/>
      <c r="BU4" s="1290"/>
      <c r="BX4" s="916"/>
      <c r="BZ4" s="916"/>
    </row>
    <row r="5" spans="1:116" ht="3" customHeight="1" thickTop="1">
      <c r="B5" s="1362"/>
      <c r="C5" s="3854"/>
      <c r="D5" s="3855"/>
      <c r="E5" s="3855"/>
      <c r="F5" s="3855"/>
      <c r="G5" s="3855"/>
      <c r="H5" s="3855"/>
      <c r="I5" s="3855"/>
      <c r="J5" s="3855"/>
      <c r="K5" s="3855"/>
      <c r="L5" s="3855"/>
      <c r="M5" s="3855"/>
      <c r="N5" s="3855"/>
      <c r="O5" s="3855"/>
      <c r="P5" s="3855"/>
      <c r="Q5" s="3855"/>
      <c r="R5" s="3855"/>
      <c r="S5" s="3855"/>
      <c r="T5" s="3855"/>
      <c r="U5" s="3855"/>
      <c r="V5" s="3855"/>
      <c r="W5" s="3855"/>
      <c r="X5" s="3855"/>
      <c r="Y5" s="3855"/>
      <c r="Z5" s="3855"/>
      <c r="AA5" s="3855"/>
      <c r="AB5" s="3855"/>
      <c r="AC5" s="3855"/>
      <c r="AD5" s="3855"/>
      <c r="AE5" s="3855"/>
      <c r="AF5" s="3855"/>
      <c r="AG5" s="3855"/>
      <c r="AH5" s="3855"/>
      <c r="AI5" s="3855"/>
      <c r="AJ5" s="3855"/>
      <c r="AK5" s="3855"/>
      <c r="AL5" s="3855"/>
      <c r="AM5" s="3855"/>
      <c r="AN5" s="3855"/>
      <c r="AO5" s="3855"/>
      <c r="AP5" s="3855"/>
      <c r="AQ5" s="3855"/>
      <c r="AR5" s="3855"/>
      <c r="AS5" s="3855"/>
      <c r="AT5" s="3855"/>
      <c r="AU5" s="3855"/>
      <c r="AV5" s="3855"/>
      <c r="AW5" s="3855"/>
      <c r="AX5" s="3855"/>
      <c r="AY5" s="3855"/>
      <c r="AZ5" s="3855"/>
      <c r="BA5" s="3855"/>
      <c r="BB5" s="3855"/>
      <c r="BC5" s="3855"/>
      <c r="BD5" s="3855"/>
      <c r="BE5" s="3855"/>
      <c r="BF5" s="3855"/>
      <c r="BG5" s="3855"/>
      <c r="BH5" s="3855"/>
      <c r="BI5" s="3855"/>
      <c r="BJ5" s="3855"/>
      <c r="BK5" s="3855"/>
      <c r="BL5" s="3855"/>
      <c r="BM5" s="3855"/>
      <c r="BN5" s="3855"/>
      <c r="BO5" s="3855"/>
      <c r="BP5" s="3855"/>
      <c r="BQ5" s="3855"/>
      <c r="BR5" s="3855"/>
      <c r="BS5" s="3855"/>
      <c r="BT5" s="3856"/>
      <c r="BU5" s="1361"/>
      <c r="BX5" s="916"/>
      <c r="BZ5" s="916"/>
    </row>
    <row r="6" spans="1:116" ht="12" customHeight="1">
      <c r="B6" s="1362"/>
      <c r="C6" s="3849" t="str">
        <f>IF(B2=0,"","発電機の用途")</f>
        <v>発電機の用途</v>
      </c>
      <c r="D6" s="3005"/>
      <c r="E6" s="3005"/>
      <c r="F6" s="3005"/>
      <c r="G6" s="3005"/>
      <c r="H6" s="3005"/>
      <c r="I6" s="3005"/>
      <c r="J6" s="3005"/>
      <c r="K6" s="3452" t="str">
        <f>IF(B2=0,"",IF(P6&lt;&gt;"",P6,"非常用"))</f>
        <v>非常用</v>
      </c>
      <c r="L6" s="3452"/>
      <c r="M6" s="3452"/>
      <c r="N6" s="3452"/>
      <c r="O6" s="934" t="s">
        <v>2357</v>
      </c>
      <c r="P6" s="3840"/>
      <c r="Q6" s="3841"/>
      <c r="R6" s="3841"/>
      <c r="S6" s="3842"/>
      <c r="T6" s="1304"/>
      <c r="U6" s="3004" t="str">
        <f>IF(OR(B2=0,K8="不要"),"","型 式")</f>
        <v>型 式</v>
      </c>
      <c r="V6" s="3005"/>
      <c r="W6" s="3005"/>
      <c r="X6" s="3006"/>
      <c r="Y6" s="3490" t="str">
        <f>IF(OR(B2=0,K8="不要"),"",IF(AD6&lt;&gt;"",AD6,"屋外型"))</f>
        <v>屋外型</v>
      </c>
      <c r="Z6" s="3490"/>
      <c r="AA6" s="3490"/>
      <c r="AB6" s="3490"/>
      <c r="AC6" s="928" t="s">
        <v>2357</v>
      </c>
      <c r="AD6" s="2762"/>
      <c r="AE6" s="2762"/>
      <c r="AF6" s="2762"/>
      <c r="AG6" s="2762"/>
      <c r="AH6" s="1304"/>
      <c r="AI6" s="3490" t="str">
        <f>IF(OR(B2=0,K8="不要"),"",IF(AR6&lt;&gt;"",AR6,IF(OR(LEFT(M15,3)="第一種",LEFT(M15,3)="第二種"),"低騒音75dB","低騒音85dB")))</f>
        <v>低騒音85dB</v>
      </c>
      <c r="AJ6" s="3490"/>
      <c r="AK6" s="3490"/>
      <c r="AL6" s="3490"/>
      <c r="AM6" s="3490"/>
      <c r="AN6" s="3490"/>
      <c r="AO6" s="3490"/>
      <c r="AP6" s="2773"/>
      <c r="AQ6" s="928" t="s">
        <v>2357</v>
      </c>
      <c r="AR6" s="2772"/>
      <c r="AS6" s="2772"/>
      <c r="AT6" s="2772"/>
      <c r="AU6" s="2772"/>
      <c r="AV6" s="2772"/>
      <c r="AW6" s="3096"/>
      <c r="AX6" s="1304"/>
      <c r="AY6" s="2773" t="str">
        <f>IF(OR(B2=0,K8="不要"),"",IF(K6="常 用","長時間型","短時間型"))</f>
        <v>短時間型</v>
      </c>
      <c r="AZ6" s="2774"/>
      <c r="BA6" s="2774"/>
      <c r="BB6" s="2774"/>
      <c r="BC6" s="2774"/>
      <c r="BD6" s="2775"/>
      <c r="BE6" s="1304"/>
      <c r="BF6" s="3004" t="str">
        <f>IF(OR(B2=0,K8="不要"),"","燃 料")</f>
        <v>燃 料</v>
      </c>
      <c r="BG6" s="3005"/>
      <c r="BH6" s="3005"/>
      <c r="BI6" s="3006"/>
      <c r="BJ6" s="2774" t="str">
        <f>IF(BF6="","",IF(LEFT(AC8,1)="デ","ディーゼル軽油、A重油",IF(LEFT(AC8,1)="ガ","ケロシン、ナフサ、軽油","天然ガス、ガス化石炭")))</f>
        <v>ディーゼル軽油、A重油</v>
      </c>
      <c r="BK6" s="2774"/>
      <c r="BL6" s="2774"/>
      <c r="BM6" s="2774"/>
      <c r="BN6" s="2774"/>
      <c r="BO6" s="2774"/>
      <c r="BP6" s="2774"/>
      <c r="BQ6" s="2774"/>
      <c r="BR6" s="2774"/>
      <c r="BS6" s="2774"/>
      <c r="BT6" s="3852"/>
      <c r="BU6" s="1361"/>
      <c r="BX6" s="1360">
        <v>200</v>
      </c>
      <c r="BY6" s="1360">
        <v>2</v>
      </c>
      <c r="BZ6" s="941"/>
      <c r="CG6" s="936"/>
      <c r="CH6" s="936"/>
      <c r="CI6" s="936"/>
      <c r="CJ6" s="936"/>
      <c r="CK6" s="936"/>
      <c r="CL6" s="936"/>
      <c r="CM6" s="936"/>
      <c r="CN6" s="936"/>
      <c r="CO6" s="936"/>
      <c r="CP6" s="936"/>
      <c r="CQ6" s="936"/>
      <c r="CR6" s="936"/>
      <c r="CS6" s="936"/>
      <c r="CT6" s="936"/>
      <c r="CU6" s="936"/>
      <c r="CV6" s="936"/>
      <c r="CW6" s="936"/>
      <c r="CX6" s="936"/>
      <c r="CY6" s="936"/>
      <c r="CZ6" s="936"/>
      <c r="DA6" s="936"/>
      <c r="DB6" s="936"/>
      <c r="DC6" s="936"/>
      <c r="DD6" s="936"/>
      <c r="DE6" s="936"/>
      <c r="DF6" s="936"/>
      <c r="DG6" s="936"/>
      <c r="DH6" s="936"/>
      <c r="DI6" s="936"/>
      <c r="DJ6" s="936"/>
    </row>
    <row r="7" spans="1:116" ht="4.5" customHeight="1">
      <c r="B7" s="1362"/>
      <c r="C7" s="3831"/>
      <c r="D7" s="3832"/>
      <c r="E7" s="3832"/>
      <c r="F7" s="3832"/>
      <c r="G7" s="3832"/>
      <c r="H7" s="3832"/>
      <c r="I7" s="3832"/>
      <c r="J7" s="3832"/>
      <c r="K7" s="3832"/>
      <c r="L7" s="3832"/>
      <c r="M7" s="3832"/>
      <c r="N7" s="3832"/>
      <c r="O7" s="3832"/>
      <c r="P7" s="3832"/>
      <c r="Q7" s="3832"/>
      <c r="R7" s="3832"/>
      <c r="S7" s="3832"/>
      <c r="T7" s="3832"/>
      <c r="U7" s="3832"/>
      <c r="V7" s="3832"/>
      <c r="W7" s="3832"/>
      <c r="X7" s="3832"/>
      <c r="Y7" s="3832"/>
      <c r="Z7" s="3832"/>
      <c r="AA7" s="3832"/>
      <c r="AB7" s="3832"/>
      <c r="AC7" s="3832"/>
      <c r="AD7" s="3832"/>
      <c r="AE7" s="3832"/>
      <c r="AF7" s="3832"/>
      <c r="AG7" s="3832"/>
      <c r="AH7" s="3832"/>
      <c r="AI7" s="3832"/>
      <c r="AJ7" s="3832"/>
      <c r="AK7" s="3832"/>
      <c r="AL7" s="3832"/>
      <c r="AM7" s="3832"/>
      <c r="AN7" s="3832"/>
      <c r="AO7" s="3832"/>
      <c r="AP7" s="3832"/>
      <c r="AQ7" s="3832"/>
      <c r="AR7" s="3832"/>
      <c r="AS7" s="3832"/>
      <c r="AT7" s="3832"/>
      <c r="AU7" s="3832"/>
      <c r="AV7" s="3832"/>
      <c r="AW7" s="3832"/>
      <c r="AX7" s="3832"/>
      <c r="AY7" s="3832"/>
      <c r="AZ7" s="3832"/>
      <c r="BA7" s="3832"/>
      <c r="BB7" s="3832"/>
      <c r="BC7" s="3832"/>
      <c r="BD7" s="3832"/>
      <c r="BE7" s="3832"/>
      <c r="BF7" s="3832"/>
      <c r="BG7" s="3832"/>
      <c r="BH7" s="3832"/>
      <c r="BI7" s="3832"/>
      <c r="BJ7" s="3832"/>
      <c r="BK7" s="3832"/>
      <c r="BL7" s="3832"/>
      <c r="BM7" s="3832"/>
      <c r="BN7" s="3832"/>
      <c r="BO7" s="3832"/>
      <c r="BP7" s="3832"/>
      <c r="BQ7" s="3832"/>
      <c r="BR7" s="3832"/>
      <c r="BS7" s="3832"/>
      <c r="BT7" s="3833"/>
      <c r="BU7" s="1361"/>
      <c r="BX7" s="1360">
        <v>220</v>
      </c>
      <c r="BY7" s="1360">
        <v>4</v>
      </c>
      <c r="BZ7" s="941"/>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row>
    <row r="8" spans="1:116" ht="12" customHeight="1">
      <c r="B8" s="1362"/>
      <c r="C8" s="3849" t="str">
        <f>IF(B2=0,"","発電機　設備")</f>
        <v>発電機　設備</v>
      </c>
      <c r="D8" s="3005"/>
      <c r="E8" s="3005"/>
      <c r="F8" s="3005"/>
      <c r="G8" s="3005"/>
      <c r="H8" s="3005"/>
      <c r="I8" s="3005"/>
      <c r="J8" s="3006"/>
      <c r="K8" s="3452" t="str">
        <f>IF(B2=0,"",IF(P8&lt;&gt;"",P8,IF(OR([9]Top!$BJ$76="要",[9]Top!$BJ$77="要",[9]Top!$BJ$78="要",[9]Top!$BJ$79="要",[9]Top!$BJ$80="要",[9]Top!$BJ$81="要"),"必要","不要")))</f>
        <v>必要</v>
      </c>
      <c r="L8" s="3452"/>
      <c r="M8" s="3452"/>
      <c r="N8" s="3452"/>
      <c r="O8" s="928" t="s">
        <v>2357</v>
      </c>
      <c r="P8" s="3839"/>
      <c r="Q8" s="3839"/>
      <c r="R8" s="3839"/>
      <c r="S8" s="3839"/>
      <c r="T8" s="1304"/>
      <c r="U8" s="3004" t="str">
        <f>IF(OR(B2=0,K8="不要"),"","エンジンの種類")</f>
        <v>エンジンの種類</v>
      </c>
      <c r="V8" s="3005"/>
      <c r="W8" s="3005"/>
      <c r="X8" s="3005"/>
      <c r="Y8" s="3005"/>
      <c r="Z8" s="3005"/>
      <c r="AA8" s="3005"/>
      <c r="AB8" s="3006"/>
      <c r="AC8" s="2773" t="str">
        <f>IF(BW3=0,"",IF(AN8&lt;&gt;"",AN8,IF(K8="必要","ディーゼル・エンジン","")))</f>
        <v>ディーゼル・エンジン</v>
      </c>
      <c r="AD8" s="2774"/>
      <c r="AE8" s="2774"/>
      <c r="AF8" s="2774"/>
      <c r="AG8" s="2774"/>
      <c r="AH8" s="2774"/>
      <c r="AI8" s="2774"/>
      <c r="AJ8" s="2774"/>
      <c r="AK8" s="2774"/>
      <c r="AL8" s="2774"/>
      <c r="AM8" s="928" t="s">
        <v>2357</v>
      </c>
      <c r="AN8" s="2762"/>
      <c r="AO8" s="2762"/>
      <c r="AP8" s="2762"/>
      <c r="AQ8" s="2762"/>
      <c r="AR8" s="2762"/>
      <c r="AS8" s="2762"/>
      <c r="AT8" s="2762"/>
      <c r="AU8" s="2762"/>
      <c r="AV8" s="2762"/>
      <c r="AW8" s="2762"/>
      <c r="AX8" s="1304"/>
      <c r="AY8" s="2773" t="str">
        <f>IF(BK8&lt;&gt;"",BK8,IF(OR(B2=0,K8="不要"),"",IF(LEFT(AC8,1)&lt;&gt;"デ","単独排気方式(GE)",IF(BM18&lt;=200,"空冷ラジエータ方式(DE)","水冷ラジエータ方式(DE)"))))</f>
        <v>水冷ラジエータ方式(DE)</v>
      </c>
      <c r="AZ8" s="2774"/>
      <c r="BA8" s="2774"/>
      <c r="BB8" s="2774"/>
      <c r="BC8" s="2774"/>
      <c r="BD8" s="2774"/>
      <c r="BE8" s="2774"/>
      <c r="BF8" s="2774"/>
      <c r="BG8" s="2774"/>
      <c r="BH8" s="2774"/>
      <c r="BI8" s="2775"/>
      <c r="BJ8" s="928" t="s">
        <v>2357</v>
      </c>
      <c r="BK8" s="3846"/>
      <c r="BL8" s="3847"/>
      <c r="BM8" s="3847"/>
      <c r="BN8" s="3847"/>
      <c r="BO8" s="3847"/>
      <c r="BP8" s="3847"/>
      <c r="BQ8" s="3847"/>
      <c r="BR8" s="3847"/>
      <c r="BS8" s="3847"/>
      <c r="BT8" s="3848"/>
      <c r="BU8" s="1361"/>
      <c r="BX8" s="1360">
        <v>400</v>
      </c>
      <c r="BY8" s="1360">
        <v>6</v>
      </c>
      <c r="BZ8" s="941"/>
      <c r="CG8" s="936"/>
      <c r="CH8" s="936"/>
      <c r="CI8" s="936"/>
      <c r="CJ8" s="936"/>
      <c r="CK8" s="936"/>
      <c r="CL8" s="936"/>
      <c r="CM8" s="936"/>
      <c r="CN8" s="936"/>
      <c r="CO8" s="936"/>
      <c r="CP8" s="936"/>
      <c r="CQ8" s="936"/>
      <c r="CR8" s="936"/>
      <c r="CS8" s="936"/>
      <c r="CT8" s="936"/>
      <c r="CU8" s="936"/>
      <c r="CV8" s="936"/>
      <c r="CW8" s="936"/>
      <c r="CX8" s="936"/>
      <c r="CY8" s="936"/>
      <c r="CZ8" s="936"/>
      <c r="DA8" s="936"/>
      <c r="DB8" s="936"/>
      <c r="DC8" s="936"/>
      <c r="DD8" s="936"/>
      <c r="DE8" s="936"/>
      <c r="DF8" s="936"/>
      <c r="DG8" s="936"/>
      <c r="DH8" s="936"/>
      <c r="DI8" s="936"/>
      <c r="DJ8" s="936"/>
    </row>
    <row r="9" spans="1:116" ht="4.5" customHeight="1">
      <c r="B9" s="1362"/>
      <c r="C9" s="3831"/>
      <c r="D9" s="3832"/>
      <c r="E9" s="3832"/>
      <c r="F9" s="3832"/>
      <c r="G9" s="3832"/>
      <c r="H9" s="3832"/>
      <c r="I9" s="3832"/>
      <c r="J9" s="3832"/>
      <c r="K9" s="3832"/>
      <c r="L9" s="3832"/>
      <c r="M9" s="3832"/>
      <c r="N9" s="3832"/>
      <c r="O9" s="3832"/>
      <c r="P9" s="3832"/>
      <c r="Q9" s="3832"/>
      <c r="R9" s="3832"/>
      <c r="S9" s="3832"/>
      <c r="T9" s="3832"/>
      <c r="U9" s="3832"/>
      <c r="V9" s="3832"/>
      <c r="W9" s="3832"/>
      <c r="X9" s="3832"/>
      <c r="Y9" s="3832"/>
      <c r="Z9" s="3832"/>
      <c r="AA9" s="3832"/>
      <c r="AB9" s="3832"/>
      <c r="AC9" s="3832"/>
      <c r="AD9" s="3832"/>
      <c r="AE9" s="3832"/>
      <c r="AF9" s="3832"/>
      <c r="AG9" s="3832"/>
      <c r="AH9" s="3832"/>
      <c r="AI9" s="3832"/>
      <c r="AJ9" s="3832"/>
      <c r="AK9" s="3832"/>
      <c r="AL9" s="3832"/>
      <c r="AM9" s="3832"/>
      <c r="AN9" s="3832"/>
      <c r="AO9" s="3832"/>
      <c r="AP9" s="3832"/>
      <c r="AQ9" s="3832"/>
      <c r="AR9" s="3832"/>
      <c r="AS9" s="3832"/>
      <c r="AT9" s="3832"/>
      <c r="AU9" s="3832"/>
      <c r="AV9" s="3832"/>
      <c r="AW9" s="3832"/>
      <c r="AX9" s="3832"/>
      <c r="AY9" s="3832"/>
      <c r="AZ9" s="3832"/>
      <c r="BA9" s="3832"/>
      <c r="BB9" s="3832"/>
      <c r="BC9" s="3832"/>
      <c r="BD9" s="3832"/>
      <c r="BE9" s="3832"/>
      <c r="BF9" s="3832"/>
      <c r="BG9" s="3832"/>
      <c r="BH9" s="3832"/>
      <c r="BI9" s="3832"/>
      <c r="BJ9" s="3832"/>
      <c r="BK9" s="3832"/>
      <c r="BL9" s="3832"/>
      <c r="BM9" s="3832"/>
      <c r="BN9" s="3832"/>
      <c r="BO9" s="3832"/>
      <c r="BP9" s="3832"/>
      <c r="BQ9" s="3832"/>
      <c r="BR9" s="3832"/>
      <c r="BS9" s="3832"/>
      <c r="BT9" s="3833"/>
      <c r="BU9" s="1361"/>
      <c r="BX9" s="1360">
        <v>420</v>
      </c>
      <c r="BY9" s="1360">
        <v>8</v>
      </c>
      <c r="BZ9" s="941"/>
      <c r="CG9" s="936"/>
      <c r="CH9" s="936"/>
      <c r="CI9" s="936"/>
      <c r="CJ9" s="936"/>
      <c r="CK9" s="936"/>
      <c r="CL9" s="936"/>
      <c r="CM9" s="936"/>
      <c r="CN9" s="936"/>
      <c r="CO9" s="936"/>
      <c r="CP9" s="936"/>
      <c r="CQ9" s="936"/>
      <c r="CR9" s="936"/>
      <c r="CS9" s="936"/>
      <c r="CT9" s="936"/>
      <c r="CU9" s="936"/>
      <c r="CV9" s="936"/>
      <c r="CW9" s="936"/>
      <c r="CX9" s="936"/>
      <c r="CY9" s="936"/>
      <c r="CZ9" s="936"/>
      <c r="DA9" s="936"/>
      <c r="DB9" s="936"/>
      <c r="DC9" s="936"/>
      <c r="DD9" s="936"/>
      <c r="DE9" s="936"/>
      <c r="DF9" s="936"/>
      <c r="DG9" s="936"/>
      <c r="DH9" s="936"/>
      <c r="DI9" s="936"/>
      <c r="DJ9" s="936"/>
    </row>
    <row r="10" spans="1:116" ht="12" customHeight="1">
      <c r="B10" s="1362"/>
      <c r="C10" s="3849" t="str">
        <f>IF(B2=0,"","発電機の仕様")</f>
        <v>発電機の仕様</v>
      </c>
      <c r="D10" s="3005"/>
      <c r="E10" s="3005"/>
      <c r="F10" s="3005"/>
      <c r="G10" s="3005"/>
      <c r="H10" s="3005"/>
      <c r="I10" s="3005"/>
      <c r="J10" s="3006"/>
      <c r="K10" s="1304"/>
      <c r="L10" s="3004" t="str">
        <f>IF(OR(B2=0,K8="不要"),"","電圧[V]")</f>
        <v>電圧[V]</v>
      </c>
      <c r="M10" s="3005"/>
      <c r="N10" s="3005"/>
      <c r="O10" s="3005"/>
      <c r="P10" s="3006"/>
      <c r="Q10" s="3490">
        <f>IF(W10&lt;&gt;"",W10,IF(OR(B2=0,K8="不要"),"",IF(AND(LEFT(AC8,1)="デ",BX59&lt;=300,LEFT(AR3,1)="5"),200,IF(AND(LEFT(AC8,1)="デ",BY59&lt;=300,LEFT(AR3,1)="6"),220,IF(AND(LEFT(AC8,1)="ガ",LEFT(AR3,1)="5",BM18&lt;=300),200,IF(AND(LEFT(AC8,1)="ガ",LEFT(AR3,1)="6",BM18&lt;=300),220,6600))))))</f>
        <v>220</v>
      </c>
      <c r="R10" s="3490"/>
      <c r="S10" s="3490"/>
      <c r="T10" s="3490"/>
      <c r="U10" s="3490"/>
      <c r="V10" s="928" t="s">
        <v>2357</v>
      </c>
      <c r="W10" s="2762"/>
      <c r="X10" s="2762"/>
      <c r="Y10" s="2762"/>
      <c r="Z10" s="2762"/>
      <c r="AA10" s="1304"/>
      <c r="AB10" s="3277" t="str">
        <f>IF(OR(B2=0,K8="不要"),"","極数")</f>
        <v>極数</v>
      </c>
      <c r="AC10" s="3277"/>
      <c r="AD10" s="3277"/>
      <c r="AE10" s="3217">
        <f>IF(B2=0,"",IF(AI10&lt;&gt;"",AI10,IF(K8="不要","",IF(K6="常 用",8,IF(AND(LEFT(AC8,1)="デ",BM18&gt;=47),4,2)))))</f>
        <v>4</v>
      </c>
      <c r="AF10" s="3218"/>
      <c r="AG10" s="3850"/>
      <c r="AH10" s="928" t="s">
        <v>2357</v>
      </c>
      <c r="AI10" s="2762"/>
      <c r="AJ10" s="2762"/>
      <c r="AK10" s="2762"/>
      <c r="AL10" s="1304"/>
      <c r="AM10" s="3277" t="str">
        <f>IF(OR(B2=0,K8="不要"),"","力率")</f>
        <v>力率</v>
      </c>
      <c r="AN10" s="3277"/>
      <c r="AO10" s="3277"/>
      <c r="AP10" s="3490">
        <f>IF(OR(B2=0,K8="不要"),"",0.8)</f>
        <v>0.8</v>
      </c>
      <c r="AQ10" s="3490"/>
      <c r="AR10" s="3490"/>
      <c r="AS10" s="1304"/>
      <c r="AT10" s="3277" t="str">
        <f>IF(BW3=0,"","発電機回転数 [rpm]")</f>
        <v>発電機回転数 [rpm]</v>
      </c>
      <c r="AU10" s="3277"/>
      <c r="AV10" s="3277"/>
      <c r="AW10" s="3277"/>
      <c r="AX10" s="3277"/>
      <c r="AY10" s="3277"/>
      <c r="AZ10" s="3277"/>
      <c r="BA10" s="3277"/>
      <c r="BB10" s="3277"/>
      <c r="BC10" s="3277"/>
      <c r="BD10" s="3277"/>
      <c r="BE10" s="3827">
        <f>IF(OR(B2=0,K8="不要"),"",IF(AR3="50 Hz",120*50/AE10,120*60/AE10))</f>
        <v>1800</v>
      </c>
      <c r="BF10" s="3827"/>
      <c r="BG10" s="3827"/>
      <c r="BH10" s="3827"/>
      <c r="BI10" s="3827"/>
      <c r="BJ10" s="1304"/>
      <c r="BK10" s="3490" t="str">
        <f>IF(K6="常 用","系統連係運転 要","")</f>
        <v/>
      </c>
      <c r="BL10" s="3490"/>
      <c r="BM10" s="3490"/>
      <c r="BN10" s="3490"/>
      <c r="BO10" s="3490"/>
      <c r="BP10" s="3490"/>
      <c r="BQ10" s="3490"/>
      <c r="BR10" s="3490"/>
      <c r="BS10" s="3490"/>
      <c r="BT10" s="3828"/>
      <c r="BU10" s="1361"/>
      <c r="BX10" s="1360">
        <v>440</v>
      </c>
      <c r="BY10" s="1360">
        <v>10</v>
      </c>
      <c r="BZ10" s="941"/>
      <c r="CA10" s="1004"/>
      <c r="CB10" s="3829"/>
      <c r="CC10" s="3830"/>
      <c r="CG10" s="936"/>
      <c r="CH10" s="936"/>
      <c r="CI10" s="936"/>
      <c r="CJ10" s="936"/>
      <c r="CK10" s="936"/>
      <c r="CL10" s="936"/>
      <c r="CM10" s="936"/>
      <c r="CN10" s="936"/>
      <c r="CO10" s="936"/>
      <c r="CP10" s="936"/>
      <c r="CQ10" s="936"/>
      <c r="CR10" s="936"/>
      <c r="CS10" s="936"/>
      <c r="CT10" s="936"/>
      <c r="CU10" s="936"/>
      <c r="CV10" s="936"/>
      <c r="CW10" s="936"/>
      <c r="CX10" s="936"/>
      <c r="CY10" s="936"/>
      <c r="CZ10" s="936"/>
      <c r="DA10" s="936"/>
      <c r="DB10" s="936"/>
      <c r="DC10" s="936"/>
      <c r="DD10" s="936"/>
      <c r="DE10" s="936"/>
      <c r="DF10" s="936"/>
      <c r="DG10" s="936"/>
      <c r="DH10" s="936"/>
      <c r="DI10" s="936"/>
      <c r="DJ10" s="936"/>
    </row>
    <row r="11" spans="1:116" ht="4.5" customHeight="1">
      <c r="B11" s="1362"/>
      <c r="C11" s="3831"/>
      <c r="D11" s="3832"/>
      <c r="E11" s="3832"/>
      <c r="F11" s="3832"/>
      <c r="G11" s="3832"/>
      <c r="H11" s="3832"/>
      <c r="I11" s="3832"/>
      <c r="J11" s="3832"/>
      <c r="K11" s="3832"/>
      <c r="L11" s="3832"/>
      <c r="M11" s="3832"/>
      <c r="N11" s="3832"/>
      <c r="O11" s="3832"/>
      <c r="P11" s="3832"/>
      <c r="Q11" s="3832"/>
      <c r="R11" s="3832"/>
      <c r="S11" s="3832"/>
      <c r="T11" s="3832"/>
      <c r="U11" s="3832"/>
      <c r="V11" s="3832"/>
      <c r="W11" s="3832"/>
      <c r="X11" s="3832"/>
      <c r="Y11" s="3832"/>
      <c r="Z11" s="3832"/>
      <c r="AA11" s="3832"/>
      <c r="AB11" s="3832"/>
      <c r="AC11" s="3832"/>
      <c r="AD11" s="3832"/>
      <c r="AE11" s="3832"/>
      <c r="AF11" s="3832"/>
      <c r="AG11" s="3832"/>
      <c r="AH11" s="3832"/>
      <c r="AI11" s="3832"/>
      <c r="AJ11" s="3832"/>
      <c r="AK11" s="3832"/>
      <c r="AL11" s="3832"/>
      <c r="AM11" s="3832"/>
      <c r="AN11" s="3832"/>
      <c r="AO11" s="3832"/>
      <c r="AP11" s="3832"/>
      <c r="AQ11" s="3832"/>
      <c r="AR11" s="3832"/>
      <c r="AS11" s="3832"/>
      <c r="AT11" s="3832"/>
      <c r="AU11" s="3832"/>
      <c r="AV11" s="3832"/>
      <c r="AW11" s="3832"/>
      <c r="AX11" s="3832"/>
      <c r="AY11" s="3832"/>
      <c r="AZ11" s="3832"/>
      <c r="BA11" s="3832"/>
      <c r="BB11" s="3832"/>
      <c r="BC11" s="3832"/>
      <c r="BD11" s="3832"/>
      <c r="BE11" s="3832"/>
      <c r="BF11" s="3832"/>
      <c r="BG11" s="3832"/>
      <c r="BH11" s="3832"/>
      <c r="BI11" s="3832"/>
      <c r="BJ11" s="3832"/>
      <c r="BK11" s="3832"/>
      <c r="BL11" s="3832"/>
      <c r="BM11" s="3832"/>
      <c r="BN11" s="3832"/>
      <c r="BO11" s="3832"/>
      <c r="BP11" s="3832"/>
      <c r="BQ11" s="3832"/>
      <c r="BR11" s="3832"/>
      <c r="BS11" s="3832"/>
      <c r="BT11" s="3833"/>
      <c r="BU11" s="1361"/>
      <c r="BX11" s="1360">
        <v>3300</v>
      </c>
      <c r="BY11" s="1360">
        <v>12</v>
      </c>
      <c r="BZ11" s="941"/>
      <c r="CA11" s="1004"/>
      <c r="CB11" s="3830"/>
      <c r="CC11" s="3830"/>
      <c r="CG11" s="936"/>
      <c r="CH11" s="936"/>
      <c r="CI11" s="936"/>
      <c r="CJ11" s="936"/>
      <c r="CK11" s="936"/>
      <c r="CL11" s="936"/>
      <c r="CM11" s="936"/>
      <c r="CN11" s="936"/>
      <c r="CO11" s="936"/>
      <c r="CP11" s="936"/>
      <c r="CQ11" s="936"/>
      <c r="CR11" s="936"/>
      <c r="CS11" s="936"/>
      <c r="CT11" s="936"/>
      <c r="CU11" s="936"/>
      <c r="CV11" s="936"/>
      <c r="CW11" s="936"/>
      <c r="CX11" s="936"/>
      <c r="CY11" s="936"/>
      <c r="CZ11" s="936"/>
      <c r="DA11" s="936"/>
      <c r="DB11" s="936"/>
      <c r="DC11" s="936"/>
      <c r="DD11" s="936"/>
      <c r="DE11" s="936"/>
      <c r="DF11" s="936"/>
      <c r="DG11" s="936"/>
      <c r="DH11" s="936"/>
      <c r="DI11" s="936"/>
      <c r="DJ11" s="936"/>
    </row>
    <row r="12" spans="1:116" ht="12" customHeight="1">
      <c r="B12" s="1362"/>
      <c r="C12" s="3834" t="s">
        <v>3101</v>
      </c>
      <c r="D12" s="3835"/>
      <c r="E12" s="3835"/>
      <c r="F12" s="3835"/>
      <c r="G12" s="3835"/>
      <c r="H12" s="3835"/>
      <c r="I12" s="3835"/>
      <c r="J12" s="3835"/>
      <c r="K12" s="3836"/>
      <c r="L12" s="3004" t="str">
        <f>IF(OR(B2=0,K8="不要"),"","定格電流[A]")</f>
        <v>定格電流[A]</v>
      </c>
      <c r="M12" s="3005"/>
      <c r="N12" s="3005"/>
      <c r="O12" s="3005"/>
      <c r="P12" s="3005"/>
      <c r="Q12" s="3005"/>
      <c r="R12" s="3006"/>
      <c r="S12" s="3837">
        <f>IF(L12="","",BZ59*1000/SQRT(3)/Q10)</f>
        <v>656.07985135184742</v>
      </c>
      <c r="T12" s="3837"/>
      <c r="U12" s="3837"/>
      <c r="V12" s="3837"/>
      <c r="W12" s="3837"/>
      <c r="X12" s="1363"/>
      <c r="Y12" s="3277" t="str">
        <f>IF(B2=0,"","質量")</f>
        <v>質量</v>
      </c>
      <c r="Z12" s="3277"/>
      <c r="AA12" s="3277"/>
      <c r="AB12" s="2773" t="str">
        <f>IF(OR(B2=0,K8="不要"),"",VLOOKUP(CF15,発電機質量,CI14,FALSE)&amp;" t")</f>
        <v>3.37 t</v>
      </c>
      <c r="AC12" s="2774"/>
      <c r="AD12" s="2774"/>
      <c r="AE12" s="2774"/>
      <c r="AF12" s="2775"/>
      <c r="AG12" s="1363"/>
      <c r="AH12" s="3277" t="str">
        <f>IF(B2=0,"","設置階")</f>
        <v>設置階</v>
      </c>
      <c r="AI12" s="3277"/>
      <c r="AJ12" s="3277"/>
      <c r="AK12" s="3277"/>
      <c r="AL12" s="3490" t="str">
        <f>IF(OR(B2=0,K8="不要"),"",IF(AP12&lt;&gt;"",AP12,"  1F"))</f>
        <v xml:space="preserve">  1F</v>
      </c>
      <c r="AM12" s="3490"/>
      <c r="AN12" s="2773"/>
      <c r="AO12" s="928" t="s">
        <v>2359</v>
      </c>
      <c r="AP12" s="3838"/>
      <c r="AQ12" s="3839"/>
      <c r="AR12" s="3839"/>
      <c r="AS12" s="1363"/>
      <c r="AT12" s="3277" t="str">
        <f>IF(BW3=0,"","エンジン回転数 [rpm]")</f>
        <v>エンジン回転数 [rpm]</v>
      </c>
      <c r="AU12" s="3277"/>
      <c r="AV12" s="3277"/>
      <c r="AW12" s="3277"/>
      <c r="AX12" s="3277"/>
      <c r="AY12" s="3277"/>
      <c r="AZ12" s="3277"/>
      <c r="BA12" s="3277"/>
      <c r="BB12" s="3277"/>
      <c r="BC12" s="3277"/>
      <c r="BD12" s="3277"/>
      <c r="BE12" s="3827">
        <f>IF(K8="不要","",IF(LEFT(AC8,1)="ガ",LEFT(AZ55,5),BE10))</f>
        <v>1800</v>
      </c>
      <c r="BF12" s="3827"/>
      <c r="BG12" s="3827"/>
      <c r="BH12" s="3827"/>
      <c r="BI12" s="3827"/>
      <c r="BJ12" s="1363"/>
      <c r="BK12" s="3490" t="str">
        <f>IF(K8="不要","",IF(LEFT(AC8,1)="ガ","減速ギャ装置 要",""))</f>
        <v/>
      </c>
      <c r="BL12" s="3490"/>
      <c r="BM12" s="3490"/>
      <c r="BN12" s="3490"/>
      <c r="BO12" s="3490"/>
      <c r="BP12" s="3490"/>
      <c r="BQ12" s="3490"/>
      <c r="BR12" s="3490"/>
      <c r="BS12" s="3490"/>
      <c r="BT12" s="3828"/>
      <c r="BU12" s="1361"/>
      <c r="BX12" s="1360">
        <v>6600</v>
      </c>
      <c r="BY12" s="1360">
        <v>16</v>
      </c>
      <c r="BZ12" s="941"/>
      <c r="CA12" s="1140"/>
      <c r="CB12" s="942"/>
      <c r="CC12" s="942"/>
      <c r="CG12" s="936"/>
      <c r="CH12" s="936"/>
      <c r="CI12" s="936"/>
      <c r="CJ12" s="936"/>
      <c r="CK12" s="936"/>
      <c r="CL12" s="936"/>
      <c r="CM12" s="936"/>
      <c r="CN12" s="936"/>
      <c r="CO12" s="936"/>
      <c r="CP12" s="936"/>
      <c r="CQ12" s="936"/>
      <c r="CR12" s="936"/>
      <c r="CS12" s="936"/>
      <c r="CT12" s="936"/>
      <c r="CU12" s="936"/>
      <c r="CV12" s="936"/>
      <c r="CW12" s="936"/>
      <c r="CX12" s="936"/>
      <c r="CY12" s="936"/>
      <c r="CZ12" s="936"/>
      <c r="DA12" s="936"/>
      <c r="DB12" s="936"/>
      <c r="DC12" s="936"/>
      <c r="DD12" s="936"/>
      <c r="DE12" s="936"/>
      <c r="DF12" s="936"/>
      <c r="DG12" s="936"/>
      <c r="DH12" s="936"/>
      <c r="DI12" s="936"/>
      <c r="DJ12" s="936"/>
    </row>
    <row r="13" spans="1:116" ht="3" customHeight="1" thickBot="1">
      <c r="B13" s="1362"/>
      <c r="C13" s="3843"/>
      <c r="D13" s="3844"/>
      <c r="E13" s="3844"/>
      <c r="F13" s="3844"/>
      <c r="G13" s="3844"/>
      <c r="H13" s="3844"/>
      <c r="I13" s="3844"/>
      <c r="J13" s="3844"/>
      <c r="K13" s="3844"/>
      <c r="L13" s="3844"/>
      <c r="M13" s="3844"/>
      <c r="N13" s="3844"/>
      <c r="O13" s="3844"/>
      <c r="P13" s="3844"/>
      <c r="Q13" s="3844"/>
      <c r="R13" s="3844"/>
      <c r="S13" s="3844"/>
      <c r="T13" s="3844"/>
      <c r="U13" s="3844"/>
      <c r="V13" s="3844"/>
      <c r="W13" s="3844"/>
      <c r="X13" s="3844"/>
      <c r="Y13" s="3844"/>
      <c r="Z13" s="3844"/>
      <c r="AA13" s="3844"/>
      <c r="AB13" s="3844"/>
      <c r="AC13" s="3844"/>
      <c r="AD13" s="3844"/>
      <c r="AE13" s="3844"/>
      <c r="AF13" s="3844"/>
      <c r="AG13" s="3844"/>
      <c r="AH13" s="3844"/>
      <c r="AI13" s="3844"/>
      <c r="AJ13" s="3844"/>
      <c r="AK13" s="3844"/>
      <c r="AL13" s="3844"/>
      <c r="AM13" s="3844"/>
      <c r="AN13" s="3844"/>
      <c r="AO13" s="3844"/>
      <c r="AP13" s="3844"/>
      <c r="AQ13" s="3844"/>
      <c r="AR13" s="3844"/>
      <c r="AS13" s="3844"/>
      <c r="AT13" s="3844"/>
      <c r="AU13" s="3844"/>
      <c r="AV13" s="3844"/>
      <c r="AW13" s="3844"/>
      <c r="AX13" s="3844"/>
      <c r="AY13" s="3844"/>
      <c r="AZ13" s="3844"/>
      <c r="BA13" s="3844"/>
      <c r="BB13" s="3844"/>
      <c r="BC13" s="3844"/>
      <c r="BD13" s="3844"/>
      <c r="BE13" s="3844"/>
      <c r="BF13" s="3844"/>
      <c r="BG13" s="3844"/>
      <c r="BH13" s="3844"/>
      <c r="BI13" s="3844"/>
      <c r="BJ13" s="3844"/>
      <c r="BK13" s="3844"/>
      <c r="BL13" s="3844"/>
      <c r="BM13" s="3844"/>
      <c r="BN13" s="3844"/>
      <c r="BO13" s="3844"/>
      <c r="BP13" s="3844"/>
      <c r="BQ13" s="3844"/>
      <c r="BR13" s="3844"/>
      <c r="BS13" s="3844"/>
      <c r="BT13" s="3845"/>
      <c r="BU13" s="1361"/>
      <c r="BX13" s="1360"/>
      <c r="BY13" s="1360">
        <v>24</v>
      </c>
      <c r="BZ13" s="941"/>
      <c r="CA13" s="1140"/>
      <c r="CB13" s="942"/>
      <c r="CC13" s="942"/>
      <c r="CG13" s="936"/>
      <c r="CH13" s="936"/>
      <c r="CI13" s="936"/>
      <c r="CJ13" s="936"/>
      <c r="CK13" s="936"/>
      <c r="CL13" s="936"/>
      <c r="CM13" s="936"/>
      <c r="CN13" s="936"/>
      <c r="CO13" s="936"/>
      <c r="CP13" s="936"/>
      <c r="CQ13" s="936"/>
      <c r="CR13" s="936"/>
      <c r="CS13" s="936"/>
      <c r="CT13" s="936"/>
      <c r="CU13" s="936"/>
      <c r="CV13" s="936"/>
      <c r="CW13" s="936"/>
      <c r="CX13" s="936"/>
      <c r="CY13" s="936"/>
      <c r="CZ13" s="936"/>
      <c r="DA13" s="936"/>
      <c r="DB13" s="936"/>
      <c r="DC13" s="936"/>
      <c r="DD13" s="936"/>
      <c r="DE13" s="936"/>
      <c r="DF13" s="936"/>
      <c r="DG13" s="936"/>
      <c r="DH13" s="936"/>
      <c r="DI13" s="936"/>
      <c r="DJ13" s="936"/>
    </row>
    <row r="14" spans="1:116" ht="6.75" customHeight="1" thickTop="1">
      <c r="B14" s="1292"/>
      <c r="C14" s="925"/>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925"/>
      <c r="AT14" s="925"/>
      <c r="AU14" s="925"/>
      <c r="AV14" s="925"/>
      <c r="AW14" s="925"/>
      <c r="AX14" s="925"/>
      <c r="AY14" s="925"/>
      <c r="AZ14" s="925"/>
      <c r="BA14" s="925"/>
      <c r="BB14" s="925"/>
      <c r="BC14" s="925"/>
      <c r="BD14" s="925"/>
      <c r="BE14" s="925"/>
      <c r="BF14" s="925"/>
      <c r="BG14" s="925"/>
      <c r="BH14" s="925"/>
      <c r="BI14" s="925"/>
      <c r="BJ14" s="925"/>
      <c r="BK14" s="925"/>
      <c r="BL14" s="925"/>
      <c r="BM14" s="925"/>
      <c r="BN14" s="925"/>
      <c r="BO14" s="925"/>
      <c r="BP14" s="925"/>
      <c r="BQ14" s="925"/>
      <c r="BR14" s="925"/>
      <c r="BS14" s="925"/>
      <c r="BT14" s="925"/>
      <c r="BU14" s="1290"/>
      <c r="BX14" s="941"/>
      <c r="BY14" s="941"/>
      <c r="BZ14" s="941"/>
      <c r="CA14" s="1140"/>
      <c r="CB14" s="942"/>
      <c r="CC14" s="942"/>
      <c r="CG14" s="936"/>
      <c r="CH14" s="936"/>
      <c r="CI14" s="1359">
        <f>IF(BM18&lt;=25,2,IF(BM18&lt;=35,3,IF(BM18&lt;=47,4,IF(BM18&lt;=66,4,IF(BM18&lt;=95,5,IF(BM18&lt;=115,6,IF(BM18&lt;=150,7,IF(BM18&lt;=180,8,IF(BM18&lt;=220,9,IF(BM18&lt;=260,10,IF(BM18&lt;=300,11,IF(BM18&lt;=460,12,IF(BM18&lt;=500,13,IF(BM18&lt;=625,14,IF(AND(Q10&gt;600,BM18&lt;=500),15,IF(AND(Q10&gt;600,BM18&lt;=625),16,IF(AND(Q10&gt;600,BM18&lt;=750),17,IF(AND(Q10&gt;600,BM18&lt;=875),18,IF(AND(Q10&gt;600,BM18&lt;=1000),19,IF(AND(Q10&gt;600,BM18&lt;=1250),20,IF(AND(Q10&gt;600,BM18&lt;=1500),21,IF(AND(Q10&gt;600,BM18&lt;=2000),22,IF(AND(Q10&gt;600,BM18&lt;=2250),23,IF(AND(Q10&gt;600,BM18&lt;=2500),24,IF(AND(Q10&gt;600,BM18&lt;=3000),25,IF(AND(Q10&gt;600,BM18&lt;=3500),26,IF(AND(Q10&gt;600,BM18&lt;=4000),27,IF(AND(Q10&gt;600,BM18&lt;=5000),28,IF(AND(Q10&gt;600,BM18&lt;=6000),29,"---")))))))))))))))))))))))))))))</f>
        <v>10</v>
      </c>
      <c r="CJ14" s="916" t="s">
        <v>3100</v>
      </c>
      <c r="CK14" s="936"/>
      <c r="CL14" s="936"/>
      <c r="CM14" s="936"/>
      <c r="CN14" s="936"/>
      <c r="CO14" s="936"/>
      <c r="CP14" s="936"/>
      <c r="CQ14" s="936"/>
      <c r="CR14" s="936"/>
      <c r="CS14" s="936"/>
      <c r="CT14" s="936"/>
      <c r="CU14" s="936"/>
      <c r="CV14" s="936"/>
      <c r="CW14" s="936"/>
      <c r="CX14" s="936"/>
      <c r="CY14" s="936"/>
      <c r="CZ14" s="936"/>
      <c r="DA14" s="936"/>
      <c r="DB14" s="936"/>
      <c r="DC14" s="936"/>
      <c r="DD14" s="936"/>
      <c r="DE14" s="936"/>
      <c r="DF14" s="936"/>
      <c r="DG14" s="936"/>
      <c r="DH14" s="936"/>
      <c r="DI14" s="936"/>
      <c r="DJ14" s="936"/>
    </row>
    <row r="15" spans="1:116" ht="12" customHeight="1">
      <c r="B15" s="1292"/>
      <c r="C15" s="3277" t="str">
        <f>IF(OR(B2=0,K8="不要"),"","発電機負荷一覧")</f>
        <v>発電機負荷一覧</v>
      </c>
      <c r="D15" s="3277"/>
      <c r="E15" s="3277"/>
      <c r="F15" s="3277"/>
      <c r="G15" s="3277"/>
      <c r="H15" s="3277"/>
      <c r="I15" s="3277"/>
      <c r="J15" s="3277"/>
      <c r="K15" s="3277"/>
      <c r="L15" s="925"/>
      <c r="M15" s="1358" t="s">
        <v>3099</v>
      </c>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c r="AT15" s="925"/>
      <c r="AU15" s="925"/>
      <c r="AV15" s="925"/>
      <c r="AW15" s="925"/>
      <c r="AX15" s="925"/>
      <c r="AY15" s="925"/>
      <c r="AZ15" s="925"/>
      <c r="BA15" s="925"/>
      <c r="BB15" s="925"/>
      <c r="BC15" s="925"/>
      <c r="BD15" s="925"/>
      <c r="BE15" s="925"/>
      <c r="BF15" s="925"/>
      <c r="BG15" s="925"/>
      <c r="BH15" s="925"/>
      <c r="BI15" s="925"/>
      <c r="BJ15" s="925"/>
      <c r="BK15" s="925"/>
      <c r="BL15" s="925"/>
      <c r="BM15" s="925"/>
      <c r="BN15" s="925"/>
      <c r="BO15" s="925"/>
      <c r="BP15" s="925"/>
      <c r="BQ15" s="1357"/>
      <c r="BR15" s="1346"/>
      <c r="BS15" s="1346"/>
      <c r="BT15" s="1346"/>
      <c r="BU15" s="1290"/>
      <c r="BX15" s="941"/>
      <c r="BZ15" s="941"/>
      <c r="CF15" s="3818" t="str">
        <f>IF(AND(LEFT(AC8,1)="デ",Y6="屋内型"),"屋内",IF(AND(LEFT(AC8,1)="デ",AY8="放水水冷方式(DE)"),"放水水冷方式(DE)",IF(LEFT(AC8,1)="デ",AI6,AY8)))</f>
        <v>低騒音85dB</v>
      </c>
      <c r="CG15" s="3819"/>
      <c r="CH15" s="3819"/>
      <c r="CI15" s="3820"/>
      <c r="CJ15" s="916" t="s">
        <v>3098</v>
      </c>
      <c r="CK15" s="936"/>
      <c r="CL15" s="936"/>
      <c r="CM15" s="936"/>
      <c r="CN15" s="936"/>
      <c r="CO15" s="936"/>
      <c r="CP15" s="936"/>
      <c r="CQ15" s="936"/>
      <c r="CR15" s="936"/>
      <c r="CS15" s="936"/>
      <c r="CT15" s="936"/>
      <c r="CU15" s="936"/>
      <c r="CV15" s="936"/>
      <c r="CW15" s="936"/>
      <c r="CX15" s="3536" t="s">
        <v>3097</v>
      </c>
      <c r="CY15" s="3536" t="s">
        <v>3097</v>
      </c>
      <c r="CZ15" s="3536" t="s">
        <v>3097</v>
      </c>
      <c r="DA15" s="3536" t="s">
        <v>3097</v>
      </c>
      <c r="DB15" s="3536" t="s">
        <v>3097</v>
      </c>
      <c r="DC15" s="3536" t="s">
        <v>3097</v>
      </c>
      <c r="DD15" s="3536" t="s">
        <v>3097</v>
      </c>
      <c r="DE15" s="3536" t="s">
        <v>3097</v>
      </c>
      <c r="DF15" s="3536" t="s">
        <v>3097</v>
      </c>
      <c r="DG15" s="3536" t="s">
        <v>3097</v>
      </c>
      <c r="DH15" s="3536" t="s">
        <v>3097</v>
      </c>
      <c r="DI15" s="3536" t="s">
        <v>3097</v>
      </c>
      <c r="DJ15" s="3536" t="s">
        <v>3097</v>
      </c>
      <c r="DK15" s="3536" t="s">
        <v>3097</v>
      </c>
      <c r="DL15" s="3536" t="s">
        <v>3097</v>
      </c>
    </row>
    <row r="16" spans="1:116" ht="3" customHeight="1">
      <c r="B16" s="1292"/>
      <c r="C16" s="925"/>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c r="AL16" s="925"/>
      <c r="AM16" s="925"/>
      <c r="AN16" s="925"/>
      <c r="AO16" s="925"/>
      <c r="AP16" s="925"/>
      <c r="AQ16" s="925"/>
      <c r="AR16" s="925"/>
      <c r="AS16" s="925"/>
      <c r="AT16" s="925"/>
      <c r="AU16" s="925"/>
      <c r="AV16" s="925"/>
      <c r="AW16" s="925"/>
      <c r="AX16" s="925"/>
      <c r="AY16" s="925"/>
      <c r="AZ16" s="925"/>
      <c r="BA16" s="925"/>
      <c r="BB16" s="925"/>
      <c r="BC16" s="925"/>
      <c r="BD16" s="925"/>
      <c r="BE16" s="925"/>
      <c r="BF16" s="925"/>
      <c r="BG16" s="925"/>
      <c r="BH16" s="925"/>
      <c r="BI16" s="925"/>
      <c r="BJ16" s="925"/>
      <c r="BK16" s="925"/>
      <c r="BL16" s="925"/>
      <c r="BM16" s="925"/>
      <c r="BN16" s="925"/>
      <c r="BO16" s="925"/>
      <c r="BP16" s="925"/>
      <c r="BQ16" s="1357"/>
      <c r="BR16" s="1346"/>
      <c r="BS16" s="1346"/>
      <c r="BT16" s="1346"/>
      <c r="BU16" s="1290"/>
      <c r="BY16" s="1350"/>
      <c r="BZ16" s="1350"/>
      <c r="CA16" s="1350"/>
      <c r="CX16" s="3536"/>
      <c r="CY16" s="3536"/>
      <c r="CZ16" s="3536"/>
      <c r="DA16" s="3536"/>
      <c r="DB16" s="3536"/>
      <c r="DC16" s="3536"/>
      <c r="DD16" s="3536"/>
      <c r="DE16" s="3536"/>
      <c r="DF16" s="3536"/>
      <c r="DG16" s="3536"/>
      <c r="DH16" s="3536"/>
      <c r="DI16" s="3536"/>
      <c r="DJ16" s="3536"/>
      <c r="DK16" s="3536"/>
      <c r="DL16" s="3536"/>
    </row>
    <row r="17" spans="1:116" ht="13.5" customHeight="1">
      <c r="A17" s="941"/>
      <c r="B17" s="1292"/>
      <c r="C17" s="3007" t="s">
        <v>3096</v>
      </c>
      <c r="D17" s="3007"/>
      <c r="E17" s="3007"/>
      <c r="F17" s="3007"/>
      <c r="G17" s="3007"/>
      <c r="H17" s="3007"/>
      <c r="I17" s="3007"/>
      <c r="J17" s="3007"/>
      <c r="K17" s="3007"/>
      <c r="L17" s="3007" t="s">
        <v>3095</v>
      </c>
      <c r="M17" s="3007"/>
      <c r="N17" s="3007"/>
      <c r="O17" s="3007"/>
      <c r="P17" s="3007" t="s">
        <v>3094</v>
      </c>
      <c r="Q17" s="3007"/>
      <c r="R17" s="3007"/>
      <c r="S17" s="3007" t="s">
        <v>3093</v>
      </c>
      <c r="T17" s="3007"/>
      <c r="U17" s="3007"/>
      <c r="V17" s="2778" t="s">
        <v>3092</v>
      </c>
      <c r="W17" s="2779"/>
      <c r="X17" s="2905"/>
      <c r="Y17" s="3007" t="s">
        <v>3091</v>
      </c>
      <c r="Z17" s="3007"/>
      <c r="AA17" s="3007"/>
      <c r="AB17" s="3007"/>
      <c r="AC17" s="3007" t="s">
        <v>3090</v>
      </c>
      <c r="AD17" s="3007"/>
      <c r="AE17" s="3007"/>
      <c r="AF17" s="3007"/>
      <c r="AG17" s="2778" t="s">
        <v>3089</v>
      </c>
      <c r="AH17" s="2779"/>
      <c r="AI17" s="2779"/>
      <c r="AJ17" s="2779"/>
      <c r="AK17" s="2779"/>
      <c r="AL17" s="2779"/>
      <c r="AM17" s="1356" t="s">
        <v>3088</v>
      </c>
      <c r="AN17" s="2778" t="s">
        <v>3087</v>
      </c>
      <c r="AO17" s="2779"/>
      <c r="AP17" s="2905"/>
      <c r="AQ17" s="3821" t="s">
        <v>3017</v>
      </c>
      <c r="AR17" s="3822"/>
      <c r="AS17" s="3823"/>
      <c r="AT17" s="2778" t="s">
        <v>3032</v>
      </c>
      <c r="AU17" s="2779"/>
      <c r="AV17" s="2779"/>
      <c r="AW17" s="2905"/>
      <c r="AX17" s="2778" t="s">
        <v>3086</v>
      </c>
      <c r="AY17" s="2779"/>
      <c r="AZ17" s="2779"/>
      <c r="BA17" s="2905"/>
      <c r="BB17" s="2778" t="s">
        <v>2996</v>
      </c>
      <c r="BC17" s="2779"/>
      <c r="BD17" s="2905"/>
      <c r="BE17" s="3007" t="s">
        <v>3085</v>
      </c>
      <c r="BF17" s="3007"/>
      <c r="BG17" s="3007"/>
      <c r="BH17" s="925"/>
      <c r="BI17" s="3007" t="str">
        <f>IF(B2=0,"","I2eqG")</f>
        <v>I2eqG</v>
      </c>
      <c r="BJ17" s="3007"/>
      <c r="BK17" s="3007"/>
      <c r="BL17" s="3007"/>
      <c r="BM17" s="3824">
        <f>IF(C15="","",0.15)</f>
        <v>0.15</v>
      </c>
      <c r="BN17" s="3825"/>
      <c r="BO17" s="3825"/>
      <c r="BP17" s="3826"/>
      <c r="BQ17" s="1347" t="s">
        <v>2359</v>
      </c>
      <c r="BR17" s="1346" t="s">
        <v>60</v>
      </c>
      <c r="BS17" s="1346"/>
      <c r="BT17" s="1346"/>
      <c r="BU17" s="1290"/>
      <c r="BY17" s="1350"/>
      <c r="BZ17" s="1350"/>
      <c r="CA17" s="1350"/>
      <c r="CC17" s="1355" t="s">
        <v>3032</v>
      </c>
      <c r="CD17" s="1355" t="s">
        <v>3084</v>
      </c>
      <c r="CE17" s="965" t="s">
        <v>3083</v>
      </c>
      <c r="CF17" s="1354"/>
      <c r="CG17" s="1354"/>
      <c r="CH17" s="1353"/>
      <c r="CI17" s="1352" t="s">
        <v>3082</v>
      </c>
      <c r="CJ17" s="1351">
        <v>25</v>
      </c>
      <c r="CK17" s="1351">
        <v>35</v>
      </c>
      <c r="CL17" s="1351">
        <v>47</v>
      </c>
      <c r="CM17" s="1351">
        <v>66</v>
      </c>
      <c r="CN17" s="1351">
        <v>95</v>
      </c>
      <c r="CO17" s="1351">
        <v>115</v>
      </c>
      <c r="CP17" s="1351">
        <v>150</v>
      </c>
      <c r="CQ17" s="1351">
        <v>180</v>
      </c>
      <c r="CR17" s="1351">
        <v>220</v>
      </c>
      <c r="CS17" s="1351">
        <v>260</v>
      </c>
      <c r="CT17" s="1351">
        <v>300</v>
      </c>
      <c r="CU17" s="1351">
        <v>460</v>
      </c>
      <c r="CV17" s="1351">
        <v>500</v>
      </c>
      <c r="CW17" s="1351">
        <v>625</v>
      </c>
      <c r="CX17" s="1351">
        <v>500</v>
      </c>
      <c r="CY17" s="1351">
        <v>625</v>
      </c>
      <c r="CZ17" s="1351">
        <v>750</v>
      </c>
      <c r="DA17" s="1351">
        <v>875</v>
      </c>
      <c r="DB17" s="1351">
        <v>1000</v>
      </c>
      <c r="DC17" s="1351">
        <v>1250</v>
      </c>
      <c r="DD17" s="1351">
        <v>1500</v>
      </c>
      <c r="DE17" s="1351">
        <v>2000</v>
      </c>
      <c r="DF17" s="1351">
        <v>2250</v>
      </c>
      <c r="DG17" s="1351">
        <v>2500</v>
      </c>
      <c r="DH17" s="1351">
        <v>3000</v>
      </c>
      <c r="DI17" s="1351">
        <v>3500</v>
      </c>
      <c r="DJ17" s="1351">
        <v>4000</v>
      </c>
      <c r="DK17" s="1351">
        <v>5000</v>
      </c>
      <c r="DL17" s="1351">
        <v>6000</v>
      </c>
    </row>
    <row r="18" spans="1:116" ht="13.5" customHeight="1">
      <c r="A18" s="1340"/>
      <c r="B18" s="1292"/>
      <c r="C18" s="3798" t="str">
        <f>IF(OR(BW3=0,K8="不要",[1]動配!$AS$508=""),"",[1]動配!$D$508)</f>
        <v/>
      </c>
      <c r="D18" s="3799"/>
      <c r="E18" s="3799"/>
      <c r="F18" s="3799"/>
      <c r="G18" s="3799"/>
      <c r="H18" s="3799"/>
      <c r="I18" s="3799"/>
      <c r="J18" s="3799"/>
      <c r="K18" s="3800"/>
      <c r="L18" s="3566" t="str">
        <f>IF(C18="","",[1]動配!$AE508)</f>
        <v/>
      </c>
      <c r="M18" s="3567"/>
      <c r="N18" s="3567"/>
      <c r="O18" s="3567"/>
      <c r="P18" s="3794" t="str">
        <f>IF(C18="","",[1]動配!$AS508)</f>
        <v/>
      </c>
      <c r="Q18" s="3794"/>
      <c r="R18" s="3794"/>
      <c r="S18" s="3566" t="str">
        <f>IF(C18="","",[1]動配!$AM508/100)</f>
        <v/>
      </c>
      <c r="T18" s="3567"/>
      <c r="U18" s="3568"/>
      <c r="V18" s="3566" t="str">
        <f>IF(C18="","",[1]動配!$AP508/100)</f>
        <v/>
      </c>
      <c r="W18" s="3567"/>
      <c r="X18" s="3568"/>
      <c r="Y18" s="3801" t="str">
        <f t="shared" ref="Y18:Y25" si="0">IF(C18="","",SQRT(AC18^2-L18^2))</f>
        <v/>
      </c>
      <c r="Z18" s="3801"/>
      <c r="AA18" s="3801"/>
      <c r="AB18" s="3801"/>
      <c r="AC18" s="3801" t="str">
        <f t="shared" ref="AC18:AC25" si="1">IF(C18="","",L18/S18)</f>
        <v/>
      </c>
      <c r="AD18" s="3801"/>
      <c r="AE18" s="3801"/>
      <c r="AF18" s="3801"/>
      <c r="AG18" s="3591" t="str">
        <f>IF(C18="","",IF(AM18&lt;&gt;"",AM18,IF(L18&lt;=7.5,"L-S (直入れ)",IF(L18&lt;=22,"Open Y-Δ","Closed Y-Δ"))))</f>
        <v/>
      </c>
      <c r="AH18" s="3592"/>
      <c r="AI18" s="3592"/>
      <c r="AJ18" s="3592"/>
      <c r="AK18" s="3592"/>
      <c r="AL18" s="3593"/>
      <c r="AM18" s="3552"/>
      <c r="AN18" s="3552"/>
      <c r="AO18" s="3552"/>
      <c r="AP18" s="3552"/>
      <c r="AQ18" s="3560" t="str">
        <f t="shared" ref="AQ18:AQ25" si="2">IF(C18="","",AC18)</f>
        <v/>
      </c>
      <c r="AR18" s="3561"/>
      <c r="AS18" s="3562"/>
      <c r="AT18" s="3563" t="str">
        <f t="shared" ref="AT18:AT25" si="3">IF(CC18="","",IF(AG18="L-S (直入れ)",CC18,IF(AG18="Open Y-Δ",CC18*2/3,IF(AG18="Closed Y-Δ",CC18*1/3,IF(AG18="50%リアクトル",CC18*0.5,IF(AG18="60%リアクトル",CC18*0.6,IF(AG18="80%リアクトル",CC18*0.8,IF(AG18="50%コンドルファ",CC18*0.5^2,IF(AG18="65%コンドルファ",CC18*0.65^2,IF(AG18="80%コンドルファ",CC18*0.8^2,IF(AG18="インバータ",CC18/2.5)))))))))))</f>
        <v/>
      </c>
      <c r="AU18" s="3564"/>
      <c r="AV18" s="3564"/>
      <c r="AW18" s="3565"/>
      <c r="AX18" s="3585" t="str">
        <f t="shared" ref="AX18:AX25" si="4">IF(C18="","",IF(AG18="インバータ",L18*6*0.15/AC18,L18*2*0.15/AC18))</f>
        <v/>
      </c>
      <c r="AY18" s="3586"/>
      <c r="AZ18" s="3586"/>
      <c r="BA18" s="3587"/>
      <c r="BB18" s="3563" t="str">
        <f t="shared" ref="BB18:BB25" si="5">IF(C18="","",L18)</f>
        <v/>
      </c>
      <c r="BC18" s="3564"/>
      <c r="BD18" s="3565"/>
      <c r="BE18" s="3566" t="str">
        <f t="shared" ref="BE18:BE25" si="6">IF(C18="","",0.4)</f>
        <v/>
      </c>
      <c r="BF18" s="3567"/>
      <c r="BG18" s="3568"/>
      <c r="BH18" s="925"/>
      <c r="BI18" s="3556" t="str">
        <f>IF(B2=0,"","PG")</f>
        <v>PG</v>
      </c>
      <c r="BJ18" s="3556"/>
      <c r="BK18" s="3556"/>
      <c r="BL18" s="3556"/>
      <c r="BM18" s="3816">
        <f>IF(BQ18&lt;&gt;"",BQ18,IF(C15="","",IF(LEFT(AC8,1)="デ",BZ59,BZ60)))</f>
        <v>250</v>
      </c>
      <c r="BN18" s="3817"/>
      <c r="BO18" s="3817"/>
      <c r="BP18" s="3817"/>
      <c r="BQ18" s="3813"/>
      <c r="BR18" s="3814"/>
      <c r="BS18" s="3814"/>
      <c r="BT18" s="3815"/>
      <c r="BU18" s="1290"/>
      <c r="BW18" s="1120"/>
      <c r="BY18" s="1350"/>
      <c r="BZ18" s="1350"/>
      <c r="CA18" s="1350"/>
      <c r="CC18" s="1341" t="str">
        <f t="shared" ref="CC18:CC25" si="7">IF(C18="","",IF(L18&lt;=2.2,L18*9,IF(L18&lt;=22,L18*8,IF(L18&lt;=37,L18*7.5,L18*7))))</f>
        <v/>
      </c>
      <c r="CD18" s="1341">
        <f t="shared" ref="CD18:CD25" si="8">IF(C18="",0,AC18*AX18/$BM$17)</f>
        <v>0</v>
      </c>
      <c r="CE18" s="1054">
        <f>IF(C18="",0,S18*L18/L26)</f>
        <v>0</v>
      </c>
      <c r="CG18" s="942"/>
      <c r="CH18" s="1342"/>
      <c r="CI18" s="1140" t="s">
        <v>3081</v>
      </c>
      <c r="CJ18" s="1007">
        <v>0.41</v>
      </c>
      <c r="CK18" s="1007">
        <v>0.45</v>
      </c>
      <c r="CL18" s="1007">
        <v>0.5</v>
      </c>
      <c r="CM18" s="1007">
        <v>0.81</v>
      </c>
      <c r="CN18" s="1007">
        <v>1.1499999999999999</v>
      </c>
      <c r="CO18" s="1007">
        <v>1.21</v>
      </c>
      <c r="CP18" s="1007">
        <v>1.61</v>
      </c>
      <c r="CQ18" s="1007">
        <v>1.71</v>
      </c>
      <c r="CR18" s="1007">
        <v>2.1</v>
      </c>
      <c r="CS18" s="1007">
        <v>2.2000000000000002</v>
      </c>
      <c r="CT18" s="1007">
        <v>2.6</v>
      </c>
      <c r="CU18" s="1007">
        <v>3.76</v>
      </c>
      <c r="CV18" s="1007">
        <v>5.48</v>
      </c>
      <c r="CW18" s="1007">
        <v>5.9</v>
      </c>
      <c r="CX18" s="1007">
        <v>6.07</v>
      </c>
      <c r="CY18" s="1007">
        <v>6.65</v>
      </c>
      <c r="CZ18" s="936"/>
      <c r="DA18" s="936"/>
      <c r="DB18" s="936"/>
      <c r="DC18" s="936"/>
      <c r="DD18" s="936"/>
      <c r="DE18" s="936"/>
      <c r="DF18" s="936"/>
      <c r="DG18" s="936"/>
      <c r="DH18" s="936"/>
      <c r="DI18" s="936"/>
      <c r="DJ18" s="936"/>
    </row>
    <row r="19" spans="1:116" ht="13.5" customHeight="1">
      <c r="A19" s="1340"/>
      <c r="B19" s="1292"/>
      <c r="C19" s="3798" t="str">
        <f>IF(OR(BW3=0,K8="不要",[1]動配!$D$509=""),"",[1]動配!$D$509)</f>
        <v>スプリンクラ・ポンプ</v>
      </c>
      <c r="D19" s="3799"/>
      <c r="E19" s="3799"/>
      <c r="F19" s="3799"/>
      <c r="G19" s="3799"/>
      <c r="H19" s="3799"/>
      <c r="I19" s="3799"/>
      <c r="J19" s="3799"/>
      <c r="K19" s="3800"/>
      <c r="L19" s="3566">
        <f>IF(C19="","",[1]動配!$AE509)</f>
        <v>75.460000000000008</v>
      </c>
      <c r="M19" s="3567"/>
      <c r="N19" s="3567"/>
      <c r="O19" s="3567"/>
      <c r="P19" s="3794">
        <f>IF(C19="","",[1]動配!$AS509)</f>
        <v>1</v>
      </c>
      <c r="Q19" s="3794"/>
      <c r="R19" s="3794"/>
      <c r="S19" s="3566">
        <f>IF(C19="","",[1]動配!$AM509/100)</f>
        <v>0.85</v>
      </c>
      <c r="T19" s="3567"/>
      <c r="U19" s="3568"/>
      <c r="V19" s="3566">
        <f>IF(C19="","",[1]動配!$AP509/100)</f>
        <v>0.93</v>
      </c>
      <c r="W19" s="3567"/>
      <c r="X19" s="3568"/>
      <c r="Y19" s="3801">
        <f t="shared" si="0"/>
        <v>46.765907775898121</v>
      </c>
      <c r="Z19" s="3801"/>
      <c r="AA19" s="3801"/>
      <c r="AB19" s="3801"/>
      <c r="AC19" s="3801">
        <f t="shared" si="1"/>
        <v>88.776470588235313</v>
      </c>
      <c r="AD19" s="3801"/>
      <c r="AE19" s="3801"/>
      <c r="AF19" s="3801"/>
      <c r="AG19" s="3591" t="str">
        <f>IF(C19="","",IF(AM19&lt;&gt;"",AM19,IF(L19&lt;=11,"L-S (直入れ)",IF(L19&lt;=30,"Open Y-Δ","Closed Y-Δ"))))</f>
        <v>Closed Y-Δ</v>
      </c>
      <c r="AH19" s="3592"/>
      <c r="AI19" s="3592"/>
      <c r="AJ19" s="3592"/>
      <c r="AK19" s="3592"/>
      <c r="AL19" s="3593"/>
      <c r="AM19" s="3552" t="s">
        <v>3256</v>
      </c>
      <c r="AN19" s="3552"/>
      <c r="AO19" s="3552"/>
      <c r="AP19" s="3552"/>
      <c r="AQ19" s="3560">
        <f t="shared" si="2"/>
        <v>88.776470588235313</v>
      </c>
      <c r="AR19" s="3561"/>
      <c r="AS19" s="3562"/>
      <c r="AT19" s="3563">
        <f t="shared" si="3"/>
        <v>176.07333333333335</v>
      </c>
      <c r="AU19" s="3564"/>
      <c r="AV19" s="3564"/>
      <c r="AW19" s="3565"/>
      <c r="AX19" s="3585">
        <f t="shared" si="4"/>
        <v>0.25499999999999995</v>
      </c>
      <c r="AY19" s="3586"/>
      <c r="AZ19" s="3586"/>
      <c r="BA19" s="3587"/>
      <c r="BB19" s="3563">
        <f t="shared" si="5"/>
        <v>75.460000000000008</v>
      </c>
      <c r="BC19" s="3564"/>
      <c r="BD19" s="3565"/>
      <c r="BE19" s="3566">
        <f t="shared" si="6"/>
        <v>0.4</v>
      </c>
      <c r="BF19" s="3567"/>
      <c r="BG19" s="3568"/>
      <c r="BH19" s="925"/>
      <c r="BI19" s="3556" t="str">
        <f>IF(B2=0,"","Ηg")</f>
        <v>Ηg</v>
      </c>
      <c r="BJ19" s="3556"/>
      <c r="BK19" s="3556"/>
      <c r="BL19" s="3556"/>
      <c r="BM19" s="3557">
        <f>IF(C15="","",(BZ59*-0.0008492+BZ59^0.5*0.2148097+84.05677)/100)</f>
        <v>0.87240909577487358</v>
      </c>
      <c r="BN19" s="3558"/>
      <c r="BO19" s="3558"/>
      <c r="BP19" s="3559"/>
      <c r="BQ19" s="925"/>
      <c r="BR19" s="925"/>
      <c r="BS19" s="925"/>
      <c r="BT19" s="925"/>
      <c r="BU19" s="1290"/>
      <c r="CA19" s="1349"/>
      <c r="CB19" s="1348"/>
      <c r="CC19" s="1341">
        <f t="shared" si="7"/>
        <v>528.22</v>
      </c>
      <c r="CD19" s="1341">
        <f t="shared" si="8"/>
        <v>150.92000000000002</v>
      </c>
      <c r="CE19" s="1054">
        <f>IF(C19="",0,S19*L19/L26)</f>
        <v>0.51833974370988312</v>
      </c>
      <c r="CG19" s="942"/>
      <c r="CH19" s="1342"/>
      <c r="CI19" s="1140" t="s">
        <v>3080</v>
      </c>
      <c r="CJ19" s="1007">
        <v>0.6</v>
      </c>
      <c r="CK19" s="1007">
        <v>0.63</v>
      </c>
      <c r="CL19" s="1007">
        <v>0.69</v>
      </c>
      <c r="CM19" s="1007">
        <v>1.02</v>
      </c>
      <c r="CN19" s="1007">
        <v>1.46</v>
      </c>
      <c r="CO19" s="1007">
        <v>1.52</v>
      </c>
      <c r="CP19" s="1007">
        <v>2.08</v>
      </c>
      <c r="CQ19" s="1007">
        <v>2.1800000000000002</v>
      </c>
      <c r="CR19" s="1007">
        <v>2.67</v>
      </c>
      <c r="CS19" s="1007">
        <v>2.75</v>
      </c>
      <c r="CT19" s="1007">
        <v>3.21</v>
      </c>
      <c r="CU19" s="1007">
        <v>4.54</v>
      </c>
      <c r="CV19" s="1007">
        <v>7.72</v>
      </c>
      <c r="CW19" s="1007">
        <v>8.14</v>
      </c>
      <c r="CX19" s="1007">
        <v>8.7100000000000009</v>
      </c>
      <c r="CY19" s="1007">
        <v>8.89</v>
      </c>
      <c r="CZ19" s="936"/>
      <c r="DA19" s="936"/>
      <c r="DB19" s="936"/>
      <c r="DC19" s="936"/>
      <c r="DD19" s="936"/>
      <c r="DE19" s="936"/>
      <c r="DF19" s="936"/>
      <c r="DG19" s="936"/>
      <c r="DH19" s="936"/>
      <c r="DI19" s="936"/>
      <c r="DJ19" s="936"/>
    </row>
    <row r="20" spans="1:116" ht="13.5" customHeight="1">
      <c r="A20" s="1340"/>
      <c r="B20" s="1292"/>
      <c r="C20" s="3798" t="str">
        <f>IF(OR(BW3=0,K8="不要",[1]動配!$D$518="",[1]動配!$AE$518=""),"",[1]動配!$D$518)</f>
        <v>排煙ファン</v>
      </c>
      <c r="D20" s="3799"/>
      <c r="E20" s="3799"/>
      <c r="F20" s="3799"/>
      <c r="G20" s="3799"/>
      <c r="H20" s="3799"/>
      <c r="I20" s="3799"/>
      <c r="J20" s="3799"/>
      <c r="K20" s="3800"/>
      <c r="L20" s="3566">
        <f>IF(C20="","",[1]動配!$AE518)</f>
        <v>30</v>
      </c>
      <c r="M20" s="3567"/>
      <c r="N20" s="3567"/>
      <c r="O20" s="3567"/>
      <c r="P20" s="3794">
        <f>IF(C20="","",IF([1]動配!$AS518="","",[1]動配!$AS518))</f>
        <v>1</v>
      </c>
      <c r="Q20" s="3794"/>
      <c r="R20" s="3794"/>
      <c r="S20" s="3566">
        <f>IF(C20="","",[1]動配!$AM518/100)</f>
        <v>0.85</v>
      </c>
      <c r="T20" s="3567"/>
      <c r="U20" s="3568"/>
      <c r="V20" s="3566">
        <f>IF(C20="","",[1]動配!$AP518/100)</f>
        <v>0.93</v>
      </c>
      <c r="W20" s="3567"/>
      <c r="X20" s="3568"/>
      <c r="Y20" s="3801">
        <f t="shared" si="0"/>
        <v>18.592330152093076</v>
      </c>
      <c r="Z20" s="3801"/>
      <c r="AA20" s="3801"/>
      <c r="AB20" s="3801"/>
      <c r="AC20" s="3801">
        <f t="shared" si="1"/>
        <v>35.294117647058826</v>
      </c>
      <c r="AD20" s="3801"/>
      <c r="AE20" s="3801"/>
      <c r="AF20" s="3801"/>
      <c r="AG20" s="3591" t="str">
        <f>IF(C20="","",IF(AM20&lt;&gt;"",AM20,IF(L20&lt;=5.5,"L-S (直入れ)",IF(L20&lt;=15,"Open Y-Δ","Closed Y-Δ"))))</f>
        <v>Closed Y-Δ</v>
      </c>
      <c r="AH20" s="3592"/>
      <c r="AI20" s="3592"/>
      <c r="AJ20" s="3592"/>
      <c r="AK20" s="3592"/>
      <c r="AL20" s="3593"/>
      <c r="AM20" s="3552"/>
      <c r="AN20" s="3552"/>
      <c r="AO20" s="3552"/>
      <c r="AP20" s="3552"/>
      <c r="AQ20" s="3560">
        <f t="shared" si="2"/>
        <v>35.294117647058826</v>
      </c>
      <c r="AR20" s="3561"/>
      <c r="AS20" s="3562"/>
      <c r="AT20" s="3563">
        <f t="shared" si="3"/>
        <v>75</v>
      </c>
      <c r="AU20" s="3564"/>
      <c r="AV20" s="3564"/>
      <c r="AW20" s="3565"/>
      <c r="AX20" s="3585">
        <f t="shared" si="4"/>
        <v>0.255</v>
      </c>
      <c r="AY20" s="3586"/>
      <c r="AZ20" s="3586"/>
      <c r="BA20" s="3587"/>
      <c r="BB20" s="3563">
        <f t="shared" si="5"/>
        <v>30</v>
      </c>
      <c r="BC20" s="3564"/>
      <c r="BD20" s="3565"/>
      <c r="BE20" s="3566">
        <f t="shared" si="6"/>
        <v>0.4</v>
      </c>
      <c r="BF20" s="3567"/>
      <c r="BG20" s="3568"/>
      <c r="BH20" s="925"/>
      <c r="BI20" s="3809" t="str">
        <f>IF(B2=0,"","K")</f>
        <v>K</v>
      </c>
      <c r="BJ20" s="3556"/>
      <c r="BK20" s="3556"/>
      <c r="BL20" s="3556"/>
      <c r="BM20" s="3810">
        <f>IF(C15="","",0.7)</f>
        <v>0.7</v>
      </c>
      <c r="BN20" s="3811"/>
      <c r="BO20" s="3811"/>
      <c r="BP20" s="3812"/>
      <c r="BQ20" s="1347" t="s">
        <v>2359</v>
      </c>
      <c r="BR20" s="1346" t="s">
        <v>60</v>
      </c>
      <c r="BS20" s="1346"/>
      <c r="BT20" s="1346"/>
      <c r="BU20" s="1290"/>
      <c r="BX20" s="916" t="s">
        <v>3079</v>
      </c>
      <c r="CC20" s="1341">
        <f t="shared" si="7"/>
        <v>225</v>
      </c>
      <c r="CD20" s="1341">
        <f t="shared" si="8"/>
        <v>60</v>
      </c>
      <c r="CE20" s="1054">
        <f>IF(C20="",0,S20*L20/L26)</f>
        <v>0.2060719892830174</v>
      </c>
      <c r="CG20" s="942"/>
      <c r="CH20" s="1342"/>
      <c r="CI20" s="1140" t="s">
        <v>3078</v>
      </c>
      <c r="CJ20" s="1007">
        <v>0.63</v>
      </c>
      <c r="CK20" s="1007">
        <v>0.66</v>
      </c>
      <c r="CL20" s="1007">
        <v>0.72</v>
      </c>
      <c r="CM20" s="1007">
        <v>1.03</v>
      </c>
      <c r="CN20" s="1007">
        <v>1.54</v>
      </c>
      <c r="CO20" s="1007">
        <v>1.6</v>
      </c>
      <c r="CP20" s="1007">
        <v>2.15</v>
      </c>
      <c r="CQ20" s="1007">
        <v>2.25</v>
      </c>
      <c r="CR20" s="1007">
        <v>3.37</v>
      </c>
      <c r="CS20" s="1007">
        <v>3.5</v>
      </c>
      <c r="CT20" s="1007">
        <v>4.12</v>
      </c>
      <c r="CU20" s="1007">
        <v>5.8</v>
      </c>
      <c r="CV20" s="1007">
        <v>8.85</v>
      </c>
      <c r="CW20" s="1007">
        <v>9.2799999999999994</v>
      </c>
      <c r="CX20" s="1007">
        <v>9.91</v>
      </c>
      <c r="CY20" s="1007">
        <v>10.09</v>
      </c>
      <c r="CZ20" s="936"/>
      <c r="DA20" s="936"/>
      <c r="DB20" s="936"/>
      <c r="DC20" s="936"/>
      <c r="DD20" s="936"/>
      <c r="DE20" s="936"/>
      <c r="DF20" s="936"/>
      <c r="DG20" s="936"/>
      <c r="DH20" s="936"/>
      <c r="DI20" s="936"/>
      <c r="DJ20" s="936"/>
    </row>
    <row r="21" spans="1:116" ht="13.5" customHeight="1">
      <c r="A21" s="1340"/>
      <c r="B21" s="1292"/>
      <c r="C21" s="3798" t="str">
        <f>IF(OR(BW3=0,K8="不要",[1]動配!$D$519="",[1]動配!$AE$519=""),"",[1]動配!$D$519)</f>
        <v>防火シャッタ</v>
      </c>
      <c r="D21" s="3799"/>
      <c r="E21" s="3799"/>
      <c r="F21" s="3799"/>
      <c r="G21" s="3799"/>
      <c r="H21" s="3799"/>
      <c r="I21" s="3799"/>
      <c r="J21" s="3799"/>
      <c r="K21" s="3800"/>
      <c r="L21" s="3566">
        <f>IF(C21="","",[1]動配!$AE519)</f>
        <v>0.2</v>
      </c>
      <c r="M21" s="3567"/>
      <c r="N21" s="3567"/>
      <c r="O21" s="3567"/>
      <c r="P21" s="3794">
        <f>IF(C21="","",IF([1]動配!$AS519="","",[1]動配!$AS519))</f>
        <v>15</v>
      </c>
      <c r="Q21" s="3794"/>
      <c r="R21" s="3794"/>
      <c r="S21" s="3566">
        <f>IF(C21="","",[1]動配!$AM519/100)</f>
        <v>0.66</v>
      </c>
      <c r="T21" s="3567"/>
      <c r="U21" s="3568"/>
      <c r="V21" s="3566">
        <f>IF(C21="","",[1]動配!$AP519/100)</f>
        <v>0.8</v>
      </c>
      <c r="W21" s="3567"/>
      <c r="X21" s="3568"/>
      <c r="Y21" s="3801">
        <f t="shared" si="0"/>
        <v>0.22765624207264179</v>
      </c>
      <c r="Z21" s="3801"/>
      <c r="AA21" s="3801"/>
      <c r="AB21" s="3801"/>
      <c r="AC21" s="3801">
        <f t="shared" si="1"/>
        <v>0.30303030303030304</v>
      </c>
      <c r="AD21" s="3801"/>
      <c r="AE21" s="3801"/>
      <c r="AF21" s="3801"/>
      <c r="AG21" s="3591" t="str">
        <f>IF(C21="","",IF(AM21&lt;&gt;"",AM21,IF(L21&lt;=5.5,"L-S (直入れ)",IF(L21&lt;=15,"Open Y-Δ","Closed Y-Δ"))))</f>
        <v>L-S (直入れ)</v>
      </c>
      <c r="AH21" s="3592"/>
      <c r="AI21" s="3592"/>
      <c r="AJ21" s="3592"/>
      <c r="AK21" s="3592"/>
      <c r="AL21" s="3593"/>
      <c r="AM21" s="3552"/>
      <c r="AN21" s="3552"/>
      <c r="AO21" s="3552"/>
      <c r="AP21" s="3552"/>
      <c r="AQ21" s="3560">
        <f t="shared" si="2"/>
        <v>0.30303030303030304</v>
      </c>
      <c r="AR21" s="3561"/>
      <c r="AS21" s="3562"/>
      <c r="AT21" s="3563">
        <f t="shared" si="3"/>
        <v>1.8</v>
      </c>
      <c r="AU21" s="3564"/>
      <c r="AV21" s="3564"/>
      <c r="AW21" s="3565"/>
      <c r="AX21" s="3585">
        <f t="shared" si="4"/>
        <v>0.19799999999999998</v>
      </c>
      <c r="AY21" s="3586"/>
      <c r="AZ21" s="3586"/>
      <c r="BA21" s="3587"/>
      <c r="BB21" s="3563">
        <f t="shared" si="5"/>
        <v>0.2</v>
      </c>
      <c r="BC21" s="3564"/>
      <c r="BD21" s="3565"/>
      <c r="BE21" s="3566">
        <f t="shared" si="6"/>
        <v>0.4</v>
      </c>
      <c r="BF21" s="3567"/>
      <c r="BG21" s="3568"/>
      <c r="BH21" s="925"/>
      <c r="BI21" s="3569" t="str">
        <f>IF(B2=0,"","X'd")</f>
        <v>X'd</v>
      </c>
      <c r="BJ21" s="3570"/>
      <c r="BK21" s="3570"/>
      <c r="BL21" s="3571"/>
      <c r="BM21" s="3572">
        <f>IF(BQ21&lt;&gt;"",BQ21,IF(C15="","",IF(LEFT(AC8,1)="デ",0.25,0.15)))</f>
        <v>0.25</v>
      </c>
      <c r="BN21" s="3573"/>
      <c r="BO21" s="3573"/>
      <c r="BP21" s="3574"/>
      <c r="BQ21" s="3803"/>
      <c r="BR21" s="3804"/>
      <c r="BS21" s="3804"/>
      <c r="BT21" s="3805"/>
      <c r="BU21" s="1290"/>
      <c r="BX21" s="916" t="s">
        <v>3077</v>
      </c>
      <c r="CC21" s="1341">
        <f t="shared" si="7"/>
        <v>1.8</v>
      </c>
      <c r="CD21" s="1341">
        <f t="shared" si="8"/>
        <v>0.4</v>
      </c>
      <c r="CE21" s="1054">
        <f>IF(C21="",0,S21*L21/L26)</f>
        <v>1.0667255915826784E-3</v>
      </c>
      <c r="CG21" s="942"/>
      <c r="CH21" s="1342"/>
      <c r="CI21" s="1140" t="s">
        <v>3076</v>
      </c>
      <c r="CJ21" s="1007">
        <v>0.67</v>
      </c>
      <c r="CK21" s="1007">
        <v>0.69</v>
      </c>
      <c r="CL21" s="1007">
        <v>0.75</v>
      </c>
      <c r="CM21" s="1007">
        <v>1.1100000000000001</v>
      </c>
      <c r="CN21" s="1007">
        <v>1.62</v>
      </c>
      <c r="CO21" s="1007">
        <v>1.68</v>
      </c>
      <c r="CP21" s="1007">
        <v>2.4500000000000002</v>
      </c>
      <c r="CQ21" s="1007">
        <v>2.5499999999999998</v>
      </c>
      <c r="CR21" s="1007">
        <v>3.38</v>
      </c>
      <c r="CS21" s="1007">
        <v>3.51</v>
      </c>
      <c r="CT21" s="1007">
        <v>4.13</v>
      </c>
      <c r="CU21" s="1007">
        <v>5.93</v>
      </c>
      <c r="CV21" s="1007">
        <v>9.0500000000000007</v>
      </c>
      <c r="CW21" s="1007">
        <v>9.48</v>
      </c>
      <c r="CX21" s="1007">
        <v>10.11</v>
      </c>
      <c r="CY21" s="1007">
        <v>10.29</v>
      </c>
      <c r="CZ21" s="936"/>
      <c r="DA21" s="936"/>
      <c r="DB21" s="936"/>
      <c r="DC21" s="936"/>
      <c r="DD21" s="936"/>
      <c r="DE21" s="936"/>
      <c r="DF21" s="936"/>
      <c r="DG21" s="936"/>
      <c r="DH21" s="936"/>
      <c r="DI21" s="936"/>
      <c r="DJ21" s="936"/>
    </row>
    <row r="22" spans="1:116" ht="13.5" customHeight="1">
      <c r="A22" s="1340"/>
      <c r="B22" s="1292"/>
      <c r="C22" s="3798" t="str">
        <f>IF(OR(BW3=0,K8="不要",[1]動配!$D$520="",[1]動配!$AE$520=""),"",[4]動配!$D$520)</f>
        <v/>
      </c>
      <c r="D22" s="3799"/>
      <c r="E22" s="3799"/>
      <c r="F22" s="3799"/>
      <c r="G22" s="3799"/>
      <c r="H22" s="3799"/>
      <c r="I22" s="3799"/>
      <c r="J22" s="3799"/>
      <c r="K22" s="3800"/>
      <c r="L22" s="3566" t="str">
        <f>IF(C22="","",[1]動配!$AE520)</f>
        <v/>
      </c>
      <c r="M22" s="3567"/>
      <c r="N22" s="3567"/>
      <c r="O22" s="3567"/>
      <c r="P22" s="3794" t="str">
        <f>IF(C22="","",IF([1]動配!$AS520="","",[1]動配!$AS520))</f>
        <v/>
      </c>
      <c r="Q22" s="3794"/>
      <c r="R22" s="3794"/>
      <c r="S22" s="3566" t="str">
        <f>IF(C22="","",[1]動配!$AM520/100)</f>
        <v/>
      </c>
      <c r="T22" s="3567"/>
      <c r="U22" s="3568"/>
      <c r="V22" s="3566" t="str">
        <f>IF(C22="","",[1]動配!$AP520/100)</f>
        <v/>
      </c>
      <c r="W22" s="3567"/>
      <c r="X22" s="3568"/>
      <c r="Y22" s="3801" t="str">
        <f t="shared" si="0"/>
        <v/>
      </c>
      <c r="Z22" s="3801"/>
      <c r="AA22" s="3801"/>
      <c r="AB22" s="3801"/>
      <c r="AC22" s="3801" t="str">
        <f t="shared" si="1"/>
        <v/>
      </c>
      <c r="AD22" s="3801"/>
      <c r="AE22" s="3801"/>
      <c r="AF22" s="3801"/>
      <c r="AG22" s="3591" t="str">
        <f>IF(C22="","",IF(AM22&lt;&gt;"",AM22,IF(L22&lt;=5.5,"L-S (直入れ)",IF(L22&lt;=15,"Open Y-Δ","Closed Y-Δ"))))</f>
        <v/>
      </c>
      <c r="AH22" s="3592"/>
      <c r="AI22" s="3592"/>
      <c r="AJ22" s="3592"/>
      <c r="AK22" s="3592"/>
      <c r="AL22" s="3593"/>
      <c r="AM22" s="3552"/>
      <c r="AN22" s="3552"/>
      <c r="AO22" s="3552"/>
      <c r="AP22" s="3552"/>
      <c r="AQ22" s="3560" t="str">
        <f t="shared" si="2"/>
        <v/>
      </c>
      <c r="AR22" s="3561"/>
      <c r="AS22" s="3562"/>
      <c r="AT22" s="3563" t="str">
        <f t="shared" si="3"/>
        <v/>
      </c>
      <c r="AU22" s="3564"/>
      <c r="AV22" s="3564"/>
      <c r="AW22" s="3565"/>
      <c r="AX22" s="3585" t="str">
        <f t="shared" si="4"/>
        <v/>
      </c>
      <c r="AY22" s="3586"/>
      <c r="AZ22" s="3586"/>
      <c r="BA22" s="3587"/>
      <c r="BB22" s="3563" t="str">
        <f t="shared" si="5"/>
        <v/>
      </c>
      <c r="BC22" s="3564"/>
      <c r="BD22" s="3565"/>
      <c r="BE22" s="3566" t="str">
        <f t="shared" si="6"/>
        <v/>
      </c>
      <c r="BF22" s="3567"/>
      <c r="BG22" s="3568"/>
      <c r="BH22" s="925"/>
      <c r="BI22" s="3806" t="str">
        <f>IF(B2=0,"","ΔE")</f>
        <v>ΔE</v>
      </c>
      <c r="BJ22" s="3807"/>
      <c r="BK22" s="3807"/>
      <c r="BL22" s="3808"/>
      <c r="BM22" s="3572">
        <f>IF(BQ22&lt;&gt;"",BQ22,IF(C15="","",0.2))</f>
        <v>0.2</v>
      </c>
      <c r="BN22" s="3573"/>
      <c r="BO22" s="3573"/>
      <c r="BP22" s="3574"/>
      <c r="BQ22" s="3803"/>
      <c r="BR22" s="3804"/>
      <c r="BS22" s="3804"/>
      <c r="BT22" s="3805"/>
      <c r="BU22" s="1290"/>
      <c r="BV22" s="1345"/>
      <c r="BX22" s="916" t="s">
        <v>3075</v>
      </c>
      <c r="CC22" s="1341" t="str">
        <f t="shared" si="7"/>
        <v/>
      </c>
      <c r="CD22" s="1341">
        <f t="shared" si="8"/>
        <v>0</v>
      </c>
      <c r="CE22" s="1054">
        <f>IF(C22="",0,S22*L22/L26)</f>
        <v>0</v>
      </c>
      <c r="CG22" s="942"/>
      <c r="CH22" s="1342"/>
      <c r="CI22" s="1140" t="s">
        <v>3074</v>
      </c>
      <c r="CJ22" s="1007"/>
      <c r="CK22" s="1007"/>
      <c r="CL22" s="1007"/>
      <c r="CM22" s="1007"/>
      <c r="CN22" s="1007"/>
      <c r="CO22" s="1007"/>
      <c r="CP22" s="1007"/>
      <c r="CQ22" s="1007"/>
      <c r="CR22" s="1007"/>
      <c r="CS22" s="1007"/>
      <c r="CT22" s="1007"/>
      <c r="CU22" s="1007"/>
      <c r="CV22" s="1007">
        <v>5.25</v>
      </c>
      <c r="CW22" s="1007">
        <v>5.67</v>
      </c>
      <c r="CX22" s="1007">
        <v>6.24</v>
      </c>
      <c r="CY22" s="1007">
        <v>6.42</v>
      </c>
      <c r="CZ22" s="936"/>
      <c r="DA22" s="936"/>
      <c r="DB22" s="936"/>
      <c r="DC22" s="936"/>
      <c r="DD22" s="936"/>
      <c r="DE22" s="936"/>
      <c r="DF22" s="936"/>
      <c r="DG22" s="936"/>
      <c r="DH22" s="936"/>
      <c r="DI22" s="936"/>
      <c r="DJ22" s="936"/>
    </row>
    <row r="23" spans="1:116" ht="13.5" customHeight="1">
      <c r="A23" s="1340"/>
      <c r="B23" s="1292"/>
      <c r="C23" s="3798" t="str">
        <f>IF(OR(BW3=0,K11="不要",[1]動配!$D57=""),"",[1]動配!$D57)</f>
        <v>排水ポンプ</v>
      </c>
      <c r="D23" s="3799"/>
      <c r="E23" s="3799"/>
      <c r="F23" s="3799"/>
      <c r="G23" s="3799"/>
      <c r="H23" s="3799"/>
      <c r="I23" s="3799"/>
      <c r="J23" s="3799"/>
      <c r="K23" s="3800"/>
      <c r="L23" s="3566">
        <f>IF(C23="","",[1]動配!$AE57)</f>
        <v>12.774095833333334</v>
      </c>
      <c r="M23" s="3567"/>
      <c r="N23" s="3567"/>
      <c r="O23" s="3567"/>
      <c r="P23" s="3794">
        <f>IF(C23="","",[1]動配!$AS57)</f>
        <v>2</v>
      </c>
      <c r="Q23" s="3794"/>
      <c r="R23" s="3794"/>
      <c r="S23" s="3566">
        <f>IF(C23="","",[1]動配!$AM57/100)</f>
        <v>0.79</v>
      </c>
      <c r="T23" s="3567"/>
      <c r="U23" s="3568"/>
      <c r="V23" s="3566">
        <f>IF(C23="","",[1]動配!$AP57/100)</f>
        <v>0.9</v>
      </c>
      <c r="W23" s="3567"/>
      <c r="X23" s="3568"/>
      <c r="Y23" s="3801">
        <f t="shared" si="0"/>
        <v>9.9137791883930007</v>
      </c>
      <c r="Z23" s="3801"/>
      <c r="AA23" s="3801"/>
      <c r="AB23" s="3801"/>
      <c r="AC23" s="3801">
        <f t="shared" si="1"/>
        <v>16.169741561181436</v>
      </c>
      <c r="AD23" s="3801"/>
      <c r="AE23" s="3801"/>
      <c r="AF23" s="3801"/>
      <c r="AG23" s="3591" t="str">
        <f>IF(C23="","",IF(AM23&lt;&gt;"",AM23,IF(L23&lt;=5.5,"L-S (直入れ)","Open Y-Δ")))</f>
        <v>Open Y-Δ</v>
      </c>
      <c r="AH23" s="3592"/>
      <c r="AI23" s="3592"/>
      <c r="AJ23" s="3592"/>
      <c r="AK23" s="3592"/>
      <c r="AL23" s="3593"/>
      <c r="AM23" s="3552"/>
      <c r="AN23" s="3552"/>
      <c r="AO23" s="3552"/>
      <c r="AP23" s="3552"/>
      <c r="AQ23" s="3560">
        <f t="shared" si="2"/>
        <v>16.169741561181436</v>
      </c>
      <c r="AR23" s="3561"/>
      <c r="AS23" s="3562"/>
      <c r="AT23" s="3563">
        <f t="shared" si="3"/>
        <v>68.128511111111109</v>
      </c>
      <c r="AU23" s="3564"/>
      <c r="AV23" s="3564"/>
      <c r="AW23" s="3565"/>
      <c r="AX23" s="3585">
        <f t="shared" si="4"/>
        <v>0.23699999999999999</v>
      </c>
      <c r="AY23" s="3586"/>
      <c r="AZ23" s="3586"/>
      <c r="BA23" s="3587"/>
      <c r="BB23" s="3563">
        <f t="shared" si="5"/>
        <v>12.774095833333334</v>
      </c>
      <c r="BC23" s="3564"/>
      <c r="BD23" s="3565"/>
      <c r="BE23" s="3566">
        <f t="shared" si="6"/>
        <v>0.4</v>
      </c>
      <c r="BF23" s="3567"/>
      <c r="BG23" s="3568"/>
      <c r="BH23" s="925"/>
      <c r="BI23" s="925"/>
      <c r="BJ23" s="925"/>
      <c r="BK23" s="925"/>
      <c r="BL23" s="925"/>
      <c r="BM23" s="925"/>
      <c r="BN23" s="925"/>
      <c r="BO23" s="925"/>
      <c r="BP23" s="925"/>
      <c r="BQ23" s="925"/>
      <c r="BR23" s="925"/>
      <c r="BS23" s="925"/>
      <c r="BT23" s="925"/>
      <c r="BU23" s="1290"/>
      <c r="BV23" s="1345"/>
      <c r="BX23" s="916" t="s">
        <v>3073</v>
      </c>
      <c r="CC23" s="1341">
        <f t="shared" si="7"/>
        <v>102.19276666666667</v>
      </c>
      <c r="CD23" s="1341">
        <f t="shared" si="8"/>
        <v>25.548191666666668</v>
      </c>
      <c r="CE23" s="1054">
        <f>IF(C23="",0,S23*L23/L26)</f>
        <v>8.1552268170072717E-2</v>
      </c>
      <c r="CG23" s="942"/>
      <c r="CH23" s="1342"/>
      <c r="CI23" s="1140" t="s">
        <v>3072</v>
      </c>
      <c r="CJ23" s="1343"/>
      <c r="CK23" s="1343"/>
      <c r="CL23" s="1343"/>
      <c r="CM23" s="1343"/>
      <c r="CN23" s="1343"/>
      <c r="CO23" s="1343"/>
      <c r="CP23" s="1343"/>
      <c r="CQ23" s="1343"/>
      <c r="CR23" s="1343"/>
      <c r="CS23" s="1344">
        <v>5.96</v>
      </c>
      <c r="CT23" s="1344">
        <v>5.96</v>
      </c>
      <c r="CU23" s="1344">
        <v>6.16</v>
      </c>
      <c r="CV23" s="1344">
        <v>5.98</v>
      </c>
      <c r="CW23" s="1344">
        <v>6.08</v>
      </c>
      <c r="CX23" s="1343"/>
      <c r="CY23" s="1343"/>
      <c r="CZ23" s="1007">
        <v>9.7799999999999994</v>
      </c>
      <c r="DA23" s="1007">
        <v>10.3</v>
      </c>
      <c r="DB23" s="1007">
        <v>10.38</v>
      </c>
      <c r="DC23" s="1007">
        <v>11.8</v>
      </c>
      <c r="DD23" s="1007">
        <v>12.6</v>
      </c>
      <c r="DE23" s="1007">
        <v>15.5</v>
      </c>
      <c r="DF23" s="1007">
        <v>21.7</v>
      </c>
      <c r="DG23" s="1007">
        <v>19.59</v>
      </c>
      <c r="DH23" s="1007">
        <v>21.01</v>
      </c>
      <c r="DI23" s="1007">
        <v>33</v>
      </c>
      <c r="DJ23" s="1007">
        <v>33.5</v>
      </c>
      <c r="DK23" s="1007">
        <v>42.29</v>
      </c>
      <c r="DL23" s="1007">
        <v>44.08</v>
      </c>
    </row>
    <row r="24" spans="1:116" ht="13.5" customHeight="1">
      <c r="A24" s="1340"/>
      <c r="B24" s="1292"/>
      <c r="C24" s="3798" t="str">
        <f>IF(OR(BW3=0,K12="不要",[1]動配!$D58=""),"",[1]動配!$D58)</f>
        <v>汚水ポンプ</v>
      </c>
      <c r="D24" s="3799"/>
      <c r="E24" s="3799"/>
      <c r="F24" s="3799"/>
      <c r="G24" s="3799"/>
      <c r="H24" s="3799"/>
      <c r="I24" s="3799"/>
      <c r="J24" s="3799"/>
      <c r="K24" s="3800"/>
      <c r="L24" s="3566">
        <f>IF(C24="","",[1]動配!$AE58)</f>
        <v>5.1096383333333346</v>
      </c>
      <c r="M24" s="3567"/>
      <c r="N24" s="3567"/>
      <c r="O24" s="3567"/>
      <c r="P24" s="3794">
        <f>IF(C24="","",[1]動配!$AS58)</f>
        <v>2</v>
      </c>
      <c r="Q24" s="3794"/>
      <c r="R24" s="3794"/>
      <c r="S24" s="3566">
        <f>IF(C24="","",[1]動配!$AM58/100)</f>
        <v>0.79</v>
      </c>
      <c r="T24" s="3567"/>
      <c r="U24" s="3568"/>
      <c r="V24" s="3566">
        <f>IF(C24="","",[1]動配!$AP58/100)</f>
        <v>0.9</v>
      </c>
      <c r="W24" s="3567"/>
      <c r="X24" s="3568"/>
      <c r="Y24" s="3801">
        <f t="shared" si="0"/>
        <v>3.9655116753572011</v>
      </c>
      <c r="Z24" s="3801"/>
      <c r="AA24" s="3801"/>
      <c r="AB24" s="3801"/>
      <c r="AC24" s="3801">
        <f t="shared" si="1"/>
        <v>6.4678966244725755</v>
      </c>
      <c r="AD24" s="3801"/>
      <c r="AE24" s="3801"/>
      <c r="AF24" s="3801"/>
      <c r="AG24" s="3591" t="str">
        <f>IF(C24="","",IF(AM24&lt;&gt;"",AM24,IF(L24&lt;=5.5,"L-S (直入れ)","Open Y-Δ")))</f>
        <v>L-S (直入れ)</v>
      </c>
      <c r="AH24" s="3592"/>
      <c r="AI24" s="3592"/>
      <c r="AJ24" s="3592"/>
      <c r="AK24" s="3592"/>
      <c r="AL24" s="3593"/>
      <c r="AM24" s="3552"/>
      <c r="AN24" s="3552"/>
      <c r="AO24" s="3552"/>
      <c r="AP24" s="3552"/>
      <c r="AQ24" s="3560">
        <f t="shared" si="2"/>
        <v>6.4678966244725755</v>
      </c>
      <c r="AR24" s="3561"/>
      <c r="AS24" s="3562"/>
      <c r="AT24" s="3563">
        <f t="shared" si="3"/>
        <v>40.877106666666677</v>
      </c>
      <c r="AU24" s="3564"/>
      <c r="AV24" s="3564"/>
      <c r="AW24" s="3565"/>
      <c r="AX24" s="3585">
        <f t="shared" si="4"/>
        <v>0.23699999999999999</v>
      </c>
      <c r="AY24" s="3586"/>
      <c r="AZ24" s="3586"/>
      <c r="BA24" s="3587"/>
      <c r="BB24" s="3563">
        <f t="shared" si="5"/>
        <v>5.1096383333333346</v>
      </c>
      <c r="BC24" s="3564"/>
      <c r="BD24" s="3565"/>
      <c r="BE24" s="3566">
        <f t="shared" si="6"/>
        <v>0.4</v>
      </c>
      <c r="BF24" s="3567"/>
      <c r="BG24" s="3568"/>
      <c r="BH24" s="925"/>
      <c r="BI24" s="925"/>
      <c r="BJ24" s="925"/>
      <c r="BK24" s="925"/>
      <c r="BL24" s="925"/>
      <c r="BM24" s="925"/>
      <c r="BN24" s="925"/>
      <c r="BO24" s="925"/>
      <c r="BP24" s="925"/>
      <c r="BQ24" s="925"/>
      <c r="BR24" s="925"/>
      <c r="BS24" s="925"/>
      <c r="BT24" s="925"/>
      <c r="BU24" s="1290"/>
      <c r="BX24" s="916" t="s">
        <v>3071</v>
      </c>
      <c r="CC24" s="1341">
        <f t="shared" si="7"/>
        <v>40.877106666666677</v>
      </c>
      <c r="CD24" s="1341">
        <f t="shared" si="8"/>
        <v>10.219276666666669</v>
      </c>
      <c r="CE24" s="1054">
        <f>IF(C24="",0,S24*L24/L26)</f>
        <v>3.2620907268029097E-2</v>
      </c>
      <c r="CG24" s="942"/>
      <c r="CH24" s="1342"/>
      <c r="CI24" s="1140" t="s">
        <v>3070</v>
      </c>
      <c r="CS24" s="1007">
        <v>6.34</v>
      </c>
      <c r="CT24" s="1007">
        <v>6.34</v>
      </c>
      <c r="CU24" s="1007">
        <v>6.54</v>
      </c>
      <c r="CV24" s="1007">
        <v>6.46</v>
      </c>
      <c r="CW24" s="1007">
        <v>6.56</v>
      </c>
      <c r="CZ24" s="1007">
        <v>10.24</v>
      </c>
      <c r="DA24" s="1007">
        <v>10.3</v>
      </c>
      <c r="DB24" s="1007">
        <v>11.35</v>
      </c>
      <c r="DC24" s="1007">
        <v>12.55</v>
      </c>
      <c r="DD24" s="1007">
        <v>13.39</v>
      </c>
      <c r="DE24" s="1007">
        <v>16.239999999999998</v>
      </c>
      <c r="DF24" s="1007">
        <v>21.7</v>
      </c>
      <c r="DG24" s="1007">
        <v>20.83</v>
      </c>
      <c r="DH24" s="1007">
        <v>22.3</v>
      </c>
      <c r="DI24" s="1007">
        <v>33</v>
      </c>
      <c r="DJ24" s="1007">
        <v>33.5</v>
      </c>
      <c r="DK24" s="1007">
        <v>42.29</v>
      </c>
      <c r="DL24" s="1007">
        <v>44.08</v>
      </c>
    </row>
    <row r="25" spans="1:116" ht="13.5" customHeight="1">
      <c r="A25" s="1340"/>
      <c r="B25" s="1292"/>
      <c r="C25" s="3798" t="str">
        <f>IF(OR(BW3=0,K13="不要",[1]動配!$D59=""),"",[1]動配!$D59)</f>
        <v>湧水ポンプ</v>
      </c>
      <c r="D25" s="3799"/>
      <c r="E25" s="3799"/>
      <c r="F25" s="3799"/>
      <c r="G25" s="3799"/>
      <c r="H25" s="3799"/>
      <c r="I25" s="3799"/>
      <c r="J25" s="3799"/>
      <c r="K25" s="3800"/>
      <c r="L25" s="3566">
        <f>IF(C25="","",[1]動配!$AE59)</f>
        <v>0.19943000000000002</v>
      </c>
      <c r="M25" s="3567"/>
      <c r="N25" s="3567"/>
      <c r="O25" s="3567"/>
      <c r="P25" s="3794">
        <f>IF(C25="","",[1]動配!$AS59)</f>
        <v>2</v>
      </c>
      <c r="Q25" s="3794"/>
      <c r="R25" s="3794"/>
      <c r="S25" s="3802">
        <f>IF(C25="","",[1]動配!$AM59/100)</f>
        <v>0.66</v>
      </c>
      <c r="T25" s="3567"/>
      <c r="U25" s="3568"/>
      <c r="V25" s="3566">
        <f>IF(C25="","",[1]動配!$AP59/100)</f>
        <v>0.8</v>
      </c>
      <c r="W25" s="3567"/>
      <c r="X25" s="3568"/>
      <c r="Y25" s="3787">
        <f t="shared" si="0"/>
        <v>0.22700742178273478</v>
      </c>
      <c r="Z25" s="3787"/>
      <c r="AA25" s="3787"/>
      <c r="AB25" s="3787"/>
      <c r="AC25" s="3787">
        <f t="shared" si="1"/>
        <v>0.30216666666666669</v>
      </c>
      <c r="AD25" s="3787"/>
      <c r="AE25" s="3787"/>
      <c r="AF25" s="3787"/>
      <c r="AG25" s="3591" t="str">
        <f>IF(C25="","",IF(AM25&lt;&gt;"",AM25,IF(L25&lt;=5.5,"L-S (直入れ)","Open Y-Δ")))</f>
        <v>L-S (直入れ)</v>
      </c>
      <c r="AH25" s="3592"/>
      <c r="AI25" s="3592"/>
      <c r="AJ25" s="3592"/>
      <c r="AK25" s="3592"/>
      <c r="AL25" s="3593"/>
      <c r="AM25" s="3552"/>
      <c r="AN25" s="3552"/>
      <c r="AO25" s="3552"/>
      <c r="AP25" s="3552"/>
      <c r="AQ25" s="3777">
        <f t="shared" si="2"/>
        <v>0.30216666666666669</v>
      </c>
      <c r="AR25" s="3778"/>
      <c r="AS25" s="3779"/>
      <c r="AT25" s="3780">
        <f t="shared" si="3"/>
        <v>1.7948700000000002</v>
      </c>
      <c r="AU25" s="3781"/>
      <c r="AV25" s="3781"/>
      <c r="AW25" s="3782"/>
      <c r="AX25" s="2802">
        <f t="shared" si="4"/>
        <v>0.19800000000000001</v>
      </c>
      <c r="AY25" s="2803"/>
      <c r="AZ25" s="2803"/>
      <c r="BA25" s="2804"/>
      <c r="BB25" s="3780">
        <f t="shared" si="5"/>
        <v>0.19943000000000002</v>
      </c>
      <c r="BC25" s="3781"/>
      <c r="BD25" s="3782"/>
      <c r="BE25" s="3788">
        <f t="shared" si="6"/>
        <v>0.4</v>
      </c>
      <c r="BF25" s="3789"/>
      <c r="BG25" s="3790"/>
      <c r="BH25" s="925"/>
      <c r="BI25" s="925"/>
      <c r="BJ25" s="925"/>
      <c r="BK25" s="925"/>
      <c r="BL25" s="925"/>
      <c r="BM25" s="925"/>
      <c r="BN25" s="925"/>
      <c r="BO25" s="925"/>
      <c r="BP25" s="925"/>
      <c r="BQ25" s="925"/>
      <c r="BR25" s="925"/>
      <c r="BS25" s="925"/>
      <c r="BT25" s="925"/>
      <c r="BU25" s="1290"/>
      <c r="BX25" s="916" t="s">
        <v>3069</v>
      </c>
      <c r="CC25" s="1341">
        <f t="shared" si="7"/>
        <v>1.7948700000000002</v>
      </c>
      <c r="CD25" s="1341">
        <f t="shared" si="8"/>
        <v>0.39886000000000005</v>
      </c>
      <c r="CE25" s="1054">
        <f>IF(C25="",0,S25*L25/L26)</f>
        <v>1.0636854236466679E-3</v>
      </c>
    </row>
    <row r="26" spans="1:116" ht="13.5" customHeight="1">
      <c r="A26" s="1340"/>
      <c r="B26" s="1292"/>
      <c r="C26" s="1707"/>
      <c r="D26" s="1707"/>
      <c r="E26" s="1707"/>
      <c r="F26" s="1707"/>
      <c r="G26" s="1707"/>
      <c r="H26" s="1707"/>
      <c r="I26" s="1707"/>
      <c r="J26" s="1707"/>
      <c r="K26" s="1707"/>
      <c r="L26" s="3791">
        <f>IF(C15="","",SUM(L18:O25))</f>
        <v>123.74316416666669</v>
      </c>
      <c r="M26" s="3791"/>
      <c r="N26" s="3791"/>
      <c r="O26" s="3791"/>
      <c r="P26" s="1707"/>
      <c r="Q26" s="1707"/>
      <c r="R26" s="1707"/>
      <c r="S26" s="3555">
        <f>IF(C15="","",SUM(CE18:CE25))</f>
        <v>0.84071531944623179</v>
      </c>
      <c r="T26" s="3555"/>
      <c r="U26" s="3555"/>
      <c r="V26" s="1707"/>
      <c r="W26" s="1707"/>
      <c r="X26" s="1707"/>
      <c r="Y26" s="3791">
        <f>IF(C15="","",SUM(Y18:AB25))</f>
        <v>79.692192455596782</v>
      </c>
      <c r="Z26" s="3791"/>
      <c r="AA26" s="3791"/>
      <c r="AB26" s="3791"/>
      <c r="AC26" s="3792">
        <f>IF(C15="","",SQRT(L26^2+Y26^2))</f>
        <v>147.18429337520527</v>
      </c>
      <c r="AD26" s="3792"/>
      <c r="AE26" s="3792"/>
      <c r="AF26" s="3792"/>
      <c r="AG26" s="1707"/>
      <c r="AH26" s="1707"/>
      <c r="AI26" s="1707"/>
      <c r="AJ26" s="1707"/>
      <c r="AK26" s="1707"/>
      <c r="AL26" s="1707"/>
      <c r="AM26" s="1707"/>
      <c r="AN26" s="1707"/>
      <c r="AO26" s="1707"/>
      <c r="AP26" s="1707"/>
      <c r="AQ26" s="3793">
        <f>IF(C15="","",SQRT(L26^2+Y26^2))</f>
        <v>147.18429337520527</v>
      </c>
      <c r="AR26" s="3793"/>
      <c r="AS26" s="3793"/>
      <c r="AT26" s="3775">
        <f>IF(C15="","",MAX(AT18:AW25))</f>
        <v>176.07333333333335</v>
      </c>
      <c r="AU26" s="3775"/>
      <c r="AV26" s="3775"/>
      <c r="AW26" s="3775"/>
      <c r="AX26" s="3776">
        <f>IF(C15="","",MAX(AX18:BA25))</f>
        <v>0.255</v>
      </c>
      <c r="AY26" s="3776"/>
      <c r="AZ26" s="3776"/>
      <c r="BA26" s="3776"/>
      <c r="BB26" s="3775">
        <f>IF(C15="","",MAX(BB18:BD25))</f>
        <v>75.460000000000008</v>
      </c>
      <c r="BC26" s="3775"/>
      <c r="BD26" s="3775"/>
      <c r="BE26" s="3555">
        <f>IF(C15="","",MAX(BE18:BG25))</f>
        <v>0.4</v>
      </c>
      <c r="BF26" s="3555"/>
      <c r="BG26" s="3555"/>
      <c r="BH26" s="925"/>
      <c r="BI26" s="925"/>
      <c r="BJ26" s="925"/>
      <c r="BK26" s="925"/>
      <c r="BL26" s="925"/>
      <c r="BM26" s="925"/>
      <c r="BN26" s="925"/>
      <c r="BO26" s="925"/>
      <c r="BP26" s="925"/>
      <c r="BQ26" s="925"/>
      <c r="BR26" s="925"/>
      <c r="BS26" s="925"/>
      <c r="BT26" s="925"/>
      <c r="BU26" s="1290"/>
      <c r="BX26" s="916" t="s">
        <v>3068</v>
      </c>
    </row>
    <row r="27" spans="1:116" ht="9" customHeight="1">
      <c r="A27" s="1340"/>
      <c r="B27" s="1292"/>
      <c r="C27" s="925"/>
      <c r="D27" s="925"/>
      <c r="E27" s="925"/>
      <c r="F27" s="925"/>
      <c r="G27" s="925"/>
      <c r="H27" s="925"/>
      <c r="I27" s="925"/>
      <c r="J27" s="925"/>
      <c r="K27" s="925"/>
      <c r="L27" s="925"/>
      <c r="M27" s="925"/>
      <c r="N27" s="925"/>
      <c r="O27" s="925"/>
      <c r="P27" s="925"/>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925"/>
      <c r="AN27" s="925"/>
      <c r="AO27" s="925"/>
      <c r="AP27" s="925"/>
      <c r="AQ27" s="925"/>
      <c r="AR27" s="925"/>
      <c r="AS27" s="925"/>
      <c r="AT27" s="925"/>
      <c r="AU27" s="925"/>
      <c r="AV27" s="925"/>
      <c r="AW27" s="925"/>
      <c r="AX27" s="925"/>
      <c r="AY27" s="925"/>
      <c r="AZ27" s="925"/>
      <c r="BA27" s="925"/>
      <c r="BB27" s="925"/>
      <c r="BC27" s="925"/>
      <c r="BD27" s="925"/>
      <c r="BE27" s="925"/>
      <c r="BF27" s="925"/>
      <c r="BG27" s="925"/>
      <c r="BH27" s="925"/>
      <c r="BI27" s="925"/>
      <c r="BJ27" s="925"/>
      <c r="BK27" s="925"/>
      <c r="BL27" s="925"/>
      <c r="BM27" s="925"/>
      <c r="BN27" s="925"/>
      <c r="BO27" s="925"/>
      <c r="BP27" s="925"/>
      <c r="BQ27" s="925"/>
      <c r="BR27" s="925"/>
      <c r="BS27" s="925"/>
      <c r="BT27" s="925"/>
      <c r="BU27" s="1290"/>
      <c r="BX27" s="916" t="s">
        <v>3067</v>
      </c>
      <c r="CC27" s="1334" t="s">
        <v>3066</v>
      </c>
    </row>
    <row r="28" spans="1:116" ht="6.75" customHeight="1">
      <c r="A28" s="1340"/>
      <c r="B28" s="1292"/>
      <c r="C28" s="925"/>
      <c r="D28" s="925"/>
      <c r="E28" s="925"/>
      <c r="F28" s="925"/>
      <c r="G28" s="925"/>
      <c r="H28" s="925"/>
      <c r="I28" s="925"/>
      <c r="J28" s="925"/>
      <c r="K28" s="925"/>
      <c r="L28" s="925"/>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925"/>
      <c r="AO28" s="925"/>
      <c r="AP28" s="925"/>
      <c r="AQ28" s="925"/>
      <c r="AR28" s="925"/>
      <c r="AS28" s="925"/>
      <c r="AT28" s="925"/>
      <c r="AU28" s="925"/>
      <c r="AV28" s="925"/>
      <c r="AW28" s="925"/>
      <c r="AX28" s="925"/>
      <c r="AY28" s="925"/>
      <c r="AZ28" s="925"/>
      <c r="BA28" s="925"/>
      <c r="BB28" s="925"/>
      <c r="BC28" s="925"/>
      <c r="BD28" s="925"/>
      <c r="BE28" s="925"/>
      <c r="BF28" s="925"/>
      <c r="BG28" s="925"/>
      <c r="BH28" s="925"/>
      <c r="BI28" s="925"/>
      <c r="BJ28" s="925"/>
      <c r="BK28" s="925"/>
      <c r="BL28" s="925"/>
      <c r="BM28" s="925"/>
      <c r="BN28" s="925"/>
      <c r="BO28" s="925"/>
      <c r="BP28" s="925"/>
      <c r="BQ28" s="925"/>
      <c r="BR28" s="925"/>
      <c r="BS28" s="925"/>
      <c r="BT28" s="925"/>
      <c r="BU28" s="1290"/>
      <c r="BX28" s="916" t="s">
        <v>3065</v>
      </c>
      <c r="CC28" s="1334" t="s">
        <v>3064</v>
      </c>
    </row>
    <row r="29" spans="1:116" ht="7.5" customHeight="1" thickBot="1">
      <c r="B29" s="1292"/>
      <c r="C29" s="925"/>
      <c r="D29" s="925"/>
      <c r="E29" s="925"/>
      <c r="F29" s="925"/>
      <c r="G29" s="925"/>
      <c r="H29" s="925"/>
      <c r="I29" s="925"/>
      <c r="J29" s="925"/>
      <c r="K29" s="925"/>
      <c r="L29" s="925"/>
      <c r="M29" s="925"/>
      <c r="N29" s="925"/>
      <c r="O29" s="925"/>
      <c r="P29" s="925"/>
      <c r="Q29" s="925"/>
      <c r="R29" s="925"/>
      <c r="S29" s="925"/>
      <c r="T29" s="925"/>
      <c r="U29" s="925"/>
      <c r="V29" s="925"/>
      <c r="W29" s="925"/>
      <c r="X29" s="925"/>
      <c r="Y29" s="925"/>
      <c r="Z29" s="925"/>
      <c r="AA29" s="925"/>
      <c r="AB29" s="925"/>
      <c r="AC29" s="925"/>
      <c r="AD29" s="925"/>
      <c r="AE29" s="925"/>
      <c r="AF29" s="925"/>
      <c r="AG29" s="925"/>
      <c r="AH29" s="925"/>
      <c r="AI29" s="925"/>
      <c r="AJ29" s="925"/>
      <c r="AK29" s="925"/>
      <c r="AL29" s="925"/>
      <c r="AM29" s="925"/>
      <c r="AN29" s="925"/>
      <c r="AO29" s="925"/>
      <c r="AP29" s="925"/>
      <c r="AQ29" s="925"/>
      <c r="AR29" s="925"/>
      <c r="AS29" s="925"/>
      <c r="AT29" s="925"/>
      <c r="AU29" s="925"/>
      <c r="AV29" s="925"/>
      <c r="AW29" s="925"/>
      <c r="AX29" s="925"/>
      <c r="AY29" s="925"/>
      <c r="AZ29" s="925"/>
      <c r="BA29" s="925"/>
      <c r="BB29" s="925"/>
      <c r="BC29" s="925"/>
      <c r="BD29" s="925"/>
      <c r="BE29" s="925"/>
      <c r="BF29" s="925"/>
      <c r="BG29" s="925"/>
      <c r="BH29" s="925"/>
      <c r="BI29" s="925"/>
      <c r="BJ29" s="925"/>
      <c r="BK29" s="925"/>
      <c r="BL29" s="925"/>
      <c r="BM29" s="925"/>
      <c r="BN29" s="925"/>
      <c r="BO29" s="925"/>
      <c r="BP29" s="925"/>
      <c r="BQ29" s="925"/>
      <c r="BR29" s="925"/>
      <c r="BS29" s="925"/>
      <c r="BT29" s="925"/>
      <c r="BU29" s="1290"/>
      <c r="BX29" s="916" t="s">
        <v>3063</v>
      </c>
      <c r="CC29" s="1334" t="s">
        <v>3062</v>
      </c>
    </row>
    <row r="30" spans="1:116" ht="12" customHeight="1" thickTop="1" thickBot="1">
      <c r="B30" s="1292"/>
      <c r="C30" s="3795" t="s">
        <v>3061</v>
      </c>
      <c r="D30" s="3783"/>
      <c r="E30" s="3783"/>
      <c r="F30" s="3783"/>
      <c r="G30" s="3783"/>
      <c r="H30" s="3783"/>
      <c r="I30" s="3783"/>
      <c r="J30" s="3783"/>
      <c r="K30" s="3783"/>
      <c r="L30" s="3796"/>
      <c r="M30" s="3797" t="s">
        <v>3060</v>
      </c>
      <c r="N30" s="3783"/>
      <c r="O30" s="3783"/>
      <c r="P30" s="3783"/>
      <c r="Q30" s="3783"/>
      <c r="R30" s="3783"/>
      <c r="S30" s="3783"/>
      <c r="T30" s="3783"/>
      <c r="U30" s="3783"/>
      <c r="V30" s="3783"/>
      <c r="W30" s="3783"/>
      <c r="X30" s="3783"/>
      <c r="Y30" s="3783"/>
      <c r="Z30" s="3783"/>
      <c r="AA30" s="3796"/>
      <c r="AB30" s="1339"/>
      <c r="AC30" s="3783" t="s">
        <v>3059</v>
      </c>
      <c r="AD30" s="3783"/>
      <c r="AE30" s="3783"/>
      <c r="AF30" s="3783"/>
      <c r="AG30" s="3783"/>
      <c r="AH30" s="3783"/>
      <c r="AI30" s="3783"/>
      <c r="AJ30" s="3783"/>
      <c r="AK30" s="3783"/>
      <c r="AL30" s="3783"/>
      <c r="AM30" s="3783"/>
      <c r="AN30" s="3783"/>
      <c r="AO30" s="3783"/>
      <c r="AP30" s="3783"/>
      <c r="AQ30" s="3783"/>
      <c r="AR30" s="3783"/>
      <c r="AS30" s="3784"/>
      <c r="AT30" s="925"/>
      <c r="AU30" s="925"/>
      <c r="AV30" s="3785" t="s">
        <v>3058</v>
      </c>
      <c r="AW30" s="3583"/>
      <c r="AX30" s="3583"/>
      <c r="AY30" s="3786"/>
      <c r="AZ30" s="3582" t="s">
        <v>3057</v>
      </c>
      <c r="BA30" s="3583"/>
      <c r="BB30" s="3583"/>
      <c r="BC30" s="3583"/>
      <c r="BD30" s="3583"/>
      <c r="BE30" s="3583"/>
      <c r="BF30" s="3583"/>
      <c r="BG30" s="3583"/>
      <c r="BH30" s="3583"/>
      <c r="BI30" s="3583"/>
      <c r="BJ30" s="3583"/>
      <c r="BK30" s="3583"/>
      <c r="BL30" s="3583"/>
      <c r="BM30" s="3583"/>
      <c r="BN30" s="3583"/>
      <c r="BO30" s="3786"/>
      <c r="BP30" s="3582" t="s">
        <v>3056</v>
      </c>
      <c r="BQ30" s="3583"/>
      <c r="BR30" s="3583"/>
      <c r="BS30" s="3583"/>
      <c r="BT30" s="3584"/>
      <c r="BU30" s="1290"/>
      <c r="BX30" s="1335"/>
      <c r="CC30" s="1334" t="s">
        <v>3055</v>
      </c>
    </row>
    <row r="31" spans="1:116" ht="15" customHeight="1" thickTop="1" thickBot="1">
      <c r="B31" s="1292"/>
      <c r="C31" s="3767" t="s">
        <v>3054</v>
      </c>
      <c r="D31" s="3768"/>
      <c r="E31" s="3768"/>
      <c r="F31" s="3768"/>
      <c r="G31" s="3768"/>
      <c r="H31" s="3768"/>
      <c r="I31" s="3768"/>
      <c r="J31" s="3768"/>
      <c r="K31" s="3768"/>
      <c r="L31" s="3769"/>
      <c r="M31" s="1331"/>
      <c r="N31" s="2379" t="s">
        <v>3024</v>
      </c>
      <c r="O31" s="2379"/>
      <c r="P31" s="2379"/>
      <c r="Q31" s="2379"/>
      <c r="R31" s="2379"/>
      <c r="S31" s="2379"/>
      <c r="T31" s="2379"/>
      <c r="U31" s="2379"/>
      <c r="V31" s="2379"/>
      <c r="W31" s="2379"/>
      <c r="X31" s="2379"/>
      <c r="Y31" s="2379"/>
      <c r="Z31" s="2379"/>
      <c r="AA31" s="2379"/>
      <c r="AB31" s="1338"/>
      <c r="AC31" s="3773" t="s">
        <v>3053</v>
      </c>
      <c r="AD31" s="3773"/>
      <c r="AE31" s="3773"/>
      <c r="AF31" s="3773"/>
      <c r="AG31" s="3773"/>
      <c r="AH31" s="3774" t="s">
        <v>3052</v>
      </c>
      <c r="AI31" s="3774"/>
      <c r="AJ31" s="3774"/>
      <c r="AK31" s="3774"/>
      <c r="AL31" s="3774"/>
      <c r="AM31" s="3773" t="s">
        <v>3051</v>
      </c>
      <c r="AN31" s="3773"/>
      <c r="AO31" s="3773"/>
      <c r="AP31" s="3773"/>
      <c r="AQ31" s="3773"/>
      <c r="AR31" s="1337"/>
      <c r="AS31" s="1336"/>
      <c r="AT31" s="1097"/>
      <c r="AU31" s="1097"/>
      <c r="AV31" s="3578" t="s">
        <v>3050</v>
      </c>
      <c r="AW31" s="3579"/>
      <c r="AX31" s="3579"/>
      <c r="AY31" s="3580"/>
      <c r="AZ31" s="3575" t="s">
        <v>3049</v>
      </c>
      <c r="BA31" s="3576"/>
      <c r="BB31" s="3576"/>
      <c r="BC31" s="3576"/>
      <c r="BD31" s="3576"/>
      <c r="BE31" s="3576"/>
      <c r="BF31" s="3576"/>
      <c r="BG31" s="3576"/>
      <c r="BH31" s="3576"/>
      <c r="BI31" s="3576"/>
      <c r="BJ31" s="3576"/>
      <c r="BK31" s="3576"/>
      <c r="BL31" s="3576"/>
      <c r="BM31" s="3576"/>
      <c r="BN31" s="3576"/>
      <c r="BO31" s="3581"/>
      <c r="BP31" s="3575"/>
      <c r="BQ31" s="3576"/>
      <c r="BR31" s="3576"/>
      <c r="BS31" s="3576"/>
      <c r="BT31" s="3577"/>
      <c r="BU31" s="1290"/>
      <c r="BX31" s="1335"/>
      <c r="BY31" s="1335"/>
      <c r="BZ31" s="1335"/>
      <c r="CA31" s="1335"/>
      <c r="CC31" s="1334" t="s">
        <v>3048</v>
      </c>
    </row>
    <row r="32" spans="1:116" ht="15" customHeight="1" thickTop="1" thickBot="1">
      <c r="B32" s="1292"/>
      <c r="C32" s="3767"/>
      <c r="D32" s="3768"/>
      <c r="E32" s="3768"/>
      <c r="F32" s="3768"/>
      <c r="G32" s="3768"/>
      <c r="H32" s="3768"/>
      <c r="I32" s="3768"/>
      <c r="J32" s="3768"/>
      <c r="K32" s="3768"/>
      <c r="L32" s="3769"/>
      <c r="M32" s="1329"/>
      <c r="N32" s="3753" t="s">
        <v>3030</v>
      </c>
      <c r="O32" s="3753"/>
      <c r="P32" s="3753"/>
      <c r="Q32" s="3753"/>
      <c r="R32" s="3753"/>
      <c r="S32" s="3753"/>
      <c r="T32" s="3753"/>
      <c r="U32" s="3753"/>
      <c r="V32" s="3753"/>
      <c r="W32" s="3753"/>
      <c r="X32" s="3753"/>
      <c r="Y32" s="3753"/>
      <c r="Z32" s="3753"/>
      <c r="AA32" s="3753"/>
      <c r="AB32" s="1328"/>
      <c r="AC32" s="3554"/>
      <c r="AD32" s="3554"/>
      <c r="AE32" s="3554"/>
      <c r="AF32" s="3554"/>
      <c r="AG32" s="3554"/>
      <c r="AH32" s="3765" t="s">
        <v>3047</v>
      </c>
      <c r="AI32" s="3765"/>
      <c r="AJ32" s="3765"/>
      <c r="AK32" s="3765"/>
      <c r="AL32" s="3765"/>
      <c r="AM32" s="3554"/>
      <c r="AN32" s="3554"/>
      <c r="AO32" s="3554"/>
      <c r="AP32" s="3554"/>
      <c r="AQ32" s="3554"/>
      <c r="AR32" s="1326"/>
      <c r="AS32" s="1325"/>
      <c r="AT32" s="1097"/>
      <c r="AU32" s="1097"/>
      <c r="AV32" s="3747" t="s">
        <v>3046</v>
      </c>
      <c r="AW32" s="3005"/>
      <c r="AX32" s="3005"/>
      <c r="AY32" s="3006"/>
      <c r="AZ32" s="2755" t="s">
        <v>3045</v>
      </c>
      <c r="BA32" s="2756"/>
      <c r="BB32" s="2756"/>
      <c r="BC32" s="2756"/>
      <c r="BD32" s="2756"/>
      <c r="BE32" s="2756"/>
      <c r="BF32" s="2756"/>
      <c r="BG32" s="2756"/>
      <c r="BH32" s="2756"/>
      <c r="BI32" s="2756"/>
      <c r="BJ32" s="2756"/>
      <c r="BK32" s="2756"/>
      <c r="BL32" s="2756"/>
      <c r="BM32" s="2756"/>
      <c r="BN32" s="2756"/>
      <c r="BO32" s="2757"/>
      <c r="BP32" s="2755"/>
      <c r="BQ32" s="2756"/>
      <c r="BR32" s="2756"/>
      <c r="BS32" s="2756"/>
      <c r="BT32" s="3748"/>
      <c r="BU32" s="1290"/>
    </row>
    <row r="33" spans="2:73" ht="15" customHeight="1" thickTop="1" thickBot="1">
      <c r="B33" s="1292"/>
      <c r="C33" s="3767"/>
      <c r="D33" s="3768"/>
      <c r="E33" s="3768"/>
      <c r="F33" s="3768"/>
      <c r="G33" s="3768"/>
      <c r="H33" s="3768"/>
      <c r="I33" s="3768"/>
      <c r="J33" s="3768"/>
      <c r="K33" s="3768"/>
      <c r="L33" s="3769"/>
      <c r="M33" s="1324"/>
      <c r="N33" s="3764" t="s">
        <v>3044</v>
      </c>
      <c r="O33" s="3764"/>
      <c r="P33" s="3764"/>
      <c r="Q33" s="3764"/>
      <c r="R33" s="3764"/>
      <c r="S33" s="3764"/>
      <c r="T33" s="3764"/>
      <c r="U33" s="3764"/>
      <c r="V33" s="3764"/>
      <c r="W33" s="3764"/>
      <c r="X33" s="3764"/>
      <c r="Y33" s="3764"/>
      <c r="Z33" s="3764"/>
      <c r="AA33" s="3764"/>
      <c r="AB33" s="1323"/>
      <c r="AC33" s="3553" t="s">
        <v>3043</v>
      </c>
      <c r="AD33" s="3553"/>
      <c r="AE33" s="3553"/>
      <c r="AF33" s="3553"/>
      <c r="AG33" s="3553"/>
      <c r="AH33" s="3553"/>
      <c r="AI33" s="3553"/>
      <c r="AJ33" s="3553"/>
      <c r="AK33" s="3553"/>
      <c r="AL33" s="3553"/>
      <c r="AM33" s="3553"/>
      <c r="AN33" s="3553"/>
      <c r="AO33" s="3766" t="s">
        <v>3042</v>
      </c>
      <c r="AP33" s="3766"/>
      <c r="AQ33" s="3766"/>
      <c r="AR33" s="3766"/>
      <c r="AS33" s="1333"/>
      <c r="AT33" s="1097"/>
      <c r="AU33" s="1097"/>
      <c r="AV33" s="3747" t="s">
        <v>3041</v>
      </c>
      <c r="AW33" s="3005"/>
      <c r="AX33" s="3005"/>
      <c r="AY33" s="3006"/>
      <c r="AZ33" s="2755" t="s">
        <v>3040</v>
      </c>
      <c r="BA33" s="2756"/>
      <c r="BB33" s="2756"/>
      <c r="BC33" s="2756"/>
      <c r="BD33" s="2756"/>
      <c r="BE33" s="2756"/>
      <c r="BF33" s="2756"/>
      <c r="BG33" s="2756"/>
      <c r="BH33" s="2756"/>
      <c r="BI33" s="2756"/>
      <c r="BJ33" s="2756"/>
      <c r="BK33" s="2756"/>
      <c r="BL33" s="2756"/>
      <c r="BM33" s="2756"/>
      <c r="BN33" s="2756"/>
      <c r="BO33" s="2757"/>
      <c r="BP33" s="2755"/>
      <c r="BQ33" s="2756"/>
      <c r="BR33" s="2756"/>
      <c r="BS33" s="2756"/>
      <c r="BT33" s="3748"/>
      <c r="BU33" s="1290"/>
    </row>
    <row r="34" spans="2:73" ht="15" customHeight="1" thickTop="1" thickBot="1">
      <c r="B34" s="1292"/>
      <c r="C34" s="3767"/>
      <c r="D34" s="3768"/>
      <c r="E34" s="3768"/>
      <c r="F34" s="3768"/>
      <c r="G34" s="3768"/>
      <c r="H34" s="3768"/>
      <c r="I34" s="3768"/>
      <c r="J34" s="3768"/>
      <c r="K34" s="3768"/>
      <c r="L34" s="3769"/>
      <c r="M34" s="1329"/>
      <c r="N34" s="3753" t="s">
        <v>3039</v>
      </c>
      <c r="O34" s="3753"/>
      <c r="P34" s="3753"/>
      <c r="Q34" s="3753"/>
      <c r="R34" s="3753"/>
      <c r="S34" s="3753"/>
      <c r="T34" s="3753"/>
      <c r="U34" s="3753"/>
      <c r="V34" s="3753"/>
      <c r="W34" s="3753"/>
      <c r="X34" s="3753"/>
      <c r="Y34" s="3753"/>
      <c r="Z34" s="3753"/>
      <c r="AA34" s="3753"/>
      <c r="AB34" s="1328"/>
      <c r="AC34" s="3554"/>
      <c r="AD34" s="3554"/>
      <c r="AE34" s="3554"/>
      <c r="AF34" s="3554"/>
      <c r="AG34" s="3554"/>
      <c r="AH34" s="3554"/>
      <c r="AI34" s="3554"/>
      <c r="AJ34" s="3554"/>
      <c r="AK34" s="3554"/>
      <c r="AL34" s="3554"/>
      <c r="AM34" s="3554"/>
      <c r="AN34" s="3554"/>
      <c r="AO34" s="3765" t="s">
        <v>3021</v>
      </c>
      <c r="AP34" s="3765"/>
      <c r="AQ34" s="3765"/>
      <c r="AR34" s="3765"/>
      <c r="AS34" s="1332"/>
      <c r="AT34" s="1097"/>
      <c r="AU34" s="1097"/>
      <c r="AV34" s="3747" t="s">
        <v>3038</v>
      </c>
      <c r="AW34" s="3005"/>
      <c r="AX34" s="3005"/>
      <c r="AY34" s="3006"/>
      <c r="AZ34" s="2755" t="s">
        <v>3037</v>
      </c>
      <c r="BA34" s="2756"/>
      <c r="BB34" s="2756"/>
      <c r="BC34" s="2756"/>
      <c r="BD34" s="2756"/>
      <c r="BE34" s="2756"/>
      <c r="BF34" s="2756"/>
      <c r="BG34" s="2756"/>
      <c r="BH34" s="2756"/>
      <c r="BI34" s="2756"/>
      <c r="BJ34" s="2756"/>
      <c r="BK34" s="2756"/>
      <c r="BL34" s="2756"/>
      <c r="BM34" s="2756"/>
      <c r="BN34" s="2756"/>
      <c r="BO34" s="2757"/>
      <c r="BP34" s="2755" t="s">
        <v>3036</v>
      </c>
      <c r="BQ34" s="2756"/>
      <c r="BR34" s="2756"/>
      <c r="BS34" s="2756"/>
      <c r="BT34" s="3748"/>
      <c r="BU34" s="1290"/>
    </row>
    <row r="35" spans="2:73" ht="15" customHeight="1" thickTop="1" thickBot="1">
      <c r="B35" s="1292"/>
      <c r="C35" s="3767"/>
      <c r="D35" s="3768"/>
      <c r="E35" s="3768"/>
      <c r="F35" s="3768"/>
      <c r="G35" s="3768"/>
      <c r="H35" s="3768"/>
      <c r="I35" s="3768"/>
      <c r="J35" s="3768"/>
      <c r="K35" s="3768"/>
      <c r="L35" s="3769"/>
      <c r="M35" s="1331"/>
      <c r="N35" s="3764" t="s">
        <v>3035</v>
      </c>
      <c r="O35" s="3764"/>
      <c r="P35" s="3764"/>
      <c r="Q35" s="3764"/>
      <c r="R35" s="3764"/>
      <c r="S35" s="3764"/>
      <c r="T35" s="3764"/>
      <c r="U35" s="3764"/>
      <c r="V35" s="3764"/>
      <c r="W35" s="3764"/>
      <c r="X35" s="3764"/>
      <c r="Y35" s="3764"/>
      <c r="Z35" s="3764"/>
      <c r="AA35" s="3764"/>
      <c r="AB35" s="1323"/>
      <c r="AC35" s="3553" t="s">
        <v>3034</v>
      </c>
      <c r="AD35" s="3553"/>
      <c r="AE35" s="3553"/>
      <c r="AF35" s="3553"/>
      <c r="AG35" s="3553"/>
      <c r="AH35" s="3553"/>
      <c r="AI35" s="3766" t="s">
        <v>3033</v>
      </c>
      <c r="AJ35" s="3766"/>
      <c r="AK35" s="3766"/>
      <c r="AL35" s="3766"/>
      <c r="AM35" s="1322"/>
      <c r="AN35" s="3553"/>
      <c r="AO35" s="3553"/>
      <c r="AP35" s="3553"/>
      <c r="AQ35" s="1330"/>
      <c r="AR35" s="1330"/>
      <c r="AS35" s="1321"/>
      <c r="AT35" s="1024"/>
      <c r="AU35" s="1024"/>
      <c r="AV35" s="3747" t="s">
        <v>3032</v>
      </c>
      <c r="AW35" s="3005"/>
      <c r="AX35" s="3005"/>
      <c r="AY35" s="3006"/>
      <c r="AZ35" s="2755" t="s">
        <v>3031</v>
      </c>
      <c r="BA35" s="2756"/>
      <c r="BB35" s="2756"/>
      <c r="BC35" s="2756"/>
      <c r="BD35" s="2756"/>
      <c r="BE35" s="2756"/>
      <c r="BF35" s="2756"/>
      <c r="BG35" s="2756"/>
      <c r="BH35" s="2756"/>
      <c r="BI35" s="2756"/>
      <c r="BJ35" s="2756"/>
      <c r="BK35" s="2756"/>
      <c r="BL35" s="2756"/>
      <c r="BM35" s="2756"/>
      <c r="BN35" s="2756"/>
      <c r="BO35" s="2757"/>
      <c r="BP35" s="2755"/>
      <c r="BQ35" s="2756"/>
      <c r="BR35" s="2756"/>
      <c r="BS35" s="2756"/>
      <c r="BT35" s="3748"/>
      <c r="BU35" s="1290"/>
    </row>
    <row r="36" spans="2:73" ht="15" customHeight="1" thickTop="1">
      <c r="B36" s="1292"/>
      <c r="C36" s="3770"/>
      <c r="D36" s="3771"/>
      <c r="E36" s="3771"/>
      <c r="F36" s="3771"/>
      <c r="G36" s="3771"/>
      <c r="H36" s="3771"/>
      <c r="I36" s="3771"/>
      <c r="J36" s="3771"/>
      <c r="K36" s="3771"/>
      <c r="L36" s="3772"/>
      <c r="M36" s="1329"/>
      <c r="N36" s="3753" t="s">
        <v>3030</v>
      </c>
      <c r="O36" s="3753"/>
      <c r="P36" s="3753"/>
      <c r="Q36" s="3753"/>
      <c r="R36" s="3753"/>
      <c r="S36" s="3753"/>
      <c r="T36" s="3753"/>
      <c r="U36" s="3753"/>
      <c r="V36" s="3753"/>
      <c r="W36" s="3753"/>
      <c r="X36" s="3753"/>
      <c r="Y36" s="3753"/>
      <c r="Z36" s="3753"/>
      <c r="AA36" s="3753"/>
      <c r="AB36" s="1328"/>
      <c r="AC36" s="3554"/>
      <c r="AD36" s="3554"/>
      <c r="AE36" s="3554"/>
      <c r="AF36" s="3554"/>
      <c r="AG36" s="3554"/>
      <c r="AH36" s="3554"/>
      <c r="AI36" s="3765" t="s">
        <v>3029</v>
      </c>
      <c r="AJ36" s="3765"/>
      <c r="AK36" s="3765"/>
      <c r="AL36" s="3765"/>
      <c r="AM36" s="1326"/>
      <c r="AN36" s="3554"/>
      <c r="AO36" s="3554"/>
      <c r="AP36" s="3554"/>
      <c r="AQ36" s="1326"/>
      <c r="AR36" s="1326"/>
      <c r="AS36" s="1325"/>
      <c r="AT36" s="1024"/>
      <c r="AU36" s="1024"/>
      <c r="AV36" s="3747" t="s">
        <v>3028</v>
      </c>
      <c r="AW36" s="3005"/>
      <c r="AX36" s="3005"/>
      <c r="AY36" s="3006"/>
      <c r="AZ36" s="2755" t="s">
        <v>3027</v>
      </c>
      <c r="BA36" s="2756"/>
      <c r="BB36" s="2756"/>
      <c r="BC36" s="2756"/>
      <c r="BD36" s="2756"/>
      <c r="BE36" s="2756"/>
      <c r="BF36" s="2756"/>
      <c r="BG36" s="2756"/>
      <c r="BH36" s="2756"/>
      <c r="BI36" s="2756"/>
      <c r="BJ36" s="2756"/>
      <c r="BK36" s="2756"/>
      <c r="BL36" s="2756"/>
      <c r="BM36" s="2756"/>
      <c r="BN36" s="2756"/>
      <c r="BO36" s="2757"/>
      <c r="BP36" s="2755" t="s">
        <v>3026</v>
      </c>
      <c r="BQ36" s="2756"/>
      <c r="BR36" s="2756"/>
      <c r="BS36" s="2756"/>
      <c r="BT36" s="3748"/>
      <c r="BU36" s="1290"/>
    </row>
    <row r="37" spans="2:73" ht="15" customHeight="1">
      <c r="B37" s="1292"/>
      <c r="C37" s="3758" t="s">
        <v>3025</v>
      </c>
      <c r="D37" s="3759"/>
      <c r="E37" s="3759"/>
      <c r="F37" s="3759"/>
      <c r="G37" s="3759"/>
      <c r="H37" s="3759"/>
      <c r="I37" s="3759"/>
      <c r="J37" s="3759"/>
      <c r="K37" s="3759"/>
      <c r="L37" s="3759"/>
      <c r="M37" s="1324"/>
      <c r="N37" s="3764" t="s">
        <v>3024</v>
      </c>
      <c r="O37" s="3764"/>
      <c r="P37" s="3764"/>
      <c r="Q37" s="3764"/>
      <c r="R37" s="3764"/>
      <c r="S37" s="3764"/>
      <c r="T37" s="3764"/>
      <c r="U37" s="3764"/>
      <c r="V37" s="3764"/>
      <c r="W37" s="3764"/>
      <c r="X37" s="3764"/>
      <c r="Y37" s="3764"/>
      <c r="Z37" s="3764"/>
      <c r="AA37" s="3764"/>
      <c r="AB37" s="1323"/>
      <c r="AC37" s="3553" t="s">
        <v>3023</v>
      </c>
      <c r="AD37" s="3553"/>
      <c r="AE37" s="3553"/>
      <c r="AF37" s="3553"/>
      <c r="AG37" s="3755" t="s">
        <v>3022</v>
      </c>
      <c r="AH37" s="3755"/>
      <c r="AI37" s="3755"/>
      <c r="AJ37" s="3755"/>
      <c r="AK37" s="3755"/>
      <c r="AL37" s="3755"/>
      <c r="AM37" s="3755"/>
      <c r="AN37" s="1322"/>
      <c r="AO37" s="1330"/>
      <c r="AP37" s="1330"/>
      <c r="AQ37" s="1330"/>
      <c r="AR37" s="1330"/>
      <c r="AS37" s="1321"/>
      <c r="AT37" s="1024"/>
      <c r="AU37" s="1024"/>
      <c r="AV37" s="3747" t="s">
        <v>3021</v>
      </c>
      <c r="AW37" s="3005"/>
      <c r="AX37" s="3005"/>
      <c r="AY37" s="3006"/>
      <c r="AZ37" s="2755" t="s">
        <v>3020</v>
      </c>
      <c r="BA37" s="2756"/>
      <c r="BB37" s="2756"/>
      <c r="BC37" s="2756"/>
      <c r="BD37" s="2756"/>
      <c r="BE37" s="2756"/>
      <c r="BF37" s="2756"/>
      <c r="BG37" s="2756"/>
      <c r="BH37" s="2756"/>
      <c r="BI37" s="2756"/>
      <c r="BJ37" s="2756"/>
      <c r="BK37" s="2756"/>
      <c r="BL37" s="2756"/>
      <c r="BM37" s="2756"/>
      <c r="BN37" s="2756"/>
      <c r="BO37" s="2757"/>
      <c r="BP37" s="2755" t="s">
        <v>3019</v>
      </c>
      <c r="BQ37" s="2756"/>
      <c r="BR37" s="2756"/>
      <c r="BS37" s="2756"/>
      <c r="BT37" s="3748"/>
      <c r="BU37" s="1290"/>
    </row>
    <row r="38" spans="2:73" ht="15" customHeight="1">
      <c r="B38" s="1292"/>
      <c r="C38" s="3760"/>
      <c r="D38" s="3761"/>
      <c r="E38" s="3761"/>
      <c r="F38" s="3761"/>
      <c r="G38" s="3761"/>
      <c r="H38" s="3761"/>
      <c r="I38" s="3761"/>
      <c r="J38" s="3761"/>
      <c r="K38" s="3761"/>
      <c r="L38" s="3761"/>
      <c r="M38" s="1329"/>
      <c r="N38" s="3753" t="s">
        <v>3010</v>
      </c>
      <c r="O38" s="3753"/>
      <c r="P38" s="3753"/>
      <c r="Q38" s="3753"/>
      <c r="R38" s="3753"/>
      <c r="S38" s="3753"/>
      <c r="T38" s="3753"/>
      <c r="U38" s="3753"/>
      <c r="V38" s="3753"/>
      <c r="W38" s="3753"/>
      <c r="X38" s="3753"/>
      <c r="Y38" s="3753"/>
      <c r="Z38" s="3753"/>
      <c r="AA38" s="3753"/>
      <c r="AB38" s="1328"/>
      <c r="AC38" s="3554"/>
      <c r="AD38" s="3554"/>
      <c r="AE38" s="3554"/>
      <c r="AF38" s="3554"/>
      <c r="AG38" s="3754" t="s">
        <v>3018</v>
      </c>
      <c r="AH38" s="3754"/>
      <c r="AI38" s="3754"/>
      <c r="AJ38" s="3754"/>
      <c r="AK38" s="3754"/>
      <c r="AL38" s="3754"/>
      <c r="AM38" s="3754"/>
      <c r="AN38" s="1327"/>
      <c r="AO38" s="1326"/>
      <c r="AP38" s="1326"/>
      <c r="AQ38" s="1326"/>
      <c r="AR38" s="1326"/>
      <c r="AS38" s="1325"/>
      <c r="AT38" s="1024"/>
      <c r="AU38" s="1024"/>
      <c r="AV38" s="3747" t="s">
        <v>3017</v>
      </c>
      <c r="AW38" s="3005"/>
      <c r="AX38" s="3005"/>
      <c r="AY38" s="3006"/>
      <c r="AZ38" s="2755" t="s">
        <v>3016</v>
      </c>
      <c r="BA38" s="2756"/>
      <c r="BB38" s="2756"/>
      <c r="BC38" s="2756"/>
      <c r="BD38" s="2756"/>
      <c r="BE38" s="2756"/>
      <c r="BF38" s="2756"/>
      <c r="BG38" s="2756"/>
      <c r="BH38" s="2756"/>
      <c r="BI38" s="2756"/>
      <c r="BJ38" s="2756"/>
      <c r="BK38" s="2756"/>
      <c r="BL38" s="2756"/>
      <c r="BM38" s="2756"/>
      <c r="BN38" s="2756"/>
      <c r="BO38" s="2757"/>
      <c r="BP38" s="2755"/>
      <c r="BQ38" s="2756"/>
      <c r="BR38" s="2756"/>
      <c r="BS38" s="2756"/>
      <c r="BT38" s="3748"/>
      <c r="BU38" s="1290"/>
    </row>
    <row r="39" spans="2:73" ht="15" customHeight="1">
      <c r="B39" s="1292"/>
      <c r="C39" s="3760"/>
      <c r="D39" s="3761"/>
      <c r="E39" s="3761"/>
      <c r="F39" s="3761"/>
      <c r="G39" s="3761"/>
      <c r="H39" s="3761"/>
      <c r="I39" s="3761"/>
      <c r="J39" s="3761"/>
      <c r="K39" s="3761"/>
      <c r="L39" s="3761"/>
      <c r="M39" s="1324"/>
      <c r="N39" s="3764" t="s">
        <v>3015</v>
      </c>
      <c r="O39" s="3764"/>
      <c r="P39" s="3764"/>
      <c r="Q39" s="3764"/>
      <c r="R39" s="3764"/>
      <c r="S39" s="3764"/>
      <c r="T39" s="3764"/>
      <c r="U39" s="3764"/>
      <c r="V39" s="3764"/>
      <c r="W39" s="3764"/>
      <c r="X39" s="3764"/>
      <c r="Y39" s="3764"/>
      <c r="Z39" s="3764"/>
      <c r="AA39" s="3764"/>
      <c r="AB39" s="1323"/>
      <c r="AC39" s="3553" t="s">
        <v>3014</v>
      </c>
      <c r="AD39" s="3553"/>
      <c r="AE39" s="3553"/>
      <c r="AF39" s="3553"/>
      <c r="AG39" s="3755" t="s">
        <v>3013</v>
      </c>
      <c r="AH39" s="3755"/>
      <c r="AI39" s="3755"/>
      <c r="AJ39" s="3755"/>
      <c r="AK39" s="3755"/>
      <c r="AL39" s="3755"/>
      <c r="AM39" s="3755"/>
      <c r="AN39" s="3755"/>
      <c r="AO39" s="3755"/>
      <c r="AP39" s="3755"/>
      <c r="AQ39" s="1322"/>
      <c r="AR39" s="1322"/>
      <c r="AS39" s="1321"/>
      <c r="AT39" s="926"/>
      <c r="AU39" s="926"/>
      <c r="AV39" s="3747" t="s">
        <v>3012</v>
      </c>
      <c r="AW39" s="3005"/>
      <c r="AX39" s="3005"/>
      <c r="AY39" s="3006"/>
      <c r="AZ39" s="2755" t="s">
        <v>3011</v>
      </c>
      <c r="BA39" s="2756"/>
      <c r="BB39" s="2756"/>
      <c r="BC39" s="2756"/>
      <c r="BD39" s="2756"/>
      <c r="BE39" s="2756"/>
      <c r="BF39" s="2756"/>
      <c r="BG39" s="2756"/>
      <c r="BH39" s="2756"/>
      <c r="BI39" s="2756"/>
      <c r="BJ39" s="2756"/>
      <c r="BK39" s="2756"/>
      <c r="BL39" s="2756"/>
      <c r="BM39" s="2756"/>
      <c r="BN39" s="2756"/>
      <c r="BO39" s="2757"/>
      <c r="BP39" s="2755"/>
      <c r="BQ39" s="2756"/>
      <c r="BR39" s="2756"/>
      <c r="BS39" s="2756"/>
      <c r="BT39" s="3748"/>
      <c r="BU39" s="1290"/>
    </row>
    <row r="40" spans="2:73" ht="15" customHeight="1" thickBot="1">
      <c r="B40" s="1292"/>
      <c r="C40" s="3762"/>
      <c r="D40" s="3763"/>
      <c r="E40" s="3763"/>
      <c r="F40" s="3763"/>
      <c r="G40" s="3763"/>
      <c r="H40" s="3763"/>
      <c r="I40" s="3763"/>
      <c r="J40" s="3763"/>
      <c r="K40" s="3763"/>
      <c r="L40" s="3763"/>
      <c r="M40" s="1320"/>
      <c r="N40" s="3756" t="s">
        <v>3010</v>
      </c>
      <c r="O40" s="3756"/>
      <c r="P40" s="3756"/>
      <c r="Q40" s="3756"/>
      <c r="R40" s="3756"/>
      <c r="S40" s="3756"/>
      <c r="T40" s="3756"/>
      <c r="U40" s="3756"/>
      <c r="V40" s="3756"/>
      <c r="W40" s="3756"/>
      <c r="X40" s="3756"/>
      <c r="Y40" s="3756"/>
      <c r="Z40" s="3756"/>
      <c r="AA40" s="3756"/>
      <c r="AB40" s="1319"/>
      <c r="AC40" s="3604"/>
      <c r="AD40" s="3604"/>
      <c r="AE40" s="3604"/>
      <c r="AF40" s="3604"/>
      <c r="AG40" s="3757" t="s">
        <v>3009</v>
      </c>
      <c r="AH40" s="3757"/>
      <c r="AI40" s="3757"/>
      <c r="AJ40" s="3757"/>
      <c r="AK40" s="3757"/>
      <c r="AL40" s="3757"/>
      <c r="AM40" s="3757"/>
      <c r="AN40" s="3757"/>
      <c r="AO40" s="3757"/>
      <c r="AP40" s="3757"/>
      <c r="AQ40" s="1318"/>
      <c r="AR40" s="1318"/>
      <c r="AS40" s="1317"/>
      <c r="AT40" s="926"/>
      <c r="AU40" s="926"/>
      <c r="AV40" s="3747" t="s">
        <v>3008</v>
      </c>
      <c r="AW40" s="3005"/>
      <c r="AX40" s="3005"/>
      <c r="AY40" s="3006"/>
      <c r="AZ40" s="2755" t="s">
        <v>3007</v>
      </c>
      <c r="BA40" s="2756"/>
      <c r="BB40" s="2756"/>
      <c r="BC40" s="2756"/>
      <c r="BD40" s="2756"/>
      <c r="BE40" s="2756"/>
      <c r="BF40" s="2756"/>
      <c r="BG40" s="2756"/>
      <c r="BH40" s="2756"/>
      <c r="BI40" s="2756"/>
      <c r="BJ40" s="2756"/>
      <c r="BK40" s="2756"/>
      <c r="BL40" s="2756"/>
      <c r="BM40" s="2756"/>
      <c r="BN40" s="2756"/>
      <c r="BO40" s="2757"/>
      <c r="BP40" s="2755" t="s">
        <v>3006</v>
      </c>
      <c r="BQ40" s="2756"/>
      <c r="BR40" s="2756"/>
      <c r="BS40" s="2756"/>
      <c r="BT40" s="3748"/>
      <c r="BU40" s="1290"/>
    </row>
    <row r="41" spans="2:73" ht="15" customHeight="1" thickTop="1">
      <c r="B41" s="1292"/>
      <c r="C41" s="931"/>
      <c r="D41" s="925"/>
      <c r="E41" s="925"/>
      <c r="F41" s="925"/>
      <c r="G41" s="925"/>
      <c r="H41" s="925"/>
      <c r="I41" s="925"/>
      <c r="J41" s="925"/>
      <c r="K41" s="925"/>
      <c r="L41" s="925"/>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c r="AL41" s="925"/>
      <c r="AM41" s="925"/>
      <c r="AN41" s="925"/>
      <c r="AO41" s="925"/>
      <c r="AP41" s="925"/>
      <c r="AQ41" s="925"/>
      <c r="AR41" s="925"/>
      <c r="AS41" s="925"/>
      <c r="AT41" s="925"/>
      <c r="AU41" s="925"/>
      <c r="AV41" s="3747" t="s">
        <v>3005</v>
      </c>
      <c r="AW41" s="3005"/>
      <c r="AX41" s="3005"/>
      <c r="AY41" s="3006"/>
      <c r="AZ41" s="2755" t="s">
        <v>3004</v>
      </c>
      <c r="BA41" s="2756"/>
      <c r="BB41" s="2756"/>
      <c r="BC41" s="2756"/>
      <c r="BD41" s="2756"/>
      <c r="BE41" s="2756"/>
      <c r="BF41" s="2756"/>
      <c r="BG41" s="2756"/>
      <c r="BH41" s="2756"/>
      <c r="BI41" s="2756"/>
      <c r="BJ41" s="2756"/>
      <c r="BK41" s="2756"/>
      <c r="BL41" s="2756"/>
      <c r="BM41" s="2756"/>
      <c r="BN41" s="2756"/>
      <c r="BO41" s="2757"/>
      <c r="BP41" s="2755"/>
      <c r="BQ41" s="2756"/>
      <c r="BR41" s="2756"/>
      <c r="BS41" s="2756"/>
      <c r="BT41" s="3748"/>
      <c r="BU41" s="1290"/>
    </row>
    <row r="42" spans="2:73" ht="15" customHeight="1">
      <c r="B42" s="1292"/>
      <c r="C42" s="925"/>
      <c r="D42" s="931" t="s">
        <v>3003</v>
      </c>
      <c r="E42" s="925"/>
      <c r="F42" s="925"/>
      <c r="G42" s="925"/>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3747" t="s">
        <v>3002</v>
      </c>
      <c r="AW42" s="3005"/>
      <c r="AX42" s="3005"/>
      <c r="AY42" s="3006"/>
      <c r="AZ42" s="2755" t="s">
        <v>3001</v>
      </c>
      <c r="BA42" s="2756"/>
      <c r="BB42" s="2756"/>
      <c r="BC42" s="2756"/>
      <c r="BD42" s="2756"/>
      <c r="BE42" s="2756"/>
      <c r="BF42" s="2756"/>
      <c r="BG42" s="2756"/>
      <c r="BH42" s="2756"/>
      <c r="BI42" s="2756"/>
      <c r="BJ42" s="2756"/>
      <c r="BK42" s="2756"/>
      <c r="BL42" s="2756"/>
      <c r="BM42" s="2756"/>
      <c r="BN42" s="2756"/>
      <c r="BO42" s="2757"/>
      <c r="BP42" s="2755" t="s">
        <v>3000</v>
      </c>
      <c r="BQ42" s="2756"/>
      <c r="BR42" s="2756"/>
      <c r="BS42" s="2756"/>
      <c r="BT42" s="3748"/>
      <c r="BU42" s="1290"/>
    </row>
    <row r="43" spans="2:73" ht="15" customHeight="1">
      <c r="B43" s="1292"/>
      <c r="C43" s="925"/>
      <c r="D43" s="931" t="s">
        <v>2999</v>
      </c>
      <c r="E43" s="925"/>
      <c r="F43" s="925"/>
      <c r="G43" s="925"/>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c r="AL43" s="925"/>
      <c r="AM43" s="925"/>
      <c r="AN43" s="925"/>
      <c r="AO43" s="925"/>
      <c r="AP43" s="925"/>
      <c r="AQ43" s="925"/>
      <c r="AR43" s="925"/>
      <c r="AS43" s="925"/>
      <c r="AT43" s="925"/>
      <c r="AU43" s="925"/>
      <c r="AV43" s="3747" t="s">
        <v>2998</v>
      </c>
      <c r="AW43" s="3005"/>
      <c r="AX43" s="3005"/>
      <c r="AY43" s="3006"/>
      <c r="AZ43" s="2755" t="s">
        <v>2997</v>
      </c>
      <c r="BA43" s="2756"/>
      <c r="BB43" s="2756"/>
      <c r="BC43" s="2756"/>
      <c r="BD43" s="2756"/>
      <c r="BE43" s="2756"/>
      <c r="BF43" s="2756"/>
      <c r="BG43" s="2756"/>
      <c r="BH43" s="2756"/>
      <c r="BI43" s="2756"/>
      <c r="BJ43" s="2756"/>
      <c r="BK43" s="2756"/>
      <c r="BL43" s="2756"/>
      <c r="BM43" s="2756"/>
      <c r="BN43" s="2756"/>
      <c r="BO43" s="2757"/>
      <c r="BP43" s="2755"/>
      <c r="BQ43" s="2756"/>
      <c r="BR43" s="2756"/>
      <c r="BS43" s="2756"/>
      <c r="BT43" s="3748"/>
      <c r="BU43" s="1290"/>
    </row>
    <row r="44" spans="2:73" ht="7.5" customHeight="1">
      <c r="B44" s="1292"/>
      <c r="C44" s="925"/>
      <c r="D44" s="925"/>
      <c r="E44" s="925"/>
      <c r="F44" s="925"/>
      <c r="G44" s="925"/>
      <c r="H44" s="925"/>
      <c r="I44" s="925"/>
      <c r="J44" s="925"/>
      <c r="K44" s="925"/>
      <c r="L44" s="925"/>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925"/>
      <c r="AM44" s="925"/>
      <c r="AN44" s="925"/>
      <c r="AO44" s="925"/>
      <c r="AP44" s="925"/>
      <c r="AQ44" s="925"/>
      <c r="AR44" s="925"/>
      <c r="AS44" s="925"/>
      <c r="AT44" s="925"/>
      <c r="AU44" s="925"/>
      <c r="AV44" s="3608" t="s">
        <v>2996</v>
      </c>
      <c r="AW44" s="3030"/>
      <c r="AX44" s="3030"/>
      <c r="AY44" s="3031"/>
      <c r="AZ44" s="3749" t="s">
        <v>2995</v>
      </c>
      <c r="BA44" s="3611"/>
      <c r="BB44" s="3611"/>
      <c r="BC44" s="3611"/>
      <c r="BD44" s="3611"/>
      <c r="BE44" s="3611"/>
      <c r="BF44" s="3611"/>
      <c r="BG44" s="3611"/>
      <c r="BH44" s="3611"/>
      <c r="BI44" s="3611"/>
      <c r="BJ44" s="3611"/>
      <c r="BK44" s="3611"/>
      <c r="BL44" s="3611"/>
      <c r="BM44" s="3611"/>
      <c r="BN44" s="3611"/>
      <c r="BO44" s="3612"/>
      <c r="BP44" s="3386"/>
      <c r="BQ44" s="3030"/>
      <c r="BR44" s="3030"/>
      <c r="BS44" s="3030"/>
      <c r="BT44" s="3613"/>
      <c r="BU44" s="1290"/>
    </row>
    <row r="45" spans="2:73" ht="7.5" customHeight="1">
      <c r="B45" s="1292"/>
      <c r="C45" s="925"/>
      <c r="D45" s="925"/>
      <c r="E45" s="925"/>
      <c r="F45" s="925"/>
      <c r="G45" s="925"/>
      <c r="H45" s="925"/>
      <c r="I45" s="925"/>
      <c r="J45" s="925"/>
      <c r="K45" s="925"/>
      <c r="L45" s="925"/>
      <c r="M45" s="925"/>
      <c r="N45" s="925"/>
      <c r="O45" s="925"/>
      <c r="P45" s="925"/>
      <c r="Q45" s="925"/>
      <c r="R45" s="925"/>
      <c r="S45" s="925"/>
      <c r="T45" s="925"/>
      <c r="U45" s="925"/>
      <c r="V45" s="925"/>
      <c r="W45" s="925"/>
      <c r="X45" s="925"/>
      <c r="Y45" s="925"/>
      <c r="Z45" s="925"/>
      <c r="AA45" s="925"/>
      <c r="AB45" s="925"/>
      <c r="AC45" s="925"/>
      <c r="AD45" s="925"/>
      <c r="AE45" s="925"/>
      <c r="AF45" s="925"/>
      <c r="AG45" s="925"/>
      <c r="AH45" s="925"/>
      <c r="AI45" s="925"/>
      <c r="AJ45" s="925"/>
      <c r="AK45" s="925"/>
      <c r="AL45" s="925"/>
      <c r="AM45" s="925"/>
      <c r="AN45" s="925"/>
      <c r="AO45" s="925"/>
      <c r="AP45" s="925"/>
      <c r="AQ45" s="925"/>
      <c r="AR45" s="925"/>
      <c r="AS45" s="925"/>
      <c r="AT45" s="925"/>
      <c r="AU45" s="925"/>
      <c r="AV45" s="3609"/>
      <c r="AW45" s="3391"/>
      <c r="AX45" s="3391"/>
      <c r="AY45" s="3392"/>
      <c r="AZ45" s="3750" t="s">
        <v>2994</v>
      </c>
      <c r="BA45" s="3751"/>
      <c r="BB45" s="3751"/>
      <c r="BC45" s="3751"/>
      <c r="BD45" s="3751"/>
      <c r="BE45" s="3751"/>
      <c r="BF45" s="3751"/>
      <c r="BG45" s="3751"/>
      <c r="BH45" s="3751"/>
      <c r="BI45" s="3751"/>
      <c r="BJ45" s="3751"/>
      <c r="BK45" s="3751"/>
      <c r="BL45" s="3751"/>
      <c r="BM45" s="3751"/>
      <c r="BN45" s="3751"/>
      <c r="BO45" s="3752"/>
      <c r="BP45" s="3390"/>
      <c r="BQ45" s="3391"/>
      <c r="BR45" s="3391"/>
      <c r="BS45" s="3391"/>
      <c r="BT45" s="3614"/>
      <c r="BU45" s="1290"/>
    </row>
    <row r="46" spans="2:73" ht="7.5" customHeight="1">
      <c r="B46" s="1292"/>
      <c r="C46" s="925"/>
      <c r="D46" s="925"/>
      <c r="E46" s="925"/>
      <c r="F46" s="925"/>
      <c r="G46" s="925"/>
      <c r="H46" s="925"/>
      <c r="I46" s="925"/>
      <c r="J46" s="925"/>
      <c r="K46" s="925"/>
      <c r="L46" s="925"/>
      <c r="M46" s="925"/>
      <c r="N46" s="925"/>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c r="AN46" s="925"/>
      <c r="AO46" s="925"/>
      <c r="AP46" s="925"/>
      <c r="AQ46" s="925"/>
      <c r="AR46" s="925"/>
      <c r="AS46" s="925"/>
      <c r="AT46" s="925"/>
      <c r="AU46" s="925"/>
      <c r="AV46" s="3608" t="s">
        <v>2993</v>
      </c>
      <c r="AW46" s="3030"/>
      <c r="AX46" s="3030"/>
      <c r="AY46" s="3031"/>
      <c r="AZ46" s="3610" t="s">
        <v>2992</v>
      </c>
      <c r="BA46" s="3611"/>
      <c r="BB46" s="3611"/>
      <c r="BC46" s="3611"/>
      <c r="BD46" s="3611"/>
      <c r="BE46" s="3611"/>
      <c r="BF46" s="3611"/>
      <c r="BG46" s="3611"/>
      <c r="BH46" s="3611"/>
      <c r="BI46" s="3611"/>
      <c r="BJ46" s="3611"/>
      <c r="BK46" s="3611"/>
      <c r="BL46" s="3611"/>
      <c r="BM46" s="3611"/>
      <c r="BN46" s="3611"/>
      <c r="BO46" s="3612"/>
      <c r="BP46" s="3386"/>
      <c r="BQ46" s="3030"/>
      <c r="BR46" s="3030"/>
      <c r="BS46" s="3030"/>
      <c r="BT46" s="3613"/>
      <c r="BU46" s="1290"/>
    </row>
    <row r="47" spans="2:73" ht="7.5" customHeight="1">
      <c r="B47" s="1292"/>
      <c r="C47" s="3735" t="str">
        <f>IF(B2=0,"","PG1")</f>
        <v>PG1</v>
      </c>
      <c r="D47" s="3736"/>
      <c r="E47" s="3736"/>
      <c r="F47" s="3736"/>
      <c r="G47" s="3737"/>
      <c r="H47" s="925"/>
      <c r="I47" s="925"/>
      <c r="J47" s="925"/>
      <c r="K47" s="925"/>
      <c r="L47" s="3735" t="str">
        <f>IF(B2=0,"","PG2")</f>
        <v>PG2</v>
      </c>
      <c r="M47" s="3736"/>
      <c r="N47" s="3736"/>
      <c r="O47" s="3736"/>
      <c r="P47" s="3737"/>
      <c r="Q47" s="925"/>
      <c r="R47" s="925"/>
      <c r="S47" s="925"/>
      <c r="T47" s="925"/>
      <c r="U47" s="3735" t="str">
        <f>IF(B2=0,"","PG3")</f>
        <v>PG3</v>
      </c>
      <c r="V47" s="3736"/>
      <c r="W47" s="3736"/>
      <c r="X47" s="3736"/>
      <c r="Y47" s="3737"/>
      <c r="Z47" s="925"/>
      <c r="AA47" s="925"/>
      <c r="AB47" s="925"/>
      <c r="AC47" s="925"/>
      <c r="AD47" s="925"/>
      <c r="AE47" s="3735" t="str">
        <f>IF(B2=0,"","PE1")</f>
        <v>PE1</v>
      </c>
      <c r="AF47" s="3736"/>
      <c r="AG47" s="3736"/>
      <c r="AH47" s="3736"/>
      <c r="AI47" s="3737"/>
      <c r="AJ47" s="925"/>
      <c r="AK47" s="925"/>
      <c r="AL47" s="925"/>
      <c r="AM47" s="3735" t="str">
        <f>IF(B2=0,"","PE2")</f>
        <v>PE2</v>
      </c>
      <c r="AN47" s="3736"/>
      <c r="AO47" s="3736"/>
      <c r="AP47" s="3736"/>
      <c r="AQ47" s="3737"/>
      <c r="AR47" s="925"/>
      <c r="AS47" s="925"/>
      <c r="AT47" s="925"/>
      <c r="AU47" s="925"/>
      <c r="AV47" s="3609"/>
      <c r="AW47" s="3391"/>
      <c r="AX47" s="3391"/>
      <c r="AY47" s="3392"/>
      <c r="AZ47" s="3741" t="s">
        <v>2991</v>
      </c>
      <c r="BA47" s="3742"/>
      <c r="BB47" s="3742"/>
      <c r="BC47" s="3742"/>
      <c r="BD47" s="3742"/>
      <c r="BE47" s="3742"/>
      <c r="BF47" s="3742"/>
      <c r="BG47" s="3742"/>
      <c r="BH47" s="3742"/>
      <c r="BI47" s="3742"/>
      <c r="BJ47" s="3742"/>
      <c r="BK47" s="3742"/>
      <c r="BL47" s="3742"/>
      <c r="BM47" s="3742"/>
      <c r="BN47" s="3742"/>
      <c r="BO47" s="3743"/>
      <c r="BP47" s="3390"/>
      <c r="BQ47" s="3391"/>
      <c r="BR47" s="3391"/>
      <c r="BS47" s="3391"/>
      <c r="BT47" s="3614"/>
      <c r="BU47" s="1290"/>
    </row>
    <row r="48" spans="2:73" ht="11.25" customHeight="1">
      <c r="B48" s="1292"/>
      <c r="C48" s="3738"/>
      <c r="D48" s="3739"/>
      <c r="E48" s="3739"/>
      <c r="F48" s="3739"/>
      <c r="G48" s="3740"/>
      <c r="H48" s="925"/>
      <c r="I48" s="925"/>
      <c r="J48" s="925"/>
      <c r="K48" s="925"/>
      <c r="L48" s="3738"/>
      <c r="M48" s="3739"/>
      <c r="N48" s="3739"/>
      <c r="O48" s="3739"/>
      <c r="P48" s="3740"/>
      <c r="Q48" s="925"/>
      <c r="R48" s="925"/>
      <c r="S48" s="925"/>
      <c r="T48" s="925"/>
      <c r="U48" s="3738"/>
      <c r="V48" s="3739"/>
      <c r="W48" s="3739"/>
      <c r="X48" s="3739"/>
      <c r="Y48" s="3740"/>
      <c r="Z48" s="925"/>
      <c r="AA48" s="925"/>
      <c r="AB48" s="925"/>
      <c r="AC48" s="925"/>
      <c r="AD48" s="925"/>
      <c r="AE48" s="3738"/>
      <c r="AF48" s="3739"/>
      <c r="AG48" s="3739"/>
      <c r="AH48" s="3739"/>
      <c r="AI48" s="3740"/>
      <c r="AJ48" s="925"/>
      <c r="AK48" s="925"/>
      <c r="AL48" s="925"/>
      <c r="AM48" s="3738"/>
      <c r="AN48" s="3739"/>
      <c r="AO48" s="3739"/>
      <c r="AP48" s="3739"/>
      <c r="AQ48" s="3740"/>
      <c r="AR48" s="925"/>
      <c r="AS48" s="925"/>
      <c r="AT48" s="925"/>
      <c r="AU48" s="925"/>
      <c r="AV48" s="3608" t="s">
        <v>2990</v>
      </c>
      <c r="AW48" s="3030"/>
      <c r="AX48" s="3030"/>
      <c r="AY48" s="3031"/>
      <c r="AZ48" s="3601" t="s">
        <v>2989</v>
      </c>
      <c r="BA48" s="3553"/>
      <c r="BB48" s="3553"/>
      <c r="BC48" s="3553"/>
      <c r="BD48" s="3553"/>
      <c r="BE48" s="3553"/>
      <c r="BF48" s="3553"/>
      <c r="BG48" s="3553"/>
      <c r="BH48" s="3553"/>
      <c r="BI48" s="3553"/>
      <c r="BJ48" s="3553"/>
      <c r="BK48" s="3553"/>
      <c r="BL48" s="3553"/>
      <c r="BM48" s="3553"/>
      <c r="BN48" s="3553"/>
      <c r="BO48" s="3602"/>
      <c r="BP48" s="3601" t="s">
        <v>2988</v>
      </c>
      <c r="BQ48" s="3553"/>
      <c r="BR48" s="3553"/>
      <c r="BS48" s="3553"/>
      <c r="BT48" s="3606"/>
      <c r="BU48" s="1290"/>
    </row>
    <row r="49" spans="2:83" ht="3" customHeight="1" thickBot="1">
      <c r="B49" s="1292"/>
      <c r="C49" s="925"/>
      <c r="D49" s="925"/>
      <c r="E49" s="925"/>
      <c r="F49" s="925"/>
      <c r="G49" s="925"/>
      <c r="H49" s="925"/>
      <c r="I49" s="925"/>
      <c r="J49" s="925"/>
      <c r="K49" s="925"/>
      <c r="L49" s="925"/>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3744"/>
      <c r="AW49" s="3745"/>
      <c r="AX49" s="3745"/>
      <c r="AY49" s="3746"/>
      <c r="AZ49" s="3603"/>
      <c r="BA49" s="3604"/>
      <c r="BB49" s="3604"/>
      <c r="BC49" s="3604"/>
      <c r="BD49" s="3604"/>
      <c r="BE49" s="3604"/>
      <c r="BF49" s="3604"/>
      <c r="BG49" s="3604"/>
      <c r="BH49" s="3604"/>
      <c r="BI49" s="3604"/>
      <c r="BJ49" s="3604"/>
      <c r="BK49" s="3604"/>
      <c r="BL49" s="3604"/>
      <c r="BM49" s="3604"/>
      <c r="BN49" s="3604"/>
      <c r="BO49" s="3605"/>
      <c r="BP49" s="3603"/>
      <c r="BQ49" s="3604"/>
      <c r="BR49" s="3604"/>
      <c r="BS49" s="3604"/>
      <c r="BT49" s="3607"/>
      <c r="BU49" s="1290"/>
    </row>
    <row r="50" spans="2:83" ht="15" customHeight="1" thickTop="1" thickBot="1">
      <c r="B50" s="1292"/>
      <c r="C50" s="3728">
        <f>IF(K8="不要","",AC26)</f>
        <v>147.18429337520527</v>
      </c>
      <c r="D50" s="3729"/>
      <c r="E50" s="3729"/>
      <c r="F50" s="3729"/>
      <c r="G50" s="3730"/>
      <c r="H50" s="931" t="str">
        <f>IF(C50="","","[KVA]")</f>
        <v>[KVA]</v>
      </c>
      <c r="I50" s="926"/>
      <c r="J50" s="926"/>
      <c r="K50" s="926"/>
      <c r="L50" s="3728">
        <f>IF(C53="","",AT26*BM21*(1-BM22)/BM22)</f>
        <v>176.07333333333335</v>
      </c>
      <c r="M50" s="3729"/>
      <c r="N50" s="3729"/>
      <c r="O50" s="3729"/>
      <c r="P50" s="3730"/>
      <c r="Q50" s="931" t="str">
        <f>IF(L50="","","[KVA]")</f>
        <v>[KVA]</v>
      </c>
      <c r="R50" s="926"/>
      <c r="S50" s="926"/>
      <c r="T50" s="926"/>
      <c r="U50" s="3731">
        <f>IF(C53="","",SUM(CD18:CD25))</f>
        <v>247.48632833333338</v>
      </c>
      <c r="V50" s="3729"/>
      <c r="W50" s="3729"/>
      <c r="X50" s="3729"/>
      <c r="Y50" s="3730"/>
      <c r="Z50" s="931" t="str">
        <f>IF(U50="","","[KVA]")</f>
        <v>[KVA]</v>
      </c>
      <c r="AA50" s="926"/>
      <c r="AB50" s="926"/>
      <c r="AC50" s="926"/>
      <c r="AD50" s="926"/>
      <c r="AE50" s="3728">
        <f>IF(C55="","",BX57*S26/BM19/0.736)</f>
        <v>324.04264952965372</v>
      </c>
      <c r="AF50" s="3729"/>
      <c r="AG50" s="3729"/>
      <c r="AH50" s="3729"/>
      <c r="AI50" s="3730"/>
      <c r="AJ50" s="931" t="str">
        <f>IF(AE50="","","[ps]")</f>
        <v>[ps]</v>
      </c>
      <c r="AK50" s="931"/>
      <c r="AL50" s="926"/>
      <c r="AM50" s="3731">
        <f>IF(C55="","",(L26+BB26*BE26)/BM19/0.736/BM20)</f>
        <v>342.46739405300275</v>
      </c>
      <c r="AN50" s="3729"/>
      <c r="AO50" s="3729"/>
      <c r="AP50" s="3729"/>
      <c r="AQ50" s="3730"/>
      <c r="AR50" s="931" t="str">
        <f>IF(AM50="","","[ps]")</f>
        <v>[ps]</v>
      </c>
      <c r="AS50" s="925"/>
      <c r="AT50" s="925"/>
      <c r="AU50" s="925"/>
      <c r="AV50" s="925"/>
      <c r="AW50" s="925"/>
      <c r="AX50" s="925"/>
      <c r="AY50" s="925"/>
      <c r="AZ50" s="925"/>
      <c r="BA50" s="925"/>
      <c r="BB50" s="925"/>
      <c r="BC50" s="925"/>
      <c r="BD50" s="925"/>
      <c r="BE50" s="925"/>
      <c r="BF50" s="925"/>
      <c r="BG50" s="925"/>
      <c r="BH50" s="925"/>
      <c r="BI50" s="925"/>
      <c r="BJ50" s="925"/>
      <c r="BK50" s="925"/>
      <c r="BL50" s="925"/>
      <c r="BM50" s="925"/>
      <c r="BN50" s="925"/>
      <c r="BO50" s="925"/>
      <c r="BP50" s="925"/>
      <c r="BQ50" s="925"/>
      <c r="BR50" s="925"/>
      <c r="BS50" s="925"/>
      <c r="BT50" s="925"/>
      <c r="BU50" s="1290"/>
    </row>
    <row r="51" spans="2:83" ht="12" customHeight="1">
      <c r="B51" s="1292"/>
      <c r="C51" s="925"/>
      <c r="D51" s="925"/>
      <c r="E51" s="925"/>
      <c r="F51" s="925"/>
      <c r="G51" s="925"/>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c r="AN51" s="925"/>
      <c r="AO51" s="925"/>
      <c r="AP51" s="925"/>
      <c r="AQ51" s="925"/>
      <c r="AR51" s="925"/>
      <c r="AS51" s="925"/>
      <c r="AT51" s="925"/>
      <c r="AU51" s="925"/>
      <c r="AV51" s="925"/>
      <c r="AW51" s="925"/>
      <c r="AX51" s="925"/>
      <c r="AY51" s="925"/>
      <c r="AZ51" s="925"/>
      <c r="BA51" s="925"/>
      <c r="BB51" s="925"/>
      <c r="BC51" s="925"/>
      <c r="BD51" s="925"/>
      <c r="BE51" s="925"/>
      <c r="BF51" s="925"/>
      <c r="BG51" s="925"/>
      <c r="BH51" s="925"/>
      <c r="BI51" s="925"/>
      <c r="BJ51" s="925"/>
      <c r="BK51" s="925"/>
      <c r="BL51" s="925"/>
      <c r="BM51" s="925"/>
      <c r="BN51" s="925"/>
      <c r="BO51" s="925"/>
      <c r="BP51" s="925"/>
      <c r="BQ51" s="925"/>
      <c r="BR51" s="925"/>
      <c r="BS51" s="925"/>
      <c r="BT51" s="925"/>
      <c r="BU51" s="1290"/>
      <c r="BX51" s="3536" t="s">
        <v>2987</v>
      </c>
      <c r="BY51" s="3536"/>
      <c r="BZ51" s="3536" t="s">
        <v>2986</v>
      </c>
      <c r="CA51" s="3536"/>
    </row>
    <row r="52" spans="2:83" s="1312" customFormat="1" ht="3" customHeight="1">
      <c r="B52" s="1305"/>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c r="AI52" s="1316"/>
      <c r="AJ52" s="1316"/>
      <c r="AK52" s="1316"/>
      <c r="AL52" s="1316"/>
      <c r="AM52" s="1316"/>
      <c r="AN52" s="1316"/>
      <c r="AO52" s="1316"/>
      <c r="AP52" s="1316"/>
      <c r="AQ52" s="1316"/>
      <c r="AR52" s="1316"/>
      <c r="AS52" s="1316"/>
      <c r="AT52" s="1316"/>
      <c r="AU52" s="1316"/>
      <c r="AV52" s="1316"/>
      <c r="AW52" s="1316"/>
      <c r="AX52" s="1316"/>
      <c r="AY52" s="1316"/>
      <c r="AZ52" s="1316"/>
      <c r="BA52" s="1316"/>
      <c r="BB52" s="1316"/>
      <c r="BC52" s="1316"/>
      <c r="BD52" s="1316"/>
      <c r="BE52" s="1316"/>
      <c r="BF52" s="1316"/>
      <c r="BG52" s="1316"/>
      <c r="BH52" s="1316"/>
      <c r="BI52" s="1316"/>
      <c r="BJ52" s="1316"/>
      <c r="BK52" s="1316"/>
      <c r="BL52" s="1316"/>
      <c r="BM52" s="1316"/>
      <c r="BN52" s="1316"/>
      <c r="BO52" s="1316"/>
      <c r="BP52" s="1316"/>
      <c r="BQ52" s="1316"/>
      <c r="BR52" s="1316"/>
      <c r="BS52" s="1316"/>
      <c r="BT52" s="1316"/>
      <c r="BU52" s="1303"/>
      <c r="BX52" s="1315"/>
      <c r="BY52" s="1314"/>
      <c r="BZ52" s="1313"/>
    </row>
    <row r="53" spans="2:83" ht="15" customHeight="1">
      <c r="B53" s="1305"/>
      <c r="C53" s="2778" t="str">
        <f>IF(OR(C10="",K8="不要"),"","発電機の仕様")</f>
        <v>発電機の仕様</v>
      </c>
      <c r="D53" s="2779"/>
      <c r="E53" s="2779"/>
      <c r="F53" s="2779"/>
      <c r="G53" s="2779"/>
      <c r="H53" s="2779"/>
      <c r="I53" s="2779"/>
      <c r="J53" s="2905"/>
      <c r="K53" s="1304"/>
      <c r="L53" s="3709" t="str">
        <f>IF(C53="","","3φ3W "&amp;Q10&amp;"V "&amp;AR3)</f>
        <v>3φ3W 220V 60 Hz</v>
      </c>
      <c r="M53" s="3710"/>
      <c r="N53" s="3710"/>
      <c r="O53" s="3710"/>
      <c r="P53" s="3710"/>
      <c r="Q53" s="3710"/>
      <c r="R53" s="3710"/>
      <c r="S53" s="3710"/>
      <c r="T53" s="3710"/>
      <c r="U53" s="3710"/>
      <c r="V53" s="3710"/>
      <c r="W53" s="3710"/>
      <c r="X53" s="3711"/>
      <c r="Y53" s="1304"/>
      <c r="Z53" s="3709" t="str">
        <f>IF(C53="","",IF(AR3="50 Hz",AE10&amp;"極-"&amp;120*50/AE10&amp;" [rpm]",AE10&amp;"極-"&amp;120*60/AE10&amp;" [rpm]"))</f>
        <v>4極-1800 [rpm]</v>
      </c>
      <c r="AA53" s="3710"/>
      <c r="AB53" s="3710"/>
      <c r="AC53" s="3710"/>
      <c r="AD53" s="3710"/>
      <c r="AE53" s="3710"/>
      <c r="AF53" s="3710"/>
      <c r="AG53" s="3710"/>
      <c r="AH53" s="3710"/>
      <c r="AI53" s="3710"/>
      <c r="AJ53" s="3711"/>
      <c r="AK53" s="1304"/>
      <c r="AL53" s="3709" t="str">
        <f>IF(C53="","",BM18&amp;"[KVA]  "&amp;(INT(S12*10))/10&amp;" [A]")</f>
        <v>250[KVA]  656 [A]</v>
      </c>
      <c r="AM53" s="3710"/>
      <c r="AN53" s="3710"/>
      <c r="AO53" s="3710"/>
      <c r="AP53" s="3710"/>
      <c r="AQ53" s="3710"/>
      <c r="AR53" s="3710"/>
      <c r="AS53" s="3710"/>
      <c r="AT53" s="3710"/>
      <c r="AU53" s="3710"/>
      <c r="AV53" s="3710"/>
      <c r="AW53" s="3710"/>
      <c r="AX53" s="3711"/>
      <c r="AY53" s="1304"/>
      <c r="AZ53" s="3709" t="str">
        <f>IF(C53="","","力 率="&amp;AP10)</f>
        <v>力 率=0.8</v>
      </c>
      <c r="BA53" s="3710"/>
      <c r="BB53" s="3710"/>
      <c r="BC53" s="3710"/>
      <c r="BD53" s="3710"/>
      <c r="BE53" s="3710"/>
      <c r="BF53" s="3711"/>
      <c r="BG53" s="1304"/>
      <c r="BH53" s="3732" t="str">
        <f>IF(C53="",""," "&amp;BK10)</f>
        <v xml:space="preserve"> </v>
      </c>
      <c r="BI53" s="3733"/>
      <c r="BJ53" s="3733"/>
      <c r="BK53" s="3733"/>
      <c r="BL53" s="3733"/>
      <c r="BM53" s="3733"/>
      <c r="BN53" s="3733"/>
      <c r="BO53" s="3733"/>
      <c r="BP53" s="3733"/>
      <c r="BQ53" s="3733"/>
      <c r="BR53" s="3733"/>
      <c r="BS53" s="3733"/>
      <c r="BT53" s="3734"/>
      <c r="BU53" s="1303"/>
    </row>
    <row r="54" spans="2:83" ht="3" customHeight="1">
      <c r="B54" s="1305"/>
      <c r="C54" s="1304"/>
      <c r="D54" s="1304"/>
      <c r="E54" s="1304"/>
      <c r="F54" s="1304"/>
      <c r="G54" s="1304"/>
      <c r="H54" s="1304"/>
      <c r="I54" s="1304"/>
      <c r="J54" s="1304"/>
      <c r="K54" s="1304"/>
      <c r="L54" s="1311"/>
      <c r="M54" s="1304"/>
      <c r="N54" s="1304"/>
      <c r="O54" s="1304"/>
      <c r="P54" s="1304"/>
      <c r="Q54" s="1304"/>
      <c r="R54" s="1304"/>
      <c r="S54" s="1304"/>
      <c r="T54" s="1304"/>
      <c r="U54" s="1304"/>
      <c r="V54" s="1304"/>
      <c r="W54" s="1304"/>
      <c r="X54" s="1304"/>
      <c r="Y54" s="1304"/>
      <c r="Z54" s="1304"/>
      <c r="AA54" s="1304"/>
      <c r="AB54" s="1304"/>
      <c r="AC54" s="1304"/>
      <c r="AD54" s="1304"/>
      <c r="AE54" s="1304"/>
      <c r="AF54" s="1304"/>
      <c r="AG54" s="1304"/>
      <c r="AH54" s="1304"/>
      <c r="AI54" s="1304"/>
      <c r="AJ54" s="1304"/>
      <c r="AK54" s="1304"/>
      <c r="AL54" s="1304"/>
      <c r="AM54" s="1304"/>
      <c r="AN54" s="1304"/>
      <c r="AO54" s="1304"/>
      <c r="AP54" s="1304"/>
      <c r="AQ54" s="1304"/>
      <c r="AR54" s="1304"/>
      <c r="AS54" s="1304"/>
      <c r="AT54" s="1304"/>
      <c r="AU54" s="1304"/>
      <c r="AV54" s="1304"/>
      <c r="AW54" s="1304"/>
      <c r="AX54" s="1304"/>
      <c r="AY54" s="1304"/>
      <c r="AZ54" s="1304"/>
      <c r="BA54" s="1304"/>
      <c r="BB54" s="1304"/>
      <c r="BC54" s="1304"/>
      <c r="BD54" s="1304"/>
      <c r="BE54" s="1304"/>
      <c r="BF54" s="1304"/>
      <c r="BG54" s="1304"/>
      <c r="BH54" s="1304"/>
      <c r="BI54" s="1304"/>
      <c r="BJ54" s="1304"/>
      <c r="BK54" s="1304"/>
      <c r="BL54" s="1304"/>
      <c r="BM54" s="1304"/>
      <c r="BN54" s="1304"/>
      <c r="BO54" s="1304"/>
      <c r="BP54" s="1304"/>
      <c r="BQ54" s="1304"/>
      <c r="BR54" s="1304"/>
      <c r="BS54" s="1304"/>
      <c r="BT54" s="1304"/>
      <c r="BU54" s="1303"/>
      <c r="BX54" s="3707">
        <f>C50</f>
        <v>147.18429337520527</v>
      </c>
      <c r="BY54" s="3707"/>
      <c r="BZ54" s="3707">
        <f>AE50</f>
        <v>324.04264952965372</v>
      </c>
      <c r="CA54" s="3707"/>
    </row>
    <row r="55" spans="2:83" ht="15" customHeight="1">
      <c r="B55" s="1305"/>
      <c r="C55" s="2778" t="str">
        <f>IF(U8="","","エンジンの仕様")</f>
        <v>エンジンの仕様</v>
      </c>
      <c r="D55" s="2779"/>
      <c r="E55" s="2779"/>
      <c r="F55" s="2779"/>
      <c r="G55" s="2779"/>
      <c r="H55" s="2779"/>
      <c r="I55" s="2779"/>
      <c r="J55" s="2905"/>
      <c r="K55" s="1304"/>
      <c r="L55" s="3709" t="str">
        <f>IF(C55="","",AC8)</f>
        <v>ディーゼル・エンジン</v>
      </c>
      <c r="M55" s="3710"/>
      <c r="N55" s="3710"/>
      <c r="O55" s="3710"/>
      <c r="P55" s="3710"/>
      <c r="Q55" s="3710"/>
      <c r="R55" s="3710"/>
      <c r="S55" s="3710"/>
      <c r="T55" s="3710"/>
      <c r="U55" s="3710"/>
      <c r="V55" s="3710"/>
      <c r="W55" s="3710"/>
      <c r="X55" s="3711"/>
      <c r="Y55" s="1304"/>
      <c r="Z55" s="3709" t="str">
        <f>IF(C55="","",Y6)</f>
        <v>屋外型</v>
      </c>
      <c r="AA55" s="3710"/>
      <c r="AB55" s="3710"/>
      <c r="AC55" s="3710"/>
      <c r="AD55" s="1309"/>
      <c r="AE55" s="3709" t="str">
        <f>IF(C55="","",AI6)</f>
        <v>低騒音85dB</v>
      </c>
      <c r="AF55" s="3710"/>
      <c r="AG55" s="3710"/>
      <c r="AH55" s="3710"/>
      <c r="AI55" s="3710"/>
      <c r="AJ55" s="3710"/>
      <c r="AK55" s="3711"/>
      <c r="AL55" s="1309"/>
      <c r="AM55" s="3716" t="str">
        <f>IF(C55="","",INT(BZ57)&amp;" ps")</f>
        <v>342 ps</v>
      </c>
      <c r="AN55" s="3717"/>
      <c r="AO55" s="3717"/>
      <c r="AP55" s="3717"/>
      <c r="AQ55" s="3718"/>
      <c r="AR55" s="1308"/>
      <c r="AS55" s="3719" t="str">
        <f>IF(C55="","",INT(BZ57*0.736)&amp;" KW")</f>
        <v>252 KW</v>
      </c>
      <c r="AT55" s="3720"/>
      <c r="AU55" s="3720"/>
      <c r="AV55" s="3720"/>
      <c r="AW55" s="3720"/>
      <c r="AX55" s="3721"/>
      <c r="AY55" s="1310"/>
      <c r="AZ55" s="3722" t="str">
        <f>IF(C55="","",IF(LEFT(AC8,1)&lt;&gt;"ガ",BE10&amp;"rpm",IF(BZ59&lt;=375,37000&amp;"rpm",IF(BZ59&lt;=625,29000&amp;"rpm",IF(BZ59&lt;=1000,26500&amp;"rpm",IF(BZ59&lt;=2000,22000&amp;"rpm",IF(BZ59&lt;=6000,18000&amp;"rpm",)))))))</f>
        <v>1800rpm</v>
      </c>
      <c r="BA55" s="3723"/>
      <c r="BB55" s="3723"/>
      <c r="BC55" s="3723"/>
      <c r="BD55" s="3723"/>
      <c r="BE55" s="3723"/>
      <c r="BF55" s="3724"/>
      <c r="BG55" s="1304"/>
      <c r="BH55" s="3725" t="str">
        <f>IF(C55="","",BJ6)</f>
        <v>ディーゼル軽油、A重油</v>
      </c>
      <c r="BI55" s="3726"/>
      <c r="BJ55" s="3726"/>
      <c r="BK55" s="3726"/>
      <c r="BL55" s="3726"/>
      <c r="BM55" s="3726"/>
      <c r="BN55" s="3726"/>
      <c r="BO55" s="3726"/>
      <c r="BP55" s="3726"/>
      <c r="BQ55" s="3726"/>
      <c r="BR55" s="3726"/>
      <c r="BS55" s="3726"/>
      <c r="BT55" s="3727"/>
      <c r="BU55" s="1303"/>
      <c r="BX55" s="3707">
        <f>L50</f>
        <v>176.07333333333335</v>
      </c>
      <c r="BY55" s="3707"/>
      <c r="BZ55" s="3707">
        <f>AM50</f>
        <v>342.46739405300275</v>
      </c>
      <c r="CA55" s="3707"/>
    </row>
    <row r="56" spans="2:83" ht="3" customHeight="1">
      <c r="B56" s="1305"/>
      <c r="C56" s="1304"/>
      <c r="D56" s="1304"/>
      <c r="E56" s="1304"/>
      <c r="F56" s="1304"/>
      <c r="G56" s="1304"/>
      <c r="H56" s="1304"/>
      <c r="I56" s="1304"/>
      <c r="J56" s="1304"/>
      <c r="K56" s="1304"/>
      <c r="L56" s="1304"/>
      <c r="M56" s="1304"/>
      <c r="N56" s="1304"/>
      <c r="O56" s="1304"/>
      <c r="P56" s="1304"/>
      <c r="Q56" s="1304"/>
      <c r="R56" s="1304"/>
      <c r="S56" s="1304"/>
      <c r="T56" s="1304"/>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4"/>
      <c r="AV56" s="1304"/>
      <c r="AW56" s="1304"/>
      <c r="AX56" s="1304"/>
      <c r="AY56" s="1304"/>
      <c r="AZ56" s="1304"/>
      <c r="BA56" s="1304"/>
      <c r="BB56" s="1304"/>
      <c r="BC56" s="1304"/>
      <c r="BD56" s="1304"/>
      <c r="BE56" s="1304"/>
      <c r="BF56" s="1304"/>
      <c r="BG56" s="1304"/>
      <c r="BH56" s="1304"/>
      <c r="BI56" s="1304"/>
      <c r="BJ56" s="1304"/>
      <c r="BK56" s="1304"/>
      <c r="BL56" s="1304"/>
      <c r="BM56" s="1304"/>
      <c r="BN56" s="1304"/>
      <c r="BO56" s="1304"/>
      <c r="BP56" s="1304"/>
      <c r="BQ56" s="1304"/>
      <c r="BR56" s="1304"/>
      <c r="BS56" s="1304"/>
      <c r="BT56" s="1304"/>
      <c r="BU56" s="1303"/>
      <c r="BX56" s="3707">
        <f>U50</f>
        <v>247.48632833333338</v>
      </c>
      <c r="BY56" s="3707"/>
      <c r="BZ56" s="3708"/>
      <c r="CA56" s="3708"/>
    </row>
    <row r="57" spans="2:83" ht="15" customHeight="1">
      <c r="B57" s="1305"/>
      <c r="C57" s="1304"/>
      <c r="D57" s="1304"/>
      <c r="E57" s="1304"/>
      <c r="F57" s="1304"/>
      <c r="G57" s="1304"/>
      <c r="H57" s="1304"/>
      <c r="I57" s="1304"/>
      <c r="J57" s="1304"/>
      <c r="K57" s="1304"/>
      <c r="L57" s="3709" t="str">
        <f>IF(C55="","",AY8)</f>
        <v>水冷ラジエータ方式(DE)</v>
      </c>
      <c r="M57" s="3710"/>
      <c r="N57" s="3710"/>
      <c r="O57" s="3710"/>
      <c r="P57" s="3710"/>
      <c r="Q57" s="3710"/>
      <c r="R57" s="3710"/>
      <c r="S57" s="3710"/>
      <c r="T57" s="3710"/>
      <c r="U57" s="3710"/>
      <c r="V57" s="3710"/>
      <c r="W57" s="3710"/>
      <c r="X57" s="3711"/>
      <c r="Y57" s="1304"/>
      <c r="Z57" s="3709" t="str">
        <f>IF(AF57="","","煙道 要")</f>
        <v/>
      </c>
      <c r="AA57" s="3710"/>
      <c r="AB57" s="3710"/>
      <c r="AC57" s="3710"/>
      <c r="AD57" s="3711"/>
      <c r="AE57" s="1307"/>
      <c r="AF57" s="3709" t="str">
        <f>IF(AO57="","","1次消音器 要")</f>
        <v/>
      </c>
      <c r="AG57" s="3710"/>
      <c r="AH57" s="3710"/>
      <c r="AI57" s="3710"/>
      <c r="AJ57" s="3710"/>
      <c r="AK57" s="3710"/>
      <c r="AL57" s="3710"/>
      <c r="AM57" s="3711"/>
      <c r="AN57" s="1309"/>
      <c r="AO57" s="3709" t="str">
        <f>IF(OR(BQ18&gt;=200,Y6="屋内型"),"2次消音器 要","")</f>
        <v/>
      </c>
      <c r="AP57" s="3710"/>
      <c r="AQ57" s="3710"/>
      <c r="AR57" s="3710"/>
      <c r="AS57" s="3710"/>
      <c r="AT57" s="3710"/>
      <c r="AU57" s="3710"/>
      <c r="AV57" s="3711"/>
      <c r="AW57" s="1308"/>
      <c r="AX57" s="3709" t="str">
        <f>IF(OR(AZ59="不要",K6=""),"",IF(OR(Y6="屋内型",BM18&gt;=150,K6="常用",AZ59="必要"),"OST 要",""))</f>
        <v>OST 要</v>
      </c>
      <c r="AY57" s="3710"/>
      <c r="AZ57" s="3710"/>
      <c r="BA57" s="3710"/>
      <c r="BB57" s="3711"/>
      <c r="BC57" s="1308"/>
      <c r="BD57" s="3709" t="str">
        <f>IF(C55="","",IF(BL59="不要","",IF(OR(BM18&gt;=250,K6="常用",BL59="必要"),"地下OT 要","")))</f>
        <v>地下OT 要</v>
      </c>
      <c r="BE57" s="3710"/>
      <c r="BF57" s="3710"/>
      <c r="BG57" s="3710"/>
      <c r="BH57" s="3710"/>
      <c r="BI57" s="3710"/>
      <c r="BJ57" s="3710"/>
      <c r="BK57" s="3710"/>
      <c r="BL57" s="3710"/>
      <c r="BM57" s="3710"/>
      <c r="BN57" s="3711"/>
      <c r="BO57" s="1307"/>
      <c r="BP57" s="3709" t="str">
        <f>IF(BD57="","","OGP 要")</f>
        <v>OGP 要</v>
      </c>
      <c r="BQ57" s="3710"/>
      <c r="BR57" s="3710"/>
      <c r="BS57" s="3710"/>
      <c r="BT57" s="3711"/>
      <c r="BU57" s="1303"/>
      <c r="BX57" s="3712">
        <f>MAX(BX54:BY56)</f>
        <v>247.48632833333338</v>
      </c>
      <c r="BY57" s="3713"/>
      <c r="BZ57" s="3712">
        <f>MAX(BZ54:CA55)</f>
        <v>342.46739405300275</v>
      </c>
      <c r="CA57" s="3713"/>
      <c r="CB57" s="1306">
        <f>IF(C55="","",BZ57*0.736)</f>
        <v>252.05600202301002</v>
      </c>
    </row>
    <row r="58" spans="2:83" ht="3.75" customHeight="1">
      <c r="B58" s="1305"/>
      <c r="C58" s="1304"/>
      <c r="D58" s="1304"/>
      <c r="E58" s="1304"/>
      <c r="F58" s="1304"/>
      <c r="G58" s="1304"/>
      <c r="H58" s="1304"/>
      <c r="I58" s="1304"/>
      <c r="J58" s="1304"/>
      <c r="K58" s="1304"/>
      <c r="L58" s="1304"/>
      <c r="M58" s="1304"/>
      <c r="N58" s="1304"/>
      <c r="O58" s="1304"/>
      <c r="P58" s="1304"/>
      <c r="Q58" s="1304"/>
      <c r="R58" s="1304"/>
      <c r="S58" s="1304"/>
      <c r="T58" s="1304"/>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4"/>
      <c r="BD58" s="1304"/>
      <c r="BE58" s="1304"/>
      <c r="BF58" s="1304"/>
      <c r="BG58" s="1304"/>
      <c r="BH58" s="1304"/>
      <c r="BI58" s="1304"/>
      <c r="BJ58" s="1304"/>
      <c r="BK58" s="1304"/>
      <c r="BL58" s="1304"/>
      <c r="BM58" s="1304"/>
      <c r="BN58" s="1304"/>
      <c r="BO58" s="1304"/>
      <c r="BP58" s="1304"/>
      <c r="BQ58" s="1304"/>
      <c r="BR58" s="1304"/>
      <c r="BS58" s="1304"/>
      <c r="BT58" s="1304"/>
      <c r="BU58" s="1303"/>
    </row>
    <row r="59" spans="2:83" ht="15" customHeight="1">
      <c r="B59" s="1292"/>
      <c r="C59" s="926"/>
      <c r="D59" s="926"/>
      <c r="E59" s="926"/>
      <c r="F59" s="926"/>
      <c r="G59" s="926"/>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6"/>
      <c r="AV59" s="926"/>
      <c r="AW59" s="926"/>
      <c r="AX59" s="939" t="str">
        <f>IF(B2=0,"",IF(AND(AX57="",OR(AZ59="不要",AZ59="")),"OST",""))</f>
        <v/>
      </c>
      <c r="AY59" s="928" t="s">
        <v>2359</v>
      </c>
      <c r="AZ59" s="3714"/>
      <c r="BA59" s="3714"/>
      <c r="BB59" s="3715"/>
      <c r="BC59" s="926"/>
      <c r="BD59" s="926"/>
      <c r="BE59" s="926"/>
      <c r="BF59" s="926"/>
      <c r="BG59" s="926"/>
      <c r="BH59" s="926"/>
      <c r="BI59" s="926"/>
      <c r="BJ59" s="939" t="str">
        <f>IF(B2=0,"",IF(AND(BD57="",OR(BL59="不要",BL59="")),"地下OT",""))</f>
        <v/>
      </c>
      <c r="BK59" s="928" t="s">
        <v>2359</v>
      </c>
      <c r="BL59" s="3714"/>
      <c r="BM59" s="3714"/>
      <c r="BN59" s="3715"/>
      <c r="BO59" s="926"/>
      <c r="BP59" s="926"/>
      <c r="BQ59" s="926"/>
      <c r="BR59" s="926"/>
      <c r="BS59" s="926"/>
      <c r="BT59" s="926"/>
      <c r="BU59" s="1290"/>
      <c r="BW59" s="915" t="s">
        <v>2980</v>
      </c>
      <c r="BX59" s="937">
        <f>IF(AR3="60 Hz",0,IF(BX57&lt;=22,22,IF(BX57&lt;=30,30,IF(BX57&lt;=30,30,IF(BX57&lt;=43,43,IF(BX57&lt;=55,55,IF(BX57&lt;=85,85,IF(BX57&lt;=100,100,IF(BX57&lt;=130,130,IF(BX57&lt;=140,140,IF(BX57&lt;=160,160,IF(BX57&lt;=200,200,IF(BX57&lt;=220,220,IF(BX57&lt;=250,250,IF(BX57&lt;=260,260,IF(BX57&lt;=310,310,IF(BX57&lt;=345,345,IF(BX57&lt;=385,385,IF(BX57&lt;=440,440,IF(BX57&lt;=500,500,IF(BX57&lt;=625,625,"---")))))))))))))))))))))</f>
        <v>0</v>
      </c>
      <c r="BY59" s="937">
        <f>IF(AR3="50 Hz",0,IF(BX57&lt;=25,25,IF(BX57&lt;=35,35,IF(BX57&lt;=47,47,IF(BX57&lt;=66,66,IF(BX57&lt;=95,95,IF(BX57&lt;=115,115,IF(BX57&lt;=150,150,IF(BX57&lt;=160,160,IF(BX57&lt;=180,180,IF(BX57&lt;=200,200,IF(BX57&lt;=220,220,IF(BX57&lt;=250,250,IF(BX57&lt;=260,260,IF(BX57&lt;=300,300,IF(BX57&lt;=310,310,IF(BX57&lt;=350,350,IF(BX57&lt;=400,400,IF(BX57&lt;=460,460,IF(BX57&lt;=500,500,IF(BX57&lt;=600,600,IF(BX57&lt;=625,625,"---"))))))))))))))))))))))</f>
        <v>250</v>
      </c>
      <c r="BZ59" s="3706">
        <f>BX59+BY59</f>
        <v>250</v>
      </c>
      <c r="CA59" s="3706"/>
    </row>
    <row r="60" spans="2:83" ht="15" customHeight="1">
      <c r="B60" s="1292"/>
      <c r="C60" s="3651" t="str">
        <f>IF(C53="","","発電機金額")</f>
        <v>発電機金額</v>
      </c>
      <c r="D60" s="3652"/>
      <c r="E60" s="3652"/>
      <c r="F60" s="3652"/>
      <c r="G60" s="3652"/>
      <c r="H60" s="3652"/>
      <c r="I60" s="3652"/>
      <c r="J60" s="3653"/>
      <c r="K60" s="926"/>
      <c r="L60" s="926"/>
      <c r="M60" s="926"/>
      <c r="N60" s="926"/>
      <c r="O60" s="926"/>
      <c r="P60" s="926"/>
      <c r="Q60" s="926"/>
      <c r="R60" s="926"/>
      <c r="S60" s="926"/>
      <c r="T60" s="926"/>
      <c r="U60" s="926"/>
      <c r="V60" s="926"/>
      <c r="W60" s="926"/>
      <c r="X60" s="926"/>
      <c r="Y60" s="926"/>
      <c r="Z60" s="926"/>
      <c r="AA60" s="926"/>
      <c r="AB60" s="926"/>
      <c r="AC60" s="926"/>
      <c r="AD60" s="926"/>
      <c r="AE60" s="926"/>
      <c r="AF60" s="926"/>
      <c r="AG60" s="926"/>
      <c r="AH60" s="926"/>
      <c r="AI60" s="926"/>
      <c r="AJ60" s="926"/>
      <c r="AK60" s="926"/>
      <c r="AL60" s="3651" t="str">
        <f>IF(C55="","","エンジン金額")</f>
        <v>エンジン金額</v>
      </c>
      <c r="AM60" s="3652"/>
      <c r="AN60" s="3652"/>
      <c r="AO60" s="3652"/>
      <c r="AP60" s="3652"/>
      <c r="AQ60" s="3652"/>
      <c r="AR60" s="3652"/>
      <c r="AS60" s="3653"/>
      <c r="AT60" s="926"/>
      <c r="AU60" s="926"/>
      <c r="AV60" s="926"/>
      <c r="AW60" s="926"/>
      <c r="AX60" s="926"/>
      <c r="AY60" s="926"/>
      <c r="AZ60" s="926"/>
      <c r="BA60" s="926"/>
      <c r="BB60" s="926"/>
      <c r="BC60" s="926"/>
      <c r="BD60" s="926"/>
      <c r="BE60" s="926"/>
      <c r="BF60" s="926"/>
      <c r="BG60" s="926"/>
      <c r="BH60" s="926"/>
      <c r="BI60" s="926"/>
      <c r="BJ60" s="926"/>
      <c r="BK60" s="926"/>
      <c r="BL60" s="926"/>
      <c r="BM60" s="926"/>
      <c r="BN60" s="926"/>
      <c r="BO60" s="926"/>
      <c r="BP60" s="926"/>
      <c r="BQ60" s="926"/>
      <c r="BR60" s="926"/>
      <c r="BS60" s="926"/>
      <c r="BT60" s="926"/>
      <c r="BU60" s="1290"/>
      <c r="BW60" s="915" t="s">
        <v>2979</v>
      </c>
      <c r="BX60" s="937"/>
      <c r="BY60" s="937"/>
      <c r="BZ60" s="3706">
        <f>IF(BX57&lt;=250,250,IF(BX57&lt;=300,300,IF(BX57&lt;=375,375,IF(BX57&lt;=500,500,IF(BX57&lt;=625,625,IF(BX57&lt;=750,750,IF(BX57&lt;=800,800,IF(BX57&lt;=875,875,IF(BX57&lt;=1000,1000,IF(BX57&lt;=1250,1250,IF(BX57&lt;=1500,1500,IF(BX57&lt;=2000,2000,IF(BX57&lt;=2250,2250,IF(BX57&lt;=2500,2500,IF(BX57&lt;=3000,3000,IF(BX57&lt;=3500,3500,IF(BX57&lt;=4000,4000,IF(BX57&lt;=5000,5000,IF(BX57&lt;=6000,6000,"---")))))))))))))))))))</f>
        <v>250</v>
      </c>
      <c r="CA60" s="3706"/>
    </row>
    <row r="61" spans="2:83" ht="3" customHeight="1">
      <c r="B61" s="1292"/>
      <c r="C61" s="926"/>
      <c r="D61" s="926"/>
      <c r="E61" s="926"/>
      <c r="F61" s="926"/>
      <c r="G61" s="926"/>
      <c r="H61" s="926"/>
      <c r="I61" s="926"/>
      <c r="J61" s="926"/>
      <c r="K61" s="926"/>
      <c r="L61" s="926"/>
      <c r="M61" s="926"/>
      <c r="N61" s="926"/>
      <c r="O61" s="926"/>
      <c r="P61" s="926"/>
      <c r="Q61" s="926"/>
      <c r="R61" s="926"/>
      <c r="S61" s="926"/>
      <c r="T61" s="926"/>
      <c r="U61" s="926"/>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6"/>
      <c r="AV61" s="926"/>
      <c r="AW61" s="926"/>
      <c r="AX61" s="926"/>
      <c r="AY61" s="926"/>
      <c r="AZ61" s="926"/>
      <c r="BA61" s="926"/>
      <c r="BB61" s="926"/>
      <c r="BC61" s="926"/>
      <c r="BD61" s="926"/>
      <c r="BE61" s="926"/>
      <c r="BF61" s="926"/>
      <c r="BG61" s="926"/>
      <c r="BH61" s="926"/>
      <c r="BI61" s="926"/>
      <c r="BJ61" s="926"/>
      <c r="BK61" s="926"/>
      <c r="BL61" s="926"/>
      <c r="BM61" s="926"/>
      <c r="BN61" s="926"/>
      <c r="BO61" s="926"/>
      <c r="BP61" s="926"/>
      <c r="BQ61" s="926"/>
      <c r="BR61" s="926"/>
      <c r="BS61" s="926"/>
      <c r="BT61" s="926"/>
      <c r="BU61" s="1290"/>
      <c r="BX61" s="936"/>
    </row>
    <row r="62" spans="2:83" ht="12" customHeight="1">
      <c r="B62" s="1292"/>
      <c r="C62" s="2778" t="s">
        <v>2975</v>
      </c>
      <c r="D62" s="2779"/>
      <c r="E62" s="2779"/>
      <c r="F62" s="2779"/>
      <c r="G62" s="2779"/>
      <c r="H62" s="2779"/>
      <c r="I62" s="2779"/>
      <c r="J62" s="2905"/>
      <c r="K62" s="2778" t="s">
        <v>2985</v>
      </c>
      <c r="L62" s="2779"/>
      <c r="M62" s="2779"/>
      <c r="N62" s="2779"/>
      <c r="O62" s="2779"/>
      <c r="P62" s="2779"/>
      <c r="Q62" s="2779"/>
      <c r="R62" s="2779"/>
      <c r="S62" s="2779"/>
      <c r="T62" s="2779"/>
      <c r="U62" s="2779"/>
      <c r="V62" s="2779"/>
      <c r="W62" s="2779"/>
      <c r="X62" s="2779"/>
      <c r="Y62" s="2779"/>
      <c r="Z62" s="2779"/>
      <c r="AA62" s="2779"/>
      <c r="AB62" s="2779"/>
      <c r="AC62" s="2779"/>
      <c r="AD62" s="2905"/>
      <c r="AE62" s="3596" t="s">
        <v>2984</v>
      </c>
      <c r="AF62" s="3597"/>
      <c r="AG62" s="3597"/>
      <c r="AH62" s="3597"/>
      <c r="AI62" s="3598"/>
      <c r="AJ62" s="3598"/>
      <c r="AK62" s="3599"/>
      <c r="AL62" s="3600" t="s">
        <v>2975</v>
      </c>
      <c r="AM62" s="3598"/>
      <c r="AN62" s="3598"/>
      <c r="AO62" s="3598"/>
      <c r="AP62" s="3598"/>
      <c r="AQ62" s="3598"/>
      <c r="AR62" s="3598"/>
      <c r="AS62" s="3599"/>
      <c r="AT62" s="2778" t="s">
        <v>2985</v>
      </c>
      <c r="AU62" s="2779"/>
      <c r="AV62" s="2779"/>
      <c r="AW62" s="2779"/>
      <c r="AX62" s="2779"/>
      <c r="AY62" s="2779"/>
      <c r="AZ62" s="2779"/>
      <c r="BA62" s="2779"/>
      <c r="BB62" s="2779"/>
      <c r="BC62" s="2779"/>
      <c r="BD62" s="2779"/>
      <c r="BE62" s="2779"/>
      <c r="BF62" s="2779"/>
      <c r="BG62" s="2779"/>
      <c r="BH62" s="2779"/>
      <c r="BI62" s="2779"/>
      <c r="BJ62" s="2779"/>
      <c r="BK62" s="2779"/>
      <c r="BL62" s="2779"/>
      <c r="BM62" s="2905"/>
      <c r="BN62" s="3491" t="s">
        <v>2984</v>
      </c>
      <c r="BO62" s="3492"/>
      <c r="BP62" s="3492"/>
      <c r="BQ62" s="3492"/>
      <c r="BR62" s="2779"/>
      <c r="BS62" s="2779"/>
      <c r="BT62" s="2905"/>
      <c r="BU62" s="1290"/>
      <c r="BY62" s="1302" t="s">
        <v>2983</v>
      </c>
      <c r="BZ62" s="1301"/>
      <c r="CB62" s="1299" t="s">
        <v>2982</v>
      </c>
      <c r="CC62" s="1300"/>
      <c r="CD62" s="1299"/>
      <c r="CE62" s="1299" t="s">
        <v>2981</v>
      </c>
    </row>
    <row r="63" spans="2:83" ht="12" customHeight="1">
      <c r="B63" s="1292"/>
      <c r="C63" s="3650" t="str">
        <f>IF(C53="","","用 途・型 式")</f>
        <v>用 途・型 式</v>
      </c>
      <c r="D63" s="3594"/>
      <c r="E63" s="3594"/>
      <c r="F63" s="3594"/>
      <c r="G63" s="3594"/>
      <c r="H63" s="3594"/>
      <c r="I63" s="3594"/>
      <c r="J63" s="3595"/>
      <c r="K63" s="3222" t="str">
        <f>IF(C63="",""," "&amp;K6&amp;"／"&amp;AY6&amp;"／"&amp;Y6)</f>
        <v xml:space="preserve"> 非常用／短時間型／屋外型</v>
      </c>
      <c r="L63" s="3223"/>
      <c r="M63" s="3223"/>
      <c r="N63" s="3223"/>
      <c r="O63" s="3223"/>
      <c r="P63" s="3223"/>
      <c r="Q63" s="3223"/>
      <c r="R63" s="3223"/>
      <c r="S63" s="3223"/>
      <c r="T63" s="3223"/>
      <c r="U63" s="3223"/>
      <c r="V63" s="3223"/>
      <c r="W63" s="3223"/>
      <c r="X63" s="3223"/>
      <c r="Y63" s="3223"/>
      <c r="Z63" s="3223"/>
      <c r="AA63" s="3223"/>
      <c r="AB63" s="3223"/>
      <c r="AC63" s="3223"/>
      <c r="AD63" s="3223"/>
      <c r="AE63" s="3676">
        <f>IF(C60="","",IF(AI63&lt;&gt;"",AI63,SUM(BY63:BY66)/2))</f>
        <v>6.2</v>
      </c>
      <c r="AF63" s="3677"/>
      <c r="AG63" s="3677"/>
      <c r="AH63" s="3678"/>
      <c r="AI63" s="3685"/>
      <c r="AJ63" s="3685"/>
      <c r="AK63" s="3686"/>
      <c r="AL63" s="3594" t="str">
        <f>IF(AL60="","","エンジン型式")</f>
        <v>エンジン型式</v>
      </c>
      <c r="AM63" s="3594"/>
      <c r="AN63" s="3594"/>
      <c r="AO63" s="3594"/>
      <c r="AP63" s="3594"/>
      <c r="AQ63" s="3594"/>
      <c r="AR63" s="3594"/>
      <c r="AS63" s="3595"/>
      <c r="AT63" s="3222" t="str">
        <f>IF(AL63="",""," "&amp;L55&amp;"／"&amp;Z55&amp;"／"&amp;AE55)</f>
        <v xml:space="preserve"> ディーゼル・エンジン／屋外型／低騒音85dB</v>
      </c>
      <c r="AU63" s="3223"/>
      <c r="AV63" s="3223"/>
      <c r="AW63" s="3223"/>
      <c r="AX63" s="3223"/>
      <c r="AY63" s="3223"/>
      <c r="AZ63" s="3223"/>
      <c r="BA63" s="3223"/>
      <c r="BB63" s="3223"/>
      <c r="BC63" s="3223"/>
      <c r="BD63" s="3223"/>
      <c r="BE63" s="3223"/>
      <c r="BF63" s="3223"/>
      <c r="BG63" s="3223"/>
      <c r="BH63" s="3223"/>
      <c r="BI63" s="3223"/>
      <c r="BJ63" s="3223"/>
      <c r="BK63" s="3223"/>
      <c r="BL63" s="3223"/>
      <c r="BM63" s="3223"/>
      <c r="BN63" s="3676">
        <f>IF(AL60="","",IF(BR63&lt;&gt;"",BR63,IF(LEFT(L55,1)="デ",SQRT(AE10/2)*SUM(CB63:CB66)/2,SUM(CE63:CE67)/2)))</f>
        <v>10.182337649086286</v>
      </c>
      <c r="BO63" s="3677"/>
      <c r="BP63" s="3677"/>
      <c r="BQ63" s="3678"/>
      <c r="BR63" s="3691"/>
      <c r="BS63" s="3691"/>
      <c r="BT63" s="3692"/>
      <c r="BU63" s="1290"/>
      <c r="BX63" s="1297" t="str">
        <f>IF(K6="非常用","非常","常用")</f>
        <v>非常</v>
      </c>
      <c r="BY63" s="1298">
        <v>12</v>
      </c>
      <c r="BZ63" s="1297"/>
      <c r="CA63" s="1297" t="str">
        <f>IF(K6="非常用","非常","常用")</f>
        <v>非常</v>
      </c>
      <c r="CB63" s="1298">
        <v>12</v>
      </c>
      <c r="CC63" s="1297"/>
      <c r="CD63" s="1297" t="str">
        <f>IF(K6="非常用","非常","常用")</f>
        <v>非常</v>
      </c>
      <c r="CE63" s="1298">
        <f>IF(CD63="非常",25,30)</f>
        <v>25</v>
      </c>
    </row>
    <row r="64" spans="2:83" ht="12" customHeight="1">
      <c r="B64" s="1292"/>
      <c r="C64" s="3650" t="str">
        <f>IF(C53="","","電気方式・容量")</f>
        <v>電気方式・容量</v>
      </c>
      <c r="D64" s="3594"/>
      <c r="E64" s="3594"/>
      <c r="F64" s="3594"/>
      <c r="G64" s="3594"/>
      <c r="H64" s="3594"/>
      <c r="I64" s="3594"/>
      <c r="J64" s="3595"/>
      <c r="K64" s="3222" t="str">
        <f>IF(C64="",""," "&amp;L53&amp;"／"&amp;BM18&amp;"[KVA]")</f>
        <v xml:space="preserve"> 3φ3W 220V 60 Hz／250[KVA]</v>
      </c>
      <c r="L64" s="3223"/>
      <c r="M64" s="3223"/>
      <c r="N64" s="3223"/>
      <c r="O64" s="3223"/>
      <c r="P64" s="3223"/>
      <c r="Q64" s="3223"/>
      <c r="R64" s="3223"/>
      <c r="S64" s="3223"/>
      <c r="T64" s="3223"/>
      <c r="U64" s="3223"/>
      <c r="V64" s="3223"/>
      <c r="W64" s="3223"/>
      <c r="X64" s="3223"/>
      <c r="Y64" s="3223"/>
      <c r="Z64" s="3223"/>
      <c r="AA64" s="3223"/>
      <c r="AB64" s="3223"/>
      <c r="AC64" s="3223"/>
      <c r="AD64" s="3223"/>
      <c r="AE64" s="3679"/>
      <c r="AF64" s="3680"/>
      <c r="AG64" s="3680"/>
      <c r="AH64" s="3681"/>
      <c r="AI64" s="3687"/>
      <c r="AJ64" s="3687"/>
      <c r="AK64" s="3688"/>
      <c r="AL64" s="3594" t="str">
        <f>IF(AL60="","","エンジン出力")</f>
        <v>エンジン出力</v>
      </c>
      <c r="AM64" s="3594"/>
      <c r="AN64" s="3594"/>
      <c r="AO64" s="3594"/>
      <c r="AP64" s="3594"/>
      <c r="AQ64" s="3594"/>
      <c r="AR64" s="3594"/>
      <c r="AS64" s="3595"/>
      <c r="AT64" s="3222" t="str">
        <f>IF(AL64="",""," "&amp;AM55&amp;"／"&amp;AS55&amp;"／"&amp;BE12&amp;"[rpm]")</f>
        <v xml:space="preserve"> 342 ps／252 KW／1800[rpm]</v>
      </c>
      <c r="AU64" s="3223"/>
      <c r="AV64" s="3223"/>
      <c r="AW64" s="3223"/>
      <c r="AX64" s="3223"/>
      <c r="AY64" s="3223"/>
      <c r="AZ64" s="3223"/>
      <c r="BA64" s="3223"/>
      <c r="BB64" s="3223"/>
      <c r="BC64" s="3223"/>
      <c r="BD64" s="3223"/>
      <c r="BE64" s="3223"/>
      <c r="BF64" s="3223"/>
      <c r="BG64" s="3223"/>
      <c r="BH64" s="3223"/>
      <c r="BI64" s="3223"/>
      <c r="BJ64" s="3223"/>
      <c r="BK64" s="3223"/>
      <c r="BL64" s="3223"/>
      <c r="BM64" s="3223"/>
      <c r="BN64" s="3679"/>
      <c r="BO64" s="3680"/>
      <c r="BP64" s="3680"/>
      <c r="BQ64" s="3681"/>
      <c r="BR64" s="3693"/>
      <c r="BS64" s="3693"/>
      <c r="BT64" s="3694"/>
      <c r="BU64" s="1290"/>
      <c r="BX64" s="1297" t="str">
        <f>IF(Y6="屋外型","屋外","屋内")</f>
        <v>屋外</v>
      </c>
      <c r="BY64" s="1007">
        <f>IF(BX64="屋内",0,0.4)</f>
        <v>0.4</v>
      </c>
      <c r="BZ64" s="1297"/>
      <c r="CA64" s="1297" t="str">
        <f>IF(Y6="屋外型","屋外","屋内")</f>
        <v>屋外</v>
      </c>
      <c r="CB64" s="1007">
        <f>IF(CA64="屋内",0,0.4)</f>
        <v>0.4</v>
      </c>
      <c r="CC64" s="1297"/>
      <c r="CD64" s="1297" t="str">
        <f>IF(Y6="屋外型","屋外","屋内")</f>
        <v>屋外</v>
      </c>
      <c r="CE64" s="1007">
        <f>IF(CA64="屋内",0,4)</f>
        <v>4</v>
      </c>
    </row>
    <row r="65" spans="2:118" ht="12" customHeight="1">
      <c r="B65" s="1292"/>
      <c r="C65" s="3650" t="str">
        <f>IF(C53="","","回転数"&amp;"・"&amp;"力率")</f>
        <v>回転数・力率</v>
      </c>
      <c r="D65" s="3594"/>
      <c r="E65" s="3594"/>
      <c r="F65" s="3594"/>
      <c r="G65" s="3594"/>
      <c r="H65" s="3594"/>
      <c r="I65" s="3594"/>
      <c r="J65" s="3595"/>
      <c r="K65" s="3222" t="str">
        <f>IF(C65="",""," "&amp;Z53&amp;"／ "&amp;"力率="&amp;AP10)</f>
        <v xml:space="preserve"> 4極-1800 [rpm]／ 力率=0.8</v>
      </c>
      <c r="L65" s="3223"/>
      <c r="M65" s="3223"/>
      <c r="N65" s="3223"/>
      <c r="O65" s="3223"/>
      <c r="P65" s="3223"/>
      <c r="Q65" s="3223"/>
      <c r="R65" s="3223"/>
      <c r="S65" s="3223"/>
      <c r="T65" s="3223"/>
      <c r="U65" s="3223"/>
      <c r="V65" s="3223"/>
      <c r="W65" s="3223"/>
      <c r="X65" s="3223"/>
      <c r="Y65" s="3223"/>
      <c r="Z65" s="3223"/>
      <c r="AA65" s="3223"/>
      <c r="AB65" s="3223"/>
      <c r="AC65" s="3223"/>
      <c r="AD65" s="3223"/>
      <c r="AE65" s="3682"/>
      <c r="AF65" s="3683"/>
      <c r="AG65" s="3683"/>
      <c r="AH65" s="3684"/>
      <c r="AI65" s="3689"/>
      <c r="AJ65" s="3689"/>
      <c r="AK65" s="3690"/>
      <c r="AL65" s="3594" t="str">
        <f>IF(AL60="","","エンジン冷却")</f>
        <v>エンジン冷却</v>
      </c>
      <c r="AM65" s="3594"/>
      <c r="AN65" s="3594"/>
      <c r="AO65" s="3594"/>
      <c r="AP65" s="3594"/>
      <c r="AQ65" s="3594"/>
      <c r="AR65" s="3594"/>
      <c r="AS65" s="3595"/>
      <c r="AT65" s="3703" t="str">
        <f>IF(OR(AL65="",RIGHT(L57,2)="不要"),""," "&amp;L57)</f>
        <v xml:space="preserve"> 水冷ラジエータ方式(DE)</v>
      </c>
      <c r="AU65" s="3223"/>
      <c r="AV65" s="3223"/>
      <c r="AW65" s="3223"/>
      <c r="AX65" s="3223"/>
      <c r="AY65" s="3223"/>
      <c r="AZ65" s="3223"/>
      <c r="BA65" s="3223"/>
      <c r="BB65" s="3223"/>
      <c r="BC65" s="3223"/>
      <c r="BD65" s="3223"/>
      <c r="BE65" s="3223"/>
      <c r="BF65" s="3223"/>
      <c r="BG65" s="3223"/>
      <c r="BH65" s="3223"/>
      <c r="BI65" s="3223"/>
      <c r="BJ65" s="3223"/>
      <c r="BK65" s="3223"/>
      <c r="BL65" s="3223"/>
      <c r="BM65" s="3223"/>
      <c r="BN65" s="3679"/>
      <c r="BO65" s="3680"/>
      <c r="BP65" s="3680"/>
      <c r="BQ65" s="3681"/>
      <c r="BR65" s="3693"/>
      <c r="BS65" s="3693"/>
      <c r="BT65" s="3694"/>
      <c r="BU65" s="1290"/>
      <c r="BX65" s="1297" t="str">
        <f>IF(AI6="低騒音85dB","低騒85","")</f>
        <v>低騒85</v>
      </c>
      <c r="BY65" s="1007">
        <f>IF(BX65="",0,0)</f>
        <v>0</v>
      </c>
      <c r="BZ65" s="1297"/>
      <c r="CA65" s="1297" t="str">
        <f>IF(AI6="低騒音85dB","低騒85","")</f>
        <v>低騒85</v>
      </c>
      <c r="CB65" s="1007">
        <f>IF(CA65="",0,2)</f>
        <v>2</v>
      </c>
      <c r="CC65" s="1297"/>
      <c r="CD65" s="1297" t="str">
        <f>IF(AI6="低騒音85dB","低騒85","")</f>
        <v>低騒85</v>
      </c>
      <c r="CE65" s="1007">
        <f>IF(CD65="",0,2)</f>
        <v>2</v>
      </c>
    </row>
    <row r="66" spans="2:118" ht="12" customHeight="1">
      <c r="B66" s="1292"/>
      <c r="C66" s="3650" t="str">
        <f>IF(OR(B2=0,K6="非常用"),"",IF(K6="常用連","系統連係運転",""))</f>
        <v/>
      </c>
      <c r="D66" s="3594"/>
      <c r="E66" s="3594"/>
      <c r="F66" s="3594"/>
      <c r="G66" s="3594"/>
      <c r="H66" s="3594"/>
      <c r="I66" s="3594"/>
      <c r="J66" s="3595"/>
      <c r="K66" s="3222" t="str">
        <f>IF(OR(C66="",BH53=""),"",IF(Q10&gt;=3000," 高圧系統連係 必要 "," 低圧系統連係 必要 "))</f>
        <v/>
      </c>
      <c r="L66" s="3223"/>
      <c r="M66" s="3223"/>
      <c r="N66" s="3223"/>
      <c r="O66" s="3223"/>
      <c r="P66" s="3223"/>
      <c r="Q66" s="3223"/>
      <c r="R66" s="3223"/>
      <c r="S66" s="3223"/>
      <c r="T66" s="3223"/>
      <c r="U66" s="3223"/>
      <c r="V66" s="3223"/>
      <c r="W66" s="3223"/>
      <c r="X66" s="3223"/>
      <c r="Y66" s="3223"/>
      <c r="Z66" s="3223"/>
      <c r="AA66" s="3223"/>
      <c r="AB66" s="3223"/>
      <c r="AC66" s="3223"/>
      <c r="AD66" s="3224"/>
      <c r="AE66" s="3699"/>
      <c r="AF66" s="3700"/>
      <c r="AG66" s="3700"/>
      <c r="AH66" s="3700"/>
      <c r="AI66" s="3701"/>
      <c r="AJ66" s="3701"/>
      <c r="AK66" s="3702"/>
      <c r="AL66" s="2774" t="str">
        <f>IF(AL60="","","燃料消費量／h")</f>
        <v>燃料消費量／h</v>
      </c>
      <c r="AM66" s="2774"/>
      <c r="AN66" s="2774"/>
      <c r="AO66" s="2774"/>
      <c r="AP66" s="2774"/>
      <c r="AQ66" s="2774"/>
      <c r="AR66" s="2774"/>
      <c r="AS66" s="2775"/>
      <c r="AT66" s="3703" t="str">
        <f>IF(AL66="","",IF(BC66&lt;&gt;"",BC66,IF(LEFT(AC8,1)="デ"," ディーゼル軽油 "," 軽油")))</f>
        <v xml:space="preserve"> ディーゼル軽油 </v>
      </c>
      <c r="AU66" s="3704"/>
      <c r="AV66" s="3704"/>
      <c r="AW66" s="3704"/>
      <c r="AX66" s="3704"/>
      <c r="AY66" s="3704"/>
      <c r="AZ66" s="3704"/>
      <c r="BA66" s="3704"/>
      <c r="BB66" s="1291" t="s">
        <v>2359</v>
      </c>
      <c r="BC66" s="3705"/>
      <c r="BD66" s="3705"/>
      <c r="BE66" s="3705"/>
      <c r="BF66" s="3705"/>
      <c r="BG66" s="3705"/>
      <c r="BH66" s="3518">
        <f>IF(AL66="","",IF(AND(LEFT(AC8,1)="デ",LEFT(AT66,2)=" デ"),CD74,IF(AND(LEFT(AC8,1)="デ",LEFT(AT66,2)=" Ａ"),CD75,IF(AND(LEFT(AC8,1)="デ",LEFT(AT66,2)=" 軽"),CD76,IF(AND(LEFT(AC8,1)="ガ",LEFT(AT66,2)=" 軽"),CE76,IF(AND(LEFT(AC8,1)="ガ",LEFT(AT66,2)=" 天"),CE77,IF(AND(LEFT(AC8,1)="ガ",LEFT(AT66,2)=" 都"),CE78,"---")))))))</f>
        <v>56.246061018039335</v>
      </c>
      <c r="BI66" s="3697"/>
      <c r="BJ66" s="3697"/>
      <c r="BK66" s="3698" t="str">
        <f>IF(AL66="","",IF(OR(LEFT(AT66,2)=" デ",LEFT(AT66,2)=" Ａ",LEFT(AT66,2)=" 軽"),"L","Nm3"))</f>
        <v>L</v>
      </c>
      <c r="BL66" s="3698"/>
      <c r="BM66" s="3698"/>
      <c r="BN66" s="3682"/>
      <c r="BO66" s="3683"/>
      <c r="BP66" s="3683"/>
      <c r="BQ66" s="3684"/>
      <c r="BR66" s="3695"/>
      <c r="BS66" s="3695"/>
      <c r="BT66" s="3696"/>
      <c r="BU66" s="1290"/>
      <c r="BX66" s="1297" t="str">
        <f>IF(AI6="低騒音75dB","低騒75","")</f>
        <v/>
      </c>
      <c r="BY66" s="1007">
        <f>IF(BX66="",0,0)</f>
        <v>0</v>
      </c>
      <c r="BZ66" s="1297"/>
      <c r="CA66" s="1297" t="str">
        <f>IF(AI6="低騒音75dB","低騒75","")</f>
        <v/>
      </c>
      <c r="CB66" s="1007">
        <f>IF(CA66="",0,3)</f>
        <v>0</v>
      </c>
      <c r="CC66" s="1297"/>
      <c r="CD66" s="1297" t="str">
        <f>IF(AI6="低騒音75dB","低騒75","")</f>
        <v/>
      </c>
      <c r="CE66" s="1007">
        <f>IF(CD66="",0,3)</f>
        <v>0</v>
      </c>
    </row>
    <row r="67" spans="2:118" ht="12" customHeight="1">
      <c r="B67" s="1292"/>
      <c r="C67" s="3650" t="str">
        <f>IF(C66="","","系統連系盤")</f>
        <v/>
      </c>
      <c r="D67" s="3594"/>
      <c r="E67" s="3594"/>
      <c r="F67" s="3594"/>
      <c r="G67" s="3594"/>
      <c r="H67" s="3594"/>
      <c r="I67" s="3594"/>
      <c r="J67" s="3595"/>
      <c r="K67" s="3483" t="str">
        <f>IF(C67="","",IF(Q10&lt;=600," 低圧連係盤"," 高圧連係盤"))</f>
        <v/>
      </c>
      <c r="L67" s="3483"/>
      <c r="M67" s="3483"/>
      <c r="N67" s="3483"/>
      <c r="O67" s="3483"/>
      <c r="P67" s="3483"/>
      <c r="Q67" s="3483"/>
      <c r="R67" s="3483"/>
      <c r="S67" s="3483"/>
      <c r="T67" s="3483"/>
      <c r="U67" s="3483"/>
      <c r="V67" s="3483"/>
      <c r="W67" s="3483"/>
      <c r="X67" s="3483"/>
      <c r="Y67" s="3483"/>
      <c r="Z67" s="3483"/>
      <c r="AA67" s="3483"/>
      <c r="AB67" s="3278">
        <f>IF(B2=0,"",IF(C67="",0,IF(AI67&lt;&gt;"",AI67,IF(Q10&lt;=600,1000*INT(150*BM18^0.3),1000*INT(250*BM18^0.3)))))</f>
        <v>0</v>
      </c>
      <c r="AC67" s="3278"/>
      <c r="AD67" s="3278"/>
      <c r="AE67" s="3278"/>
      <c r="AF67" s="3278"/>
      <c r="AG67" s="3278"/>
      <c r="AH67" s="3278"/>
      <c r="AI67" s="3660"/>
      <c r="AJ67" s="3661"/>
      <c r="AK67" s="3662"/>
      <c r="AL67" s="3671" t="str">
        <f>IF(AL60="","",IF(OR(Z57&lt;&gt;"",AF57&lt;&gt;"",AO57&lt;&gt;""),"煙道・消音器",""))</f>
        <v/>
      </c>
      <c r="AM67" s="3672"/>
      <c r="AN67" s="3672"/>
      <c r="AO67" s="3672"/>
      <c r="AP67" s="3672"/>
      <c r="AQ67" s="3672"/>
      <c r="AR67" s="3672"/>
      <c r="AS67" s="3673"/>
      <c r="AT67" s="3222" t="str">
        <f>IF(Z57="煙道 要"," 煙道工事","")</f>
        <v/>
      </c>
      <c r="AU67" s="3223"/>
      <c r="AV67" s="3223"/>
      <c r="AW67" s="3223"/>
      <c r="AX67" s="3223"/>
      <c r="AY67" s="3223"/>
      <c r="AZ67" s="3223" t="str">
        <f>IF(AF57="","",IF(AND(AF57&lt;&gt;"",AO57&lt;&gt;""),"１次・2次 Silencer","1次 Silencer"))</f>
        <v/>
      </c>
      <c r="BA67" s="3223"/>
      <c r="BB67" s="3223"/>
      <c r="BC67" s="3223"/>
      <c r="BD67" s="3223"/>
      <c r="BE67" s="3223"/>
      <c r="BF67" s="3223"/>
      <c r="BG67" s="3223"/>
      <c r="BH67" s="3223"/>
      <c r="BI67" s="3223"/>
      <c r="BJ67" s="3224"/>
      <c r="BK67" s="3161">
        <f>IF(B2=0,"",IF(AL67="",0,IF(BR67&lt;&gt;"",BR67,1000*INT(100*BM18^0.25))))</f>
        <v>0</v>
      </c>
      <c r="BL67" s="3162"/>
      <c r="BM67" s="3162"/>
      <c r="BN67" s="3245"/>
      <c r="BO67" s="3245"/>
      <c r="BP67" s="3245"/>
      <c r="BQ67" s="3246"/>
      <c r="BR67" s="3660"/>
      <c r="BS67" s="3661"/>
      <c r="BT67" s="3662"/>
      <c r="BU67" s="1290"/>
      <c r="BX67" s="1297" t="str">
        <f>IF(Q10&lt;=600,"低圧","高圧")</f>
        <v>低圧</v>
      </c>
      <c r="BY67" s="1007">
        <f>IF(BX67="低圧",1,3)</f>
        <v>1</v>
      </c>
      <c r="BZ67" s="1297"/>
      <c r="CD67" s="1297" t="str">
        <f>IF(LEFT(AC8,1)="デ","",IF(AY8="単独排気方式(GE)","単独排気","エゼクタ"))</f>
        <v/>
      </c>
      <c r="CE67" s="1007">
        <f>IF(CD67="",0,IF(CD67="単独排気",0,2))</f>
        <v>0</v>
      </c>
    </row>
    <row r="68" spans="2:118" ht="12" customHeight="1">
      <c r="B68" s="1292"/>
      <c r="C68" s="3650" t="str">
        <f>IF(C60="","",IF(C66="","発電機連絡盤",""))</f>
        <v>発電機連絡盤</v>
      </c>
      <c r="D68" s="3594"/>
      <c r="E68" s="3594"/>
      <c r="F68" s="3594"/>
      <c r="G68" s="3594"/>
      <c r="H68" s="3594"/>
      <c r="I68" s="3594"/>
      <c r="J68" s="3595"/>
      <c r="K68" s="3483" t="str">
        <f>IF(C68="","",IF(Q10&lt;=600,"低圧動力盤内組込","高圧母線連絡盤"))</f>
        <v>低圧動力盤内組込</v>
      </c>
      <c r="L68" s="3483"/>
      <c r="M68" s="3483"/>
      <c r="N68" s="3483"/>
      <c r="O68" s="3483"/>
      <c r="P68" s="3483"/>
      <c r="Q68" s="3483"/>
      <c r="R68" s="3483"/>
      <c r="S68" s="3483"/>
      <c r="T68" s="3483"/>
      <c r="U68" s="3483"/>
      <c r="V68" s="3483"/>
      <c r="W68" s="3483"/>
      <c r="X68" s="3483"/>
      <c r="Y68" s="3483"/>
      <c r="Z68" s="3483"/>
      <c r="AA68" s="3483"/>
      <c r="AB68" s="3278">
        <f>IF(B2=0,"",IF(OR(C67&lt;&gt;"",K8="不要"),0,IF(AI68&lt;&gt;"",AI68,IF(Q10&lt;=600,1000*INT(50*BM18^0.3),1000*INT(180*BM18^0.3)))))</f>
        <v>262000</v>
      </c>
      <c r="AC68" s="3278"/>
      <c r="AD68" s="3278"/>
      <c r="AE68" s="3278"/>
      <c r="AF68" s="3278"/>
      <c r="AG68" s="3278"/>
      <c r="AH68" s="3278"/>
      <c r="AI68" s="3660"/>
      <c r="AJ68" s="3661"/>
      <c r="AK68" s="3662"/>
      <c r="AL68" s="3674" t="str">
        <f>IF(AL60="","",IF(AX57="","","OST設置工事"))</f>
        <v>OST設置工事</v>
      </c>
      <c r="AM68" s="3674"/>
      <c r="AN68" s="3674"/>
      <c r="AO68" s="3674"/>
      <c r="AP68" s="3674"/>
      <c r="AQ68" s="3674"/>
      <c r="AR68" s="3674"/>
      <c r="AS68" s="3675"/>
      <c r="AT68" s="3483" t="str">
        <f>IF(AL68="",""," OST/Oil/通気/BlowOver配管")</f>
        <v xml:space="preserve"> OST/Oil/通気/BlowOver配管</v>
      </c>
      <c r="AU68" s="3483"/>
      <c r="AV68" s="3483"/>
      <c r="AW68" s="3483"/>
      <c r="AX68" s="3483"/>
      <c r="AY68" s="3483"/>
      <c r="AZ68" s="3483"/>
      <c r="BA68" s="3483"/>
      <c r="BB68" s="3483"/>
      <c r="BC68" s="3483"/>
      <c r="BD68" s="3483"/>
      <c r="BE68" s="3483"/>
      <c r="BF68" s="3483"/>
      <c r="BG68" s="3483"/>
      <c r="BH68" s="3483"/>
      <c r="BI68" s="3483"/>
      <c r="BJ68" s="3483"/>
      <c r="BK68" s="3161">
        <f>IF(AL68="","",IF(BR68&lt;&gt;"",BR68,1000*INT(80*BM18^0.25)))</f>
        <v>318000</v>
      </c>
      <c r="BL68" s="3162"/>
      <c r="BM68" s="3162"/>
      <c r="BN68" s="3245"/>
      <c r="BO68" s="3245"/>
      <c r="BP68" s="3245"/>
      <c r="BQ68" s="3246"/>
      <c r="BR68" s="3660"/>
      <c r="BS68" s="3661"/>
      <c r="BT68" s="3662"/>
      <c r="BU68" s="1290"/>
      <c r="CC68" s="1296"/>
    </row>
    <row r="69" spans="2:118" ht="12" customHeight="1">
      <c r="B69" s="1292"/>
      <c r="C69" s="2778"/>
      <c r="D69" s="2779"/>
      <c r="E69" s="2779"/>
      <c r="F69" s="2779"/>
      <c r="G69" s="2779"/>
      <c r="H69" s="2779"/>
      <c r="I69" s="2779"/>
      <c r="J69" s="2779"/>
      <c r="K69" s="2779"/>
      <c r="L69" s="2779"/>
      <c r="M69" s="2779"/>
      <c r="N69" s="2779"/>
      <c r="O69" s="2779"/>
      <c r="P69" s="2779"/>
      <c r="Q69" s="2779"/>
      <c r="R69" s="2779"/>
      <c r="S69" s="2779"/>
      <c r="T69" s="2779"/>
      <c r="U69" s="2779"/>
      <c r="V69" s="2779"/>
      <c r="W69" s="2779"/>
      <c r="X69" s="2779"/>
      <c r="Y69" s="2779"/>
      <c r="Z69" s="2779"/>
      <c r="AA69" s="2779"/>
      <c r="AB69" s="2779"/>
      <c r="AC69" s="2779"/>
      <c r="AD69" s="2779"/>
      <c r="AE69" s="2779"/>
      <c r="AF69" s="2779"/>
      <c r="AG69" s="2779"/>
      <c r="AH69" s="2779"/>
      <c r="AI69" s="2779"/>
      <c r="AJ69" s="2779"/>
      <c r="AK69" s="2905"/>
      <c r="AL69" s="3670" t="str">
        <f>IF(AL60="","",IF(BD57="","","地下OT設置工事"))</f>
        <v>地下OT設置工事</v>
      </c>
      <c r="AM69" s="3667"/>
      <c r="AN69" s="3667"/>
      <c r="AO69" s="3667"/>
      <c r="AP69" s="3667"/>
      <c r="AQ69" s="3667"/>
      <c r="AR69" s="3667"/>
      <c r="AS69" s="3668"/>
      <c r="AT69" s="3483" t="str">
        <f>IF(AL69="",""," 地下OT/OGP配管工事")</f>
        <v xml:space="preserve"> 地下OT/OGP配管工事</v>
      </c>
      <c r="AU69" s="3483"/>
      <c r="AV69" s="3483"/>
      <c r="AW69" s="3483"/>
      <c r="AX69" s="3483"/>
      <c r="AY69" s="3483"/>
      <c r="AZ69" s="3483"/>
      <c r="BA69" s="3483"/>
      <c r="BB69" s="3483"/>
      <c r="BC69" s="3483"/>
      <c r="BD69" s="3483"/>
      <c r="BE69" s="3483"/>
      <c r="BF69" s="3483"/>
      <c r="BG69" s="3483"/>
      <c r="BH69" s="3483"/>
      <c r="BI69" s="3483"/>
      <c r="BJ69" s="3483"/>
      <c r="BK69" s="3161">
        <f>IF(B2=0,"",IF(AL69="",0,IF(BR69&lt;&gt;"",BR69,1000*INT(600*BM18^0.25))))</f>
        <v>2385000</v>
      </c>
      <c r="BL69" s="3162"/>
      <c r="BM69" s="3162"/>
      <c r="BN69" s="3162"/>
      <c r="BO69" s="3162"/>
      <c r="BP69" s="3162"/>
      <c r="BQ69" s="3163"/>
      <c r="BR69" s="3660"/>
      <c r="BS69" s="3661"/>
      <c r="BT69" s="3662"/>
      <c r="BU69" s="1290"/>
      <c r="BY69" s="1296" t="s">
        <v>2980</v>
      </c>
      <c r="BZ69" s="3665" t="s">
        <v>2979</v>
      </c>
      <c r="CA69" s="3665"/>
      <c r="CB69" s="942"/>
      <c r="CC69" s="942"/>
    </row>
    <row r="70" spans="2:118" ht="12" customHeight="1">
      <c r="B70" s="1292"/>
      <c r="C70" s="926"/>
      <c r="D70" s="926"/>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6"/>
      <c r="AC70" s="926"/>
      <c r="AD70" s="926"/>
      <c r="AE70" s="926"/>
      <c r="AF70" s="926"/>
      <c r="AG70" s="926"/>
      <c r="AH70" s="926"/>
      <c r="AI70" s="926"/>
      <c r="AJ70" s="926"/>
      <c r="AK70" s="926"/>
      <c r="AL70" s="3666" t="str">
        <f>IF(LEFT(AC8,1)="デ","",IF(Y6="屋内型","給気ダクト工事",""))</f>
        <v/>
      </c>
      <c r="AM70" s="3667"/>
      <c r="AN70" s="3667"/>
      <c r="AO70" s="3667"/>
      <c r="AP70" s="3667"/>
      <c r="AQ70" s="3667"/>
      <c r="AR70" s="3667"/>
      <c r="AS70" s="3668"/>
      <c r="AT70" s="3483" t="str">
        <f>IF(AL70="",""," 給気ダクト、給気ファン工事")</f>
        <v/>
      </c>
      <c r="AU70" s="3483"/>
      <c r="AV70" s="3483"/>
      <c r="AW70" s="3483"/>
      <c r="AX70" s="3483"/>
      <c r="AY70" s="3483"/>
      <c r="AZ70" s="3483"/>
      <c r="BA70" s="3483"/>
      <c r="BB70" s="3483"/>
      <c r="BC70" s="3483"/>
      <c r="BD70" s="3483"/>
      <c r="BE70" s="3483"/>
      <c r="BF70" s="3483"/>
      <c r="BG70" s="3483"/>
      <c r="BH70" s="3483"/>
      <c r="BI70" s="3483"/>
      <c r="BJ70" s="3483"/>
      <c r="BK70" s="3161">
        <f>IF(B2=0,"",IF(AL70="",0,IF(BR70&lt;&gt;"",BR70,1000*INT(100*BM18^0.25))))</f>
        <v>0</v>
      </c>
      <c r="BL70" s="3162"/>
      <c r="BM70" s="3162"/>
      <c r="BN70" s="3162"/>
      <c r="BO70" s="3162"/>
      <c r="BP70" s="3162"/>
      <c r="BQ70" s="3163"/>
      <c r="BR70" s="3660"/>
      <c r="BS70" s="3661"/>
      <c r="BT70" s="3662"/>
      <c r="BU70" s="1290"/>
      <c r="BY70" s="1296"/>
      <c r="BZ70" s="1296"/>
      <c r="CA70" s="1296"/>
      <c r="CB70" s="942"/>
      <c r="CC70" s="942"/>
    </row>
    <row r="71" spans="2:118" ht="12" customHeight="1">
      <c r="B71" s="1292"/>
      <c r="C71" s="926"/>
      <c r="D71" s="926"/>
      <c r="E71" s="926"/>
      <c r="F71" s="926"/>
      <c r="G71" s="926"/>
      <c r="H71" s="926"/>
      <c r="I71" s="926"/>
      <c r="J71" s="926"/>
      <c r="K71" s="926"/>
      <c r="L71" s="926"/>
      <c r="M71" s="926"/>
      <c r="N71" s="926"/>
      <c r="O71" s="926"/>
      <c r="P71" s="926"/>
      <c r="Q71" s="926"/>
      <c r="R71" s="926"/>
      <c r="S71" s="926"/>
      <c r="T71" s="926"/>
      <c r="U71" s="926"/>
      <c r="V71" s="926"/>
      <c r="W71" s="926"/>
      <c r="X71" s="926"/>
      <c r="Y71" s="926"/>
      <c r="Z71" s="926"/>
      <c r="AA71" s="939" t="str">
        <f>IF(C60="","","発電機計")</f>
        <v>発電機計</v>
      </c>
      <c r="AB71" s="3278">
        <f>IF(C60="","",INT(AE63*BM18*1000))</f>
        <v>1550000</v>
      </c>
      <c r="AC71" s="3278"/>
      <c r="AD71" s="3278"/>
      <c r="AE71" s="3278"/>
      <c r="AF71" s="3278"/>
      <c r="AG71" s="3278"/>
      <c r="AH71" s="3278"/>
      <c r="AI71" s="926"/>
      <c r="AJ71" s="926"/>
      <c r="AK71" s="926"/>
      <c r="AL71" s="926"/>
      <c r="AM71" s="926"/>
      <c r="AN71" s="926"/>
      <c r="AO71" s="926"/>
      <c r="AP71" s="926"/>
      <c r="AQ71" s="926"/>
      <c r="AR71" s="926"/>
      <c r="AS71" s="926"/>
      <c r="AT71" s="926"/>
      <c r="AU71" s="926"/>
      <c r="AV71" s="926"/>
      <c r="AW71" s="926"/>
      <c r="AX71" s="926"/>
      <c r="AY71" s="926"/>
      <c r="AZ71" s="926"/>
      <c r="BA71" s="926"/>
      <c r="BB71" s="926"/>
      <c r="BC71" s="926"/>
      <c r="BD71" s="926"/>
      <c r="BE71" s="926"/>
      <c r="BF71" s="926"/>
      <c r="BG71" s="926"/>
      <c r="BH71" s="926"/>
      <c r="BI71" s="926"/>
      <c r="BJ71" s="939" t="str">
        <f>IF(AL60="","","エンジン計")</f>
        <v>エンジン計</v>
      </c>
      <c r="BK71" s="3278">
        <f>IF(AL60="","",1000*INT(BN63*BM18))</f>
        <v>2545000</v>
      </c>
      <c r="BL71" s="3278"/>
      <c r="BM71" s="3278"/>
      <c r="BN71" s="3278"/>
      <c r="BO71" s="3278"/>
      <c r="BP71" s="3278"/>
      <c r="BQ71" s="3278"/>
      <c r="BR71" s="926"/>
      <c r="BS71" s="926"/>
      <c r="BT71" s="926"/>
      <c r="BU71" s="1290"/>
      <c r="BX71" s="1274" t="s">
        <v>2978</v>
      </c>
      <c r="BY71" s="1007">
        <f>0.006566*BM18+31.8687</f>
        <v>33.510199999999998</v>
      </c>
      <c r="BZ71" s="3669">
        <f>0.00261*BM18+19.3478</f>
        <v>20.000299999999999</v>
      </c>
      <c r="CA71" s="3669"/>
    </row>
    <row r="72" spans="2:118" ht="12" customHeight="1">
      <c r="B72" s="1292"/>
      <c r="C72" s="3651" t="str">
        <f>IF(C53="","","付帯工事費")</f>
        <v>付帯工事費</v>
      </c>
      <c r="D72" s="3652"/>
      <c r="E72" s="3652"/>
      <c r="F72" s="3652"/>
      <c r="G72" s="3652"/>
      <c r="H72" s="3652"/>
      <c r="I72" s="3652"/>
      <c r="J72" s="3653"/>
      <c r="K72" s="926"/>
      <c r="L72" s="926"/>
      <c r="M72" s="926"/>
      <c r="N72" s="926"/>
      <c r="O72" s="926"/>
      <c r="P72" s="926"/>
      <c r="Q72" s="926"/>
      <c r="R72" s="926"/>
      <c r="S72" s="926"/>
      <c r="T72" s="926"/>
      <c r="U72" s="926"/>
      <c r="V72" s="926"/>
      <c r="W72" s="926"/>
      <c r="X72" s="926"/>
      <c r="Y72" s="926"/>
      <c r="Z72" s="926"/>
      <c r="AA72" s="926"/>
      <c r="AB72" s="926"/>
      <c r="AC72" s="926"/>
      <c r="AD72" s="926"/>
      <c r="AE72" s="926"/>
      <c r="AF72" s="926"/>
      <c r="AG72" s="926"/>
      <c r="AH72" s="926"/>
      <c r="AI72" s="926"/>
      <c r="AJ72" s="926"/>
      <c r="AK72" s="926"/>
      <c r="AL72" s="3654" t="str">
        <f>IF(C72="","","集計表")</f>
        <v>集計表</v>
      </c>
      <c r="AM72" s="3655"/>
      <c r="AN72" s="3655"/>
      <c r="AO72" s="3655"/>
      <c r="AP72" s="3656"/>
      <c r="AQ72" s="926"/>
      <c r="AR72" s="926"/>
      <c r="AS72" s="926"/>
      <c r="AT72" s="926"/>
      <c r="AU72" s="926"/>
      <c r="AV72" s="926"/>
      <c r="AW72" s="926"/>
      <c r="AX72" s="926"/>
      <c r="AY72" s="926"/>
      <c r="AZ72" s="926"/>
      <c r="BA72" s="926"/>
      <c r="BB72" s="926"/>
      <c r="BC72" s="926"/>
      <c r="BD72" s="926"/>
      <c r="BE72" s="926"/>
      <c r="BF72" s="926"/>
      <c r="BG72" s="926"/>
      <c r="BH72" s="926"/>
      <c r="BI72" s="926"/>
      <c r="BJ72" s="926"/>
      <c r="BK72" s="926"/>
      <c r="BL72" s="926"/>
      <c r="BM72" s="926"/>
      <c r="BN72" s="926"/>
      <c r="BO72" s="926"/>
      <c r="BP72" s="939"/>
      <c r="BQ72" s="926"/>
      <c r="BR72" s="926"/>
      <c r="BS72" s="926"/>
      <c r="BT72" s="926"/>
      <c r="BU72" s="1290"/>
      <c r="CD72" s="3663" t="s">
        <v>2977</v>
      </c>
      <c r="CE72" s="3663" t="s">
        <v>2976</v>
      </c>
    </row>
    <row r="73" spans="2:118" ht="3" customHeight="1">
      <c r="B73" s="1292"/>
      <c r="C73" s="926"/>
      <c r="D73" s="926"/>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c r="AG73" s="926"/>
      <c r="AH73" s="926"/>
      <c r="AI73" s="926"/>
      <c r="AJ73" s="926"/>
      <c r="AK73" s="926"/>
      <c r="AL73" s="926"/>
      <c r="AM73" s="926"/>
      <c r="AN73" s="926"/>
      <c r="AO73" s="926"/>
      <c r="AP73" s="926"/>
      <c r="AQ73" s="926"/>
      <c r="AR73" s="926"/>
      <c r="AS73" s="926"/>
      <c r="AT73" s="926"/>
      <c r="AU73" s="926"/>
      <c r="AV73" s="926"/>
      <c r="AW73" s="926"/>
      <c r="AX73" s="926"/>
      <c r="AY73" s="926"/>
      <c r="AZ73" s="926"/>
      <c r="BA73" s="926"/>
      <c r="BB73" s="926"/>
      <c r="BC73" s="926"/>
      <c r="BD73" s="926"/>
      <c r="BE73" s="926"/>
      <c r="BF73" s="926"/>
      <c r="BG73" s="926"/>
      <c r="BH73" s="926"/>
      <c r="BI73" s="926"/>
      <c r="BJ73" s="926"/>
      <c r="BK73" s="926"/>
      <c r="BL73" s="926"/>
      <c r="BM73" s="926"/>
      <c r="BN73" s="926"/>
      <c r="BO73" s="926"/>
      <c r="BP73" s="926"/>
      <c r="BQ73" s="926"/>
      <c r="BR73" s="926"/>
      <c r="BS73" s="926"/>
      <c r="BT73" s="926"/>
      <c r="BU73" s="1290"/>
      <c r="CD73" s="3664"/>
      <c r="CE73" s="3664"/>
    </row>
    <row r="74" spans="2:118" ht="12" customHeight="1">
      <c r="B74" s="1292"/>
      <c r="C74" s="2778" t="s">
        <v>2975</v>
      </c>
      <c r="D74" s="2779"/>
      <c r="E74" s="2779"/>
      <c r="F74" s="2779"/>
      <c r="G74" s="2779"/>
      <c r="H74" s="2779"/>
      <c r="I74" s="2779"/>
      <c r="J74" s="2905"/>
      <c r="K74" s="3007" t="s">
        <v>2974</v>
      </c>
      <c r="L74" s="3007"/>
      <c r="M74" s="3007"/>
      <c r="N74" s="3007"/>
      <c r="O74" s="3007"/>
      <c r="P74" s="3007"/>
      <c r="Q74" s="3007"/>
      <c r="R74" s="3007"/>
      <c r="S74" s="3007"/>
      <c r="T74" s="3007"/>
      <c r="U74" s="3007"/>
      <c r="V74" s="3007"/>
      <c r="W74" s="3657" t="s">
        <v>2973</v>
      </c>
      <c r="X74" s="3658"/>
      <c r="Y74" s="3658"/>
      <c r="Z74" s="3658"/>
      <c r="AA74" s="3658"/>
      <c r="AB74" s="3658"/>
      <c r="AC74" s="3659"/>
      <c r="AD74" s="928" t="s">
        <v>2359</v>
      </c>
      <c r="AE74" s="3657" t="s">
        <v>2972</v>
      </c>
      <c r="AF74" s="3658"/>
      <c r="AG74" s="3658"/>
      <c r="AH74" s="3658"/>
      <c r="AI74" s="3658"/>
      <c r="AJ74" s="3658"/>
      <c r="AK74" s="3659"/>
      <c r="AL74" s="2779" t="s">
        <v>2975</v>
      </c>
      <c r="AM74" s="2779"/>
      <c r="AN74" s="2779"/>
      <c r="AO74" s="2779"/>
      <c r="AP74" s="2779"/>
      <c r="AQ74" s="2779"/>
      <c r="AR74" s="2779"/>
      <c r="AS74" s="2905"/>
      <c r="AT74" s="3007" t="s">
        <v>2974</v>
      </c>
      <c r="AU74" s="3007"/>
      <c r="AV74" s="3007"/>
      <c r="AW74" s="3007"/>
      <c r="AX74" s="3007"/>
      <c r="AY74" s="3007"/>
      <c r="AZ74" s="3007"/>
      <c r="BA74" s="3007"/>
      <c r="BB74" s="3007"/>
      <c r="BC74" s="3007"/>
      <c r="BD74" s="3007"/>
      <c r="BE74" s="3007"/>
      <c r="BF74" s="3657" t="s">
        <v>2973</v>
      </c>
      <c r="BG74" s="3658"/>
      <c r="BH74" s="3658"/>
      <c r="BI74" s="3658"/>
      <c r="BJ74" s="3658"/>
      <c r="BK74" s="3658"/>
      <c r="BL74" s="3659"/>
      <c r="BM74" s="928" t="s">
        <v>2359</v>
      </c>
      <c r="BN74" s="3657" t="s">
        <v>2972</v>
      </c>
      <c r="BO74" s="3658"/>
      <c r="BP74" s="3658"/>
      <c r="BQ74" s="3658"/>
      <c r="BR74" s="3658"/>
      <c r="BS74" s="3658"/>
      <c r="BT74" s="3659"/>
      <c r="BU74" s="1290"/>
      <c r="BX74" s="1026" t="s">
        <v>2971</v>
      </c>
      <c r="CA74" s="1293">
        <v>38.200000000000003</v>
      </c>
      <c r="CB74" s="916" t="s">
        <v>2968</v>
      </c>
      <c r="CD74" s="1016">
        <f>$BM$18*0.8*360/CA74/$BY$71</f>
        <v>56.246061018039335</v>
      </c>
      <c r="CE74" s="1016">
        <f>$BM$18*0.8*360/CA74/$BZ$71</f>
        <v>94.239424104973509</v>
      </c>
      <c r="DN74" s="1004"/>
    </row>
    <row r="75" spans="2:118" ht="12" customHeight="1">
      <c r="B75" s="1292"/>
      <c r="C75" s="3650" t="str">
        <f>IF(C72="","","配管配線工事")</f>
        <v>配管配線工事</v>
      </c>
      <c r="D75" s="3594"/>
      <c r="E75" s="3594"/>
      <c r="F75" s="3594"/>
      <c r="G75" s="3594"/>
      <c r="H75" s="3594"/>
      <c r="I75" s="3594"/>
      <c r="J75" s="3595"/>
      <c r="K75" s="3483" t="str">
        <f>IF(C75="","",IF(Q10&lt;=600," 低圧配管配線"," 高圧配管配線"))</f>
        <v xml:space="preserve"> 低圧配管配線</v>
      </c>
      <c r="L75" s="3483"/>
      <c r="M75" s="3483"/>
      <c r="N75" s="3483"/>
      <c r="O75" s="3483"/>
      <c r="P75" s="3483"/>
      <c r="Q75" s="3483"/>
      <c r="R75" s="3483"/>
      <c r="S75" s="3483"/>
      <c r="T75" s="3483"/>
      <c r="U75" s="3483"/>
      <c r="V75" s="3483"/>
      <c r="W75" s="3155">
        <f>IF(B2=0,"",IF(C75="",0,IF(AE75&lt;&gt;"",AE75,IF(Q10&lt;=600,1000*INT(20000*BM18^0.5/1000),1000*INT(30000*BM18^0.5/1000)))))</f>
        <v>316000</v>
      </c>
      <c r="X75" s="3156"/>
      <c r="Y75" s="3156"/>
      <c r="Z75" s="3156"/>
      <c r="AA75" s="3156"/>
      <c r="AB75" s="3156"/>
      <c r="AC75" s="3156"/>
      <c r="AD75" s="1291" t="s">
        <v>2359</v>
      </c>
      <c r="AE75" s="3190"/>
      <c r="AF75" s="3191"/>
      <c r="AG75" s="3191"/>
      <c r="AH75" s="3191"/>
      <c r="AI75" s="3191"/>
      <c r="AJ75" s="3191"/>
      <c r="AK75" s="3192"/>
      <c r="AL75" s="3594" t="str">
        <f>IF(AL72="","","発電機ユニット")</f>
        <v>発電機ユニット</v>
      </c>
      <c r="AM75" s="3594"/>
      <c r="AN75" s="3594"/>
      <c r="AO75" s="3594"/>
      <c r="AP75" s="3594"/>
      <c r="AQ75" s="3594"/>
      <c r="AR75" s="3594"/>
      <c r="AS75" s="3595"/>
      <c r="AT75" s="3483" t="str">
        <f>IF(AL75="",""," 発電機＋エンジン")</f>
        <v xml:space="preserve"> 発電機＋エンジン</v>
      </c>
      <c r="AU75" s="3483"/>
      <c r="AV75" s="3483"/>
      <c r="AW75" s="3483"/>
      <c r="AX75" s="3483"/>
      <c r="AY75" s="3483"/>
      <c r="AZ75" s="3483"/>
      <c r="BA75" s="3483"/>
      <c r="BB75" s="3483"/>
      <c r="BC75" s="3483"/>
      <c r="BD75" s="3483"/>
      <c r="BE75" s="3483"/>
      <c r="BF75" s="3155">
        <f>IF(B2=0,"",IF(OR(AL75="",K8="不要"),0,IF(BN75&lt;&gt;"",BN75,AB71+BK71)))</f>
        <v>4095000</v>
      </c>
      <c r="BG75" s="3156"/>
      <c r="BH75" s="3156"/>
      <c r="BI75" s="3156"/>
      <c r="BJ75" s="3156"/>
      <c r="BK75" s="3156"/>
      <c r="BL75" s="3157"/>
      <c r="BM75" s="1291" t="s">
        <v>2359</v>
      </c>
      <c r="BN75" s="3636"/>
      <c r="BO75" s="3637"/>
      <c r="BP75" s="3637"/>
      <c r="BQ75" s="3637"/>
      <c r="BR75" s="3637"/>
      <c r="BS75" s="3637"/>
      <c r="BT75" s="3638"/>
      <c r="BU75" s="1290"/>
      <c r="BX75" s="1026" t="s">
        <v>2970</v>
      </c>
      <c r="BY75" s="1295"/>
      <c r="BZ75" s="1295"/>
      <c r="CA75" s="1293">
        <v>39.1</v>
      </c>
      <c r="CB75" s="916" t="s">
        <v>2968</v>
      </c>
      <c r="CD75" s="1016">
        <f>$BM$18*0.8*360/CA75/$BY$71</f>
        <v>54.951394651895207</v>
      </c>
      <c r="CE75" s="1016">
        <f>$BM$18*0.8*360/CA75/$BZ$71</f>
        <v>92.070230199743932</v>
      </c>
      <c r="DM75" s="1274"/>
      <c r="DN75" s="1294"/>
    </row>
    <row r="76" spans="2:118" ht="12" customHeight="1">
      <c r="B76" s="1292"/>
      <c r="C76" s="3650" t="str">
        <f>IF(C72="","","基礎工事")</f>
        <v>基礎工事</v>
      </c>
      <c r="D76" s="3594"/>
      <c r="E76" s="3594"/>
      <c r="F76" s="3594"/>
      <c r="G76" s="3594"/>
      <c r="H76" s="3594"/>
      <c r="I76" s="3594"/>
      <c r="J76" s="3595"/>
      <c r="K76" s="3483" t="str">
        <f>IF(C76="",""," コンクリート基礎")</f>
        <v xml:space="preserve"> コンクリート基礎</v>
      </c>
      <c r="L76" s="3483"/>
      <c r="M76" s="3483"/>
      <c r="N76" s="3483"/>
      <c r="O76" s="3483"/>
      <c r="P76" s="3483"/>
      <c r="Q76" s="3483"/>
      <c r="R76" s="3483"/>
      <c r="S76" s="3483"/>
      <c r="T76" s="3483"/>
      <c r="U76" s="3483"/>
      <c r="V76" s="3483"/>
      <c r="W76" s="3155">
        <f>IF(B2=0,"",IF(AE76&lt;&gt;"",AE76,IF(OR(C76="",K8="不要"),0,1000*INT(100000*2*VLOOKUP(CF15,発電機質量,CI14,FALSE)/2500))))</f>
        <v>269000</v>
      </c>
      <c r="X76" s="3156"/>
      <c r="Y76" s="3156"/>
      <c r="Z76" s="3156"/>
      <c r="AA76" s="3156"/>
      <c r="AB76" s="3156"/>
      <c r="AC76" s="3156"/>
      <c r="AD76" s="1291" t="s">
        <v>2359</v>
      </c>
      <c r="AE76" s="3190"/>
      <c r="AF76" s="3191"/>
      <c r="AG76" s="3191"/>
      <c r="AH76" s="3191"/>
      <c r="AI76" s="3191"/>
      <c r="AJ76" s="3191"/>
      <c r="AK76" s="3192"/>
      <c r="AL76" s="2774" t="str">
        <f>IF(AND(AL72&lt;&gt;"",OR(AL67&lt;&gt;"",AL68&lt;&gt;"")),"エンジン付帯工事","")</f>
        <v>エンジン付帯工事</v>
      </c>
      <c r="AM76" s="2774"/>
      <c r="AN76" s="2774"/>
      <c r="AO76" s="2774"/>
      <c r="AP76" s="2774"/>
      <c r="AQ76" s="2774"/>
      <c r="AR76" s="2774"/>
      <c r="AS76" s="2775"/>
      <c r="AT76" s="3483" t="str">
        <f>IF(AL76="",""," 煙道・OST 設置工事")</f>
        <v xml:space="preserve"> 煙道・OST 設置工事</v>
      </c>
      <c r="AU76" s="3483"/>
      <c r="AV76" s="3483"/>
      <c r="AW76" s="3483"/>
      <c r="AX76" s="3483"/>
      <c r="AY76" s="3483"/>
      <c r="AZ76" s="3483"/>
      <c r="BA76" s="3483"/>
      <c r="BB76" s="3483"/>
      <c r="BC76" s="3483"/>
      <c r="BD76" s="3483"/>
      <c r="BE76" s="3483"/>
      <c r="BF76" s="3155">
        <f>IF(B2=0,"",IF(AL76="",0,IF(BN76&lt;&gt;"",BN76,BK67+BK68)))</f>
        <v>318000</v>
      </c>
      <c r="BG76" s="3156"/>
      <c r="BH76" s="3156"/>
      <c r="BI76" s="3156"/>
      <c r="BJ76" s="3156"/>
      <c r="BK76" s="3156"/>
      <c r="BL76" s="3157"/>
      <c r="BM76" s="1291" t="s">
        <v>2359</v>
      </c>
      <c r="BN76" s="3636"/>
      <c r="BO76" s="3637"/>
      <c r="BP76" s="3637"/>
      <c r="BQ76" s="3637"/>
      <c r="BR76" s="3637"/>
      <c r="BS76" s="3637"/>
      <c r="BT76" s="3638"/>
      <c r="BU76" s="1290"/>
      <c r="BX76" s="1026" t="s">
        <v>2969</v>
      </c>
      <c r="CA76" s="1293">
        <v>34.1</v>
      </c>
      <c r="CB76" s="916" t="s">
        <v>2968</v>
      </c>
      <c r="CD76" s="1016">
        <f>$BM$18*0.8*360/CA76/$BY$71</f>
        <v>63.008783897041134</v>
      </c>
      <c r="CE76" s="1016">
        <f>$BM$18*0.8*360/CA76/$BZ$71</f>
        <v>105.57026395337209</v>
      </c>
      <c r="DM76" s="1274"/>
      <c r="DN76" s="1294"/>
    </row>
    <row r="77" spans="2:118" ht="11.25" customHeight="1">
      <c r="B77" s="1292"/>
      <c r="C77" s="3615" t="str">
        <f>IF(C72="","","揚重・運搬費")</f>
        <v>揚重・運搬費</v>
      </c>
      <c r="D77" s="3616"/>
      <c r="E77" s="3616"/>
      <c r="F77" s="3616"/>
      <c r="G77" s="3616"/>
      <c r="H77" s="3616"/>
      <c r="I77" s="3616"/>
      <c r="J77" s="3617"/>
      <c r="K77" s="3621" t="str">
        <f>IF(OR(C77="",K8="不要"),""," 全体質量："&amp;VLOOKUP(CF15,発電機質量,CI14,FALSE)&amp;" ton")</f>
        <v xml:space="preserve"> 全体質量：3.37 ton</v>
      </c>
      <c r="L77" s="3622"/>
      <c r="M77" s="3622"/>
      <c r="N77" s="3622"/>
      <c r="O77" s="3622"/>
      <c r="P77" s="3622"/>
      <c r="Q77" s="3622"/>
      <c r="R77" s="3622"/>
      <c r="S77" s="3622"/>
      <c r="T77" s="3622"/>
      <c r="U77" s="3622"/>
      <c r="V77" s="3623"/>
      <c r="W77" s="3624">
        <f>IF(B2=0,"",IF(OR(C77="",K8="不要"),0,IF(AE77&lt;&gt;"",AE77,1000*INT(100+VLOOKUP(CF15,発電機質量,CI14,FALSE)*60*(1.1*(1+ABS(Q78)/12))))))</f>
        <v>336000</v>
      </c>
      <c r="X77" s="3625"/>
      <c r="Y77" s="3625"/>
      <c r="Z77" s="3625"/>
      <c r="AA77" s="3625"/>
      <c r="AB77" s="3625"/>
      <c r="AC77" s="3625"/>
      <c r="AD77" s="3628" t="s">
        <v>2359</v>
      </c>
      <c r="AE77" s="3630"/>
      <c r="AF77" s="3631"/>
      <c r="AG77" s="3631"/>
      <c r="AH77" s="3631"/>
      <c r="AI77" s="3631"/>
      <c r="AJ77" s="3631"/>
      <c r="AK77" s="3632"/>
      <c r="AL77" s="2774" t="str">
        <f>IF(AL69="","","地下OT設置工事")</f>
        <v>地下OT設置工事</v>
      </c>
      <c r="AM77" s="2774"/>
      <c r="AN77" s="2774"/>
      <c r="AO77" s="2774"/>
      <c r="AP77" s="2774"/>
      <c r="AQ77" s="2774"/>
      <c r="AR77" s="2774"/>
      <c r="AS77" s="2775"/>
      <c r="AT77" s="3222" t="str">
        <f>IF(AL77="",""," OT/OGP 配管工事")</f>
        <v xml:space="preserve"> OT/OGP 配管工事</v>
      </c>
      <c r="AU77" s="3223"/>
      <c r="AV77" s="3223"/>
      <c r="AW77" s="3223"/>
      <c r="AX77" s="3223"/>
      <c r="AY77" s="3223"/>
      <c r="AZ77" s="3223"/>
      <c r="BA77" s="3223"/>
      <c r="BB77" s="3223"/>
      <c r="BC77" s="3223"/>
      <c r="BD77" s="3223"/>
      <c r="BE77" s="3224"/>
      <c r="BF77" s="3155">
        <f>IF(B2=0,"",IF(AL77="",0,IF(BN77&lt;&gt;"",BN77,BK69)))</f>
        <v>2385000</v>
      </c>
      <c r="BG77" s="3156"/>
      <c r="BH77" s="3156"/>
      <c r="BI77" s="3156"/>
      <c r="BJ77" s="3156"/>
      <c r="BK77" s="3156"/>
      <c r="BL77" s="3157"/>
      <c r="BM77" s="1291" t="s">
        <v>2359</v>
      </c>
      <c r="BN77" s="3636"/>
      <c r="BO77" s="3637"/>
      <c r="BP77" s="3637"/>
      <c r="BQ77" s="3637"/>
      <c r="BR77" s="3637"/>
      <c r="BS77" s="3637"/>
      <c r="BT77" s="3638"/>
      <c r="BU77" s="1290"/>
      <c r="BX77" s="1026" t="s">
        <v>2967</v>
      </c>
      <c r="CA77" s="1293">
        <v>40.9</v>
      </c>
      <c r="CB77" s="916" t="s">
        <v>2965</v>
      </c>
      <c r="CD77" s="1016">
        <f>$BM$18*0.8*360/CA77/$BY$71</f>
        <v>52.532995865259231</v>
      </c>
      <c r="CE77" s="1016">
        <f>$BM$18*0.8*360/CA77/$BZ$71</f>
        <v>88.018239628606068</v>
      </c>
      <c r="DM77" s="1274"/>
      <c r="DN77" s="1294"/>
    </row>
    <row r="78" spans="2:118" ht="11.25" customHeight="1">
      <c r="B78" s="1292"/>
      <c r="C78" s="3618"/>
      <c r="D78" s="3619"/>
      <c r="E78" s="3619"/>
      <c r="F78" s="3619"/>
      <c r="G78" s="3619"/>
      <c r="H78" s="3619"/>
      <c r="I78" s="3619"/>
      <c r="J78" s="3620"/>
      <c r="K78" s="3547" t="str">
        <f>IF(C77="","","揚程：GL")</f>
        <v>揚程：GL</v>
      </c>
      <c r="L78" s="3548"/>
      <c r="M78" s="3548"/>
      <c r="N78" s="3548"/>
      <c r="O78" s="3548"/>
      <c r="P78" s="3548"/>
      <c r="Q78" s="3639">
        <f>IF(C77="","",ABS(VLOOKUP(AL12,カイダカ,4,FALSE)-VLOOKUP("  1F",カイダカ,4,FALSE)+Top!W63))</f>
        <v>0.75</v>
      </c>
      <c r="R78" s="3639"/>
      <c r="S78" s="3639"/>
      <c r="T78" s="3639"/>
      <c r="U78" s="3548" t="str">
        <f>IF(C77="","","m")</f>
        <v>m</v>
      </c>
      <c r="V78" s="3640"/>
      <c r="W78" s="3626"/>
      <c r="X78" s="3627"/>
      <c r="Y78" s="3627"/>
      <c r="Z78" s="3627"/>
      <c r="AA78" s="3627"/>
      <c r="AB78" s="3627"/>
      <c r="AC78" s="3627"/>
      <c r="AD78" s="3629"/>
      <c r="AE78" s="3633"/>
      <c r="AF78" s="3634"/>
      <c r="AG78" s="3634"/>
      <c r="AH78" s="3634"/>
      <c r="AI78" s="3634"/>
      <c r="AJ78" s="3634"/>
      <c r="AK78" s="3635"/>
      <c r="AL78" s="3594" t="str">
        <f>IF(AL72="","","付帯工事費")</f>
        <v>付帯工事費</v>
      </c>
      <c r="AM78" s="3594"/>
      <c r="AN78" s="3594"/>
      <c r="AO78" s="3594"/>
      <c r="AP78" s="3594"/>
      <c r="AQ78" s="3594"/>
      <c r="AR78" s="3594"/>
      <c r="AS78" s="3595"/>
      <c r="AT78" s="3483" t="str">
        <f>IF(AL78="",""," 1式")</f>
        <v xml:space="preserve"> 1式</v>
      </c>
      <c r="AU78" s="3483"/>
      <c r="AV78" s="3483"/>
      <c r="AW78" s="3483"/>
      <c r="AX78" s="3483"/>
      <c r="AY78" s="3483"/>
      <c r="AZ78" s="3483"/>
      <c r="BA78" s="3483"/>
      <c r="BB78" s="3483"/>
      <c r="BC78" s="3483"/>
      <c r="BD78" s="3483"/>
      <c r="BE78" s="3483"/>
      <c r="BF78" s="3641">
        <f>IF(B2=0,"",IF(AL72="",0,IF(BN78&lt;&gt;"",BN78,SUM(W76:AC79)+BK70)))</f>
        <v>762000</v>
      </c>
      <c r="BG78" s="3642"/>
      <c r="BH78" s="3642"/>
      <c r="BI78" s="3642"/>
      <c r="BJ78" s="3642"/>
      <c r="BK78" s="3642"/>
      <c r="BL78" s="3643"/>
      <c r="BM78" s="970" t="s">
        <v>2359</v>
      </c>
      <c r="BN78" s="3644"/>
      <c r="BO78" s="3645"/>
      <c r="BP78" s="3645"/>
      <c r="BQ78" s="3645"/>
      <c r="BR78" s="3645"/>
      <c r="BS78" s="3645"/>
      <c r="BT78" s="3646"/>
      <c r="BU78" s="1290"/>
      <c r="BX78" s="1026" t="s">
        <v>2966</v>
      </c>
      <c r="CA78" s="1293">
        <v>41.1</v>
      </c>
      <c r="CB78" s="916" t="s">
        <v>2965</v>
      </c>
      <c r="CD78" s="1016">
        <f>$BM$18*0.8*360/CA78/$BY$71</f>
        <v>52.277360848883276</v>
      </c>
      <c r="CE78" s="1016">
        <f>$BM$18*0.8*360/CA78/$BZ$71</f>
        <v>87.589927027007008</v>
      </c>
    </row>
    <row r="79" spans="2:118" ht="12" customHeight="1">
      <c r="B79" s="1292"/>
      <c r="C79" s="3650" t="str">
        <f>IF(C72="","","事　務　費")</f>
        <v>事　務　費</v>
      </c>
      <c r="D79" s="3594"/>
      <c r="E79" s="3594"/>
      <c r="F79" s="3594"/>
      <c r="G79" s="3594"/>
      <c r="H79" s="3594"/>
      <c r="I79" s="3594"/>
      <c r="J79" s="3595"/>
      <c r="K79" s="3483" t="str">
        <f>IF(C79="","",IF(K6="常 用"," 申請手続費(常用)"," 申請手続費(非常用)"))</f>
        <v xml:space="preserve"> 申請手続費(非常用)</v>
      </c>
      <c r="L79" s="3483"/>
      <c r="M79" s="3483"/>
      <c r="N79" s="3483"/>
      <c r="O79" s="3483"/>
      <c r="P79" s="3483"/>
      <c r="Q79" s="3483"/>
      <c r="R79" s="3483"/>
      <c r="S79" s="3483"/>
      <c r="T79" s="3483"/>
      <c r="U79" s="3483"/>
      <c r="V79" s="3483"/>
      <c r="W79" s="3155">
        <f>IF(B2=0,"",IF(AE79&lt;&gt;"",AE79,IF(C79="",0,IF(K6="非常用",1000*INT(30000*BM18^0.3/1000),70000+1000*INT(30000*BM18^0.3/1000)))))</f>
        <v>157000</v>
      </c>
      <c r="X79" s="3156"/>
      <c r="Y79" s="3156"/>
      <c r="Z79" s="3156"/>
      <c r="AA79" s="3156"/>
      <c r="AB79" s="3156"/>
      <c r="AC79" s="3157"/>
      <c r="AD79" s="1291" t="s">
        <v>2359</v>
      </c>
      <c r="AE79" s="3190"/>
      <c r="AF79" s="3191"/>
      <c r="AG79" s="3191"/>
      <c r="AH79" s="3191"/>
      <c r="AI79" s="3191"/>
      <c r="AJ79" s="3191"/>
      <c r="AK79" s="3192"/>
      <c r="AL79" s="3143" t="str">
        <f>IF(BF79="","","発電設備合計")</f>
        <v>発電設備合計</v>
      </c>
      <c r="AM79" s="3143"/>
      <c r="AN79" s="3143"/>
      <c r="AO79" s="3143"/>
      <c r="AP79" s="3143"/>
      <c r="AQ79" s="3143"/>
      <c r="AR79" s="3143"/>
      <c r="AS79" s="3143"/>
      <c r="AT79" s="3143"/>
      <c r="AU79" s="3143"/>
      <c r="AV79" s="3143"/>
      <c r="AW79" s="3143"/>
      <c r="AX79" s="3143"/>
      <c r="AY79" s="3143"/>
      <c r="AZ79" s="3143"/>
      <c r="BA79" s="3143"/>
      <c r="BB79" s="3143"/>
      <c r="BC79" s="3143"/>
      <c r="BD79" s="3143"/>
      <c r="BE79" s="3143"/>
      <c r="BF79" s="3155">
        <f>IF(AL72="","",W75+W76+W77+W79+BF75+BF76+BF77+BF78)</f>
        <v>8638000</v>
      </c>
      <c r="BG79" s="3156"/>
      <c r="BH79" s="3156"/>
      <c r="BI79" s="3156"/>
      <c r="BJ79" s="3156"/>
      <c r="BK79" s="3156"/>
      <c r="BL79" s="3157"/>
      <c r="BM79" s="3647" t="str">
        <f>IF(AL72="","",100*INT(BF75/BM18/100)&amp;"／KVA")</f>
        <v>16300／KVA</v>
      </c>
      <c r="BN79" s="3648"/>
      <c r="BO79" s="3648"/>
      <c r="BP79" s="3648"/>
      <c r="BQ79" s="3648"/>
      <c r="BR79" s="3648"/>
      <c r="BS79" s="3648"/>
      <c r="BT79" s="3649"/>
      <c r="BU79" s="1290"/>
      <c r="DN79" s="1289"/>
    </row>
    <row r="80" spans="2:118" ht="7.5" customHeight="1" thickBot="1">
      <c r="B80" s="1288"/>
      <c r="C80" s="1287"/>
      <c r="D80" s="1287"/>
      <c r="E80" s="1287"/>
      <c r="F80" s="1287"/>
      <c r="G80" s="1287"/>
      <c r="H80" s="1287"/>
      <c r="I80" s="1287"/>
      <c r="J80" s="1287"/>
      <c r="K80" s="1286"/>
      <c r="L80" s="1286"/>
      <c r="M80" s="1286"/>
      <c r="N80" s="1286"/>
      <c r="O80" s="1286"/>
      <c r="P80" s="1286"/>
      <c r="Q80" s="1286"/>
      <c r="R80" s="1286"/>
      <c r="S80" s="1286"/>
      <c r="T80" s="1286"/>
      <c r="U80" s="1286"/>
      <c r="V80" s="1286"/>
      <c r="W80" s="1285"/>
      <c r="X80" s="1285"/>
      <c r="Y80" s="1285"/>
      <c r="Z80" s="1285"/>
      <c r="AA80" s="1285"/>
      <c r="AB80" s="1285"/>
      <c r="AC80" s="1285"/>
      <c r="AD80" s="1284"/>
      <c r="AE80" s="1283"/>
      <c r="AF80" s="1283"/>
      <c r="AG80" s="1283"/>
      <c r="AH80" s="1283"/>
      <c r="AI80" s="1283"/>
      <c r="AJ80" s="1283"/>
      <c r="AK80" s="1283"/>
      <c r="AL80" s="1282"/>
      <c r="AM80" s="1282"/>
      <c r="AN80" s="1282"/>
      <c r="AO80" s="1282"/>
      <c r="AP80" s="1282"/>
      <c r="AQ80" s="1282"/>
      <c r="AR80" s="1282"/>
      <c r="AS80" s="1282"/>
      <c r="AT80" s="1282"/>
      <c r="AU80" s="1282"/>
      <c r="AV80" s="1282"/>
      <c r="AW80" s="1282"/>
      <c r="AX80" s="1282"/>
      <c r="AY80" s="1282"/>
      <c r="AZ80" s="1282"/>
      <c r="BA80" s="1282"/>
      <c r="BB80" s="1282"/>
      <c r="BC80" s="1282"/>
      <c r="BD80" s="1282"/>
      <c r="BE80" s="1281"/>
      <c r="BF80" s="1280"/>
      <c r="BG80" s="1280"/>
      <c r="BH80" s="1280"/>
      <c r="BI80" s="1280"/>
      <c r="BJ80" s="1280"/>
      <c r="BK80" s="1280"/>
      <c r="BL80" s="1280"/>
      <c r="BM80" s="1280"/>
      <c r="BN80" s="1279"/>
      <c r="BO80" s="1279"/>
      <c r="BP80" s="1279"/>
      <c r="BQ80" s="1279"/>
      <c r="BR80" s="1279"/>
      <c r="BS80" s="1279"/>
      <c r="BT80" s="1279"/>
      <c r="BU80" s="1278"/>
    </row>
    <row r="81" spans="57:80">
      <c r="BY81" s="1277"/>
      <c r="BZ81" s="1275"/>
      <c r="CA81" s="1275"/>
      <c r="CB81" s="1275"/>
    </row>
    <row r="82" spans="57:80">
      <c r="BE82" s="1274" t="s">
        <v>2931</v>
      </c>
      <c r="BF82" s="3588">
        <f>W75</f>
        <v>316000</v>
      </c>
      <c r="BG82" s="3589"/>
      <c r="BH82" s="3589"/>
      <c r="BI82" s="3589"/>
      <c r="BJ82" s="3589"/>
      <c r="BK82" s="3589"/>
      <c r="BL82" s="3590"/>
      <c r="BM82" s="944"/>
      <c r="BN82" s="944"/>
      <c r="BO82" s="944"/>
      <c r="BP82" s="944"/>
      <c r="BQ82" s="944"/>
      <c r="BR82" s="944"/>
      <c r="BS82" s="944"/>
      <c r="BT82" s="944"/>
      <c r="BY82" s="1276"/>
      <c r="BZ82" s="1275"/>
      <c r="CA82" s="1275"/>
      <c r="CB82" s="1275"/>
    </row>
    <row r="83" spans="57:80">
      <c r="BE83" s="1274" t="s">
        <v>2964</v>
      </c>
      <c r="BF83" s="3588">
        <f>BF75+BF77</f>
        <v>6480000</v>
      </c>
      <c r="BG83" s="3589"/>
      <c r="BH83" s="3589"/>
      <c r="BI83" s="3589"/>
      <c r="BJ83" s="3589"/>
      <c r="BK83" s="3589"/>
      <c r="BL83" s="3590"/>
      <c r="BM83" s="944"/>
      <c r="BN83" s="944"/>
      <c r="BO83" s="944"/>
      <c r="BP83" s="944"/>
      <c r="BQ83" s="944"/>
      <c r="BR83" s="944"/>
      <c r="BS83" s="944"/>
      <c r="BT83" s="944"/>
      <c r="BY83" s="1275"/>
      <c r="BZ83" s="1275"/>
      <c r="CA83" s="1275"/>
      <c r="CB83" s="1275"/>
    </row>
    <row r="84" spans="57:80">
      <c r="BE84" s="1274" t="s">
        <v>2963</v>
      </c>
      <c r="BF84" s="3588">
        <f>W76+W77+W79+BF76+BF78</f>
        <v>1842000</v>
      </c>
      <c r="BG84" s="3589"/>
      <c r="BH84" s="3589"/>
      <c r="BI84" s="3589"/>
      <c r="BJ84" s="3589"/>
      <c r="BK84" s="3589"/>
      <c r="BL84" s="3590"/>
      <c r="BM84" s="944"/>
      <c r="BN84" s="944"/>
      <c r="BO84" s="944"/>
      <c r="BP84" s="944"/>
      <c r="BQ84" s="944"/>
      <c r="BR84" s="944"/>
      <c r="BS84" s="944"/>
      <c r="BT84" s="944"/>
      <c r="BY84" s="1273"/>
      <c r="BZ84" s="1273"/>
      <c r="CA84" s="1273"/>
      <c r="CB84" s="1273"/>
    </row>
  </sheetData>
  <sheetProtection password="8120" sheet="1" objects="1" scenarios="1"/>
  <mergeCells count="470">
    <mergeCell ref="BQ21:BT21"/>
    <mergeCell ref="AQ21:AS21"/>
    <mergeCell ref="AT21:AW21"/>
    <mergeCell ref="AX21:BA21"/>
    <mergeCell ref="BB21:BD21"/>
    <mergeCell ref="BE21:BG21"/>
    <mergeCell ref="AR3:AU3"/>
    <mergeCell ref="AR6:AW6"/>
    <mergeCell ref="AY6:BD6"/>
    <mergeCell ref="BF6:BI6"/>
    <mergeCell ref="BJ6:BT6"/>
    <mergeCell ref="C7:BT7"/>
    <mergeCell ref="Y6:AB6"/>
    <mergeCell ref="AD6:AG6"/>
    <mergeCell ref="AI6:AP6"/>
    <mergeCell ref="B3:D3"/>
    <mergeCell ref="E3:W3"/>
    <mergeCell ref="Y3:AC3"/>
    <mergeCell ref="AF3:AL3"/>
    <mergeCell ref="AN3:AQ3"/>
    <mergeCell ref="BI3:BN3"/>
    <mergeCell ref="BP3:BT3"/>
    <mergeCell ref="C5:BT5"/>
    <mergeCell ref="C6:J6"/>
    <mergeCell ref="K6:N6"/>
    <mergeCell ref="P6:S6"/>
    <mergeCell ref="U6:X6"/>
    <mergeCell ref="C13:BT13"/>
    <mergeCell ref="C15:K15"/>
    <mergeCell ref="AY8:BI8"/>
    <mergeCell ref="BK8:BT8"/>
    <mergeCell ref="C9:BT9"/>
    <mergeCell ref="C10:J10"/>
    <mergeCell ref="L10:P10"/>
    <mergeCell ref="Q10:U10"/>
    <mergeCell ref="W10:Z10"/>
    <mergeCell ref="AB10:AD10"/>
    <mergeCell ref="AE10:AG10"/>
    <mergeCell ref="AI10:AK10"/>
    <mergeCell ref="C8:J8"/>
    <mergeCell ref="K8:N8"/>
    <mergeCell ref="P8:S8"/>
    <mergeCell ref="U8:AB8"/>
    <mergeCell ref="AC8:AL8"/>
    <mergeCell ref="AN8:AW8"/>
    <mergeCell ref="AM10:AO10"/>
    <mergeCell ref="AP10:AR10"/>
    <mergeCell ref="AT10:BD10"/>
    <mergeCell ref="BE10:BI10"/>
    <mergeCell ref="BK10:BT10"/>
    <mergeCell ref="DI15:DI16"/>
    <mergeCell ref="DD15:DD16"/>
    <mergeCell ref="DE15:DE16"/>
    <mergeCell ref="DF15:DF16"/>
    <mergeCell ref="DG15:DG16"/>
    <mergeCell ref="CB10:CB11"/>
    <mergeCell ref="CC10:CC11"/>
    <mergeCell ref="C11:BT11"/>
    <mergeCell ref="C12:K12"/>
    <mergeCell ref="L12:R12"/>
    <mergeCell ref="S12:W12"/>
    <mergeCell ref="Y12:AA12"/>
    <mergeCell ref="AB12:AF12"/>
    <mergeCell ref="AH12:AK12"/>
    <mergeCell ref="AL12:AN12"/>
    <mergeCell ref="AP12:AR12"/>
    <mergeCell ref="AT12:BD12"/>
    <mergeCell ref="BE12:BI12"/>
    <mergeCell ref="BK12:BT12"/>
    <mergeCell ref="DJ15:DJ16"/>
    <mergeCell ref="DK15:DK16"/>
    <mergeCell ref="DL15:DL16"/>
    <mergeCell ref="C17:K17"/>
    <mergeCell ref="L17:O17"/>
    <mergeCell ref="P17:R17"/>
    <mergeCell ref="S17:U17"/>
    <mergeCell ref="V17:X17"/>
    <mergeCell ref="Y17:AB17"/>
    <mergeCell ref="DC15:DC16"/>
    <mergeCell ref="BM17:BP17"/>
    <mergeCell ref="C18:K18"/>
    <mergeCell ref="L18:O18"/>
    <mergeCell ref="P18:R18"/>
    <mergeCell ref="S18:U18"/>
    <mergeCell ref="V18:X18"/>
    <mergeCell ref="Y18:AB18"/>
    <mergeCell ref="DH15:DH16"/>
    <mergeCell ref="CF15:CI15"/>
    <mergeCell ref="CX15:CX16"/>
    <mergeCell ref="CY15:CY16"/>
    <mergeCell ref="CZ15:CZ16"/>
    <mergeCell ref="DA15:DA16"/>
    <mergeCell ref="DB15:DB16"/>
    <mergeCell ref="AC17:AF17"/>
    <mergeCell ref="AG17:AL17"/>
    <mergeCell ref="AN17:AP17"/>
    <mergeCell ref="AQ17:AS17"/>
    <mergeCell ref="AT17:AW17"/>
    <mergeCell ref="AX17:BA17"/>
    <mergeCell ref="BB17:BD17"/>
    <mergeCell ref="BE17:BG17"/>
    <mergeCell ref="BI17:BL17"/>
    <mergeCell ref="AM18:AP18"/>
    <mergeCell ref="AG19:AL19"/>
    <mergeCell ref="AX20:BA20"/>
    <mergeCell ref="BB20:BD20"/>
    <mergeCell ref="BE20:BG20"/>
    <mergeCell ref="BI20:BL20"/>
    <mergeCell ref="BM20:BP20"/>
    <mergeCell ref="BQ18:BT18"/>
    <mergeCell ref="C19:K19"/>
    <mergeCell ref="L19:O19"/>
    <mergeCell ref="P19:R19"/>
    <mergeCell ref="S19:U19"/>
    <mergeCell ref="V19:X19"/>
    <mergeCell ref="AC18:AF18"/>
    <mergeCell ref="AQ18:AS18"/>
    <mergeCell ref="AT18:AW18"/>
    <mergeCell ref="AX18:BA18"/>
    <mergeCell ref="BB18:BD18"/>
    <mergeCell ref="BE18:BG18"/>
    <mergeCell ref="BI18:BL18"/>
    <mergeCell ref="BM18:BP18"/>
    <mergeCell ref="AG18:AL18"/>
    <mergeCell ref="Y19:AB19"/>
    <mergeCell ref="AC19:AF19"/>
    <mergeCell ref="AX19:BA19"/>
    <mergeCell ref="C20:K20"/>
    <mergeCell ref="L20:O20"/>
    <mergeCell ref="P20:R20"/>
    <mergeCell ref="S20:U20"/>
    <mergeCell ref="V20:X20"/>
    <mergeCell ref="AC20:AF20"/>
    <mergeCell ref="AQ20:AS20"/>
    <mergeCell ref="AT20:AW20"/>
    <mergeCell ref="AX22:BA22"/>
    <mergeCell ref="C22:K22"/>
    <mergeCell ref="L22:O22"/>
    <mergeCell ref="P22:R22"/>
    <mergeCell ref="S22:U22"/>
    <mergeCell ref="V22:X22"/>
    <mergeCell ref="Y20:AB20"/>
    <mergeCell ref="AC21:AF21"/>
    <mergeCell ref="AG21:AL21"/>
    <mergeCell ref="AM21:AP21"/>
    <mergeCell ref="C21:K21"/>
    <mergeCell ref="L21:O21"/>
    <mergeCell ref="P21:R21"/>
    <mergeCell ref="S21:U21"/>
    <mergeCell ref="V21:X21"/>
    <mergeCell ref="Y21:AB21"/>
    <mergeCell ref="AC24:AF24"/>
    <mergeCell ref="AQ23:AS23"/>
    <mergeCell ref="C23:K23"/>
    <mergeCell ref="L23:O23"/>
    <mergeCell ref="P23:R23"/>
    <mergeCell ref="S23:U23"/>
    <mergeCell ref="V23:X23"/>
    <mergeCell ref="Y23:AB23"/>
    <mergeCell ref="BQ22:BT22"/>
    <mergeCell ref="Y22:AB22"/>
    <mergeCell ref="AC22:AF22"/>
    <mergeCell ref="AQ22:AS22"/>
    <mergeCell ref="AT22:AW22"/>
    <mergeCell ref="BB23:BD23"/>
    <mergeCell ref="BE23:BG23"/>
    <mergeCell ref="AT23:AW23"/>
    <mergeCell ref="AX23:BA23"/>
    <mergeCell ref="AC23:AF23"/>
    <mergeCell ref="BI22:BL22"/>
    <mergeCell ref="BM22:BP22"/>
    <mergeCell ref="BB22:BD22"/>
    <mergeCell ref="BE22:BG22"/>
    <mergeCell ref="C24:K24"/>
    <mergeCell ref="L24:O24"/>
    <mergeCell ref="P24:R24"/>
    <mergeCell ref="S24:U24"/>
    <mergeCell ref="V24:X24"/>
    <mergeCell ref="C30:L30"/>
    <mergeCell ref="M30:AA30"/>
    <mergeCell ref="C25:K25"/>
    <mergeCell ref="L25:O25"/>
    <mergeCell ref="P25:R25"/>
    <mergeCell ref="V25:X25"/>
    <mergeCell ref="Y25:AB25"/>
    <mergeCell ref="Y24:AB24"/>
    <mergeCell ref="S25:U25"/>
    <mergeCell ref="C31:L36"/>
    <mergeCell ref="N31:AA31"/>
    <mergeCell ref="AC31:AG32"/>
    <mergeCell ref="AH31:AL31"/>
    <mergeCell ref="AM31:AQ32"/>
    <mergeCell ref="AT26:AW26"/>
    <mergeCell ref="AX26:BA26"/>
    <mergeCell ref="BB26:BD26"/>
    <mergeCell ref="AQ25:AS25"/>
    <mergeCell ref="AT25:AW25"/>
    <mergeCell ref="AX25:BA25"/>
    <mergeCell ref="BB25:BD25"/>
    <mergeCell ref="AC30:AS30"/>
    <mergeCell ref="AV30:AY30"/>
    <mergeCell ref="AZ30:BO30"/>
    <mergeCell ref="AC25:AF25"/>
    <mergeCell ref="BE25:BG25"/>
    <mergeCell ref="L26:O26"/>
    <mergeCell ref="S26:U26"/>
    <mergeCell ref="Y26:AB26"/>
    <mergeCell ref="AC26:AF26"/>
    <mergeCell ref="AQ26:AS26"/>
    <mergeCell ref="N32:AA32"/>
    <mergeCell ref="AH32:AL32"/>
    <mergeCell ref="AV32:AY32"/>
    <mergeCell ref="AZ32:BO32"/>
    <mergeCell ref="BP32:BT32"/>
    <mergeCell ref="BP33:BT33"/>
    <mergeCell ref="N34:AA34"/>
    <mergeCell ref="AO34:AR34"/>
    <mergeCell ref="AV34:AY34"/>
    <mergeCell ref="AZ34:BO34"/>
    <mergeCell ref="BP34:BT34"/>
    <mergeCell ref="N33:AA33"/>
    <mergeCell ref="AC33:AN34"/>
    <mergeCell ref="AO33:AR33"/>
    <mergeCell ref="AV33:AY33"/>
    <mergeCell ref="AZ33:BO33"/>
    <mergeCell ref="N40:AA40"/>
    <mergeCell ref="AG40:AP40"/>
    <mergeCell ref="AV40:AY40"/>
    <mergeCell ref="AZ40:BO40"/>
    <mergeCell ref="BP40:BT40"/>
    <mergeCell ref="AV35:AY35"/>
    <mergeCell ref="AZ35:BO35"/>
    <mergeCell ref="C37:L40"/>
    <mergeCell ref="N37:AA37"/>
    <mergeCell ref="AC37:AF38"/>
    <mergeCell ref="AG37:AM37"/>
    <mergeCell ref="AV37:AY37"/>
    <mergeCell ref="AZ37:BO37"/>
    <mergeCell ref="N39:AA39"/>
    <mergeCell ref="AC39:AF40"/>
    <mergeCell ref="BP35:BT35"/>
    <mergeCell ref="N36:AA36"/>
    <mergeCell ref="AI36:AL36"/>
    <mergeCell ref="AV36:AY36"/>
    <mergeCell ref="AZ36:BO36"/>
    <mergeCell ref="BP36:BT36"/>
    <mergeCell ref="N35:AA35"/>
    <mergeCell ref="AC35:AH36"/>
    <mergeCell ref="AI35:AL35"/>
    <mergeCell ref="BP37:BT37"/>
    <mergeCell ref="N38:AA38"/>
    <mergeCell ref="AG38:AM38"/>
    <mergeCell ref="AV38:AY38"/>
    <mergeCell ref="AZ38:BO38"/>
    <mergeCell ref="BP38:BT38"/>
    <mergeCell ref="AG39:AP39"/>
    <mergeCell ref="AV39:AY39"/>
    <mergeCell ref="AZ39:BO39"/>
    <mergeCell ref="BP39:BT39"/>
    <mergeCell ref="BP41:BT41"/>
    <mergeCell ref="AV42:AY42"/>
    <mergeCell ref="AZ42:BO42"/>
    <mergeCell ref="BP42:BT42"/>
    <mergeCell ref="AV43:AY43"/>
    <mergeCell ref="AZ43:BO43"/>
    <mergeCell ref="BP43:BT43"/>
    <mergeCell ref="AV44:AY45"/>
    <mergeCell ref="AZ44:BO44"/>
    <mergeCell ref="BP44:BT45"/>
    <mergeCell ref="AZ45:BO45"/>
    <mergeCell ref="C47:G48"/>
    <mergeCell ref="L47:P48"/>
    <mergeCell ref="U47:Y48"/>
    <mergeCell ref="AE47:AI48"/>
    <mergeCell ref="AM47:AQ48"/>
    <mergeCell ref="AZ47:BO47"/>
    <mergeCell ref="AV48:AY49"/>
    <mergeCell ref="AV41:AY41"/>
    <mergeCell ref="AZ41:BO41"/>
    <mergeCell ref="C50:G50"/>
    <mergeCell ref="L50:P50"/>
    <mergeCell ref="U50:Y50"/>
    <mergeCell ref="AE50:AI50"/>
    <mergeCell ref="AM50:AQ50"/>
    <mergeCell ref="BX51:BY51"/>
    <mergeCell ref="BZ51:CA51"/>
    <mergeCell ref="C53:J53"/>
    <mergeCell ref="L53:X53"/>
    <mergeCell ref="Z53:AJ53"/>
    <mergeCell ref="AL53:AX53"/>
    <mergeCell ref="AZ53:BF53"/>
    <mergeCell ref="BH53:BT53"/>
    <mergeCell ref="BX54:BY54"/>
    <mergeCell ref="BZ54:CA54"/>
    <mergeCell ref="C55:J55"/>
    <mergeCell ref="L55:X55"/>
    <mergeCell ref="Z55:AC55"/>
    <mergeCell ref="AE55:AK55"/>
    <mergeCell ref="AM55:AQ55"/>
    <mergeCell ref="AS55:AX55"/>
    <mergeCell ref="AZ55:BF55"/>
    <mergeCell ref="BH55:BT55"/>
    <mergeCell ref="BX55:BY55"/>
    <mergeCell ref="BZ55:CA55"/>
    <mergeCell ref="C62:J62"/>
    <mergeCell ref="K62:AD62"/>
    <mergeCell ref="K65:AD65"/>
    <mergeCell ref="AL65:AS65"/>
    <mergeCell ref="AT65:BM65"/>
    <mergeCell ref="C63:J63"/>
    <mergeCell ref="K63:AD63"/>
    <mergeCell ref="BZ59:CA59"/>
    <mergeCell ref="BX56:BY56"/>
    <mergeCell ref="BZ56:CA56"/>
    <mergeCell ref="C60:J60"/>
    <mergeCell ref="AL60:AS60"/>
    <mergeCell ref="BZ60:CA60"/>
    <mergeCell ref="L57:X57"/>
    <mergeCell ref="Z57:AD57"/>
    <mergeCell ref="BZ57:CA57"/>
    <mergeCell ref="AF57:AM57"/>
    <mergeCell ref="AO57:AV57"/>
    <mergeCell ref="AX57:BB57"/>
    <mergeCell ref="BD57:BN57"/>
    <mergeCell ref="BP57:BT57"/>
    <mergeCell ref="BX57:BY57"/>
    <mergeCell ref="AZ59:BB59"/>
    <mergeCell ref="BL59:BN59"/>
    <mergeCell ref="AE63:AH65"/>
    <mergeCell ref="AI63:AK65"/>
    <mergeCell ref="AL63:AS63"/>
    <mergeCell ref="AT63:BM63"/>
    <mergeCell ref="BR63:BT66"/>
    <mergeCell ref="C64:J64"/>
    <mergeCell ref="K64:AD64"/>
    <mergeCell ref="AL64:AS64"/>
    <mergeCell ref="AT64:BM64"/>
    <mergeCell ref="C65:J65"/>
    <mergeCell ref="BH66:BJ66"/>
    <mergeCell ref="BK66:BM66"/>
    <mergeCell ref="C66:J66"/>
    <mergeCell ref="K66:AD66"/>
    <mergeCell ref="AE66:AK66"/>
    <mergeCell ref="AL66:AS66"/>
    <mergeCell ref="AT66:BA66"/>
    <mergeCell ref="BC66:BG66"/>
    <mergeCell ref="BN63:BQ66"/>
    <mergeCell ref="BR68:BT68"/>
    <mergeCell ref="C67:J67"/>
    <mergeCell ref="K67:AA67"/>
    <mergeCell ref="AB67:AH67"/>
    <mergeCell ref="AI67:AK67"/>
    <mergeCell ref="AL67:AS67"/>
    <mergeCell ref="AT67:AY67"/>
    <mergeCell ref="AZ67:BJ67"/>
    <mergeCell ref="BK67:BQ67"/>
    <mergeCell ref="C68:J68"/>
    <mergeCell ref="K68:AA68"/>
    <mergeCell ref="AB68:AH68"/>
    <mergeCell ref="AI68:AK68"/>
    <mergeCell ref="AL68:AS68"/>
    <mergeCell ref="AT68:BJ68"/>
    <mergeCell ref="BR67:BT67"/>
    <mergeCell ref="BR69:BT69"/>
    <mergeCell ref="C69:AK69"/>
    <mergeCell ref="CD72:CD73"/>
    <mergeCell ref="CE72:CE73"/>
    <mergeCell ref="C74:J74"/>
    <mergeCell ref="K74:V74"/>
    <mergeCell ref="W74:AC74"/>
    <mergeCell ref="AE74:AK74"/>
    <mergeCell ref="AL74:AS74"/>
    <mergeCell ref="BZ69:CA69"/>
    <mergeCell ref="AL70:AS70"/>
    <mergeCell ref="AT70:BJ70"/>
    <mergeCell ref="BK70:BQ70"/>
    <mergeCell ref="BR70:BT70"/>
    <mergeCell ref="AB71:AH71"/>
    <mergeCell ref="BK71:BQ71"/>
    <mergeCell ref="BZ71:CA71"/>
    <mergeCell ref="AL69:AS69"/>
    <mergeCell ref="AT69:BJ69"/>
    <mergeCell ref="BM79:BT79"/>
    <mergeCell ref="C79:J79"/>
    <mergeCell ref="K79:V79"/>
    <mergeCell ref="W79:AC79"/>
    <mergeCell ref="AE79:AK79"/>
    <mergeCell ref="AL79:BE79"/>
    <mergeCell ref="BF79:BL79"/>
    <mergeCell ref="C72:J72"/>
    <mergeCell ref="AL72:AP72"/>
    <mergeCell ref="C76:J76"/>
    <mergeCell ref="K76:V76"/>
    <mergeCell ref="W76:AC76"/>
    <mergeCell ref="AE76:AK76"/>
    <mergeCell ref="AL76:AS76"/>
    <mergeCell ref="C75:J75"/>
    <mergeCell ref="K75:V75"/>
    <mergeCell ref="W75:AC75"/>
    <mergeCell ref="AT74:BE74"/>
    <mergeCell ref="BF74:BL74"/>
    <mergeCell ref="BN74:BT74"/>
    <mergeCell ref="BN75:BT75"/>
    <mergeCell ref="BF76:BL76"/>
    <mergeCell ref="BN76:BT76"/>
    <mergeCell ref="AT76:BE76"/>
    <mergeCell ref="C77:J78"/>
    <mergeCell ref="K77:V77"/>
    <mergeCell ref="W77:AC78"/>
    <mergeCell ref="AD77:AD78"/>
    <mergeCell ref="AE77:AK78"/>
    <mergeCell ref="AL77:AS77"/>
    <mergeCell ref="BN77:BT77"/>
    <mergeCell ref="K78:P78"/>
    <mergeCell ref="Q78:T78"/>
    <mergeCell ref="U78:V78"/>
    <mergeCell ref="AL78:AS78"/>
    <mergeCell ref="AT78:BE78"/>
    <mergeCell ref="BF78:BL78"/>
    <mergeCell ref="BN78:BT78"/>
    <mergeCell ref="AT77:BE77"/>
    <mergeCell ref="BF77:BL77"/>
    <mergeCell ref="BF82:BL82"/>
    <mergeCell ref="BF83:BL83"/>
    <mergeCell ref="BF84:BL84"/>
    <mergeCell ref="AG20:AL20"/>
    <mergeCell ref="AG22:AL22"/>
    <mergeCell ref="AG23:AL23"/>
    <mergeCell ref="AG24:AL24"/>
    <mergeCell ref="AG25:AL25"/>
    <mergeCell ref="AM25:AP25"/>
    <mergeCell ref="BF75:BL75"/>
    <mergeCell ref="AE75:AK75"/>
    <mergeCell ref="AL75:AS75"/>
    <mergeCell ref="AT75:BE75"/>
    <mergeCell ref="BK69:BQ69"/>
    <mergeCell ref="BK68:BQ68"/>
    <mergeCell ref="AE62:AK62"/>
    <mergeCell ref="AL62:AS62"/>
    <mergeCell ref="AT62:BM62"/>
    <mergeCell ref="BN62:BT62"/>
    <mergeCell ref="AZ48:BO49"/>
    <mergeCell ref="BP48:BT49"/>
    <mergeCell ref="AV46:AY47"/>
    <mergeCell ref="AZ46:BO46"/>
    <mergeCell ref="BP46:BT47"/>
    <mergeCell ref="AM19:AP19"/>
    <mergeCell ref="AM20:AP20"/>
    <mergeCell ref="AM22:AP22"/>
    <mergeCell ref="AM23:AP23"/>
    <mergeCell ref="AM24:AP24"/>
    <mergeCell ref="AN35:AP36"/>
    <mergeCell ref="BE26:BG26"/>
    <mergeCell ref="BI19:BL19"/>
    <mergeCell ref="BM19:BP19"/>
    <mergeCell ref="AQ19:AS19"/>
    <mergeCell ref="AT19:AW19"/>
    <mergeCell ref="BB19:BD19"/>
    <mergeCell ref="BE19:BG19"/>
    <mergeCell ref="BI21:BL21"/>
    <mergeCell ref="BM21:BP21"/>
    <mergeCell ref="BP31:BT31"/>
    <mergeCell ref="AV31:AY31"/>
    <mergeCell ref="AZ31:BO31"/>
    <mergeCell ref="BP30:BT30"/>
    <mergeCell ref="AX24:BA24"/>
    <mergeCell ref="BB24:BD24"/>
    <mergeCell ref="BE24:BG24"/>
    <mergeCell ref="AQ24:AS24"/>
    <mergeCell ref="AT24:AW24"/>
  </mergeCells>
  <phoneticPr fontId="1"/>
  <dataValidations count="11">
    <dataValidation type="list" errorStyle="information" allowBlank="1" showInputMessage="1" showErrorMessage="1" sqref="BC66:BG66">
      <formula1>$BX$74:$BX$78</formula1>
    </dataValidation>
    <dataValidation type="list" allowBlank="1" showInputMessage="1" showErrorMessage="1" sqref="AS12">
      <formula1>#REF!</formula1>
    </dataValidation>
    <dataValidation type="list" allowBlank="1" showInputMessage="1" showErrorMessage="1" sqref="P8:S8 AZ59 BL59">
      <formula1>"必要,不要"</formula1>
    </dataValidation>
    <dataValidation type="list" allowBlank="1" showInputMessage="1" showErrorMessage="1" sqref="P6:S6">
      <formula1>"非常用,常 用,常用連"</formula1>
    </dataValidation>
    <dataValidation type="list" allowBlank="1" showInputMessage="1" showErrorMessage="1" sqref="AD6:AG6">
      <formula1>"屋外型,屋内型"</formula1>
    </dataValidation>
    <dataValidation type="list" allowBlank="1" showInputMessage="1" showErrorMessage="1" sqref="BK8">
      <formula1>$CC$27:$CC$31</formula1>
    </dataValidation>
    <dataValidation type="list" allowBlank="1" showInputMessage="1" showErrorMessage="1" sqref="AM18:AM25">
      <formula1>$BX$20:$BX$30</formula1>
    </dataValidation>
    <dataValidation type="list" allowBlank="1" showInputMessage="1" showErrorMessage="1" sqref="AR6">
      <formula1>"普通騒音105dB,低騒音85dB,低騒音75dB"</formula1>
    </dataValidation>
    <dataValidation type="list" allowBlank="1" showInputMessage="1" showErrorMessage="1" sqref="AN8">
      <formula1>"ディーゼル・エンジン,ガスタービン・エンジン"</formula1>
    </dataValidation>
    <dataValidation type="list" allowBlank="1" showInputMessage="1" showErrorMessage="1" sqref="AI10:AK10">
      <formula1>$BY$6:$BY$14</formula1>
    </dataValidation>
    <dataValidation type="list" allowBlank="1" showInputMessage="1" showErrorMessage="1" sqref="W10:Z10">
      <formula1>$BX$6:$BX$12</formula1>
    </dataValidation>
  </dataValidations>
  <hyperlinks>
    <hyperlink ref="BP3:BT3" r:id="rId1" location="Help!A749" display="Help"/>
    <hyperlink ref="BI3:BN3" r:id="rId2" location="S4!A1" display="耐震措置"/>
    <hyperlink ref="Y3:AC3" r:id="rId3" location="Top!A46" display="TopPage"/>
  </hyperlinks>
  <pageMargins left="0.78740157480314965" right="0.59055118110236227" top="0.59055118110236227" bottom="0.55118110236220474" header="0.31496062992125984" footer="0.31496062992125984"/>
  <pageSetup paperSize="9" scale="95" orientation="portrait" r:id="rId4"/>
  <colBreaks count="1" manualBreakCount="1">
    <brk id="73" max="1048575" man="1"/>
  </colBreaks>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引込!#REF!</xm:f>
          </x14:formula1>
          <xm:sqref>AP12:AR12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B1:X2166"/>
  <sheetViews>
    <sheetView view="pageBreakPreview" zoomScale="130" zoomScaleNormal="100" zoomScaleSheetLayoutView="130" workbookViewId="0"/>
  </sheetViews>
  <sheetFormatPr defaultRowHeight="13.5"/>
  <cols>
    <col min="1" max="1" width="1.42578125" style="1368" customWidth="1"/>
    <col min="2" max="2" width="2.42578125" style="1368" customWidth="1"/>
    <col min="3" max="3" width="5.140625" style="1368" customWidth="1"/>
    <col min="4" max="4" width="15.42578125" style="1368" customWidth="1"/>
    <col min="5" max="5" width="10" style="1368" customWidth="1"/>
    <col min="6" max="6" width="18.42578125" style="1368" customWidth="1"/>
    <col min="7" max="7" width="5.140625" style="1368" customWidth="1"/>
    <col min="8" max="8" width="15.42578125" style="1368" customWidth="1"/>
    <col min="9" max="9" width="10" style="1368" customWidth="1"/>
    <col min="10" max="10" width="18.42578125" style="1368" customWidth="1"/>
    <col min="11" max="11" width="5.140625" style="1368" customWidth="1"/>
    <col min="12" max="12" width="7.7109375" style="1368" customWidth="1"/>
    <col min="13" max="22" width="7.7109375" style="1368" hidden="1" customWidth="1"/>
    <col min="23" max="23" width="7.7109375" style="1368" customWidth="1"/>
    <col min="24" max="257" width="9.140625" style="1368"/>
    <col min="258" max="258" width="2.42578125" style="1368" customWidth="1"/>
    <col min="259" max="259" width="5.140625" style="1368" customWidth="1"/>
    <col min="260" max="260" width="15.42578125" style="1368" customWidth="1"/>
    <col min="261" max="261" width="10" style="1368" customWidth="1"/>
    <col min="262" max="262" width="18.42578125" style="1368" customWidth="1"/>
    <col min="263" max="263" width="5.140625" style="1368" customWidth="1"/>
    <col min="264" max="264" width="15.42578125" style="1368" customWidth="1"/>
    <col min="265" max="265" width="10" style="1368" customWidth="1"/>
    <col min="266" max="266" width="18.42578125" style="1368" customWidth="1"/>
    <col min="267" max="268" width="5.140625" style="1368" customWidth="1"/>
    <col min="269" max="269" width="5.28515625" style="1368" customWidth="1"/>
    <col min="270" max="270" width="11" style="1368" customWidth="1"/>
    <col min="271" max="278" width="6.42578125" style="1368" customWidth="1"/>
    <col min="279" max="279" width="10.7109375" style="1368" bestFit="1" customWidth="1"/>
    <col min="280" max="513" width="9.140625" style="1368"/>
    <col min="514" max="514" width="2.42578125" style="1368" customWidth="1"/>
    <col min="515" max="515" width="5.140625" style="1368" customWidth="1"/>
    <col min="516" max="516" width="15.42578125" style="1368" customWidth="1"/>
    <col min="517" max="517" width="10" style="1368" customWidth="1"/>
    <col min="518" max="518" width="18.42578125" style="1368" customWidth="1"/>
    <col min="519" max="519" width="5.140625" style="1368" customWidth="1"/>
    <col min="520" max="520" width="15.42578125" style="1368" customWidth="1"/>
    <col min="521" max="521" width="10" style="1368" customWidth="1"/>
    <col min="522" max="522" width="18.42578125" style="1368" customWidth="1"/>
    <col min="523" max="524" width="5.140625" style="1368" customWidth="1"/>
    <col min="525" max="525" width="5.28515625" style="1368" customWidth="1"/>
    <col min="526" max="526" width="11" style="1368" customWidth="1"/>
    <col min="527" max="534" width="6.42578125" style="1368" customWidth="1"/>
    <col min="535" max="535" width="10.7109375" style="1368" bestFit="1" customWidth="1"/>
    <col min="536" max="769" width="9.140625" style="1368"/>
    <col min="770" max="770" width="2.42578125" style="1368" customWidth="1"/>
    <col min="771" max="771" width="5.140625" style="1368" customWidth="1"/>
    <col min="772" max="772" width="15.42578125" style="1368" customWidth="1"/>
    <col min="773" max="773" width="10" style="1368" customWidth="1"/>
    <col min="774" max="774" width="18.42578125" style="1368" customWidth="1"/>
    <col min="775" max="775" width="5.140625" style="1368" customWidth="1"/>
    <col min="776" max="776" width="15.42578125" style="1368" customWidth="1"/>
    <col min="777" max="777" width="10" style="1368" customWidth="1"/>
    <col min="778" max="778" width="18.42578125" style="1368" customWidth="1"/>
    <col min="779" max="780" width="5.140625" style="1368" customWidth="1"/>
    <col min="781" max="781" width="5.28515625" style="1368" customWidth="1"/>
    <col min="782" max="782" width="11" style="1368" customWidth="1"/>
    <col min="783" max="790" width="6.42578125" style="1368" customWidth="1"/>
    <col min="791" max="791" width="10.7109375" style="1368" bestFit="1" customWidth="1"/>
    <col min="792" max="1025" width="9.140625" style="1368"/>
    <col min="1026" max="1026" width="2.42578125" style="1368" customWidth="1"/>
    <col min="1027" max="1027" width="5.140625" style="1368" customWidth="1"/>
    <col min="1028" max="1028" width="15.42578125" style="1368" customWidth="1"/>
    <col min="1029" max="1029" width="10" style="1368" customWidth="1"/>
    <col min="1030" max="1030" width="18.42578125" style="1368" customWidth="1"/>
    <col min="1031" max="1031" width="5.140625" style="1368" customWidth="1"/>
    <col min="1032" max="1032" width="15.42578125" style="1368" customWidth="1"/>
    <col min="1033" max="1033" width="10" style="1368" customWidth="1"/>
    <col min="1034" max="1034" width="18.42578125" style="1368" customWidth="1"/>
    <col min="1035" max="1036" width="5.140625" style="1368" customWidth="1"/>
    <col min="1037" max="1037" width="5.28515625" style="1368" customWidth="1"/>
    <col min="1038" max="1038" width="11" style="1368" customWidth="1"/>
    <col min="1039" max="1046" width="6.42578125" style="1368" customWidth="1"/>
    <col min="1047" max="1047" width="10.7109375" style="1368" bestFit="1" customWidth="1"/>
    <col min="1048" max="1281" width="9.140625" style="1368"/>
    <col min="1282" max="1282" width="2.42578125" style="1368" customWidth="1"/>
    <col min="1283" max="1283" width="5.140625" style="1368" customWidth="1"/>
    <col min="1284" max="1284" width="15.42578125" style="1368" customWidth="1"/>
    <col min="1285" max="1285" width="10" style="1368" customWidth="1"/>
    <col min="1286" max="1286" width="18.42578125" style="1368" customWidth="1"/>
    <col min="1287" max="1287" width="5.140625" style="1368" customWidth="1"/>
    <col min="1288" max="1288" width="15.42578125" style="1368" customWidth="1"/>
    <col min="1289" max="1289" width="10" style="1368" customWidth="1"/>
    <col min="1290" max="1290" width="18.42578125" style="1368" customWidth="1"/>
    <col min="1291" max="1292" width="5.140625" style="1368" customWidth="1"/>
    <col min="1293" max="1293" width="5.28515625" style="1368" customWidth="1"/>
    <col min="1294" max="1294" width="11" style="1368" customWidth="1"/>
    <col min="1295" max="1302" width="6.42578125" style="1368" customWidth="1"/>
    <col min="1303" max="1303" width="10.7109375" style="1368" bestFit="1" customWidth="1"/>
    <col min="1304" max="1537" width="9.140625" style="1368"/>
    <col min="1538" max="1538" width="2.42578125" style="1368" customWidth="1"/>
    <col min="1539" max="1539" width="5.140625" style="1368" customWidth="1"/>
    <col min="1540" max="1540" width="15.42578125" style="1368" customWidth="1"/>
    <col min="1541" max="1541" width="10" style="1368" customWidth="1"/>
    <col min="1542" max="1542" width="18.42578125" style="1368" customWidth="1"/>
    <col min="1543" max="1543" width="5.140625" style="1368" customWidth="1"/>
    <col min="1544" max="1544" width="15.42578125" style="1368" customWidth="1"/>
    <col min="1545" max="1545" width="10" style="1368" customWidth="1"/>
    <col min="1546" max="1546" width="18.42578125" style="1368" customWidth="1"/>
    <col min="1547" max="1548" width="5.140625" style="1368" customWidth="1"/>
    <col min="1549" max="1549" width="5.28515625" style="1368" customWidth="1"/>
    <col min="1550" max="1550" width="11" style="1368" customWidth="1"/>
    <col min="1551" max="1558" width="6.42578125" style="1368" customWidth="1"/>
    <col min="1559" max="1559" width="10.7109375" style="1368" bestFit="1" customWidth="1"/>
    <col min="1560" max="1793" width="9.140625" style="1368"/>
    <col min="1794" max="1794" width="2.42578125" style="1368" customWidth="1"/>
    <col min="1795" max="1795" width="5.140625" style="1368" customWidth="1"/>
    <col min="1796" max="1796" width="15.42578125" style="1368" customWidth="1"/>
    <col min="1797" max="1797" width="10" style="1368" customWidth="1"/>
    <col min="1798" max="1798" width="18.42578125" style="1368" customWidth="1"/>
    <col min="1799" max="1799" width="5.140625" style="1368" customWidth="1"/>
    <col min="1800" max="1800" width="15.42578125" style="1368" customWidth="1"/>
    <col min="1801" max="1801" width="10" style="1368" customWidth="1"/>
    <col min="1802" max="1802" width="18.42578125" style="1368" customWidth="1"/>
    <col min="1803" max="1804" width="5.140625" style="1368" customWidth="1"/>
    <col min="1805" max="1805" width="5.28515625" style="1368" customWidth="1"/>
    <col min="1806" max="1806" width="11" style="1368" customWidth="1"/>
    <col min="1807" max="1814" width="6.42578125" style="1368" customWidth="1"/>
    <col min="1815" max="1815" width="10.7109375" style="1368" bestFit="1" customWidth="1"/>
    <col min="1816" max="2049" width="9.140625" style="1368"/>
    <col min="2050" max="2050" width="2.42578125" style="1368" customWidth="1"/>
    <col min="2051" max="2051" width="5.140625" style="1368" customWidth="1"/>
    <col min="2052" max="2052" width="15.42578125" style="1368" customWidth="1"/>
    <col min="2053" max="2053" width="10" style="1368" customWidth="1"/>
    <col min="2054" max="2054" width="18.42578125" style="1368" customWidth="1"/>
    <col min="2055" max="2055" width="5.140625" style="1368" customWidth="1"/>
    <col min="2056" max="2056" width="15.42578125" style="1368" customWidth="1"/>
    <col min="2057" max="2057" width="10" style="1368" customWidth="1"/>
    <col min="2058" max="2058" width="18.42578125" style="1368" customWidth="1"/>
    <col min="2059" max="2060" width="5.140625" style="1368" customWidth="1"/>
    <col min="2061" max="2061" width="5.28515625" style="1368" customWidth="1"/>
    <col min="2062" max="2062" width="11" style="1368" customWidth="1"/>
    <col min="2063" max="2070" width="6.42578125" style="1368" customWidth="1"/>
    <col min="2071" max="2071" width="10.7109375" style="1368" bestFit="1" customWidth="1"/>
    <col min="2072" max="2305" width="9.140625" style="1368"/>
    <col min="2306" max="2306" width="2.42578125" style="1368" customWidth="1"/>
    <col min="2307" max="2307" width="5.140625" style="1368" customWidth="1"/>
    <col min="2308" max="2308" width="15.42578125" style="1368" customWidth="1"/>
    <col min="2309" max="2309" width="10" style="1368" customWidth="1"/>
    <col min="2310" max="2310" width="18.42578125" style="1368" customWidth="1"/>
    <col min="2311" max="2311" width="5.140625" style="1368" customWidth="1"/>
    <col min="2312" max="2312" width="15.42578125" style="1368" customWidth="1"/>
    <col min="2313" max="2313" width="10" style="1368" customWidth="1"/>
    <col min="2314" max="2314" width="18.42578125" style="1368" customWidth="1"/>
    <col min="2315" max="2316" width="5.140625" style="1368" customWidth="1"/>
    <col min="2317" max="2317" width="5.28515625" style="1368" customWidth="1"/>
    <col min="2318" max="2318" width="11" style="1368" customWidth="1"/>
    <col min="2319" max="2326" width="6.42578125" style="1368" customWidth="1"/>
    <col min="2327" max="2327" width="10.7109375" style="1368" bestFit="1" customWidth="1"/>
    <col min="2328" max="2561" width="9.140625" style="1368"/>
    <col min="2562" max="2562" width="2.42578125" style="1368" customWidth="1"/>
    <col min="2563" max="2563" width="5.140625" style="1368" customWidth="1"/>
    <col min="2564" max="2564" width="15.42578125" style="1368" customWidth="1"/>
    <col min="2565" max="2565" width="10" style="1368" customWidth="1"/>
    <col min="2566" max="2566" width="18.42578125" style="1368" customWidth="1"/>
    <col min="2567" max="2567" width="5.140625" style="1368" customWidth="1"/>
    <col min="2568" max="2568" width="15.42578125" style="1368" customWidth="1"/>
    <col min="2569" max="2569" width="10" style="1368" customWidth="1"/>
    <col min="2570" max="2570" width="18.42578125" style="1368" customWidth="1"/>
    <col min="2571" max="2572" width="5.140625" style="1368" customWidth="1"/>
    <col min="2573" max="2573" width="5.28515625" style="1368" customWidth="1"/>
    <col min="2574" max="2574" width="11" style="1368" customWidth="1"/>
    <col min="2575" max="2582" width="6.42578125" style="1368" customWidth="1"/>
    <col min="2583" max="2583" width="10.7109375" style="1368" bestFit="1" customWidth="1"/>
    <col min="2584" max="2817" width="9.140625" style="1368"/>
    <col min="2818" max="2818" width="2.42578125" style="1368" customWidth="1"/>
    <col min="2819" max="2819" width="5.140625" style="1368" customWidth="1"/>
    <col min="2820" max="2820" width="15.42578125" style="1368" customWidth="1"/>
    <col min="2821" max="2821" width="10" style="1368" customWidth="1"/>
    <col min="2822" max="2822" width="18.42578125" style="1368" customWidth="1"/>
    <col min="2823" max="2823" width="5.140625" style="1368" customWidth="1"/>
    <col min="2824" max="2824" width="15.42578125" style="1368" customWidth="1"/>
    <col min="2825" max="2825" width="10" style="1368" customWidth="1"/>
    <col min="2826" max="2826" width="18.42578125" style="1368" customWidth="1"/>
    <col min="2827" max="2828" width="5.140625" style="1368" customWidth="1"/>
    <col min="2829" max="2829" width="5.28515625" style="1368" customWidth="1"/>
    <col min="2830" max="2830" width="11" style="1368" customWidth="1"/>
    <col min="2831" max="2838" width="6.42578125" style="1368" customWidth="1"/>
    <col min="2839" max="2839" width="10.7109375" style="1368" bestFit="1" customWidth="1"/>
    <col min="2840" max="3073" width="9.140625" style="1368"/>
    <col min="3074" max="3074" width="2.42578125" style="1368" customWidth="1"/>
    <col min="3075" max="3075" width="5.140625" style="1368" customWidth="1"/>
    <col min="3076" max="3076" width="15.42578125" style="1368" customWidth="1"/>
    <col min="3077" max="3077" width="10" style="1368" customWidth="1"/>
    <col min="3078" max="3078" width="18.42578125" style="1368" customWidth="1"/>
    <col min="3079" max="3079" width="5.140625" style="1368" customWidth="1"/>
    <col min="3080" max="3080" width="15.42578125" style="1368" customWidth="1"/>
    <col min="3081" max="3081" width="10" style="1368" customWidth="1"/>
    <col min="3082" max="3082" width="18.42578125" style="1368" customWidth="1"/>
    <col min="3083" max="3084" width="5.140625" style="1368" customWidth="1"/>
    <col min="3085" max="3085" width="5.28515625" style="1368" customWidth="1"/>
    <col min="3086" max="3086" width="11" style="1368" customWidth="1"/>
    <col min="3087" max="3094" width="6.42578125" style="1368" customWidth="1"/>
    <col min="3095" max="3095" width="10.7109375" style="1368" bestFit="1" customWidth="1"/>
    <col min="3096" max="3329" width="9.140625" style="1368"/>
    <col min="3330" max="3330" width="2.42578125" style="1368" customWidth="1"/>
    <col min="3331" max="3331" width="5.140625" style="1368" customWidth="1"/>
    <col min="3332" max="3332" width="15.42578125" style="1368" customWidth="1"/>
    <col min="3333" max="3333" width="10" style="1368" customWidth="1"/>
    <col min="3334" max="3334" width="18.42578125" style="1368" customWidth="1"/>
    <col min="3335" max="3335" width="5.140625" style="1368" customWidth="1"/>
    <col min="3336" max="3336" width="15.42578125" style="1368" customWidth="1"/>
    <col min="3337" max="3337" width="10" style="1368" customWidth="1"/>
    <col min="3338" max="3338" width="18.42578125" style="1368" customWidth="1"/>
    <col min="3339" max="3340" width="5.140625" style="1368" customWidth="1"/>
    <col min="3341" max="3341" width="5.28515625" style="1368" customWidth="1"/>
    <col min="3342" max="3342" width="11" style="1368" customWidth="1"/>
    <col min="3343" max="3350" width="6.42578125" style="1368" customWidth="1"/>
    <col min="3351" max="3351" width="10.7109375" style="1368" bestFit="1" customWidth="1"/>
    <col min="3352" max="3585" width="9.140625" style="1368"/>
    <col min="3586" max="3586" width="2.42578125" style="1368" customWidth="1"/>
    <col min="3587" max="3587" width="5.140625" style="1368" customWidth="1"/>
    <col min="3588" max="3588" width="15.42578125" style="1368" customWidth="1"/>
    <col min="3589" max="3589" width="10" style="1368" customWidth="1"/>
    <col min="3590" max="3590" width="18.42578125" style="1368" customWidth="1"/>
    <col min="3591" max="3591" width="5.140625" style="1368" customWidth="1"/>
    <col min="3592" max="3592" width="15.42578125" style="1368" customWidth="1"/>
    <col min="3593" max="3593" width="10" style="1368" customWidth="1"/>
    <col min="3594" max="3594" width="18.42578125" style="1368" customWidth="1"/>
    <col min="3595" max="3596" width="5.140625" style="1368" customWidth="1"/>
    <col min="3597" max="3597" width="5.28515625" style="1368" customWidth="1"/>
    <col min="3598" max="3598" width="11" style="1368" customWidth="1"/>
    <col min="3599" max="3606" width="6.42578125" style="1368" customWidth="1"/>
    <col min="3607" max="3607" width="10.7109375" style="1368" bestFit="1" customWidth="1"/>
    <col min="3608" max="3841" width="9.140625" style="1368"/>
    <col min="3842" max="3842" width="2.42578125" style="1368" customWidth="1"/>
    <col min="3843" max="3843" width="5.140625" style="1368" customWidth="1"/>
    <col min="3844" max="3844" width="15.42578125" style="1368" customWidth="1"/>
    <col min="3845" max="3845" width="10" style="1368" customWidth="1"/>
    <col min="3846" max="3846" width="18.42578125" style="1368" customWidth="1"/>
    <col min="3847" max="3847" width="5.140625" style="1368" customWidth="1"/>
    <col min="3848" max="3848" width="15.42578125" style="1368" customWidth="1"/>
    <col min="3849" max="3849" width="10" style="1368" customWidth="1"/>
    <col min="3850" max="3850" width="18.42578125" style="1368" customWidth="1"/>
    <col min="3851" max="3852" width="5.140625" style="1368" customWidth="1"/>
    <col min="3853" max="3853" width="5.28515625" style="1368" customWidth="1"/>
    <col min="3854" max="3854" width="11" style="1368" customWidth="1"/>
    <col min="3855" max="3862" width="6.42578125" style="1368" customWidth="1"/>
    <col min="3863" max="3863" width="10.7109375" style="1368" bestFit="1" customWidth="1"/>
    <col min="3864" max="4097" width="9.140625" style="1368"/>
    <col min="4098" max="4098" width="2.42578125" style="1368" customWidth="1"/>
    <col min="4099" max="4099" width="5.140625" style="1368" customWidth="1"/>
    <col min="4100" max="4100" width="15.42578125" style="1368" customWidth="1"/>
    <col min="4101" max="4101" width="10" style="1368" customWidth="1"/>
    <col min="4102" max="4102" width="18.42578125" style="1368" customWidth="1"/>
    <col min="4103" max="4103" width="5.140625" style="1368" customWidth="1"/>
    <col min="4104" max="4104" width="15.42578125" style="1368" customWidth="1"/>
    <col min="4105" max="4105" width="10" style="1368" customWidth="1"/>
    <col min="4106" max="4106" width="18.42578125" style="1368" customWidth="1"/>
    <col min="4107" max="4108" width="5.140625" style="1368" customWidth="1"/>
    <col min="4109" max="4109" width="5.28515625" style="1368" customWidth="1"/>
    <col min="4110" max="4110" width="11" style="1368" customWidth="1"/>
    <col min="4111" max="4118" width="6.42578125" style="1368" customWidth="1"/>
    <col min="4119" max="4119" width="10.7109375" style="1368" bestFit="1" customWidth="1"/>
    <col min="4120" max="4353" width="9.140625" style="1368"/>
    <col min="4354" max="4354" width="2.42578125" style="1368" customWidth="1"/>
    <col min="4355" max="4355" width="5.140625" style="1368" customWidth="1"/>
    <col min="4356" max="4356" width="15.42578125" style="1368" customWidth="1"/>
    <col min="4357" max="4357" width="10" style="1368" customWidth="1"/>
    <col min="4358" max="4358" width="18.42578125" style="1368" customWidth="1"/>
    <col min="4359" max="4359" width="5.140625" style="1368" customWidth="1"/>
    <col min="4360" max="4360" width="15.42578125" style="1368" customWidth="1"/>
    <col min="4361" max="4361" width="10" style="1368" customWidth="1"/>
    <col min="4362" max="4362" width="18.42578125" style="1368" customWidth="1"/>
    <col min="4363" max="4364" width="5.140625" style="1368" customWidth="1"/>
    <col min="4365" max="4365" width="5.28515625" style="1368" customWidth="1"/>
    <col min="4366" max="4366" width="11" style="1368" customWidth="1"/>
    <col min="4367" max="4374" width="6.42578125" style="1368" customWidth="1"/>
    <col min="4375" max="4375" width="10.7109375" style="1368" bestFit="1" customWidth="1"/>
    <col min="4376" max="4609" width="9.140625" style="1368"/>
    <col min="4610" max="4610" width="2.42578125" style="1368" customWidth="1"/>
    <col min="4611" max="4611" width="5.140625" style="1368" customWidth="1"/>
    <col min="4612" max="4612" width="15.42578125" style="1368" customWidth="1"/>
    <col min="4613" max="4613" width="10" style="1368" customWidth="1"/>
    <col min="4614" max="4614" width="18.42578125" style="1368" customWidth="1"/>
    <col min="4615" max="4615" width="5.140625" style="1368" customWidth="1"/>
    <col min="4616" max="4616" width="15.42578125" style="1368" customWidth="1"/>
    <col min="4617" max="4617" width="10" style="1368" customWidth="1"/>
    <col min="4618" max="4618" width="18.42578125" style="1368" customWidth="1"/>
    <col min="4619" max="4620" width="5.140625" style="1368" customWidth="1"/>
    <col min="4621" max="4621" width="5.28515625" style="1368" customWidth="1"/>
    <col min="4622" max="4622" width="11" style="1368" customWidth="1"/>
    <col min="4623" max="4630" width="6.42578125" style="1368" customWidth="1"/>
    <col min="4631" max="4631" width="10.7109375" style="1368" bestFit="1" customWidth="1"/>
    <col min="4632" max="4865" width="9.140625" style="1368"/>
    <col min="4866" max="4866" width="2.42578125" style="1368" customWidth="1"/>
    <col min="4867" max="4867" width="5.140625" style="1368" customWidth="1"/>
    <col min="4868" max="4868" width="15.42578125" style="1368" customWidth="1"/>
    <col min="4869" max="4869" width="10" style="1368" customWidth="1"/>
    <col min="4870" max="4870" width="18.42578125" style="1368" customWidth="1"/>
    <col min="4871" max="4871" width="5.140625" style="1368" customWidth="1"/>
    <col min="4872" max="4872" width="15.42578125" style="1368" customWidth="1"/>
    <col min="4873" max="4873" width="10" style="1368" customWidth="1"/>
    <col min="4874" max="4874" width="18.42578125" style="1368" customWidth="1"/>
    <col min="4875" max="4876" width="5.140625" style="1368" customWidth="1"/>
    <col min="4877" max="4877" width="5.28515625" style="1368" customWidth="1"/>
    <col min="4878" max="4878" width="11" style="1368" customWidth="1"/>
    <col min="4879" max="4886" width="6.42578125" style="1368" customWidth="1"/>
    <col min="4887" max="4887" width="10.7109375" style="1368" bestFit="1" customWidth="1"/>
    <col min="4888" max="5121" width="9.140625" style="1368"/>
    <col min="5122" max="5122" width="2.42578125" style="1368" customWidth="1"/>
    <col min="5123" max="5123" width="5.140625" style="1368" customWidth="1"/>
    <col min="5124" max="5124" width="15.42578125" style="1368" customWidth="1"/>
    <col min="5125" max="5125" width="10" style="1368" customWidth="1"/>
    <col min="5126" max="5126" width="18.42578125" style="1368" customWidth="1"/>
    <col min="5127" max="5127" width="5.140625" style="1368" customWidth="1"/>
    <col min="5128" max="5128" width="15.42578125" style="1368" customWidth="1"/>
    <col min="5129" max="5129" width="10" style="1368" customWidth="1"/>
    <col min="5130" max="5130" width="18.42578125" style="1368" customWidth="1"/>
    <col min="5131" max="5132" width="5.140625" style="1368" customWidth="1"/>
    <col min="5133" max="5133" width="5.28515625" style="1368" customWidth="1"/>
    <col min="5134" max="5134" width="11" style="1368" customWidth="1"/>
    <col min="5135" max="5142" width="6.42578125" style="1368" customWidth="1"/>
    <col min="5143" max="5143" width="10.7109375" style="1368" bestFit="1" customWidth="1"/>
    <col min="5144" max="5377" width="9.140625" style="1368"/>
    <col min="5378" max="5378" width="2.42578125" style="1368" customWidth="1"/>
    <col min="5379" max="5379" width="5.140625" style="1368" customWidth="1"/>
    <col min="5380" max="5380" width="15.42578125" style="1368" customWidth="1"/>
    <col min="5381" max="5381" width="10" style="1368" customWidth="1"/>
    <col min="5382" max="5382" width="18.42578125" style="1368" customWidth="1"/>
    <col min="5383" max="5383" width="5.140625" style="1368" customWidth="1"/>
    <col min="5384" max="5384" width="15.42578125" style="1368" customWidth="1"/>
    <col min="5385" max="5385" width="10" style="1368" customWidth="1"/>
    <col min="5386" max="5386" width="18.42578125" style="1368" customWidth="1"/>
    <col min="5387" max="5388" width="5.140625" style="1368" customWidth="1"/>
    <col min="5389" max="5389" width="5.28515625" style="1368" customWidth="1"/>
    <col min="5390" max="5390" width="11" style="1368" customWidth="1"/>
    <col min="5391" max="5398" width="6.42578125" style="1368" customWidth="1"/>
    <col min="5399" max="5399" width="10.7109375" style="1368" bestFit="1" customWidth="1"/>
    <col min="5400" max="5633" width="9.140625" style="1368"/>
    <col min="5634" max="5634" width="2.42578125" style="1368" customWidth="1"/>
    <col min="5635" max="5635" width="5.140625" style="1368" customWidth="1"/>
    <col min="5636" max="5636" width="15.42578125" style="1368" customWidth="1"/>
    <col min="5637" max="5637" width="10" style="1368" customWidth="1"/>
    <col min="5638" max="5638" width="18.42578125" style="1368" customWidth="1"/>
    <col min="5639" max="5639" width="5.140625" style="1368" customWidth="1"/>
    <col min="5640" max="5640" width="15.42578125" style="1368" customWidth="1"/>
    <col min="5641" max="5641" width="10" style="1368" customWidth="1"/>
    <col min="5642" max="5642" width="18.42578125" style="1368" customWidth="1"/>
    <col min="5643" max="5644" width="5.140625" style="1368" customWidth="1"/>
    <col min="5645" max="5645" width="5.28515625" style="1368" customWidth="1"/>
    <col min="5646" max="5646" width="11" style="1368" customWidth="1"/>
    <col min="5647" max="5654" width="6.42578125" style="1368" customWidth="1"/>
    <col min="5655" max="5655" width="10.7109375" style="1368" bestFit="1" customWidth="1"/>
    <col min="5656" max="5889" width="9.140625" style="1368"/>
    <col min="5890" max="5890" width="2.42578125" style="1368" customWidth="1"/>
    <col min="5891" max="5891" width="5.140625" style="1368" customWidth="1"/>
    <col min="5892" max="5892" width="15.42578125" style="1368" customWidth="1"/>
    <col min="5893" max="5893" width="10" style="1368" customWidth="1"/>
    <col min="5894" max="5894" width="18.42578125" style="1368" customWidth="1"/>
    <col min="5895" max="5895" width="5.140625" style="1368" customWidth="1"/>
    <col min="5896" max="5896" width="15.42578125" style="1368" customWidth="1"/>
    <col min="5897" max="5897" width="10" style="1368" customWidth="1"/>
    <col min="5898" max="5898" width="18.42578125" style="1368" customWidth="1"/>
    <col min="5899" max="5900" width="5.140625" style="1368" customWidth="1"/>
    <col min="5901" max="5901" width="5.28515625" style="1368" customWidth="1"/>
    <col min="5902" max="5902" width="11" style="1368" customWidth="1"/>
    <col min="5903" max="5910" width="6.42578125" style="1368" customWidth="1"/>
    <col min="5911" max="5911" width="10.7109375" style="1368" bestFit="1" customWidth="1"/>
    <col min="5912" max="6145" width="9.140625" style="1368"/>
    <col min="6146" max="6146" width="2.42578125" style="1368" customWidth="1"/>
    <col min="6147" max="6147" width="5.140625" style="1368" customWidth="1"/>
    <col min="6148" max="6148" width="15.42578125" style="1368" customWidth="1"/>
    <col min="6149" max="6149" width="10" style="1368" customWidth="1"/>
    <col min="6150" max="6150" width="18.42578125" style="1368" customWidth="1"/>
    <col min="6151" max="6151" width="5.140625" style="1368" customWidth="1"/>
    <col min="6152" max="6152" width="15.42578125" style="1368" customWidth="1"/>
    <col min="6153" max="6153" width="10" style="1368" customWidth="1"/>
    <col min="6154" max="6154" width="18.42578125" style="1368" customWidth="1"/>
    <col min="6155" max="6156" width="5.140625" style="1368" customWidth="1"/>
    <col min="6157" max="6157" width="5.28515625" style="1368" customWidth="1"/>
    <col min="6158" max="6158" width="11" style="1368" customWidth="1"/>
    <col min="6159" max="6166" width="6.42578125" style="1368" customWidth="1"/>
    <col min="6167" max="6167" width="10.7109375" style="1368" bestFit="1" customWidth="1"/>
    <col min="6168" max="6401" width="9.140625" style="1368"/>
    <col min="6402" max="6402" width="2.42578125" style="1368" customWidth="1"/>
    <col min="6403" max="6403" width="5.140625" style="1368" customWidth="1"/>
    <col min="6404" max="6404" width="15.42578125" style="1368" customWidth="1"/>
    <col min="6405" max="6405" width="10" style="1368" customWidth="1"/>
    <col min="6406" max="6406" width="18.42578125" style="1368" customWidth="1"/>
    <col min="6407" max="6407" width="5.140625" style="1368" customWidth="1"/>
    <col min="6408" max="6408" width="15.42578125" style="1368" customWidth="1"/>
    <col min="6409" max="6409" width="10" style="1368" customWidth="1"/>
    <col min="6410" max="6410" width="18.42578125" style="1368" customWidth="1"/>
    <col min="6411" max="6412" width="5.140625" style="1368" customWidth="1"/>
    <col min="6413" max="6413" width="5.28515625" style="1368" customWidth="1"/>
    <col min="6414" max="6414" width="11" style="1368" customWidth="1"/>
    <col min="6415" max="6422" width="6.42578125" style="1368" customWidth="1"/>
    <col min="6423" max="6423" width="10.7109375" style="1368" bestFit="1" customWidth="1"/>
    <col min="6424" max="6657" width="9.140625" style="1368"/>
    <col min="6658" max="6658" width="2.42578125" style="1368" customWidth="1"/>
    <col min="6659" max="6659" width="5.140625" style="1368" customWidth="1"/>
    <col min="6660" max="6660" width="15.42578125" style="1368" customWidth="1"/>
    <col min="6661" max="6661" width="10" style="1368" customWidth="1"/>
    <col min="6662" max="6662" width="18.42578125" style="1368" customWidth="1"/>
    <col min="6663" max="6663" width="5.140625" style="1368" customWidth="1"/>
    <col min="6664" max="6664" width="15.42578125" style="1368" customWidth="1"/>
    <col min="6665" max="6665" width="10" style="1368" customWidth="1"/>
    <col min="6666" max="6666" width="18.42578125" style="1368" customWidth="1"/>
    <col min="6667" max="6668" width="5.140625" style="1368" customWidth="1"/>
    <col min="6669" max="6669" width="5.28515625" style="1368" customWidth="1"/>
    <col min="6670" max="6670" width="11" style="1368" customWidth="1"/>
    <col min="6671" max="6678" width="6.42578125" style="1368" customWidth="1"/>
    <col min="6679" max="6679" width="10.7109375" style="1368" bestFit="1" customWidth="1"/>
    <col min="6680" max="6913" width="9.140625" style="1368"/>
    <col min="6914" max="6914" width="2.42578125" style="1368" customWidth="1"/>
    <col min="6915" max="6915" width="5.140625" style="1368" customWidth="1"/>
    <col min="6916" max="6916" width="15.42578125" style="1368" customWidth="1"/>
    <col min="6917" max="6917" width="10" style="1368" customWidth="1"/>
    <col min="6918" max="6918" width="18.42578125" style="1368" customWidth="1"/>
    <col min="6919" max="6919" width="5.140625" style="1368" customWidth="1"/>
    <col min="6920" max="6920" width="15.42578125" style="1368" customWidth="1"/>
    <col min="6921" max="6921" width="10" style="1368" customWidth="1"/>
    <col min="6922" max="6922" width="18.42578125" style="1368" customWidth="1"/>
    <col min="6923" max="6924" width="5.140625" style="1368" customWidth="1"/>
    <col min="6925" max="6925" width="5.28515625" style="1368" customWidth="1"/>
    <col min="6926" max="6926" width="11" style="1368" customWidth="1"/>
    <col min="6927" max="6934" width="6.42578125" style="1368" customWidth="1"/>
    <col min="6935" max="6935" width="10.7109375" style="1368" bestFit="1" customWidth="1"/>
    <col min="6936" max="7169" width="9.140625" style="1368"/>
    <col min="7170" max="7170" width="2.42578125" style="1368" customWidth="1"/>
    <col min="7171" max="7171" width="5.140625" style="1368" customWidth="1"/>
    <col min="7172" max="7172" width="15.42578125" style="1368" customWidth="1"/>
    <col min="7173" max="7173" width="10" style="1368" customWidth="1"/>
    <col min="7174" max="7174" width="18.42578125" style="1368" customWidth="1"/>
    <col min="7175" max="7175" width="5.140625" style="1368" customWidth="1"/>
    <col min="7176" max="7176" width="15.42578125" style="1368" customWidth="1"/>
    <col min="7177" max="7177" width="10" style="1368" customWidth="1"/>
    <col min="7178" max="7178" width="18.42578125" style="1368" customWidth="1"/>
    <col min="7179" max="7180" width="5.140625" style="1368" customWidth="1"/>
    <col min="7181" max="7181" width="5.28515625" style="1368" customWidth="1"/>
    <col min="7182" max="7182" width="11" style="1368" customWidth="1"/>
    <col min="7183" max="7190" width="6.42578125" style="1368" customWidth="1"/>
    <col min="7191" max="7191" width="10.7109375" style="1368" bestFit="1" customWidth="1"/>
    <col min="7192" max="7425" width="9.140625" style="1368"/>
    <col min="7426" max="7426" width="2.42578125" style="1368" customWidth="1"/>
    <col min="7427" max="7427" width="5.140625" style="1368" customWidth="1"/>
    <col min="7428" max="7428" width="15.42578125" style="1368" customWidth="1"/>
    <col min="7429" max="7429" width="10" style="1368" customWidth="1"/>
    <col min="7430" max="7430" width="18.42578125" style="1368" customWidth="1"/>
    <col min="7431" max="7431" width="5.140625" style="1368" customWidth="1"/>
    <col min="7432" max="7432" width="15.42578125" style="1368" customWidth="1"/>
    <col min="7433" max="7433" width="10" style="1368" customWidth="1"/>
    <col min="7434" max="7434" width="18.42578125" style="1368" customWidth="1"/>
    <col min="7435" max="7436" width="5.140625" style="1368" customWidth="1"/>
    <col min="7437" max="7437" width="5.28515625" style="1368" customWidth="1"/>
    <col min="7438" max="7438" width="11" style="1368" customWidth="1"/>
    <col min="7439" max="7446" width="6.42578125" style="1368" customWidth="1"/>
    <col min="7447" max="7447" width="10.7109375" style="1368" bestFit="1" customWidth="1"/>
    <col min="7448" max="7681" width="9.140625" style="1368"/>
    <col min="7682" max="7682" width="2.42578125" style="1368" customWidth="1"/>
    <col min="7683" max="7683" width="5.140625" style="1368" customWidth="1"/>
    <col min="7684" max="7684" width="15.42578125" style="1368" customWidth="1"/>
    <col min="7685" max="7685" width="10" style="1368" customWidth="1"/>
    <col min="7686" max="7686" width="18.42578125" style="1368" customWidth="1"/>
    <col min="7687" max="7687" width="5.140625" style="1368" customWidth="1"/>
    <col min="7688" max="7688" width="15.42578125" style="1368" customWidth="1"/>
    <col min="7689" max="7689" width="10" style="1368" customWidth="1"/>
    <col min="7690" max="7690" width="18.42578125" style="1368" customWidth="1"/>
    <col min="7691" max="7692" width="5.140625" style="1368" customWidth="1"/>
    <col min="7693" max="7693" width="5.28515625" style="1368" customWidth="1"/>
    <col min="7694" max="7694" width="11" style="1368" customWidth="1"/>
    <col min="7695" max="7702" width="6.42578125" style="1368" customWidth="1"/>
    <col min="7703" max="7703" width="10.7109375" style="1368" bestFit="1" customWidth="1"/>
    <col min="7704" max="7937" width="9.140625" style="1368"/>
    <col min="7938" max="7938" width="2.42578125" style="1368" customWidth="1"/>
    <col min="7939" max="7939" width="5.140625" style="1368" customWidth="1"/>
    <col min="7940" max="7940" width="15.42578125" style="1368" customWidth="1"/>
    <col min="7941" max="7941" width="10" style="1368" customWidth="1"/>
    <col min="7942" max="7942" width="18.42578125" style="1368" customWidth="1"/>
    <col min="7943" max="7943" width="5.140625" style="1368" customWidth="1"/>
    <col min="7944" max="7944" width="15.42578125" style="1368" customWidth="1"/>
    <col min="7945" max="7945" width="10" style="1368" customWidth="1"/>
    <col min="7946" max="7946" width="18.42578125" style="1368" customWidth="1"/>
    <col min="7947" max="7948" width="5.140625" style="1368" customWidth="1"/>
    <col min="7949" max="7949" width="5.28515625" style="1368" customWidth="1"/>
    <col min="7950" max="7950" width="11" style="1368" customWidth="1"/>
    <col min="7951" max="7958" width="6.42578125" style="1368" customWidth="1"/>
    <col min="7959" max="7959" width="10.7109375" style="1368" bestFit="1" customWidth="1"/>
    <col min="7960" max="8193" width="9.140625" style="1368"/>
    <col min="8194" max="8194" width="2.42578125" style="1368" customWidth="1"/>
    <col min="8195" max="8195" width="5.140625" style="1368" customWidth="1"/>
    <col min="8196" max="8196" width="15.42578125" style="1368" customWidth="1"/>
    <col min="8197" max="8197" width="10" style="1368" customWidth="1"/>
    <col min="8198" max="8198" width="18.42578125" style="1368" customWidth="1"/>
    <col min="8199" max="8199" width="5.140625" style="1368" customWidth="1"/>
    <col min="8200" max="8200" width="15.42578125" style="1368" customWidth="1"/>
    <col min="8201" max="8201" width="10" style="1368" customWidth="1"/>
    <col min="8202" max="8202" width="18.42578125" style="1368" customWidth="1"/>
    <col min="8203" max="8204" width="5.140625" style="1368" customWidth="1"/>
    <col min="8205" max="8205" width="5.28515625" style="1368" customWidth="1"/>
    <col min="8206" max="8206" width="11" style="1368" customWidth="1"/>
    <col min="8207" max="8214" width="6.42578125" style="1368" customWidth="1"/>
    <col min="8215" max="8215" width="10.7109375" style="1368" bestFit="1" customWidth="1"/>
    <col min="8216" max="8449" width="9.140625" style="1368"/>
    <col min="8450" max="8450" width="2.42578125" style="1368" customWidth="1"/>
    <col min="8451" max="8451" width="5.140625" style="1368" customWidth="1"/>
    <col min="8452" max="8452" width="15.42578125" style="1368" customWidth="1"/>
    <col min="8453" max="8453" width="10" style="1368" customWidth="1"/>
    <col min="8454" max="8454" width="18.42578125" style="1368" customWidth="1"/>
    <col min="8455" max="8455" width="5.140625" style="1368" customWidth="1"/>
    <col min="8456" max="8456" width="15.42578125" style="1368" customWidth="1"/>
    <col min="8457" max="8457" width="10" style="1368" customWidth="1"/>
    <col min="8458" max="8458" width="18.42578125" style="1368" customWidth="1"/>
    <col min="8459" max="8460" width="5.140625" style="1368" customWidth="1"/>
    <col min="8461" max="8461" width="5.28515625" style="1368" customWidth="1"/>
    <col min="8462" max="8462" width="11" style="1368" customWidth="1"/>
    <col min="8463" max="8470" width="6.42578125" style="1368" customWidth="1"/>
    <col min="8471" max="8471" width="10.7109375" style="1368" bestFit="1" customWidth="1"/>
    <col min="8472" max="8705" width="9.140625" style="1368"/>
    <col min="8706" max="8706" width="2.42578125" style="1368" customWidth="1"/>
    <col min="8707" max="8707" width="5.140625" style="1368" customWidth="1"/>
    <col min="8708" max="8708" width="15.42578125" style="1368" customWidth="1"/>
    <col min="8709" max="8709" width="10" style="1368" customWidth="1"/>
    <col min="8710" max="8710" width="18.42578125" style="1368" customWidth="1"/>
    <col min="8711" max="8711" width="5.140625" style="1368" customWidth="1"/>
    <col min="8712" max="8712" width="15.42578125" style="1368" customWidth="1"/>
    <col min="8713" max="8713" width="10" style="1368" customWidth="1"/>
    <col min="8714" max="8714" width="18.42578125" style="1368" customWidth="1"/>
    <col min="8715" max="8716" width="5.140625" style="1368" customWidth="1"/>
    <col min="8717" max="8717" width="5.28515625" style="1368" customWidth="1"/>
    <col min="8718" max="8718" width="11" style="1368" customWidth="1"/>
    <col min="8719" max="8726" width="6.42578125" style="1368" customWidth="1"/>
    <col min="8727" max="8727" width="10.7109375" style="1368" bestFit="1" customWidth="1"/>
    <col min="8728" max="8961" width="9.140625" style="1368"/>
    <col min="8962" max="8962" width="2.42578125" style="1368" customWidth="1"/>
    <col min="8963" max="8963" width="5.140625" style="1368" customWidth="1"/>
    <col min="8964" max="8964" width="15.42578125" style="1368" customWidth="1"/>
    <col min="8965" max="8965" width="10" style="1368" customWidth="1"/>
    <col min="8966" max="8966" width="18.42578125" style="1368" customWidth="1"/>
    <col min="8967" max="8967" width="5.140625" style="1368" customWidth="1"/>
    <col min="8968" max="8968" width="15.42578125" style="1368" customWidth="1"/>
    <col min="8969" max="8969" width="10" style="1368" customWidth="1"/>
    <col min="8970" max="8970" width="18.42578125" style="1368" customWidth="1"/>
    <col min="8971" max="8972" width="5.140625" style="1368" customWidth="1"/>
    <col min="8973" max="8973" width="5.28515625" style="1368" customWidth="1"/>
    <col min="8974" max="8974" width="11" style="1368" customWidth="1"/>
    <col min="8975" max="8982" width="6.42578125" style="1368" customWidth="1"/>
    <col min="8983" max="8983" width="10.7109375" style="1368" bestFit="1" customWidth="1"/>
    <col min="8984" max="9217" width="9.140625" style="1368"/>
    <col min="9218" max="9218" width="2.42578125" style="1368" customWidth="1"/>
    <col min="9219" max="9219" width="5.140625" style="1368" customWidth="1"/>
    <col min="9220" max="9220" width="15.42578125" style="1368" customWidth="1"/>
    <col min="9221" max="9221" width="10" style="1368" customWidth="1"/>
    <col min="9222" max="9222" width="18.42578125" style="1368" customWidth="1"/>
    <col min="9223" max="9223" width="5.140625" style="1368" customWidth="1"/>
    <col min="9224" max="9224" width="15.42578125" style="1368" customWidth="1"/>
    <col min="9225" max="9225" width="10" style="1368" customWidth="1"/>
    <col min="9226" max="9226" width="18.42578125" style="1368" customWidth="1"/>
    <col min="9227" max="9228" width="5.140625" style="1368" customWidth="1"/>
    <col min="9229" max="9229" width="5.28515625" style="1368" customWidth="1"/>
    <col min="9230" max="9230" width="11" style="1368" customWidth="1"/>
    <col min="9231" max="9238" width="6.42578125" style="1368" customWidth="1"/>
    <col min="9239" max="9239" width="10.7109375" style="1368" bestFit="1" customWidth="1"/>
    <col min="9240" max="9473" width="9.140625" style="1368"/>
    <col min="9474" max="9474" width="2.42578125" style="1368" customWidth="1"/>
    <col min="9475" max="9475" width="5.140625" style="1368" customWidth="1"/>
    <col min="9476" max="9476" width="15.42578125" style="1368" customWidth="1"/>
    <col min="9477" max="9477" width="10" style="1368" customWidth="1"/>
    <col min="9478" max="9478" width="18.42578125" style="1368" customWidth="1"/>
    <col min="9479" max="9479" width="5.140625" style="1368" customWidth="1"/>
    <col min="9480" max="9480" width="15.42578125" style="1368" customWidth="1"/>
    <col min="9481" max="9481" width="10" style="1368" customWidth="1"/>
    <col min="9482" max="9482" width="18.42578125" style="1368" customWidth="1"/>
    <col min="9483" max="9484" width="5.140625" style="1368" customWidth="1"/>
    <col min="9485" max="9485" width="5.28515625" style="1368" customWidth="1"/>
    <col min="9486" max="9486" width="11" style="1368" customWidth="1"/>
    <col min="9487" max="9494" width="6.42578125" style="1368" customWidth="1"/>
    <col min="9495" max="9495" width="10.7109375" style="1368" bestFit="1" customWidth="1"/>
    <col min="9496" max="9729" width="9.140625" style="1368"/>
    <col min="9730" max="9730" width="2.42578125" style="1368" customWidth="1"/>
    <col min="9731" max="9731" width="5.140625" style="1368" customWidth="1"/>
    <col min="9732" max="9732" width="15.42578125" style="1368" customWidth="1"/>
    <col min="9733" max="9733" width="10" style="1368" customWidth="1"/>
    <col min="9734" max="9734" width="18.42578125" style="1368" customWidth="1"/>
    <col min="9735" max="9735" width="5.140625" style="1368" customWidth="1"/>
    <col min="9736" max="9736" width="15.42578125" style="1368" customWidth="1"/>
    <col min="9737" max="9737" width="10" style="1368" customWidth="1"/>
    <col min="9738" max="9738" width="18.42578125" style="1368" customWidth="1"/>
    <col min="9739" max="9740" width="5.140625" style="1368" customWidth="1"/>
    <col min="9741" max="9741" width="5.28515625" style="1368" customWidth="1"/>
    <col min="9742" max="9742" width="11" style="1368" customWidth="1"/>
    <col min="9743" max="9750" width="6.42578125" style="1368" customWidth="1"/>
    <col min="9751" max="9751" width="10.7109375" style="1368" bestFit="1" customWidth="1"/>
    <col min="9752" max="9985" width="9.140625" style="1368"/>
    <col min="9986" max="9986" width="2.42578125" style="1368" customWidth="1"/>
    <col min="9987" max="9987" width="5.140625" style="1368" customWidth="1"/>
    <col min="9988" max="9988" width="15.42578125" style="1368" customWidth="1"/>
    <col min="9989" max="9989" width="10" style="1368" customWidth="1"/>
    <col min="9990" max="9990" width="18.42578125" style="1368" customWidth="1"/>
    <col min="9991" max="9991" width="5.140625" style="1368" customWidth="1"/>
    <col min="9992" max="9992" width="15.42578125" style="1368" customWidth="1"/>
    <col min="9993" max="9993" width="10" style="1368" customWidth="1"/>
    <col min="9994" max="9994" width="18.42578125" style="1368" customWidth="1"/>
    <col min="9995" max="9996" width="5.140625" style="1368" customWidth="1"/>
    <col min="9997" max="9997" width="5.28515625" style="1368" customWidth="1"/>
    <col min="9998" max="9998" width="11" style="1368" customWidth="1"/>
    <col min="9999" max="10006" width="6.42578125" style="1368" customWidth="1"/>
    <col min="10007" max="10007" width="10.7109375" style="1368" bestFit="1" customWidth="1"/>
    <col min="10008" max="10241" width="9.140625" style="1368"/>
    <col min="10242" max="10242" width="2.42578125" style="1368" customWidth="1"/>
    <col min="10243" max="10243" width="5.140625" style="1368" customWidth="1"/>
    <col min="10244" max="10244" width="15.42578125" style="1368" customWidth="1"/>
    <col min="10245" max="10245" width="10" style="1368" customWidth="1"/>
    <col min="10246" max="10246" width="18.42578125" style="1368" customWidth="1"/>
    <col min="10247" max="10247" width="5.140625" style="1368" customWidth="1"/>
    <col min="10248" max="10248" width="15.42578125" style="1368" customWidth="1"/>
    <col min="10249" max="10249" width="10" style="1368" customWidth="1"/>
    <col min="10250" max="10250" width="18.42578125" style="1368" customWidth="1"/>
    <col min="10251" max="10252" width="5.140625" style="1368" customWidth="1"/>
    <col min="10253" max="10253" width="5.28515625" style="1368" customWidth="1"/>
    <col min="10254" max="10254" width="11" style="1368" customWidth="1"/>
    <col min="10255" max="10262" width="6.42578125" style="1368" customWidth="1"/>
    <col min="10263" max="10263" width="10.7109375" style="1368" bestFit="1" customWidth="1"/>
    <col min="10264" max="10497" width="9.140625" style="1368"/>
    <col min="10498" max="10498" width="2.42578125" style="1368" customWidth="1"/>
    <col min="10499" max="10499" width="5.140625" style="1368" customWidth="1"/>
    <col min="10500" max="10500" width="15.42578125" style="1368" customWidth="1"/>
    <col min="10501" max="10501" width="10" style="1368" customWidth="1"/>
    <col min="10502" max="10502" width="18.42578125" style="1368" customWidth="1"/>
    <col min="10503" max="10503" width="5.140625" style="1368" customWidth="1"/>
    <col min="10504" max="10504" width="15.42578125" style="1368" customWidth="1"/>
    <col min="10505" max="10505" width="10" style="1368" customWidth="1"/>
    <col min="10506" max="10506" width="18.42578125" style="1368" customWidth="1"/>
    <col min="10507" max="10508" width="5.140625" style="1368" customWidth="1"/>
    <col min="10509" max="10509" width="5.28515625" style="1368" customWidth="1"/>
    <col min="10510" max="10510" width="11" style="1368" customWidth="1"/>
    <col min="10511" max="10518" width="6.42578125" style="1368" customWidth="1"/>
    <col min="10519" max="10519" width="10.7109375" style="1368" bestFit="1" customWidth="1"/>
    <col min="10520" max="10753" width="9.140625" style="1368"/>
    <col min="10754" max="10754" width="2.42578125" style="1368" customWidth="1"/>
    <col min="10755" max="10755" width="5.140625" style="1368" customWidth="1"/>
    <col min="10756" max="10756" width="15.42578125" style="1368" customWidth="1"/>
    <col min="10757" max="10757" width="10" style="1368" customWidth="1"/>
    <col min="10758" max="10758" width="18.42578125" style="1368" customWidth="1"/>
    <col min="10759" max="10759" width="5.140625" style="1368" customWidth="1"/>
    <col min="10760" max="10760" width="15.42578125" style="1368" customWidth="1"/>
    <col min="10761" max="10761" width="10" style="1368" customWidth="1"/>
    <col min="10762" max="10762" width="18.42578125" style="1368" customWidth="1"/>
    <col min="10763" max="10764" width="5.140625" style="1368" customWidth="1"/>
    <col min="10765" max="10765" width="5.28515625" style="1368" customWidth="1"/>
    <col min="10766" max="10766" width="11" style="1368" customWidth="1"/>
    <col min="10767" max="10774" width="6.42578125" style="1368" customWidth="1"/>
    <col min="10775" max="10775" width="10.7109375" style="1368" bestFit="1" customWidth="1"/>
    <col min="10776" max="11009" width="9.140625" style="1368"/>
    <col min="11010" max="11010" width="2.42578125" style="1368" customWidth="1"/>
    <col min="11011" max="11011" width="5.140625" style="1368" customWidth="1"/>
    <col min="11012" max="11012" width="15.42578125" style="1368" customWidth="1"/>
    <col min="11013" max="11013" width="10" style="1368" customWidth="1"/>
    <col min="11014" max="11014" width="18.42578125" style="1368" customWidth="1"/>
    <col min="11015" max="11015" width="5.140625" style="1368" customWidth="1"/>
    <col min="11016" max="11016" width="15.42578125" style="1368" customWidth="1"/>
    <col min="11017" max="11017" width="10" style="1368" customWidth="1"/>
    <col min="11018" max="11018" width="18.42578125" style="1368" customWidth="1"/>
    <col min="11019" max="11020" width="5.140625" style="1368" customWidth="1"/>
    <col min="11021" max="11021" width="5.28515625" style="1368" customWidth="1"/>
    <col min="11022" max="11022" width="11" style="1368" customWidth="1"/>
    <col min="11023" max="11030" width="6.42578125" style="1368" customWidth="1"/>
    <col min="11031" max="11031" width="10.7109375" style="1368" bestFit="1" customWidth="1"/>
    <col min="11032" max="11265" width="9.140625" style="1368"/>
    <col min="11266" max="11266" width="2.42578125" style="1368" customWidth="1"/>
    <col min="11267" max="11267" width="5.140625" style="1368" customWidth="1"/>
    <col min="11268" max="11268" width="15.42578125" style="1368" customWidth="1"/>
    <col min="11269" max="11269" width="10" style="1368" customWidth="1"/>
    <col min="11270" max="11270" width="18.42578125" style="1368" customWidth="1"/>
    <col min="11271" max="11271" width="5.140625" style="1368" customWidth="1"/>
    <col min="11272" max="11272" width="15.42578125" style="1368" customWidth="1"/>
    <col min="11273" max="11273" width="10" style="1368" customWidth="1"/>
    <col min="11274" max="11274" width="18.42578125" style="1368" customWidth="1"/>
    <col min="11275" max="11276" width="5.140625" style="1368" customWidth="1"/>
    <col min="11277" max="11277" width="5.28515625" style="1368" customWidth="1"/>
    <col min="11278" max="11278" width="11" style="1368" customWidth="1"/>
    <col min="11279" max="11286" width="6.42578125" style="1368" customWidth="1"/>
    <col min="11287" max="11287" width="10.7109375" style="1368" bestFit="1" customWidth="1"/>
    <col min="11288" max="11521" width="9.140625" style="1368"/>
    <col min="11522" max="11522" width="2.42578125" style="1368" customWidth="1"/>
    <col min="11523" max="11523" width="5.140625" style="1368" customWidth="1"/>
    <col min="11524" max="11524" width="15.42578125" style="1368" customWidth="1"/>
    <col min="11525" max="11525" width="10" style="1368" customWidth="1"/>
    <col min="11526" max="11526" width="18.42578125" style="1368" customWidth="1"/>
    <col min="11527" max="11527" width="5.140625" style="1368" customWidth="1"/>
    <col min="11528" max="11528" width="15.42578125" style="1368" customWidth="1"/>
    <col min="11529" max="11529" width="10" style="1368" customWidth="1"/>
    <col min="11530" max="11530" width="18.42578125" style="1368" customWidth="1"/>
    <col min="11531" max="11532" width="5.140625" style="1368" customWidth="1"/>
    <col min="11533" max="11533" width="5.28515625" style="1368" customWidth="1"/>
    <col min="11534" max="11534" width="11" style="1368" customWidth="1"/>
    <col min="11535" max="11542" width="6.42578125" style="1368" customWidth="1"/>
    <col min="11543" max="11543" width="10.7109375" style="1368" bestFit="1" customWidth="1"/>
    <col min="11544" max="11777" width="9.140625" style="1368"/>
    <col min="11778" max="11778" width="2.42578125" style="1368" customWidth="1"/>
    <col min="11779" max="11779" width="5.140625" style="1368" customWidth="1"/>
    <col min="11780" max="11780" width="15.42578125" style="1368" customWidth="1"/>
    <col min="11781" max="11781" width="10" style="1368" customWidth="1"/>
    <col min="11782" max="11782" width="18.42578125" style="1368" customWidth="1"/>
    <col min="11783" max="11783" width="5.140625" style="1368" customWidth="1"/>
    <col min="11784" max="11784" width="15.42578125" style="1368" customWidth="1"/>
    <col min="11785" max="11785" width="10" style="1368" customWidth="1"/>
    <col min="11786" max="11786" width="18.42578125" style="1368" customWidth="1"/>
    <col min="11787" max="11788" width="5.140625" style="1368" customWidth="1"/>
    <col min="11789" max="11789" width="5.28515625" style="1368" customWidth="1"/>
    <col min="11790" max="11790" width="11" style="1368" customWidth="1"/>
    <col min="11791" max="11798" width="6.42578125" style="1368" customWidth="1"/>
    <col min="11799" max="11799" width="10.7109375" style="1368" bestFit="1" customWidth="1"/>
    <col min="11800" max="12033" width="9.140625" style="1368"/>
    <col min="12034" max="12034" width="2.42578125" style="1368" customWidth="1"/>
    <col min="12035" max="12035" width="5.140625" style="1368" customWidth="1"/>
    <col min="12036" max="12036" width="15.42578125" style="1368" customWidth="1"/>
    <col min="12037" max="12037" width="10" style="1368" customWidth="1"/>
    <col min="12038" max="12038" width="18.42578125" style="1368" customWidth="1"/>
    <col min="12039" max="12039" width="5.140625" style="1368" customWidth="1"/>
    <col min="12040" max="12040" width="15.42578125" style="1368" customWidth="1"/>
    <col min="12041" max="12041" width="10" style="1368" customWidth="1"/>
    <col min="12042" max="12042" width="18.42578125" style="1368" customWidth="1"/>
    <col min="12043" max="12044" width="5.140625" style="1368" customWidth="1"/>
    <col min="12045" max="12045" width="5.28515625" style="1368" customWidth="1"/>
    <col min="12046" max="12046" width="11" style="1368" customWidth="1"/>
    <col min="12047" max="12054" width="6.42578125" style="1368" customWidth="1"/>
    <col min="12055" max="12055" width="10.7109375" style="1368" bestFit="1" customWidth="1"/>
    <col min="12056" max="12289" width="9.140625" style="1368"/>
    <col min="12290" max="12290" width="2.42578125" style="1368" customWidth="1"/>
    <col min="12291" max="12291" width="5.140625" style="1368" customWidth="1"/>
    <col min="12292" max="12292" width="15.42578125" style="1368" customWidth="1"/>
    <col min="12293" max="12293" width="10" style="1368" customWidth="1"/>
    <col min="12294" max="12294" width="18.42578125" style="1368" customWidth="1"/>
    <col min="12295" max="12295" width="5.140625" style="1368" customWidth="1"/>
    <col min="12296" max="12296" width="15.42578125" style="1368" customWidth="1"/>
    <col min="12297" max="12297" width="10" style="1368" customWidth="1"/>
    <col min="12298" max="12298" width="18.42578125" style="1368" customWidth="1"/>
    <col min="12299" max="12300" width="5.140625" style="1368" customWidth="1"/>
    <col min="12301" max="12301" width="5.28515625" style="1368" customWidth="1"/>
    <col min="12302" max="12302" width="11" style="1368" customWidth="1"/>
    <col min="12303" max="12310" width="6.42578125" style="1368" customWidth="1"/>
    <col min="12311" max="12311" width="10.7109375" style="1368" bestFit="1" customWidth="1"/>
    <col min="12312" max="12545" width="9.140625" style="1368"/>
    <col min="12546" max="12546" width="2.42578125" style="1368" customWidth="1"/>
    <col min="12547" max="12547" width="5.140625" style="1368" customWidth="1"/>
    <col min="12548" max="12548" width="15.42578125" style="1368" customWidth="1"/>
    <col min="12549" max="12549" width="10" style="1368" customWidth="1"/>
    <col min="12550" max="12550" width="18.42578125" style="1368" customWidth="1"/>
    <col min="12551" max="12551" width="5.140625" style="1368" customWidth="1"/>
    <col min="12552" max="12552" width="15.42578125" style="1368" customWidth="1"/>
    <col min="12553" max="12553" width="10" style="1368" customWidth="1"/>
    <col min="12554" max="12554" width="18.42578125" style="1368" customWidth="1"/>
    <col min="12555" max="12556" width="5.140625" style="1368" customWidth="1"/>
    <col min="12557" max="12557" width="5.28515625" style="1368" customWidth="1"/>
    <col min="12558" max="12558" width="11" style="1368" customWidth="1"/>
    <col min="12559" max="12566" width="6.42578125" style="1368" customWidth="1"/>
    <col min="12567" max="12567" width="10.7109375" style="1368" bestFit="1" customWidth="1"/>
    <col min="12568" max="12801" width="9.140625" style="1368"/>
    <col min="12802" max="12802" width="2.42578125" style="1368" customWidth="1"/>
    <col min="12803" max="12803" width="5.140625" style="1368" customWidth="1"/>
    <col min="12804" max="12804" width="15.42578125" style="1368" customWidth="1"/>
    <col min="12805" max="12805" width="10" style="1368" customWidth="1"/>
    <col min="12806" max="12806" width="18.42578125" style="1368" customWidth="1"/>
    <col min="12807" max="12807" width="5.140625" style="1368" customWidth="1"/>
    <col min="12808" max="12808" width="15.42578125" style="1368" customWidth="1"/>
    <col min="12809" max="12809" width="10" style="1368" customWidth="1"/>
    <col min="12810" max="12810" width="18.42578125" style="1368" customWidth="1"/>
    <col min="12811" max="12812" width="5.140625" style="1368" customWidth="1"/>
    <col min="12813" max="12813" width="5.28515625" style="1368" customWidth="1"/>
    <col min="12814" max="12814" width="11" style="1368" customWidth="1"/>
    <col min="12815" max="12822" width="6.42578125" style="1368" customWidth="1"/>
    <col min="12823" max="12823" width="10.7109375" style="1368" bestFit="1" customWidth="1"/>
    <col min="12824" max="13057" width="9.140625" style="1368"/>
    <col min="13058" max="13058" width="2.42578125" style="1368" customWidth="1"/>
    <col min="13059" max="13059" width="5.140625" style="1368" customWidth="1"/>
    <col min="13060" max="13060" width="15.42578125" style="1368" customWidth="1"/>
    <col min="13061" max="13061" width="10" style="1368" customWidth="1"/>
    <col min="13062" max="13062" width="18.42578125" style="1368" customWidth="1"/>
    <col min="13063" max="13063" width="5.140625" style="1368" customWidth="1"/>
    <col min="13064" max="13064" width="15.42578125" style="1368" customWidth="1"/>
    <col min="13065" max="13065" width="10" style="1368" customWidth="1"/>
    <col min="13066" max="13066" width="18.42578125" style="1368" customWidth="1"/>
    <col min="13067" max="13068" width="5.140625" style="1368" customWidth="1"/>
    <col min="13069" max="13069" width="5.28515625" style="1368" customWidth="1"/>
    <col min="13070" max="13070" width="11" style="1368" customWidth="1"/>
    <col min="13071" max="13078" width="6.42578125" style="1368" customWidth="1"/>
    <col min="13079" max="13079" width="10.7109375" style="1368" bestFit="1" customWidth="1"/>
    <col min="13080" max="13313" width="9.140625" style="1368"/>
    <col min="13314" max="13314" width="2.42578125" style="1368" customWidth="1"/>
    <col min="13315" max="13315" width="5.140625" style="1368" customWidth="1"/>
    <col min="13316" max="13316" width="15.42578125" style="1368" customWidth="1"/>
    <col min="13317" max="13317" width="10" style="1368" customWidth="1"/>
    <col min="13318" max="13318" width="18.42578125" style="1368" customWidth="1"/>
    <col min="13319" max="13319" width="5.140625" style="1368" customWidth="1"/>
    <col min="13320" max="13320" width="15.42578125" style="1368" customWidth="1"/>
    <col min="13321" max="13321" width="10" style="1368" customWidth="1"/>
    <col min="13322" max="13322" width="18.42578125" style="1368" customWidth="1"/>
    <col min="13323" max="13324" width="5.140625" style="1368" customWidth="1"/>
    <col min="13325" max="13325" width="5.28515625" style="1368" customWidth="1"/>
    <col min="13326" max="13326" width="11" style="1368" customWidth="1"/>
    <col min="13327" max="13334" width="6.42578125" style="1368" customWidth="1"/>
    <col min="13335" max="13335" width="10.7109375" style="1368" bestFit="1" customWidth="1"/>
    <col min="13336" max="13569" width="9.140625" style="1368"/>
    <col min="13570" max="13570" width="2.42578125" style="1368" customWidth="1"/>
    <col min="13571" max="13571" width="5.140625" style="1368" customWidth="1"/>
    <col min="13572" max="13572" width="15.42578125" style="1368" customWidth="1"/>
    <col min="13573" max="13573" width="10" style="1368" customWidth="1"/>
    <col min="13574" max="13574" width="18.42578125" style="1368" customWidth="1"/>
    <col min="13575" max="13575" width="5.140625" style="1368" customWidth="1"/>
    <col min="13576" max="13576" width="15.42578125" style="1368" customWidth="1"/>
    <col min="13577" max="13577" width="10" style="1368" customWidth="1"/>
    <col min="13578" max="13578" width="18.42578125" style="1368" customWidth="1"/>
    <col min="13579" max="13580" width="5.140625" style="1368" customWidth="1"/>
    <col min="13581" max="13581" width="5.28515625" style="1368" customWidth="1"/>
    <col min="13582" max="13582" width="11" style="1368" customWidth="1"/>
    <col min="13583" max="13590" width="6.42578125" style="1368" customWidth="1"/>
    <col min="13591" max="13591" width="10.7109375" style="1368" bestFit="1" customWidth="1"/>
    <col min="13592" max="13825" width="9.140625" style="1368"/>
    <col min="13826" max="13826" width="2.42578125" style="1368" customWidth="1"/>
    <col min="13827" max="13827" width="5.140625" style="1368" customWidth="1"/>
    <col min="13828" max="13828" width="15.42578125" style="1368" customWidth="1"/>
    <col min="13829" max="13829" width="10" style="1368" customWidth="1"/>
    <col min="13830" max="13830" width="18.42578125" style="1368" customWidth="1"/>
    <col min="13831" max="13831" width="5.140625" style="1368" customWidth="1"/>
    <col min="13832" max="13832" width="15.42578125" style="1368" customWidth="1"/>
    <col min="13833" max="13833" width="10" style="1368" customWidth="1"/>
    <col min="13834" max="13834" width="18.42578125" style="1368" customWidth="1"/>
    <col min="13835" max="13836" width="5.140625" style="1368" customWidth="1"/>
    <col min="13837" max="13837" width="5.28515625" style="1368" customWidth="1"/>
    <col min="13838" max="13838" width="11" style="1368" customWidth="1"/>
    <col min="13839" max="13846" width="6.42578125" style="1368" customWidth="1"/>
    <col min="13847" max="13847" width="10.7109375" style="1368" bestFit="1" customWidth="1"/>
    <col min="13848" max="14081" width="9.140625" style="1368"/>
    <col min="14082" max="14082" width="2.42578125" style="1368" customWidth="1"/>
    <col min="14083" max="14083" width="5.140625" style="1368" customWidth="1"/>
    <col min="14084" max="14084" width="15.42578125" style="1368" customWidth="1"/>
    <col min="14085" max="14085" width="10" style="1368" customWidth="1"/>
    <col min="14086" max="14086" width="18.42578125" style="1368" customWidth="1"/>
    <col min="14087" max="14087" width="5.140625" style="1368" customWidth="1"/>
    <col min="14088" max="14088" width="15.42578125" style="1368" customWidth="1"/>
    <col min="14089" max="14089" width="10" style="1368" customWidth="1"/>
    <col min="14090" max="14090" width="18.42578125" style="1368" customWidth="1"/>
    <col min="14091" max="14092" width="5.140625" style="1368" customWidth="1"/>
    <col min="14093" max="14093" width="5.28515625" style="1368" customWidth="1"/>
    <col min="14094" max="14094" width="11" style="1368" customWidth="1"/>
    <col min="14095" max="14102" width="6.42578125" style="1368" customWidth="1"/>
    <col min="14103" max="14103" width="10.7109375" style="1368" bestFit="1" customWidth="1"/>
    <col min="14104" max="14337" width="9.140625" style="1368"/>
    <col min="14338" max="14338" width="2.42578125" style="1368" customWidth="1"/>
    <col min="14339" max="14339" width="5.140625" style="1368" customWidth="1"/>
    <col min="14340" max="14340" width="15.42578125" style="1368" customWidth="1"/>
    <col min="14341" max="14341" width="10" style="1368" customWidth="1"/>
    <col min="14342" max="14342" width="18.42578125" style="1368" customWidth="1"/>
    <col min="14343" max="14343" width="5.140625" style="1368" customWidth="1"/>
    <col min="14344" max="14344" width="15.42578125" style="1368" customWidth="1"/>
    <col min="14345" max="14345" width="10" style="1368" customWidth="1"/>
    <col min="14346" max="14346" width="18.42578125" style="1368" customWidth="1"/>
    <col min="14347" max="14348" width="5.140625" style="1368" customWidth="1"/>
    <col min="14349" max="14349" width="5.28515625" style="1368" customWidth="1"/>
    <col min="14350" max="14350" width="11" style="1368" customWidth="1"/>
    <col min="14351" max="14358" width="6.42578125" style="1368" customWidth="1"/>
    <col min="14359" max="14359" width="10.7109375" style="1368" bestFit="1" customWidth="1"/>
    <col min="14360" max="14593" width="9.140625" style="1368"/>
    <col min="14594" max="14594" width="2.42578125" style="1368" customWidth="1"/>
    <col min="14595" max="14595" width="5.140625" style="1368" customWidth="1"/>
    <col min="14596" max="14596" width="15.42578125" style="1368" customWidth="1"/>
    <col min="14597" max="14597" width="10" style="1368" customWidth="1"/>
    <col min="14598" max="14598" width="18.42578125" style="1368" customWidth="1"/>
    <col min="14599" max="14599" width="5.140625" style="1368" customWidth="1"/>
    <col min="14600" max="14600" width="15.42578125" style="1368" customWidth="1"/>
    <col min="14601" max="14601" width="10" style="1368" customWidth="1"/>
    <col min="14602" max="14602" width="18.42578125" style="1368" customWidth="1"/>
    <col min="14603" max="14604" width="5.140625" style="1368" customWidth="1"/>
    <col min="14605" max="14605" width="5.28515625" style="1368" customWidth="1"/>
    <col min="14606" max="14606" width="11" style="1368" customWidth="1"/>
    <col min="14607" max="14614" width="6.42578125" style="1368" customWidth="1"/>
    <col min="14615" max="14615" width="10.7109375" style="1368" bestFit="1" customWidth="1"/>
    <col min="14616" max="14849" width="9.140625" style="1368"/>
    <col min="14850" max="14850" width="2.42578125" style="1368" customWidth="1"/>
    <col min="14851" max="14851" width="5.140625" style="1368" customWidth="1"/>
    <col min="14852" max="14852" width="15.42578125" style="1368" customWidth="1"/>
    <col min="14853" max="14853" width="10" style="1368" customWidth="1"/>
    <col min="14854" max="14854" width="18.42578125" style="1368" customWidth="1"/>
    <col min="14855" max="14855" width="5.140625" style="1368" customWidth="1"/>
    <col min="14856" max="14856" width="15.42578125" style="1368" customWidth="1"/>
    <col min="14857" max="14857" width="10" style="1368" customWidth="1"/>
    <col min="14858" max="14858" width="18.42578125" style="1368" customWidth="1"/>
    <col min="14859" max="14860" width="5.140625" style="1368" customWidth="1"/>
    <col min="14861" max="14861" width="5.28515625" style="1368" customWidth="1"/>
    <col min="14862" max="14862" width="11" style="1368" customWidth="1"/>
    <col min="14863" max="14870" width="6.42578125" style="1368" customWidth="1"/>
    <col min="14871" max="14871" width="10.7109375" style="1368" bestFit="1" customWidth="1"/>
    <col min="14872" max="15105" width="9.140625" style="1368"/>
    <col min="15106" max="15106" width="2.42578125" style="1368" customWidth="1"/>
    <col min="15107" max="15107" width="5.140625" style="1368" customWidth="1"/>
    <col min="15108" max="15108" width="15.42578125" style="1368" customWidth="1"/>
    <col min="15109" max="15109" width="10" style="1368" customWidth="1"/>
    <col min="15110" max="15110" width="18.42578125" style="1368" customWidth="1"/>
    <col min="15111" max="15111" width="5.140625" style="1368" customWidth="1"/>
    <col min="15112" max="15112" width="15.42578125" style="1368" customWidth="1"/>
    <col min="15113" max="15113" width="10" style="1368" customWidth="1"/>
    <col min="15114" max="15114" width="18.42578125" style="1368" customWidth="1"/>
    <col min="15115" max="15116" width="5.140625" style="1368" customWidth="1"/>
    <col min="15117" max="15117" width="5.28515625" style="1368" customWidth="1"/>
    <col min="15118" max="15118" width="11" style="1368" customWidth="1"/>
    <col min="15119" max="15126" width="6.42578125" style="1368" customWidth="1"/>
    <col min="15127" max="15127" width="10.7109375" style="1368" bestFit="1" customWidth="1"/>
    <col min="15128" max="15361" width="9.140625" style="1368"/>
    <col min="15362" max="15362" width="2.42578125" style="1368" customWidth="1"/>
    <col min="15363" max="15363" width="5.140625" style="1368" customWidth="1"/>
    <col min="15364" max="15364" width="15.42578125" style="1368" customWidth="1"/>
    <col min="15365" max="15365" width="10" style="1368" customWidth="1"/>
    <col min="15366" max="15366" width="18.42578125" style="1368" customWidth="1"/>
    <col min="15367" max="15367" width="5.140625" style="1368" customWidth="1"/>
    <col min="15368" max="15368" width="15.42578125" style="1368" customWidth="1"/>
    <col min="15369" max="15369" width="10" style="1368" customWidth="1"/>
    <col min="15370" max="15370" width="18.42578125" style="1368" customWidth="1"/>
    <col min="15371" max="15372" width="5.140625" style="1368" customWidth="1"/>
    <col min="15373" max="15373" width="5.28515625" style="1368" customWidth="1"/>
    <col min="15374" max="15374" width="11" style="1368" customWidth="1"/>
    <col min="15375" max="15382" width="6.42578125" style="1368" customWidth="1"/>
    <col min="15383" max="15383" width="10.7109375" style="1368" bestFit="1" customWidth="1"/>
    <col min="15384" max="15617" width="9.140625" style="1368"/>
    <col min="15618" max="15618" width="2.42578125" style="1368" customWidth="1"/>
    <col min="15619" max="15619" width="5.140625" style="1368" customWidth="1"/>
    <col min="15620" max="15620" width="15.42578125" style="1368" customWidth="1"/>
    <col min="15621" max="15621" width="10" style="1368" customWidth="1"/>
    <col min="15622" max="15622" width="18.42578125" style="1368" customWidth="1"/>
    <col min="15623" max="15623" width="5.140625" style="1368" customWidth="1"/>
    <col min="15624" max="15624" width="15.42578125" style="1368" customWidth="1"/>
    <col min="15625" max="15625" width="10" style="1368" customWidth="1"/>
    <col min="15626" max="15626" width="18.42578125" style="1368" customWidth="1"/>
    <col min="15627" max="15628" width="5.140625" style="1368" customWidth="1"/>
    <col min="15629" max="15629" width="5.28515625" style="1368" customWidth="1"/>
    <col min="15630" max="15630" width="11" style="1368" customWidth="1"/>
    <col min="15631" max="15638" width="6.42578125" style="1368" customWidth="1"/>
    <col min="15639" max="15639" width="10.7109375" style="1368" bestFit="1" customWidth="1"/>
    <col min="15640" max="15873" width="9.140625" style="1368"/>
    <col min="15874" max="15874" width="2.42578125" style="1368" customWidth="1"/>
    <col min="15875" max="15875" width="5.140625" style="1368" customWidth="1"/>
    <col min="15876" max="15876" width="15.42578125" style="1368" customWidth="1"/>
    <col min="15877" max="15877" width="10" style="1368" customWidth="1"/>
    <col min="15878" max="15878" width="18.42578125" style="1368" customWidth="1"/>
    <col min="15879" max="15879" width="5.140625" style="1368" customWidth="1"/>
    <col min="15880" max="15880" width="15.42578125" style="1368" customWidth="1"/>
    <col min="15881" max="15881" width="10" style="1368" customWidth="1"/>
    <col min="15882" max="15882" width="18.42578125" style="1368" customWidth="1"/>
    <col min="15883" max="15884" width="5.140625" style="1368" customWidth="1"/>
    <col min="15885" max="15885" width="5.28515625" style="1368" customWidth="1"/>
    <col min="15886" max="15886" width="11" style="1368" customWidth="1"/>
    <col min="15887" max="15894" width="6.42578125" style="1368" customWidth="1"/>
    <col min="15895" max="15895" width="10.7109375" style="1368" bestFit="1" customWidth="1"/>
    <col min="15896" max="16129" width="9.140625" style="1368"/>
    <col min="16130" max="16130" width="2.42578125" style="1368" customWidth="1"/>
    <col min="16131" max="16131" width="5.140625" style="1368" customWidth="1"/>
    <col min="16132" max="16132" width="15.42578125" style="1368" customWidth="1"/>
    <col min="16133" max="16133" width="10" style="1368" customWidth="1"/>
    <col min="16134" max="16134" width="18.42578125" style="1368" customWidth="1"/>
    <col min="16135" max="16135" width="5.140625" style="1368" customWidth="1"/>
    <col min="16136" max="16136" width="15.42578125" style="1368" customWidth="1"/>
    <col min="16137" max="16137" width="10" style="1368" customWidth="1"/>
    <col min="16138" max="16138" width="18.42578125" style="1368" customWidth="1"/>
    <col min="16139" max="16140" width="5.140625" style="1368" customWidth="1"/>
    <col min="16141" max="16141" width="5.28515625" style="1368" customWidth="1"/>
    <col min="16142" max="16142" width="11" style="1368" customWidth="1"/>
    <col min="16143" max="16150" width="6.42578125" style="1368" customWidth="1"/>
    <col min="16151" max="16151" width="10.7109375" style="1368" bestFit="1" customWidth="1"/>
    <col min="16152" max="16384" width="9.140625" style="1368"/>
  </cols>
  <sheetData>
    <row r="1" spans="2:23" ht="7.5" customHeight="1" thickBot="1">
      <c r="B1" s="1515"/>
      <c r="C1" s="1514"/>
      <c r="D1" s="1513"/>
      <c r="E1" s="1512">
        <f>IF(受変!AC6="H",1,0)</f>
        <v>1</v>
      </c>
      <c r="G1" s="1512">
        <v>0</v>
      </c>
      <c r="J1" s="1511"/>
      <c r="K1" s="1511"/>
      <c r="L1" s="1511"/>
      <c r="M1" s="1510"/>
      <c r="N1" s="1510"/>
    </row>
    <row r="2" spans="2:23" ht="11.25" customHeight="1" thickBot="1">
      <c r="B2" s="3859" t="s">
        <v>3151</v>
      </c>
      <c r="C2" s="1509" t="s">
        <v>3150</v>
      </c>
      <c r="D2" s="1508"/>
      <c r="E2" s="1508"/>
      <c r="F2" s="1508"/>
      <c r="G2" s="1508"/>
      <c r="H2" s="1508"/>
      <c r="I2" s="1508"/>
      <c r="J2" s="3857">
        <f ca="1">NOW()</f>
        <v>44092.92644722222</v>
      </c>
      <c r="K2" s="3858"/>
      <c r="L2" s="1733" t="s">
        <v>551</v>
      </c>
      <c r="M2" s="1507"/>
    </row>
    <row r="3" spans="2:23" ht="15" customHeight="1">
      <c r="B3" s="3859"/>
      <c r="C3" s="3872" t="s">
        <v>3149</v>
      </c>
      <c r="D3" s="3873"/>
      <c r="E3" s="3873"/>
      <c r="F3" s="3873"/>
      <c r="G3" s="3873"/>
      <c r="H3" s="1506"/>
      <c r="I3" s="1506"/>
      <c r="J3" s="1505"/>
      <c r="K3" s="1504"/>
      <c r="L3" s="3860"/>
      <c r="M3" s="3861"/>
    </row>
    <row r="4" spans="2:23" ht="16.5" customHeight="1" thickBot="1">
      <c r="B4" s="3859"/>
      <c r="C4" s="1503" t="s">
        <v>3148</v>
      </c>
      <c r="D4" s="3862" t="s">
        <v>3147</v>
      </c>
      <c r="E4" s="3863"/>
      <c r="F4" s="3863"/>
      <c r="G4" s="3863"/>
      <c r="H4" s="3864"/>
      <c r="I4" s="1502" t="s">
        <v>3146</v>
      </c>
      <c r="J4" s="3865" t="s">
        <v>3145</v>
      </c>
      <c r="K4" s="3866"/>
      <c r="L4" s="1493"/>
      <c r="M4" s="1493"/>
      <c r="N4" s="1501"/>
      <c r="O4" s="1500"/>
    </row>
    <row r="5" spans="2:23" ht="18" customHeight="1">
      <c r="B5" s="3859"/>
      <c r="C5" s="1499" t="s">
        <v>3144</v>
      </c>
      <c r="D5" s="1498"/>
      <c r="E5" s="1498"/>
      <c r="F5" s="1498"/>
      <c r="G5" s="1498"/>
      <c r="H5" s="1498"/>
      <c r="I5" s="1498"/>
      <c r="J5" s="1498"/>
      <c r="K5" s="1497" t="s">
        <v>3143</v>
      </c>
    </row>
    <row r="6" spans="2:23" ht="15" customHeight="1">
      <c r="B6" s="3859"/>
      <c r="C6" s="1485" t="s">
        <v>3142</v>
      </c>
      <c r="D6" s="1489"/>
      <c r="E6" s="1489"/>
      <c r="F6" s="1489"/>
      <c r="G6" s="1489"/>
      <c r="H6" s="1489"/>
      <c r="I6" s="1489"/>
      <c r="J6" s="1489"/>
      <c r="K6" s="1494"/>
      <c r="L6" s="1493"/>
      <c r="M6" s="1493"/>
      <c r="N6" s="1493"/>
      <c r="W6" s="1496"/>
    </row>
    <row r="7" spans="2:23" ht="15" customHeight="1">
      <c r="B7" s="3859"/>
      <c r="C7" s="1495" t="s">
        <v>3141</v>
      </c>
      <c r="D7" s="1489"/>
      <c r="E7" s="1489"/>
      <c r="F7" s="1489"/>
      <c r="G7" s="1489"/>
      <c r="H7" s="1489"/>
      <c r="I7" s="1489"/>
      <c r="J7" s="1489"/>
      <c r="K7" s="1494"/>
      <c r="L7" s="1493"/>
      <c r="M7" s="1493"/>
      <c r="N7" s="1493"/>
      <c r="W7" s="1492"/>
    </row>
    <row r="8" spans="2:23" ht="15" customHeight="1">
      <c r="B8" s="3859"/>
      <c r="C8" s="1428"/>
      <c r="D8" s="1392"/>
      <c r="E8" s="1392"/>
      <c r="F8" s="1392"/>
      <c r="G8" s="1392"/>
      <c r="H8" s="1392"/>
      <c r="I8" s="1392"/>
      <c r="J8" s="1392"/>
      <c r="K8" s="1388"/>
      <c r="L8" s="1374"/>
      <c r="M8" s="1374"/>
      <c r="N8" s="1374"/>
    </row>
    <row r="9" spans="2:23" ht="15" customHeight="1">
      <c r="B9" s="3859"/>
      <c r="C9" s="1485" t="s">
        <v>3140</v>
      </c>
      <c r="D9" s="1489"/>
      <c r="E9" s="1392"/>
      <c r="F9" s="1392"/>
      <c r="G9" s="1392"/>
      <c r="H9" s="1392"/>
      <c r="I9" s="1392"/>
      <c r="J9" s="1392"/>
      <c r="K9" s="1388"/>
      <c r="L9" s="1374"/>
      <c r="M9" s="1374"/>
      <c r="N9" s="1374"/>
    </row>
    <row r="10" spans="2:23" ht="15" customHeight="1">
      <c r="B10" s="3859"/>
      <c r="C10" s="1485"/>
      <c r="D10" s="1491" t="s">
        <v>3139</v>
      </c>
      <c r="E10" s="1392"/>
      <c r="F10" s="1392"/>
      <c r="G10" s="1392"/>
      <c r="H10" s="1392"/>
      <c r="I10" s="1392"/>
      <c r="J10" s="1392"/>
      <c r="K10" s="1388"/>
      <c r="L10" s="1374"/>
      <c r="M10" s="1374"/>
      <c r="N10" s="1374"/>
    </row>
    <row r="11" spans="2:23" ht="15" customHeight="1">
      <c r="B11" s="3859"/>
      <c r="C11" s="1485"/>
      <c r="D11" s="1491" t="s">
        <v>3138</v>
      </c>
      <c r="E11" s="1392"/>
      <c r="F11" s="1392"/>
      <c r="G11" s="1392"/>
      <c r="H11" s="1392"/>
      <c r="I11" s="1392"/>
      <c r="J11" s="1392"/>
      <c r="K11" s="1388"/>
      <c r="L11" s="1374"/>
      <c r="M11" s="1374"/>
      <c r="N11" s="1374"/>
    </row>
    <row r="12" spans="2:23" ht="15" customHeight="1">
      <c r="B12" s="3859"/>
      <c r="C12" s="1485"/>
      <c r="D12" s="1489"/>
      <c r="E12" s="1392"/>
      <c r="F12" s="1392"/>
      <c r="G12" s="1392"/>
      <c r="H12" s="1392"/>
      <c r="I12" s="1392"/>
      <c r="J12" s="1392"/>
      <c r="K12" s="1388"/>
      <c r="L12" s="1374"/>
      <c r="M12" s="1374"/>
      <c r="N12" s="1374"/>
    </row>
    <row r="13" spans="2:23" ht="15" customHeight="1">
      <c r="B13" s="3859"/>
      <c r="C13" s="1485"/>
      <c r="D13" s="1491" t="s">
        <v>3137</v>
      </c>
      <c r="E13" s="1392"/>
      <c r="F13" s="1392"/>
      <c r="G13" s="1392"/>
      <c r="H13" s="1392"/>
      <c r="I13" s="1392"/>
      <c r="J13" s="1392"/>
      <c r="K13" s="1388"/>
      <c r="L13" s="1374"/>
      <c r="M13" s="1374"/>
      <c r="N13" s="1374"/>
    </row>
    <row r="14" spans="2:23" ht="15" customHeight="1">
      <c r="B14" s="3859"/>
      <c r="C14" s="1485"/>
      <c r="D14" s="1491" t="s">
        <v>3136</v>
      </c>
      <c r="E14" s="1392"/>
      <c r="F14" s="1392"/>
      <c r="G14" s="1392"/>
      <c r="H14" s="1392"/>
      <c r="I14" s="1392"/>
      <c r="J14" s="1392"/>
      <c r="K14" s="1388"/>
      <c r="L14" s="1374"/>
      <c r="M14" s="1374"/>
      <c r="N14" s="1374"/>
    </row>
    <row r="15" spans="2:23" ht="15" customHeight="1">
      <c r="B15" s="3859"/>
      <c r="C15" s="1485"/>
      <c r="D15" s="1491" t="s">
        <v>3135</v>
      </c>
      <c r="E15" s="1392"/>
      <c r="F15" s="1392"/>
      <c r="G15" s="1392"/>
      <c r="H15" s="1392"/>
      <c r="I15" s="1392"/>
      <c r="J15" s="1392"/>
      <c r="K15" s="1388"/>
      <c r="L15" s="1374"/>
      <c r="M15" s="1374"/>
      <c r="N15" s="1374"/>
    </row>
    <row r="16" spans="2:23" ht="15" customHeight="1">
      <c r="B16" s="3859"/>
      <c r="C16" s="1490"/>
      <c r="D16" s="1491" t="s">
        <v>3134</v>
      </c>
      <c r="E16" s="1392"/>
      <c r="F16" s="1392"/>
      <c r="G16" s="1392"/>
      <c r="H16" s="1392"/>
      <c r="I16" s="1392"/>
      <c r="J16" s="1392"/>
      <c r="K16" s="1388"/>
      <c r="L16" s="1374"/>
      <c r="M16" s="1374"/>
      <c r="N16" s="1374"/>
    </row>
    <row r="17" spans="2:23" ht="15" customHeight="1">
      <c r="B17" s="3859"/>
      <c r="C17" s="1490"/>
      <c r="D17" s="1489"/>
      <c r="E17" s="1392"/>
      <c r="F17" s="1392"/>
      <c r="G17" s="1392"/>
      <c r="H17" s="1392"/>
      <c r="I17" s="1392"/>
      <c r="J17" s="1392"/>
      <c r="K17" s="1388"/>
      <c r="L17" s="1374"/>
      <c r="M17" s="1374"/>
      <c r="N17" s="1374"/>
    </row>
    <row r="18" spans="2:23" ht="15" customHeight="1">
      <c r="B18" s="3859"/>
      <c r="C18" s="1428"/>
      <c r="D18" s="1483" t="s">
        <v>3259</v>
      </c>
      <c r="E18" s="1392"/>
      <c r="F18" s="1392"/>
      <c r="G18" s="1392"/>
      <c r="H18" s="1392"/>
      <c r="I18" s="1392"/>
      <c r="J18" s="1392"/>
      <c r="K18" s="1388"/>
      <c r="L18" s="1374"/>
      <c r="M18" s="1374"/>
      <c r="N18" s="1374"/>
    </row>
    <row r="19" spans="2:23" ht="15" customHeight="1">
      <c r="B19" s="3859"/>
      <c r="C19" s="1428"/>
      <c r="D19" s="1483" t="s">
        <v>3260</v>
      </c>
      <c r="E19" s="1392"/>
      <c r="F19" s="1392"/>
      <c r="G19" s="1392"/>
      <c r="H19" s="1392"/>
      <c r="I19" s="1392"/>
      <c r="J19" s="1392"/>
      <c r="K19" s="1388"/>
      <c r="L19" s="1374"/>
      <c r="M19" s="1374"/>
      <c r="N19" s="1487"/>
    </row>
    <row r="20" spans="2:23" ht="15" customHeight="1">
      <c r="B20" s="3859"/>
      <c r="C20" s="1428"/>
      <c r="D20" s="1392"/>
      <c r="E20" s="1392"/>
      <c r="F20" s="1392"/>
      <c r="G20" s="1392"/>
      <c r="H20" s="1392"/>
      <c r="I20" s="1392"/>
      <c r="J20" s="1392"/>
      <c r="K20" s="1388"/>
      <c r="L20" s="1374"/>
      <c r="M20" s="1374"/>
      <c r="N20" s="1374"/>
    </row>
    <row r="21" spans="2:23" ht="15" customHeight="1">
      <c r="B21" s="3859"/>
      <c r="C21" s="1428"/>
      <c r="D21" s="1483" t="s">
        <v>3133</v>
      </c>
      <c r="E21" s="1392"/>
      <c r="F21" s="1392"/>
      <c r="G21" s="1392"/>
      <c r="H21" s="1392"/>
      <c r="I21" s="1392"/>
      <c r="J21" s="1392"/>
      <c r="K21" s="1388"/>
      <c r="L21" s="1374"/>
      <c r="M21" s="1374"/>
      <c r="N21" s="1487"/>
    </row>
    <row r="22" spans="2:23" ht="15" customHeight="1">
      <c r="B22" s="3859"/>
      <c r="C22" s="1428"/>
      <c r="D22" s="1483" t="s">
        <v>3132</v>
      </c>
      <c r="E22" s="1488"/>
      <c r="F22" s="1392"/>
      <c r="G22" s="1392"/>
      <c r="H22" s="1392"/>
      <c r="I22" s="1392"/>
      <c r="J22" s="1392"/>
      <c r="K22" s="1388"/>
      <c r="L22" s="1374"/>
      <c r="M22" s="1374"/>
      <c r="N22" s="1487"/>
      <c r="W22" s="1486"/>
    </row>
    <row r="23" spans="2:23" ht="15" customHeight="1">
      <c r="B23" s="3859"/>
      <c r="C23" s="1428"/>
      <c r="D23" s="1483" t="s">
        <v>3131</v>
      </c>
      <c r="E23" s="1392"/>
      <c r="F23" s="1392"/>
      <c r="G23" s="1392"/>
      <c r="H23" s="1392"/>
      <c r="I23" s="1392"/>
      <c r="J23" s="1392"/>
      <c r="K23" s="1388"/>
      <c r="L23" s="1374"/>
      <c r="M23" s="3867"/>
      <c r="N23" s="3867"/>
    </row>
    <row r="24" spans="2:23" ht="15" customHeight="1">
      <c r="B24" s="3859"/>
      <c r="C24" s="1485"/>
      <c r="D24" s="1392"/>
      <c r="E24" s="1392"/>
      <c r="F24" s="1392"/>
      <c r="G24" s="1392"/>
      <c r="H24" s="1392"/>
      <c r="I24" s="1392"/>
      <c r="J24" s="1392"/>
      <c r="K24" s="1388"/>
      <c r="L24" s="1374"/>
      <c r="M24" s="1484"/>
      <c r="N24" s="1484"/>
    </row>
    <row r="25" spans="2:23" ht="15" customHeight="1">
      <c r="B25" s="3859"/>
      <c r="C25" s="1428"/>
      <c r="D25" s="1483" t="s">
        <v>3130</v>
      </c>
      <c r="E25" s="1392"/>
      <c r="F25" s="1392"/>
      <c r="G25" s="1392"/>
      <c r="H25" s="1392"/>
      <c r="I25" s="1392"/>
      <c r="J25" s="1392"/>
      <c r="K25" s="1388"/>
      <c r="L25" s="1374"/>
      <c r="M25" s="1469"/>
      <c r="N25" s="1482"/>
    </row>
    <row r="26" spans="2:23" ht="15" customHeight="1">
      <c r="B26" s="3859"/>
      <c r="C26" s="1428"/>
      <c r="D26" s="1483" t="s">
        <v>3129</v>
      </c>
      <c r="E26" s="1392"/>
      <c r="F26" s="1392"/>
      <c r="G26" s="1392"/>
      <c r="H26" s="1392"/>
      <c r="I26" s="1392"/>
      <c r="J26" s="1392"/>
      <c r="K26" s="1388"/>
      <c r="L26" s="1374"/>
      <c r="M26" s="1469"/>
      <c r="N26" s="1482"/>
    </row>
    <row r="27" spans="2:23" ht="15" customHeight="1">
      <c r="B27" s="3859"/>
      <c r="C27" s="1428"/>
      <c r="D27" s="1483" t="s">
        <v>3128</v>
      </c>
      <c r="E27" s="1392"/>
      <c r="F27" s="1392"/>
      <c r="G27" s="1392"/>
      <c r="H27" s="1392"/>
      <c r="I27" s="1392"/>
      <c r="J27" s="1392"/>
      <c r="K27" s="1388"/>
      <c r="L27" s="1374"/>
      <c r="M27" s="1469"/>
      <c r="N27" s="1482"/>
    </row>
    <row r="28" spans="2:23" ht="15" customHeight="1">
      <c r="B28" s="3859"/>
      <c r="C28" s="1428"/>
      <c r="D28" s="1383"/>
      <c r="E28" s="1383"/>
      <c r="F28" s="1383"/>
      <c r="G28" s="1392"/>
      <c r="H28" s="1383"/>
      <c r="I28" s="1383"/>
      <c r="J28" s="1383"/>
      <c r="K28" s="1388"/>
      <c r="L28" s="1374"/>
      <c r="M28" s="1469"/>
      <c r="N28" s="1482"/>
    </row>
    <row r="29" spans="2:23" ht="15" customHeight="1">
      <c r="B29" s="3859"/>
      <c r="C29" s="1428"/>
      <c r="D29" s="3868" t="str">
        <f>IF(E1=0,""," 室名：屋内電気室")</f>
        <v xml:space="preserve"> 室名：屋内電気室</v>
      </c>
      <c r="E29" s="3869"/>
      <c r="F29" s="1481" t="s">
        <v>1992</v>
      </c>
      <c r="G29" s="1480"/>
      <c r="H29" s="1479"/>
      <c r="I29" s="3870" t="s">
        <v>3127</v>
      </c>
      <c r="J29" s="3871"/>
      <c r="K29" s="1388"/>
      <c r="L29" s="1374"/>
      <c r="M29" s="1469"/>
      <c r="N29" s="1468"/>
    </row>
    <row r="30" spans="2:23" ht="15" customHeight="1">
      <c r="B30" s="3859"/>
      <c r="C30" s="1428"/>
      <c r="D30" s="1478" t="s">
        <v>3126</v>
      </c>
      <c r="E30" s="1477">
        <f>IF(E1=0,"",1.9+受変!CF135)</f>
        <v>9.1</v>
      </c>
      <c r="F30" s="1423"/>
      <c r="G30" s="1392"/>
      <c r="H30" s="1391"/>
      <c r="I30" s="1476" t="s">
        <v>3125</v>
      </c>
      <c r="J30" s="1476" t="s">
        <v>3124</v>
      </c>
      <c r="K30" s="1388"/>
      <c r="L30" s="1374"/>
      <c r="M30" s="1469"/>
      <c r="N30" s="1468"/>
    </row>
    <row r="31" spans="2:23" ht="15" customHeight="1">
      <c r="B31" s="3859"/>
      <c r="C31" s="1428"/>
      <c r="D31" s="1455" t="s">
        <v>3123</v>
      </c>
      <c r="E31" s="1475">
        <f>IF(E1=0,"",5)</f>
        <v>5</v>
      </c>
      <c r="F31" s="1423"/>
      <c r="G31" s="1392"/>
      <c r="H31" s="1391"/>
      <c r="I31" s="1464">
        <v>0</v>
      </c>
      <c r="J31" s="1470">
        <v>6.13E-3</v>
      </c>
      <c r="K31" s="1388"/>
      <c r="L31" s="1374"/>
      <c r="M31" s="1469"/>
      <c r="N31" s="1468"/>
    </row>
    <row r="32" spans="2:23" ht="15" customHeight="1">
      <c r="B32" s="3859"/>
      <c r="C32" s="1428"/>
      <c r="D32" s="1455" t="s">
        <v>3122</v>
      </c>
      <c r="E32" s="1475">
        <f>引込!CH35</f>
        <v>5</v>
      </c>
      <c r="F32" s="1423"/>
      <c r="G32" s="1392"/>
      <c r="H32" s="1391"/>
      <c r="I32" s="1464">
        <v>10</v>
      </c>
      <c r="J32" s="1470">
        <v>1.231E-2</v>
      </c>
      <c r="K32" s="1388"/>
      <c r="L32" s="1374"/>
      <c r="M32" s="1469"/>
      <c r="N32" s="1468"/>
    </row>
    <row r="33" spans="2:24" ht="15" customHeight="1">
      <c r="B33" s="3859"/>
      <c r="C33" s="1428"/>
      <c r="D33" s="1455" t="s">
        <v>3121</v>
      </c>
      <c r="E33" s="1467">
        <v>1</v>
      </c>
      <c r="F33" s="1423"/>
      <c r="G33" s="1392"/>
      <c r="H33" s="1391"/>
      <c r="I33" s="1464">
        <v>20</v>
      </c>
      <c r="J33" s="1470">
        <v>2.3439999999999999E-2</v>
      </c>
      <c r="K33" s="1474"/>
      <c r="L33" s="1374"/>
      <c r="M33" s="1473" t="str">
        <f>受変!AV93</f>
        <v xml:space="preserve">  1F</v>
      </c>
      <c r="N33" s="1472" t="s">
        <v>3120</v>
      </c>
    </row>
    <row r="34" spans="2:24" ht="15" customHeight="1">
      <c r="B34" s="3859"/>
      <c r="C34" s="1428"/>
      <c r="D34" s="1455" t="s">
        <v>3119</v>
      </c>
      <c r="E34" s="1471">
        <f>IF(OR(E30="",E31="",E32=""),"",E30*E31*E32-E33)</f>
        <v>226.5</v>
      </c>
      <c r="F34" s="1423"/>
      <c r="G34" s="1392"/>
      <c r="H34" s="1391"/>
      <c r="I34" s="1464">
        <v>30</v>
      </c>
      <c r="J34" s="1470">
        <v>4.2540000000000001E-2</v>
      </c>
      <c r="K34" s="1388"/>
      <c r="L34" s="1374"/>
      <c r="M34" s="1469"/>
      <c r="N34" s="1468"/>
    </row>
    <row r="35" spans="2:24" ht="15" customHeight="1">
      <c r="B35" s="3859"/>
      <c r="C35" s="1428"/>
      <c r="D35" s="1455" t="s">
        <v>3118</v>
      </c>
      <c r="E35" s="1467">
        <v>34</v>
      </c>
      <c r="F35" s="1423"/>
      <c r="G35" s="1392"/>
      <c r="H35" s="1391"/>
      <c r="I35" s="1464">
        <v>40</v>
      </c>
      <c r="J35" s="1463">
        <v>7.3940000000000006E-2</v>
      </c>
      <c r="K35" s="1388"/>
      <c r="L35" s="1374"/>
      <c r="M35" s="1469"/>
      <c r="N35" s="1468"/>
    </row>
    <row r="36" spans="2:24" ht="15" customHeight="1">
      <c r="B36" s="3859"/>
      <c r="C36" s="1428"/>
      <c r="D36" s="1455" t="s">
        <v>3117</v>
      </c>
      <c r="E36" s="1467">
        <v>54</v>
      </c>
      <c r="F36" s="1423"/>
      <c r="G36" s="1392"/>
      <c r="H36" s="1391"/>
      <c r="I36" s="1464">
        <v>50</v>
      </c>
      <c r="J36" s="1463">
        <v>0.1313</v>
      </c>
      <c r="K36" s="1388"/>
      <c r="L36" s="1374"/>
      <c r="M36" s="1374"/>
      <c r="N36" s="1374"/>
      <c r="O36" s="1448"/>
      <c r="P36" s="1448"/>
      <c r="Q36" s="1456" t="s">
        <v>3116</v>
      </c>
      <c r="R36" s="1456" t="s">
        <v>3115</v>
      </c>
      <c r="S36" s="1448"/>
      <c r="T36" s="1448"/>
      <c r="U36" s="1456" t="s">
        <v>3116</v>
      </c>
      <c r="V36" s="1456" t="s">
        <v>3115</v>
      </c>
    </row>
    <row r="37" spans="2:24" ht="15" customHeight="1">
      <c r="B37" s="3859"/>
      <c r="C37" s="1428"/>
      <c r="D37" s="1455" t="s">
        <v>3114</v>
      </c>
      <c r="E37" s="1467">
        <v>40</v>
      </c>
      <c r="F37" s="1423"/>
      <c r="G37" s="1392"/>
      <c r="H37" s="1391"/>
      <c r="I37" s="1464">
        <v>60</v>
      </c>
      <c r="J37" s="1463">
        <v>0.1996</v>
      </c>
      <c r="K37" s="1388"/>
      <c r="L37" s="1374"/>
      <c r="M37" s="1374"/>
      <c r="N37" s="1374"/>
      <c r="O37" s="1448">
        <f>IF(E36&lt;&gt;"",VLOOKUP(10*INT(E35/10),飽和蒸気圧,2,FALSE),FALSE)</f>
        <v>4.2540000000000001E-2</v>
      </c>
      <c r="P37" s="1448">
        <f>IF(O37="","",O37+(E36-10*INT(E36/10))*(O38-O37)/10)</f>
        <v>5.5100000000000003E-2</v>
      </c>
      <c r="Q37" s="1466">
        <f>IF(P37="","",P37*4.18*E36/100)</f>
        <v>0.12437172000000001</v>
      </c>
      <c r="R37" s="1466">
        <f>IF(P37="","",1.006*(1-P37*E36/100))</f>
        <v>0.9760674760000001</v>
      </c>
      <c r="S37" s="1448">
        <f>IF(I36&lt;&gt;"",VLOOKUP(10*INT(I35/10),飽和蒸気圧,2,FALSE),FALSE)</f>
        <v>7.3940000000000006E-2</v>
      </c>
      <c r="T37" s="1448">
        <f>IF(S37="","",S37+(I36-10*INT(I36/10))*(S38-S37)/10)</f>
        <v>7.3940000000000006E-2</v>
      </c>
      <c r="U37" s="1466">
        <f>IF(T37="","",T37*4.18*I36/100)</f>
        <v>0.15453459999999999</v>
      </c>
      <c r="V37" s="1466">
        <f>IF(T37="","",1.006*(1-T37*I36/100))</f>
        <v>0.96880818000000002</v>
      </c>
    </row>
    <row r="38" spans="2:24" ht="15" customHeight="1">
      <c r="B38" s="3859"/>
      <c r="C38" s="1428"/>
      <c r="D38" s="1455" t="s">
        <v>3113</v>
      </c>
      <c r="E38" s="1460">
        <f>IF(OR($E$1=0,受変!$BO$39=""),"",(受変!$BO$39/100)*MID(F38,4,4)*RIGHT(F38,1)*100*(100-98)/98)</f>
        <v>14.796768378604028</v>
      </c>
      <c r="F38" s="1459" t="str">
        <f>IF(OR($E$1=0,受変!Y39=""),""," 1φ"&amp;受変!Y39)</f>
        <v xml:space="preserve"> 1φ 500 KVA×2</v>
      </c>
      <c r="G38" s="1392"/>
      <c r="H38" s="1391"/>
      <c r="I38" s="1464">
        <v>70</v>
      </c>
      <c r="J38" s="1463">
        <v>0.31209999999999999</v>
      </c>
      <c r="K38" s="1388"/>
      <c r="L38" s="1374"/>
      <c r="M38" s="1374"/>
      <c r="N38" s="1374"/>
      <c r="O38" s="1448">
        <f>IF(E36&lt;&gt;"",VLOOKUP(10+10*INT(E35/10),飽和蒸気圧,2,FALSE),FALSE)</f>
        <v>7.3940000000000006E-2</v>
      </c>
      <c r="P38" s="1448"/>
      <c r="Q38" s="1448"/>
      <c r="R38" s="1448"/>
      <c r="S38" s="1448">
        <f>IF(I36&lt;&gt;"",VLOOKUP(10+10*INT(I35/10),飽和蒸気圧,2,FALSE),FALSE)</f>
        <v>0.1313</v>
      </c>
      <c r="T38" s="1448"/>
      <c r="U38" s="1448"/>
      <c r="V38" s="1448"/>
    </row>
    <row r="39" spans="2:24" ht="15" customHeight="1">
      <c r="B39" s="3859"/>
      <c r="C39" s="1428"/>
      <c r="D39" s="1455" t="s">
        <v>3113</v>
      </c>
      <c r="E39" s="1465">
        <f>IF(OR($E$1=0,受変!$BO$41=""),"",(受変!$BO$41/100)*MID(F39,4,4)*RIGHT(F39,1)*100*(100-98)/98)</f>
        <v>1.6375504768300135</v>
      </c>
      <c r="F39" s="1709" t="str">
        <f>IF(OR($E$1=0,受変!Y41=""),""," "&amp;LEFT(受変!N41,2)&amp;受変!Y41)</f>
        <v xml:space="preserve"> 3φ 150 KVA×1</v>
      </c>
      <c r="G39" s="1392"/>
      <c r="H39" s="1391"/>
      <c r="I39" s="1464">
        <v>80</v>
      </c>
      <c r="J39" s="1463">
        <v>0.47420000000000001</v>
      </c>
      <c r="K39" s="1388"/>
      <c r="L39" s="1374"/>
      <c r="M39" s="1374"/>
      <c r="N39" s="1374"/>
      <c r="O39" s="1448"/>
      <c r="P39" s="1448"/>
      <c r="Q39" s="1448"/>
      <c r="R39" s="1448"/>
      <c r="S39" s="1448"/>
      <c r="T39" s="1448"/>
      <c r="U39" s="1448"/>
      <c r="V39" s="1448"/>
    </row>
    <row r="40" spans="2:24" ht="15" customHeight="1">
      <c r="B40" s="3859"/>
      <c r="C40" s="1428"/>
      <c r="D40" s="1455" t="s">
        <v>3113</v>
      </c>
      <c r="E40" s="1460" t="str">
        <f>IF(OR($E$1=0,受変!$BO$43=""),"",(受変!$BO$43/100)*MID(F40,4,4)*RIGHT(F40,1)*100*(100-98)/98)</f>
        <v/>
      </c>
      <c r="F40" s="1459" t="str">
        <f>IF(OR($E$1=0,受変!Y43=""),""," 1φ"&amp;受変!Y43)</f>
        <v/>
      </c>
      <c r="G40" s="1392"/>
      <c r="H40" s="1391"/>
      <c r="I40" s="1464">
        <v>90</v>
      </c>
      <c r="J40" s="1463">
        <v>0.70189999999999997</v>
      </c>
      <c r="K40" s="1388"/>
      <c r="L40" s="1374"/>
      <c r="M40" s="1374"/>
      <c r="N40" s="1374"/>
      <c r="O40" s="1448"/>
      <c r="P40" s="1448"/>
      <c r="Q40" s="1448"/>
      <c r="R40" s="1448"/>
      <c r="S40" s="1448"/>
      <c r="T40" s="1448"/>
      <c r="U40" s="1448"/>
      <c r="V40" s="1448"/>
    </row>
    <row r="41" spans="2:24" ht="15" customHeight="1">
      <c r="B41" s="3859"/>
      <c r="C41" s="1428"/>
      <c r="D41" s="1455" t="s">
        <v>3113</v>
      </c>
      <c r="E41" s="1460">
        <f>IF(OR($E$1=0,受変!$BO$45=""),"",(受変!$BO$45/100)*MID(F41,4,4)*RIGHT(F41,1)*100*(100-98)/98)</f>
        <v>34.730045744866906</v>
      </c>
      <c r="F41" s="1459" t="str">
        <f>IF(OR($E$1=0,受変!Y45=""),""," "&amp;LEFT(受変!N45,2)&amp;受変!Y45)</f>
        <v xml:space="preserve"> 3φ1500 KVA×2</v>
      </c>
      <c r="G41" s="1461"/>
      <c r="H41" s="1391"/>
      <c r="I41" s="1464">
        <v>100</v>
      </c>
      <c r="J41" s="1463">
        <v>1.0142</v>
      </c>
      <c r="K41" s="1388"/>
      <c r="L41" s="1374"/>
      <c r="M41" s="1374"/>
      <c r="N41" s="1462"/>
      <c r="O41" s="1448"/>
      <c r="P41" s="1448"/>
      <c r="Q41" s="1448"/>
      <c r="R41" s="1448"/>
      <c r="S41" s="1448"/>
      <c r="T41" s="1448"/>
      <c r="U41" s="1448"/>
      <c r="V41" s="1448"/>
    </row>
    <row r="42" spans="2:24" ht="15" customHeight="1">
      <c r="B42" s="3859"/>
      <c r="C42" s="1428"/>
      <c r="D42" s="1455" t="s">
        <v>3113</v>
      </c>
      <c r="E42" s="1460">
        <f>IF(OR($E$1=0,受変!$BO$47=""),"",(受変!$BO$47/100)*MID(F42,4,4)*RIGHT(F42,1)*100*(100-98)/98)</f>
        <v>0.53724952561669859</v>
      </c>
      <c r="F42" s="1459" t="str">
        <f>IF(OR($E$1=0,受変!Y47=""),""," "&amp;LEFT(受変!N47,2)&amp;受変!Y47)</f>
        <v xml:space="preserve"> 3φ  75 KVA×1</v>
      </c>
      <c r="G42" s="1461"/>
      <c r="H42" s="1391"/>
      <c r="I42" s="1458"/>
      <c r="J42" s="1397"/>
      <c r="K42" s="1388"/>
      <c r="L42" s="1374"/>
      <c r="M42" s="1374"/>
      <c r="N42" s="1374"/>
      <c r="O42" s="1448"/>
      <c r="P42" s="1448"/>
      <c r="Q42" s="1448"/>
      <c r="R42" s="1448"/>
      <c r="S42" s="1448"/>
      <c r="T42" s="1448"/>
      <c r="U42" s="1448"/>
      <c r="V42" s="1448"/>
    </row>
    <row r="43" spans="2:24" ht="15" customHeight="1">
      <c r="B43" s="3859"/>
      <c r="C43" s="1428"/>
      <c r="D43" s="1455" t="s">
        <v>3113</v>
      </c>
      <c r="E43" s="1460">
        <f>IF($E$1=0,"",MID(F43,4,4)*RIGHT(F43,1)*100*(100-98)/98/100)</f>
        <v>9.183673469387756</v>
      </c>
      <c r="F43" s="1459" t="str">
        <f>IF(OR($E$1=0,受変!$Y$49=""),""," SC "&amp;受変!$Y$49)</f>
        <v xml:space="preserve"> SC 150 Kvar ×3</v>
      </c>
      <c r="G43" s="1392"/>
      <c r="H43" s="1391"/>
      <c r="I43" s="1458"/>
      <c r="J43" s="1457"/>
      <c r="K43" s="1388"/>
      <c r="L43" s="1374"/>
      <c r="M43" s="1374"/>
      <c r="N43" s="1374"/>
      <c r="O43" s="1456" t="s">
        <v>3112</v>
      </c>
      <c r="P43" s="1456" t="s">
        <v>3111</v>
      </c>
      <c r="Q43" s="1456" t="s">
        <v>3110</v>
      </c>
      <c r="R43" s="1448"/>
      <c r="S43" s="1456" t="s">
        <v>3112</v>
      </c>
      <c r="T43" s="1456" t="s">
        <v>3111</v>
      </c>
      <c r="U43" s="1456" t="s">
        <v>3110</v>
      </c>
      <c r="V43" s="1448"/>
    </row>
    <row r="44" spans="2:24" ht="15" customHeight="1">
      <c r="B44" s="3859"/>
      <c r="C44" s="1428"/>
      <c r="D44" s="1455" t="s">
        <v>3109</v>
      </c>
      <c r="E44" s="1454">
        <f>IF(O44=0,"",O44/((Q37+R37)*P44))</f>
        <v>783.80644766214687</v>
      </c>
      <c r="F44" s="1453" t="s">
        <v>3108</v>
      </c>
      <c r="G44" s="1392"/>
      <c r="H44" s="1391"/>
      <c r="I44" s="1452"/>
      <c r="J44" s="1389"/>
      <c r="K44" s="1388"/>
      <c r="L44" s="1374"/>
      <c r="M44" s="1374"/>
      <c r="N44" s="1374"/>
      <c r="O44" s="1450">
        <f>SUM(E38:E43)*3600</f>
        <v>219187.03534309947</v>
      </c>
      <c r="P44" s="1451">
        <f>E34*(32*0.208+28*0.792)*(1/22.4141)*273/(273+E37)</f>
        <v>254.12066312149784</v>
      </c>
      <c r="Q44" s="1449">
        <f>Q37+R37</f>
        <v>1.1004391960000002</v>
      </c>
      <c r="R44" s="1448"/>
      <c r="S44" s="1450">
        <f>4.18605*SUM(I38:I40)+SUM(I41:I43)*3600</f>
        <v>361004.652</v>
      </c>
      <c r="T44" s="1450">
        <f>I34*(32*0.208+28*0.792)*(1/22.4141)*273/(273+I37)</f>
        <v>31.636842494293827</v>
      </c>
      <c r="U44" s="1449">
        <f>U37+V37</f>
        <v>1.12334278</v>
      </c>
      <c r="V44" s="1448"/>
    </row>
    <row r="45" spans="2:24" ht="15" customHeight="1">
      <c r="B45" s="3859"/>
      <c r="C45" s="1428"/>
      <c r="D45" s="1447" t="str">
        <f>IF(E1=0,""," 　　変圧器総損失[W]：変圧器負荷率×定格[KVA]×{(100-η)/η}×1000")</f>
        <v xml:space="preserve"> 　　変圧器総損失[W]：変圧器負荷率×定格[KVA]×{(100-η)/η}×1000</v>
      </c>
      <c r="E45" s="1446"/>
      <c r="F45" s="1444"/>
      <c r="G45" s="1383"/>
      <c r="H45" s="1405"/>
      <c r="I45" s="1445" t="str">
        <f>IF(E1=0,"","η：変圧器効率 [％]")</f>
        <v>η：変圧器効率 [％]</v>
      </c>
      <c r="J45" s="1444"/>
      <c r="K45" s="1388"/>
      <c r="L45" s="1374"/>
      <c r="M45" s="1432"/>
      <c r="N45" s="1438"/>
      <c r="O45" s="1442"/>
      <c r="P45" s="1443"/>
      <c r="Q45" s="1441"/>
      <c r="R45" s="1440"/>
      <c r="S45" s="1442"/>
      <c r="T45" s="1442"/>
      <c r="U45" s="1441"/>
      <c r="V45" s="1440"/>
    </row>
    <row r="46" spans="2:24" ht="15" customHeight="1">
      <c r="B46" s="3859"/>
      <c r="C46" s="1428"/>
      <c r="D46" s="1439" t="str">
        <f>IF(E1=0,"","　　 変圧器効率η：150KVA未満：98.0[％]、150KVA以上：98.5[％] (三菱配電用低損失形変圧器特性)")</f>
        <v>　　 変圧器効率η：150KVA未満：98.0[％]、150KVA以上：98.5[％] (三菱配電用低損失形変圧器特性)</v>
      </c>
      <c r="E46" s="1437"/>
      <c r="F46" s="1436"/>
      <c r="G46" s="1392"/>
      <c r="H46" s="1413"/>
      <c r="I46" s="1437"/>
      <c r="J46" s="1436"/>
      <c r="K46" s="1388"/>
      <c r="L46" s="1374"/>
      <c r="M46" s="1432"/>
      <c r="N46" s="1371"/>
      <c r="O46" s="1430"/>
      <c r="P46" s="1431"/>
      <c r="Q46" s="1429"/>
      <c r="S46" s="1430"/>
      <c r="T46" s="1430"/>
      <c r="U46" s="1429"/>
      <c r="W46" s="1372" t="str">
        <f>IF(N46="","",N46*(100-N45)/N45)</f>
        <v/>
      </c>
      <c r="X46" s="1371" t="str">
        <f>IF(W46="","","[KW/h]")</f>
        <v/>
      </c>
    </row>
    <row r="47" spans="2:24" ht="15" customHeight="1">
      <c r="B47" s="3859"/>
      <c r="C47" s="1428"/>
      <c r="D47" s="1413"/>
      <c r="E47" s="1437"/>
      <c r="F47" s="1436"/>
      <c r="G47" s="1392"/>
      <c r="H47" s="1425"/>
      <c r="I47" s="1437"/>
      <c r="J47" s="1436"/>
      <c r="K47" s="1388"/>
      <c r="L47" s="1374"/>
      <c r="M47" s="1432"/>
      <c r="N47" s="1438"/>
      <c r="O47" s="1430"/>
      <c r="P47" s="1431"/>
      <c r="Q47" s="1429"/>
      <c r="S47" s="1430"/>
      <c r="T47" s="1430"/>
      <c r="U47" s="1429"/>
    </row>
    <row r="48" spans="2:24" ht="15" customHeight="1">
      <c r="B48" s="3859"/>
      <c r="C48" s="1428"/>
      <c r="D48" s="1413"/>
      <c r="E48" s="1437"/>
      <c r="F48" s="1436"/>
      <c r="G48" s="1392"/>
      <c r="H48" s="1435"/>
      <c r="I48" s="1434"/>
      <c r="J48" s="1433"/>
      <c r="K48" s="1388"/>
      <c r="L48" s="1374"/>
      <c r="M48" s="1432"/>
      <c r="N48" s="1371"/>
      <c r="O48" s="1430"/>
      <c r="P48" s="1431"/>
      <c r="Q48" s="1429"/>
      <c r="S48" s="1430"/>
      <c r="T48" s="1430"/>
      <c r="U48" s="1429"/>
      <c r="W48" s="1372" t="str">
        <f>IF(N48="","",N48*(100-N47)/N47)</f>
        <v/>
      </c>
      <c r="X48" s="1371" t="str">
        <f>IF(W48="","","[KW/h]")</f>
        <v/>
      </c>
    </row>
    <row r="49" spans="2:24" ht="15" customHeight="1">
      <c r="B49" s="3859"/>
      <c r="C49" s="1428"/>
      <c r="D49" s="1395" t="s">
        <v>3107</v>
      </c>
      <c r="E49" s="1427">
        <f>IF(E44="","",O44/Q44/(E37-E35))</f>
        <v>33196.902373135061</v>
      </c>
      <c r="F49" s="1423"/>
      <c r="G49" s="1392"/>
      <c r="H49" s="1413"/>
      <c r="I49" s="1426"/>
      <c r="J49" s="1425"/>
      <c r="K49" s="1388"/>
      <c r="L49" s="1374"/>
      <c r="M49" s="1374"/>
      <c r="N49" s="1374"/>
    </row>
    <row r="50" spans="2:24" ht="15" customHeight="1">
      <c r="B50" s="3859"/>
      <c r="C50" s="1396"/>
      <c r="D50" s="1395" t="s">
        <v>3106</v>
      </c>
      <c r="E50" s="1424">
        <f>IF(E49="","",E49/E34)</f>
        <v>146.56469038911726</v>
      </c>
      <c r="F50" s="1423"/>
      <c r="G50" s="1392"/>
      <c r="H50" s="1413"/>
      <c r="I50" s="1422"/>
      <c r="J50" s="1411"/>
      <c r="K50" s="1388"/>
      <c r="L50" s="1374"/>
      <c r="M50" s="1374"/>
      <c r="N50" s="1374"/>
    </row>
    <row r="51" spans="2:24" ht="15" customHeight="1">
      <c r="B51" s="3859"/>
      <c r="C51" s="1396"/>
      <c r="D51" s="1421" t="str">
        <f>IF(E1=0,"",IF(E49&gt;9400," 有圧換気扇："&amp;P53&amp;"×"&amp;O53&amp;"台(防虫網､SUSフード付)-Th運転",IF(E1=0,"",IF(E49&gt;=4800," 有圧換気扇："&amp;P52&amp;"×"&amp;O52&amp;"台(防虫網､SUSフード付)-Th運転"," 有圧換気扇："&amp;P51&amp;"×"&amp;O51&amp;"台(防虫網､SUSフード付)-Th運転"))))</f>
        <v xml:space="preserve"> 有圧換気扇：Mitsubishi[KG-80HTF-PR 27142[ｍ3/h]-3φ3W 210V 60 Hz 2.2KW×2台(防虫網､SUSフード付)-Th運転</v>
      </c>
      <c r="E51" s="1420"/>
      <c r="F51" s="1419"/>
      <c r="G51" s="1392"/>
      <c r="H51" s="1418"/>
      <c r="I51" s="1417"/>
      <c r="J51" s="1416"/>
      <c r="K51" s="1388"/>
      <c r="L51" s="1374"/>
      <c r="M51" s="1410"/>
      <c r="N51" s="1415"/>
      <c r="O51" s="1404">
        <f>IF(E49&lt;4500,1,IF(E49&lt;9000,2,0))</f>
        <v>0</v>
      </c>
      <c r="P51" s="1415" t="str">
        <f>"Mitsubishi[EWG-50DTA-"&amp;INT(4800*(LEFT(受変!AS59,2)/(50*1.02127)))&amp;"[ｍ3/h]-"&amp;受変!$C$125&amp;" "&amp;受変!$AS$59&amp;" 0.2KW"</f>
        <v>Mitsubishi[EWG-50DTA-5640[ｍ3/h]-3φ3W 210V 60 Hz 0.2KW</v>
      </c>
      <c r="Q51" s="1402" t="str">
        <f>"0.2 KW"</f>
        <v>0.2 KW</v>
      </c>
    </row>
    <row r="52" spans="2:24" ht="15" customHeight="1">
      <c r="B52" s="3859"/>
      <c r="C52" s="1396"/>
      <c r="D52" s="1414"/>
      <c r="E52" s="1412"/>
      <c r="F52" s="1411"/>
      <c r="G52" s="1392"/>
      <c r="H52" s="1413"/>
      <c r="I52" s="1412"/>
      <c r="J52" s="1411"/>
      <c r="K52" s="1388"/>
      <c r="L52" s="1374"/>
      <c r="M52" s="1410"/>
      <c r="N52" s="1403"/>
      <c r="O52" s="1404">
        <f>IF(OR(O51=1,O51=2),0,IF(E49&lt;9400,1,IF(E49&lt;18800,2,0)))</f>
        <v>0</v>
      </c>
      <c r="P52" s="1403" t="str">
        <f>"Mitsubishi[EWG-60ETA-Q "&amp;INT(9420*(LEFT(受変!AS59,2)/(50*1.02127)))&amp;"[ｍ3/h]-"&amp;受変!$C$125&amp;" "&amp;受変!$AS$59&amp;" 0.75KW"</f>
        <v>Mitsubishi[EWG-60ETA-Q 11068[ｍ3/h]-3φ3W 210V 60 Hz 0.75KW</v>
      </c>
      <c r="Q52" s="1402" t="str">
        <f>"0.75 KW"</f>
        <v>0.75 KW</v>
      </c>
    </row>
    <row r="53" spans="2:24" ht="15" customHeight="1">
      <c r="B53" s="3859"/>
      <c r="C53" s="1396"/>
      <c r="D53" s="1409"/>
      <c r="E53" s="1408"/>
      <c r="F53" s="1407"/>
      <c r="G53" s="1406"/>
      <c r="H53" s="1405"/>
      <c r="I53" s="1381"/>
      <c r="J53" s="1380"/>
      <c r="K53" s="1388"/>
      <c r="L53" s="1374"/>
      <c r="N53" s="1374"/>
      <c r="O53" s="1404">
        <f>IF(OR(O51&lt;&gt;0,O52&lt;&gt;0),0,IF(E49&lt;23100,1,IF(E49&lt;46200,2,IF(E49&lt;69300,3,IF(E49&lt;92400,4,0)))))</f>
        <v>2</v>
      </c>
      <c r="P53" s="1403" t="str">
        <f>"Mitsubishi[KG-80HTF-PR "&amp;INT(23100*(LEFT(受変!AS59,2)/(50*1.02127)))&amp;"[ｍ3/h]-"&amp;受変!$C$125&amp;" "&amp;受変!$AS$59&amp;" 2.2KW"</f>
        <v>Mitsubishi[KG-80HTF-PR 27142[ｍ3/h]-3φ3W 210V 60 Hz 2.2KW</v>
      </c>
      <c r="Q53" s="1402" t="str">
        <f>"2.2 KW"</f>
        <v>2.2 KW</v>
      </c>
    </row>
    <row r="54" spans="2:24" ht="15" customHeight="1">
      <c r="B54" s="3859"/>
      <c r="C54" s="1396"/>
      <c r="D54" s="1395" t="s">
        <v>3105</v>
      </c>
      <c r="E54" s="1401">
        <v>35</v>
      </c>
      <c r="F54" s="1393" t="s">
        <v>3102</v>
      </c>
      <c r="G54" s="1392"/>
      <c r="H54" s="1391"/>
      <c r="I54" s="1400"/>
      <c r="J54" s="1397"/>
      <c r="K54" s="1388"/>
      <c r="L54" s="1374"/>
      <c r="M54" s="1374"/>
      <c r="N54" s="1374"/>
    </row>
    <row r="55" spans="2:24" ht="15" customHeight="1">
      <c r="B55" s="3859"/>
      <c r="C55" s="1396"/>
      <c r="D55" s="1395" t="s">
        <v>3104</v>
      </c>
      <c r="E55" s="1399">
        <v>5</v>
      </c>
      <c r="F55" s="1393" t="s">
        <v>3102</v>
      </c>
      <c r="G55" s="1392"/>
      <c r="H55" s="1391"/>
      <c r="I55" s="1398"/>
      <c r="J55" s="1397"/>
      <c r="K55" s="1388"/>
      <c r="L55" s="1374"/>
      <c r="M55" s="1374"/>
      <c r="N55" s="1374"/>
    </row>
    <row r="56" spans="2:24" ht="15" customHeight="1">
      <c r="B56" s="3859"/>
      <c r="C56" s="1396"/>
      <c r="D56" s="1395" t="s">
        <v>3103</v>
      </c>
      <c r="E56" s="1394">
        <f>IF(OR(E54="",E55=""),"",IFERROR(E49/((E54/100)*E55*3600),""))</f>
        <v>5.2693495830373109</v>
      </c>
      <c r="F56" s="1393" t="s">
        <v>3102</v>
      </c>
      <c r="G56" s="1392"/>
      <c r="H56" s="1391"/>
      <c r="I56" s="1390"/>
      <c r="J56" s="1389"/>
      <c r="K56" s="1388"/>
      <c r="L56" s="1374"/>
      <c r="M56" s="1374"/>
      <c r="N56" s="1374"/>
    </row>
    <row r="57" spans="2:24" ht="15" customHeight="1">
      <c r="B57" s="3859"/>
      <c r="C57" s="1387"/>
      <c r="D57" s="1386"/>
      <c r="E57" s="1385"/>
      <c r="F57" s="1384"/>
      <c r="G57" s="1383"/>
      <c r="H57" s="1382"/>
      <c r="I57" s="1381"/>
      <c r="J57" s="1380"/>
      <c r="K57" s="1379"/>
      <c r="L57" s="1374"/>
      <c r="M57" s="1373"/>
      <c r="N57" s="1373"/>
      <c r="W57" s="1372"/>
      <c r="X57" s="1371"/>
    </row>
    <row r="58" spans="2:24" ht="15" customHeight="1">
      <c r="B58" s="3859"/>
      <c r="C58" s="1378"/>
      <c r="D58" s="1377"/>
      <c r="E58" s="1376"/>
      <c r="F58" s="1376"/>
      <c r="G58" s="1376"/>
      <c r="H58" s="1376"/>
      <c r="I58" s="1376"/>
      <c r="J58" s="1376"/>
      <c r="K58" s="1375"/>
      <c r="L58" s="1374"/>
      <c r="M58" s="1373"/>
      <c r="N58" s="1373"/>
      <c r="W58" s="1372"/>
      <c r="X58" s="1371"/>
    </row>
    <row r="60" spans="2:24" ht="15.75">
      <c r="D60" s="1370"/>
      <c r="E60" s="1370"/>
      <c r="F60" s="1370"/>
      <c r="G60" s="1370"/>
      <c r="H60" s="1370"/>
      <c r="I60" s="1370"/>
      <c r="J60" s="1370"/>
      <c r="K60" s="1370"/>
      <c r="L60" s="1370"/>
      <c r="M60" s="1370"/>
      <c r="N60" s="1370"/>
    </row>
    <row r="2166" spans="5:5" ht="16.5">
      <c r="E2166" s="1369"/>
    </row>
  </sheetData>
  <sheetProtection password="8120" sheet="1" objects="1" scenarios="1"/>
  <mergeCells count="9">
    <mergeCell ref="J2:K2"/>
    <mergeCell ref="B2:B58"/>
    <mergeCell ref="L3:M3"/>
    <mergeCell ref="D4:H4"/>
    <mergeCell ref="J4:K4"/>
    <mergeCell ref="M23:N23"/>
    <mergeCell ref="D29:E29"/>
    <mergeCell ref="I29:J29"/>
    <mergeCell ref="C3:G3"/>
  </mergeCells>
  <phoneticPr fontId="1"/>
  <dataValidations count="1">
    <dataValidation type="custom" errorStyle="information" allowBlank="1" showErrorMessage="1" errorTitle="室内許容温度" error="外気温度より大きい値を入力して下さい。" sqref="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WVQ98307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formula1>IF(E35&lt;E37,TRUE,FALSE)</formula1>
    </dataValidation>
  </dataValidations>
  <hyperlinks>
    <hyperlink ref="L2:M2" location="受変!A1" display="戻 る"/>
  </hyperlinks>
  <pageMargins left="0.78740157480314965" right="0.59055118110236227" top="0.78740157480314965" bottom="0.55118110236220474" header="0.31496062992125984" footer="0.31496062992125984"/>
  <pageSetup paperSize="9" scale="93" orientation="portrait" r:id="rId1"/>
  <rowBreaks count="1" manualBreakCount="1">
    <brk id="58" max="16383" man="1"/>
  </rowBreaks>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X2166"/>
  <sheetViews>
    <sheetView view="pageBreakPreview" zoomScale="80" zoomScaleSheetLayoutView="80" workbookViewId="0"/>
  </sheetViews>
  <sheetFormatPr defaultRowHeight="13.5"/>
  <cols>
    <col min="1" max="1" width="1.42578125" style="1516" customWidth="1"/>
    <col min="2" max="2" width="17.85546875" style="1516" customWidth="1"/>
    <col min="3" max="3" width="15.7109375" style="1516" customWidth="1"/>
    <col min="4" max="4" width="1.42578125" style="1516" customWidth="1"/>
    <col min="5" max="5" width="10.140625" style="1516" customWidth="1"/>
    <col min="6" max="6" width="5.7109375" style="1516" customWidth="1"/>
    <col min="7" max="23" width="10.140625" style="1516" customWidth="1"/>
    <col min="24" max="24" width="1.42578125" style="1516" customWidth="1"/>
    <col min="25" max="256" width="9.140625" style="1516"/>
    <col min="257" max="257" width="1.42578125" style="1516" customWidth="1"/>
    <col min="258" max="258" width="17.85546875" style="1516" customWidth="1"/>
    <col min="259" max="259" width="15.7109375" style="1516" customWidth="1"/>
    <col min="260" max="260" width="1.42578125" style="1516" customWidth="1"/>
    <col min="261" max="261" width="10.140625" style="1516" customWidth="1"/>
    <col min="262" max="262" width="5.7109375" style="1516" customWidth="1"/>
    <col min="263" max="279" width="10.140625" style="1516" customWidth="1"/>
    <col min="280" max="280" width="1.42578125" style="1516" customWidth="1"/>
    <col min="281" max="512" width="9.140625" style="1516"/>
    <col min="513" max="513" width="1.42578125" style="1516" customWidth="1"/>
    <col min="514" max="514" width="17.85546875" style="1516" customWidth="1"/>
    <col min="515" max="515" width="15.7109375" style="1516" customWidth="1"/>
    <col min="516" max="516" width="1.42578125" style="1516" customWidth="1"/>
    <col min="517" max="517" width="10.140625" style="1516" customWidth="1"/>
    <col min="518" max="518" width="5.7109375" style="1516" customWidth="1"/>
    <col min="519" max="535" width="10.140625" style="1516" customWidth="1"/>
    <col min="536" max="536" width="1.42578125" style="1516" customWidth="1"/>
    <col min="537" max="768" width="9.140625" style="1516"/>
    <col min="769" max="769" width="1.42578125" style="1516" customWidth="1"/>
    <col min="770" max="770" width="17.85546875" style="1516" customWidth="1"/>
    <col min="771" max="771" width="15.7109375" style="1516" customWidth="1"/>
    <col min="772" max="772" width="1.42578125" style="1516" customWidth="1"/>
    <col min="773" max="773" width="10.140625" style="1516" customWidth="1"/>
    <col min="774" max="774" width="5.7109375" style="1516" customWidth="1"/>
    <col min="775" max="791" width="10.140625" style="1516" customWidth="1"/>
    <col min="792" max="792" width="1.42578125" style="1516" customWidth="1"/>
    <col min="793" max="1024" width="9.140625" style="1516"/>
    <col min="1025" max="1025" width="1.42578125" style="1516" customWidth="1"/>
    <col min="1026" max="1026" width="17.85546875" style="1516" customWidth="1"/>
    <col min="1027" max="1027" width="15.7109375" style="1516" customWidth="1"/>
    <col min="1028" max="1028" width="1.42578125" style="1516" customWidth="1"/>
    <col min="1029" max="1029" width="10.140625" style="1516" customWidth="1"/>
    <col min="1030" max="1030" width="5.7109375" style="1516" customWidth="1"/>
    <col min="1031" max="1047" width="10.140625" style="1516" customWidth="1"/>
    <col min="1048" max="1048" width="1.42578125" style="1516" customWidth="1"/>
    <col min="1049" max="1280" width="9.140625" style="1516"/>
    <col min="1281" max="1281" width="1.42578125" style="1516" customWidth="1"/>
    <col min="1282" max="1282" width="17.85546875" style="1516" customWidth="1"/>
    <col min="1283" max="1283" width="15.7109375" style="1516" customWidth="1"/>
    <col min="1284" max="1284" width="1.42578125" style="1516" customWidth="1"/>
    <col min="1285" max="1285" width="10.140625" style="1516" customWidth="1"/>
    <col min="1286" max="1286" width="5.7109375" style="1516" customWidth="1"/>
    <col min="1287" max="1303" width="10.140625" style="1516" customWidth="1"/>
    <col min="1304" max="1304" width="1.42578125" style="1516" customWidth="1"/>
    <col min="1305" max="1536" width="9.140625" style="1516"/>
    <col min="1537" max="1537" width="1.42578125" style="1516" customWidth="1"/>
    <col min="1538" max="1538" width="17.85546875" style="1516" customWidth="1"/>
    <col min="1539" max="1539" width="15.7109375" style="1516" customWidth="1"/>
    <col min="1540" max="1540" width="1.42578125" style="1516" customWidth="1"/>
    <col min="1541" max="1541" width="10.140625" style="1516" customWidth="1"/>
    <col min="1542" max="1542" width="5.7109375" style="1516" customWidth="1"/>
    <col min="1543" max="1559" width="10.140625" style="1516" customWidth="1"/>
    <col min="1560" max="1560" width="1.42578125" style="1516" customWidth="1"/>
    <col min="1561" max="1792" width="9.140625" style="1516"/>
    <col min="1793" max="1793" width="1.42578125" style="1516" customWidth="1"/>
    <col min="1794" max="1794" width="17.85546875" style="1516" customWidth="1"/>
    <col min="1795" max="1795" width="15.7109375" style="1516" customWidth="1"/>
    <col min="1796" max="1796" width="1.42578125" style="1516" customWidth="1"/>
    <col min="1797" max="1797" width="10.140625" style="1516" customWidth="1"/>
    <col min="1798" max="1798" width="5.7109375" style="1516" customWidth="1"/>
    <col min="1799" max="1815" width="10.140625" style="1516" customWidth="1"/>
    <col min="1816" max="1816" width="1.42578125" style="1516" customWidth="1"/>
    <col min="1817" max="2048" width="9.140625" style="1516"/>
    <col min="2049" max="2049" width="1.42578125" style="1516" customWidth="1"/>
    <col min="2050" max="2050" width="17.85546875" style="1516" customWidth="1"/>
    <col min="2051" max="2051" width="15.7109375" style="1516" customWidth="1"/>
    <col min="2052" max="2052" width="1.42578125" style="1516" customWidth="1"/>
    <col min="2053" max="2053" width="10.140625" style="1516" customWidth="1"/>
    <col min="2054" max="2054" width="5.7109375" style="1516" customWidth="1"/>
    <col min="2055" max="2071" width="10.140625" style="1516" customWidth="1"/>
    <col min="2072" max="2072" width="1.42578125" style="1516" customWidth="1"/>
    <col min="2073" max="2304" width="9.140625" style="1516"/>
    <col min="2305" max="2305" width="1.42578125" style="1516" customWidth="1"/>
    <col min="2306" max="2306" width="17.85546875" style="1516" customWidth="1"/>
    <col min="2307" max="2307" width="15.7109375" style="1516" customWidth="1"/>
    <col min="2308" max="2308" width="1.42578125" style="1516" customWidth="1"/>
    <col min="2309" max="2309" width="10.140625" style="1516" customWidth="1"/>
    <col min="2310" max="2310" width="5.7109375" style="1516" customWidth="1"/>
    <col min="2311" max="2327" width="10.140625" style="1516" customWidth="1"/>
    <col min="2328" max="2328" width="1.42578125" style="1516" customWidth="1"/>
    <col min="2329" max="2560" width="9.140625" style="1516"/>
    <col min="2561" max="2561" width="1.42578125" style="1516" customWidth="1"/>
    <col min="2562" max="2562" width="17.85546875" style="1516" customWidth="1"/>
    <col min="2563" max="2563" width="15.7109375" style="1516" customWidth="1"/>
    <col min="2564" max="2564" width="1.42578125" style="1516" customWidth="1"/>
    <col min="2565" max="2565" width="10.140625" style="1516" customWidth="1"/>
    <col min="2566" max="2566" width="5.7109375" style="1516" customWidth="1"/>
    <col min="2567" max="2583" width="10.140625" style="1516" customWidth="1"/>
    <col min="2584" max="2584" width="1.42578125" style="1516" customWidth="1"/>
    <col min="2585" max="2816" width="9.140625" style="1516"/>
    <col min="2817" max="2817" width="1.42578125" style="1516" customWidth="1"/>
    <col min="2818" max="2818" width="17.85546875" style="1516" customWidth="1"/>
    <col min="2819" max="2819" width="15.7109375" style="1516" customWidth="1"/>
    <col min="2820" max="2820" width="1.42578125" style="1516" customWidth="1"/>
    <col min="2821" max="2821" width="10.140625" style="1516" customWidth="1"/>
    <col min="2822" max="2822" width="5.7109375" style="1516" customWidth="1"/>
    <col min="2823" max="2839" width="10.140625" style="1516" customWidth="1"/>
    <col min="2840" max="2840" width="1.42578125" style="1516" customWidth="1"/>
    <col min="2841" max="3072" width="9.140625" style="1516"/>
    <col min="3073" max="3073" width="1.42578125" style="1516" customWidth="1"/>
    <col min="3074" max="3074" width="17.85546875" style="1516" customWidth="1"/>
    <col min="3075" max="3075" width="15.7109375" style="1516" customWidth="1"/>
    <col min="3076" max="3076" width="1.42578125" style="1516" customWidth="1"/>
    <col min="3077" max="3077" width="10.140625" style="1516" customWidth="1"/>
    <col min="3078" max="3078" width="5.7109375" style="1516" customWidth="1"/>
    <col min="3079" max="3095" width="10.140625" style="1516" customWidth="1"/>
    <col min="3096" max="3096" width="1.42578125" style="1516" customWidth="1"/>
    <col min="3097" max="3328" width="9.140625" style="1516"/>
    <col min="3329" max="3329" width="1.42578125" style="1516" customWidth="1"/>
    <col min="3330" max="3330" width="17.85546875" style="1516" customWidth="1"/>
    <col min="3331" max="3331" width="15.7109375" style="1516" customWidth="1"/>
    <col min="3332" max="3332" width="1.42578125" style="1516" customWidth="1"/>
    <col min="3333" max="3333" width="10.140625" style="1516" customWidth="1"/>
    <col min="3334" max="3334" width="5.7109375" style="1516" customWidth="1"/>
    <col min="3335" max="3351" width="10.140625" style="1516" customWidth="1"/>
    <col min="3352" max="3352" width="1.42578125" style="1516" customWidth="1"/>
    <col min="3353" max="3584" width="9.140625" style="1516"/>
    <col min="3585" max="3585" width="1.42578125" style="1516" customWidth="1"/>
    <col min="3586" max="3586" width="17.85546875" style="1516" customWidth="1"/>
    <col min="3587" max="3587" width="15.7109375" style="1516" customWidth="1"/>
    <col min="3588" max="3588" width="1.42578125" style="1516" customWidth="1"/>
    <col min="3589" max="3589" width="10.140625" style="1516" customWidth="1"/>
    <col min="3590" max="3590" width="5.7109375" style="1516" customWidth="1"/>
    <col min="3591" max="3607" width="10.140625" style="1516" customWidth="1"/>
    <col min="3608" max="3608" width="1.42578125" style="1516" customWidth="1"/>
    <col min="3609" max="3840" width="9.140625" style="1516"/>
    <col min="3841" max="3841" width="1.42578125" style="1516" customWidth="1"/>
    <col min="3842" max="3842" width="17.85546875" style="1516" customWidth="1"/>
    <col min="3843" max="3843" width="15.7109375" style="1516" customWidth="1"/>
    <col min="3844" max="3844" width="1.42578125" style="1516" customWidth="1"/>
    <col min="3845" max="3845" width="10.140625" style="1516" customWidth="1"/>
    <col min="3846" max="3846" width="5.7109375" style="1516" customWidth="1"/>
    <col min="3847" max="3863" width="10.140625" style="1516" customWidth="1"/>
    <col min="3864" max="3864" width="1.42578125" style="1516" customWidth="1"/>
    <col min="3865" max="4096" width="9.140625" style="1516"/>
    <col min="4097" max="4097" width="1.42578125" style="1516" customWidth="1"/>
    <col min="4098" max="4098" width="17.85546875" style="1516" customWidth="1"/>
    <col min="4099" max="4099" width="15.7109375" style="1516" customWidth="1"/>
    <col min="4100" max="4100" width="1.42578125" style="1516" customWidth="1"/>
    <col min="4101" max="4101" width="10.140625" style="1516" customWidth="1"/>
    <col min="4102" max="4102" width="5.7109375" style="1516" customWidth="1"/>
    <col min="4103" max="4119" width="10.140625" style="1516" customWidth="1"/>
    <col min="4120" max="4120" width="1.42578125" style="1516" customWidth="1"/>
    <col min="4121" max="4352" width="9.140625" style="1516"/>
    <col min="4353" max="4353" width="1.42578125" style="1516" customWidth="1"/>
    <col min="4354" max="4354" width="17.85546875" style="1516" customWidth="1"/>
    <col min="4355" max="4355" width="15.7109375" style="1516" customWidth="1"/>
    <col min="4356" max="4356" width="1.42578125" style="1516" customWidth="1"/>
    <col min="4357" max="4357" width="10.140625" style="1516" customWidth="1"/>
    <col min="4358" max="4358" width="5.7109375" style="1516" customWidth="1"/>
    <col min="4359" max="4375" width="10.140625" style="1516" customWidth="1"/>
    <col min="4376" max="4376" width="1.42578125" style="1516" customWidth="1"/>
    <col min="4377" max="4608" width="9.140625" style="1516"/>
    <col min="4609" max="4609" width="1.42578125" style="1516" customWidth="1"/>
    <col min="4610" max="4610" width="17.85546875" style="1516" customWidth="1"/>
    <col min="4611" max="4611" width="15.7109375" style="1516" customWidth="1"/>
    <col min="4612" max="4612" width="1.42578125" style="1516" customWidth="1"/>
    <col min="4613" max="4613" width="10.140625" style="1516" customWidth="1"/>
    <col min="4614" max="4614" width="5.7109375" style="1516" customWidth="1"/>
    <col min="4615" max="4631" width="10.140625" style="1516" customWidth="1"/>
    <col min="4632" max="4632" width="1.42578125" style="1516" customWidth="1"/>
    <col min="4633" max="4864" width="9.140625" style="1516"/>
    <col min="4865" max="4865" width="1.42578125" style="1516" customWidth="1"/>
    <col min="4866" max="4866" width="17.85546875" style="1516" customWidth="1"/>
    <col min="4867" max="4867" width="15.7109375" style="1516" customWidth="1"/>
    <col min="4868" max="4868" width="1.42578125" style="1516" customWidth="1"/>
    <col min="4869" max="4869" width="10.140625" style="1516" customWidth="1"/>
    <col min="4870" max="4870" width="5.7109375" style="1516" customWidth="1"/>
    <col min="4871" max="4887" width="10.140625" style="1516" customWidth="1"/>
    <col min="4888" max="4888" width="1.42578125" style="1516" customWidth="1"/>
    <col min="4889" max="5120" width="9.140625" style="1516"/>
    <col min="5121" max="5121" width="1.42578125" style="1516" customWidth="1"/>
    <col min="5122" max="5122" width="17.85546875" style="1516" customWidth="1"/>
    <col min="5123" max="5123" width="15.7109375" style="1516" customWidth="1"/>
    <col min="5124" max="5124" width="1.42578125" style="1516" customWidth="1"/>
    <col min="5125" max="5125" width="10.140625" style="1516" customWidth="1"/>
    <col min="5126" max="5126" width="5.7109375" style="1516" customWidth="1"/>
    <col min="5127" max="5143" width="10.140625" style="1516" customWidth="1"/>
    <col min="5144" max="5144" width="1.42578125" style="1516" customWidth="1"/>
    <col min="5145" max="5376" width="9.140625" style="1516"/>
    <col min="5377" max="5377" width="1.42578125" style="1516" customWidth="1"/>
    <col min="5378" max="5378" width="17.85546875" style="1516" customWidth="1"/>
    <col min="5379" max="5379" width="15.7109375" style="1516" customWidth="1"/>
    <col min="5380" max="5380" width="1.42578125" style="1516" customWidth="1"/>
    <col min="5381" max="5381" width="10.140625" style="1516" customWidth="1"/>
    <col min="5382" max="5382" width="5.7109375" style="1516" customWidth="1"/>
    <col min="5383" max="5399" width="10.140625" style="1516" customWidth="1"/>
    <col min="5400" max="5400" width="1.42578125" style="1516" customWidth="1"/>
    <col min="5401" max="5632" width="9.140625" style="1516"/>
    <col min="5633" max="5633" width="1.42578125" style="1516" customWidth="1"/>
    <col min="5634" max="5634" width="17.85546875" style="1516" customWidth="1"/>
    <col min="5635" max="5635" width="15.7109375" style="1516" customWidth="1"/>
    <col min="5636" max="5636" width="1.42578125" style="1516" customWidth="1"/>
    <col min="5637" max="5637" width="10.140625" style="1516" customWidth="1"/>
    <col min="5638" max="5638" width="5.7109375" style="1516" customWidth="1"/>
    <col min="5639" max="5655" width="10.140625" style="1516" customWidth="1"/>
    <col min="5656" max="5656" width="1.42578125" style="1516" customWidth="1"/>
    <col min="5657" max="5888" width="9.140625" style="1516"/>
    <col min="5889" max="5889" width="1.42578125" style="1516" customWidth="1"/>
    <col min="5890" max="5890" width="17.85546875" style="1516" customWidth="1"/>
    <col min="5891" max="5891" width="15.7109375" style="1516" customWidth="1"/>
    <col min="5892" max="5892" width="1.42578125" style="1516" customWidth="1"/>
    <col min="5893" max="5893" width="10.140625" style="1516" customWidth="1"/>
    <col min="5894" max="5894" width="5.7109375" style="1516" customWidth="1"/>
    <col min="5895" max="5911" width="10.140625" style="1516" customWidth="1"/>
    <col min="5912" max="5912" width="1.42578125" style="1516" customWidth="1"/>
    <col min="5913" max="6144" width="9.140625" style="1516"/>
    <col min="6145" max="6145" width="1.42578125" style="1516" customWidth="1"/>
    <col min="6146" max="6146" width="17.85546875" style="1516" customWidth="1"/>
    <col min="6147" max="6147" width="15.7109375" style="1516" customWidth="1"/>
    <col min="6148" max="6148" width="1.42578125" style="1516" customWidth="1"/>
    <col min="6149" max="6149" width="10.140625" style="1516" customWidth="1"/>
    <col min="6150" max="6150" width="5.7109375" style="1516" customWidth="1"/>
    <col min="6151" max="6167" width="10.140625" style="1516" customWidth="1"/>
    <col min="6168" max="6168" width="1.42578125" style="1516" customWidth="1"/>
    <col min="6169" max="6400" width="9.140625" style="1516"/>
    <col min="6401" max="6401" width="1.42578125" style="1516" customWidth="1"/>
    <col min="6402" max="6402" width="17.85546875" style="1516" customWidth="1"/>
    <col min="6403" max="6403" width="15.7109375" style="1516" customWidth="1"/>
    <col min="6404" max="6404" width="1.42578125" style="1516" customWidth="1"/>
    <col min="6405" max="6405" width="10.140625" style="1516" customWidth="1"/>
    <col min="6406" max="6406" width="5.7109375" style="1516" customWidth="1"/>
    <col min="6407" max="6423" width="10.140625" style="1516" customWidth="1"/>
    <col min="6424" max="6424" width="1.42578125" style="1516" customWidth="1"/>
    <col min="6425" max="6656" width="9.140625" style="1516"/>
    <col min="6657" max="6657" width="1.42578125" style="1516" customWidth="1"/>
    <col min="6658" max="6658" width="17.85546875" style="1516" customWidth="1"/>
    <col min="6659" max="6659" width="15.7109375" style="1516" customWidth="1"/>
    <col min="6660" max="6660" width="1.42578125" style="1516" customWidth="1"/>
    <col min="6661" max="6661" width="10.140625" style="1516" customWidth="1"/>
    <col min="6662" max="6662" width="5.7109375" style="1516" customWidth="1"/>
    <col min="6663" max="6679" width="10.140625" style="1516" customWidth="1"/>
    <col min="6680" max="6680" width="1.42578125" style="1516" customWidth="1"/>
    <col min="6681" max="6912" width="9.140625" style="1516"/>
    <col min="6913" max="6913" width="1.42578125" style="1516" customWidth="1"/>
    <col min="6914" max="6914" width="17.85546875" style="1516" customWidth="1"/>
    <col min="6915" max="6915" width="15.7109375" style="1516" customWidth="1"/>
    <col min="6916" max="6916" width="1.42578125" style="1516" customWidth="1"/>
    <col min="6917" max="6917" width="10.140625" style="1516" customWidth="1"/>
    <col min="6918" max="6918" width="5.7109375" style="1516" customWidth="1"/>
    <col min="6919" max="6935" width="10.140625" style="1516" customWidth="1"/>
    <col min="6936" max="6936" width="1.42578125" style="1516" customWidth="1"/>
    <col min="6937" max="7168" width="9.140625" style="1516"/>
    <col min="7169" max="7169" width="1.42578125" style="1516" customWidth="1"/>
    <col min="7170" max="7170" width="17.85546875" style="1516" customWidth="1"/>
    <col min="7171" max="7171" width="15.7109375" style="1516" customWidth="1"/>
    <col min="7172" max="7172" width="1.42578125" style="1516" customWidth="1"/>
    <col min="7173" max="7173" width="10.140625" style="1516" customWidth="1"/>
    <col min="7174" max="7174" width="5.7109375" style="1516" customWidth="1"/>
    <col min="7175" max="7191" width="10.140625" style="1516" customWidth="1"/>
    <col min="7192" max="7192" width="1.42578125" style="1516" customWidth="1"/>
    <col min="7193" max="7424" width="9.140625" style="1516"/>
    <col min="7425" max="7425" width="1.42578125" style="1516" customWidth="1"/>
    <col min="7426" max="7426" width="17.85546875" style="1516" customWidth="1"/>
    <col min="7427" max="7427" width="15.7109375" style="1516" customWidth="1"/>
    <col min="7428" max="7428" width="1.42578125" style="1516" customWidth="1"/>
    <col min="7429" max="7429" width="10.140625" style="1516" customWidth="1"/>
    <col min="7430" max="7430" width="5.7109375" style="1516" customWidth="1"/>
    <col min="7431" max="7447" width="10.140625" style="1516" customWidth="1"/>
    <col min="7448" max="7448" width="1.42578125" style="1516" customWidth="1"/>
    <col min="7449" max="7680" width="9.140625" style="1516"/>
    <col min="7681" max="7681" width="1.42578125" style="1516" customWidth="1"/>
    <col min="7682" max="7682" width="17.85546875" style="1516" customWidth="1"/>
    <col min="7683" max="7683" width="15.7109375" style="1516" customWidth="1"/>
    <col min="7684" max="7684" width="1.42578125" style="1516" customWidth="1"/>
    <col min="7685" max="7685" width="10.140625" style="1516" customWidth="1"/>
    <col min="7686" max="7686" width="5.7109375" style="1516" customWidth="1"/>
    <col min="7687" max="7703" width="10.140625" style="1516" customWidth="1"/>
    <col min="7704" max="7704" width="1.42578125" style="1516" customWidth="1"/>
    <col min="7705" max="7936" width="9.140625" style="1516"/>
    <col min="7937" max="7937" width="1.42578125" style="1516" customWidth="1"/>
    <col min="7938" max="7938" width="17.85546875" style="1516" customWidth="1"/>
    <col min="7939" max="7939" width="15.7109375" style="1516" customWidth="1"/>
    <col min="7940" max="7940" width="1.42578125" style="1516" customWidth="1"/>
    <col min="7941" max="7941" width="10.140625" style="1516" customWidth="1"/>
    <col min="7942" max="7942" width="5.7109375" style="1516" customWidth="1"/>
    <col min="7943" max="7959" width="10.140625" style="1516" customWidth="1"/>
    <col min="7960" max="7960" width="1.42578125" style="1516" customWidth="1"/>
    <col min="7961" max="8192" width="9.140625" style="1516"/>
    <col min="8193" max="8193" width="1.42578125" style="1516" customWidth="1"/>
    <col min="8194" max="8194" width="17.85546875" style="1516" customWidth="1"/>
    <col min="8195" max="8195" width="15.7109375" style="1516" customWidth="1"/>
    <col min="8196" max="8196" width="1.42578125" style="1516" customWidth="1"/>
    <col min="8197" max="8197" width="10.140625" style="1516" customWidth="1"/>
    <col min="8198" max="8198" width="5.7109375" style="1516" customWidth="1"/>
    <col min="8199" max="8215" width="10.140625" style="1516" customWidth="1"/>
    <col min="8216" max="8216" width="1.42578125" style="1516" customWidth="1"/>
    <col min="8217" max="8448" width="9.140625" style="1516"/>
    <col min="8449" max="8449" width="1.42578125" style="1516" customWidth="1"/>
    <col min="8450" max="8450" width="17.85546875" style="1516" customWidth="1"/>
    <col min="8451" max="8451" width="15.7109375" style="1516" customWidth="1"/>
    <col min="8452" max="8452" width="1.42578125" style="1516" customWidth="1"/>
    <col min="8453" max="8453" width="10.140625" style="1516" customWidth="1"/>
    <col min="8454" max="8454" width="5.7109375" style="1516" customWidth="1"/>
    <col min="8455" max="8471" width="10.140625" style="1516" customWidth="1"/>
    <col min="8472" max="8472" width="1.42578125" style="1516" customWidth="1"/>
    <col min="8473" max="8704" width="9.140625" style="1516"/>
    <col min="8705" max="8705" width="1.42578125" style="1516" customWidth="1"/>
    <col min="8706" max="8706" width="17.85546875" style="1516" customWidth="1"/>
    <col min="8707" max="8707" width="15.7109375" style="1516" customWidth="1"/>
    <col min="8708" max="8708" width="1.42578125" style="1516" customWidth="1"/>
    <col min="8709" max="8709" width="10.140625" style="1516" customWidth="1"/>
    <col min="8710" max="8710" width="5.7109375" style="1516" customWidth="1"/>
    <col min="8711" max="8727" width="10.140625" style="1516" customWidth="1"/>
    <col min="8728" max="8728" width="1.42578125" style="1516" customWidth="1"/>
    <col min="8729" max="8960" width="9.140625" style="1516"/>
    <col min="8961" max="8961" width="1.42578125" style="1516" customWidth="1"/>
    <col min="8962" max="8962" width="17.85546875" style="1516" customWidth="1"/>
    <col min="8963" max="8963" width="15.7109375" style="1516" customWidth="1"/>
    <col min="8964" max="8964" width="1.42578125" style="1516" customWidth="1"/>
    <col min="8965" max="8965" width="10.140625" style="1516" customWidth="1"/>
    <col min="8966" max="8966" width="5.7109375" style="1516" customWidth="1"/>
    <col min="8967" max="8983" width="10.140625" style="1516" customWidth="1"/>
    <col min="8984" max="8984" width="1.42578125" style="1516" customWidth="1"/>
    <col min="8985" max="9216" width="9.140625" style="1516"/>
    <col min="9217" max="9217" width="1.42578125" style="1516" customWidth="1"/>
    <col min="9218" max="9218" width="17.85546875" style="1516" customWidth="1"/>
    <col min="9219" max="9219" width="15.7109375" style="1516" customWidth="1"/>
    <col min="9220" max="9220" width="1.42578125" style="1516" customWidth="1"/>
    <col min="9221" max="9221" width="10.140625" style="1516" customWidth="1"/>
    <col min="9222" max="9222" width="5.7109375" style="1516" customWidth="1"/>
    <col min="9223" max="9239" width="10.140625" style="1516" customWidth="1"/>
    <col min="9240" max="9240" width="1.42578125" style="1516" customWidth="1"/>
    <col min="9241" max="9472" width="9.140625" style="1516"/>
    <col min="9473" max="9473" width="1.42578125" style="1516" customWidth="1"/>
    <col min="9474" max="9474" width="17.85546875" style="1516" customWidth="1"/>
    <col min="9475" max="9475" width="15.7109375" style="1516" customWidth="1"/>
    <col min="9476" max="9476" width="1.42578125" style="1516" customWidth="1"/>
    <col min="9477" max="9477" width="10.140625" style="1516" customWidth="1"/>
    <col min="9478" max="9478" width="5.7109375" style="1516" customWidth="1"/>
    <col min="9479" max="9495" width="10.140625" style="1516" customWidth="1"/>
    <col min="9496" max="9496" width="1.42578125" style="1516" customWidth="1"/>
    <col min="9497" max="9728" width="9.140625" style="1516"/>
    <col min="9729" max="9729" width="1.42578125" style="1516" customWidth="1"/>
    <col min="9730" max="9730" width="17.85546875" style="1516" customWidth="1"/>
    <col min="9731" max="9731" width="15.7109375" style="1516" customWidth="1"/>
    <col min="9732" max="9732" width="1.42578125" style="1516" customWidth="1"/>
    <col min="9733" max="9733" width="10.140625" style="1516" customWidth="1"/>
    <col min="9734" max="9734" width="5.7109375" style="1516" customWidth="1"/>
    <col min="9735" max="9751" width="10.140625" style="1516" customWidth="1"/>
    <col min="9752" max="9752" width="1.42578125" style="1516" customWidth="1"/>
    <col min="9753" max="9984" width="9.140625" style="1516"/>
    <col min="9985" max="9985" width="1.42578125" style="1516" customWidth="1"/>
    <col min="9986" max="9986" width="17.85546875" style="1516" customWidth="1"/>
    <col min="9987" max="9987" width="15.7109375" style="1516" customWidth="1"/>
    <col min="9988" max="9988" width="1.42578125" style="1516" customWidth="1"/>
    <col min="9989" max="9989" width="10.140625" style="1516" customWidth="1"/>
    <col min="9990" max="9990" width="5.7109375" style="1516" customWidth="1"/>
    <col min="9991" max="10007" width="10.140625" style="1516" customWidth="1"/>
    <col min="10008" max="10008" width="1.42578125" style="1516" customWidth="1"/>
    <col min="10009" max="10240" width="9.140625" style="1516"/>
    <col min="10241" max="10241" width="1.42578125" style="1516" customWidth="1"/>
    <col min="10242" max="10242" width="17.85546875" style="1516" customWidth="1"/>
    <col min="10243" max="10243" width="15.7109375" style="1516" customWidth="1"/>
    <col min="10244" max="10244" width="1.42578125" style="1516" customWidth="1"/>
    <col min="10245" max="10245" width="10.140625" style="1516" customWidth="1"/>
    <col min="10246" max="10246" width="5.7109375" style="1516" customWidth="1"/>
    <col min="10247" max="10263" width="10.140625" style="1516" customWidth="1"/>
    <col min="10264" max="10264" width="1.42578125" style="1516" customWidth="1"/>
    <col min="10265" max="10496" width="9.140625" style="1516"/>
    <col min="10497" max="10497" width="1.42578125" style="1516" customWidth="1"/>
    <col min="10498" max="10498" width="17.85546875" style="1516" customWidth="1"/>
    <col min="10499" max="10499" width="15.7109375" style="1516" customWidth="1"/>
    <col min="10500" max="10500" width="1.42578125" style="1516" customWidth="1"/>
    <col min="10501" max="10501" width="10.140625" style="1516" customWidth="1"/>
    <col min="10502" max="10502" width="5.7109375" style="1516" customWidth="1"/>
    <col min="10503" max="10519" width="10.140625" style="1516" customWidth="1"/>
    <col min="10520" max="10520" width="1.42578125" style="1516" customWidth="1"/>
    <col min="10521" max="10752" width="9.140625" style="1516"/>
    <col min="10753" max="10753" width="1.42578125" style="1516" customWidth="1"/>
    <col min="10754" max="10754" width="17.85546875" style="1516" customWidth="1"/>
    <col min="10755" max="10755" width="15.7109375" style="1516" customWidth="1"/>
    <col min="10756" max="10756" width="1.42578125" style="1516" customWidth="1"/>
    <col min="10757" max="10757" width="10.140625" style="1516" customWidth="1"/>
    <col min="10758" max="10758" width="5.7109375" style="1516" customWidth="1"/>
    <col min="10759" max="10775" width="10.140625" style="1516" customWidth="1"/>
    <col min="10776" max="10776" width="1.42578125" style="1516" customWidth="1"/>
    <col min="10777" max="11008" width="9.140625" style="1516"/>
    <col min="11009" max="11009" width="1.42578125" style="1516" customWidth="1"/>
    <col min="11010" max="11010" width="17.85546875" style="1516" customWidth="1"/>
    <col min="11011" max="11011" width="15.7109375" style="1516" customWidth="1"/>
    <col min="11012" max="11012" width="1.42578125" style="1516" customWidth="1"/>
    <col min="11013" max="11013" width="10.140625" style="1516" customWidth="1"/>
    <col min="11014" max="11014" width="5.7109375" style="1516" customWidth="1"/>
    <col min="11015" max="11031" width="10.140625" style="1516" customWidth="1"/>
    <col min="11032" max="11032" width="1.42578125" style="1516" customWidth="1"/>
    <col min="11033" max="11264" width="9.140625" style="1516"/>
    <col min="11265" max="11265" width="1.42578125" style="1516" customWidth="1"/>
    <col min="11266" max="11266" width="17.85546875" style="1516" customWidth="1"/>
    <col min="11267" max="11267" width="15.7109375" style="1516" customWidth="1"/>
    <col min="11268" max="11268" width="1.42578125" style="1516" customWidth="1"/>
    <col min="11269" max="11269" width="10.140625" style="1516" customWidth="1"/>
    <col min="11270" max="11270" width="5.7109375" style="1516" customWidth="1"/>
    <col min="11271" max="11287" width="10.140625" style="1516" customWidth="1"/>
    <col min="11288" max="11288" width="1.42578125" style="1516" customWidth="1"/>
    <col min="11289" max="11520" width="9.140625" style="1516"/>
    <col min="11521" max="11521" width="1.42578125" style="1516" customWidth="1"/>
    <col min="11522" max="11522" width="17.85546875" style="1516" customWidth="1"/>
    <col min="11523" max="11523" width="15.7109375" style="1516" customWidth="1"/>
    <col min="11524" max="11524" width="1.42578125" style="1516" customWidth="1"/>
    <col min="11525" max="11525" width="10.140625" style="1516" customWidth="1"/>
    <col min="11526" max="11526" width="5.7109375" style="1516" customWidth="1"/>
    <col min="11527" max="11543" width="10.140625" style="1516" customWidth="1"/>
    <col min="11544" max="11544" width="1.42578125" style="1516" customWidth="1"/>
    <col min="11545" max="11776" width="9.140625" style="1516"/>
    <col min="11777" max="11777" width="1.42578125" style="1516" customWidth="1"/>
    <col min="11778" max="11778" width="17.85546875" style="1516" customWidth="1"/>
    <col min="11779" max="11779" width="15.7109375" style="1516" customWidth="1"/>
    <col min="11780" max="11780" width="1.42578125" style="1516" customWidth="1"/>
    <col min="11781" max="11781" width="10.140625" style="1516" customWidth="1"/>
    <col min="11782" max="11782" width="5.7109375" style="1516" customWidth="1"/>
    <col min="11783" max="11799" width="10.140625" style="1516" customWidth="1"/>
    <col min="11800" max="11800" width="1.42578125" style="1516" customWidth="1"/>
    <col min="11801" max="12032" width="9.140625" style="1516"/>
    <col min="12033" max="12033" width="1.42578125" style="1516" customWidth="1"/>
    <col min="12034" max="12034" width="17.85546875" style="1516" customWidth="1"/>
    <col min="12035" max="12035" width="15.7109375" style="1516" customWidth="1"/>
    <col min="12036" max="12036" width="1.42578125" style="1516" customWidth="1"/>
    <col min="12037" max="12037" width="10.140625" style="1516" customWidth="1"/>
    <col min="12038" max="12038" width="5.7109375" style="1516" customWidth="1"/>
    <col min="12039" max="12055" width="10.140625" style="1516" customWidth="1"/>
    <col min="12056" max="12056" width="1.42578125" style="1516" customWidth="1"/>
    <col min="12057" max="12288" width="9.140625" style="1516"/>
    <col min="12289" max="12289" width="1.42578125" style="1516" customWidth="1"/>
    <col min="12290" max="12290" width="17.85546875" style="1516" customWidth="1"/>
    <col min="12291" max="12291" width="15.7109375" style="1516" customWidth="1"/>
    <col min="12292" max="12292" width="1.42578125" style="1516" customWidth="1"/>
    <col min="12293" max="12293" width="10.140625" style="1516" customWidth="1"/>
    <col min="12294" max="12294" width="5.7109375" style="1516" customWidth="1"/>
    <col min="12295" max="12311" width="10.140625" style="1516" customWidth="1"/>
    <col min="12312" max="12312" width="1.42578125" style="1516" customWidth="1"/>
    <col min="12313" max="12544" width="9.140625" style="1516"/>
    <col min="12545" max="12545" width="1.42578125" style="1516" customWidth="1"/>
    <col min="12546" max="12546" width="17.85546875" style="1516" customWidth="1"/>
    <col min="12547" max="12547" width="15.7109375" style="1516" customWidth="1"/>
    <col min="12548" max="12548" width="1.42578125" style="1516" customWidth="1"/>
    <col min="12549" max="12549" width="10.140625" style="1516" customWidth="1"/>
    <col min="12550" max="12550" width="5.7109375" style="1516" customWidth="1"/>
    <col min="12551" max="12567" width="10.140625" style="1516" customWidth="1"/>
    <col min="12568" max="12568" width="1.42578125" style="1516" customWidth="1"/>
    <col min="12569" max="12800" width="9.140625" style="1516"/>
    <col min="12801" max="12801" width="1.42578125" style="1516" customWidth="1"/>
    <col min="12802" max="12802" width="17.85546875" style="1516" customWidth="1"/>
    <col min="12803" max="12803" width="15.7109375" style="1516" customWidth="1"/>
    <col min="12804" max="12804" width="1.42578125" style="1516" customWidth="1"/>
    <col min="12805" max="12805" width="10.140625" style="1516" customWidth="1"/>
    <col min="12806" max="12806" width="5.7109375" style="1516" customWidth="1"/>
    <col min="12807" max="12823" width="10.140625" style="1516" customWidth="1"/>
    <col min="12824" max="12824" width="1.42578125" style="1516" customWidth="1"/>
    <col min="12825" max="13056" width="9.140625" style="1516"/>
    <col min="13057" max="13057" width="1.42578125" style="1516" customWidth="1"/>
    <col min="13058" max="13058" width="17.85546875" style="1516" customWidth="1"/>
    <col min="13059" max="13059" width="15.7109375" style="1516" customWidth="1"/>
    <col min="13060" max="13060" width="1.42578125" style="1516" customWidth="1"/>
    <col min="13061" max="13061" width="10.140625" style="1516" customWidth="1"/>
    <col min="13062" max="13062" width="5.7109375" style="1516" customWidth="1"/>
    <col min="13063" max="13079" width="10.140625" style="1516" customWidth="1"/>
    <col min="13080" max="13080" width="1.42578125" style="1516" customWidth="1"/>
    <col min="13081" max="13312" width="9.140625" style="1516"/>
    <col min="13313" max="13313" width="1.42578125" style="1516" customWidth="1"/>
    <col min="13314" max="13314" width="17.85546875" style="1516" customWidth="1"/>
    <col min="13315" max="13315" width="15.7109375" style="1516" customWidth="1"/>
    <col min="13316" max="13316" width="1.42578125" style="1516" customWidth="1"/>
    <col min="13317" max="13317" width="10.140625" style="1516" customWidth="1"/>
    <col min="13318" max="13318" width="5.7109375" style="1516" customWidth="1"/>
    <col min="13319" max="13335" width="10.140625" style="1516" customWidth="1"/>
    <col min="13336" max="13336" width="1.42578125" style="1516" customWidth="1"/>
    <col min="13337" max="13568" width="9.140625" style="1516"/>
    <col min="13569" max="13569" width="1.42578125" style="1516" customWidth="1"/>
    <col min="13570" max="13570" width="17.85546875" style="1516" customWidth="1"/>
    <col min="13571" max="13571" width="15.7109375" style="1516" customWidth="1"/>
    <col min="13572" max="13572" width="1.42578125" style="1516" customWidth="1"/>
    <col min="13573" max="13573" width="10.140625" style="1516" customWidth="1"/>
    <col min="13574" max="13574" width="5.7109375" style="1516" customWidth="1"/>
    <col min="13575" max="13591" width="10.140625" style="1516" customWidth="1"/>
    <col min="13592" max="13592" width="1.42578125" style="1516" customWidth="1"/>
    <col min="13593" max="13824" width="9.140625" style="1516"/>
    <col min="13825" max="13825" width="1.42578125" style="1516" customWidth="1"/>
    <col min="13826" max="13826" width="17.85546875" style="1516" customWidth="1"/>
    <col min="13827" max="13827" width="15.7109375" style="1516" customWidth="1"/>
    <col min="13828" max="13828" width="1.42578125" style="1516" customWidth="1"/>
    <col min="13829" max="13829" width="10.140625" style="1516" customWidth="1"/>
    <col min="13830" max="13830" width="5.7109375" style="1516" customWidth="1"/>
    <col min="13831" max="13847" width="10.140625" style="1516" customWidth="1"/>
    <col min="13848" max="13848" width="1.42578125" style="1516" customWidth="1"/>
    <col min="13849" max="14080" width="9.140625" style="1516"/>
    <col min="14081" max="14081" width="1.42578125" style="1516" customWidth="1"/>
    <col min="14082" max="14082" width="17.85546875" style="1516" customWidth="1"/>
    <col min="14083" max="14083" width="15.7109375" style="1516" customWidth="1"/>
    <col min="14084" max="14084" width="1.42578125" style="1516" customWidth="1"/>
    <col min="14085" max="14085" width="10.140625" style="1516" customWidth="1"/>
    <col min="14086" max="14086" width="5.7109375" style="1516" customWidth="1"/>
    <col min="14087" max="14103" width="10.140625" style="1516" customWidth="1"/>
    <col min="14104" max="14104" width="1.42578125" style="1516" customWidth="1"/>
    <col min="14105" max="14336" width="9.140625" style="1516"/>
    <col min="14337" max="14337" width="1.42578125" style="1516" customWidth="1"/>
    <col min="14338" max="14338" width="17.85546875" style="1516" customWidth="1"/>
    <col min="14339" max="14339" width="15.7109375" style="1516" customWidth="1"/>
    <col min="14340" max="14340" width="1.42578125" style="1516" customWidth="1"/>
    <col min="14341" max="14341" width="10.140625" style="1516" customWidth="1"/>
    <col min="14342" max="14342" width="5.7109375" style="1516" customWidth="1"/>
    <col min="14343" max="14359" width="10.140625" style="1516" customWidth="1"/>
    <col min="14360" max="14360" width="1.42578125" style="1516" customWidth="1"/>
    <col min="14361" max="14592" width="9.140625" style="1516"/>
    <col min="14593" max="14593" width="1.42578125" style="1516" customWidth="1"/>
    <col min="14594" max="14594" width="17.85546875" style="1516" customWidth="1"/>
    <col min="14595" max="14595" width="15.7109375" style="1516" customWidth="1"/>
    <col min="14596" max="14596" width="1.42578125" style="1516" customWidth="1"/>
    <col min="14597" max="14597" width="10.140625" style="1516" customWidth="1"/>
    <col min="14598" max="14598" width="5.7109375" style="1516" customWidth="1"/>
    <col min="14599" max="14615" width="10.140625" style="1516" customWidth="1"/>
    <col min="14616" max="14616" width="1.42578125" style="1516" customWidth="1"/>
    <col min="14617" max="14848" width="9.140625" style="1516"/>
    <col min="14849" max="14849" width="1.42578125" style="1516" customWidth="1"/>
    <col min="14850" max="14850" width="17.85546875" style="1516" customWidth="1"/>
    <col min="14851" max="14851" width="15.7109375" style="1516" customWidth="1"/>
    <col min="14852" max="14852" width="1.42578125" style="1516" customWidth="1"/>
    <col min="14853" max="14853" width="10.140625" style="1516" customWidth="1"/>
    <col min="14854" max="14854" width="5.7109375" style="1516" customWidth="1"/>
    <col min="14855" max="14871" width="10.140625" style="1516" customWidth="1"/>
    <col min="14872" max="14872" width="1.42578125" style="1516" customWidth="1"/>
    <col min="14873" max="15104" width="9.140625" style="1516"/>
    <col min="15105" max="15105" width="1.42578125" style="1516" customWidth="1"/>
    <col min="15106" max="15106" width="17.85546875" style="1516" customWidth="1"/>
    <col min="15107" max="15107" width="15.7109375" style="1516" customWidth="1"/>
    <col min="15108" max="15108" width="1.42578125" style="1516" customWidth="1"/>
    <col min="15109" max="15109" width="10.140625" style="1516" customWidth="1"/>
    <col min="15110" max="15110" width="5.7109375" style="1516" customWidth="1"/>
    <col min="15111" max="15127" width="10.140625" style="1516" customWidth="1"/>
    <col min="15128" max="15128" width="1.42578125" style="1516" customWidth="1"/>
    <col min="15129" max="15360" width="9.140625" style="1516"/>
    <col min="15361" max="15361" width="1.42578125" style="1516" customWidth="1"/>
    <col min="15362" max="15362" width="17.85546875" style="1516" customWidth="1"/>
    <col min="15363" max="15363" width="15.7109375" style="1516" customWidth="1"/>
    <col min="15364" max="15364" width="1.42578125" style="1516" customWidth="1"/>
    <col min="15365" max="15365" width="10.140625" style="1516" customWidth="1"/>
    <col min="15366" max="15366" width="5.7109375" style="1516" customWidth="1"/>
    <col min="15367" max="15383" width="10.140625" style="1516" customWidth="1"/>
    <col min="15384" max="15384" width="1.42578125" style="1516" customWidth="1"/>
    <col min="15385" max="15616" width="9.140625" style="1516"/>
    <col min="15617" max="15617" width="1.42578125" style="1516" customWidth="1"/>
    <col min="15618" max="15618" width="17.85546875" style="1516" customWidth="1"/>
    <col min="15619" max="15619" width="15.7109375" style="1516" customWidth="1"/>
    <col min="15620" max="15620" width="1.42578125" style="1516" customWidth="1"/>
    <col min="15621" max="15621" width="10.140625" style="1516" customWidth="1"/>
    <col min="15622" max="15622" width="5.7109375" style="1516" customWidth="1"/>
    <col min="15623" max="15639" width="10.140625" style="1516" customWidth="1"/>
    <col min="15640" max="15640" width="1.42578125" style="1516" customWidth="1"/>
    <col min="15641" max="15872" width="9.140625" style="1516"/>
    <col min="15873" max="15873" width="1.42578125" style="1516" customWidth="1"/>
    <col min="15874" max="15874" width="17.85546875" style="1516" customWidth="1"/>
    <col min="15875" max="15875" width="15.7109375" style="1516" customWidth="1"/>
    <col min="15876" max="15876" width="1.42578125" style="1516" customWidth="1"/>
    <col min="15877" max="15877" width="10.140625" style="1516" customWidth="1"/>
    <col min="15878" max="15878" width="5.7109375" style="1516" customWidth="1"/>
    <col min="15879" max="15895" width="10.140625" style="1516" customWidth="1"/>
    <col min="15896" max="15896" width="1.42578125" style="1516" customWidth="1"/>
    <col min="15897" max="16128" width="9.140625" style="1516"/>
    <col min="16129" max="16129" width="1.42578125" style="1516" customWidth="1"/>
    <col min="16130" max="16130" width="17.85546875" style="1516" customWidth="1"/>
    <col min="16131" max="16131" width="15.7109375" style="1516" customWidth="1"/>
    <col min="16132" max="16132" width="1.42578125" style="1516" customWidth="1"/>
    <col min="16133" max="16133" width="10.140625" style="1516" customWidth="1"/>
    <col min="16134" max="16134" width="5.7109375" style="1516" customWidth="1"/>
    <col min="16135" max="16151" width="10.140625" style="1516" customWidth="1"/>
    <col min="16152" max="16152" width="1.42578125" style="1516" customWidth="1"/>
    <col min="16153" max="16384" width="9.140625" style="1516"/>
  </cols>
  <sheetData>
    <row r="1" spans="1:24" ht="16.5" thickBot="1">
      <c r="B1" s="1690">
        <v>1</v>
      </c>
      <c r="E1" s="1731" t="s">
        <v>551</v>
      </c>
      <c r="G1" s="1730" t="s">
        <v>2468</v>
      </c>
      <c r="H1" s="1516" t="s">
        <v>3253</v>
      </c>
    </row>
    <row r="2" spans="1:24" ht="4.5" customHeight="1"/>
    <row r="3" spans="1:24" ht="7.5" customHeight="1">
      <c r="A3" s="1536"/>
      <c r="B3" s="1541"/>
      <c r="C3" s="1541"/>
      <c r="D3" s="1689"/>
      <c r="E3" s="1541"/>
      <c r="F3" s="1541"/>
      <c r="G3" s="1541"/>
      <c r="H3" s="1541"/>
      <c r="I3" s="1541"/>
      <c r="J3" s="1541"/>
      <c r="K3" s="1541"/>
      <c r="L3" s="1541"/>
      <c r="M3" s="1541"/>
      <c r="N3" s="1541"/>
      <c r="O3" s="1541"/>
      <c r="P3" s="1541"/>
      <c r="Q3" s="1541"/>
      <c r="R3" s="1541"/>
      <c r="S3" s="1541"/>
      <c r="T3" s="1541"/>
      <c r="U3" s="1541"/>
      <c r="V3" s="1541"/>
      <c r="W3" s="1541"/>
      <c r="X3" s="1541"/>
    </row>
    <row r="4" spans="1:24" ht="15" customHeight="1">
      <c r="A4" s="1538"/>
      <c r="B4" s="1605" t="s">
        <v>3252</v>
      </c>
      <c r="C4" s="1604">
        <f>IF(B1="",0,1)</f>
        <v>1</v>
      </c>
      <c r="D4" s="1684"/>
      <c r="E4" s="1688"/>
      <c r="F4" s="1578"/>
      <c r="G4" s="1578"/>
      <c r="H4" s="1578"/>
      <c r="I4" s="1578"/>
      <c r="J4" s="1578"/>
      <c r="K4" s="1578"/>
      <c r="L4" s="1578"/>
      <c r="M4" s="1578"/>
      <c r="N4" s="1578"/>
      <c r="O4" s="1578"/>
      <c r="P4" s="1578"/>
      <c r="Q4" s="1578"/>
      <c r="R4" s="1578"/>
      <c r="S4" s="1578"/>
      <c r="T4" s="1578"/>
      <c r="U4" s="1578"/>
      <c r="V4" s="1578"/>
      <c r="W4" s="1578"/>
      <c r="X4" s="1538"/>
    </row>
    <row r="5" spans="1:24" hidden="1">
      <c r="A5" s="1541"/>
      <c r="B5" s="1585"/>
      <c r="C5" s="1603"/>
      <c r="D5" s="1682"/>
      <c r="E5" s="1584"/>
      <c r="F5" s="1578"/>
      <c r="G5" s="1602" t="s">
        <v>3162</v>
      </c>
      <c r="H5" s="1602" t="s">
        <v>3198</v>
      </c>
      <c r="I5" s="1602" t="s">
        <v>3197</v>
      </c>
      <c r="J5" s="1602" t="s">
        <v>3196</v>
      </c>
      <c r="K5" s="1602" t="s">
        <v>3195</v>
      </c>
      <c r="L5" s="1602" t="s">
        <v>3194</v>
      </c>
      <c r="M5" s="1602" t="s">
        <v>3193</v>
      </c>
      <c r="N5" s="1602" t="s">
        <v>3192</v>
      </c>
      <c r="O5" s="1602" t="s">
        <v>3191</v>
      </c>
      <c r="P5" s="1602" t="s">
        <v>3190</v>
      </c>
      <c r="Q5" s="1602" t="s">
        <v>3189</v>
      </c>
      <c r="R5" s="1602" t="s">
        <v>3188</v>
      </c>
      <c r="S5" s="1602" t="s">
        <v>3187</v>
      </c>
      <c r="T5" s="1602" t="s">
        <v>3186</v>
      </c>
      <c r="U5" s="1602" t="s">
        <v>3185</v>
      </c>
      <c r="V5" s="1602" t="s">
        <v>3184</v>
      </c>
      <c r="W5" s="1601" t="s">
        <v>3183</v>
      </c>
      <c r="X5" s="1541"/>
    </row>
    <row r="6" spans="1:24" hidden="1">
      <c r="A6" s="1541"/>
      <c r="B6" s="1596" t="s">
        <v>3182</v>
      </c>
      <c r="C6" s="1595">
        <v>-2.596044E-3</v>
      </c>
      <c r="D6" s="1673"/>
      <c r="E6" s="1584"/>
      <c r="F6" s="1578"/>
      <c r="G6" s="1600"/>
      <c r="H6" s="1599">
        <f>H7</f>
        <v>0.1</v>
      </c>
      <c r="I6" s="1599">
        <f>IF(C32&lt;0.4,0.2,0.1+0.2/C34)</f>
        <v>0.2</v>
      </c>
      <c r="J6" s="1599">
        <f>IF(C32&lt;0.4,0.3,0.1+(0.2/C34)*2)</f>
        <v>0.3</v>
      </c>
      <c r="K6" s="1599" t="str">
        <f>IF(C32&lt;0.4,"",0.1+(0.2/C34)*3)</f>
        <v/>
      </c>
      <c r="L6" s="1599" t="str">
        <f>IF(C32&lt;0.4,"",0.1+(0.2/C34)*4)</f>
        <v/>
      </c>
      <c r="M6" s="1599" t="str">
        <f>IF(C32&lt;0.4,"",0.1+(0.2/C34)*5)</f>
        <v/>
      </c>
      <c r="N6" s="1599" t="str">
        <f>IF(C32&lt;0.4,"",0.1+(0.2/C34)*6)</f>
        <v/>
      </c>
      <c r="O6" s="1599" t="str">
        <f>IF(C32&lt;0.4,"",0.1+(0.2/C34)*7)</f>
        <v/>
      </c>
      <c r="P6" s="1599" t="str">
        <f>IF(C32&lt;0.4,"",0.1+(0.2/C34)*8)</f>
        <v/>
      </c>
      <c r="Q6" s="1599" t="str">
        <f>IF(C32&lt;0.4,"",0.1+(0.2/C34)*9)</f>
        <v/>
      </c>
      <c r="R6" s="1598" t="str">
        <f>IF(C32&lt;0.4,"",0.1+(0.2/C34)*10)</f>
        <v/>
      </c>
      <c r="S6" s="1598" t="str">
        <f>IF(C32&lt;0.4,"",0.1+(0.2/C34)*11)</f>
        <v/>
      </c>
      <c r="T6" s="1598" t="str">
        <f>IF(C32&lt;0.4,"",0.1+(0.2/C34)*12)</f>
        <v/>
      </c>
      <c r="U6" s="1598" t="str">
        <f>IF(C32&lt;0.4,"",0.1+(0.2/C34)*13)</f>
        <v/>
      </c>
      <c r="V6" s="1598" t="str">
        <f>IF(C32&lt;0.4,"",0.1+(0.2/C34)*14)</f>
        <v/>
      </c>
      <c r="W6" s="1597" t="str">
        <f>IF(C32&lt;0.4,"",0.1+(0.2/C34)*15)</f>
        <v/>
      </c>
      <c r="X6" s="1541"/>
    </row>
    <row r="7" spans="1:24" hidden="1">
      <c r="A7" s="1541"/>
      <c r="B7" s="1596" t="s">
        <v>3176</v>
      </c>
      <c r="C7" s="1595">
        <v>4.5824813999999998E-2</v>
      </c>
      <c r="D7" s="1673"/>
      <c r="E7" s="1584"/>
      <c r="F7" s="1578"/>
      <c r="G7" s="1594">
        <f>1/C21</f>
        <v>1.6666666666666666E-2</v>
      </c>
      <c r="H7" s="1593">
        <f>IF(C32&gt;0.1,0.1,"")</f>
        <v>0.1</v>
      </c>
      <c r="I7" s="1593">
        <f>IF(C32&gt;0.2,0.2,"")</f>
        <v>0.2</v>
      </c>
      <c r="J7" s="1593">
        <f>IF(C32&gt;0.3,0.3,"")</f>
        <v>0.3</v>
      </c>
      <c r="K7" s="1593" t="str">
        <f>IF(C32&gt;0.4,0.4,"")</f>
        <v/>
      </c>
      <c r="L7" s="1593" t="str">
        <f>IF(C32&gt;0.5,0.5,"")</f>
        <v/>
      </c>
      <c r="M7" s="1593" t="str">
        <f>IF(C32&gt;0.6,0.6,"")</f>
        <v/>
      </c>
      <c r="N7" s="1593" t="str">
        <f>IF(C32&gt;0.7,0.7,"")</f>
        <v/>
      </c>
      <c r="O7" s="1593" t="str">
        <f>IF(C32&gt;0.8,0.8,"")</f>
        <v/>
      </c>
      <c r="P7" s="1593" t="str">
        <f>IF(C32&gt;0.9,0.9,"")</f>
        <v/>
      </c>
      <c r="Q7" s="1593" t="str">
        <f>IF(C32&gt;1,1,"")</f>
        <v/>
      </c>
      <c r="R7" s="1593" t="str">
        <f>IF(C32&gt;1.1,1.1,"")</f>
        <v/>
      </c>
      <c r="S7" s="1593" t="str">
        <f>IF(C32&gt;1.2,1.2,"")</f>
        <v/>
      </c>
      <c r="T7" s="1593" t="str">
        <f>IF(C32&gt;1.3,1.3,"")</f>
        <v/>
      </c>
      <c r="U7" s="1593" t="str">
        <f>IF(C32&gt;1.4,1.4,"")</f>
        <v/>
      </c>
      <c r="V7" s="1593" t="str">
        <f>IF(C32&gt;1.5,1.5,"")</f>
        <v/>
      </c>
      <c r="W7" s="1592" t="str">
        <f>IF(C32&gt;1.6,1.6,"")</f>
        <v/>
      </c>
      <c r="X7" s="1541"/>
    </row>
    <row r="8" spans="1:24" hidden="1">
      <c r="A8" s="1541"/>
      <c r="B8" s="1587" t="s">
        <v>3181</v>
      </c>
      <c r="C8" s="1591">
        <v>-0.24986050400000001</v>
      </c>
      <c r="D8" s="1668"/>
      <c r="E8" s="1584"/>
      <c r="F8" s="1578"/>
      <c r="G8" s="1579"/>
      <c r="H8" s="1579"/>
      <c r="I8" s="1579"/>
      <c r="J8" s="1579"/>
      <c r="K8" s="1579"/>
      <c r="L8" s="1579"/>
      <c r="M8" s="1579"/>
      <c r="N8" s="1579"/>
      <c r="O8" s="1579"/>
      <c r="P8" s="1579"/>
      <c r="Q8" s="1579"/>
      <c r="R8" s="1579"/>
      <c r="S8" s="1579"/>
      <c r="T8" s="1579"/>
      <c r="U8" s="1579"/>
      <c r="V8" s="1579"/>
      <c r="W8" s="1578"/>
      <c r="X8" s="1541"/>
    </row>
    <row r="9" spans="1:24" hidden="1">
      <c r="A9" s="1541"/>
      <c r="B9" s="1587" t="s">
        <v>3180</v>
      </c>
      <c r="C9" s="1591">
        <v>0.53222846899999998</v>
      </c>
      <c r="D9" s="1668"/>
      <c r="E9" s="1584"/>
      <c r="F9" s="1578"/>
      <c r="G9" s="1579"/>
      <c r="H9" s="1579"/>
      <c r="I9" s="1579"/>
      <c r="J9" s="1579"/>
      <c r="K9" s="1579"/>
      <c r="L9" s="1579"/>
      <c r="M9" s="1579"/>
      <c r="N9" s="1579"/>
      <c r="O9" s="1579"/>
      <c r="P9" s="1579"/>
      <c r="Q9" s="1579"/>
      <c r="R9" s="1579"/>
      <c r="S9" s="1579"/>
      <c r="T9" s="1579"/>
      <c r="U9" s="1579"/>
      <c r="V9" s="1579"/>
      <c r="W9" s="1578"/>
      <c r="X9" s="1541"/>
    </row>
    <row r="10" spans="1:24" hidden="1">
      <c r="A10" s="1541"/>
      <c r="B10" s="1589"/>
      <c r="C10" s="1588"/>
      <c r="D10" s="1666"/>
      <c r="E10" s="1584"/>
      <c r="F10" s="1578"/>
      <c r="G10" s="1579"/>
      <c r="H10" s="1579"/>
      <c r="I10" s="1579"/>
      <c r="J10" s="1579"/>
      <c r="K10" s="1579"/>
      <c r="L10" s="1579"/>
      <c r="M10" s="1579"/>
      <c r="N10" s="1579"/>
      <c r="O10" s="1579"/>
      <c r="P10" s="1579"/>
      <c r="Q10" s="1579"/>
      <c r="R10" s="1579"/>
      <c r="S10" s="1579"/>
      <c r="T10" s="1579"/>
      <c r="U10" s="1579"/>
      <c r="V10" s="1579"/>
      <c r="W10" s="1578"/>
      <c r="X10" s="1541"/>
    </row>
    <row r="11" spans="1:24" hidden="1">
      <c r="A11" s="1541"/>
      <c r="B11" s="1589"/>
      <c r="C11" s="1588"/>
      <c r="D11" s="1666"/>
      <c r="E11" s="1584"/>
      <c r="F11" s="1578"/>
      <c r="G11" s="1579"/>
      <c r="H11" s="1579"/>
      <c r="I11" s="1579"/>
      <c r="J11" s="1579"/>
      <c r="K11" s="1579"/>
      <c r="L11" s="1579"/>
      <c r="M11" s="1579"/>
      <c r="N11" s="1579"/>
      <c r="O11" s="1579"/>
      <c r="P11" s="1579"/>
      <c r="Q11" s="1579"/>
      <c r="R11" s="1579"/>
      <c r="S11" s="1579"/>
      <c r="T11" s="1579"/>
      <c r="U11" s="1579"/>
      <c r="V11" s="1579"/>
      <c r="W11" s="1578"/>
      <c r="X11" s="1541"/>
    </row>
    <row r="12" spans="1:24" hidden="1">
      <c r="A12" s="1541"/>
      <c r="B12" s="1587" t="s">
        <v>3179</v>
      </c>
      <c r="C12" s="1590">
        <f>-C7/(3*C6)</f>
        <v>5.883928777786509</v>
      </c>
      <c r="D12" s="1667"/>
      <c r="E12" s="1584"/>
      <c r="F12" s="1578"/>
      <c r="G12" s="1579"/>
      <c r="H12" s="1579"/>
      <c r="I12" s="1579"/>
      <c r="J12" s="1579"/>
      <c r="K12" s="1579"/>
      <c r="L12" s="1579"/>
      <c r="M12" s="1579"/>
      <c r="N12" s="1579"/>
      <c r="O12" s="1579"/>
      <c r="P12" s="1579"/>
      <c r="Q12" s="1579"/>
      <c r="R12" s="1579"/>
      <c r="S12" s="1579"/>
      <c r="T12" s="1579"/>
      <c r="U12" s="1579"/>
      <c r="V12" s="1579"/>
      <c r="W12" s="1578"/>
      <c r="X12" s="1541"/>
    </row>
    <row r="13" spans="1:24" hidden="1">
      <c r="A13" s="1541"/>
      <c r="B13" s="1589"/>
      <c r="C13" s="1588"/>
      <c r="D13" s="1666"/>
      <c r="E13" s="1584"/>
      <c r="F13" s="1578"/>
      <c r="G13" s="1579"/>
      <c r="H13" s="1579"/>
      <c r="I13" s="1579"/>
      <c r="J13" s="1579"/>
      <c r="K13" s="1579"/>
      <c r="L13" s="1579"/>
      <c r="M13" s="1579"/>
      <c r="N13" s="1579"/>
      <c r="O13" s="1579"/>
      <c r="P13" s="1579"/>
      <c r="Q13" s="1579"/>
      <c r="R13" s="1579"/>
      <c r="S13" s="1579"/>
      <c r="T13" s="1579"/>
      <c r="U13" s="1579"/>
      <c r="V13" s="1579"/>
      <c r="W13" s="1578"/>
      <c r="X13" s="1541"/>
    </row>
    <row r="14" spans="1:24" hidden="1">
      <c r="A14" s="1541"/>
      <c r="B14" s="1587" t="s">
        <v>3178</v>
      </c>
      <c r="C14" s="1588">
        <f>-C7/(3*C6)+0.5*SQRT(ABS((2*C7/(3*C6))^2-4*C8/(3*C6)))</f>
        <v>7.4771662344916772</v>
      </c>
      <c r="D14" s="1666"/>
      <c r="E14" s="1584"/>
      <c r="F14" s="1578"/>
      <c r="G14" s="1579"/>
      <c r="H14" s="1579"/>
      <c r="I14" s="1579"/>
      <c r="J14" s="1579"/>
      <c r="K14" s="1579"/>
      <c r="L14" s="1579"/>
      <c r="M14" s="1579"/>
      <c r="N14" s="1579"/>
      <c r="O14" s="1579"/>
      <c r="P14" s="1579"/>
      <c r="Q14" s="1579"/>
      <c r="R14" s="1579"/>
      <c r="S14" s="1579"/>
      <c r="T14" s="1579"/>
      <c r="U14" s="1579"/>
      <c r="V14" s="1579"/>
      <c r="W14" s="1578"/>
      <c r="X14" s="1541"/>
    </row>
    <row r="15" spans="1:24" hidden="1">
      <c r="A15" s="1541"/>
      <c r="B15" s="1587" t="s">
        <v>3177</v>
      </c>
      <c r="C15" s="1588">
        <f>-C7/(3*C6)-0.5*SQRT(ABS((2*C7/(3*C6))^2-4*C8/(3*C6)))</f>
        <v>4.2906913210813409</v>
      </c>
      <c r="D15" s="1666"/>
      <c r="E15" s="1584"/>
      <c r="F15" s="1578"/>
      <c r="G15" s="1579"/>
      <c r="H15" s="1579"/>
      <c r="I15" s="1579"/>
      <c r="J15" s="1579"/>
      <c r="K15" s="1579"/>
      <c r="L15" s="1579"/>
      <c r="M15" s="1579"/>
      <c r="N15" s="1579"/>
      <c r="O15" s="1579"/>
      <c r="P15" s="1579"/>
      <c r="Q15" s="1579"/>
      <c r="R15" s="1579"/>
      <c r="S15" s="1579"/>
      <c r="T15" s="1579"/>
      <c r="U15" s="1579"/>
      <c r="V15" s="1579"/>
      <c r="W15" s="1578"/>
      <c r="X15" s="1541"/>
    </row>
    <row r="16" spans="1:24" hidden="1">
      <c r="A16" s="1541"/>
      <c r="B16" s="1589"/>
      <c r="C16" s="1588"/>
      <c r="D16" s="1666"/>
      <c r="E16" s="1584"/>
      <c r="F16" s="1578"/>
      <c r="G16" s="1579"/>
      <c r="H16" s="1579"/>
      <c r="I16" s="1579"/>
      <c r="J16" s="1579"/>
      <c r="K16" s="1579"/>
      <c r="L16" s="1579"/>
      <c r="M16" s="1579"/>
      <c r="N16" s="1579"/>
      <c r="O16" s="1579"/>
      <c r="P16" s="1579"/>
      <c r="Q16" s="1579"/>
      <c r="R16" s="1579"/>
      <c r="S16" s="1579"/>
      <c r="T16" s="1579"/>
      <c r="U16" s="1579"/>
      <c r="V16" s="1579"/>
      <c r="W16" s="1578"/>
      <c r="X16" s="1541"/>
    </row>
    <row r="17" spans="1:24" ht="26.25" hidden="1" customHeight="1">
      <c r="A17" s="1541"/>
      <c r="B17" s="1587" t="s">
        <v>3176</v>
      </c>
      <c r="C17" s="1586">
        <v>0.02</v>
      </c>
      <c r="D17" s="1665"/>
      <c r="E17" s="1584"/>
      <c r="F17" s="1578"/>
      <c r="G17" s="1579"/>
      <c r="H17" s="1579"/>
      <c r="I17" s="1579"/>
      <c r="J17" s="1579"/>
      <c r="K17" s="1579"/>
      <c r="L17" s="1579"/>
      <c r="M17" s="1579"/>
      <c r="N17" s="1579"/>
      <c r="O17" s="1579"/>
      <c r="P17" s="1579"/>
      <c r="Q17" s="1579"/>
      <c r="R17" s="1579"/>
      <c r="S17" s="1579"/>
      <c r="T17" s="1579"/>
      <c r="U17" s="1579"/>
      <c r="V17" s="1579"/>
      <c r="W17" s="1578"/>
      <c r="X17" s="1541"/>
    </row>
    <row r="18" spans="1:24" ht="18.75" hidden="1" customHeight="1">
      <c r="A18" s="1541"/>
      <c r="B18" s="1585"/>
      <c r="C18" s="1582"/>
      <c r="D18" s="1539"/>
      <c r="E18" s="1584"/>
      <c r="F18" s="1578"/>
      <c r="G18" s="1579"/>
      <c r="H18" s="1579"/>
      <c r="I18" s="1579"/>
      <c r="J18" s="1579"/>
      <c r="K18" s="1579"/>
      <c r="L18" s="1579"/>
      <c r="M18" s="1579"/>
      <c r="N18" s="1579"/>
      <c r="O18" s="1579"/>
      <c r="P18" s="1579"/>
      <c r="Q18" s="1579"/>
      <c r="R18" s="1579"/>
      <c r="S18" s="1579"/>
      <c r="T18" s="1579"/>
      <c r="U18" s="1579"/>
      <c r="V18" s="1579"/>
      <c r="W18" s="1578"/>
      <c r="X18" s="1541"/>
    </row>
    <row r="19" spans="1:24" ht="18.75" hidden="1" customHeight="1">
      <c r="A19" s="1541"/>
      <c r="B19" s="1583"/>
      <c r="C19" s="1582"/>
      <c r="D19" s="1539"/>
      <c r="E19" s="1581" t="s">
        <v>3175</v>
      </c>
      <c r="F19" s="1580"/>
      <c r="G19" s="1579">
        <f>C17-(C6*C17^3+C7*C17^2+C8*C17+C9-G7)/(3*C6*C17^2+2*C7*C17+C8)</f>
        <v>2.0785478020138504</v>
      </c>
      <c r="H19" s="1579">
        <f>C17-(C6*C17^3+C7*C17^2+C8*C17+C9-H6)/(3*C6*C17^2+2*C7*C17+C8)</f>
        <v>1.7425677883982482</v>
      </c>
      <c r="I19" s="1579">
        <f>C17-(C6*C17^3+C7*C17^2+C8*C17+C9-I6)/(3*C6*C17^2+2*C7*C17+C8)</f>
        <v>1.3393917720595252</v>
      </c>
      <c r="J19" s="1579">
        <f>C17-(C6*C17^3+C7*C17^2+C8*C17+C9-J6)/(3*C6*C17^2+2*C7*C17+C8)</f>
        <v>0.9362157557208024</v>
      </c>
      <c r="K19" s="1579" t="str">
        <f>IF(K7="","",C17-(C6*C17^3+C7*C17^2+C8*C17+C9-K6)/(3*C6*C17^2+2*C7*C17+C8))</f>
        <v/>
      </c>
      <c r="L19" s="1579" t="str">
        <f>IF(L7="","",C17-(C6*C17^3+C7*C17^2+C8*C17+C9-L6)/(3*C6*C17^2+2*C7*C17+C8))</f>
        <v/>
      </c>
      <c r="M19" s="1579" t="str">
        <f>IF(M7="","",C17-(C6*C17^3+C7*C17^2+C8*C17+C9-M6)/(3*C6*C17^2+2*C7*C17+C8))</f>
        <v/>
      </c>
      <c r="N19" s="1579" t="str">
        <f>IF(N7="","",C17-(C6*C17^3+C7*C17^2+C8*C17+C9-N6)/(3*C6*C17^2+2*C7*C17+C8))</f>
        <v/>
      </c>
      <c r="O19" s="1579" t="str">
        <f>IF(O7="","",C17-(C6*C17^3+C7*C17^2+C8*C17+C9-O6)/(3*C6*C17^2+2*C7*C17+C8))</f>
        <v/>
      </c>
      <c r="P19" s="1579" t="str">
        <f>IF(P7="","",C17-(C6*C17^3+C7*C17^2+C8*C17+C9-P6)/(3*C6*C17^2+2*C7*C17+C8))</f>
        <v/>
      </c>
      <c r="Q19" s="1579" t="str">
        <f>IF(Q7="","",C17-(C6*C17^3+C7*C17^2+C8*C17+C9-Q6)/(3*C6*C17^2+2*C7*C17+C8))</f>
        <v/>
      </c>
      <c r="R19" s="1579" t="str">
        <f>IF(R7="","",C17-(C6*C17^3+C7*C17^2+C8*C17+C9-R6)/(3*C6*C17^2+2*C7*C17+C8))</f>
        <v/>
      </c>
      <c r="S19" s="1579" t="str">
        <f>IF(S7="","",C17-(C6*C17^3+C7*C17^2+C8*C17+C9-S6)/(3*C6*C17^2+2*C7*C17+C8))</f>
        <v/>
      </c>
      <c r="T19" s="1579" t="str">
        <f>IF(T7="","",C17-(C6*C17^3+C7*C17^2+C8*C17+C9-T6)/(3*C6*C17^2+2*C7*C17+C8))</f>
        <v/>
      </c>
      <c r="U19" s="1579" t="str">
        <f>IF(U7="","",C17-(C6*C17^3+C7*C17^2+C8*C17+C9-U6)/(3*C6*C17^2+2*C7*C17+C8))</f>
        <v/>
      </c>
      <c r="V19" s="1579" t="str">
        <f>IF(V7="","",C17-(C6*C17^3+C7*C17^2+C8*C17+C9-V6)/(3*C6*C17^2+2*C7*C17+C8))</f>
        <v/>
      </c>
      <c r="W19" s="1578" t="str">
        <f>IF(W7="","",C17-(C6*C17^3+C7*C17^2+C8*C17+C9-W6)/(3*C6*C17^2+2*C7*C17+C8))</f>
        <v/>
      </c>
      <c r="X19" s="1541"/>
    </row>
    <row r="20" spans="1:24" ht="18" hidden="1" customHeight="1">
      <c r="A20" s="1541"/>
      <c r="B20" s="1583"/>
      <c r="C20" s="1582"/>
      <c r="D20" s="1539"/>
      <c r="E20" s="1581" t="s">
        <v>3174</v>
      </c>
      <c r="F20" s="1580"/>
      <c r="G20" s="1579">
        <f>G19-(C6*G19^3+C7*G19^2+C8*G19+C9-G7)/(3*C6*G19^2+2*C7*G19+C8)</f>
        <v>3.9157913736391317</v>
      </c>
      <c r="H20" s="1579">
        <f>H19-(C6*H19^3+C7*H19^2+C8*H19+C9-H6)/(3*C6*H19^2+2*C7*H19+C8)</f>
        <v>2.8167140925903533</v>
      </c>
      <c r="I20" s="1579">
        <f>I19-(C6*I19^3+C7*I19^2+C8*I19+C9-I6)/(3*C6*I19^2+2*C7*I19+C8)</f>
        <v>1.8606507365511635</v>
      </c>
      <c r="J20" s="1579">
        <f>J19-(C6*J19^3+C7*J19^2+C8*J19+C9-J6)/(3*C6*J19^2+2*C7*J19+C8)</f>
        <v>1.148877546159329</v>
      </c>
      <c r="K20" s="1579" t="str">
        <f>IF(K7="","",K19-(C6*K19^3+C7*K19^2+C8*K19+C9-K6)/(3*C6*K19^2+2*C7*K19+C8))</f>
        <v/>
      </c>
      <c r="L20" s="1579" t="str">
        <f>IF(L7="","",L19-(C6*L19^3+C7*L19^2+C8*L19+C9-L6)/(3*C6*L19^2+2*C7*L19+C8))</f>
        <v/>
      </c>
      <c r="M20" s="1579" t="str">
        <f>IF(M7="","",M19-(C6*M19^3+C7*M19^2+C8*M19+C9-M6)/(3*C6*M19^2+2*C7*M19+C8))</f>
        <v/>
      </c>
      <c r="N20" s="1579" t="str">
        <f>IF(N7="","",N19-(C6*N19^3+C7*N19^2+C8*N19+C9-N6)/(3*C6*N19^2+2*C7*N19+C8))</f>
        <v/>
      </c>
      <c r="O20" s="1579" t="str">
        <f>IF(O7="","",O19-(C6*O19^3+C7*O19^2+C8*O19+C9-O6)/(3*C6*O19^2+2*C7*O19+C8))</f>
        <v/>
      </c>
      <c r="P20" s="1579" t="str">
        <f>IF(P7="","",P19-(C6*P19^3+C7*P19^2+C8*P19+C9-P6)/(3*C6*P19^2+2*C7*P19+C8))</f>
        <v/>
      </c>
      <c r="Q20" s="1579" t="str">
        <f>IF(Q7="","",Q19-(C6*Q19^3+C7*Q19^2+C8*Q19+C9-Q6)/(3*C6*Q19^2+2*C7*Q19+C8))</f>
        <v/>
      </c>
      <c r="R20" s="1579" t="str">
        <f>IF(R7="","",R19-(C6*R19^3+C7*R19^2+C8*R19+C9-R6)/(3*C6*R19^2+2*C7*R19+C8))</f>
        <v/>
      </c>
      <c r="S20" s="1579" t="str">
        <f>IF(S7="","",S19-(C6*S19^3+C7*S19^2+C8*S19+C9-S6)/(3*C6*S19^2+2*C7*S19+C8))</f>
        <v/>
      </c>
      <c r="T20" s="1579" t="str">
        <f>IF(T7="","",T19-(C6*T19^3+C7*T19^2+C8*T19+C9-T6)/(3*C6*T19^2+2*C7*T19+C8))</f>
        <v/>
      </c>
      <c r="U20" s="1579" t="str">
        <f>IF(U7="","",U19-(C6*U19^3+C7*U19^2+C8*U19+C9-U6)/(3*C6*U19^2+2*C7*U19+C8))</f>
        <v/>
      </c>
      <c r="V20" s="1579" t="str">
        <f>IF(V7="","",V19-(C6*V19^3+C7*V19^2+C8*V19+C9-V6)/(3*C6*V19^2+2*C7*V19+C8))</f>
        <v/>
      </c>
      <c r="W20" s="1578" t="str">
        <f>IF(W7="","",W19-(C6*W19^3+C7*W19^2+C8*W19+C9-W6)/(3*C6*W19^2+2*C7*W19+C8))</f>
        <v/>
      </c>
      <c r="X20" s="1541"/>
    </row>
    <row r="21" spans="1:24" ht="15.75">
      <c r="A21" s="1541"/>
      <c r="B21" s="1556" t="s">
        <v>3246</v>
      </c>
      <c r="C21" s="1577">
        <f>IF(B1=0,"",VALUE(LEFT(受変!$AS$59,2)))</f>
        <v>60</v>
      </c>
      <c r="D21" s="1539"/>
      <c r="E21" s="1618"/>
      <c r="F21" s="1617"/>
      <c r="G21" s="1567">
        <f>G20-(C6*G20^3+C7*G20^2+C8*G20+C9-G7)/(3*C6*G20^2+2*C7*G20+C8)</f>
        <v>11.988044282510309</v>
      </c>
      <c r="H21" s="1567">
        <f>H20-(C6*H20^3+C7*H20^2+C8*H20+C9-H6)/(3*C6*H20^2+2*C7*H20+C8)</f>
        <v>3.45216240933736</v>
      </c>
      <c r="I21" s="1567">
        <f>I20-(C6*I20^3+C7*I20^2+C8*I20+C9-I6)/(3*C6*I20^2+2*C7*I20+C8)</f>
        <v>1.9476640950670787</v>
      </c>
      <c r="J21" s="1567">
        <f>J20-(C6*J20^3+C7*J20^2+C8*J20+C9-J6)/(3*C6*J20^2+2*C7*J20+C8)</f>
        <v>1.1599705572897567</v>
      </c>
      <c r="K21" s="1567" t="str">
        <f>IF(K7="","",K20-(C6*K20^3+C7*K20^2+C8*K20+C9-K6)/(3*C6*K20^2+2*C7*K20+C8))</f>
        <v/>
      </c>
      <c r="L21" s="1567" t="str">
        <f>IF(L7="","",L20-(C6*L20^3+C7*L20^2+C8*L20+C9-L6)/(3*C6*L20^2+2*C7*L20+C8))</f>
        <v/>
      </c>
      <c r="M21" s="1567" t="str">
        <f>IF(M7="","",M20-(C6*M20^3+C7*M20^2+C8*M20+C9-M6)/(3*C6*M20^2+2*C7*M20+C8))</f>
        <v/>
      </c>
      <c r="N21" s="1567" t="str">
        <f>IF(N7="","",N20-(C6*N20^3+C7*N20^2+C8*N20+C9-N6)/(3*C6*N20^2+2*C7*N20+C8))</f>
        <v/>
      </c>
      <c r="O21" s="1567" t="str">
        <f>IF(O7="","",O20-(C6*O20^3+C7*O20^2+C8*O20+C9-O6)/(3*C6*O20^2+2*C7*O20+C8))</f>
        <v/>
      </c>
      <c r="P21" s="1567" t="str">
        <f>IF(P7="","",P20-(C6*P20^3+C7*P20^2+C8*P20+C9-P6)/(3*C6*P20^2+2*C7*P20+C8))</f>
        <v/>
      </c>
      <c r="Q21" s="1567" t="str">
        <f>IF(Q7="","",Q20-(C6*Q20^3+C7*Q20^2+C8*Q20+C9-Q6)/(3*C6*Q20^2+2*C7*Q20+C8))</f>
        <v/>
      </c>
      <c r="R21" s="1567" t="str">
        <f>IF(R7="","",R20-(C6*R20^3+C7*R20^2+C8*R20+C9-R6)/(3*C6*R20^2+2*C7*R20+C8))</f>
        <v/>
      </c>
      <c r="S21" s="1567" t="str">
        <f>IF(S7="","",S20-(C6*S20^3+C7*S20^2+C8*S20+C9-S6)/(3*C6*S20^2+2*C7*S20+C8))</f>
        <v/>
      </c>
      <c r="T21" s="1567" t="str">
        <f>IF(T7="","",T20-(C6*T20^3+C7*T20^2+C8*T20+C9-T6)/(3*C6*T20^2+2*C7*T20+C8))</f>
        <v/>
      </c>
      <c r="U21" s="1567" t="str">
        <f>IF(U7="","",U20-(C6*U20^3+C7*U20^2+C8*U20+C9-U6)/(3*C6*U20^2+2*C7*U20+C8))</f>
        <v/>
      </c>
      <c r="V21" s="1567" t="str">
        <f>IF(V7="","",V20-(C6*V20^3+C7*V20^2+C8*V20+C9-V6)/(3*C6*V20^2+2*C7*V20+C8))</f>
        <v/>
      </c>
      <c r="W21" s="1566" t="str">
        <f>IF(W7="","",W20-(C6*W20^3+C7*W20^2+C8*W20+C9-W6)/(3*C6*W20^2+2*C7*W20+C8))</f>
        <v/>
      </c>
      <c r="X21" s="1541"/>
    </row>
    <row r="22" spans="1:24" ht="15.75">
      <c r="A22" s="1541"/>
      <c r="B22" s="1556" t="s">
        <v>3245</v>
      </c>
      <c r="C22" s="1575" t="str">
        <f>IF(B1=0,"",LEFT(受変!Y39,4))</f>
        <v xml:space="preserve"> 500</v>
      </c>
      <c r="D22" s="1658"/>
      <c r="E22" s="1687" t="s">
        <v>3251</v>
      </c>
      <c r="F22" s="1568" t="str">
        <f>IF(C4="","",IF(C29="1",1000*1*C22/C23,""))</f>
        <v/>
      </c>
      <c r="G22" s="1567">
        <f>G21-(C6*G21^3+C7*G21^2+C8*G21+C9-G7)/(3*C6*G21^2+2*C7*G21+C8)</f>
        <v>10.631939826708088</v>
      </c>
      <c r="H22" s="1567">
        <f>H21-(C6*H21^3+C7*H21^2+C8*H21+C9-H6)/(3*C6*H21^2+2*C7*H21+C8)</f>
        <v>3.7937820784242344</v>
      </c>
      <c r="I22" s="1567">
        <f>I21-(C6*I21^3+C7*I21^2+C8*I21+C9-I6)/(3*C6*I21^2+2*C7*I21+C8)</f>
        <v>1.9499983393648257</v>
      </c>
      <c r="J22" s="1567">
        <f>J21-(C6*J21^3+C7*J21^2+C8*J21+C9-J6)/(3*C6*J21^2+2*C7*J21+C8)</f>
        <v>1.1599999957870419</v>
      </c>
      <c r="K22" s="1567" t="str">
        <f>IF(K7="","",K21-(C6*K21^3+C7*K21^2+C8*K21+C9-K6)/(3*C6*K21^2+2*C7*K21+C8))</f>
        <v/>
      </c>
      <c r="L22" s="1567" t="str">
        <f>IF(L7="","",L21-(C6*L21^3+C7*L21^2+C8*L21+C9-L6)/(3*C6*L21^2+2*C7*L21+C8))</f>
        <v/>
      </c>
      <c r="M22" s="1567" t="str">
        <f>IF(M7="","",M21-(C6*M21^3+C7*M21^2+C8*M21+C9-M6)/(3*C6*M21^2+2*C7*M21+C8))</f>
        <v/>
      </c>
      <c r="N22" s="1567" t="str">
        <f>IF(N7="","",N21-(C6*N21^3+C7*N21^2+C8*N21+C9-N6)/(3*C6*N21^2+2*C7*N21+C8))</f>
        <v/>
      </c>
      <c r="O22" s="1567" t="str">
        <f>IF(O7="","",O21-(C6*O21^3+C7*O21^2+C8*O21+C9-O6)/(3*C6*O21^2+2*C7*O21+C8))</f>
        <v/>
      </c>
      <c r="P22" s="1567" t="str">
        <f>IF(P7="","",P21-(C6*P21^3+C7*P21^2+C8*P21+C9-P6)/(3*C6*P21^2+2*C7*P21+C8))</f>
        <v/>
      </c>
      <c r="Q22" s="1567" t="str">
        <f>IF(Q7="","",Q21-(C6*Q21^3+C7*Q21^2+C8*Q21+C9-Q6)/(3*C6*Q21^2+2*C7*Q21+C8))</f>
        <v/>
      </c>
      <c r="R22" s="1567" t="str">
        <f>IF(R7="","",R21-(C6*R21^3+C7*R21^2+C8*R21+C9-R6)/(3*C6*R21^2+2*C7*R21+C8))</f>
        <v/>
      </c>
      <c r="S22" s="1567" t="str">
        <f>IF(S7="","",S21-(C6*S21^3+C7*S21^2+C8*S21+C9-S6)/(3*C6*S21^2+2*C7*S21+C8))</f>
        <v/>
      </c>
      <c r="T22" s="1567" t="str">
        <f>IF(T7="","",T21-(C6*T21^3+C7*T21^2+C8*T21+C9-T6)/(3*C6*T21^2+2*C7*T21+C8))</f>
        <v/>
      </c>
      <c r="U22" s="1567" t="str">
        <f>IF(U7="","",U21-(C6*U21^3+C7*U21^2+C8*U21+C9-U6)/(3*C6*U21^2+2*C7*U21+C8))</f>
        <v/>
      </c>
      <c r="V22" s="1567" t="str">
        <f>IF(V7="","",V21-(C6*V21^3+C7*V21^2+C8*V21+C9-V6)/(3*C6*V21^2+2*C7*V21+C8))</f>
        <v/>
      </c>
      <c r="W22" s="1566" t="str">
        <f>IF(W7="","",W21-(C6*W21^3+C7*W21^2+C8*W21+C9-W6)/(3*C6*W21^2+2*C7*W21+C8))</f>
        <v/>
      </c>
      <c r="X22" s="1541"/>
    </row>
    <row r="23" spans="1:24" ht="15.75">
      <c r="A23" s="1541"/>
      <c r="B23" s="1556" t="s">
        <v>3243</v>
      </c>
      <c r="C23" s="1574" t="str">
        <f>IF(C4=0,"",LEFT(受変!$AG$59,4))</f>
        <v>6600</v>
      </c>
      <c r="D23" s="1539"/>
      <c r="E23" s="1687" t="s">
        <v>3250</v>
      </c>
      <c r="F23" s="1568">
        <f>IF(C4="","",IF(C29="2",1000*SQRT(3)*C22/C23,""))</f>
        <v>131.2159702703695</v>
      </c>
      <c r="G23" s="1567">
        <f>G22-(C6*G22^3+C7*G22^2+C8*G22+C9-G7)/(3*C6*G22^2+2*C7*G22+C8)</f>
        <v>10.112360731763767</v>
      </c>
      <c r="H23" s="1567">
        <f>H22-(C6*H22^3+C7*H22^2+C8*H22+C9-H6)/(3*C6*H22^2+2*C7*H22+C8)</f>
        <v>3.9415754837935113</v>
      </c>
      <c r="I23" s="1567">
        <f>I22-(C6*I22^3+C7*I22^2+C8*I22+C9-I6)/(3*C6*I22^2+2*C7*I22+C8)</f>
        <v>1.9499999968282029</v>
      </c>
      <c r="J23" s="1567">
        <f>J22-(C6*J22^3+C7*J22^2+C8*J22+C9-J6)/(3*C6*J22^2+2*C7*J22+C8)</f>
        <v>1.1599999959940437</v>
      </c>
      <c r="K23" s="1567" t="str">
        <f>IF(K7="","",K22-(C6*K22^3+C7*K22^2+C8*K22+C9-K6)/(3*C6*K22^2+2*C7*K22+C8))</f>
        <v/>
      </c>
      <c r="L23" s="1567" t="str">
        <f>IF(L7="","",L22-(C6*L22^3+C7*L22^2+C8*L22+C9-L6)/(3*C6*L22^2+2*C7*L22+C8))</f>
        <v/>
      </c>
      <c r="M23" s="1567" t="str">
        <f>IF(M7="","",M22-(C6*M22^3+C7*M22^2+C8*M22+C9-M6)/(3*C6*M22^2+2*C7*M22+C8))</f>
        <v/>
      </c>
      <c r="N23" s="1567" t="str">
        <f>IF(N7="","",N22-(C6*N22^3+C7*N22^2+C8*N22+C9-N6)/(3*C6*N22^2+2*C7*N22+C8))</f>
        <v/>
      </c>
      <c r="O23" s="1567" t="str">
        <f>IF(O7="","",O22-(C6*O22^3+C7*O22^2+C8*O22+C9-O6)/(3*C6*O22^2+2*C7*O22+C8))</f>
        <v/>
      </c>
      <c r="P23" s="1567" t="str">
        <f>IF(P7="","",P22-(C6*P22^3+C7*P22^2+C8*P22+C9-P6)/(3*C6*P22^2+2*C7*P22+C8))</f>
        <v/>
      </c>
      <c r="Q23" s="1567" t="str">
        <f>IF(Q7="","",Q22-(C6*Q22^3+C7*Q22^2+C8*Q22+C9-Q6)/(3*C6*Q22^2+2*C7*Q22+C8))</f>
        <v/>
      </c>
      <c r="R23" s="1567" t="str">
        <f>IF(R7="","",R22-(C6*R22^3+C7*R22^2+C8*R22+C9-R6)/(3*C6*R22^2+2*C7*R22+C8))</f>
        <v/>
      </c>
      <c r="S23" s="1567" t="str">
        <f>IF(S7="","",S22-(C6*S22^3+C7*S22^2+C8*S22+C9-S6)/(3*C6*S22^2+2*C7*S22+C8))</f>
        <v/>
      </c>
      <c r="T23" s="1567" t="str">
        <f>IF(T7="","",T22-(C6*T22^3+C7*T22^2+C8*T22+C9-T6)/(3*C6*T22^2+2*C7*T22+C8))</f>
        <v/>
      </c>
      <c r="U23" s="1567" t="str">
        <f>IF(U7="","",U22-(C6*U22^3+C7*U22^2+C8*U22+C9-U6)/(3*C6*U22^2+2*C7*U22+C8))</f>
        <v/>
      </c>
      <c r="V23" s="1567" t="str">
        <f>IF(V7="","",V22-(C6*V22^3+C7*V22^2+C8*V22+C9-V6)/(3*C6*V22^2+2*C7*V22+C8))</f>
        <v/>
      </c>
      <c r="W23" s="1566" t="str">
        <f>IF(W7="","",W22-(C6*W22^3+C7*W22^2+C8*W22+C9-W6)/(3*C6*W22^2+2*C7*W22+C8))</f>
        <v/>
      </c>
      <c r="X23" s="1541"/>
    </row>
    <row r="24" spans="1:24" ht="15.75" hidden="1">
      <c r="A24" s="1541"/>
      <c r="B24" s="1556"/>
      <c r="C24" s="1573"/>
      <c r="D24" s="1539"/>
      <c r="E24" s="1572" t="s">
        <v>3249</v>
      </c>
      <c r="F24" s="1571"/>
      <c r="G24" s="1567">
        <f>G23-(C6*G23^3+C7*G23^2+C8*G23+C9-G7)/(3*C6*G23^2+2*C7*G23+C8)</f>
        <v>10.031856826961036</v>
      </c>
      <c r="H24" s="1567">
        <f>H23-(C6*H23^3+C7*H23^2+C8*H23+C9-H6)/(3*C6*H23^2+2*C7*H23+C8)</f>
        <v>3.9776912237081969</v>
      </c>
      <c r="I24" s="1567">
        <f>I23-(C6*I23^3+C7*I23^2+C8*I23+C9-I6)/(3*C6*I23^2+2*C7*I23+C8)</f>
        <v>1.9499999968290387</v>
      </c>
      <c r="J24" s="1567">
        <f>J23-(C6*J23^3+C7*J23^2+C8*J23+C9-J6)/(3*C6*J23^2+2*C7*J23+C8)</f>
        <v>1.1599999959940432</v>
      </c>
      <c r="K24" s="1567" t="str">
        <f>IF(K7="","",K23-(C6*K23^3+C7*K23^2+C8*K23+C9-K6)/(3*C6*K23^2+2*C7*K23+C8))</f>
        <v/>
      </c>
      <c r="L24" s="1567" t="str">
        <f>IF(L7="","",L23-(C6*L23^3+C7*L23^2+C8*L23+C9-L6)/(3*C6*L23^2+2*C7*L23+C8))</f>
        <v/>
      </c>
      <c r="M24" s="1567" t="str">
        <f>IF(M7="","",M23-(C6*M23^3+C7*M23^2+C8*M23+C9-M6)/(3*C6*M23^2+2*C7*M23+C8))</f>
        <v/>
      </c>
      <c r="N24" s="1567" t="str">
        <f>IF(N7="","",N23-(C6*N23^3+C7*N23^2+C8*N23+C9-N6)/(3*C6*N23^2+2*C7*N23+C8))</f>
        <v/>
      </c>
      <c r="O24" s="1567" t="str">
        <f>IF(O7="","",O23-(C6*O23^3+C7*O23^2+C8*O23+C9-O6)/(3*C6*O23^2+2*C7*O23+C8))</f>
        <v/>
      </c>
      <c r="P24" s="1567" t="str">
        <f>IF(P7="","",P23-(C6*P23^3+C7*P23^2+C8*P23+C9-P6)/(3*C6*P23^2+2*C7*P23+C8))</f>
        <v/>
      </c>
      <c r="Q24" s="1567" t="str">
        <f>IF(Q7="","",Q23-(C6*Q23^3+C7*Q23^2+C8*Q23+C9-Q6)/(3*C6*Q23^2+2*C7*Q23+C8))</f>
        <v/>
      </c>
      <c r="R24" s="1567" t="str">
        <f>IF(R7="","",R23-(C6*R23^3+C7*R23^2+C8*R23+C9-R6)/(3*C6*R23^2+2*C7*R23+C8))</f>
        <v/>
      </c>
      <c r="S24" s="1567" t="str">
        <f>IF(S7="","",S23-(C6*S23^3+C7*S23^2+C8*S23+C9-S6)/(3*C6*S23^2+2*C7*S23+C8))</f>
        <v/>
      </c>
      <c r="T24" s="1567" t="str">
        <f>IF(T7="","",T23-(C6*T23^3+C7*T23^2+C8*T23+C9-T6)/(3*C6*T23^2+2*C7*T23+C8))</f>
        <v/>
      </c>
      <c r="U24" s="1567" t="str">
        <f>IF(U7="","",U23-(C6*U23^3+C7*U23^2+C8*U23+C9-U6)/(3*C6*U23^2+2*C7*U23+C8))</f>
        <v/>
      </c>
      <c r="V24" s="1567" t="str">
        <f>IF(V7="","",V23-(C6*V23^3+C7*V23^2+C8*V23+C9-V6)/(3*C6*V23^2+2*C7*V23+C8))</f>
        <v/>
      </c>
      <c r="W24" s="1566" t="str">
        <f>IF(W7="","",W23-(C6*W23^3+C7*W23^2+C8*W23+C9-W6)/(3*C6*W23^2+2*C7*W23+C8))</f>
        <v/>
      </c>
      <c r="X24" s="1541"/>
    </row>
    <row r="25" spans="1:24" ht="16.5" thickBot="1">
      <c r="A25" s="1541"/>
      <c r="B25" s="1556" t="s">
        <v>3240</v>
      </c>
      <c r="C25" s="1570">
        <f>IF(C4=0,"",IF(C29="1",F22,IF(C29="2",F23,IF(C29="3",F25,IF(C29="4",F22+F25,IF(C29="5",F23+F25,IF(C29="6",2*F25,"---")))))))</f>
        <v>131.2159702703695</v>
      </c>
      <c r="D25" s="1539"/>
      <c r="E25" s="1687" t="s">
        <v>3248</v>
      </c>
      <c r="F25" s="1568" t="str">
        <f>IF(C4="","",IF(C29="3",1000*SQRT(3)*C22/C23,""))</f>
        <v/>
      </c>
      <c r="G25" s="1567">
        <f>G24-(C6*G24^3+C7*G24^2+C8*G24+C9-G7)/(3*C6*G24^2+2*C7*G24+C8)</f>
        <v>10.030000262879774</v>
      </c>
      <c r="H25" s="1567">
        <f>H24-(C6*H24^3+C7*H24^2+C8*H24+C9-H6)/(3*C6*H24^2+2*C7*H24+C8)</f>
        <v>3.9799898786638499</v>
      </c>
      <c r="I25" s="1567">
        <f>I24-(C6*I24^3+C7*I24^2+C8*I24+C9-I6)/(3*C6*I24^2+2*C7*I24+C8)</f>
        <v>1.9499999968290387</v>
      </c>
      <c r="J25" s="1567">
        <f>J24-(C6*J24^3+C7*J24^2+C8*J24+C9-J6)/(3*C6*J24^2+2*C7*J24+C8)</f>
        <v>1.1599999959940437</v>
      </c>
      <c r="K25" s="1567" t="str">
        <f>IF(K7="","",K24-(C6*K24^3+C7*K24^2+C8*K24+C9-K6)/(3*C6*K24^2+2*C7*K24+C8))</f>
        <v/>
      </c>
      <c r="L25" s="1567" t="str">
        <f>IF(L7="","",L24-(C6*L24^3+C7*L24^2+C8*L24+C9-L6)/(3*C6*L24^2+2*C7*L24+C8))</f>
        <v/>
      </c>
      <c r="M25" s="1567" t="str">
        <f>IF(M7="","",M24-(C6*M24^3+C7*M24^2+C8*M24+C9-M6)/(3*C6*M24^2+2*C7*M24+C8))</f>
        <v/>
      </c>
      <c r="N25" s="1567" t="str">
        <f>IF(N7="","",N24-(C6*N24^3+C7*N24^2+C8*N24+C9-N6)/(3*C6*N24^2+2*C7*N24+C8))</f>
        <v/>
      </c>
      <c r="O25" s="1567" t="str">
        <f>IF(O7="","",O24-(C6*O24^3+C7*O24^2+C8*O24+C9-O6)/(3*C6*O24^2+2*C7*O24+C8))</f>
        <v/>
      </c>
      <c r="P25" s="1567" t="str">
        <f>IF(P7="","",P24-(C6*P24^3+C7*P24^2+C8*P24+C9-P6)/(3*C6*P24^2+2*C7*P24+C8))</f>
        <v/>
      </c>
      <c r="Q25" s="1567" t="str">
        <f>IF(Q7="","",Q24-(C6*Q24^3+C7*Q24^2+C8*Q24+C9-Q6)/(3*C6*Q24^2+2*C7*Q24+C8))</f>
        <v/>
      </c>
      <c r="R25" s="1567" t="str">
        <f>IF(R7="","",R24-(C6*R24^3+C7*R24^2+C8*R24+C9-R6)/(3*C6*R24^2+2*C7*R24+C8))</f>
        <v/>
      </c>
      <c r="S25" s="1567" t="str">
        <f>IF(S7="","",S24-(C6*S24^3+C7*S24^2+C8*S24+C9-S6)/(3*C6*S24^2+2*C7*S24+C8))</f>
        <v/>
      </c>
      <c r="T25" s="1567" t="str">
        <f>IF(T7="","",T24-(C6*T24^3+C7*T24^2+C8*T24+C9-T6)/(3*C6*T24^2+2*C7*T24+C8))</f>
        <v/>
      </c>
      <c r="U25" s="1567" t="str">
        <f>IF(U7="","",U24-(C6*U24^3+C7*U24^2+C8*U24+C9-U6)/(3*C6*U24^2+2*C7*U24+C8))</f>
        <v/>
      </c>
      <c r="V25" s="1567" t="str">
        <f>IF(V7="","",V24-(C6*V24^3+C7*V24^2+C8*V24+C9-V6)/(3*C6*V24^2+2*C7*V24+C8))</f>
        <v/>
      </c>
      <c r="W25" s="1566" t="str">
        <f>IF(W7="","",W24-(C6*W24^3+C7*W24^2+C8*W24+C9-W6)/(3*C6*W24^2+2*C7*W24+C8))</f>
        <v/>
      </c>
      <c r="X25" s="1541"/>
    </row>
    <row r="26" spans="1:24" ht="16.5" hidden="1" thickBot="1">
      <c r="A26" s="1541"/>
      <c r="B26" s="1556"/>
      <c r="C26" s="1609">
        <f>(C22/500)^0.232</f>
        <v>1</v>
      </c>
      <c r="D26" s="1539"/>
      <c r="E26" s="1563" t="s">
        <v>3168</v>
      </c>
      <c r="F26" s="1563"/>
      <c r="G26" s="1562">
        <f>G25-(C6*G25^3+C7*G25^2+C8*G25+C9-G7)/(3*C6*G25^2+2*C7*G25+C8)</f>
        <v>10.029999287207151</v>
      </c>
      <c r="H26" s="1562">
        <f>H25-(C6*H25^3+C7*H25^2+C8*H25+C9-H6)/(3*C6*H25^2+2*C7*H25+C8)</f>
        <v>3.9799991445975582</v>
      </c>
      <c r="I26" s="1562">
        <f>I25-(C6*I25^3+C7*I25^2+C8*I25+C9-I6)/(3*C6*I25^2+2*C7*I25+C8)</f>
        <v>1.9499999968290387</v>
      </c>
      <c r="J26" s="1562">
        <f>J25-(C6*J25^3+C7*J25^2+C8*J25+C9-J6)/(3*C6*J25^2+2*C7*J25+C8)</f>
        <v>1.1599999959940432</v>
      </c>
      <c r="K26" s="1562" t="str">
        <f>IF(K7="","",K25-(C6*K25^3+C7*K25^2+C8*K25+C9-K6)/(3*C6*K25^2+2*C7*K25+C8))</f>
        <v/>
      </c>
      <c r="L26" s="1562" t="str">
        <f>IF(L7="","",L25-(C6*L25^3+C7*L25^2+C8*L25+C9-L6)/(3*C6*L25^2+2*C7*L25+C8))</f>
        <v/>
      </c>
      <c r="M26" s="1562" t="str">
        <f>IF(M7="","",M25-(C6*M25^3+C7*M25^2+C8*M25+C9-M6)/(3*C6*M25^2+2*C7*M25+C8))</f>
        <v/>
      </c>
      <c r="N26" s="1562" t="str">
        <f>IF(N7="","",N25-(C6*N25^3+C7*N25^2+C8*N25+C9-N6)/(3*C6*N25^2+2*C7*N25+C8))</f>
        <v/>
      </c>
      <c r="O26" s="1562" t="str">
        <f>IF(O7="","",O25-(C6*O25^3+C7*O25^2+C8*O25+C9-O6)/(3*C6*O25^2+2*C7*O25+C8))</f>
        <v/>
      </c>
      <c r="P26" s="1562" t="str">
        <f>IF(P7="","",P25-(C6*P25^3+C7*P25^2+C8*P25+C9-P6)/(3*C6*P25^2+2*C7*P25+C8))</f>
        <v/>
      </c>
      <c r="Q26" s="1562" t="str">
        <f>IF(Q7="","",Q25-(C6*Q25^3+C7*Q25^2+C8*Q25+C9-Q6)/(3*C6*Q25^2+2*C7*Q25+C8))</f>
        <v/>
      </c>
      <c r="R26" s="1562" t="str">
        <f>IF(R7="","",R25-(C6*R25^3+C7*R25^2+C8*R25+C9-R6)/(3*C6*R25^2+2*C7*R25+C8))</f>
        <v/>
      </c>
      <c r="S26" s="1562" t="str">
        <f>IF(S7="","",S25-(C6*S25^3+C7*S25^2+C8*S25+C9-S6)/(3*C6*S25^2+2*C7*S25+C8))</f>
        <v/>
      </c>
      <c r="T26" s="1562" t="str">
        <f>IF(T7="","",T25-(C6*T25^3+C7*T25^2+C8*T25+C9-T6)/(3*C6*T25^2+2*C7*T25+C8))</f>
        <v/>
      </c>
      <c r="U26" s="1562" t="str">
        <f>IF(U7="","",U25-(C6*U25^3+C7*U25^2+C8*U25+C9-U6)/(3*C6*U25^2+2*C7*U25+C8))</f>
        <v/>
      </c>
      <c r="V26" s="1562" t="str">
        <f>IF(V7="","",V25-(C6*V25^3+C7*V25^2+C8*V25+C9-V6)/(3*C6*V25^2+2*C7*V25+C8))</f>
        <v/>
      </c>
      <c r="W26" s="1561" t="str">
        <f>IF(W7="","",W25-(C6*W25^3+C7*W25^2+C8*W25+C9-W6)/(3*C6*W25^2+2*C7*W25+C8))</f>
        <v/>
      </c>
      <c r="X26" s="1541"/>
    </row>
    <row r="27" spans="1:24" ht="16.5" hidden="1" thickBot="1">
      <c r="A27" s="1541"/>
      <c r="B27" s="1556"/>
      <c r="C27" s="1608"/>
      <c r="D27" s="1539"/>
      <c r="E27" s="1563" t="s">
        <v>3167</v>
      </c>
      <c r="F27" s="1563"/>
      <c r="G27" s="1562">
        <f>G26-(C6*G26^3+C7*G26^2+C8*G26+C9-G7)/(3*C6*G26^2+2*C7*G26+C8)</f>
        <v>10.029999287206884</v>
      </c>
      <c r="H27" s="1562">
        <f>H26-(C6*H26^3+C7*H26^2+C8*H26+C9-H6)/(3*C6*H26^2+2*C7*H26+C8)</f>
        <v>3.9799991447479877</v>
      </c>
      <c r="I27" s="1562">
        <f>I26-(C6*I26^3+C7*I26^2+C8*I26+C9-I6)/(3*C6*I26^2+2*C7*I26+C8)</f>
        <v>1.9499999968290387</v>
      </c>
      <c r="J27" s="1562">
        <f>J26-(C6*J26^3+C7*J26^2+C8*J26+C9-J6)/(3*C6*J26^2+2*C7*J26+C8)</f>
        <v>1.1599999959940437</v>
      </c>
      <c r="K27" s="1562" t="str">
        <f>IF(K7="","",K26-(C6*K26^3+C7*K26^2+C8*K26+C9-K6)/(3*C6*K26^2+2*C7*K26+C8))</f>
        <v/>
      </c>
      <c r="L27" s="1562" t="str">
        <f>IF(L7="","",L26-(C6*L26^3+C7*L26^2+C8*L26+C9-L6)/(3*C6*L26^2+2*C7*L26+C8))</f>
        <v/>
      </c>
      <c r="M27" s="1562" t="str">
        <f>IF(M7="","",M26-(C6*M26^3+C7*M26^2+C8*M26+C9-M6)/(3*C6*M26^2+2*C7*M26+C8))</f>
        <v/>
      </c>
      <c r="N27" s="1562" t="str">
        <f>IF(N7="","",N26-(C6*N26^3+C7*N26^2+C8*N26+C9-N6)/(3*C6*N26^2+2*C7*N26+C8))</f>
        <v/>
      </c>
      <c r="O27" s="1562" t="str">
        <f>IF(O7="","",O26-(C6*O26^3+C7*O26^2+C8*O26+C9-O6)/(3*C6*O26^2+2*C7*O26+C8))</f>
        <v/>
      </c>
      <c r="P27" s="1562" t="str">
        <f>IF(P7="","",P26-(C6*P26^3+C7*P26^2+C8*P26+C9-P6)/(3*C6*P26^2+2*C7*P26+C8))</f>
        <v/>
      </c>
      <c r="Q27" s="1562" t="str">
        <f>IF(Q7="","",Q26-(C6*Q26^3+C7*Q26^2+C8*Q26+C9-Q6)/(3*C6*Q26^2+2*C7*Q26+C8))</f>
        <v/>
      </c>
      <c r="R27" s="1562" t="str">
        <f>IF(R7="","",R26-(C6*R26^3+C7*R26^2+C8*R26+C9-R6)/(3*C6*R26^2+2*C7*R26+C8))</f>
        <v/>
      </c>
      <c r="S27" s="1562" t="str">
        <f>IF(S7="","",S26-(C6*S26^3+C7*S26^2+C8*S26+C9-S6)/(3*C6*S26^2+2*C7*S26+C8))</f>
        <v/>
      </c>
      <c r="T27" s="1562" t="str">
        <f>IF(T7="","",T26-(C6*T26^3+C7*T26^2+C8*T26+C9-T6)/(3*C6*T26^2+2*C7*T26+C8))</f>
        <v/>
      </c>
      <c r="U27" s="1562" t="str">
        <f>IF(U7="","",U26-(C6*U26^3+C7*U26^2+C8*U26+C9-U6)/(3*C6*U26^2+2*C7*U26+C8))</f>
        <v/>
      </c>
      <c r="V27" s="1562" t="str">
        <f>IF(V7="","",V26-(C6*V26^3+C7*V26^2+C8*V26+C9-V6)/(3*C6*V26^2+2*C7*V26+C8))</f>
        <v/>
      </c>
      <c r="W27" s="1561" t="str">
        <f>IF(W7="","",W26-(C6*W26^3+C7*W26^2+C8*W26+C9-W6)/(3*C6*W26^2+2*C7*W26+C8))</f>
        <v/>
      </c>
      <c r="X27" s="1541"/>
    </row>
    <row r="28" spans="1:24" ht="16.5" hidden="1" customHeight="1" thickBot="1">
      <c r="A28" s="1541"/>
      <c r="B28" s="1556"/>
      <c r="C28" s="1608"/>
      <c r="D28" s="1539"/>
      <c r="E28" s="1563" t="s">
        <v>3166</v>
      </c>
      <c r="F28" s="1563"/>
      <c r="G28" s="1562">
        <f>G27-(C6*G27^3+C7*G27^2+C8*G27+C9-G7)/(3*C6*G27^2+2*C7*G27+C8)</f>
        <v>10.029999287206882</v>
      </c>
      <c r="H28" s="1562">
        <f>H27-(C6*H27^3+C7*H27^2+C8*H27+C9-H6)/(3*C6*H27^2+2*C7*H27+C8)</f>
        <v>3.9799991447479846</v>
      </c>
      <c r="I28" s="1562">
        <f>I27-(C6*I27^3+C7*I27^2+C8*I27+C9-I6)/(3*C6*I27^2+2*C7*I27+C8)</f>
        <v>1.9499999968290387</v>
      </c>
      <c r="J28" s="1562">
        <f>J27-(C6*J27^3+C7*J27^2+C8*J27+C9-J6)/(3*C6*J27^2+2*C7*J27+C8)</f>
        <v>1.1599999959940432</v>
      </c>
      <c r="K28" s="1562" t="str">
        <f>IF(K7="","",K27-(C6*K27^3+C7*K27^2+C8*K27+C9-K6)/(3*C6*K27^2+2*C7*K27+C8))</f>
        <v/>
      </c>
      <c r="L28" s="1562" t="str">
        <f>IF(L7="","",L27-(C6*L27^3+C7*L27^2+C8*L27+C9-L6)/(3*C6*L27^2+2*C7*L27+C8))</f>
        <v/>
      </c>
      <c r="M28" s="1562" t="str">
        <f>IF(M7="","",M27-(C6*M27^3+C7*M27^2+C8*M27+C9-M6)/(3*C6*M27^2+2*C7*M27+C8))</f>
        <v/>
      </c>
      <c r="N28" s="1562" t="str">
        <f>IF(N7="","",N27-(C6*N27^3+C7*N27^2+C8*N27+C9-N6)/(3*C6*N27^2+2*C7*N27+C8))</f>
        <v/>
      </c>
      <c r="O28" s="1562" t="str">
        <f>IF(O7="","",O27-(C6*O27^3+C7*O27^2+C8*O27+C9-O6)/(3*C6*O27^2+2*C7*O27+C8))</f>
        <v/>
      </c>
      <c r="P28" s="1562" t="str">
        <f>IF(P7="","",P27-(C6*P27^3+C7*P27^2+C8*P27+C9-P6)/(3*C6*P27^2+2*C7*P27+C8))</f>
        <v/>
      </c>
      <c r="Q28" s="1562" t="str">
        <f>IF(Q7="","",Q27-(C6*Q27^3+C7*Q27^2+C8*Q27+C9-Q6)/(3*C6*Q27^2+2*C7*Q27+C8))</f>
        <v/>
      </c>
      <c r="R28" s="1562" t="str">
        <f>IF(R7="","",R27-(C6*R27^3+C7*R27^2+C8*R27+C9-R6)/(3*C6*R27^2+2*C7*R27+C8))</f>
        <v/>
      </c>
      <c r="S28" s="1562" t="str">
        <f>IF(S7="","",S27-(C6*S27^3+C7*S27^2+C8*S27+C9-S6)/(3*C6*S27^2+2*C7*S27+C8))</f>
        <v/>
      </c>
      <c r="T28" s="1562" t="str">
        <f>IF(T7="","",T27-(C6*T27^3+C7*T27^2+C8*T27+C9-T6)/(3*C6*T27^2+2*C7*T27+C8))</f>
        <v/>
      </c>
      <c r="U28" s="1562" t="str">
        <f>IF(U7="","",U27-(C6*U27^3+C7*U27^2+C8*U27+C9-U6)/(3*C6*U27^2+2*C7*U27+C8))</f>
        <v/>
      </c>
      <c r="V28" s="1562" t="str">
        <f>IF(V7="","",V27-(C6*V27^3+C7*V27^2+C8*V27+C9-V6)/(3*C6*V27^2+2*C7*V27+C8))</f>
        <v/>
      </c>
      <c r="W28" s="1561" t="str">
        <f>IF(W7="","",W27-(C6*W27^3+C7*W27^2+C8*W27+C9-W6)/(3*C6*W27^2+2*C7*W27+C8))</f>
        <v/>
      </c>
      <c r="X28" s="1541"/>
    </row>
    <row r="29" spans="1:24" ht="16.5" thickBot="1">
      <c r="A29" s="1541"/>
      <c r="B29" s="1556" t="s">
        <v>3238</v>
      </c>
      <c r="C29" s="1607" t="str">
        <f>IF(C4=0,"",RIGHT(受変!Y39,1))</f>
        <v>2</v>
      </c>
      <c r="D29" s="1539"/>
      <c r="E29" s="3876" t="s">
        <v>3164</v>
      </c>
      <c r="F29" s="3877"/>
      <c r="G29" s="1559">
        <f>IF(C21="","",G7)</f>
        <v>1.6666666666666666E-2</v>
      </c>
      <c r="H29" s="1558">
        <f>IF(C29="","",H7)</f>
        <v>0.1</v>
      </c>
      <c r="I29" s="1558">
        <f>IF(C29="","",I7)</f>
        <v>0.2</v>
      </c>
      <c r="J29" s="1558">
        <f>IF(C29="","",J7)</f>
        <v>0.3</v>
      </c>
      <c r="K29" s="1558" t="str">
        <f t="shared" ref="K29:W29" si="0">K7</f>
        <v/>
      </c>
      <c r="L29" s="1558" t="str">
        <f t="shared" si="0"/>
        <v/>
      </c>
      <c r="M29" s="1558" t="str">
        <f t="shared" si="0"/>
        <v/>
      </c>
      <c r="N29" s="1558" t="str">
        <f t="shared" si="0"/>
        <v/>
      </c>
      <c r="O29" s="1558" t="str">
        <f t="shared" si="0"/>
        <v/>
      </c>
      <c r="P29" s="1558" t="str">
        <f t="shared" si="0"/>
        <v/>
      </c>
      <c r="Q29" s="1558" t="str">
        <f t="shared" si="0"/>
        <v/>
      </c>
      <c r="R29" s="1558" t="str">
        <f t="shared" si="0"/>
        <v/>
      </c>
      <c r="S29" s="1558" t="str">
        <f t="shared" si="0"/>
        <v/>
      </c>
      <c r="T29" s="1558" t="str">
        <f t="shared" si="0"/>
        <v/>
      </c>
      <c r="U29" s="1558" t="str">
        <f t="shared" si="0"/>
        <v/>
      </c>
      <c r="V29" s="1558" t="str">
        <f t="shared" si="0"/>
        <v/>
      </c>
      <c r="W29" s="1557" t="str">
        <f t="shared" si="0"/>
        <v/>
      </c>
      <c r="X29" s="1541"/>
    </row>
    <row r="30" spans="1:24" ht="16.5" thickBot="1">
      <c r="A30" s="1541"/>
      <c r="B30" s="1556" t="s">
        <v>3163</v>
      </c>
      <c r="C30" s="1555" t="str">
        <f>IF(C4=0,"",受変!N39)</f>
        <v>1φ3W 210/105V</v>
      </c>
      <c r="D30" s="1539"/>
      <c r="E30" s="3882"/>
      <c r="F30" s="3882"/>
      <c r="G30" s="1650" t="s">
        <v>3231</v>
      </c>
      <c r="I30" s="1553"/>
      <c r="J30" s="1553"/>
      <c r="K30" s="1553"/>
      <c r="L30" s="1553"/>
      <c r="M30" s="1553"/>
      <c r="N30" s="1553"/>
      <c r="O30" s="1553"/>
      <c r="P30" s="1553"/>
      <c r="Q30" s="1553"/>
      <c r="R30" s="1553"/>
      <c r="S30" s="1553"/>
      <c r="T30" s="1553"/>
      <c r="U30" s="1553"/>
      <c r="V30" s="1553"/>
      <c r="W30" s="1552"/>
      <c r="X30" s="1541"/>
    </row>
    <row r="31" spans="1:24" ht="15.75">
      <c r="A31" s="1541"/>
      <c r="B31" s="1551"/>
      <c r="C31" s="1550"/>
      <c r="D31" s="1539"/>
      <c r="E31" s="3884" t="s">
        <v>3161</v>
      </c>
      <c r="F31" s="3885"/>
      <c r="G31" s="1649">
        <f>IF(C21="","",G28)</f>
        <v>10.029999287206882</v>
      </c>
      <c r="H31" s="1548">
        <f>IF(C29="","",IF(H28*C26&lt;3.98,3.98,H28*C26))</f>
        <v>3.98</v>
      </c>
      <c r="I31" s="1548">
        <f>IF(C29="","",IF(C34=3,I28,I28*C26*(((C34-1)/C34)^0.44)))</f>
        <v>1.9499999968290387</v>
      </c>
      <c r="J31" s="1548">
        <f>IF(C29="","",IF(C34=3,J28,J28*C26*(((C34-2)/C34)^0.44)))</f>
        <v>1.1599999959940432</v>
      </c>
      <c r="K31" s="1548" t="str">
        <f>IF(K28="","",IF(K7*10/C34=1,1.3*K28*C26*(((C34-3)/C34)^0.44),K28*C26*(((C34-3)/C34)^0.44)))</f>
        <v/>
      </c>
      <c r="L31" s="1548" t="str">
        <f>IF(L28="","",IF(L7*10/C34=1,1.3*L28*C26*(((C34-4)/C34)^0.44),L28*C26*(((C34-4)/C34)^0.44)))</f>
        <v/>
      </c>
      <c r="M31" s="1548" t="str">
        <f>IF(M28="","",IF(M7*10/C34=1,1.3*M28*C26*(((C34-5)/C34)^0.44),M28*C26*(((C34-5)/C34)^0.44)))</f>
        <v/>
      </c>
      <c r="N31" s="1548" t="str">
        <f>IF(N28="","",IF(N7*10/C34=1,1.3*N28*C26*(((C34-6)/C34)^0.44),N28*C26*(((C34-6)/C34)^0.44)))</f>
        <v/>
      </c>
      <c r="O31" s="1548" t="str">
        <f>IF(O28="","",IF(O7*10/C34=1,1.3*O28*C26*(((C34-7)/C34)^0.44),O28*C26*(((C34-7)/C34)^0.44)))</f>
        <v/>
      </c>
      <c r="P31" s="1548" t="str">
        <f>IF(P28="","",IF(P7*10/C34=1,1.3*P28*C26*(((C34-8)/C34)^0.44),P28*C26*(((C34-8)/C34)^0.44)))</f>
        <v/>
      </c>
      <c r="Q31" s="1548" t="str">
        <f>IF(Q28="","",IF(Q7*10/C34=1,1.3*Q28*C26*(((C34-9)/C34)^0.44),Q28*C26*(((C34-9)/C34)^0.44)))</f>
        <v/>
      </c>
      <c r="R31" s="1548" t="str">
        <f>IF(R28="","",IF(R7*10/C34=1,1.4*R28*C26*(((C34-10)/C34)^0.44),R28*C26*(((C34-10)/C34)^0.44)))</f>
        <v/>
      </c>
      <c r="S31" s="1548" t="str">
        <f>IF(S28="","",IF(S7*10/C34=1,1.4*S28*C26*(((C34-11)/C34)^0.44),S28*C26*(((C34-11)/C34)^0.44)))</f>
        <v/>
      </c>
      <c r="T31" s="1548" t="str">
        <f>IF(T28="","",IF(T7*10/C34=1,1.4*T28*C26*(((C34-12)/C34)^0.44),T28*C26*(((C34-12)/C34)^0.44)))</f>
        <v/>
      </c>
      <c r="U31" s="1548" t="str">
        <f>IF(U28="","",IF(U7*10/C34=1,1.4*U28*C26*(((C34-13)/C34)^0.44),U28*C26*(((C34-13)/C34)^0.44)))</f>
        <v/>
      </c>
      <c r="V31" s="1548" t="str">
        <f>IF(V28="","",IF(V7*10/C34=1,1.4*V28*C26*(((C34-14)/C34)^0.4),V28*C26*(((C34-14)/C34)^0.4)))</f>
        <v/>
      </c>
      <c r="W31" s="1547" t="str">
        <f>IF(W28="","",IF(W7*10/C34=1,1.05*W28*C26*(((C34-14)/C34)^0.4),W28*C26*(((C34-14)/C34)^0.4)))</f>
        <v/>
      </c>
      <c r="X31" s="1541"/>
    </row>
    <row r="32" spans="1:24" ht="15" customHeight="1">
      <c r="A32" s="1541"/>
      <c r="B32" s="1648" t="s">
        <v>3237</v>
      </c>
      <c r="C32" s="3874">
        <f>IF(C29="",0,IF(0.33*(C22/500)^0.537&lt;0.33,0.33,0.33*(C22/500)^0.537))</f>
        <v>0.33</v>
      </c>
      <c r="D32" s="1539"/>
      <c r="E32" s="1647" t="s">
        <v>3236</v>
      </c>
      <c r="F32" s="1646" t="s">
        <v>3235</v>
      </c>
      <c r="G32" s="1645">
        <f>IF($C$21="",0,IF($C$29="1",0,IF($C$29="2",G28*$F$23,IF($C$29="3",G28*$F$25,IF($C$29="4",G28*$F$25,IF($C$29="5",G28*($F$23+$F$25),IF($C$29="6",2*G28*$F$25,"---")))))))</f>
        <v>1316.0960882819654</v>
      </c>
      <c r="H32" s="1644">
        <f>IF(B1=0,0,IF(H28="",0,IF($C$21="",0,IF($C$29="1",0,IF($C$29="2",H31*$F$23,IF($C$29="3",H31*$F$25,IF($C$29="4",H31*$F$25,IF($C$29="5",H31*($F$23+$F$25),IF($C$29="6",2*H31*$F$25,"---")))))))))</f>
        <v>522.23956167607059</v>
      </c>
      <c r="I32" s="1644">
        <f t="shared" ref="I32:W32" si="1">IF(I28="",0,IF($C$21="",0,IF($C$29="1",0,IF($C$29="2",I31*$F$23,IF($C$29="3",I31*$F$25,IF($C$29="4",I31*$F$25,IF($C$29="5",I31*($F$23+$F$25),IF($C$29="6",2*I31*$F$25,"---"))))))))</f>
        <v>255.87114161113976</v>
      </c>
      <c r="J32" s="1644">
        <f t="shared" si="1"/>
        <v>152.21052498798312</v>
      </c>
      <c r="K32" s="1644">
        <f t="shared" si="1"/>
        <v>0</v>
      </c>
      <c r="L32" s="1644">
        <f t="shared" si="1"/>
        <v>0</v>
      </c>
      <c r="M32" s="1644">
        <f t="shared" si="1"/>
        <v>0</v>
      </c>
      <c r="N32" s="1644">
        <f t="shared" si="1"/>
        <v>0</v>
      </c>
      <c r="O32" s="1644">
        <f t="shared" si="1"/>
        <v>0</v>
      </c>
      <c r="P32" s="1644">
        <f t="shared" si="1"/>
        <v>0</v>
      </c>
      <c r="Q32" s="1644">
        <f t="shared" si="1"/>
        <v>0</v>
      </c>
      <c r="R32" s="1644">
        <f t="shared" si="1"/>
        <v>0</v>
      </c>
      <c r="S32" s="1644">
        <f t="shared" si="1"/>
        <v>0</v>
      </c>
      <c r="T32" s="1644">
        <f t="shared" si="1"/>
        <v>0</v>
      </c>
      <c r="U32" s="1644">
        <f t="shared" si="1"/>
        <v>0</v>
      </c>
      <c r="V32" s="1644">
        <f t="shared" si="1"/>
        <v>0</v>
      </c>
      <c r="W32" s="1644">
        <f t="shared" si="1"/>
        <v>0</v>
      </c>
      <c r="X32" s="1541"/>
    </row>
    <row r="33" spans="1:24" ht="15" customHeight="1">
      <c r="A33" s="1541"/>
      <c r="B33" s="1643" t="s">
        <v>3234</v>
      </c>
      <c r="C33" s="3875"/>
      <c r="D33" s="1539"/>
      <c r="E33" s="1642" t="s">
        <v>3233</v>
      </c>
      <c r="F33" s="1641" t="s">
        <v>3232</v>
      </c>
      <c r="G33" s="1686">
        <f>IF(B1=0,0,IF($C$29="1",G28*$F$22,IF($C$29="2",G28*$F$23/SQRT(3),IF($C$29="3",G28*$F$25,IF($C$29="4",G28*($F$22+$F$25),IF($C$29="5",G28*($F$23/SQRT(3)+$F$25),IF($C$29="6",2*G28*$F$25)))))))</f>
        <v>759.84843084900626</v>
      </c>
      <c r="H33" s="1639">
        <f>IF(B1=0,0,IF(H28="",0,IF($C$29="1",H31*$F$22,IF($C$29="2",H31*$F$23/SQRT(3),IF($C$29="3",H31*$F$25,IF($C$29="4",H31*($F$22+$F$25),IF($C$29="5",H31*($F$23/SQRT(3)+$F$25),IF($C$29="6",2*H31*$F$25))))))))</f>
        <v>301.51515151515156</v>
      </c>
      <c r="I33" s="1639">
        <f>IF(B1=0,0,IF(I28="",0,IF($C$29="1",I31*$F$22,IF($C$29="2",I31*$F$23/SQRT(3),IF($C$29="3",I31*$F$25,IF($C$29="4",I31*($F$22+$F$25),IF($C$29="5",I31*($F$23/SQRT(3)+$F$25),IF($C$29="6",2*I31*$F$25))))))))</f>
        <v>147.7272724870484</v>
      </c>
      <c r="J33" s="1639">
        <f>IF(B1=0,0,IF(J28="",0,IF($C$29="1",J31*$F$22,IF($C$29="2",J31*$F$23/SQRT(3),IF($C$29="3",J31*$F$25,IF($C$29="4",J31*($F$22+$F$25),IF($C$29="5",J31*($F$23/SQRT(3)+$F$25),IF($C$29="6",2*J31*$F$25))))))))</f>
        <v>87.878787575306319</v>
      </c>
      <c r="K33" s="1639">
        <f t="shared" ref="K33:W33" si="2">IF(K28="",0,IF($C$29="1",K31*$F$22,IF($C$29="2",K31*$F$23/SQRT(3),IF($C$29="3",K31*$F$25,IF($C$29="4",K31*($F$22+$F$25),IF($C$29="5",K31*($F$23/SQRT(3)+$F$25),IF($C$29="6",2*K31*$F$25)))))))</f>
        <v>0</v>
      </c>
      <c r="L33" s="1639">
        <f t="shared" si="2"/>
        <v>0</v>
      </c>
      <c r="M33" s="1639">
        <f t="shared" si="2"/>
        <v>0</v>
      </c>
      <c r="N33" s="1639">
        <f t="shared" si="2"/>
        <v>0</v>
      </c>
      <c r="O33" s="1639">
        <f t="shared" si="2"/>
        <v>0</v>
      </c>
      <c r="P33" s="1639">
        <f t="shared" si="2"/>
        <v>0</v>
      </c>
      <c r="Q33" s="1639">
        <f t="shared" si="2"/>
        <v>0</v>
      </c>
      <c r="R33" s="1639">
        <f t="shared" si="2"/>
        <v>0</v>
      </c>
      <c r="S33" s="1639">
        <f t="shared" si="2"/>
        <v>0</v>
      </c>
      <c r="T33" s="1639">
        <f t="shared" si="2"/>
        <v>0</v>
      </c>
      <c r="U33" s="1639">
        <f t="shared" si="2"/>
        <v>0</v>
      </c>
      <c r="V33" s="1639">
        <f t="shared" si="2"/>
        <v>0</v>
      </c>
      <c r="W33" s="1639">
        <f t="shared" si="2"/>
        <v>0</v>
      </c>
      <c r="X33" s="1541"/>
    </row>
    <row r="34" spans="1:24" ht="12" hidden="1" customHeight="1">
      <c r="A34" s="1541"/>
      <c r="C34" s="1540">
        <f>INT(C32*10)</f>
        <v>3</v>
      </c>
      <c r="D34" s="1539"/>
      <c r="W34" s="1534"/>
      <c r="X34" s="1541"/>
    </row>
    <row r="35" spans="1:24" ht="12" customHeight="1">
      <c r="A35" s="1541"/>
      <c r="B35" s="1541"/>
      <c r="C35" s="1610"/>
      <c r="D35" s="1539"/>
      <c r="E35" s="1541"/>
      <c r="F35" s="1541"/>
      <c r="G35" s="1541"/>
      <c r="H35" s="1541"/>
      <c r="I35" s="1541"/>
      <c r="J35" s="1541"/>
      <c r="K35" s="1541"/>
      <c r="L35" s="1541"/>
      <c r="M35" s="1541"/>
      <c r="N35" s="1541"/>
      <c r="O35" s="1541"/>
      <c r="P35" s="1541"/>
      <c r="Q35" s="1541"/>
      <c r="R35" s="1541"/>
      <c r="S35" s="1541"/>
      <c r="T35" s="1541"/>
      <c r="U35" s="1541"/>
      <c r="V35" s="1541"/>
      <c r="W35" s="1538"/>
      <c r="X35" s="1541"/>
    </row>
    <row r="36" spans="1:24" ht="15" customHeight="1">
      <c r="A36" s="1538"/>
      <c r="B36" s="1685" t="s">
        <v>3247</v>
      </c>
      <c r="C36" s="1604">
        <f>IF(C54="",0,1)</f>
        <v>1</v>
      </c>
      <c r="D36" s="1684"/>
      <c r="E36" s="1683"/>
      <c r="F36" s="1663"/>
      <c r="G36" s="1663"/>
      <c r="H36" s="1663"/>
      <c r="I36" s="1663"/>
      <c r="J36" s="1663"/>
      <c r="K36" s="1663"/>
      <c r="L36" s="1663"/>
      <c r="M36" s="1663"/>
      <c r="N36" s="1663"/>
      <c r="O36" s="1663"/>
      <c r="P36" s="1663"/>
      <c r="Q36" s="1663"/>
      <c r="R36" s="1663"/>
      <c r="S36" s="1663"/>
      <c r="T36" s="1653"/>
      <c r="U36" s="1653"/>
      <c r="V36" s="1653"/>
      <c r="W36" s="1653"/>
      <c r="X36" s="1538"/>
    </row>
    <row r="37" spans="1:24" ht="12" hidden="1" customHeight="1">
      <c r="A37" s="1541"/>
      <c r="B37" s="1627"/>
      <c r="C37" s="1603"/>
      <c r="D37" s="1682"/>
      <c r="E37" s="1664"/>
      <c r="F37" s="1663"/>
      <c r="G37" s="1681" t="s">
        <v>3231</v>
      </c>
      <c r="H37" s="1681" t="s">
        <v>3230</v>
      </c>
      <c r="I37" s="1681" t="s">
        <v>3229</v>
      </c>
      <c r="J37" s="1681" t="s">
        <v>3228</v>
      </c>
      <c r="K37" s="1681" t="s">
        <v>3227</v>
      </c>
      <c r="L37" s="1681" t="s">
        <v>3226</v>
      </c>
      <c r="M37" s="1681" t="s">
        <v>3225</v>
      </c>
      <c r="N37" s="1681" t="s">
        <v>3224</v>
      </c>
      <c r="O37" s="1681" t="s">
        <v>3223</v>
      </c>
      <c r="P37" s="1681" t="s">
        <v>3222</v>
      </c>
      <c r="Q37" s="1681" t="s">
        <v>3221</v>
      </c>
      <c r="R37" s="1681" t="s">
        <v>3220</v>
      </c>
      <c r="S37" s="1681" t="s">
        <v>3219</v>
      </c>
      <c r="T37" s="1680" t="s">
        <v>3218</v>
      </c>
      <c r="U37" s="1680" t="s">
        <v>3217</v>
      </c>
      <c r="V37" s="1680" t="s">
        <v>3216</v>
      </c>
      <c r="W37" s="1679" t="s">
        <v>3215</v>
      </c>
      <c r="X37" s="1541"/>
    </row>
    <row r="38" spans="1:24" ht="12" hidden="1" customHeight="1">
      <c r="A38" s="1541"/>
      <c r="B38" s="1623" t="s">
        <v>3214</v>
      </c>
      <c r="C38" s="1630">
        <v>-2.596044E-3</v>
      </c>
      <c r="D38" s="1673"/>
      <c r="E38" s="1664"/>
      <c r="F38" s="1663"/>
      <c r="G38" s="1678"/>
      <c r="H38" s="1677">
        <f>H39</f>
        <v>0.1</v>
      </c>
      <c r="I38" s="1677">
        <f>IF(C64&lt;0.4,0.2,0.1+0.2/C66)</f>
        <v>0.2</v>
      </c>
      <c r="J38" s="1677">
        <f>IF(C64&lt;0.4,0.3,0.1+(0.2/C66)*2)</f>
        <v>0.3</v>
      </c>
      <c r="K38" s="1677" t="str">
        <f>IF(C64&lt;0.4,"",0.1+(0.2/C66)*3)</f>
        <v/>
      </c>
      <c r="L38" s="1677" t="str">
        <f>IF(C64&lt;0.4,"",0.1+(0.2/C66)*4)</f>
        <v/>
      </c>
      <c r="M38" s="1677" t="str">
        <f>IF(C64&lt;0.4,"",0.1+(0.2/C66)*5)</f>
        <v/>
      </c>
      <c r="N38" s="1677" t="str">
        <f>IF(C64&lt;0.4,"",0.1+(0.2/C66)*6)</f>
        <v/>
      </c>
      <c r="O38" s="1677" t="str">
        <f>IF(C64&lt;0.4,"",0.1+(0.2/C66)*7)</f>
        <v/>
      </c>
      <c r="P38" s="1677" t="str">
        <f>IF(C64&lt;0.4,"",0.1+(0.2/C66)*8)</f>
        <v/>
      </c>
      <c r="Q38" s="1677" t="str">
        <f>IF(C64&lt;0.4,"",0.1+(0.2/C66)*9)</f>
        <v/>
      </c>
      <c r="R38" s="1676" t="str">
        <f>IF(C64&lt;0.4,"",0.1+(0.2/C66)*10)</f>
        <v/>
      </c>
      <c r="S38" s="1676" t="str">
        <f>IF(C64&lt;0.4,"",0.1+(0.2/C66)*11)</f>
        <v/>
      </c>
      <c r="T38" s="1675" t="str">
        <f>IF(C64&lt;0.4,"",0.1+(0.2/C66)*12)</f>
        <v/>
      </c>
      <c r="U38" s="1675" t="str">
        <f>IF(C64&lt;0.4,"",0.1+(0.2/C66)*13)</f>
        <v/>
      </c>
      <c r="V38" s="1675" t="str">
        <f>IF(C64&lt;0.4,"",0.1+(0.2/C66)*14)</f>
        <v/>
      </c>
      <c r="W38" s="1674" t="str">
        <f>IF(C64&lt;0.4,"",0.1+(0.2/C66)*15)</f>
        <v/>
      </c>
      <c r="X38" s="1541"/>
    </row>
    <row r="39" spans="1:24" ht="12" hidden="1" customHeight="1">
      <c r="A39" s="1541"/>
      <c r="B39" s="1623" t="s">
        <v>3208</v>
      </c>
      <c r="C39" s="1630">
        <v>4.5824813999999998E-2</v>
      </c>
      <c r="D39" s="1673"/>
      <c r="E39" s="1664"/>
      <c r="F39" s="1663"/>
      <c r="G39" s="1672">
        <f>IF(C53="",0,1/C53)</f>
        <v>1.6666666666666666E-2</v>
      </c>
      <c r="H39" s="1671">
        <f>IF(C64&gt;0.1,0.1,"")</f>
        <v>0.1</v>
      </c>
      <c r="I39" s="1671">
        <f>IF(C64&gt;0.2,0.2,"")</f>
        <v>0.2</v>
      </c>
      <c r="J39" s="1671">
        <f>IF(C64&gt;0.3,0.3,"")</f>
        <v>0.3</v>
      </c>
      <c r="K39" s="1671" t="str">
        <f>IF(C64&gt;0.4,0.4,"")</f>
        <v/>
      </c>
      <c r="L39" s="1671" t="str">
        <f>IF(C64&gt;0.5,0.5,"")</f>
        <v/>
      </c>
      <c r="M39" s="1671" t="str">
        <f>IF(C64&gt;0.6,0.6,"")</f>
        <v/>
      </c>
      <c r="N39" s="1671" t="str">
        <f>IF(C64&gt;0.7,0.7,"")</f>
        <v/>
      </c>
      <c r="O39" s="1671" t="str">
        <f>IF(C64&gt;0.8,0.8,"")</f>
        <v/>
      </c>
      <c r="P39" s="1671" t="str">
        <f>IF(C64&gt;0.9,0.9,"")</f>
        <v/>
      </c>
      <c r="Q39" s="1671" t="str">
        <f>IF(C64&gt;1,1,"")</f>
        <v/>
      </c>
      <c r="R39" s="1671" t="str">
        <f>IF(C64&gt;1.1,1.1,"")</f>
        <v/>
      </c>
      <c r="S39" s="1671" t="str">
        <f>IF(C64&gt;1.2,1.2,"")</f>
        <v/>
      </c>
      <c r="T39" s="1670" t="str">
        <f>IF(C64&gt;1.3,1.3,"")</f>
        <v/>
      </c>
      <c r="U39" s="1670" t="str">
        <f>IF(C64&gt;1.4,1.4,"")</f>
        <v/>
      </c>
      <c r="V39" s="1670" t="str">
        <f>IF(C64&gt;1.5,1.5,"")</f>
        <v/>
      </c>
      <c r="W39" s="1669" t="str">
        <f>IF(C64&gt;1.6,1.6,"")</f>
        <v/>
      </c>
      <c r="X39" s="1541"/>
    </row>
    <row r="40" spans="1:24" ht="12" hidden="1" customHeight="1">
      <c r="A40" s="1541"/>
      <c r="B40" s="1623" t="s">
        <v>3213</v>
      </c>
      <c r="C40" s="1630">
        <v>-0.24986050400000001</v>
      </c>
      <c r="D40" s="1668"/>
      <c r="E40" s="1664"/>
      <c r="F40" s="1663"/>
      <c r="G40" s="1660"/>
      <c r="H40" s="1660"/>
      <c r="I40" s="1660"/>
      <c r="J40" s="1660"/>
      <c r="K40" s="1660"/>
      <c r="L40" s="1660"/>
      <c r="M40" s="1660"/>
      <c r="N40" s="1660"/>
      <c r="O40" s="1660"/>
      <c r="P40" s="1660"/>
      <c r="Q40" s="1660"/>
      <c r="R40" s="1660"/>
      <c r="S40" s="1660"/>
      <c r="T40" s="1616"/>
      <c r="U40" s="1616"/>
      <c r="V40" s="1616"/>
      <c r="W40" s="1653"/>
      <c r="X40" s="1541"/>
    </row>
    <row r="41" spans="1:24" ht="12" hidden="1" customHeight="1">
      <c r="A41" s="1541"/>
      <c r="B41" s="1623" t="s">
        <v>3212</v>
      </c>
      <c r="C41" s="1630">
        <v>0.53222846899999998</v>
      </c>
      <c r="D41" s="1668"/>
      <c r="E41" s="1664"/>
      <c r="F41" s="1663"/>
      <c r="G41" s="1660"/>
      <c r="H41" s="1660"/>
      <c r="I41" s="1660"/>
      <c r="J41" s="1660"/>
      <c r="K41" s="1660"/>
      <c r="L41" s="1660"/>
      <c r="M41" s="1660"/>
      <c r="N41" s="1660"/>
      <c r="O41" s="1660"/>
      <c r="P41" s="1660"/>
      <c r="Q41" s="1660"/>
      <c r="R41" s="1660"/>
      <c r="S41" s="1660"/>
      <c r="T41" s="1616"/>
      <c r="U41" s="1616"/>
      <c r="V41" s="1616"/>
      <c r="W41" s="1653"/>
      <c r="X41" s="1541"/>
    </row>
    <row r="42" spans="1:24" ht="12" hidden="1" customHeight="1">
      <c r="A42" s="1541"/>
      <c r="B42" s="1627"/>
      <c r="C42" s="1624"/>
      <c r="D42" s="1666"/>
      <c r="E42" s="1664"/>
      <c r="F42" s="1663"/>
      <c r="G42" s="1660"/>
      <c r="H42" s="1660"/>
      <c r="I42" s="1660"/>
      <c r="J42" s="1660"/>
      <c r="K42" s="1660"/>
      <c r="L42" s="1660"/>
      <c r="M42" s="1660"/>
      <c r="N42" s="1660"/>
      <c r="O42" s="1660"/>
      <c r="P42" s="1660"/>
      <c r="Q42" s="1660"/>
      <c r="R42" s="1660"/>
      <c r="S42" s="1660"/>
      <c r="T42" s="1616"/>
      <c r="U42" s="1616"/>
      <c r="V42" s="1616"/>
      <c r="W42" s="1653"/>
      <c r="X42" s="1541"/>
    </row>
    <row r="43" spans="1:24" ht="12" hidden="1" customHeight="1">
      <c r="A43" s="1541"/>
      <c r="B43" s="1627"/>
      <c r="C43" s="1624"/>
      <c r="D43" s="1666"/>
      <c r="E43" s="1664"/>
      <c r="F43" s="1663"/>
      <c r="G43" s="1660"/>
      <c r="H43" s="1660"/>
      <c r="I43" s="1660"/>
      <c r="J43" s="1660"/>
      <c r="K43" s="1660"/>
      <c r="L43" s="1660"/>
      <c r="M43" s="1660"/>
      <c r="N43" s="1660"/>
      <c r="O43" s="1660"/>
      <c r="P43" s="1660"/>
      <c r="Q43" s="1660"/>
      <c r="R43" s="1660"/>
      <c r="S43" s="1660"/>
      <c r="T43" s="1616"/>
      <c r="U43" s="1616"/>
      <c r="V43" s="1616"/>
      <c r="W43" s="1653"/>
      <c r="X43" s="1541"/>
    </row>
    <row r="44" spans="1:24" ht="12" hidden="1" customHeight="1">
      <c r="A44" s="1541"/>
      <c r="B44" s="1623" t="s">
        <v>3211</v>
      </c>
      <c r="C44" s="1629">
        <f>-C39/(3*C38)</f>
        <v>5.883928777786509</v>
      </c>
      <c r="D44" s="1667"/>
      <c r="E44" s="1664"/>
      <c r="F44" s="1663"/>
      <c r="G44" s="1660"/>
      <c r="H44" s="1660"/>
      <c r="I44" s="1660"/>
      <c r="J44" s="1660"/>
      <c r="K44" s="1660"/>
      <c r="L44" s="1660"/>
      <c r="M44" s="1660"/>
      <c r="N44" s="1660"/>
      <c r="O44" s="1660"/>
      <c r="P44" s="1660"/>
      <c r="Q44" s="1660"/>
      <c r="R44" s="1660"/>
      <c r="S44" s="1660"/>
      <c r="T44" s="1616"/>
      <c r="U44" s="1616"/>
      <c r="V44" s="1616"/>
      <c r="W44" s="1653"/>
      <c r="X44" s="1541"/>
    </row>
    <row r="45" spans="1:24" ht="12" hidden="1" customHeight="1">
      <c r="A45" s="1541"/>
      <c r="B45" s="1627"/>
      <c r="C45" s="1624"/>
      <c r="D45" s="1666"/>
      <c r="E45" s="1664"/>
      <c r="F45" s="1663"/>
      <c r="G45" s="1660"/>
      <c r="H45" s="1660"/>
      <c r="I45" s="1660"/>
      <c r="J45" s="1660"/>
      <c r="K45" s="1660"/>
      <c r="L45" s="1660"/>
      <c r="M45" s="1660"/>
      <c r="N45" s="1660"/>
      <c r="O45" s="1660"/>
      <c r="P45" s="1660"/>
      <c r="Q45" s="1660"/>
      <c r="R45" s="1660"/>
      <c r="S45" s="1660"/>
      <c r="T45" s="1616"/>
      <c r="U45" s="1616"/>
      <c r="V45" s="1616"/>
      <c r="W45" s="1653"/>
      <c r="X45" s="1541"/>
    </row>
    <row r="46" spans="1:24" ht="12" hidden="1" customHeight="1">
      <c r="A46" s="1541"/>
      <c r="B46" s="1623" t="s">
        <v>3210</v>
      </c>
      <c r="C46" s="1624">
        <f>-C39/(3*C38)+0.5*SQRT(ABS((2*C39/(3*C38))^2-4*C40/(3*C38)))</f>
        <v>7.4771662344916772</v>
      </c>
      <c r="D46" s="1666"/>
      <c r="E46" s="1664"/>
      <c r="F46" s="1663"/>
      <c r="G46" s="1660"/>
      <c r="H46" s="1660"/>
      <c r="I46" s="1660"/>
      <c r="J46" s="1660"/>
      <c r="K46" s="1660"/>
      <c r="L46" s="1660"/>
      <c r="M46" s="1660"/>
      <c r="N46" s="1660"/>
      <c r="O46" s="1660"/>
      <c r="P46" s="1660"/>
      <c r="Q46" s="1660"/>
      <c r="R46" s="1660"/>
      <c r="S46" s="1660"/>
      <c r="T46" s="1616"/>
      <c r="U46" s="1616"/>
      <c r="V46" s="1616"/>
      <c r="W46" s="1653"/>
      <c r="X46" s="1541"/>
    </row>
    <row r="47" spans="1:24" ht="12" hidden="1" customHeight="1">
      <c r="A47" s="1541"/>
      <c r="B47" s="1623" t="s">
        <v>3209</v>
      </c>
      <c r="C47" s="1624">
        <f>-C39/(3*C38)-0.5*SQRT(ABS((2*C39/(3*C38))^2-4*C40/(3*C38)))</f>
        <v>4.2906913210813409</v>
      </c>
      <c r="D47" s="1666"/>
      <c r="E47" s="1664"/>
      <c r="F47" s="1663"/>
      <c r="G47" s="1660"/>
      <c r="H47" s="1660"/>
      <c r="I47" s="1660"/>
      <c r="J47" s="1660"/>
      <c r="K47" s="1660"/>
      <c r="L47" s="1660"/>
      <c r="M47" s="1660"/>
      <c r="N47" s="1660"/>
      <c r="O47" s="1660"/>
      <c r="P47" s="1660"/>
      <c r="Q47" s="1660"/>
      <c r="R47" s="1660"/>
      <c r="S47" s="1660"/>
      <c r="T47" s="1616"/>
      <c r="U47" s="1616"/>
      <c r="V47" s="1616"/>
      <c r="W47" s="1653"/>
      <c r="X47" s="1541"/>
    </row>
    <row r="48" spans="1:24" ht="12" hidden="1" customHeight="1">
      <c r="A48" s="1541"/>
      <c r="B48" s="1627"/>
      <c r="C48" s="1624"/>
      <c r="D48" s="1666"/>
      <c r="E48" s="1664"/>
      <c r="F48" s="1663"/>
      <c r="G48" s="1660"/>
      <c r="H48" s="1660"/>
      <c r="I48" s="1660"/>
      <c r="J48" s="1660"/>
      <c r="K48" s="1660"/>
      <c r="L48" s="1660"/>
      <c r="M48" s="1660"/>
      <c r="N48" s="1660"/>
      <c r="O48" s="1660"/>
      <c r="P48" s="1660"/>
      <c r="Q48" s="1660"/>
      <c r="R48" s="1660"/>
      <c r="S48" s="1660"/>
      <c r="T48" s="1616"/>
      <c r="U48" s="1616"/>
      <c r="V48" s="1616"/>
      <c r="W48" s="1653"/>
      <c r="X48" s="1541"/>
    </row>
    <row r="49" spans="1:24" ht="12" hidden="1" customHeight="1">
      <c r="A49" s="1541"/>
      <c r="B49" s="1623" t="s">
        <v>3208</v>
      </c>
      <c r="C49" s="1628">
        <v>0.02</v>
      </c>
      <c r="D49" s="1665"/>
      <c r="E49" s="1664"/>
      <c r="F49" s="1663"/>
      <c r="G49" s="1660"/>
      <c r="H49" s="1660"/>
      <c r="I49" s="1660"/>
      <c r="J49" s="1660"/>
      <c r="K49" s="1660"/>
      <c r="L49" s="1660"/>
      <c r="M49" s="1660"/>
      <c r="N49" s="1660"/>
      <c r="O49" s="1660"/>
      <c r="P49" s="1660"/>
      <c r="Q49" s="1660"/>
      <c r="R49" s="1660"/>
      <c r="S49" s="1660"/>
      <c r="T49" s="1616"/>
      <c r="U49" s="1616"/>
      <c r="V49" s="1616"/>
      <c r="W49" s="1653"/>
      <c r="X49" s="1541"/>
    </row>
    <row r="50" spans="1:24" ht="12" hidden="1" customHeight="1">
      <c r="A50" s="1541"/>
      <c r="B50" s="1627"/>
      <c r="C50" s="1624"/>
      <c r="D50" s="1539"/>
      <c r="E50" s="1664"/>
      <c r="F50" s="1663"/>
      <c r="G50" s="1660"/>
      <c r="H50" s="1660"/>
      <c r="I50" s="1660"/>
      <c r="J50" s="1660"/>
      <c r="K50" s="1660"/>
      <c r="L50" s="1660"/>
      <c r="M50" s="1660"/>
      <c r="N50" s="1660"/>
      <c r="O50" s="1660"/>
      <c r="P50" s="1660"/>
      <c r="Q50" s="1660"/>
      <c r="R50" s="1660"/>
      <c r="S50" s="1660"/>
      <c r="T50" s="1616"/>
      <c r="U50" s="1616"/>
      <c r="V50" s="1616"/>
      <c r="W50" s="1653"/>
      <c r="X50" s="1541"/>
    </row>
    <row r="51" spans="1:24" ht="12" hidden="1" customHeight="1">
      <c r="A51" s="1541"/>
      <c r="B51" s="1623"/>
      <c r="C51" s="1624"/>
      <c r="D51" s="1539"/>
      <c r="E51" s="1662" t="s">
        <v>3207</v>
      </c>
      <c r="F51" s="1661"/>
      <c r="G51" s="1660">
        <f>C49-(C38*C49^3+C39*C49^2+C40*C49+C41-G39)/(3*C38*C49^2+2*C39*C49+C40)</f>
        <v>2.0785478020138504</v>
      </c>
      <c r="H51" s="1660">
        <f>C49-(C38*C49^3+C39*C49^2+C40*C49+C41-H38)/(3*C38*C49^2+2*C39*C49+C40)</f>
        <v>1.7425677883982482</v>
      </c>
      <c r="I51" s="1660">
        <f>C49-(C38*C49^3+C39*C49^2+C40*C49+C41-I38)/(3*C38*C49^2+2*C39*C49+C40)</f>
        <v>1.3393917720595252</v>
      </c>
      <c r="J51" s="1660">
        <f>C49-(C38*C49^3+C39*C49^2+C40*C49+C41-J38)/(3*C38*C49^2+2*C39*C49+C40)</f>
        <v>0.9362157557208024</v>
      </c>
      <c r="K51" s="1660" t="str">
        <f>IF(K39="","",C49-(C38*C49^3+C39*C49^2+C40*C49+C41-K38)/(3*C38*C49^2+2*C39*C49+C40))</f>
        <v/>
      </c>
      <c r="L51" s="1660" t="str">
        <f>IF(L39="","",C49-(C38*C49^3+C39*C49^2+C40*C49+C41-L38)/(3*C38*C49^2+2*C39*C49+C40))</f>
        <v/>
      </c>
      <c r="M51" s="1660" t="str">
        <f>IF(M39="","",C49-(C38*C49^3+C39*C49^2+C40*C49+C41-M38)/(3*C38*C49^2+2*C39*C49+C40))</f>
        <v/>
      </c>
      <c r="N51" s="1660" t="str">
        <f>IF(N39="","",C49-(C38*C49^3+C39*C49^2+C40*C49+C41-N38)/(3*C38*C49^2+2*C39*C49+C40))</f>
        <v/>
      </c>
      <c r="O51" s="1660" t="str">
        <f>IF(O39="","",C49-(C38*C49^3+C39*C49^2+C40*C49+C41-O38)/(3*C38*C49^2+2*C39*C49+C40))</f>
        <v/>
      </c>
      <c r="P51" s="1660" t="str">
        <f>IF(P39="","",C49-(C38*C49^3+C39*C49^2+C40*C49+C41-P38)/(3*C38*C49^2+2*C39*C49+C40))</f>
        <v/>
      </c>
      <c r="Q51" s="1660" t="str">
        <f>IF(Q39="","",C49-(C38*C49^3+C39*C49^2+C40*C49+C41-Q38)/(3*C38*C49^2+2*C39*C49+C40))</f>
        <v/>
      </c>
      <c r="R51" s="1660" t="str">
        <f>IF(R39="","",C49-(C38*C49^3+C39*C49^2+C40*C49+C41-R38)/(3*C38*C49^2+2*C39*C49+C40))</f>
        <v/>
      </c>
      <c r="S51" s="1660" t="str">
        <f>IF(S39="","",C49-(C38*C49^3+C39*C49^2+C40*C49+C41-S38)/(3*C38*C49^2+2*C39*C49+C40))</f>
        <v/>
      </c>
      <c r="T51" s="1616" t="str">
        <f>IF(T39="","",C49-(C38*C49^3+C39*C49^2+C40*C49+C41-T38)/(3*C38*C49^2+2*C39*C49+C40))</f>
        <v/>
      </c>
      <c r="U51" s="1616" t="str">
        <f>IF(U39="","",C49-(C38*C49^3+C39*C49^2+C40*C49+C41-U38)/(3*C38*C49^2+2*C39*C49+C40))</f>
        <v/>
      </c>
      <c r="V51" s="1616" t="str">
        <f>IF(V39="","",C49-(C38*C49^3+C39*C49^2+C40*C49+C41-V38)/(3*C38*C49^2+2*C39*C49+C40))</f>
        <v/>
      </c>
      <c r="W51" s="1653" t="str">
        <f>IF(W39="","",C49-(C38*C49^3+C39*C49^2+C40*C49+C41-W38)/(3*C38*C49^2+2*C39*C49+C40))</f>
        <v/>
      </c>
      <c r="X51" s="1541"/>
    </row>
    <row r="52" spans="1:24" ht="12" hidden="1" customHeight="1">
      <c r="A52" s="1541"/>
      <c r="B52" s="1623"/>
      <c r="C52" s="1624"/>
      <c r="D52" s="1539"/>
      <c r="E52" s="1662" t="s">
        <v>3206</v>
      </c>
      <c r="F52" s="1661"/>
      <c r="G52" s="1660">
        <f>G51-(C38*G51^3+C39*G51^2+C40*G51+C41-G39)/(3*C38*G51^2+2*C39*G51+C40)</f>
        <v>3.9157913736391317</v>
      </c>
      <c r="H52" s="1660">
        <f>H51-(C38*H51^3+C39*H51^2+C40*H51+C41-H38)/(3*C38*H51^2+2*C39*H51+C40)</f>
        <v>2.8167140925903533</v>
      </c>
      <c r="I52" s="1660">
        <f>I51-(C38*I51^3+C39*I51^2+C40*I51+C41-I38)/(3*C38*I51^2+2*C39*I51+C40)</f>
        <v>1.8606507365511635</v>
      </c>
      <c r="J52" s="1660">
        <f>J51-(C38*J51^3+C39*J51^2+C40*J51+C41-J38)/(3*C38*J51^2+2*C39*J51+C40)</f>
        <v>1.148877546159329</v>
      </c>
      <c r="K52" s="1660" t="str">
        <f>IF(K39="","",K51-(C38*K51^3+C39*K51^2+C40*K51+C41-K38)/(3*C38*K51^2+2*C39*K51+C40))</f>
        <v/>
      </c>
      <c r="L52" s="1660" t="str">
        <f>IF(L39="","",L51-(C38*L51^3+C39*L51^2+C40*L51+C41-L38)/(3*C38*L51^2+2*C39*L51+C40))</f>
        <v/>
      </c>
      <c r="M52" s="1660" t="str">
        <f>IF(M39="","",M51-(C38*M51^3+C39*M51^2+C40*M51+C41-M38)/(3*C38*M51^2+2*C39*M51+C40))</f>
        <v/>
      </c>
      <c r="N52" s="1660" t="str">
        <f>IF(N39="","",N51-(C38*N51^3+C39*N51^2+C40*N51+C41-N38)/(3*C38*N51^2+2*C39*N51+C40))</f>
        <v/>
      </c>
      <c r="O52" s="1660" t="str">
        <f>IF(O39="","",O51-(C38*O51^3+C39*O51^2+C40*O51+C41-O38)/(3*C38*O51^2+2*C39*O51+C40))</f>
        <v/>
      </c>
      <c r="P52" s="1660" t="str">
        <f>IF(P39="","",P51-(C38*P51^3+C39*P51^2+C40*P51+C41-P38)/(3*C38*P51^2+2*C39*P51+C40))</f>
        <v/>
      </c>
      <c r="Q52" s="1660" t="str">
        <f>IF(Q39="","",Q51-(C38*Q51^3+C39*Q51^2+C40*Q51+C41-Q38)/(3*C38*Q51^2+2*C39*Q51+C40))</f>
        <v/>
      </c>
      <c r="R52" s="1660" t="str">
        <f>IF(R39="","",R51-(C38*R51^3+C39*R51^2+C40*R51+C41-R38)/(3*C38*R51^2+2*C39*R51+C40))</f>
        <v/>
      </c>
      <c r="S52" s="1660" t="str">
        <f>IF(S39="","",S51-(C38*S51^3+C39*S51^2+C40*S51+C41-S38)/(3*C38*S51^2+2*C39*S51+C40))</f>
        <v/>
      </c>
      <c r="T52" s="1616" t="str">
        <f>IF(T39="","",T51-(C38*T51^3+C39*T51^2+C40*T51+C41-T38)/(3*C38*T51^2+2*C39*T51+C40))</f>
        <v/>
      </c>
      <c r="U52" s="1616" t="str">
        <f>IF(U39="","",U51-(C38*U51^3+C39*U51^2+C40*U51+C41-U38)/(3*C38*U51^2+2*C39*U51+C40))</f>
        <v/>
      </c>
      <c r="V52" s="1616" t="str">
        <f>IF(V39="","",V51-(C38*V51^3+C39*V51^2+C40*V51+C41-V38)/(3*C38*V51^2+2*C39*V51+C40))</f>
        <v/>
      </c>
      <c r="W52" s="1653" t="str">
        <f>IF(W39="","",W51-(C38*W51^3+C39*W51^2+C40*W51+C41-W38)/(3*C38*W51^2+2*C39*W51+C40))</f>
        <v/>
      </c>
      <c r="X52" s="1541"/>
    </row>
    <row r="53" spans="1:24" ht="15.75" customHeight="1">
      <c r="A53" s="1541"/>
      <c r="B53" s="1556" t="s">
        <v>3246</v>
      </c>
      <c r="C53" s="1577">
        <f>IF(C36=0,"",VALUE(LEFT(受変!$AS$59,2)))</f>
        <v>60</v>
      </c>
      <c r="D53" s="1539"/>
      <c r="E53" s="1657"/>
      <c r="F53" s="1659"/>
      <c r="G53" s="1616">
        <f>G52-(C38*G52^3+C39*G52^2+C40*G52+C41-G39)/(3*C38*G52^2+2*C39*G52+C40)</f>
        <v>11.988044282510309</v>
      </c>
      <c r="H53" s="1616">
        <f>H52-(C38*H52^3+C39*H52^2+C40*H52+C41-H38)/(3*C38*H52^2+2*C39*H52+C40)</f>
        <v>3.45216240933736</v>
      </c>
      <c r="I53" s="1616">
        <f>I52-(C38*I52^3+C39*I52^2+C40*I52+C41-I38)/(3*C38*I52^2+2*C39*I52+C40)</f>
        <v>1.9476640950670787</v>
      </c>
      <c r="J53" s="1616">
        <f>J52-(C38*J52^3+C39*J52^2+C40*J52+C41-J38)/(3*C38*J52^2+2*C39*J52+C40)</f>
        <v>1.1599705572897567</v>
      </c>
      <c r="K53" s="1616" t="str">
        <f>IF(K39="","",K52-(C38*K52^3+C39*K52^2+C40*K52+C41-K38)/(3*C38*K52^2+2*C39*K52+C40))</f>
        <v/>
      </c>
      <c r="L53" s="1616" t="str">
        <f>IF(L39="","",L52-(C38*L52^3+C39*L52^2+C40*L52+C41-L38)/(3*C38*L52^2+2*C39*L52+C40))</f>
        <v/>
      </c>
      <c r="M53" s="1616" t="str">
        <f>IF(M39="","",M52-(C38*M52^3+C39*M52^2+C40*M52+C41-M38)/(3*C38*M52^2+2*C39*M52+C40))</f>
        <v/>
      </c>
      <c r="N53" s="1616" t="str">
        <f>IF(N39="","",N52-(C38*N52^3+C39*N52^2+C40*N52+C41-N38)/(3*C38*N52^2+2*C39*N52+C40))</f>
        <v/>
      </c>
      <c r="O53" s="1616" t="str">
        <f>IF(O39="","",O52-(C38*O52^3+C39*O52^2+C40*O52+C41-O38)/(3*C38*O52^2+2*C39*O52+C40))</f>
        <v/>
      </c>
      <c r="P53" s="1616" t="str">
        <f>IF(P39="","",P52-(C38*P52^3+C39*P52^2+C40*P52+C41-P38)/(3*C38*P52^2+2*C39*P52+C40))</f>
        <v/>
      </c>
      <c r="Q53" s="1616" t="str">
        <f>IF(Q39="","",Q52-(C38*Q52^3+C39*Q52^2+C40*Q52+C41-Q38)/(3*C38*Q52^2+2*C39*Q52+C40))</f>
        <v/>
      </c>
      <c r="R53" s="1616" t="str">
        <f>IF(R39="","",R52-(C38*R52^3+C39*R52^2+C40*R52+C41-R38)/(3*C38*R52^2+2*C39*R52+C40))</f>
        <v/>
      </c>
      <c r="S53" s="1616" t="str">
        <f>IF(S39="","",S52-(C38*S52^3+C39*S52^2+C40*S52+C41-S38)/(3*C38*S52^2+2*C39*S52+C40))</f>
        <v/>
      </c>
      <c r="T53" s="1616" t="str">
        <f>IF(T39="","",T52-(C38*T52^3+C39*T52^2+C40*T52+C41-T38)/(3*C38*T52^2+2*C39*T52+C40))</f>
        <v/>
      </c>
      <c r="U53" s="1616" t="str">
        <f>IF(U39="","",U52-(C38*U52^3+C39*U52^2+C40*U52+C41-U38)/(3*C38*U52^2+2*C39*U52+C40))</f>
        <v/>
      </c>
      <c r="V53" s="1616" t="str">
        <f>IF(V39="","",V52-(C38*V52^3+C39*V52^2+C40*V52+C41-V38)/(3*C38*V52^2+2*C39*V52+C40))</f>
        <v/>
      </c>
      <c r="W53" s="1653" t="str">
        <f>IF(W39="","",W52-(C38*W52^3+C39*W52^2+C40*W52+C41-W38)/(3*C38*W52^2+2*C39*W52+C40))</f>
        <v/>
      </c>
      <c r="X53" s="1541"/>
    </row>
    <row r="54" spans="1:24" ht="15.75">
      <c r="A54" s="1541"/>
      <c r="B54" s="1556" t="s">
        <v>3245</v>
      </c>
      <c r="C54" s="1575" t="str">
        <f>IF(B1=0,"",LEFT(受変!Y41,4))</f>
        <v xml:space="preserve"> 150</v>
      </c>
      <c r="D54" s="1658"/>
      <c r="E54" s="1655" t="s">
        <v>3244</v>
      </c>
      <c r="F54" s="1654">
        <f>IF(C36="","",IF(C61="1",1000*1*C54/C55,0))</f>
        <v>22.727272727272727</v>
      </c>
      <c r="G54" s="1616">
        <f>G53-(C38*G53^3+C39*G53^2+C40*G53+C41-G39)/(3*C38*G53^2+2*C39*G53+C40)</f>
        <v>10.631939826708088</v>
      </c>
      <c r="H54" s="1616">
        <f>H53-(C38*H53^3+C39*H53^2+C40*H53+C41-H38)/(3*C38*H53^2+2*C39*H53+C40)</f>
        <v>3.7937820784242344</v>
      </c>
      <c r="I54" s="1616">
        <f>I53-(C38*I53^3+C39*I53^2+C40*I53+C41-I38)/(3*C38*I53^2+2*C39*I53+C40)</f>
        <v>1.9499983393648257</v>
      </c>
      <c r="J54" s="1616">
        <f>J53-(C38*J53^3+C39*J53^2+C40*J53+C41-J38)/(3*C38*J53^2+2*C39*J53+C40)</f>
        <v>1.1599999957870419</v>
      </c>
      <c r="K54" s="1616" t="str">
        <f>IF(K39="","",K53-(C38*K53^3+C39*K53^2+C40*K53+C41-K38)/(3*C38*K53^2+2*C39*K53+C40))</f>
        <v/>
      </c>
      <c r="L54" s="1616" t="str">
        <f>IF(L39="","",L53-(C38*L53^3+C39*L53^2+C40*L53+C41-L38)/(3*C38*L53^2+2*C39*L53+C40))</f>
        <v/>
      </c>
      <c r="M54" s="1616" t="str">
        <f>IF(M39="","",M53-(C38*M53^3+C39*M53^2+C40*M53+C41-M38)/(3*C38*M53^2+2*C39*M53+C40))</f>
        <v/>
      </c>
      <c r="N54" s="1616" t="str">
        <f>IF(N39="","",N53-(C38*N53^3+C39*N53^2+C40*N53+C41-N38)/(3*C38*N53^2+2*C39*N53+C40))</f>
        <v/>
      </c>
      <c r="O54" s="1616" t="str">
        <f>IF(O39="","",O53-(C38*O53^3+C39*O53^2+C40*O53+C41-O38)/(3*C38*O53^2+2*C39*O53+C40))</f>
        <v/>
      </c>
      <c r="P54" s="1616" t="str">
        <f>IF(P39="","",P53-(C38*P53^3+C39*P53^2+C40*P53+C41-P38)/(3*C38*P53^2+2*C39*P53+C40))</f>
        <v/>
      </c>
      <c r="Q54" s="1616" t="str">
        <f>IF(Q39="","",Q53-(C38*Q53^3+C39*Q53^2+C40*Q53+C41-Q38)/(3*C38*Q53^2+2*C39*Q53+C40))</f>
        <v/>
      </c>
      <c r="R54" s="1616" t="str">
        <f>IF(R39="","",R53-(C38*R53^3+C39*R53^2+C40*R53+C41-R38)/(3*C38*R53^2+2*C39*R53+C40))</f>
        <v/>
      </c>
      <c r="S54" s="1616" t="str">
        <f>IF(S39="","",S53-(C38*S53^3+C39*S53^2+C40*S53+C41-S38)/(3*C38*S53^2+2*C39*S53+C40))</f>
        <v/>
      </c>
      <c r="T54" s="1616" t="str">
        <f>IF(T39="","",T53-(C38*T53^3+C39*T53^2+C40*T53+C41-T38)/(3*C38*T53^2+2*C39*T53+C40))</f>
        <v/>
      </c>
      <c r="U54" s="1616" t="str">
        <f>IF(U39="","",U53-(C38*U53^3+C39*U53^2+C40*U53+C41-U38)/(3*C38*U53^2+2*C39*U53+C40))</f>
        <v/>
      </c>
      <c r="V54" s="1616" t="str">
        <f>IF(V39="","",V53-(C38*V53^3+C39*V53^2+C40*V53+C41-V38)/(3*C38*V53^2+2*C39*V53+C40))</f>
        <v/>
      </c>
      <c r="W54" s="1653" t="str">
        <f>IF(W39="","",W53-(C38*W53^3+C39*W53^2+C40*W53+C41-W38)/(3*C38*W53^2+2*C39*W53+C40))</f>
        <v/>
      </c>
      <c r="X54" s="1541"/>
    </row>
    <row r="55" spans="1:24" ht="15.75">
      <c r="A55" s="1541"/>
      <c r="B55" s="1556" t="s">
        <v>3243</v>
      </c>
      <c r="C55" s="1574" t="str">
        <f>IF(C36=0,"",LEFT(受変!$AG$59,4))</f>
        <v>6600</v>
      </c>
      <c r="D55" s="1539"/>
      <c r="E55" s="1655" t="s">
        <v>3242</v>
      </c>
      <c r="F55" s="1654">
        <f>IF(C36="","",IF(C61="2",1000*SQRT(3)*C54/C55,0))</f>
        <v>0</v>
      </c>
      <c r="G55" s="1616">
        <f>G54-(C38*G54^3+C39*G54^2+C40*G54+C41-G39)/(3*C38*G54^2+2*C39*G54+C40)</f>
        <v>10.112360731763767</v>
      </c>
      <c r="H55" s="1616">
        <f>H54-(C38*H54^3+C39*H54^2+C40*H54+C41-H38)/(3*C38*H54^2+2*C39*H54+C40)</f>
        <v>3.9415754837935113</v>
      </c>
      <c r="I55" s="1616">
        <f>I54-(C38*I54^3+C39*I54^2+C40*I54+C41-I38)/(3*C38*I54^2+2*C39*I54+C40)</f>
        <v>1.9499999968282029</v>
      </c>
      <c r="J55" s="1616">
        <f>J54-(C38*J54^3+C39*J54^2+C40*J54+C41-J38)/(3*C38*J54^2+2*C39*J54+C40)</f>
        <v>1.1599999959940437</v>
      </c>
      <c r="K55" s="1616" t="str">
        <f>IF(K39="","",K54-(C38*K54^3+C39*K54^2+C40*K54+C41-K38)/(3*C38*K54^2+2*C39*K54+C40))</f>
        <v/>
      </c>
      <c r="L55" s="1616" t="str">
        <f>IF(L39="","",L54-(C38*L54^3+C39*L54^2+C40*L54+C41-L38)/(3*C38*L54^2+2*C39*L54+C40))</f>
        <v/>
      </c>
      <c r="M55" s="1616" t="str">
        <f>IF(M39="","",M54-(C38*M54^3+C39*M54^2+C40*M54+C41-M38)/(3*C38*M54^2+2*C39*M54+C40))</f>
        <v/>
      </c>
      <c r="N55" s="1616" t="str">
        <f>IF(N39="","",N54-(C38*N54^3+C39*N54^2+C40*N54+C41-N38)/(3*C38*N54^2+2*C39*N54+C40))</f>
        <v/>
      </c>
      <c r="O55" s="1616" t="str">
        <f>IF(O39="","",O54-(C38*O54^3+C39*O54^2+C40*O54+C41-O38)/(3*C38*O54^2+2*C39*O54+C40))</f>
        <v/>
      </c>
      <c r="P55" s="1616" t="str">
        <f>IF(P39="","",P54-(C38*P54^3+C39*P54^2+C40*P54+C41-P38)/(3*C38*P54^2+2*C39*P54+C40))</f>
        <v/>
      </c>
      <c r="Q55" s="1616" t="str">
        <f>IF(Q39="","",Q54-(C38*Q54^3+C39*Q54^2+C40*Q54+C41-Q38)/(3*C38*Q54^2+2*C39*Q54+C40))</f>
        <v/>
      </c>
      <c r="R55" s="1616" t="str">
        <f>IF(R39="","",R54-(C38*R54^3+C39*R54^2+C40*R54+C41-R38)/(3*C38*R54^2+2*C39*R54+C40))</f>
        <v/>
      </c>
      <c r="S55" s="1616" t="str">
        <f>IF(S39="","",S54-(C38*S54^3+C39*S54^2+C40*S54+C41-S38)/(3*C38*S54^2+2*C39*S54+C40))</f>
        <v/>
      </c>
      <c r="T55" s="1616" t="str">
        <f>IF(T39="","",T54-(C38*T54^3+C39*T54^2+C40*T54+C41-T38)/(3*C38*T54^2+2*C39*T54+C40))</f>
        <v/>
      </c>
      <c r="U55" s="1616" t="str">
        <f>IF(U39="","",U54-(C38*U54^3+C39*U54^2+C40*U54+C41-U38)/(3*C38*U54^2+2*C39*U54+C40))</f>
        <v/>
      </c>
      <c r="V55" s="1616" t="str">
        <f>IF(V39="","",V54-(C38*V54^3+C39*V54^2+C40*V54+C41-V38)/(3*C38*V54^2+2*C39*V54+C40))</f>
        <v/>
      </c>
      <c r="W55" s="1653" t="str">
        <f>IF(W39="","",W54-(C38*W54^3+C39*W54^2+C40*W54+C41-W38)/(3*C38*W54^2+2*C39*W54+C40))</f>
        <v/>
      </c>
      <c r="X55" s="1541"/>
    </row>
    <row r="56" spans="1:24" ht="15.75" hidden="1">
      <c r="A56" s="1541"/>
      <c r="B56" s="1556"/>
      <c r="C56" s="1573"/>
      <c r="D56" s="1539"/>
      <c r="E56" s="1657" t="s">
        <v>3241</v>
      </c>
      <c r="F56" s="1656"/>
      <c r="G56" s="1616">
        <f>G55-(C38*G55^3+C39*G55^2+C40*G55+C41-G39)/(3*C38*G55^2+2*C39*G55+C40)</f>
        <v>10.031856826961036</v>
      </c>
      <c r="H56" s="1616">
        <f>H55-(C38*H55^3+C39*H55^2+C40*H55+C41-H38)/(3*C38*H55^2+2*C39*H55+C40)</f>
        <v>3.9776912237081969</v>
      </c>
      <c r="I56" s="1616">
        <f>I55-(C38*I55^3+C39*I55^2+C40*I55+C41-I38)/(3*C38*I55^2+2*C39*I55+C40)</f>
        <v>1.9499999968290387</v>
      </c>
      <c r="J56" s="1616">
        <f>J55-(C38*J55^3+C39*J55^2+C40*J55+C41-J38)/(3*C38*J55^2+2*C39*J55+C40)</f>
        <v>1.1599999959940432</v>
      </c>
      <c r="K56" s="1616" t="str">
        <f>IF(K39="","",K55-(C38*K55^3+C39*K55^2+C40*K55+C41-K38)/(3*C38*K55^2+2*C39*K55+C40))</f>
        <v/>
      </c>
      <c r="L56" s="1616" t="str">
        <f>IF(L39="","",L55-(C38*L55^3+C39*L55^2+C40*L55+C41-L38)/(3*C38*L55^2+2*C39*L55+C40))</f>
        <v/>
      </c>
      <c r="M56" s="1616" t="str">
        <f>IF(M39="","",M55-(C38*M55^3+C39*M55^2+C40*M55+C41-M38)/(3*C38*M55^2+2*C39*M55+C40))</f>
        <v/>
      </c>
      <c r="N56" s="1616" t="str">
        <f>IF(N39="","",N55-(C38*N55^3+C39*N55^2+C40*N55+C41-N38)/(3*C38*N55^2+2*C39*N55+C40))</f>
        <v/>
      </c>
      <c r="O56" s="1616" t="str">
        <f>IF(O39="","",O55-(C38*O55^3+C39*O55^2+C40*O55+C41-O38)/(3*C38*O55^2+2*C39*O55+C40))</f>
        <v/>
      </c>
      <c r="P56" s="1616" t="str">
        <f>IF(P39="","",P55-(C38*P55^3+C39*P55^2+C40*P55+C41-P38)/(3*C38*P55^2+2*C39*P55+C40))</f>
        <v/>
      </c>
      <c r="Q56" s="1616" t="str">
        <f>IF(Q39="","",Q55-(C38*Q55^3+C39*Q55^2+C40*Q55+C41-Q38)/(3*C38*Q55^2+2*C39*Q55+C40))</f>
        <v/>
      </c>
      <c r="R56" s="1616" t="str">
        <f>IF(R39="","",R55-(C38*R55^3+C39*R55^2+C40*R55+C41-R38)/(3*C38*R55^2+2*C39*R55+C40))</f>
        <v/>
      </c>
      <c r="S56" s="1616" t="str">
        <f>IF(S39="","",S55-(C38*S55^3+C39*S55^2+C40*S55+C41-S38)/(3*C38*S55^2+2*C39*S55+C40))</f>
        <v/>
      </c>
      <c r="T56" s="1616" t="str">
        <f>IF(T39="","",T55-(C38*T55^3+C39*T55^2+C40*T55+C41-T38)/(3*C38*T55^2+2*C39*T55+C40))</f>
        <v/>
      </c>
      <c r="U56" s="1616" t="str">
        <f>IF(U39="","",U55-(C38*U55^3+C39*U55^2+C40*U55+C41-U38)/(3*C38*U55^2+2*C39*U55+C40))</f>
        <v/>
      </c>
      <c r="V56" s="1616" t="str">
        <f>IF(V39="","",V55-(C38*V55^3+C39*V55^2+C40*V55+C41-V38)/(3*C38*V55^2+2*C39*V55+C40))</f>
        <v/>
      </c>
      <c r="W56" s="1653" t="str">
        <f>IF(W39="","",W55-(C38*W55^3+C39*W55^2+C40*W55+C41-W38)/(3*C38*W55^2+2*C39*W55+C40))</f>
        <v/>
      </c>
      <c r="X56" s="1541"/>
    </row>
    <row r="57" spans="1:24" ht="16.5" customHeight="1" thickBot="1">
      <c r="A57" s="1541"/>
      <c r="B57" s="1556" t="s">
        <v>3240</v>
      </c>
      <c r="C57" s="1570">
        <f>IF(C36=0,"",IF(C61="1",F54,IF(C61="2",F55,IF(C61="3",F57,IF(C61="4",F54+F57,IF(C61="5",F55+F57,IF(C61="6",2*F57,"---")))))))</f>
        <v>22.727272727272727</v>
      </c>
      <c r="D57" s="1539"/>
      <c r="E57" s="1655" t="s">
        <v>3239</v>
      </c>
      <c r="F57" s="1654">
        <f>IF(C36="","",IF(C61="3",1000*SQRT(3)*C54/C55,0))</f>
        <v>0</v>
      </c>
      <c r="G57" s="1616">
        <f>G56-(C38*G56^3+C39*G56^2+C40*G56+C41-G39)/(3*C38*G56^2+2*C39*G56+C40)</f>
        <v>10.030000262879774</v>
      </c>
      <c r="H57" s="1616">
        <f>H56-(C38*H56^3+C39*H56^2+C40*H56+C41-H38)/(3*C38*H56^2+2*C39*H56+C40)</f>
        <v>3.9799898786638499</v>
      </c>
      <c r="I57" s="1616">
        <f>I56-(C38*I56^3+C39*I56^2+C40*I56+C41-I38)/(3*C38*I56^2+2*C39*I56+C40)</f>
        <v>1.9499999968290387</v>
      </c>
      <c r="J57" s="1616">
        <f>J56-(C38*J56^3+C39*J56^2+C40*J56+C41-J38)/(3*C38*J56^2+2*C39*J56+C40)</f>
        <v>1.1599999959940437</v>
      </c>
      <c r="K57" s="1616" t="str">
        <f>IF(K39="","",K56-(C38*K56^3+C39*K56^2+C40*K56+C41-K38)/(3*C38*K56^2+2*C39*K56+C40))</f>
        <v/>
      </c>
      <c r="L57" s="1616" t="str">
        <f>IF(L39="","",L56-(C38*L56^3+C39*L56^2+C40*L56+C41-L38)/(3*C38*L56^2+2*C39*L56+C40))</f>
        <v/>
      </c>
      <c r="M57" s="1616" t="str">
        <f>IF(M39="","",M56-(C38*M56^3+C39*M56^2+C40*M56+C41-M38)/(3*C38*M56^2+2*C39*M56+C40))</f>
        <v/>
      </c>
      <c r="N57" s="1616" t="str">
        <f>IF(N39="","",N56-(C38*N56^3+C39*N56^2+C40*N56+C41-N38)/(3*C38*N56^2+2*C39*N56+C40))</f>
        <v/>
      </c>
      <c r="O57" s="1616" t="str">
        <f>IF(O39="","",O56-(C38*O56^3+C39*O56^2+C40*O56+C41-O38)/(3*C38*O56^2+2*C39*O56+C40))</f>
        <v/>
      </c>
      <c r="P57" s="1616" t="str">
        <f>IF(P39="","",P56-(C38*P56^3+C39*P56^2+C40*P56+C41-P38)/(3*C38*P56^2+2*C39*P56+C40))</f>
        <v/>
      </c>
      <c r="Q57" s="1616" t="str">
        <f>IF(Q39="","",Q56-(C38*Q56^3+C39*Q56^2+C40*Q56+C41-Q38)/(3*C38*Q56^2+2*C39*Q56+C40))</f>
        <v/>
      </c>
      <c r="R57" s="1616" t="str">
        <f>IF(R39="","",R56-(C38*R56^3+C39*R56^2+C40*R56+C41-R38)/(3*C38*R56^2+2*C39*R56+C40))</f>
        <v/>
      </c>
      <c r="S57" s="1616" t="str">
        <f>IF(S39="","",S56-(C38*S56^3+C39*S56^2+C40*S56+C41-S38)/(3*C38*S56^2+2*C39*S56+C40))</f>
        <v/>
      </c>
      <c r="T57" s="1616" t="str">
        <f>IF(T39="","",T56-(C38*T56^3+C39*T56^2+C40*T56+C41-T38)/(3*C38*T56^2+2*C39*T56+C40))</f>
        <v/>
      </c>
      <c r="U57" s="1616" t="str">
        <f>IF(U39="","",U56-(C38*U56^3+C39*U56^2+C40*U56+C41-U38)/(3*C38*U56^2+2*C39*U56+C40))</f>
        <v/>
      </c>
      <c r="V57" s="1616" t="str">
        <f>IF(V39="","",V56-(C38*V56^3+C39*V56^2+C40*V56+C41-V38)/(3*C38*V56^2+2*C39*V56+C40))</f>
        <v/>
      </c>
      <c r="W57" s="1653" t="str">
        <f>IF(W39="","",W56-(C38*W56^3+C39*W56^2+C40*W56+C41-W38)/(3*C38*W56^2+2*C39*W56+C40))</f>
        <v/>
      </c>
      <c r="X57" s="1541"/>
    </row>
    <row r="58" spans="1:24" ht="16.5" hidden="1" customHeight="1">
      <c r="A58" s="1541"/>
      <c r="B58" s="1556"/>
      <c r="C58" s="1609">
        <f>(C54/500)^0.232</f>
        <v>0.75629657057793154</v>
      </c>
      <c r="D58" s="1539"/>
      <c r="E58" s="1652" t="s">
        <v>3203</v>
      </c>
      <c r="F58" s="1652"/>
      <c r="G58" s="1651">
        <f>G57-(C38*G57^3+C39*G57^2+C40*G57+C41-G39)/(3*C38*G57^2+2*C39*G57+C40)</f>
        <v>10.029999287207151</v>
      </c>
      <c r="H58" s="1651">
        <f>H57-(C38*H57^3+C39*H57^2+C40*H57+C41-H38)/(3*C38*H57^2+2*C39*H57+C40)</f>
        <v>3.9799991445975582</v>
      </c>
      <c r="I58" s="1651">
        <f>I57-(C38*I57^3+C39*I57^2+C40*I57+C41-I38)/(3*C38*I57^2+2*C39*I57+C40)</f>
        <v>1.9499999968290387</v>
      </c>
      <c r="J58" s="1651">
        <f>J57-(C38*J57^3+C39*J57^2+C40*J57+C41-J38)/(3*C38*J57^2+2*C39*J57+C40)</f>
        <v>1.1599999959940432</v>
      </c>
      <c r="K58" s="1651" t="str">
        <f>IF(K39="","",K57-(C38*K57^3+C39*K57^2+C40*K57+C41-K38)/(3*C38*K57^2+2*C39*K57+C40))</f>
        <v/>
      </c>
      <c r="L58" s="1562" t="str">
        <f>IF(L39="","",L57-(C38*L57^3+C39*L57^2+C40*L57+C41-L38)/(3*C38*L57^2+2*C39*L57+C40))</f>
        <v/>
      </c>
      <c r="M58" s="1562" t="str">
        <f>IF(M39="","",M57-(C38*M57^3+C39*M57^2+C40*M57+C41-M38)/(3*C38*M57^2+2*C39*M57+C40))</f>
        <v/>
      </c>
      <c r="N58" s="1562" t="str">
        <f>IF(N39="","",N57-(C38*N57^3+C39*N57^2+C40*N57+C41-N38)/(3*C38*N57^2+2*C39*N57+C40))</f>
        <v/>
      </c>
      <c r="O58" s="1562" t="str">
        <f>IF(O39="","",O57-(C38*O57^3+C39*O57^2+C40*O57+C41-O38)/(3*C38*O57^2+2*C39*O57+C40))</f>
        <v/>
      </c>
      <c r="P58" s="1562" t="str">
        <f>IF(P39="","",P57-(C38*P57^3+C39*P57^2+C40*P57+C41-P38)/(3*C38*P57^2+2*C39*P57+C40))</f>
        <v/>
      </c>
      <c r="Q58" s="1562" t="str">
        <f>IF(Q39="","",Q57-(C38*Q57^3+C39*Q57^2+C40*Q57+C41-Q38)/(3*C38*Q57^2+2*C39*Q57+C40))</f>
        <v/>
      </c>
      <c r="R58" s="1562" t="str">
        <f>IF(R39="","",R57-(C38*R57^3+C39*R57^2+C40*R57+C41-R38)/(3*C38*R57^2+2*C39*R57+C40))</f>
        <v/>
      </c>
      <c r="S58" s="1562" t="str">
        <f>IF(S39="","",S57-(C38*S57^3+C39*S57^2+C40*S57+C41-S38)/(3*C38*S57^2+2*C39*S57+C40))</f>
        <v/>
      </c>
      <c r="T58" s="1562" t="str">
        <f>IF(T39="","",T57-(C38*T57^3+C39*T57^2+C40*T57+C41-T38)/(3*C38*T57^2+2*C39*T57+C40))</f>
        <v/>
      </c>
      <c r="U58" s="1562" t="str">
        <f>IF(U39="","",U57-(C38*U57^3+C39*U57^2+C40*U57+C41-U38)/(3*C38*U57^2+2*C39*U57+C40))</f>
        <v/>
      </c>
      <c r="V58" s="1562" t="str">
        <f>IF(V39="","",V57-(C38*V57^3+C39*V57^2+C40*V57+C41-V38)/(3*C38*V57^2+2*C39*V57+C40))</f>
        <v/>
      </c>
      <c r="W58" s="1561" t="str">
        <f>IF(W39="","",W57-(C38*W57^3+C39*W57^2+C40*W57+C41-W38)/(3*C38*W57^2+2*C39*W57+C40))</f>
        <v/>
      </c>
      <c r="X58" s="1541"/>
    </row>
    <row r="59" spans="1:24" ht="16.5" hidden="1" customHeight="1">
      <c r="A59" s="1541"/>
      <c r="B59" s="1556"/>
      <c r="C59" s="1608"/>
      <c r="D59" s="1539"/>
      <c r="E59" s="1652" t="s">
        <v>3202</v>
      </c>
      <c r="F59" s="1652"/>
      <c r="G59" s="1651">
        <f>G58-(C38*G58^3+C39*G58^2+C40*G58+C41-G39)/(3*C38*G58^2+2*C39*G58+C40)</f>
        <v>10.029999287206884</v>
      </c>
      <c r="H59" s="1651">
        <f>H58-(C38*H58^3+C39*H58^2+C40*H58+C41-H38)/(3*C38*H58^2+2*C39*H58+C40)</f>
        <v>3.9799991447479877</v>
      </c>
      <c r="I59" s="1651">
        <f>I58-(C38*I58^3+C39*I58^2+C40*I58+C41-I38)/(3*C38*I58^2+2*C39*I58+C40)</f>
        <v>1.9499999968290387</v>
      </c>
      <c r="J59" s="1651">
        <f>J58-(C38*J58^3+C39*J58^2+C40*J58+C41-J38)/(3*C38*J58^2+2*C39*J58+C40)</f>
        <v>1.1599999959940437</v>
      </c>
      <c r="K59" s="1651" t="str">
        <f>IF(K39="","",K58-(C38*K58^3+C39*K58^2+C40*K58+C41-K38)/(3*C38*K58^2+2*C39*K58+C40))</f>
        <v/>
      </c>
      <c r="L59" s="1562" t="str">
        <f>IF(L39="","",L58-(C38*L58^3+C39*L58^2+C40*L58+C41-L38)/(3*C38*L58^2+2*C39*L58+C40))</f>
        <v/>
      </c>
      <c r="M59" s="1562" t="str">
        <f>IF(M39="","",M58-(C38*M58^3+C39*M58^2+C40*M58+C41-M38)/(3*C38*M58^2+2*C39*M58+C40))</f>
        <v/>
      </c>
      <c r="N59" s="1562" t="str">
        <f>IF(N39="","",N58-(C38*N58^3+C39*N58^2+C40*N58+C41-N38)/(3*C38*N58^2+2*C39*N58+C40))</f>
        <v/>
      </c>
      <c r="O59" s="1562" t="str">
        <f>IF(O39="","",O58-(C38*O58^3+C39*O58^2+C40*O58+C41-O38)/(3*C38*O58^2+2*C39*O58+C40))</f>
        <v/>
      </c>
      <c r="P59" s="1562" t="str">
        <f>IF(P39="","",P58-(C38*P58^3+C39*P58^2+C40*P58+C41-P38)/(3*C38*P58^2+2*C39*P58+C40))</f>
        <v/>
      </c>
      <c r="Q59" s="1562" t="str">
        <f>IF(Q39="","",Q58-(C38*Q58^3+C39*Q58^2+C40*Q58+C41-Q38)/(3*C38*Q58^2+2*C39*Q58+C40))</f>
        <v/>
      </c>
      <c r="R59" s="1562" t="str">
        <f>IF(R39="","",R58-(C38*R58^3+C39*R58^2+C40*R58+C41-R38)/(3*C38*R58^2+2*C39*R58+C40))</f>
        <v/>
      </c>
      <c r="S59" s="1562" t="str">
        <f>IF(S39="","",S58-(C38*S58^3+C39*S58^2+C40*S58+C41-S38)/(3*C38*S58^2+2*C39*S58+C40))</f>
        <v/>
      </c>
      <c r="T59" s="1562" t="str">
        <f>IF(T39="","",T58-(C38*T58^3+C39*T58^2+C40*T58+C41-T38)/(3*C38*T58^2+2*C39*T58+C40))</f>
        <v/>
      </c>
      <c r="U59" s="1562" t="str">
        <f>IF(U39="","",U58-(C38*U58^3+C39*U58^2+C40*U58+C41-U38)/(3*C38*U58^2+2*C39*U58+C40))</f>
        <v/>
      </c>
      <c r="V59" s="1562" t="str">
        <f>IF(V39="","",V58-(C38*V58^3+C39*V58^2+C40*V58+C41-V38)/(3*C38*V58^2+2*C39*V58+C40))</f>
        <v/>
      </c>
      <c r="W59" s="1561" t="str">
        <f>IF(W39="","",W58-(C38*W58^3+C39*W58^2+C40*W58+C41-W38)/(3*C38*W58^2+2*C39*W58+C40))</f>
        <v/>
      </c>
      <c r="X59" s="1541"/>
    </row>
    <row r="60" spans="1:24" ht="16.5" hidden="1" customHeight="1" thickBot="1">
      <c r="A60" s="1541"/>
      <c r="B60" s="1556"/>
      <c r="C60" s="1608"/>
      <c r="D60" s="1539"/>
      <c r="E60" s="1652" t="s">
        <v>3201</v>
      </c>
      <c r="F60" s="1652"/>
      <c r="G60" s="1651">
        <f>G59-(C38*G59^3+C39*G59^2+C40*G59+C41-G39)/(3*C38*G59^2+2*C39*G59+C40)</f>
        <v>10.029999287206882</v>
      </c>
      <c r="H60" s="1651">
        <f>H59-(C38*H59^3+C39*H59^2+C40*H59+C41-H38)/(3*C38*H59^2+2*C39*H59+C40)</f>
        <v>3.9799991447479846</v>
      </c>
      <c r="I60" s="1651">
        <f>I59-(C38*I59^3+C39*I59^2+C40*I59+C41-I38)/(3*C38*I59^2+2*C39*I59+C40)</f>
        <v>1.9499999968290387</v>
      </c>
      <c r="J60" s="1651">
        <f>J59-(C38*J59^3+C39*J59^2+C40*J59+C41-J38)/(3*C38*J59^2+2*C39*J59+C40)</f>
        <v>1.1599999959940432</v>
      </c>
      <c r="K60" s="1651" t="str">
        <f>IF(K39="","",K59-(C38*K59^3+C39*K59^2+C40*K59+C41-K38)/(3*C38*K59^2+2*C39*K59+C40))</f>
        <v/>
      </c>
      <c r="L60" s="1562" t="str">
        <f>IF(L39="","",L59-(C38*L59^3+C39*L59^2+C40*L59+C41-L38)/(3*C38*L59^2+2*C39*L59+C40))</f>
        <v/>
      </c>
      <c r="M60" s="1562" t="str">
        <f>IF(M39="","",M59-(C38*M59^3+C39*M59^2+C40*M59+C41-M38)/(3*C38*M59^2+2*C39*M59+C40))</f>
        <v/>
      </c>
      <c r="N60" s="1562" t="str">
        <f>IF(N39="","",N59-(C38*N59^3+C39*N59^2+C40*N59+C41-N38)/(3*C38*N59^2+2*C39*N59+C40))</f>
        <v/>
      </c>
      <c r="O60" s="1562" t="str">
        <f>IF(O39="","",O59-(C38*O59^3+C39*O59^2+C40*O59+C41-O38)/(3*C38*O59^2+2*C39*O59+C40))</f>
        <v/>
      </c>
      <c r="P60" s="1562" t="str">
        <f>IF(P39="","",P59-(C38*P59^3+C39*P59^2+C40*P59+C41-P38)/(3*C38*P59^2+2*C39*P59+C40))</f>
        <v/>
      </c>
      <c r="Q60" s="1562" t="str">
        <f>IF(Q39="","",Q59-(C38*Q59^3+C39*Q59^2+C40*Q59+C41-Q38)/(3*C38*Q59^2+2*C39*Q59+C40))</f>
        <v/>
      </c>
      <c r="R60" s="1562" t="str">
        <f>IF(R39="","",R59-(C38*R59^3+C39*R59^2+C40*R59+C41-R38)/(3*C38*R59^2+2*C39*R59+C40))</f>
        <v/>
      </c>
      <c r="S60" s="1562" t="str">
        <f>IF(S39="","",S59-(C38*S59^3+C39*S59^2+C40*S59+C41-S38)/(3*C38*S59^2+2*C39*S59+C40))</f>
        <v/>
      </c>
      <c r="T60" s="1562" t="str">
        <f>IF(T39="","",T59-(C38*T59^3+C39*T59^2+C40*T59+C41-T38)/(3*C38*T59^2+2*C39*T59+C40))</f>
        <v/>
      </c>
      <c r="U60" s="1562" t="str">
        <f>IF(U39="","",U59-(C38*U59^3+C39*U59^2+C40*U59+C41-U38)/(3*C38*U59^2+2*C39*U59+C40))</f>
        <v/>
      </c>
      <c r="V60" s="1562" t="str">
        <f>IF(V39="","",V59-(C38*V59^3+C39*V59^2+C40*V59+C41-V38)/(3*C38*V59^2+2*C39*V59+C40))</f>
        <v/>
      </c>
      <c r="W60" s="1561" t="str">
        <f>IF(W39="","",W59-(C38*W59^3+C39*W59^2+C40*W59+C41-W38)/(3*C38*W59^2+2*C39*W59+C40))</f>
        <v/>
      </c>
      <c r="X60" s="1541"/>
    </row>
    <row r="61" spans="1:24" ht="16.5" customHeight="1" thickBot="1">
      <c r="A61" s="1541"/>
      <c r="B61" s="1556" t="s">
        <v>3238</v>
      </c>
      <c r="C61" s="1607" t="str">
        <f>IF(C36=0,"",RIGHT(受変!Y41,1))</f>
        <v>1</v>
      </c>
      <c r="D61" s="1539"/>
      <c r="E61" s="3876" t="s">
        <v>3164</v>
      </c>
      <c r="F61" s="3877"/>
      <c r="G61" s="1559">
        <f>IF(C53="","",G39)</f>
        <v>1.6666666666666666E-2</v>
      </c>
      <c r="H61" s="1558">
        <f>IF(C61="","",H39)</f>
        <v>0.1</v>
      </c>
      <c r="I61" s="1558">
        <f>IF(C61="","",I39)</f>
        <v>0.2</v>
      </c>
      <c r="J61" s="1558">
        <f>IF(C61="","",J39)</f>
        <v>0.3</v>
      </c>
      <c r="K61" s="1558" t="str">
        <f t="shared" ref="K61:W61" si="3">K39</f>
        <v/>
      </c>
      <c r="L61" s="1558" t="str">
        <f t="shared" si="3"/>
        <v/>
      </c>
      <c r="M61" s="1558" t="str">
        <f t="shared" si="3"/>
        <v/>
      </c>
      <c r="N61" s="1558" t="str">
        <f t="shared" si="3"/>
        <v/>
      </c>
      <c r="O61" s="1558" t="str">
        <f t="shared" si="3"/>
        <v/>
      </c>
      <c r="P61" s="1558" t="str">
        <f t="shared" si="3"/>
        <v/>
      </c>
      <c r="Q61" s="1558" t="str">
        <f t="shared" si="3"/>
        <v/>
      </c>
      <c r="R61" s="1558" t="str">
        <f t="shared" si="3"/>
        <v/>
      </c>
      <c r="S61" s="1558" t="str">
        <f t="shared" si="3"/>
        <v/>
      </c>
      <c r="T61" s="1558" t="str">
        <f t="shared" si="3"/>
        <v/>
      </c>
      <c r="U61" s="1558" t="str">
        <f t="shared" si="3"/>
        <v/>
      </c>
      <c r="V61" s="1558" t="str">
        <f t="shared" si="3"/>
        <v/>
      </c>
      <c r="W61" s="1557" t="str">
        <f t="shared" si="3"/>
        <v/>
      </c>
      <c r="X61" s="1541"/>
    </row>
    <row r="62" spans="1:24" ht="16.5" thickBot="1">
      <c r="A62" s="1541"/>
      <c r="B62" s="1556" t="s">
        <v>3163</v>
      </c>
      <c r="C62" s="1555" t="str">
        <f>IF(C36=0,"",受変!N41)</f>
        <v>3φ4W 440/254V</v>
      </c>
      <c r="D62" s="1539"/>
      <c r="E62" s="3882"/>
      <c r="F62" s="3882"/>
      <c r="G62" s="1650" t="s">
        <v>3231</v>
      </c>
      <c r="I62" s="1553"/>
      <c r="J62" s="1553"/>
      <c r="K62" s="1553"/>
      <c r="L62" s="1553"/>
      <c r="M62" s="1553"/>
      <c r="N62" s="1553"/>
      <c r="O62" s="1553"/>
      <c r="P62" s="1553"/>
      <c r="Q62" s="1553"/>
      <c r="R62" s="1553"/>
      <c r="S62" s="1553"/>
      <c r="T62" s="1553"/>
      <c r="U62" s="1553"/>
      <c r="V62" s="1553"/>
      <c r="W62" s="1552"/>
      <c r="X62" s="1541"/>
    </row>
    <row r="63" spans="1:24" ht="15.75">
      <c r="A63" s="1541"/>
      <c r="B63" s="1551"/>
      <c r="C63" s="1550"/>
      <c r="D63" s="1539"/>
      <c r="E63" s="3884" t="s">
        <v>3161</v>
      </c>
      <c r="F63" s="3885"/>
      <c r="G63" s="1649">
        <f>IF(C53="","",G60)</f>
        <v>10.029999287206882</v>
      </c>
      <c r="H63" s="1548">
        <f>IF(C61="","",IF(H60*C58&lt;3.98,3.98,H60*C58))</f>
        <v>3.98</v>
      </c>
      <c r="I63" s="1548">
        <f>IF(C61="","",IF(C82=3,I60,I60*C58*(((C82-1)/C82)^0.44)))</f>
        <v>1.9499999968290387</v>
      </c>
      <c r="J63" s="1548">
        <f>IF(C61="","",IF(C82=3,J60,J60*C58*(((C82-2)/C82)^0.44)))</f>
        <v>1.1599999959940432</v>
      </c>
      <c r="K63" s="1548" t="str">
        <f>IF(K60="","",IF(K39*10/C82=1,1.3*K60*C58*(((C82-3)/C82)^0.44),K60*C58*(((C82-3)/C82)^0.44)))</f>
        <v/>
      </c>
      <c r="L63" s="1548" t="str">
        <f>IF(L60="","",IF(L39*10/C82=1,1.3*L60*C58*(((C82-4)/C82)^0.44),L60*C58*(((C82-4)/C82)^0.44)))</f>
        <v/>
      </c>
      <c r="M63" s="1548" t="str">
        <f>IF(M60="","",IF(M39*10/C82=1,1.3*M60*C58*(((C82-5)/C82)^0.44),M60*C58*(((C82-5)/C82)^0.44)))</f>
        <v/>
      </c>
      <c r="N63" s="1548" t="str">
        <f>IF(N60="","",IF(N39*10/C82=1,1.3*N60*C58*(((C82-6)/C82)^0.44),N60*C58*(((C82-6)/C82)^0.44)))</f>
        <v/>
      </c>
      <c r="O63" s="1548" t="str">
        <f>IF(O60="","",IF(O39*10/C82=1,1.3*O60*C58*(((C82-7)/C82)^0.44),O60*C58*(((C82-7)/C82)^0.44)))</f>
        <v/>
      </c>
      <c r="P63" s="1548" t="str">
        <f>IF(P60="","",IF(P39*10/C82=1,1.3*P60*C58*(((C82-8)/C82)^0.44),P60*C58*(((C82-8)/C82)^0.44)))</f>
        <v/>
      </c>
      <c r="Q63" s="1548" t="str">
        <f>IF(Q60="","",IF(Q39*10/C66=1,1.3*Q60*C58*(((C82-9)/C82)^0.44),Q60*C58*(((C82-9)/C82)^0.44)))</f>
        <v/>
      </c>
      <c r="R63" s="1548" t="str">
        <f>IF(R60="","",IF(R39*10/C82=1,1.4*R60*C58*(((C82-10)/C82)^0.44),R60*C58*(((C82-10)/C82)^0.44)))</f>
        <v/>
      </c>
      <c r="S63" s="1548" t="str">
        <f>IF(S60="","",IF(S39*10/C82=1,1.4*S60*C58*(((C82-11)/C82)^0.44),S60*C58*(((C82-11)/C82)^0.44)))</f>
        <v/>
      </c>
      <c r="T63" s="1548" t="str">
        <f>IF(T60="","",IF(T39*10/C82=1,1.4*T60*C58*(((C82-12)/C82)^0.44),T60*C58*(((C82-12)/C82)^0.44)))</f>
        <v/>
      </c>
      <c r="U63" s="1548" t="str">
        <f>IF(U60="","",IF(U39*10/C82=1,1.4*U60*C58*(((C82-13)/C82)^0.44),U60*C58*(((C82-13)/C82)^0.44)))</f>
        <v/>
      </c>
      <c r="V63" s="1548" t="str">
        <f>IF(V60="","",IF(V39*10/C82=1,1.4*V60*C58*(((C82-14)/C82)^0.4),V60*C58*(((C82-14)/C82)^0.4)))</f>
        <v/>
      </c>
      <c r="W63" s="1547" t="str">
        <f>IF(W60="","",IF(W39*10/C82=1,1.05*W60*C58*(((C82-14)/C82)^0.4),W60*C58*(((C82-14)/C82)^0.4)))</f>
        <v/>
      </c>
      <c r="X63" s="1541"/>
    </row>
    <row r="64" spans="1:24" ht="15" customHeight="1">
      <c r="A64" s="1541"/>
      <c r="B64" s="1648" t="s">
        <v>3237</v>
      </c>
      <c r="C64" s="3874">
        <f>IF(C61="",0,IF(0.33*(C54/500)^0.537&lt;0.33,0.33,0.33*(C54/500)^0.537))</f>
        <v>0.33</v>
      </c>
      <c r="D64" s="1539"/>
      <c r="E64" s="1647" t="s">
        <v>3236</v>
      </c>
      <c r="F64" s="1646" t="s">
        <v>3235</v>
      </c>
      <c r="G64" s="1645">
        <f t="shared" ref="G64:W64" si="4">IF($C$53="",0,IF($C$61="1",0,IF($C$61="2",G60*$F$55,IF($C$61="3",G60*$F$57,IF($C$61="4",G60*$F$57,IF($C$61="5",G60*($F$55+$F$57),IF($C$61="6",2*G60*$F$57,"---")))))))</f>
        <v>0</v>
      </c>
      <c r="H64" s="1644">
        <f t="shared" si="4"/>
        <v>0</v>
      </c>
      <c r="I64" s="1644">
        <f t="shared" si="4"/>
        <v>0</v>
      </c>
      <c r="J64" s="1644">
        <f t="shared" si="4"/>
        <v>0</v>
      </c>
      <c r="K64" s="1644">
        <f t="shared" si="4"/>
        <v>0</v>
      </c>
      <c r="L64" s="1644">
        <f t="shared" si="4"/>
        <v>0</v>
      </c>
      <c r="M64" s="1644">
        <f t="shared" si="4"/>
        <v>0</v>
      </c>
      <c r="N64" s="1644">
        <f t="shared" si="4"/>
        <v>0</v>
      </c>
      <c r="O64" s="1644">
        <f t="shared" si="4"/>
        <v>0</v>
      </c>
      <c r="P64" s="1644">
        <f t="shared" si="4"/>
        <v>0</v>
      </c>
      <c r="Q64" s="1644">
        <f t="shared" si="4"/>
        <v>0</v>
      </c>
      <c r="R64" s="1644">
        <f t="shared" si="4"/>
        <v>0</v>
      </c>
      <c r="S64" s="1644">
        <f t="shared" si="4"/>
        <v>0</v>
      </c>
      <c r="T64" s="1644">
        <f t="shared" si="4"/>
        <v>0</v>
      </c>
      <c r="U64" s="1644">
        <f t="shared" si="4"/>
        <v>0</v>
      </c>
      <c r="V64" s="1644">
        <f t="shared" si="4"/>
        <v>0</v>
      </c>
      <c r="W64" s="1644">
        <f t="shared" si="4"/>
        <v>0</v>
      </c>
      <c r="X64" s="1541"/>
    </row>
    <row r="65" spans="1:24" ht="15" customHeight="1">
      <c r="A65" s="1541"/>
      <c r="B65" s="1643" t="s">
        <v>3234</v>
      </c>
      <c r="C65" s="3883"/>
      <c r="D65" s="1539"/>
      <c r="E65" s="1642" t="s">
        <v>3233</v>
      </c>
      <c r="F65" s="1641" t="s">
        <v>3232</v>
      </c>
      <c r="G65" s="1640">
        <f>IF($C$61="1",G60*$F$54,IF($C$61="2",G60*$F$55/SQRT(3),IF($C$61="3",G60*$F$57,IF($C$61="4",G60*($F$54+$F$57),IF($C$61="5",G60*($F$55/SQRT(3)+$F$57),IF($C$61="6",2*G60*$F$57,0))))))</f>
        <v>227.95452925470187</v>
      </c>
      <c r="H65" s="1639">
        <f>IF($C$61="1",H60*$F$54,IF($C$61="2",H60*$F$55/SQRT(3),IF($C$61="3",H60*$F$57,IF($C$61="4",H60*($F$54+$F$57),IF($C$61="5",H60*($F$55/SQRT(3)+$F$57),IF($C$61="6",2*H60*$F$57,0))))))</f>
        <v>90.454526016999651</v>
      </c>
      <c r="I65" s="1639">
        <f>IF($C$61="1",I60*$F$54,IF($C$61="2",I60*$F$55/SQRT(3),IF($C$61="3",I60*$F$57,IF($C$61="4",I60*($F$54+$F$57),IF($C$61="5",I60*($F$55/SQRT(3)+$F$57),IF($C$61="6",2*I60*$F$57,0))))))</f>
        <v>44.318181746114512</v>
      </c>
      <c r="J65" s="1639">
        <f>IF($C$61="1",J60*$F$54,IF($C$61="2",J60*$F$55/SQRT(3),IF($C$61="3",J60*$F$57,IF($C$61="4",J60*($F$54+$F$57),IF($C$61="5",J60*($F$55/SQRT(3)+$F$57),IF($C$61="6",2*J60*$F$57,0))))))</f>
        <v>26.36363627259189</v>
      </c>
      <c r="K65" s="1639">
        <f t="shared" ref="K65:W65" si="5">IF(K60="",0,IF($C$29="1",K63*$F$22,IF($C$29="2",K63*$F$23/SQRT(3),IF($C$29="3",K63*$F$25,IF($C$29="4",K63*($F$22+$F$25),IF($C$29="5",K63*($F$23/SQRT(3)+$F$25),IF($C$29="6",2*K63*$F$25)))))))</f>
        <v>0</v>
      </c>
      <c r="L65" s="1639">
        <f t="shared" si="5"/>
        <v>0</v>
      </c>
      <c r="M65" s="1639">
        <f t="shared" si="5"/>
        <v>0</v>
      </c>
      <c r="N65" s="1639">
        <f t="shared" si="5"/>
        <v>0</v>
      </c>
      <c r="O65" s="1639">
        <f t="shared" si="5"/>
        <v>0</v>
      </c>
      <c r="P65" s="1639">
        <f t="shared" si="5"/>
        <v>0</v>
      </c>
      <c r="Q65" s="1639">
        <f t="shared" si="5"/>
        <v>0</v>
      </c>
      <c r="R65" s="1639">
        <f t="shared" si="5"/>
        <v>0</v>
      </c>
      <c r="S65" s="1639">
        <f t="shared" si="5"/>
        <v>0</v>
      </c>
      <c r="T65" s="1639">
        <f t="shared" si="5"/>
        <v>0</v>
      </c>
      <c r="U65" s="1639">
        <f t="shared" si="5"/>
        <v>0</v>
      </c>
      <c r="V65" s="1639">
        <f t="shared" si="5"/>
        <v>0</v>
      </c>
      <c r="W65" s="1639">
        <f t="shared" si="5"/>
        <v>0</v>
      </c>
      <c r="X65" s="1541"/>
    </row>
    <row r="66" spans="1:24" ht="12" customHeight="1">
      <c r="A66" s="1541"/>
      <c r="B66" s="1541"/>
      <c r="C66" s="1610"/>
      <c r="D66" s="1539"/>
      <c r="E66" s="1541"/>
      <c r="F66" s="1541"/>
      <c r="G66" s="1541"/>
      <c r="H66" s="1541"/>
      <c r="I66" s="1541"/>
      <c r="J66" s="1541"/>
      <c r="K66" s="1541"/>
      <c r="L66" s="1541"/>
      <c r="M66" s="1541"/>
      <c r="N66" s="1541"/>
      <c r="O66" s="1541"/>
      <c r="P66" s="1541"/>
      <c r="Q66" s="1541"/>
      <c r="R66" s="1541"/>
      <c r="S66" s="1541"/>
      <c r="T66" s="1541"/>
      <c r="U66" s="1541"/>
      <c r="V66" s="1541"/>
      <c r="W66" s="1538"/>
      <c r="X66" s="1541"/>
    </row>
    <row r="67" spans="1:24" ht="12" hidden="1" customHeight="1">
      <c r="A67" s="1541"/>
      <c r="B67" s="1627"/>
      <c r="C67" s="1603"/>
      <c r="D67" s="1539"/>
      <c r="E67" s="1626"/>
      <c r="F67" s="1625"/>
      <c r="G67" s="1638" t="s">
        <v>3231</v>
      </c>
      <c r="H67" s="1638" t="s">
        <v>3230</v>
      </c>
      <c r="I67" s="1638" t="s">
        <v>3229</v>
      </c>
      <c r="J67" s="1638" t="s">
        <v>3228</v>
      </c>
      <c r="K67" s="1638" t="s">
        <v>3227</v>
      </c>
      <c r="L67" s="1638" t="s">
        <v>3226</v>
      </c>
      <c r="M67" s="1638" t="s">
        <v>3225</v>
      </c>
      <c r="N67" s="1638" t="s">
        <v>3224</v>
      </c>
      <c r="O67" s="1638" t="s">
        <v>3223</v>
      </c>
      <c r="P67" s="1638" t="s">
        <v>3222</v>
      </c>
      <c r="Q67" s="1638" t="s">
        <v>3221</v>
      </c>
      <c r="R67" s="1638" t="s">
        <v>3220</v>
      </c>
      <c r="S67" s="1602" t="s">
        <v>3219</v>
      </c>
      <c r="T67" s="1602" t="s">
        <v>3218</v>
      </c>
      <c r="U67" s="1602" t="s">
        <v>3217</v>
      </c>
      <c r="V67" s="1602" t="s">
        <v>3216</v>
      </c>
      <c r="W67" s="1601" t="s">
        <v>3215</v>
      </c>
      <c r="X67" s="1541"/>
    </row>
    <row r="68" spans="1:24" ht="12" hidden="1" customHeight="1">
      <c r="A68" s="1541"/>
      <c r="B68" s="1634" t="s">
        <v>3214</v>
      </c>
      <c r="C68" s="1633">
        <v>-2.596044E-3</v>
      </c>
      <c r="D68" s="1539"/>
      <c r="E68" s="1626"/>
      <c r="F68" s="1625"/>
      <c r="G68" s="1637"/>
      <c r="H68" s="1636" t="str">
        <f>H69</f>
        <v/>
      </c>
      <c r="I68" s="1636">
        <f>IF(C95&lt;0.4,0.2,0.1+0.2/C96)</f>
        <v>0.2</v>
      </c>
      <c r="J68" s="1636">
        <f>IF(C95&lt;0.4,0.3,0.1+(0.2/C96)*2)</f>
        <v>0.3</v>
      </c>
      <c r="K68" s="1636" t="str">
        <f>IF(C95&lt;0.4,"",0.1+(0.2/C96)*3)</f>
        <v/>
      </c>
      <c r="L68" s="1636" t="str">
        <f>IF(C95&lt;0.4,"",0.1+(0.2/C96)*4)</f>
        <v/>
      </c>
      <c r="M68" s="1636" t="str">
        <f>IF(C95&lt;0.4,"",0.1+(0.2/C96)*5)</f>
        <v/>
      </c>
      <c r="N68" s="1636" t="str">
        <f>IF(C95&lt;0.4,"",0.1+(0.2/C96)*6)</f>
        <v/>
      </c>
      <c r="O68" s="1636" t="str">
        <f>IF(C95&lt;0.4,"",0.1+(0.2/C96)*7)</f>
        <v/>
      </c>
      <c r="P68" s="1636" t="str">
        <f>IF(C95&lt;0.4,"",0.1+(0.2/C96)*8)</f>
        <v/>
      </c>
      <c r="Q68" s="1636" t="str">
        <f>IF(C95&lt;0.4,"",0.1+(0.2/C96)*9)</f>
        <v/>
      </c>
      <c r="R68" s="1635" t="str">
        <f>IF(C95&lt;0.4,"",0.1+(0.2/C96)*10)</f>
        <v/>
      </c>
      <c r="S68" s="1598" t="str">
        <f>IF(C95&lt;0.4,"",0.1+(0.2/C96)*11)</f>
        <v/>
      </c>
      <c r="T68" s="1598" t="str">
        <f>IF(C95&lt;0.4,"",0.1+(0.2/C96)*12)</f>
        <v/>
      </c>
      <c r="U68" s="1598" t="str">
        <f>IF(C95&lt;0.4,"",0.1+(0.2/C96)*13)</f>
        <v/>
      </c>
      <c r="V68" s="1598" t="str">
        <f>IF(C95&lt;0.4,"",0.1+(0.2/C96)*14)</f>
        <v/>
      </c>
      <c r="W68" s="1597" t="str">
        <f>IF(C95&lt;0.4,"",0.1+(0.2/C96)*15)</f>
        <v/>
      </c>
      <c r="X68" s="1541"/>
    </row>
    <row r="69" spans="1:24" ht="12" hidden="1" customHeight="1">
      <c r="A69" s="1541"/>
      <c r="B69" s="1634" t="s">
        <v>3208</v>
      </c>
      <c r="C69" s="1633">
        <v>4.5824813999999998E-2</v>
      </c>
      <c r="D69" s="1539"/>
      <c r="E69" s="1626"/>
      <c r="F69" s="1625"/>
      <c r="G69" s="1632" t="e">
        <f>1/C84</f>
        <v>#VALUE!</v>
      </c>
      <c r="H69" s="1631" t="str">
        <f>IF(C95&gt;0.1,0.1,"")</f>
        <v/>
      </c>
      <c r="I69" s="1631" t="str">
        <f>IF(C95&gt;0.2,0.2,"")</f>
        <v/>
      </c>
      <c r="J69" s="1631" t="str">
        <f>IF(C95&gt;0.3,0.3,"")</f>
        <v/>
      </c>
      <c r="K69" s="1631" t="str">
        <f>IF(C95&gt;0.4,0.4,"")</f>
        <v/>
      </c>
      <c r="L69" s="1631" t="str">
        <f>IF(C95&gt;0.5,0.5,"")</f>
        <v/>
      </c>
      <c r="M69" s="1631" t="str">
        <f>IF(C95&gt;0.6,0.6,"")</f>
        <v/>
      </c>
      <c r="N69" s="1631" t="str">
        <f>IF(C95&gt;0.7,0.7,"")</f>
        <v/>
      </c>
      <c r="O69" s="1631" t="str">
        <f>IF(C95&gt;0.8,0.8,"")</f>
        <v/>
      </c>
      <c r="P69" s="1631" t="str">
        <f>IF(C95&gt;0.9,0.9,"")</f>
        <v/>
      </c>
      <c r="Q69" s="1631" t="str">
        <f>IF(C95&gt;1,1,"")</f>
        <v/>
      </c>
      <c r="R69" s="1631" t="str">
        <f>IF(C95&gt;1.1,1.1,"")</f>
        <v/>
      </c>
      <c r="S69" s="1593" t="str">
        <f>IF(C95&gt;1.2,1.2,"")</f>
        <v/>
      </c>
      <c r="T69" s="1593" t="str">
        <f>IF(C95&gt;1.3,1.3,"")</f>
        <v/>
      </c>
      <c r="U69" s="1593" t="str">
        <f>IF(C95&gt;1.4,1.4,"")</f>
        <v/>
      </c>
      <c r="V69" s="1593" t="str">
        <f>IF(C95&gt;1.5,1.5,"")</f>
        <v/>
      </c>
      <c r="W69" s="1592" t="str">
        <f>IF(C95&gt;1.6,1.6,"")</f>
        <v/>
      </c>
      <c r="X69" s="1541"/>
    </row>
    <row r="70" spans="1:24" ht="12" hidden="1" customHeight="1">
      <c r="A70" s="1541"/>
      <c r="B70" s="1623" t="s">
        <v>3213</v>
      </c>
      <c r="C70" s="1630">
        <v>-0.24986050400000001</v>
      </c>
      <c r="D70" s="1539"/>
      <c r="E70" s="1626"/>
      <c r="F70" s="1625"/>
      <c r="G70" s="1620"/>
      <c r="H70" s="1620"/>
      <c r="I70" s="1620"/>
      <c r="J70" s="1620"/>
      <c r="K70" s="1620"/>
      <c r="L70" s="1620"/>
      <c r="M70" s="1620"/>
      <c r="N70" s="1620"/>
      <c r="O70" s="1620"/>
      <c r="P70" s="1620"/>
      <c r="Q70" s="1620"/>
      <c r="R70" s="1620"/>
      <c r="S70" s="1579"/>
      <c r="T70" s="1579"/>
      <c r="U70" s="1579"/>
      <c r="V70" s="1579"/>
      <c r="W70" s="1578"/>
      <c r="X70" s="1541"/>
    </row>
    <row r="71" spans="1:24" ht="12" hidden="1" customHeight="1">
      <c r="A71" s="1541"/>
      <c r="B71" s="1623" t="s">
        <v>3212</v>
      </c>
      <c r="C71" s="1630">
        <v>0.53222846899999998</v>
      </c>
      <c r="D71" s="1539"/>
      <c r="E71" s="1626"/>
      <c r="F71" s="1625"/>
      <c r="G71" s="1620"/>
      <c r="H71" s="1620"/>
      <c r="I71" s="1620"/>
      <c r="J71" s="1620"/>
      <c r="K71" s="1620"/>
      <c r="L71" s="1620"/>
      <c r="M71" s="1620"/>
      <c r="N71" s="1620"/>
      <c r="O71" s="1620"/>
      <c r="P71" s="1620"/>
      <c r="Q71" s="1620"/>
      <c r="R71" s="1620"/>
      <c r="S71" s="1579"/>
      <c r="T71" s="1579"/>
      <c r="U71" s="1579"/>
      <c r="V71" s="1579"/>
      <c r="W71" s="1578"/>
      <c r="X71" s="1541"/>
    </row>
    <row r="72" spans="1:24" ht="12" hidden="1" customHeight="1">
      <c r="A72" s="1541"/>
      <c r="B72" s="1627"/>
      <c r="C72" s="1624"/>
      <c r="D72" s="1539"/>
      <c r="E72" s="1626"/>
      <c r="F72" s="1625"/>
      <c r="G72" s="1620"/>
      <c r="H72" s="1620"/>
      <c r="I72" s="1620"/>
      <c r="J72" s="1620"/>
      <c r="K72" s="1620"/>
      <c r="L72" s="1620"/>
      <c r="M72" s="1620"/>
      <c r="N72" s="1620"/>
      <c r="O72" s="1620"/>
      <c r="P72" s="1620"/>
      <c r="Q72" s="1620"/>
      <c r="R72" s="1620"/>
      <c r="S72" s="1579"/>
      <c r="T72" s="1579"/>
      <c r="U72" s="1579"/>
      <c r="V72" s="1579"/>
      <c r="W72" s="1578"/>
      <c r="X72" s="1541"/>
    </row>
    <row r="73" spans="1:24" ht="12" hidden="1" customHeight="1">
      <c r="A73" s="1541"/>
      <c r="B73" s="1627"/>
      <c r="C73" s="1624"/>
      <c r="D73" s="1539"/>
      <c r="E73" s="1626"/>
      <c r="F73" s="1625"/>
      <c r="G73" s="1620"/>
      <c r="H73" s="1620"/>
      <c r="I73" s="1620"/>
      <c r="J73" s="1620"/>
      <c r="K73" s="1620"/>
      <c r="L73" s="1620"/>
      <c r="M73" s="1620"/>
      <c r="N73" s="1620"/>
      <c r="O73" s="1620"/>
      <c r="P73" s="1620"/>
      <c r="Q73" s="1620"/>
      <c r="R73" s="1620"/>
      <c r="S73" s="1579"/>
      <c r="T73" s="1579"/>
      <c r="U73" s="1579"/>
      <c r="V73" s="1579"/>
      <c r="W73" s="1578"/>
      <c r="X73" s="1541"/>
    </row>
    <row r="74" spans="1:24" ht="12" hidden="1" customHeight="1">
      <c r="A74" s="1541"/>
      <c r="B74" s="1623" t="s">
        <v>3211</v>
      </c>
      <c r="C74" s="1629">
        <f>-C69/(3*C68)</f>
        <v>5.883928777786509</v>
      </c>
      <c r="D74" s="1539"/>
      <c r="E74" s="1626"/>
      <c r="F74" s="1625"/>
      <c r="G74" s="1620"/>
      <c r="H74" s="1620"/>
      <c r="I74" s="1620"/>
      <c r="J74" s="1620"/>
      <c r="K74" s="1620"/>
      <c r="L74" s="1620"/>
      <c r="M74" s="1620"/>
      <c r="N74" s="1620"/>
      <c r="O74" s="1620"/>
      <c r="P74" s="1620"/>
      <c r="Q74" s="1620"/>
      <c r="R74" s="1620"/>
      <c r="S74" s="1579"/>
      <c r="T74" s="1579"/>
      <c r="U74" s="1579"/>
      <c r="V74" s="1579"/>
      <c r="W74" s="1578"/>
      <c r="X74" s="1541"/>
    </row>
    <row r="75" spans="1:24" ht="12" hidden="1" customHeight="1">
      <c r="A75" s="1541"/>
      <c r="B75" s="1627"/>
      <c r="C75" s="1624"/>
      <c r="D75" s="1539"/>
      <c r="E75" s="1626"/>
      <c r="F75" s="1625"/>
      <c r="G75" s="1620"/>
      <c r="H75" s="1620"/>
      <c r="I75" s="1620"/>
      <c r="J75" s="1620"/>
      <c r="K75" s="1620"/>
      <c r="L75" s="1620"/>
      <c r="M75" s="1620"/>
      <c r="N75" s="1620"/>
      <c r="O75" s="1620"/>
      <c r="P75" s="1620"/>
      <c r="Q75" s="1620"/>
      <c r="R75" s="1620"/>
      <c r="S75" s="1579"/>
      <c r="T75" s="1579"/>
      <c r="U75" s="1579"/>
      <c r="V75" s="1579"/>
      <c r="W75" s="1578"/>
      <c r="X75" s="1541"/>
    </row>
    <row r="76" spans="1:24" ht="12" hidden="1" customHeight="1">
      <c r="A76" s="1541"/>
      <c r="B76" s="1623" t="s">
        <v>3210</v>
      </c>
      <c r="C76" s="1624">
        <f>-C69/(3*C68)+0.5*SQRT(ABS((2*C69/(3*C68))^2-4*C70/(3*C68)))</f>
        <v>7.4771662344916772</v>
      </c>
      <c r="D76" s="1539"/>
      <c r="E76" s="1626"/>
      <c r="F76" s="1625"/>
      <c r="G76" s="1620"/>
      <c r="H76" s="1620"/>
      <c r="I76" s="1620"/>
      <c r="J76" s="1620"/>
      <c r="K76" s="1620"/>
      <c r="L76" s="1620"/>
      <c r="M76" s="1620"/>
      <c r="N76" s="1620"/>
      <c r="O76" s="1620"/>
      <c r="P76" s="1620"/>
      <c r="Q76" s="1620"/>
      <c r="R76" s="1620"/>
      <c r="S76" s="1579"/>
      <c r="T76" s="1579"/>
      <c r="U76" s="1579"/>
      <c r="V76" s="1579"/>
      <c r="W76" s="1578"/>
      <c r="X76" s="1541"/>
    </row>
    <row r="77" spans="1:24" ht="12" hidden="1" customHeight="1">
      <c r="A77" s="1541"/>
      <c r="B77" s="1623" t="s">
        <v>3209</v>
      </c>
      <c r="C77" s="1624">
        <f>-C69/(3*C68)-0.5*SQRT(ABS((2*C69/(3*C68))^2-4*C70/(3*C68)))</f>
        <v>4.2906913210813409</v>
      </c>
      <c r="D77" s="1539"/>
      <c r="E77" s="1626"/>
      <c r="F77" s="1625"/>
      <c r="G77" s="1620"/>
      <c r="H77" s="1620"/>
      <c r="I77" s="1620"/>
      <c r="J77" s="1620"/>
      <c r="K77" s="1620"/>
      <c r="L77" s="1620"/>
      <c r="M77" s="1620"/>
      <c r="N77" s="1620"/>
      <c r="O77" s="1620"/>
      <c r="P77" s="1620"/>
      <c r="Q77" s="1620"/>
      <c r="R77" s="1620"/>
      <c r="S77" s="1579"/>
      <c r="T77" s="1579"/>
      <c r="U77" s="1579"/>
      <c r="V77" s="1579"/>
      <c r="W77" s="1578"/>
      <c r="X77" s="1541"/>
    </row>
    <row r="78" spans="1:24" ht="12" hidden="1" customHeight="1">
      <c r="A78" s="1541"/>
      <c r="B78" s="1627"/>
      <c r="C78" s="1624"/>
      <c r="D78" s="1539"/>
      <c r="E78" s="1626"/>
      <c r="F78" s="1625"/>
      <c r="G78" s="1620"/>
      <c r="H78" s="1620"/>
      <c r="I78" s="1620"/>
      <c r="J78" s="1620"/>
      <c r="K78" s="1620"/>
      <c r="L78" s="1620"/>
      <c r="M78" s="1620"/>
      <c r="N78" s="1620"/>
      <c r="O78" s="1620"/>
      <c r="P78" s="1620"/>
      <c r="Q78" s="1620"/>
      <c r="R78" s="1620"/>
      <c r="S78" s="1579"/>
      <c r="T78" s="1579"/>
      <c r="U78" s="1579"/>
      <c r="V78" s="1579"/>
      <c r="W78" s="1578"/>
      <c r="X78" s="1541"/>
    </row>
    <row r="79" spans="1:24" ht="12" hidden="1" customHeight="1">
      <c r="A79" s="1541"/>
      <c r="B79" s="1623" t="s">
        <v>3208</v>
      </c>
      <c r="C79" s="1628">
        <v>0.02</v>
      </c>
      <c r="D79" s="1539"/>
      <c r="E79" s="1626"/>
      <c r="F79" s="1625"/>
      <c r="G79" s="1620"/>
      <c r="H79" s="1620"/>
      <c r="I79" s="1620"/>
      <c r="J79" s="1620"/>
      <c r="K79" s="1620"/>
      <c r="L79" s="1620"/>
      <c r="M79" s="1620"/>
      <c r="N79" s="1620"/>
      <c r="O79" s="1620"/>
      <c r="P79" s="1620"/>
      <c r="Q79" s="1620"/>
      <c r="R79" s="1620"/>
      <c r="S79" s="1579"/>
      <c r="T79" s="1579"/>
      <c r="U79" s="1579"/>
      <c r="V79" s="1579"/>
      <c r="W79" s="1578"/>
      <c r="X79" s="1541"/>
    </row>
    <row r="80" spans="1:24" ht="12" hidden="1" customHeight="1">
      <c r="A80" s="1541"/>
      <c r="B80" s="1627"/>
      <c r="C80" s="1624"/>
      <c r="D80" s="1539"/>
      <c r="E80" s="1626"/>
      <c r="F80" s="1625"/>
      <c r="G80" s="1620"/>
      <c r="H80" s="1620"/>
      <c r="I80" s="1620"/>
      <c r="J80" s="1620"/>
      <c r="K80" s="1620"/>
      <c r="L80" s="1620"/>
      <c r="M80" s="1620"/>
      <c r="N80" s="1620"/>
      <c r="O80" s="1620"/>
      <c r="P80" s="1620"/>
      <c r="Q80" s="1620"/>
      <c r="R80" s="1620"/>
      <c r="S80" s="1579"/>
      <c r="T80" s="1579"/>
      <c r="U80" s="1579"/>
      <c r="V80" s="1579"/>
      <c r="W80" s="1578"/>
      <c r="X80" s="1541"/>
    </row>
    <row r="81" spans="1:24" ht="12" hidden="1" customHeight="1">
      <c r="A81" s="1541"/>
      <c r="B81" s="1623"/>
      <c r="C81" s="1624"/>
      <c r="D81" s="1539"/>
      <c r="E81" s="1622" t="s">
        <v>3207</v>
      </c>
      <c r="F81" s="1621"/>
      <c r="G81" s="1620" t="e">
        <f>C79-(C68*C79^3+C69*C79^2+C70*C79+C71-G69)/(3*C68*C79^2+2*C69*C79+C70)</f>
        <v>#VALUE!</v>
      </c>
      <c r="H81" s="1620" t="e">
        <f>C79-(C68*C79^3+C69*C79^2+C70*C79+C71-H68)/(3*C68*C79^2+2*C69*C79+C70)</f>
        <v>#VALUE!</v>
      </c>
      <c r="I81" s="1620">
        <f>C79-(C68*C79^3+C69*C79^2+C70*C79+C71-I68)/(3*C68*C79^2+2*C69*C79+C70)</f>
        <v>1.3393917720595252</v>
      </c>
      <c r="J81" s="1620">
        <f>C79-(C68*C79^3+C69*C79^2+C70*C79+C71-J68)/(3*C68*C79^2+2*C69*C79+C70)</f>
        <v>0.9362157557208024</v>
      </c>
      <c r="K81" s="1620" t="str">
        <f>IF(K69="","",C79-(C68*C79^3+C69*C79^2+C70*C79+C71-K68)/(3*C68*C79^2+2*C69*C79+C70))</f>
        <v/>
      </c>
      <c r="L81" s="1620" t="str">
        <f>IF(L69="","",C79-(C68*C79^3+C69*C79^2+C70*C79+C71-L68)/(3*C68*C79^2+2*C69*C79+C70))</f>
        <v/>
      </c>
      <c r="M81" s="1620" t="str">
        <f>IF(M69="","",C79-(C68*C79^3+C69*C79^2+C70*C79+C71-M68)/(3*C68*C79^2+2*C69*C79+C70))</f>
        <v/>
      </c>
      <c r="N81" s="1620" t="str">
        <f>IF(N69="","",C79-(C68*C79^3+C69*C79^2+C70*C79+C71-N68)/(3*C68*C79^2+2*C69*C79+C70))</f>
        <v/>
      </c>
      <c r="O81" s="1620" t="str">
        <f>IF(O69="","",C79-(C68*C79^3+C69*C79^2+C70*C79+C71-O68)/(3*C68*C79^2+2*C69*C79+C70))</f>
        <v/>
      </c>
      <c r="P81" s="1620" t="str">
        <f>IF(P69="","",C79-(C68*C79^3+C69*C79^2+C70*C79+C71-P68)/(3*C68*C79^2+2*C69*C79+C70))</f>
        <v/>
      </c>
      <c r="Q81" s="1620" t="str">
        <f>IF(Q69="","",C79-(C68*C79^3+C69*C79^2+C70*C79+C71-Q68)/(3*C68*C79^2+2*C69*C79+C70))</f>
        <v/>
      </c>
      <c r="R81" s="1620" t="str">
        <f>IF(R69="","",C79-(C68*C79^3+C69*C79^2+C70*C79+C71-R68)/(3*C68*C79^2+2*C69*C79+C70))</f>
        <v/>
      </c>
      <c r="S81" s="1579" t="str">
        <f>IF(S69="","",C79-(C68*C79^3+C69*C79^2+C70*C79+C71-S68)/(3*C68*C79^2+2*C69*C79+C70))</f>
        <v/>
      </c>
      <c r="T81" s="1579" t="str">
        <f>IF(T69="","",C79-(C68*C79^3+C69*C79^2+C70*C79+C71-T68)/(3*C68*C79^2+2*C69*C79+C70))</f>
        <v/>
      </c>
      <c r="U81" s="1579" t="str">
        <f>IF(U69="","",C79-(C68*C79^3+C69*C79^2+C70*C79+C71-U68)/(3*C68*C79^2+2*C69*C79+C70))</f>
        <v/>
      </c>
      <c r="V81" s="1579" t="str">
        <f>IF(V69="","",C79-(C68*C79^3+C69*C79^2+C70*C79+C71-V68)/(3*C68*C79^2+2*C69*C79+C70))</f>
        <v/>
      </c>
      <c r="W81" s="1578" t="str">
        <f>IF(W69="","",C79-(C68*C79^3+C69*C79^2+C70*C79+C71-W68)/(3*C68*C79^2+2*C69*C79+C70))</f>
        <v/>
      </c>
      <c r="X81" s="1541"/>
    </row>
    <row r="82" spans="1:24" ht="9.75" hidden="1" customHeight="1">
      <c r="A82" s="1541"/>
      <c r="B82" s="1623"/>
      <c r="C82" s="1540">
        <f>INT(C64*10)</f>
        <v>3</v>
      </c>
      <c r="D82" s="1539"/>
      <c r="E82" s="1622" t="s">
        <v>3206</v>
      </c>
      <c r="F82" s="1621"/>
      <c r="G82" s="1620" t="e">
        <f>G81-(C68*G81^3+C69*G81^2+C70*G81+C71-G69)/(3*C68*G81^2+2*C69*G81+C70)</f>
        <v>#VALUE!</v>
      </c>
      <c r="H82" s="1620" t="e">
        <f>H81-(C68*H81^3+C69*H81^2+C70*H81+C71-H68)/(3*C68*H81^2+2*C69*H81+C70)</f>
        <v>#VALUE!</v>
      </c>
      <c r="I82" s="1620">
        <f>I81-(C68*I81^3+C69*I81^2+C70*I81+C71-I68)/(3*C68*I81^2+2*C69*I81+C70)</f>
        <v>1.8606507365511635</v>
      </c>
      <c r="J82" s="1620">
        <f>J81-(C68*J81^3+C69*J81^2+C70*J81+C71-J68)/(3*C68*J81^2+2*C69*J81+C70)</f>
        <v>1.148877546159329</v>
      </c>
      <c r="K82" s="1620" t="str">
        <f>IF(K69="","",K81-(C68*K81^3+C69*K81^2+C70*K81+C71-K68)/(3*C68*K81^2+2*C69*K81+C70))</f>
        <v/>
      </c>
      <c r="L82" s="1620" t="str">
        <f>IF(L69="","",L81-(C68*L81^3+C69*L81^2+C70*L81+C71-L68)/(3*C68*L81^2+2*C69*L81+C70))</f>
        <v/>
      </c>
      <c r="M82" s="1620" t="str">
        <f>IF(M69="","",M81-(C68*M81^3+C69*M81^2+C70*M81+C71-M68)/(3*C68*M81^2+2*C69*M81+C70))</f>
        <v/>
      </c>
      <c r="N82" s="1620" t="str">
        <f>IF(N69="","",N81-(C68*N81^3+C69*N81^2+C70*N81+C71-N68)/(3*C68*N81^2+2*C69*N81+C70))</f>
        <v/>
      </c>
      <c r="O82" s="1620" t="str">
        <f>IF(O69="","",O81-(C68*O81^3+C69*O81^2+C70*O81+C71-O68)/(3*C68*O81^2+2*C69*O81+C70))</f>
        <v/>
      </c>
      <c r="P82" s="1620" t="str">
        <f>IF(P69="","",P81-(C68*P81^3+C69*P81^2+C70*P81+C71-P68)/(3*C68*P81^2+2*C69*P81+C70))</f>
        <v/>
      </c>
      <c r="Q82" s="1620" t="str">
        <f>IF(Q69="","",Q81-(C68*Q81^3+C69*Q81^2+C70*Q81+C71-Q68)/(3*C68*Q81^2+2*C69*Q81+C70))</f>
        <v/>
      </c>
      <c r="R82" s="1620" t="str">
        <f>IF(R69="","",R81-(C68*R81^3+C69*R81^2+C70*R81+C71-R68)/(3*C68*R81^2+2*C69*R81+C70))</f>
        <v/>
      </c>
      <c r="S82" s="1579" t="str">
        <f>IF(S69="","",S81-(C68*S81^3+C69*S81^2+C70*S81+C71-S68)/(3*C68*S81^2+2*C69*S81+C70))</f>
        <v/>
      </c>
      <c r="T82" s="1579" t="str">
        <f>IF(T69="","",T81-(C68*T81^3+C69*T81^2+C70*T81+C71-T68)/(3*C68*T81^2+2*C69*T81+C70))</f>
        <v/>
      </c>
      <c r="U82" s="1579" t="str">
        <f>IF(U69="","",U81-(C68*U81^3+C69*U81^2+C70*U81+C71-U68)/(3*C68*U81^2+2*C69*U81+C70))</f>
        <v/>
      </c>
      <c r="V82" s="1579" t="str">
        <f>IF(V69="","",V81-(C68*V81^3+C69*V81^2+C70*V81+C71-V68)/(3*C68*V81^2+2*C69*V81+C70))</f>
        <v/>
      </c>
      <c r="W82" s="1578" t="str">
        <f>IF(W69="","",W81-(C68*W81^3+C69*W81^2+C70*W81+C71-W68)/(3*C68*W81^2+2*C69*W81+C70))</f>
        <v/>
      </c>
      <c r="X82" s="1541"/>
    </row>
    <row r="83" spans="1:24" ht="15" customHeight="1">
      <c r="A83" s="1538"/>
      <c r="B83" s="1605" t="s">
        <v>3205</v>
      </c>
      <c r="C83" s="1604">
        <f>IF(C85="",0,1)</f>
        <v>0</v>
      </c>
      <c r="D83" s="1536"/>
      <c r="E83" s="1619"/>
      <c r="F83" s="1578"/>
      <c r="G83" s="1578"/>
      <c r="H83" s="1578"/>
      <c r="I83" s="1578"/>
      <c r="J83" s="1578"/>
      <c r="K83" s="1578"/>
      <c r="L83" s="1578"/>
      <c r="M83" s="1578"/>
      <c r="N83" s="1578"/>
      <c r="O83" s="1578"/>
      <c r="P83" s="1578"/>
      <c r="Q83" s="1578"/>
      <c r="R83" s="1578"/>
      <c r="S83" s="1578"/>
      <c r="T83" s="1578"/>
      <c r="U83" s="1578"/>
      <c r="V83" s="1578"/>
      <c r="W83" s="1578"/>
      <c r="X83" s="1538"/>
    </row>
    <row r="84" spans="1:24" ht="15.75">
      <c r="A84" s="1541"/>
      <c r="B84" s="1556" t="s">
        <v>3173</v>
      </c>
      <c r="C84" s="1577" t="str">
        <f>IF(C83=0,"",VALUE(LEFT(受変!$AS$59,2)))</f>
        <v/>
      </c>
      <c r="D84" s="1539"/>
      <c r="E84" s="1618" t="s">
        <v>3204</v>
      </c>
      <c r="F84" s="1617"/>
      <c r="G84" s="1567" t="e">
        <f>G82-(C68*G82^3+C69*G82^2+C70*G82+C71-G69)/(3*C68*G82^2+2*C69*G82+C70)</f>
        <v>#VALUE!</v>
      </c>
      <c r="H84" s="1567" t="e">
        <f>H82-(C68*H82^3+C69*H82^2+C70*H82+C71-H68)/(3*C68*H82^2+2*C69*H82+C70)</f>
        <v>#VALUE!</v>
      </c>
      <c r="I84" s="1567">
        <f>I82-(C68*I82^3+C69*I82^2+C70*I82+C71-I68)/(3*C68*I82^2+2*C69*I82+C70)</f>
        <v>1.9476640950670787</v>
      </c>
      <c r="J84" s="1567">
        <f>J82-(C68*J82^3+C69*J82^2+C70*J82+C71-J68)/(3*C68*J82^2+2*C69*J82+C70)</f>
        <v>1.1599705572897567</v>
      </c>
      <c r="K84" s="1616" t="str">
        <f>IF(K69="","",K82-(C68*K82^3+C69*K82^2+C70*K82+C71-K68)/(3*C68*K82^2+2*C69*K82+C70))</f>
        <v/>
      </c>
      <c r="L84" s="1567" t="str">
        <f>IF(L69="","",L82-(C68*L82^3+C69*L82^2+C70*L82+C71-L68)/(3*C68*L82^2+2*C69*L82+C70))</f>
        <v/>
      </c>
      <c r="M84" s="1567" t="str">
        <f>IF(M69="","",M82-(C68*M82^3+C69*M82^2+C70*M82+C71-M68)/(3*C68*M82^2+2*C69*M82+C70))</f>
        <v/>
      </c>
      <c r="N84" s="1567" t="str">
        <f>IF(N69="","",N82-(C68*N82^3+C69*N82^2+C70*N82+C71-N68)/(3*C68*N82^2+2*C69*N82+C70))</f>
        <v/>
      </c>
      <c r="O84" s="1567" t="str">
        <f>IF(O69="","",O82-(C68*O82^3+C69*O82^2+C70*O82+C71-O68)/(3*C68*O82^2+2*C69*O82+C70))</f>
        <v/>
      </c>
      <c r="P84" s="1567" t="str">
        <f>IF(P69="","",P82-(C68*P82^3+C69*P82^2+C70*P82+C71-P68)/(3*C68*P82^2+2*C69*P82+C70))</f>
        <v/>
      </c>
      <c r="Q84" s="1567" t="str">
        <f>IF(Q69="","",Q82-(C68*Q82^3+C69*Q82^2+C70*Q82+C71-Q68)/(3*C68*Q82^2+2*C69*Q82+C70))</f>
        <v/>
      </c>
      <c r="R84" s="1567" t="str">
        <f>IF(R69="","",R82-(C68*R82^3+C69*R82^2+C70*R82+C71-R68)/(3*C68*R82^2+2*C69*R82+C70))</f>
        <v/>
      </c>
      <c r="S84" s="1567" t="str">
        <f>IF(S69="","",S82-(C68*S82^3+C69*S82^2+C70*S82+C71-S68)/(3*C68*S82^2+2*C69*S82+C70))</f>
        <v/>
      </c>
      <c r="T84" s="1567" t="str">
        <f>IF(T69="","",T82-(C68*T82^3+C69*T82^2+C70*T82+C71-T68)/(3*C68*T82^2+2*C69*T82+C70))</f>
        <v/>
      </c>
      <c r="U84" s="1567" t="str">
        <f>IF(U69="","",U82-(C68*U82^3+C69*U82^2+C70*U82+C71-U68)/(3*C68*U82^2+2*C69*U82+C70))</f>
        <v/>
      </c>
      <c r="V84" s="1567" t="str">
        <f>IF(V69="","",V82-(C68*V82^3+C69*V82^2+C70*V82+C71-V68)/(3*C68*V82^2+2*C69*V82+C70))</f>
        <v/>
      </c>
      <c r="W84" s="1566" t="str">
        <f>IF(W69="","",W82-(C68*W82^3+C69*W82^2+C70*W82+C71-W68)/(3*C68*W82^2+2*C69*W82+C70))</f>
        <v/>
      </c>
      <c r="X84" s="1541"/>
    </row>
    <row r="85" spans="1:24" ht="15.75">
      <c r="A85" s="1541"/>
      <c r="B85" s="1556" t="s">
        <v>3171</v>
      </c>
      <c r="C85" s="1575" t="str">
        <f>IF(B1=0,"",LEFT(受変!Y43,4))</f>
        <v/>
      </c>
      <c r="D85" s="1539"/>
      <c r="E85" s="1612"/>
      <c r="F85" s="1615"/>
      <c r="G85" s="1567" t="e">
        <f>G84-(C68*G84^3+C69*G84^2+C70*G84+C71-G69)/(3*C68*G84^2+2*C69*G84+C70)</f>
        <v>#VALUE!</v>
      </c>
      <c r="H85" s="1567" t="e">
        <f>H84-(C68*H84^3+C69*H84^2+C70*H84+C71-H68)/(3*C68*H84^2+2*C69*H84+C70)</f>
        <v>#VALUE!</v>
      </c>
      <c r="I85" s="1567">
        <f>I84-(C68*I84^3+C69*I84^2+C70*I84+C71-I68)/(3*C68*I84^2+2*C69*I84+C70)</f>
        <v>1.9499983393648257</v>
      </c>
      <c r="J85" s="1567">
        <f>J84-(C68*J84^3+C69*J84^2+C70*J84+C71-J68)/(3*C68*J84^2+2*C69*J84+C70)</f>
        <v>1.1599999957870419</v>
      </c>
      <c r="K85" s="1567" t="str">
        <f>IF(K69="","",K84-(C68*K84^3+C69*K84^2+C70*K84+C71-K68)/(3*C68*K84^2+2*C69*K84+C70))</f>
        <v/>
      </c>
      <c r="L85" s="1567" t="str">
        <f>IF(L69="","",L84-(C68*L84^3+C69*L84^2+C70*L84+C71-L68)/(3*C68*L84^2+2*C69*L84+C70))</f>
        <v/>
      </c>
      <c r="M85" s="1567" t="str">
        <f>IF(M69="","",M84-(C68*M84^3+C69*M84^2+C70*M84+C71-M68)/(3*C68*M84^2+2*C69*M84+C70))</f>
        <v/>
      </c>
      <c r="N85" s="1567" t="str">
        <f>IF(N69="","",N84-(C68*N84^3+C69*N84^2+C70*N84+C71-N68)/(3*C68*N84^2+2*C69*N84+C70))</f>
        <v/>
      </c>
      <c r="O85" s="1567" t="str">
        <f>IF(O69="","",O84-(C68*O84^3+C69*O84^2+C70*O84+C71-O68)/(3*C68*O84^2+2*C69*O84+C70))</f>
        <v/>
      </c>
      <c r="P85" s="1567" t="str">
        <f>IF(P69="","",P84-(C68*P84^3+C69*P84^2+C70*P84+C71-P68)/(3*C68*P84^2+2*C69*P84+C70))</f>
        <v/>
      </c>
      <c r="Q85" s="1567" t="str">
        <f>IF(Q69="","",Q84-(C68*Q84^3+C69*Q84^2+C70*Q84+C71-Q68)/(3*C68*Q84^2+2*C69*Q84+C70))</f>
        <v/>
      </c>
      <c r="R85" s="1567" t="str">
        <f>IF(R69="","",R84-(C68*R84^3+C69*R84^2+C70*R84+C71-R68)/(3*C68*R84^2+2*C69*R84+C70))</f>
        <v/>
      </c>
      <c r="S85" s="1567" t="str">
        <f>IF(S69="","",S84-(C68*S84^3+C69*S84^2+C70*S84+C71-S68)/(3*C68*S84^2+2*C69*S84+C70))</f>
        <v/>
      </c>
      <c r="T85" s="1567" t="str">
        <f>IF(T69="","",T84-(C68*T84^3+C69*T84^2+C70*T84+C71-T68)/(3*C68*T84^2+2*C69*T84+C70))</f>
        <v/>
      </c>
      <c r="U85" s="1567" t="str">
        <f>IF(U69="","",U84-(C68*U84^3+C69*U84^2+C70*U84+C71-U68)/(3*C68*U84^2+2*C69*U84+C70))</f>
        <v/>
      </c>
      <c r="V85" s="1567" t="str">
        <f>IF(V69="","",V84-(C68*V84^3+C69*V84^2+C70*V84+C71-V68)/(3*C68*V84^2+2*C69*V84+C70))</f>
        <v/>
      </c>
      <c r="W85" s="1566" t="str">
        <f>IF(W69="","",W84-(C68*W84^3+C69*W84^2+C70*W84+C71-W68)/(3*C68*W84^2+2*C69*W84+C70))</f>
        <v/>
      </c>
      <c r="X85" s="1541"/>
    </row>
    <row r="86" spans="1:24" ht="15.75">
      <c r="A86" s="1541"/>
      <c r="B86" s="1556" t="s">
        <v>3170</v>
      </c>
      <c r="C86" s="1574" t="str">
        <f>IF(C83=0,"",LEFT(受変!$AG$59,4))</f>
        <v/>
      </c>
      <c r="D86" s="1539"/>
      <c r="E86" s="1612"/>
      <c r="F86" s="1615"/>
      <c r="G86" s="1567" t="e">
        <f>G85-(C68*G85^3+C69*G85^2+C70*G85+C71-G69)/(3*C68*G85^2+2*C69*G85+C70)</f>
        <v>#VALUE!</v>
      </c>
      <c r="H86" s="1567" t="e">
        <f>H85-(C68*H85^3+C69*H85^2+C70*H85+C71-H68)/(3*C68*H85^2+2*C69*H85+C70)</f>
        <v>#VALUE!</v>
      </c>
      <c r="I86" s="1567">
        <f>I85-(C68*I85^3+C69*I85^2+C70*I85+C71-I68)/(3*C68*I85^2+2*C69*I85+C70)</f>
        <v>1.9499999968282029</v>
      </c>
      <c r="J86" s="1567">
        <f>J85-(C68*J85^3+C69*J85^2+C70*J85+C71-J68)/(3*C68*J85^2+2*C69*J85+C70)</f>
        <v>1.1599999959940437</v>
      </c>
      <c r="K86" s="1567" t="str">
        <f>IF(K69="","",K85-(C68*K85^3+C69*K85^2+C70*K85+C71-K68)/(3*C68*K85^2+2*C69*K85+C70))</f>
        <v/>
      </c>
      <c r="L86" s="1567" t="str">
        <f>IF(L69="","",L85-(C68*L85^3+C69*L85^2+C70*L85+C71-L68)/(3*C68*L85^2+2*C69*L85+C70))</f>
        <v/>
      </c>
      <c r="M86" s="1567" t="str">
        <f>IF(M69="","",M85-(C68*M85^3+C69*M85^2+C70*M85+C71-M68)/(3*C68*M85^2+2*C69*M85+C70))</f>
        <v/>
      </c>
      <c r="N86" s="1567" t="str">
        <f>IF(N69="","",N85-(C68*N85^3+C69*N85^2+C70*N85+C71-N68)/(3*C68*N85^2+2*C69*N85+C70))</f>
        <v/>
      </c>
      <c r="O86" s="1567" t="str">
        <f>IF(O69="","",O85-(C68*O85^3+C69*O85^2+C70*O85+C71-O68)/(3*C68*O85^2+2*C69*O85+C70))</f>
        <v/>
      </c>
      <c r="P86" s="1567" t="str">
        <f>IF(P69="","",P85-(C68*P85^3+C69*P85^2+C70*P85+C71-P68)/(3*C68*P85^2+2*C69*P85+C70))</f>
        <v/>
      </c>
      <c r="Q86" s="1567" t="str">
        <f>IF(Q69="","",Q85-(C68*Q85^3+C69*Q85^2+C70*Q85+C71-Q68)/(3*C68*Q85^2+2*C69*Q85+C70))</f>
        <v/>
      </c>
      <c r="R86" s="1567" t="str">
        <f>IF(R69="","",R85-(C68*R85^3+C69*R85^2+C70*R85+C71-R68)/(3*C68*R85^2+2*C69*R85+C70))</f>
        <v/>
      </c>
      <c r="S86" s="1567" t="str">
        <f>IF(S69="","",S85-(C68*S85^3+C69*S85^2+C70*S85+C71-S68)/(3*C68*S85^2+2*C69*S85+C70))</f>
        <v/>
      </c>
      <c r="T86" s="1567" t="str">
        <f>IF(T69="","",T85-(C68*T85^3+C69*T85^2+C70*T85+C71-T68)/(3*C68*T85^2+2*C69*T85+C70))</f>
        <v/>
      </c>
      <c r="U86" s="1567" t="str">
        <f>IF(U69="","",U85-(C68*U85^3+C69*U85^2+C70*U85+C71-U68)/(3*C68*U85^2+2*C69*U85+C70))</f>
        <v/>
      </c>
      <c r="V86" s="1567" t="str">
        <f>IF(V69="","",V85-(C68*V85^3+C69*V85^2+C70*V85+C71-V68)/(3*C68*V85^2+2*C69*V85+C70))</f>
        <v/>
      </c>
      <c r="W86" s="1566" t="str">
        <f>IF(W69="","",W85-(C68*W85^3+C69*W85^2+C70*W85+C71-W68)/(3*C68*W85^2+2*C69*W85+C70))</f>
        <v/>
      </c>
      <c r="X86" s="1541"/>
    </row>
    <row r="87" spans="1:24" ht="15.75" hidden="1">
      <c r="A87" s="1541"/>
      <c r="B87" s="1556"/>
      <c r="C87" s="1573"/>
      <c r="D87" s="1539"/>
      <c r="E87" s="1614"/>
      <c r="F87" s="1613"/>
      <c r="G87" s="1567" t="e">
        <f>G86-(C68*G86^3+C69*G86^2+C70*G86+C71-G69)/(3*C68*G86^2+2*C69*G86+C70)</f>
        <v>#VALUE!</v>
      </c>
      <c r="H87" s="1567" t="e">
        <f>H86-(C68*H86^3+C69*H86^2+C70*H86+C71-H68)/(3*C68*H86^2+2*C69*H86+C70)</f>
        <v>#VALUE!</v>
      </c>
      <c r="I87" s="1567">
        <f>I86-(C68*I86^3+C69*I86^2+C70*I86+C71-I68)/(3*C68*I86^2+2*C69*I86+C70)</f>
        <v>1.9499999968290387</v>
      </c>
      <c r="J87" s="1567">
        <f>J86-(C68*J86^3+C69*J86^2+C70*J86+C71-J68)/(3*C68*J86^2+2*C69*J86+C70)</f>
        <v>1.1599999959940432</v>
      </c>
      <c r="K87" s="1567" t="str">
        <f>IF(K69="","",K86-(C68*K86^3+C69*K86^2+C70*K86+C71-K68)/(3*C68*K86^2+2*C69*K86+C70))</f>
        <v/>
      </c>
      <c r="L87" s="1567" t="str">
        <f>IF(L69="","",L86-(C68*L86^3+C69*L86^2+C70*L86+C71-L68)/(3*C68*L86^2+2*C69*L86+C70))</f>
        <v/>
      </c>
      <c r="M87" s="1567" t="str">
        <f>IF(M69="","",M86-(C68*M86^3+C69*M86^2+C70*M86+C71-M68)/(3*C68*M86^2+2*C69*M86+C70))</f>
        <v/>
      </c>
      <c r="N87" s="1567" t="str">
        <f>IF(N69="","",N86-(C68*N86^3+C69*N86^2+C70*N86+C71-N68)/(3*C68*N86^2+2*C69*N86+C70))</f>
        <v/>
      </c>
      <c r="O87" s="1567" t="str">
        <f>IF(O69="","",O86-(C68*O86^3+C69*O86^2+C70*O86+C71-O68)/(3*C68*O86^2+2*C69*O86+C70))</f>
        <v/>
      </c>
      <c r="P87" s="1567" t="str">
        <f>IF(P69="","",P86-(C68*P86^3+C69*P86^2+C70*P86+C71-P68)/(3*C68*P86^2+2*C69*P86+C70))</f>
        <v/>
      </c>
      <c r="Q87" s="1567" t="str">
        <f>IF(Q69="","",Q86-(C68*Q86^3+C69*Q86^2+C70*Q86+C71-Q68)/(3*C68*Q86^2+2*C69*Q86+C70))</f>
        <v/>
      </c>
      <c r="R87" s="1567" t="str">
        <f>IF(R69="","",R86-(C68*R86^3+C69*R86^2+C70*R86+C71-R68)/(3*C68*R86^2+2*C69*R86+C70))</f>
        <v/>
      </c>
      <c r="S87" s="1567" t="str">
        <f>IF(S69="","",S86-(C68*S86^3+C69*S86^2+C70*S86+C71-S68)/(3*C68*S86^2+2*C69*S86+C70))</f>
        <v/>
      </c>
      <c r="T87" s="1567" t="str">
        <f>IF(T69="","",T86-(C68*T86^3+C69*T86^2+C70*T86+C71-T68)/(3*C68*T86^2+2*C69*T86+C70))</f>
        <v/>
      </c>
      <c r="U87" s="1567" t="str">
        <f>IF(U69="","",U86-(C68*U86^3+C69*U86^2+C70*U86+C71-U68)/(3*C68*U86^2+2*C69*U86+C70))</f>
        <v/>
      </c>
      <c r="V87" s="1567" t="str">
        <f>IF(V69="","",V86-(C68*V86^3+C69*V86^2+C70*V86+C71-V68)/(3*C68*V86^2+2*C69*V86+C70))</f>
        <v/>
      </c>
      <c r="W87" s="1566" t="str">
        <f>IF(W69="","",W86-(C68*W86^3+C69*W86^2+C70*W86+C71-W68)/(3*C68*W86^2+2*C69*W86+C70))</f>
        <v/>
      </c>
      <c r="X87" s="1541"/>
    </row>
    <row r="88" spans="1:24" ht="16.5" thickBot="1">
      <c r="A88" s="1541"/>
      <c r="B88" s="1556" t="s">
        <v>3169</v>
      </c>
      <c r="C88" s="1570" t="str">
        <f>IF(C83=0,"",IF(C83=0,"",C92*1000*C85/C86/SQRT(3)))</f>
        <v/>
      </c>
      <c r="D88" s="1539"/>
      <c r="E88" s="1612"/>
      <c r="F88" s="1611"/>
      <c r="G88" s="1567" t="e">
        <f>G87-(C68*G87^3+C69*G87^2+C70*G87+C71-G69)/(3*C68*G87^2+2*C69*G87+C70)</f>
        <v>#VALUE!</v>
      </c>
      <c r="H88" s="1567" t="e">
        <f>H87-(C68*H87^3+C69*H87^2+C70*H87+C71-H68)/(3*C68*H87^2+2*C69*H87+C70)</f>
        <v>#VALUE!</v>
      </c>
      <c r="I88" s="1567">
        <f>I87-(C68*I87^3+C69*I87^2+C70*I87+C71-I68)/(3*C68*I87^2+2*C69*I87+C70)</f>
        <v>1.9499999968290387</v>
      </c>
      <c r="J88" s="1567">
        <f>J87-(C68*J87^3+C69*J87^2+C70*J87+C71-J68)/(3*C68*J87^2+2*C69*J87+C70)</f>
        <v>1.1599999959940437</v>
      </c>
      <c r="K88" s="1567" t="str">
        <f>IF(K69="","",K87-(C68*K87^3+C69*K87^2+C70*K87+C71-K68)/(3*C68*K87^2+2*C69*K87+C70))</f>
        <v/>
      </c>
      <c r="L88" s="1567" t="str">
        <f>IF(L69="","",L87-(C68*L87^3+C69*L87^2+C70*L87+C71-L68)/(3*C68*L87^2+2*C69*L87+C70))</f>
        <v/>
      </c>
      <c r="M88" s="1567" t="str">
        <f>IF(M69="","",M87-(C68*M87^3+C69*M87^2+C70*M87+C71-M68)/(3*C68*M87^2+2*C69*M87+C70))</f>
        <v/>
      </c>
      <c r="N88" s="1567" t="str">
        <f>IF(N69="","",N87-(C68*N87^3+C69*N87^2+C70*N87+C71-N68)/(3*C68*N87^2+2*C69*N87+C70))</f>
        <v/>
      </c>
      <c r="O88" s="1567" t="str">
        <f>IF(O69="","",O87-(C68*O87^3+C69*O87^2+C70*O87+C71-O68)/(3*C68*O87^2+2*C69*O87+C70))</f>
        <v/>
      </c>
      <c r="P88" s="1567" t="str">
        <f>IF(P69="","",P87-(C68*P87^3+C69*P87^2+C70*P87+C71-P68)/(3*C68*P87^2+2*C69*P87+C70))</f>
        <v/>
      </c>
      <c r="Q88" s="1567" t="str">
        <f>IF(Q69="","",Q87-(C68*Q87^3+C69*Q87^2+C70*Q87+C71-Q68)/(3*C68*Q87^2+2*C69*Q87+C70))</f>
        <v/>
      </c>
      <c r="R88" s="1567" t="str">
        <f>IF(R69="","",R87-(C68*R87^3+C69*R87^2+C70*R87+C71-R68)/(3*C68*R87^2+2*C69*R87+C70))</f>
        <v/>
      </c>
      <c r="S88" s="1567" t="str">
        <f>IF(S69="","",S87-(C68*S87^3+C69*S87^2+C70*S87+C71-S68)/(3*C68*S87^2+2*C69*S87+C70))</f>
        <v/>
      </c>
      <c r="T88" s="1567" t="str">
        <f>IF(T69="","",T87-(C68*T87^3+C69*T87^2+C70*T87+C71-T68)/(3*C68*T87^2+2*C69*T87+C70))</f>
        <v/>
      </c>
      <c r="U88" s="1567" t="str">
        <f>IF(U69="","",U87-(C68*U87^3+C69*U87^2+C70*U87+C71-U68)/(3*C68*U87^2+2*C69*U87+C70))</f>
        <v/>
      </c>
      <c r="V88" s="1567" t="str">
        <f>IF(V69="","",V87-(C68*V87^3+C69*V87^2+C70*V87+C71-V68)/(3*C68*V87^2+2*C69*V87+C70))</f>
        <v/>
      </c>
      <c r="W88" s="1566" t="str">
        <f>IF(W69="","",W87-(C68*W87^3+C69*W87^2+C70*W87+C71-W68)/(3*C68*W87^2+2*C69*W87+C70))</f>
        <v/>
      </c>
      <c r="X88" s="1541"/>
    </row>
    <row r="89" spans="1:24" ht="16.5" hidden="1" thickBot="1">
      <c r="A89" s="1541"/>
      <c r="B89" s="1556"/>
      <c r="C89" s="1609" t="e">
        <f>(C85/500)^0.232</f>
        <v>#VALUE!</v>
      </c>
      <c r="D89" s="1539"/>
      <c r="E89" s="1563" t="s">
        <v>3203</v>
      </c>
      <c r="F89" s="1563"/>
      <c r="G89" s="1562" t="e">
        <f>G88-(C68*G88^3+C69*G88^2+C70*G88+C71-G69)/(3*C68*G88^2+2*C69*G88+C70)</f>
        <v>#VALUE!</v>
      </c>
      <c r="H89" s="1562" t="e">
        <f>H88-(C68*H88^3+C69*H88^2+C70*H88+C71-H68)/(3*C68*H88^2+2*C69*H88+C70)</f>
        <v>#VALUE!</v>
      </c>
      <c r="I89" s="1562">
        <f>I88-(C68*I88^3+C69*I88^2+C70*I88+C71-I68)/(3*C68*I88^2+2*C69*I88+C70)</f>
        <v>1.9499999968290387</v>
      </c>
      <c r="J89" s="1562">
        <f>J88-(C68*J88^3+C69*J88^2+C70*J88+C71-J68)/(3*C68*J88^2+2*C69*J88+C70)</f>
        <v>1.1599999959940432</v>
      </c>
      <c r="K89" s="1562" t="str">
        <f>IF(K69="","",K88-(C68*K88^3+C69*K88^2+C70*K88+C71-K68)/(3*C68*K88^2+2*C69*K88+C70))</f>
        <v/>
      </c>
      <c r="L89" s="1562" t="str">
        <f>IF(L69="","",L88-(C68*L88^3+C69*L88^2+C70*L88+C71-L68)/(3*C68*L88^2+2*C69*L88+C70))</f>
        <v/>
      </c>
      <c r="M89" s="1562" t="str">
        <f>IF(M69="","",M88-(C68*M88^3+C69*M88^2+C70*M88+C71-M68)/(3*C68*M88^2+2*C69*M88+C70))</f>
        <v/>
      </c>
      <c r="N89" s="1562" t="str">
        <f>IF(N69="","",N88-(C68*N88^3+C69*N88^2+C70*N88+C71-N68)/(3*C68*N88^2+2*C69*N88+C70))</f>
        <v/>
      </c>
      <c r="O89" s="1562" t="str">
        <f>IF(O69="","",O88-(C68*O88^3+C69*O88^2+C70*O88+C71-O68)/(3*C68*O88^2+2*C69*O88+C70))</f>
        <v/>
      </c>
      <c r="P89" s="1562" t="str">
        <f>IF(P69="","",P88-(C68*P88^3+C69*P88^2+C70*P88+C71-P68)/(3*C68*P88^2+2*C69*P88+C70))</f>
        <v/>
      </c>
      <c r="Q89" s="1562" t="str">
        <f>IF(Q69="","",Q88-(C68*Q88^3+C69*Q88^2+C70*Q88+C71-Q68)/(3*C68*Q88^2+2*C69*Q88+C70))</f>
        <v/>
      </c>
      <c r="R89" s="1562" t="str">
        <f>IF(R69="","",R88-(C68*R88^3+C69*R88^2+C70*R88+C71-R68)/(3*C68*R88^2+2*C69*R88+C70))</f>
        <v/>
      </c>
      <c r="S89" s="1562" t="str">
        <f>IF(S69="","",S88-(C68*S88^3+C69*S88^2+C70*S88+C71-S68)/(3*C68*S88^2+2*C69*S88+C70))</f>
        <v/>
      </c>
      <c r="T89" s="1562" t="str">
        <f>IF(T69="","",T88-(C68*T88^3+C69*T88^2+C70*T88+C71-T68)/(3*C68*T88^2+2*C69*T88+C70))</f>
        <v/>
      </c>
      <c r="U89" s="1562" t="str">
        <f>IF(U69="","",U88-(C68*U88^3+C69*U88^2+C70*U88+C71-U68)/(3*C68*U88^2+2*C69*U88+C70))</f>
        <v/>
      </c>
      <c r="V89" s="1562" t="str">
        <f>IF(V69="","",V88-(C68*V88^3+C69*V88^2+C70*V88+C71-V68)/(3*C68*V88^2+2*C69*V88+C70))</f>
        <v/>
      </c>
      <c r="W89" s="1561" t="str">
        <f>IF(W69="","",W88-(C68*W88^3+C69*W88^2+C70*W88+C71-W68)/(3*C68*W88^2+2*C69*W88+C70))</f>
        <v/>
      </c>
      <c r="X89" s="1541"/>
    </row>
    <row r="90" spans="1:24" ht="16.5" hidden="1" thickBot="1">
      <c r="A90" s="1541"/>
      <c r="B90" s="1556"/>
      <c r="C90" s="1608"/>
      <c r="D90" s="1539"/>
      <c r="E90" s="1563" t="s">
        <v>3202</v>
      </c>
      <c r="F90" s="1563"/>
      <c r="G90" s="1562" t="e">
        <f>G89-(C68*G89^3+C69*G89^2+C70*G89+C71-G69)/(3*C68*G89^2+2*C69*G89+C70)</f>
        <v>#VALUE!</v>
      </c>
      <c r="H90" s="1562" t="e">
        <f>H89-(C68*H89^3+C69*H89^2+C70*H89+C71-H68)/(3*C68*H89^2+2*C69*H89+C70)</f>
        <v>#VALUE!</v>
      </c>
      <c r="I90" s="1562">
        <f>I89-(C68*I89^3+C69*I89^2+C70*I89+C71-I68)/(3*C68*I89^2+2*C69*I89+C70)</f>
        <v>1.9499999968290387</v>
      </c>
      <c r="J90" s="1562">
        <f>J89-(C68*J89^3+C69*J89^2+C70*J89+C71-J68)/(3*C68*J89^2+2*C69*J89+C70)</f>
        <v>1.1599999959940437</v>
      </c>
      <c r="K90" s="1562" t="str">
        <f>IF(K69="","",K89-(C68*K89^3+C69*K89^2+C70*K89+C71-K68)/(3*C68*K89^2+2*C69*K89+C70))</f>
        <v/>
      </c>
      <c r="L90" s="1562" t="str">
        <f>IF(L69="","",L89-(C68*L89^3+C69*L89^2+C70*L89+C71-L68)/(3*C68*L89^2+2*C69*L89+C70))</f>
        <v/>
      </c>
      <c r="M90" s="1562" t="str">
        <f>IF(M69="","",M89-(C68*M89^3+C69*M89^2+C70*M89+C71-M68)/(3*C68*M89^2+2*C69*M89+C70))</f>
        <v/>
      </c>
      <c r="N90" s="1562" t="str">
        <f>IF(N69="","",N89-(C68*N89^3+C69*N89^2+C70*N89+C71-N68)/(3*C68*N89^2+2*C69*N89+C70))</f>
        <v/>
      </c>
      <c r="O90" s="1562" t="str">
        <f>IF(O69="","",O89-(C68*O89^3+C69*O89^2+C70*O89+C71-O68)/(3*C68*O89^2+2*C69*O89+C70))</f>
        <v/>
      </c>
      <c r="P90" s="1562" t="str">
        <f>IF(P69="","",P89-(C68*P89^3+C69*P89^2+C70*P89+C71-P68)/(3*C68*P89^2+2*C69*P89+C70))</f>
        <v/>
      </c>
      <c r="Q90" s="1562" t="str">
        <f>IF(Q69="","",Q89-(C68*Q89^3+C69*Q89^2+C70*Q89+C71-Q68)/(3*C68*Q89^2+2*C69*Q89+C70))</f>
        <v/>
      </c>
      <c r="R90" s="1562" t="str">
        <f>IF(R69="","",R89-(C68*R89^3+C69*R89^2+C70*R89+C71-R68)/(3*C68*R89^2+2*C69*R89+C70))</f>
        <v/>
      </c>
      <c r="S90" s="1562" t="str">
        <f>IF(S69="","",S89-(C68*S89^3+C69*S89^2+C70*S89+C71-S68)/(3*C68*S89^2+2*C69*S89+C70))</f>
        <v/>
      </c>
      <c r="T90" s="1562" t="str">
        <f>IF(T69="","",T89-(C68*T89^3+C69*T89^2+C70*T89+C71-T68)/(3*C68*T89^2+2*C69*T89+C70))</f>
        <v/>
      </c>
      <c r="U90" s="1562" t="str">
        <f>IF(U69="","",U89-(C68*U89^3+C69*U89^2+C70*U89+C71-U68)/(3*C68*U89^2+2*C69*U89+C70))</f>
        <v/>
      </c>
      <c r="V90" s="1562" t="str">
        <f>IF(V69="","",V89-(C68*V89^3+C69*V89^2+C70*V89+C71-V68)/(3*C68*V89^2+2*C69*V89+C70))</f>
        <v/>
      </c>
      <c r="W90" s="1561" t="str">
        <f>IF(W69="","",W89-(C68*W89^3+C69*W89^2+C70*W89+C71-W68)/(3*C68*W89^2+2*C69*W89+C70))</f>
        <v/>
      </c>
      <c r="X90" s="1541"/>
    </row>
    <row r="91" spans="1:24" ht="16.5" hidden="1" customHeight="1">
      <c r="A91" s="1541"/>
      <c r="B91" s="1556"/>
      <c r="C91" s="1608"/>
      <c r="D91" s="1539"/>
      <c r="E91" s="1563" t="s">
        <v>3201</v>
      </c>
      <c r="F91" s="1563"/>
      <c r="G91" s="1562" t="e">
        <f>G90-(C68*G90^3+C69*G90^2+C70*G90+C71-G69)/(3*C68*G90^2+2*C69*G90+C70)</f>
        <v>#VALUE!</v>
      </c>
      <c r="H91" s="1562" t="e">
        <f>H90-(C68*H90^3+C69*H90^2+C70*H90+C71-H68)/(3*C68*H90^2+2*C69*H90+C70)</f>
        <v>#VALUE!</v>
      </c>
      <c r="I91" s="1562">
        <f>I90-(C68*I90^3+C69*I90^2+C70*I90+C71-I68)/(3*C68*I90^2+2*C69*I90+C70)</f>
        <v>1.9499999968290387</v>
      </c>
      <c r="J91" s="1562">
        <f>J90-(C68*J90^3+C69*J90^2+C70*J90+C71-J68)/(3*C68*J90^2+2*C69*J90+C70)</f>
        <v>1.1599999959940432</v>
      </c>
      <c r="K91" s="1562" t="str">
        <f>IF(K69="","",K90-(C68*K90^3+C69*K90^2+C70*K90+C71-K68)/(3*C68*K90^2+2*C69*K90+C70))</f>
        <v/>
      </c>
      <c r="L91" s="1562" t="str">
        <f>IF(L69="","",L90-(C68*L90^3+C69*L90^2+C70*L90+C71-L68)/(3*C68*L90^2+2*C69*L90+C70))</f>
        <v/>
      </c>
      <c r="M91" s="1562" t="str">
        <f>IF(M69="","",M90-(C68*M90^3+C69*M90^2+C70*M90+C71-M68)/(3*C68*M90^2+2*C69*M90+C70))</f>
        <v/>
      </c>
      <c r="N91" s="1562" t="str">
        <f>IF(N69="","",N90-(C68*N90^3+C69*N90^2+C70*N90+C71-N68)/(3*C68*N90^2+2*C69*N90+C70))</f>
        <v/>
      </c>
      <c r="O91" s="1562" t="str">
        <f>IF(O69="","",O90-(C68*O90^3+C69*O90^2+C70*O90+C71-O68)/(3*C68*O90^2+2*C69*O90+C70))</f>
        <v/>
      </c>
      <c r="P91" s="1562" t="str">
        <f>IF(P69="","",P90-(C68*P90^3+C69*P90^2+C70*P90+C71-P68)/(3*C68*P90^2+2*C69*P90+C70))</f>
        <v/>
      </c>
      <c r="Q91" s="1562" t="str">
        <f>IF(Q69="","",Q90-(C68*Q90^3+C69*Q90^2+C70*Q90+C71-Q68)/(3*C68*Q90^2+2*C69*Q90+C70))</f>
        <v/>
      </c>
      <c r="R91" s="1562" t="str">
        <f>IF(R69="","",R90-(C68*R90^3+C69*R90^2+C70*R90+C71-R68)/(3*C68*R90^2+2*C69*R90+C70))</f>
        <v/>
      </c>
      <c r="S91" s="1562" t="str">
        <f>IF(S69="","",S90-(C68*S90^3+C69*S90^2+C70*S90+C71-S68)/(3*C68*S90^2+2*C69*S90+C70))</f>
        <v/>
      </c>
      <c r="T91" s="1562" t="str">
        <f>IF(T69="","",T90-(C68*T90^3+C69*T90^2+C70*T90+C71-T68)/(3*C68*T90^2+2*C69*T90+C70))</f>
        <v/>
      </c>
      <c r="U91" s="1562" t="str">
        <f>IF(U69="","",U90-(C68*U90^3+C69*U90^2+C70*U90+C71-U68)/(3*C68*U90^2+2*C69*U90+C70))</f>
        <v/>
      </c>
      <c r="V91" s="1562" t="str">
        <f>IF(V69="","",V90-(C68*V90^3+C69*V90^2+C70*V90+C71-V68)/(3*C68*V90^2+2*C69*V90+C70))</f>
        <v/>
      </c>
      <c r="W91" s="1561" t="str">
        <f>IF(W69="","",W90-(C68*W90^3+C69*W90^2+C70*W90+C71-W68)/(3*C68*W90^2+2*C69*W90+C70))</f>
        <v/>
      </c>
      <c r="X91" s="1541"/>
    </row>
    <row r="92" spans="1:24" ht="16.5" thickBot="1">
      <c r="A92" s="1541"/>
      <c r="B92" s="1556" t="s">
        <v>3165</v>
      </c>
      <c r="C92" s="1607" t="str">
        <f>IF(C83=0,"",RIGHT(受変!Y43,1))</f>
        <v/>
      </c>
      <c r="D92" s="1539"/>
      <c r="E92" s="3880" t="s">
        <v>3164</v>
      </c>
      <c r="F92" s="3881"/>
      <c r="G92" s="1559" t="str">
        <f>IF(C84="","",G69)</f>
        <v/>
      </c>
      <c r="H92" s="1558" t="str">
        <f>IF(C92="","",H69)</f>
        <v/>
      </c>
      <c r="I92" s="1558" t="str">
        <f>IF(C92="","",I69)</f>
        <v/>
      </c>
      <c r="J92" s="1558" t="str">
        <f>IF(C92="","",J69)</f>
        <v/>
      </c>
      <c r="K92" s="1558" t="str">
        <f t="shared" ref="K92:W92" si="6">K69</f>
        <v/>
      </c>
      <c r="L92" s="1558" t="str">
        <f t="shared" si="6"/>
        <v/>
      </c>
      <c r="M92" s="1558" t="str">
        <f t="shared" si="6"/>
        <v/>
      </c>
      <c r="N92" s="1558" t="str">
        <f t="shared" si="6"/>
        <v/>
      </c>
      <c r="O92" s="1558" t="str">
        <f t="shared" si="6"/>
        <v/>
      </c>
      <c r="P92" s="1558" t="str">
        <f t="shared" si="6"/>
        <v/>
      </c>
      <c r="Q92" s="1558" t="str">
        <f t="shared" si="6"/>
        <v/>
      </c>
      <c r="R92" s="1558" t="str">
        <f t="shared" si="6"/>
        <v/>
      </c>
      <c r="S92" s="1558" t="str">
        <f t="shared" si="6"/>
        <v/>
      </c>
      <c r="T92" s="1558" t="str">
        <f t="shared" si="6"/>
        <v/>
      </c>
      <c r="U92" s="1558" t="str">
        <f t="shared" si="6"/>
        <v/>
      </c>
      <c r="V92" s="1558" t="str">
        <f t="shared" si="6"/>
        <v/>
      </c>
      <c r="W92" s="1557" t="str">
        <f t="shared" si="6"/>
        <v/>
      </c>
      <c r="X92" s="1541"/>
    </row>
    <row r="93" spans="1:24" ht="16.5" thickBot="1">
      <c r="A93" s="1541"/>
      <c r="B93" s="1556" t="s">
        <v>3163</v>
      </c>
      <c r="C93" s="1555" t="str">
        <f>IF(C83=0,"",受変!N43)</f>
        <v/>
      </c>
      <c r="D93" s="1539"/>
      <c r="E93" s="3880"/>
      <c r="F93" s="3881"/>
      <c r="G93" s="1554" t="s">
        <v>3162</v>
      </c>
      <c r="I93" s="1553"/>
      <c r="J93" s="1553"/>
      <c r="K93" s="1553"/>
      <c r="L93" s="1553"/>
      <c r="M93" s="1553"/>
      <c r="N93" s="1553"/>
      <c r="O93" s="1553"/>
      <c r="P93" s="1553"/>
      <c r="Q93" s="1553"/>
      <c r="R93" s="1553"/>
      <c r="S93" s="1553"/>
      <c r="T93" s="1553"/>
      <c r="U93" s="1553"/>
      <c r="V93" s="1553"/>
      <c r="W93" s="1552"/>
      <c r="X93" s="1541"/>
    </row>
    <row r="94" spans="1:24" ht="15.75" customHeight="1">
      <c r="A94" s="1541"/>
      <c r="B94" s="1551"/>
      <c r="C94" s="1550"/>
      <c r="D94" s="1539"/>
      <c r="E94" s="3886" t="s">
        <v>3161</v>
      </c>
      <c r="F94" s="3887"/>
      <c r="G94" s="1549" t="str">
        <f>IF(C84="","",G91)</f>
        <v/>
      </c>
      <c r="H94" s="1548" t="str">
        <f>IF(C92="","",IF(H91*C89&lt;3.98,3.98,H91*C89))</f>
        <v/>
      </c>
      <c r="I94" s="1548" t="str">
        <f>IF(C92="","",IF(C96=3,I91,I91*C89*(((C96-1)/C96)^0.44)))</f>
        <v/>
      </c>
      <c r="J94" s="1548" t="str">
        <f>IF(C92="","",IF(C96=3,J91,J91*C89*(((C96-2)/C96)^0.44)))</f>
        <v/>
      </c>
      <c r="K94" s="1548" t="str">
        <f>IF(K91="","",IF(K69*10/C96=1,1.3*K91*C89*(((C96-3)/C96)^0.44),K91*C89*(((C96-3)/C96)^0.44)))</f>
        <v/>
      </c>
      <c r="L94" s="1548" t="str">
        <f>IF(L91="","",IF(L69*10/C96=1,1.3*L91*C89*(((C96-4)/C96)^0.44),L91*C89*(((C96-4)/C96)^0.44)))</f>
        <v/>
      </c>
      <c r="M94" s="1548" t="str">
        <f>IF(M91="","",IF(M69*10/C96=1,1.3*M91*C89*(((C96-5)/C96)^0.44),M91*C89*(((C96-5)/C96)^0.44)))</f>
        <v/>
      </c>
      <c r="N94" s="1548" t="str">
        <f>IF(N91="","",IF(N69*10/C96=1,1.3*N91*C89*(((C96-6)/C96)^0.44),N91*C89*(((C96-6)/C96)^0.44)))</f>
        <v/>
      </c>
      <c r="O94" s="1548" t="str">
        <f>IF(O91="","",IF(O69*10/C96=1,1.3*O91*C89*(((C96-7)/C96)^0.44),O91*C89*(((C96-7)/C96)^0.44)))</f>
        <v/>
      </c>
      <c r="P94" s="1548" t="str">
        <f>IF(P91="","",IF(P69*10/C96=1,1.3*P91*C89*(((C96-8)/C96)^0.44),P91*C89*(((C96-8)/C96)^0.44)))</f>
        <v/>
      </c>
      <c r="Q94" s="1548" t="str">
        <f>IF(Q91="","",IF(Q69*10/C96=1,1.3*Q91*C89*(((C96-9)/C96)^0.44),Q91*C89*(((C96-9)/C96)^0.44)))</f>
        <v/>
      </c>
      <c r="R94" s="1548" t="str">
        <f>IF(R91="","",IF(R69*10/C96=1,1.4*R91*C89*(((C96-10)/C96)^0.44),R91*C89*(((C96-10)/C96)^0.44)))</f>
        <v/>
      </c>
      <c r="S94" s="1548" t="str">
        <f>IF(S91="","",IF(S69*10/C96=1,1.4*S91*C89*(((C96-11)/C96)^0.44),S91*C89*(((C96-11)/C96)^0.44)))</f>
        <v/>
      </c>
      <c r="T94" s="1548" t="str">
        <f>IF(T91="","",IF(T69*10/C96=1,1.4*T91*C89*(((C96-12)/C96)^0.44),T91*C89*(((C96-12)/C96)^0.44)))</f>
        <v/>
      </c>
      <c r="U94" s="1548" t="str">
        <f>IF(U91="","",IF(U69*10/C96=1,1.4*U91*C89*(((C96-13)/C96)^0.44),U91*C89*(((C96-13)/C96)^0.44)))</f>
        <v/>
      </c>
      <c r="V94" s="1548" t="str">
        <f>IF(V91="","",IF(V69*10/C96=1,1.4*V91*C89*(((C96-14)/C96)^0.4),V91*C89*(((C96-14)/C96)^0.4)))</f>
        <v/>
      </c>
      <c r="W94" s="1547" t="str">
        <f>IF(W91="","",IF(W69*10/C96=1,1.05*W91*C89*(((C96-14)/C96)^0.4),W91*C89*(((C96-14)/C96)^0.4)))</f>
        <v/>
      </c>
      <c r="X94" s="1541"/>
    </row>
    <row r="95" spans="1:24" ht="30" customHeight="1">
      <c r="A95" s="1541"/>
      <c r="B95" s="1546" t="s">
        <v>3160</v>
      </c>
      <c r="C95" s="1545">
        <f>IF(C92="",0,IF(0.33*(C85/500)^0.537&lt;0.33,0.33,0.33*(C85/500)^0.537))</f>
        <v>0</v>
      </c>
      <c r="D95" s="1539"/>
      <c r="E95" s="3878" t="s">
        <v>3159</v>
      </c>
      <c r="F95" s="3879"/>
      <c r="G95" s="1544">
        <f>IF(C84="",0,G91*C88)</f>
        <v>0</v>
      </c>
      <c r="H95" s="1543">
        <f>IF(C84="",0,H94*C88)</f>
        <v>0</v>
      </c>
      <c r="I95" s="1543">
        <f>IF(C84="",0,I94*C88)</f>
        <v>0</v>
      </c>
      <c r="J95" s="1543">
        <f>IF(C84="",0,J94*C88)</f>
        <v>0</v>
      </c>
      <c r="K95" s="1543">
        <f>IF(K91="",0,K94*C88)</f>
        <v>0</v>
      </c>
      <c r="L95" s="1543">
        <f>IF(L91="",0,L94*C88)</f>
        <v>0</v>
      </c>
      <c r="M95" s="1543">
        <f>IF(M91="",0,M94*C88)</f>
        <v>0</v>
      </c>
      <c r="N95" s="1543">
        <f>IF(N91="",0,N94*C88)</f>
        <v>0</v>
      </c>
      <c r="O95" s="1543">
        <f>IF(O91="",0,O94*C88)</f>
        <v>0</v>
      </c>
      <c r="P95" s="1543">
        <f>IF(P91="",0,P94*C88)</f>
        <v>0</v>
      </c>
      <c r="Q95" s="1543">
        <f>IF(Q91="",0,Q94*C88)</f>
        <v>0</v>
      </c>
      <c r="R95" s="1543">
        <f>IF(R91="",0,R94*C88)</f>
        <v>0</v>
      </c>
      <c r="S95" s="1543">
        <f>IF(S91="",0,S94*C88)</f>
        <v>0</v>
      </c>
      <c r="T95" s="1543">
        <f>IF(T91="",0,T94*C88)</f>
        <v>0</v>
      </c>
      <c r="U95" s="1543">
        <f>IF(U91="",0,U94*C88)</f>
        <v>0</v>
      </c>
      <c r="V95" s="1543">
        <f>IF(V91="",0,V94*C88)</f>
        <v>0</v>
      </c>
      <c r="W95" s="1542">
        <f>IF(W91="",0,W94*C88)</f>
        <v>0</v>
      </c>
      <c r="X95" s="1541"/>
    </row>
    <row r="96" spans="1:24" hidden="1">
      <c r="A96" s="1541"/>
      <c r="C96" s="1540">
        <f>INT(C95*10)</f>
        <v>0</v>
      </c>
      <c r="D96" s="1539"/>
      <c r="W96" s="1534"/>
      <c r="X96" s="1541"/>
    </row>
    <row r="97" spans="1:24" ht="7.5" customHeight="1">
      <c r="A97" s="1541"/>
      <c r="B97" s="1541"/>
      <c r="C97" s="1610"/>
      <c r="D97" s="1539"/>
      <c r="E97" s="1541"/>
      <c r="F97" s="1541"/>
      <c r="G97" s="1541"/>
      <c r="H97" s="1541"/>
      <c r="I97" s="1541"/>
      <c r="J97" s="1541"/>
      <c r="K97" s="1541"/>
      <c r="L97" s="1541"/>
      <c r="M97" s="1541"/>
      <c r="N97" s="1541"/>
      <c r="O97" s="1541"/>
      <c r="P97" s="1541"/>
      <c r="Q97" s="1541"/>
      <c r="R97" s="1541"/>
      <c r="S97" s="1541"/>
      <c r="T97" s="1541"/>
      <c r="U97" s="1541"/>
      <c r="V97" s="1541"/>
      <c r="W97" s="1538"/>
      <c r="X97" s="1541"/>
    </row>
    <row r="98" spans="1:24" ht="15" customHeight="1">
      <c r="A98" s="1538"/>
      <c r="B98" s="1605" t="s">
        <v>3200</v>
      </c>
      <c r="C98" s="1604">
        <f>IF(C116="",0,1)</f>
        <v>1</v>
      </c>
      <c r="D98" s="1536"/>
      <c r="E98" s="1584"/>
      <c r="F98" s="1578"/>
      <c r="G98" s="1578"/>
      <c r="H98" s="1578"/>
      <c r="I98" s="1578"/>
      <c r="J98" s="1578"/>
      <c r="K98" s="1578"/>
      <c r="L98" s="1578"/>
      <c r="M98" s="1578"/>
      <c r="N98" s="1578"/>
      <c r="O98" s="1578"/>
      <c r="P98" s="1578"/>
      <c r="Q98" s="1578"/>
      <c r="R98" s="1578"/>
      <c r="S98" s="1578"/>
      <c r="T98" s="1578"/>
      <c r="U98" s="1578"/>
      <c r="V98" s="1578"/>
      <c r="W98" s="1578"/>
      <c r="X98" s="1538"/>
    </row>
    <row r="99" spans="1:24" hidden="1">
      <c r="A99" s="1541"/>
      <c r="B99" s="1585"/>
      <c r="C99" s="1603"/>
      <c r="D99" s="1539"/>
      <c r="E99" s="1584"/>
      <c r="F99" s="1578"/>
      <c r="G99" s="1602" t="s">
        <v>3162</v>
      </c>
      <c r="H99" s="1602" t="s">
        <v>3198</v>
      </c>
      <c r="I99" s="1602" t="s">
        <v>3197</v>
      </c>
      <c r="J99" s="1602" t="s">
        <v>3196</v>
      </c>
      <c r="K99" s="1602" t="s">
        <v>3195</v>
      </c>
      <c r="L99" s="1602" t="s">
        <v>3194</v>
      </c>
      <c r="M99" s="1602" t="s">
        <v>3193</v>
      </c>
      <c r="N99" s="1602" t="s">
        <v>3192</v>
      </c>
      <c r="O99" s="1602" t="s">
        <v>3191</v>
      </c>
      <c r="P99" s="1602" t="s">
        <v>3190</v>
      </c>
      <c r="Q99" s="1602" t="s">
        <v>3189</v>
      </c>
      <c r="R99" s="1602" t="s">
        <v>3188</v>
      </c>
      <c r="S99" s="1602" t="s">
        <v>3187</v>
      </c>
      <c r="T99" s="1602" t="s">
        <v>3186</v>
      </c>
      <c r="U99" s="1602" t="s">
        <v>3185</v>
      </c>
      <c r="V99" s="1602" t="s">
        <v>3184</v>
      </c>
      <c r="W99" s="1601" t="s">
        <v>3183</v>
      </c>
      <c r="X99" s="1541"/>
    </row>
    <row r="100" spans="1:24" hidden="1">
      <c r="A100" s="1541"/>
      <c r="B100" s="1596" t="s">
        <v>3182</v>
      </c>
      <c r="C100" s="1595">
        <v>-2.596044E-3</v>
      </c>
      <c r="D100" s="1539"/>
      <c r="E100" s="1584"/>
      <c r="F100" s="1578"/>
      <c r="G100" s="1600"/>
      <c r="H100" s="1599">
        <f>H101</f>
        <v>0.1</v>
      </c>
      <c r="I100" s="1599">
        <f>IF(C126&lt;0.4,0.2,0.1+0.2/C127)</f>
        <v>0.14000000000000001</v>
      </c>
      <c r="J100" s="1599">
        <f>IF(C126&lt;0.4,0.3,0.1+(0.2/C127)*2)</f>
        <v>0.18</v>
      </c>
      <c r="K100" s="1599">
        <f>IF(C126&lt;0.4,"",0.1+(0.2/C127)*3)</f>
        <v>0.22</v>
      </c>
      <c r="L100" s="1599">
        <f>IF(C126&lt;0.4,"",0.1+(0.2/C127)*4)</f>
        <v>0.26</v>
      </c>
      <c r="M100" s="1599">
        <f>IF(C126&lt;0.4,"",0.1+(0.2/C127)*5)</f>
        <v>0.30000000000000004</v>
      </c>
      <c r="N100" s="1599">
        <f>IF(C126&lt;0.4,"",0.1+(0.2/C127)*6)</f>
        <v>0.33999999999999997</v>
      </c>
      <c r="O100" s="1599">
        <f>IF(C126&lt;0.4,"",0.1+(0.2/C127)*7)</f>
        <v>0.38</v>
      </c>
      <c r="P100" s="1599">
        <f>IF(C126&lt;0.4,"",0.1+(0.2/C127)*8)</f>
        <v>0.42000000000000004</v>
      </c>
      <c r="Q100" s="1599">
        <f>IF(C126&lt;0.4,"",0.1+(0.2/C127)*9)</f>
        <v>0.45999999999999996</v>
      </c>
      <c r="R100" s="1598">
        <f>IF(C126&lt;0.4,"",0.1+(0.2/C127)*10)</f>
        <v>0.5</v>
      </c>
      <c r="S100" s="1598">
        <f>IF(C126&lt;0.4,"",0.1+(0.2/C127)*11)</f>
        <v>0.54</v>
      </c>
      <c r="T100" s="1598">
        <f>IF(C126&lt;0.4,"",0.1+(0.2/C127)*12)</f>
        <v>0.57999999999999996</v>
      </c>
      <c r="U100" s="1598">
        <f>IF(C126&lt;0.4,"",0.1+(0.2/C127)*13)</f>
        <v>0.62</v>
      </c>
      <c r="V100" s="1598">
        <f>IF(C126&lt;0.4,"",0.1+(0.2/C127)*14)</f>
        <v>0.66</v>
      </c>
      <c r="W100" s="1597">
        <f>IF(C126&lt;0.4,"",0.1+(0.2/C127)*15)</f>
        <v>0.7</v>
      </c>
      <c r="X100" s="1541"/>
    </row>
    <row r="101" spans="1:24" hidden="1">
      <c r="A101" s="1541"/>
      <c r="B101" s="1596" t="s">
        <v>3176</v>
      </c>
      <c r="C101" s="1595">
        <v>4.5824813999999998E-2</v>
      </c>
      <c r="D101" s="1539"/>
      <c r="E101" s="1584"/>
      <c r="F101" s="1578"/>
      <c r="G101" s="1594">
        <f>1/C115</f>
        <v>1.6666666666666666E-2</v>
      </c>
      <c r="H101" s="1593">
        <f>IF(C126&gt;0.1,0.1,"")</f>
        <v>0.1</v>
      </c>
      <c r="I101" s="1593">
        <f>IF(C126&gt;0.2,0.2,"")</f>
        <v>0.2</v>
      </c>
      <c r="J101" s="1593">
        <f>IF(C126&gt;0.3,0.3,"")</f>
        <v>0.3</v>
      </c>
      <c r="K101" s="1593">
        <f>IF(C126&gt;0.4,0.4,"")</f>
        <v>0.4</v>
      </c>
      <c r="L101" s="1593">
        <f>IF(C126&gt;0.5,0.5,"")</f>
        <v>0.5</v>
      </c>
      <c r="M101" s="1593" t="str">
        <f>IF(C126&gt;0.6,0.6,"")</f>
        <v/>
      </c>
      <c r="N101" s="1593" t="str">
        <f>IF(C126&gt;0.7,0.7,"")</f>
        <v/>
      </c>
      <c r="O101" s="1593" t="str">
        <f>IF(C126&gt;0.8,0.8,"")</f>
        <v/>
      </c>
      <c r="P101" s="1593" t="str">
        <f>IF(C126&gt;0.9,0.9,"")</f>
        <v/>
      </c>
      <c r="Q101" s="1593" t="str">
        <f>IF(C126&gt;1,1,"")</f>
        <v/>
      </c>
      <c r="R101" s="1593" t="str">
        <f>IF(C126&gt;1.1,1.1,"")</f>
        <v/>
      </c>
      <c r="S101" s="1593" t="str">
        <f>IF(C126&gt;1.2,1.2,"")</f>
        <v/>
      </c>
      <c r="T101" s="1593" t="str">
        <f>IF(C126&gt;1.3,1.3,"")</f>
        <v/>
      </c>
      <c r="U101" s="1593" t="str">
        <f>IF(C126&gt;1.4,1.4,"")</f>
        <v/>
      </c>
      <c r="V101" s="1593" t="str">
        <f>IF(C126&gt;1.5,1.5,"")</f>
        <v/>
      </c>
      <c r="W101" s="1592" t="str">
        <f>IF(C126&gt;1.6,1.6,"")</f>
        <v/>
      </c>
      <c r="X101" s="1541"/>
    </row>
    <row r="102" spans="1:24" hidden="1">
      <c r="A102" s="1541"/>
      <c r="B102" s="1587" t="s">
        <v>3181</v>
      </c>
      <c r="C102" s="1591">
        <v>-0.24986050400000001</v>
      </c>
      <c r="D102" s="1539"/>
      <c r="E102" s="1584"/>
      <c r="F102" s="1578"/>
      <c r="G102" s="1579"/>
      <c r="H102" s="1579"/>
      <c r="I102" s="1579"/>
      <c r="J102" s="1579"/>
      <c r="K102" s="1579"/>
      <c r="L102" s="1579"/>
      <c r="M102" s="1579"/>
      <c r="N102" s="1579"/>
      <c r="O102" s="1579"/>
      <c r="P102" s="1579"/>
      <c r="Q102" s="1579"/>
      <c r="R102" s="1579"/>
      <c r="S102" s="1579"/>
      <c r="T102" s="1579"/>
      <c r="U102" s="1579"/>
      <c r="V102" s="1579"/>
      <c r="W102" s="1578"/>
      <c r="X102" s="1541"/>
    </row>
    <row r="103" spans="1:24" hidden="1">
      <c r="A103" s="1541"/>
      <c r="B103" s="1587" t="s">
        <v>3180</v>
      </c>
      <c r="C103" s="1591">
        <v>0.53222846899999998</v>
      </c>
      <c r="D103" s="1539"/>
      <c r="E103" s="1584"/>
      <c r="F103" s="1578"/>
      <c r="G103" s="1579"/>
      <c r="H103" s="1579"/>
      <c r="I103" s="1579"/>
      <c r="J103" s="1579"/>
      <c r="K103" s="1579"/>
      <c r="L103" s="1579"/>
      <c r="M103" s="1579"/>
      <c r="N103" s="1579"/>
      <c r="O103" s="1579"/>
      <c r="P103" s="1579"/>
      <c r="Q103" s="1579"/>
      <c r="R103" s="1579"/>
      <c r="S103" s="1579"/>
      <c r="T103" s="1579"/>
      <c r="U103" s="1579"/>
      <c r="V103" s="1579"/>
      <c r="W103" s="1578"/>
      <c r="X103" s="1541"/>
    </row>
    <row r="104" spans="1:24" hidden="1">
      <c r="A104" s="1541"/>
      <c r="B104" s="1589"/>
      <c r="C104" s="1588"/>
      <c r="D104" s="1539"/>
      <c r="E104" s="1584"/>
      <c r="F104" s="1578"/>
      <c r="G104" s="1579"/>
      <c r="H104" s="1579"/>
      <c r="I104" s="1579"/>
      <c r="J104" s="1579"/>
      <c r="K104" s="1579"/>
      <c r="L104" s="1579"/>
      <c r="M104" s="1579"/>
      <c r="N104" s="1579"/>
      <c r="O104" s="1579"/>
      <c r="P104" s="1579"/>
      <c r="Q104" s="1579"/>
      <c r="R104" s="1579"/>
      <c r="S104" s="1579"/>
      <c r="T104" s="1579"/>
      <c r="U104" s="1579"/>
      <c r="V104" s="1579"/>
      <c r="W104" s="1578"/>
      <c r="X104" s="1541"/>
    </row>
    <row r="105" spans="1:24" hidden="1">
      <c r="A105" s="1541"/>
      <c r="B105" s="1589"/>
      <c r="C105" s="1588"/>
      <c r="D105" s="1539"/>
      <c r="E105" s="1584"/>
      <c r="F105" s="1578"/>
      <c r="G105" s="1579"/>
      <c r="H105" s="1579"/>
      <c r="I105" s="1579"/>
      <c r="J105" s="1579"/>
      <c r="K105" s="1579"/>
      <c r="L105" s="1579"/>
      <c r="M105" s="1579"/>
      <c r="N105" s="1579"/>
      <c r="O105" s="1579"/>
      <c r="P105" s="1579"/>
      <c r="Q105" s="1579"/>
      <c r="R105" s="1579"/>
      <c r="S105" s="1579"/>
      <c r="T105" s="1579"/>
      <c r="U105" s="1579"/>
      <c r="V105" s="1579"/>
      <c r="W105" s="1578"/>
      <c r="X105" s="1541"/>
    </row>
    <row r="106" spans="1:24" hidden="1">
      <c r="A106" s="1541"/>
      <c r="B106" s="1587" t="s">
        <v>3179</v>
      </c>
      <c r="C106" s="1590">
        <f>-C101/(3*C100)</f>
        <v>5.883928777786509</v>
      </c>
      <c r="D106" s="1539"/>
      <c r="E106" s="1584"/>
      <c r="F106" s="1578"/>
      <c r="G106" s="1579"/>
      <c r="H106" s="1579"/>
      <c r="I106" s="1579"/>
      <c r="J106" s="1579"/>
      <c r="K106" s="1579"/>
      <c r="L106" s="1579"/>
      <c r="M106" s="1579"/>
      <c r="N106" s="1579"/>
      <c r="O106" s="1579"/>
      <c r="P106" s="1579"/>
      <c r="Q106" s="1579"/>
      <c r="R106" s="1579"/>
      <c r="S106" s="1579"/>
      <c r="T106" s="1579"/>
      <c r="U106" s="1579"/>
      <c r="V106" s="1579"/>
      <c r="W106" s="1578"/>
      <c r="X106" s="1541"/>
    </row>
    <row r="107" spans="1:24" hidden="1">
      <c r="A107" s="1541"/>
      <c r="B107" s="1589"/>
      <c r="C107" s="1588"/>
      <c r="D107" s="1539"/>
      <c r="E107" s="1584"/>
      <c r="F107" s="1578"/>
      <c r="G107" s="1579"/>
      <c r="H107" s="1579"/>
      <c r="I107" s="1579"/>
      <c r="J107" s="1579"/>
      <c r="K107" s="1579"/>
      <c r="L107" s="1579"/>
      <c r="M107" s="1579"/>
      <c r="N107" s="1579"/>
      <c r="O107" s="1579"/>
      <c r="P107" s="1579"/>
      <c r="Q107" s="1579"/>
      <c r="R107" s="1579"/>
      <c r="S107" s="1579"/>
      <c r="T107" s="1579"/>
      <c r="U107" s="1579"/>
      <c r="V107" s="1579"/>
      <c r="W107" s="1578"/>
      <c r="X107" s="1541"/>
    </row>
    <row r="108" spans="1:24" hidden="1">
      <c r="A108" s="1541"/>
      <c r="B108" s="1587" t="s">
        <v>3178</v>
      </c>
      <c r="C108" s="1588">
        <f>-C101/(3*C100)+0.5*SQRT(ABS((2*C101/(3*C100))^2-4*C102/(3*C100)))</f>
        <v>7.4771662344916772</v>
      </c>
      <c r="D108" s="1539"/>
      <c r="E108" s="1584"/>
      <c r="F108" s="1578"/>
      <c r="G108" s="1579"/>
      <c r="H108" s="1579"/>
      <c r="I108" s="1579"/>
      <c r="J108" s="1579"/>
      <c r="K108" s="1579"/>
      <c r="L108" s="1579"/>
      <c r="M108" s="1579"/>
      <c r="N108" s="1579"/>
      <c r="O108" s="1579"/>
      <c r="P108" s="1579"/>
      <c r="Q108" s="1579"/>
      <c r="R108" s="1579"/>
      <c r="S108" s="1579"/>
      <c r="T108" s="1579"/>
      <c r="U108" s="1579"/>
      <c r="V108" s="1579"/>
      <c r="W108" s="1578"/>
      <c r="X108" s="1541"/>
    </row>
    <row r="109" spans="1:24" hidden="1">
      <c r="A109" s="1541"/>
      <c r="B109" s="1587" t="s">
        <v>3177</v>
      </c>
      <c r="C109" s="1588">
        <f>-C101/(3*C100)-0.5*SQRT(ABS((2*C101/(3*C100))^2-4*C102/(3*C100)))</f>
        <v>4.2906913210813409</v>
      </c>
      <c r="D109" s="1539"/>
      <c r="E109" s="1584"/>
      <c r="F109" s="1578"/>
      <c r="G109" s="1579"/>
      <c r="H109" s="1579"/>
      <c r="I109" s="1579"/>
      <c r="J109" s="1579"/>
      <c r="K109" s="1579"/>
      <c r="L109" s="1579"/>
      <c r="M109" s="1579"/>
      <c r="N109" s="1579"/>
      <c r="O109" s="1579"/>
      <c r="P109" s="1579"/>
      <c r="Q109" s="1579"/>
      <c r="R109" s="1579"/>
      <c r="S109" s="1579"/>
      <c r="T109" s="1579"/>
      <c r="U109" s="1579"/>
      <c r="V109" s="1579"/>
      <c r="W109" s="1578"/>
      <c r="X109" s="1541"/>
    </row>
    <row r="110" spans="1:24" hidden="1">
      <c r="A110" s="1541"/>
      <c r="B110" s="1589"/>
      <c r="C110" s="1588"/>
      <c r="D110" s="1539"/>
      <c r="E110" s="1584"/>
      <c r="F110" s="1578"/>
      <c r="G110" s="1579"/>
      <c r="H110" s="1579"/>
      <c r="I110" s="1579"/>
      <c r="J110" s="1579"/>
      <c r="K110" s="1579"/>
      <c r="L110" s="1579"/>
      <c r="M110" s="1579"/>
      <c r="N110" s="1579"/>
      <c r="O110" s="1579"/>
      <c r="P110" s="1579"/>
      <c r="Q110" s="1579"/>
      <c r="R110" s="1579"/>
      <c r="S110" s="1579"/>
      <c r="T110" s="1579"/>
      <c r="U110" s="1579"/>
      <c r="V110" s="1579"/>
      <c r="W110" s="1578"/>
      <c r="X110" s="1541"/>
    </row>
    <row r="111" spans="1:24" ht="26.25" hidden="1" customHeight="1">
      <c r="A111" s="1541"/>
      <c r="B111" s="1587" t="s">
        <v>3176</v>
      </c>
      <c r="C111" s="1586">
        <v>0.02</v>
      </c>
      <c r="D111" s="1539"/>
      <c r="E111" s="1584"/>
      <c r="F111" s="1578"/>
      <c r="G111" s="1579"/>
      <c r="H111" s="1579"/>
      <c r="I111" s="1579"/>
      <c r="J111" s="1579"/>
      <c r="K111" s="1579"/>
      <c r="L111" s="1579"/>
      <c r="M111" s="1579"/>
      <c r="N111" s="1579"/>
      <c r="O111" s="1579"/>
      <c r="P111" s="1579"/>
      <c r="Q111" s="1579"/>
      <c r="R111" s="1579"/>
      <c r="S111" s="1579"/>
      <c r="T111" s="1579"/>
      <c r="U111" s="1579"/>
      <c r="V111" s="1579"/>
      <c r="W111" s="1578"/>
      <c r="X111" s="1541"/>
    </row>
    <row r="112" spans="1:24" ht="18.75" hidden="1" customHeight="1">
      <c r="A112" s="1541"/>
      <c r="B112" s="1585"/>
      <c r="C112" s="1582"/>
      <c r="D112" s="1539"/>
      <c r="E112" s="1584"/>
      <c r="F112" s="1578"/>
      <c r="G112" s="1579"/>
      <c r="H112" s="1579"/>
      <c r="I112" s="1579"/>
      <c r="J112" s="1579"/>
      <c r="K112" s="1579"/>
      <c r="L112" s="1579"/>
      <c r="M112" s="1579"/>
      <c r="N112" s="1579"/>
      <c r="O112" s="1579"/>
      <c r="P112" s="1579"/>
      <c r="Q112" s="1579"/>
      <c r="R112" s="1579"/>
      <c r="S112" s="1579"/>
      <c r="T112" s="1579"/>
      <c r="U112" s="1579"/>
      <c r="V112" s="1579"/>
      <c r="W112" s="1578"/>
      <c r="X112" s="1541"/>
    </row>
    <row r="113" spans="1:24" ht="18.75" hidden="1" customHeight="1">
      <c r="A113" s="1541"/>
      <c r="B113" s="1583"/>
      <c r="C113" s="1582"/>
      <c r="D113" s="1539"/>
      <c r="E113" s="1581" t="s">
        <v>3175</v>
      </c>
      <c r="F113" s="1580"/>
      <c r="G113" s="1579">
        <f>C111-(C100*C111^3+C101*C111^2+C102*C111+C103-G101)/(3*C100*C111^2+2*C101*C111+C102)</f>
        <v>2.0785478020138504</v>
      </c>
      <c r="H113" s="1579">
        <f>C111-(C100*C111^3+C101*C111^2+C102*C111+C103-H100)/(3*C100*C111^2+2*C101*C111+C102)</f>
        <v>1.7425677883982482</v>
      </c>
      <c r="I113" s="1579">
        <f>C111-(C100*C111^3+C101*C111^2+C102*C111+C103-I100)/(3*C100*C111^2+2*C101*C111+C102)</f>
        <v>1.5812973818627589</v>
      </c>
      <c r="J113" s="1579">
        <f>C111-(C100*C111^3+C101*C111^2+C102*C111+C103-J100)/(3*C100*C111^2+2*C101*C111+C102)</f>
        <v>1.4200269753272698</v>
      </c>
      <c r="K113" s="1579">
        <f>IF(K101="","",C111-(C100*C111^3+C101*C111^2+C102*C111+C103-K100)/(3*C100*C111^2+2*C101*C111+C102))</f>
        <v>1.2587565687917808</v>
      </c>
      <c r="L113" s="1579">
        <f>IF(L101="","",C111-(C100*C111^3+C101*C111^2+C102*C111+C103-L100)/(3*C100*C111^2+2*C101*C111+C102))</f>
        <v>1.0974861622562915</v>
      </c>
      <c r="M113" s="1579" t="str">
        <f>IF(M101="","",C111-(C100*C111^3+C101*C111^2+C102*C111+C103-M100)/(3*C100*C111^2+2*C101*C111+C102))</f>
        <v/>
      </c>
      <c r="N113" s="1579" t="str">
        <f>IF(N101="","",C111-(C100*C111^3+C101*C111^2+C102*C111+C103-N100)/(3*C100*C111^2+2*C101*C111+C102))</f>
        <v/>
      </c>
      <c r="O113" s="1579" t="str">
        <f>IF(O101="","",C111-(C100*C111^3+C101*C111^2+C102*C111+C103-O100)/(3*C100*C111^2+2*C101*C111+C102))</f>
        <v/>
      </c>
      <c r="P113" s="1579" t="str">
        <f>IF(P101="","",C111-(C100*C111^3+C101*C111^2+C102*C111+C103-P100)/(3*C100*C111^2+2*C101*C111+C102))</f>
        <v/>
      </c>
      <c r="Q113" s="1579" t="str">
        <f>IF(Q101="","",C111-(C100*C111^3+C101*C111^2+C102*C111+C103-Q100)/(3*C100*C111^2+2*C101*C111+C102))</f>
        <v/>
      </c>
      <c r="R113" s="1579" t="str">
        <f>IF(R101="","",C111-(C100*C111^3+C101*C111^2+C102*C111+C103-R100)/(3*C100*C111^2+2*C101*C111+C102))</f>
        <v/>
      </c>
      <c r="S113" s="1579" t="str">
        <f>IF(S101="","",C111-(C100*C111^3+C101*C111^2+C102*C111+C103-S100)/(3*C100*C111^2+2*C101*C111+C102))</f>
        <v/>
      </c>
      <c r="T113" s="1579" t="str">
        <f>IF(T101="","",C111-(C100*C111^3+C101*C111^2+C102*C111+C103-T100)/(3*C100*C111^2+2*C101*C111+C102))</f>
        <v/>
      </c>
      <c r="U113" s="1579" t="str">
        <f>IF(U101="","",C111-(C100*C111^3+C101*C111^2+C102*C111+C103-U100)/(3*C100*C111^2+2*C101*C111+C102))</f>
        <v/>
      </c>
      <c r="V113" s="1579" t="str">
        <f>IF(V101="","",C111-(C100*C111^3+C101*C111^2+C102*C111+C103-V100)/(3*C100*C111^2+2*C101*C111+C102))</f>
        <v/>
      </c>
      <c r="W113" s="1578" t="str">
        <f>IF(W101="","",C111-(C100*C111^3+C101*C111^2+C102*C111+C103-W100)/(3*C100*C111^2+2*C101*C111+C102))</f>
        <v/>
      </c>
      <c r="X113" s="1541"/>
    </row>
    <row r="114" spans="1:24" ht="18" hidden="1" customHeight="1">
      <c r="A114" s="1541"/>
      <c r="B114" s="1583"/>
      <c r="C114" s="1582"/>
      <c r="D114" s="1539"/>
      <c r="E114" s="1581" t="s">
        <v>3174</v>
      </c>
      <c r="F114" s="1580"/>
      <c r="G114" s="1579">
        <f>G113-(C100*G113^3+C101*G113^2+C102*G113+C103-G101)/(3*C100*G113^2+2*C101*G113+C102)</f>
        <v>3.9157913736391317</v>
      </c>
      <c r="H114" s="1579">
        <f>H113-(C100*H113^3+C101*H113^2+C102*H113+C103-H100)/(3*C100*H113^2+2*C101*H113+C102)</f>
        <v>2.8167140925903533</v>
      </c>
      <c r="I114" s="1579">
        <f>I113-(C100*I113^3+C101*I113^2+C102*I113+C103-I100)/(3*C100*I113^2+2*C101*I113+C102)</f>
        <v>2.3967088361043114</v>
      </c>
      <c r="J114" s="1579">
        <f>J113-(C100*J113^3+C101*J113^2+C102*J113+C103-J100)/(3*C100*J113^2+2*C101*J113+C102)</f>
        <v>2.0284359606568318</v>
      </c>
      <c r="K114" s="1579">
        <f>IF(K101="","",K113-(C100*K113^3+C101*K113^2+C102*K113+C103-K100)/(3*C100*K113^2+2*C101*K113+C102))</f>
        <v>1.7024160148946941</v>
      </c>
      <c r="L114" s="1579">
        <f>IF(L101="","",L113-(C100*L113^3+C101*L113^2+C102*L113+C103-L100)/(3*C100*L113^2+2*C101*L113+C102))</f>
        <v>1.4112021122979748</v>
      </c>
      <c r="M114" s="1579" t="str">
        <f>IF(M101="","",M113-(C100*M113^3+C101*M113^2+C102*M113+C103-M100)/(3*C100*M113^2+2*C101*M113+C102))</f>
        <v/>
      </c>
      <c r="N114" s="1579" t="str">
        <f>IF(N101="","",N113-(C100*N113^3+C101*N113^2+C102*N113+C103-N100)/(3*C100*N113^2+2*C101*N113+C102))</f>
        <v/>
      </c>
      <c r="O114" s="1579" t="str">
        <f>IF(O101="","",O113-(C100*O113^3+C101*O113^2+C102*O113+C103-O100)/(3*C100*O113^2+2*C101*O113+C102))</f>
        <v/>
      </c>
      <c r="P114" s="1579" t="str">
        <f>IF(P101="","",P113-(C100*P113^3+C101*P113^2+C102*P113+C103-P100)/(3*C100*P113^2+2*C101*P113+C102))</f>
        <v/>
      </c>
      <c r="Q114" s="1579" t="str">
        <f>IF(Q101="","",Q113-(C100*Q113^3+C101*Q113^2+C102*Q113+C103-Q100)/(3*C100*Q113^2+2*C101*Q113+C102))</f>
        <v/>
      </c>
      <c r="R114" s="1579" t="str">
        <f>IF(R101="","",R113-(C100*R113^3+C101*R113^2+C102*R113+C103-R100)/(3*C100*R113^2+2*C101*R113+C102))</f>
        <v/>
      </c>
      <c r="S114" s="1579" t="str">
        <f>IF(S101="","",S113-(C100*S113^3+C101*S113^2+C102*S113+C103-S100)/(3*C100*S113^2+2*C101*S113+C102))</f>
        <v/>
      </c>
      <c r="T114" s="1579" t="str">
        <f>IF(T101="","",T113-(C100*T113^3+C101*T113^2+C102*T113+C103-T100)/(3*C100*T113^2+2*C101*T113+C102))</f>
        <v/>
      </c>
      <c r="U114" s="1579" t="str">
        <f>IF(U101="","",U113-(C100*U113^3+C101*U113^2+C102*U113+C103-U100)/(3*C100*U113^2+2*C101*U113+C102))</f>
        <v/>
      </c>
      <c r="V114" s="1579" t="str">
        <f>IF(V101="","",V113-(C100*V113^3+C101*V113^2+C102*V113+C103-V100)/(3*C100*V113^2+2*C101*V113+C102))</f>
        <v/>
      </c>
      <c r="W114" s="1578" t="str">
        <f>IF(W101="","",W113-(C100*W113^3+C101*W113^2+C102*W113+C103-W100)/(3*C100*W113^2+2*C101*W113+C102))</f>
        <v/>
      </c>
      <c r="X114" s="1541"/>
    </row>
    <row r="115" spans="1:24" ht="15.75">
      <c r="A115" s="1541"/>
      <c r="B115" s="1556" t="s">
        <v>3173</v>
      </c>
      <c r="C115" s="1577">
        <f>IF(C98=0,"",VALUE(LEFT(受変!$AS$59,2)))</f>
        <v>60</v>
      </c>
      <c r="D115" s="1539"/>
      <c r="E115" s="1572" t="s">
        <v>3172</v>
      </c>
      <c r="F115" s="1576"/>
      <c r="G115" s="1567">
        <f>G114-(C100*G114^3+C101*G114^2+C102*G114+C103-G101)/(3*C100*G114^2+2*C101*G114+C102)</f>
        <v>11.988044282510309</v>
      </c>
      <c r="H115" s="1567">
        <f>H114-(C100*H114^3+C101*H114^2+C102*H114+C103-H100)/(3*C100*H114^2+2*C101*H114+C102)</f>
        <v>3.45216240933736</v>
      </c>
      <c r="I115" s="1567">
        <f>I114-(C100*I114^3+C101*I114^2+C102*I114+C103-I100)/(3*C100*I114^2+2*C101*I114+C102)</f>
        <v>2.6752369667234039</v>
      </c>
      <c r="J115" s="1567">
        <f>J114-(C100*J114^3+C101*J114^2+C102*J114+C103-J100)/(3*C100*J114^2+2*C101*J114+C102)</f>
        <v>2.1563964545923424</v>
      </c>
      <c r="K115" s="1567">
        <f>IF(K101="","",K114-(C100*K114^3+C101*K114^2+C102*K114+C103-K100)/(3*C100*K114^2+2*C101*K114+C102))</f>
        <v>1.7613777972070113</v>
      </c>
      <c r="L115" s="1567">
        <f>IF(L101="","",L114-(C100*L114^3+C101*L114^2+C102*L114+C103-L100)/(3*C100*L114^2+2*C101*L114+C102))</f>
        <v>1.4375822656739154</v>
      </c>
      <c r="M115" s="1567" t="str">
        <f>IF(M101="","",M114-(C100*M114^3+C101*M114^2+C102*M114+C103-M100)/(3*C100*M114^2+2*C101*M114+C102))</f>
        <v/>
      </c>
      <c r="N115" s="1567" t="str">
        <f>IF(N101="","",N114-(C100*N114^3+C101*N114^2+C102*N114+C103-N100)/(3*C100*N114^2+2*C101*N114+C102))</f>
        <v/>
      </c>
      <c r="O115" s="1567" t="str">
        <f>IF(O101="","",O114-(C100*O114^3+C101*O114^2+C102*O114+C103-O100)/(3*C100*O114^2+2*C101*O114+C102))</f>
        <v/>
      </c>
      <c r="P115" s="1567" t="str">
        <f>IF(P101="","",P114-(C100*P114^3+C101*P114^2+C102*P114+C103-P100)/(3*C100*P114^2+2*C101*P114+C102))</f>
        <v/>
      </c>
      <c r="Q115" s="1567" t="str">
        <f>IF(Q101="","",Q114-(C100*Q114^3+C101*Q114^2+C102*Q114+C103-Q100)/(3*C100*Q114^2+2*C101*Q114+C102))</f>
        <v/>
      </c>
      <c r="R115" s="1567" t="str">
        <f>IF(R101="","",R114-(C100*R114^3+C101*R114^2+C102*R114+C103-R100)/(3*C100*R114^2+2*C101*R114+C102))</f>
        <v/>
      </c>
      <c r="S115" s="1567" t="str">
        <f>IF(S101="","",S114-(C100*S114^3+C101*S114^2+C102*S114+C103-S100)/(3*C100*S114^2+2*C101*S114+C102))</f>
        <v/>
      </c>
      <c r="T115" s="1567" t="str">
        <f>IF(T101="","",T114-(C100*T114^3+C101*T114^2+C102*T114+C103-T100)/(3*C100*T114^2+2*C101*T114+C102))</f>
        <v/>
      </c>
      <c r="U115" s="1567" t="str">
        <f>IF(U101="","",U114-(C100*U114^3+C101*U114^2+C102*U114+C103-U100)/(3*C100*U114^2+2*C101*U114+C102))</f>
        <v/>
      </c>
      <c r="V115" s="1567" t="str">
        <f>IF(V101="","",V114-(C100*V114^3+C101*V114^2+C102*V114+C103-V100)/(3*C100*V114^2+2*C101*V114+C102))</f>
        <v/>
      </c>
      <c r="W115" s="1566" t="str">
        <f>IF(W101="","",W114-(C100*W114^3+C101*W114^2+C102*W114+C103-W100)/(3*C100*W114^2+2*C101*W114+C102))</f>
        <v/>
      </c>
      <c r="X115" s="1541"/>
    </row>
    <row r="116" spans="1:24" ht="15.75">
      <c r="A116" s="1541"/>
      <c r="B116" s="1556" t="s">
        <v>3171</v>
      </c>
      <c r="C116" s="1575" t="str">
        <f>IF(B1=0,"",LEFT(受変!Y45,4))</f>
        <v>1500</v>
      </c>
      <c r="D116" s="1539"/>
      <c r="E116" s="1569"/>
      <c r="F116" s="1568"/>
      <c r="G116" s="1567">
        <f>G115-(C100*G115^3+C101*G115^2+C102*G115+C103-G101)/(3*C100*G115^2+2*C101*G115+C102)</f>
        <v>10.631939826708088</v>
      </c>
      <c r="H116" s="1567">
        <f>H115-(C100*H115^3+C101*H115^2+C102*H115+C103-H100)/(3*C100*H115^2+2*C101*H115+C102)</f>
        <v>3.7937820784242344</v>
      </c>
      <c r="I116" s="1567">
        <f>I115-(C100*I115^3+C101*I115^2+C102*I115+C103-I100)/(3*C100*I115^2+2*C101*I115+C102)</f>
        <v>2.7091829024371492</v>
      </c>
      <c r="J116" s="1567">
        <f>J115-(C100*J115^3+C101*J115^2+C102*J115+C103-J100)/(3*C100*J115^2+2*C101*J115+C102)</f>
        <v>2.1618940329895304</v>
      </c>
      <c r="K116" s="1567">
        <f>IF(K101="","",K115-(C100*K115^3+C101*K115^2+C102*K115+C103-K100)/(3*C100*K115^2+2*C101*K115+C102))</f>
        <v>1.7623786028370005</v>
      </c>
      <c r="L116" s="1567">
        <f>IF(L101="","",L115-(C100*L115^3+C101*L115^2+C102*L115+C103-L100)/(3*C100*L115^2+2*C101*L115+C102))</f>
        <v>1.4377625454174352</v>
      </c>
      <c r="M116" s="1567" t="str">
        <f>IF(M101="","",M115-(C100*M115^3+C101*M115^2+C102*M115+C103-M100)/(3*C100*M115^2+2*C101*M115+C102))</f>
        <v/>
      </c>
      <c r="N116" s="1567" t="str">
        <f>IF(N101="","",N115-(C100*N115^3+C101*N115^2+C102*N115+C103-N100)/(3*C100*N115^2+2*C101*N115+C102))</f>
        <v/>
      </c>
      <c r="O116" s="1567" t="str">
        <f>IF(O101="","",O115-(C100*O115^3+C101*O115^2+C102*O115+C103-O100)/(3*C100*O115^2+2*C101*O115+C102))</f>
        <v/>
      </c>
      <c r="P116" s="1567" t="str">
        <f>IF(P101="","",P115-(C100*P115^3+C101*P115^2+C102*P115+C103-P100)/(3*C100*P115^2+2*C101*P115+C102))</f>
        <v/>
      </c>
      <c r="Q116" s="1567" t="str">
        <f>IF(Q101="","",Q115-(C100*Q115^3+C101*Q115^2+C102*Q115+C103-Q100)/(3*C100*Q115^2+2*C101*Q115+C102))</f>
        <v/>
      </c>
      <c r="R116" s="1567" t="str">
        <f>IF(R101="","",R115-(C100*R115^3+C101*R115^2+C102*R115+C103-R100)/(3*C100*R115^2+2*C101*R115+C102))</f>
        <v/>
      </c>
      <c r="S116" s="1567" t="str">
        <f>IF(S101="","",S115-(C100*S115^3+C101*S115^2+C102*S115+C103-S100)/(3*C100*S115^2+2*C101*S115+C102))</f>
        <v/>
      </c>
      <c r="T116" s="1567" t="str">
        <f>IF(T101="","",T115-(C100*T115^3+C101*T115^2+C102*T115+C103-T100)/(3*C100*T115^2+2*C101*T115+C102))</f>
        <v/>
      </c>
      <c r="U116" s="1567" t="str">
        <f>IF(U101="","",U115-(C100*U115^3+C101*U115^2+C102*U115+C103-U100)/(3*C100*U115^2+2*C101*U115+C102))</f>
        <v/>
      </c>
      <c r="V116" s="1567" t="str">
        <f>IF(V101="","",V115-(C100*V115^3+C101*V115^2+C102*V115+C103-V100)/(3*C100*V115^2+2*C101*V115+C102))</f>
        <v/>
      </c>
      <c r="W116" s="1566" t="str">
        <f>IF(W101="","",W115-(C100*W115^3+C101*W115^2+C102*W115+C103-W100)/(3*C100*W115^2+2*C101*W115+C102))</f>
        <v/>
      </c>
      <c r="X116" s="1541"/>
    </row>
    <row r="117" spans="1:24" ht="15.75">
      <c r="A117" s="1541"/>
      <c r="B117" s="1556" t="s">
        <v>3170</v>
      </c>
      <c r="C117" s="1574" t="str">
        <f>IF(C98=0,"",LEFT(受変!$AG$59,4))</f>
        <v>6600</v>
      </c>
      <c r="D117" s="1539"/>
      <c r="E117" s="1569"/>
      <c r="F117" s="1568"/>
      <c r="G117" s="1567">
        <f>G116-(C100*G116^3+C101*G116^2+C102*G116+C103-G101)/(3*C100*G116^2+2*C101*G116+C102)</f>
        <v>10.112360731763767</v>
      </c>
      <c r="H117" s="1567">
        <f>H116-(C100*H116^3+C101*H116^2+C102*H116+C103-H100)/(3*C100*H116^2+2*C101*H116+C102)</f>
        <v>3.9415754837935113</v>
      </c>
      <c r="I117" s="1567">
        <f>I116-(C100*I116^3+C101*I116^2+C102*I116+C103-I100)/(3*C100*I116^2+2*C101*I116+C102)</f>
        <v>2.7096715132918678</v>
      </c>
      <c r="J117" s="1567">
        <f>J116-(C100*J116^3+C101*J116^2+C102*J116+C103-J100)/(3*C100*J116^2+2*C101*J116+C102)</f>
        <v>2.1619039845434891</v>
      </c>
      <c r="K117" s="1567">
        <f>IF(K101="","",K116-(C100*K116^3+C101*K116^2+C102*K116+C103-K100)/(3*C100*K116^2+2*C101*K116+C102))</f>
        <v>1.7623788885957155</v>
      </c>
      <c r="L117" s="1567">
        <f>IF(L101="","",L116-(C100*L116^3+C101*L116^2+C102*L116+C103-L100)/(3*C100*L116^2+2*C101*L116+C102))</f>
        <v>1.4377625538044287</v>
      </c>
      <c r="M117" s="1567" t="str">
        <f>IF(M101="","",M116-(C100*M116^3+C101*M116^2+C102*M116+C103-M100)/(3*C100*M116^2+2*C101*M116+C102))</f>
        <v/>
      </c>
      <c r="N117" s="1567" t="str">
        <f>IF(N101="","",N116-(C100*N116^3+C101*N116^2+C102*N116+C103-N100)/(3*C100*N116^2+2*C101*N116+C102))</f>
        <v/>
      </c>
      <c r="O117" s="1567" t="str">
        <f>IF(O101="","",O116-(C100*O116^3+C101*O116^2+C102*O116+C103-O100)/(3*C100*O116^2+2*C101*O116+C102))</f>
        <v/>
      </c>
      <c r="P117" s="1567" t="str">
        <f>IF(P101="","",P116-(C100*P116^3+C101*P116^2+C102*P116+C103-P100)/(3*C100*P116^2+2*C101*P116+C102))</f>
        <v/>
      </c>
      <c r="Q117" s="1567" t="str">
        <f>IF(Q101="","",Q116-(C100*Q116^3+C101*Q116^2+C102*Q116+C103-Q100)/(3*C100*Q116^2+2*C101*Q116+C102))</f>
        <v/>
      </c>
      <c r="R117" s="1567" t="str">
        <f>IF(R101="","",R116-(C100*R116^3+C101*R116^2+C102*R116+C103-R100)/(3*C100*R116^2+2*C101*R116+C102))</f>
        <v/>
      </c>
      <c r="S117" s="1567" t="str">
        <f>IF(S101="","",S116-(C100*S116^3+C101*S116^2+C102*S116+C103-S100)/(3*C100*S116^2+2*C101*S116+C102))</f>
        <v/>
      </c>
      <c r="T117" s="1567" t="str">
        <f>IF(T101="","",T116-(C100*T116^3+C101*T116^2+C102*T116+C103-T100)/(3*C100*T116^2+2*C101*T116+C102))</f>
        <v/>
      </c>
      <c r="U117" s="1567" t="str">
        <f>IF(U101="","",U116-(C100*U116^3+C101*U116^2+C102*U116+C103-U100)/(3*C100*U116^2+2*C101*U116+C102))</f>
        <v/>
      </c>
      <c r="V117" s="1567" t="str">
        <f>IF(V101="","",V116-(C100*V116^3+C101*V116^2+C102*V116+C103-V100)/(3*C100*V116^2+2*C101*V116+C102))</f>
        <v/>
      </c>
      <c r="W117" s="1566" t="str">
        <f>IF(W101="","",W116-(C100*W116^3+C101*W116^2+C102*W116+C103-W100)/(3*C100*W116^2+2*C101*W116+C102))</f>
        <v/>
      </c>
      <c r="X117" s="1541"/>
    </row>
    <row r="118" spans="1:24" ht="15.75" hidden="1">
      <c r="A118" s="1541"/>
      <c r="B118" s="1556"/>
      <c r="C118" s="1573"/>
      <c r="D118" s="1539"/>
      <c r="E118" s="1572"/>
      <c r="F118" s="1571"/>
      <c r="G118" s="1567">
        <f>G117-(C100*G117^3+C101*G117^2+C102*G117+C103-G101)/(3*C100*G117^2+2*C101*G117+C102)</f>
        <v>10.031856826961036</v>
      </c>
      <c r="H118" s="1567">
        <f>H117-(C100*H117^3+C101*H117^2+C102*H117+C103-H100)/(3*C100*H117^2+2*C101*H117+C102)</f>
        <v>3.9776912237081969</v>
      </c>
      <c r="I118" s="1567">
        <f>I117-(C100*I117^3+C101*I117^2+C102*I117+C103-I100)/(3*C100*I117^2+2*C101*I117+C102)</f>
        <v>2.7096716138426316</v>
      </c>
      <c r="J118" s="1567">
        <f>J117-(C100*J117^3+C101*J117^2+C102*J117+C103-J100)/(3*C100*J117^2+2*C101*J117+C102)</f>
        <v>2.1619039845760666</v>
      </c>
      <c r="K118" s="1567">
        <f>IF(K101="","",K117-(C100*K117^3+C101*K117^2+C102*K117+C103-K100)/(3*C100*K117^2+2*C101*K117+C102))</f>
        <v>1.762378888595739</v>
      </c>
      <c r="L118" s="1567">
        <f>IF(L101="","",L117-(C100*L117^3+C101*L117^2+C102*L117+C103-L100)/(3*C100*L117^2+2*C101*L117+C102))</f>
        <v>1.4377625538044287</v>
      </c>
      <c r="M118" s="1567" t="str">
        <f>IF(M101="","",M117-(C100*M117^3+C101*M117^2+C102*M117+C103-M100)/(3*C100*M117^2+2*C101*M117+C102))</f>
        <v/>
      </c>
      <c r="N118" s="1567" t="str">
        <f>IF(N101="","",N117-(C100*N117^3+C101*N117^2+C102*N117+C103-N100)/(3*C100*N117^2+2*C101*N117+C102))</f>
        <v/>
      </c>
      <c r="O118" s="1567" t="str">
        <f>IF(O101="","",O117-(C100*O117^3+C101*O117^2+C102*O117+C103-O100)/(3*C100*O117^2+2*C101*O117+C102))</f>
        <v/>
      </c>
      <c r="P118" s="1567" t="str">
        <f>IF(P101="","",P117-(C100*P117^3+C101*P117^2+C102*P117+C103-P100)/(3*C100*P117^2+2*C101*P117+C102))</f>
        <v/>
      </c>
      <c r="Q118" s="1567" t="str">
        <f>IF(Q101="","",Q117-(C100*Q117^3+C101*Q117^2+C102*Q117+C103-Q100)/(3*C100*Q117^2+2*C101*Q117+C102))</f>
        <v/>
      </c>
      <c r="R118" s="1567" t="str">
        <f>IF(R101="","",R117-(C100*R117^3+C101*R117^2+C102*R117+C103-R100)/(3*C100*R117^2+2*C101*R117+C102))</f>
        <v/>
      </c>
      <c r="S118" s="1567" t="str">
        <f>IF(S101="","",S117-(C100*S117^3+C101*S117^2+C102*S117+C103-S100)/(3*C100*S117^2+2*C101*S117+C102))</f>
        <v/>
      </c>
      <c r="T118" s="1567" t="str">
        <f>IF(T101="","",T117-(C100*T117^3+C101*T117^2+C102*T117+C103-T100)/(3*C100*T117^2+2*C101*T117+C102))</f>
        <v/>
      </c>
      <c r="U118" s="1567" t="str">
        <f>IF(U101="","",U117-(C100*U117^3+C101*U117^2+C102*U117+C103-U100)/(3*C100*U117^2+2*C101*U117+C102))</f>
        <v/>
      </c>
      <c r="V118" s="1567" t="str">
        <f>IF(V101="","",V117-(C100*V117^3+C101*V117^2+C102*V117+C103-V100)/(3*C100*V117^2+2*C101*V117+C102))</f>
        <v/>
      </c>
      <c r="W118" s="1566" t="str">
        <f>IF(W101="","",W117-(C100*W117^3+C101*W117^2+C102*W117+C103-W100)/(3*C100*W117^2+2*C101*W117+C102))</f>
        <v/>
      </c>
      <c r="X118" s="1541"/>
    </row>
    <row r="119" spans="1:24" ht="16.5" thickBot="1">
      <c r="A119" s="1541"/>
      <c r="B119" s="1556" t="s">
        <v>3169</v>
      </c>
      <c r="C119" s="1570">
        <f>IF(C98=0,"",IF(C98=0,"",C123*1000*C116/C117/SQRT(3)))</f>
        <v>262.43194054073899</v>
      </c>
      <c r="D119" s="1539"/>
      <c r="E119" s="1569"/>
      <c r="F119" s="1568"/>
      <c r="G119" s="1567">
        <f>G118-(C100*G118^3+C101*G118^2+C102*G118+C103-G101)/(3*C100*G118^2+2*C101*G118+C102)</f>
        <v>10.030000262879774</v>
      </c>
      <c r="H119" s="1567">
        <f>H118-(C100*H118^3+C101*H118^2+C102*H118+C103-H100)/(3*C100*H118^2+2*C101*H118+C102)</f>
        <v>3.9799898786638499</v>
      </c>
      <c r="I119" s="1567">
        <f>I118-(C100*I118^3+C101*I118^2+C102*I118+C103-I100)/(3*C100*I118^2+2*C101*I118+C102)</f>
        <v>2.7096716138426364</v>
      </c>
      <c r="J119" s="1567">
        <f>J118-(C100*J118^3+C101*J118^2+C102*J118+C103-J100)/(3*C100*J118^2+2*C101*J118+C102)</f>
        <v>2.1619039845760661</v>
      </c>
      <c r="K119" s="1567">
        <f>IF(K101="","",K118-(C100*K118^3+C101*K118^2+C102*K118+C103-K100)/(3*C100*K118^2+2*C101*K118+C102))</f>
        <v>1.7623788885957388</v>
      </c>
      <c r="L119" s="1567">
        <f>IF(L101="","",L118-(C100*L118^3+C101*L118^2+C102*L118+C103-L100)/(3*C100*L118^2+2*C101*L118+C102))</f>
        <v>1.4377625538044287</v>
      </c>
      <c r="M119" s="1567" t="str">
        <f>IF(M101="","",M118-(C100*M118^3+C101*M118^2+C102*M118+C103-M100)/(3*C100*M118^2+2*C101*M118+C102))</f>
        <v/>
      </c>
      <c r="N119" s="1567" t="str">
        <f>IF(N101="","",N118-(C100*N118^3+C101*N118^2+C102*N118+C103-N100)/(3*C100*N118^2+2*C101*N118+C102))</f>
        <v/>
      </c>
      <c r="O119" s="1567" t="str">
        <f>IF(O101="","",O118-(C100*O118^3+C101*O118^2+C102*O118+C103-O100)/(3*C100*O118^2+2*C101*O118+C102))</f>
        <v/>
      </c>
      <c r="P119" s="1567" t="str">
        <f>IF(P101="","",P118-(C100*P118^3+C101*P118^2+C102*P118+C103-P100)/(3*C100*P118^2+2*C101*P118+C102))</f>
        <v/>
      </c>
      <c r="Q119" s="1567" t="str">
        <f>IF(Q101="","",Q118-(C100*Q118^3+C101*Q118^2+C102*Q118+C103-Q100)/(3*C100*Q118^2+2*C101*Q118+C102))</f>
        <v/>
      </c>
      <c r="R119" s="1567" t="str">
        <f>IF(R101="","",R118-(C100*R118^3+C101*R118^2+C102*R118+C103-R100)/(3*C100*R118^2+2*C101*R118+C102))</f>
        <v/>
      </c>
      <c r="S119" s="1567" t="str">
        <f>IF(S101="","",S118-(C100*S118^3+C101*S118^2+C102*S118+C103-S100)/(3*C100*S118^2+2*C101*S118+C102))</f>
        <v/>
      </c>
      <c r="T119" s="1567" t="str">
        <f>IF(T101="","",T118-(C100*T118^3+C101*T118^2+C102*T118+C103-T100)/(3*C100*T118^2+2*C101*T118+C102))</f>
        <v/>
      </c>
      <c r="U119" s="1567" t="str">
        <f>IF(U101="","",U118-(C100*U118^3+C101*U118^2+C102*U118+C103-U100)/(3*C100*U118^2+2*C101*U118+C102))</f>
        <v/>
      </c>
      <c r="V119" s="1567" t="str">
        <f>IF(V101="","",V118-(C100*V118^3+C101*V118^2+C102*V118+C103-V100)/(3*C100*V118^2+2*C101*V118+C102))</f>
        <v/>
      </c>
      <c r="W119" s="1566" t="str">
        <f>IF(W101="","",W118-(C100*W118^3+C101*W118^2+C102*W118+C103-W100)/(3*C100*W118^2+2*C101*W118+C102))</f>
        <v/>
      </c>
      <c r="X119" s="1541"/>
    </row>
    <row r="120" spans="1:24" ht="16.5" hidden="1" thickBot="1">
      <c r="A120" s="1541"/>
      <c r="B120" s="1556"/>
      <c r="C120" s="1609">
        <f>(C116/500)^0.232</f>
        <v>1.2903042599264669</v>
      </c>
      <c r="D120" s="1539"/>
      <c r="E120" s="1563" t="s">
        <v>3168</v>
      </c>
      <c r="F120" s="1563"/>
      <c r="G120" s="1562">
        <f>G119-(C100*G119^3+C101*G119^2+C102*G119+C103-G101)/(3*C100*G119^2+2*C101*G119+C102)</f>
        <v>10.029999287207151</v>
      </c>
      <c r="H120" s="1562">
        <f>H119-(C100*H119^3+C101*H119^2+C102*H119+C103-H100)/(3*C100*H119^2+2*C101*H119+C102)</f>
        <v>3.9799991445975582</v>
      </c>
      <c r="I120" s="1562">
        <f>I119-(C100*I119^3+C101*I119^2+C102*I119+C103-I100)/(3*C100*I119^2+2*C101*I119+C102)</f>
        <v>2.7096716138426364</v>
      </c>
      <c r="J120" s="1562">
        <f>J119-(C100*J119^3+C101*J119^2+C102*J119+C103-J100)/(3*C100*J119^2+2*C101*J119+C102)</f>
        <v>2.1619039845760657</v>
      </c>
      <c r="K120" s="1562">
        <f>IF(K101="","",K119-(C100*K119^3+C101*K119^2+C102*K119+C103-K100)/(3*C100*K119^2+2*C101*K119+C102))</f>
        <v>1.7623788885957385</v>
      </c>
      <c r="L120" s="1562">
        <f>IF(L101="","",L119-(C100*L119^3+C101*L119^2+C102*L119+C103-L100)/(3*C100*L119^2+2*C101*L119+C102))</f>
        <v>1.4377625538044287</v>
      </c>
      <c r="M120" s="1562" t="str">
        <f>IF(M101="","",M119-(C100*M119^3+C101*M119^2+C102*M119+C103-M100)/(3*C100*M119^2+2*C101*M119+C102))</f>
        <v/>
      </c>
      <c r="N120" s="1562" t="str">
        <f>IF(N101="","",N119-(C100*N119^3+C101*N119^2+C102*N119+C103-N100)/(3*C100*N119^2+2*C101*N119+C102))</f>
        <v/>
      </c>
      <c r="O120" s="1562" t="str">
        <f>IF(O101="","",O119-(C100*O119^3+C101*O119^2+C102*O119+C103-O100)/(3*C100*O119^2+2*C101*O119+C102))</f>
        <v/>
      </c>
      <c r="P120" s="1562" t="str">
        <f>IF(P101="","",P119-(C100*P119^3+C101*P119^2+C102*P119+C103-P100)/(3*C100*P119^2+2*C101*P119+C102))</f>
        <v/>
      </c>
      <c r="Q120" s="1562" t="str">
        <f>IF(Q101="","",Q119-(C100*Q119^3+C101*Q119^2+C102*Q119+C103-Q100)/(3*C100*Q119^2+2*C101*Q119+C102))</f>
        <v/>
      </c>
      <c r="R120" s="1562" t="str">
        <f>IF(R101="","",R119-(C100*R119^3+C101*R119^2+C102*R119+C103-R100)/(3*C100*R119^2+2*C101*R119+C102))</f>
        <v/>
      </c>
      <c r="S120" s="1562" t="str">
        <f>IF(S101="","",S119-(C100*S119^3+C101*S119^2+C102*S119+C103-S100)/(3*C100*S119^2+2*C101*S119+C102))</f>
        <v/>
      </c>
      <c r="T120" s="1562" t="str">
        <f>IF(T101="","",T119-(C100*T119^3+C101*T119^2+C102*T119+C103-T100)/(3*C100*T119^2+2*C101*T119+C102))</f>
        <v/>
      </c>
      <c r="U120" s="1562" t="str">
        <f>IF(U101="","",U119-(C100*U119^3+C101*U119^2+C102*U119+C103-U100)/(3*C100*U119^2+2*C101*U119+C102))</f>
        <v/>
      </c>
      <c r="V120" s="1562" t="str">
        <f>IF(V101="","",V119-(C100*V119^3+C101*V119^2+C102*V119+C103-V100)/(3*C100*V119^2+2*C101*V119+C102))</f>
        <v/>
      </c>
      <c r="W120" s="1561" t="str">
        <f>IF(W101="","",W119-(C100*W119^3+C101*W119^2+C102*W119+C103-W100)/(3*C100*W119^2+2*C101*W119+C102))</f>
        <v/>
      </c>
      <c r="X120" s="1541"/>
    </row>
    <row r="121" spans="1:24" ht="16.5" hidden="1" thickBot="1">
      <c r="A121" s="1541"/>
      <c r="B121" s="1556"/>
      <c r="C121" s="1608"/>
      <c r="D121" s="1539"/>
      <c r="E121" s="1563" t="s">
        <v>3167</v>
      </c>
      <c r="F121" s="1563"/>
      <c r="G121" s="1562">
        <f>G120-(C100*G120^3+C101*G120^2+C102*G120+C103-G101)/(3*C100*G120^2+2*C101*G120+C102)</f>
        <v>10.029999287206884</v>
      </c>
      <c r="H121" s="1562">
        <f>H120-(C100*H120^3+C101*H120^2+C102*H120+C103-H100)/(3*C100*H120^2+2*C101*H120+C102)</f>
        <v>3.9799991447479877</v>
      </c>
      <c r="I121" s="1562">
        <f>I120-(C100*I120^3+C101*I120^2+C102*I120+C103-I100)/(3*C100*I120^2+2*C101*I120+C102)</f>
        <v>2.7096716138426364</v>
      </c>
      <c r="J121" s="1562">
        <f>J120-(C100*J120^3+C101*J120^2+C102*J120+C103-J100)/(3*C100*J120^2+2*C101*J120+C102)</f>
        <v>2.1619039845760661</v>
      </c>
      <c r="K121" s="1562">
        <f>IF(K101="","",K120-(C100*K120^3+C101*K120^2+C102*K120+C103-K100)/(3*C100*K120^2+2*C101*K120+C102))</f>
        <v>1.7623788885957383</v>
      </c>
      <c r="L121" s="1562">
        <f>IF(L101="","",L120-(C100*L120^3+C101*L120^2+C102*L120+C103-L100)/(3*C100*L120^2+2*C101*L120+C102))</f>
        <v>1.4377625538044287</v>
      </c>
      <c r="M121" s="1562" t="str">
        <f>IF(M101="","",M120-(C100*M120^3+C101*M120^2+C102*M120+C103-M100)/(3*C100*M120^2+2*C101*M120+C102))</f>
        <v/>
      </c>
      <c r="N121" s="1562" t="str">
        <f>IF(N101="","",N120-(C100*N120^3+C101*N120^2+C102*N120+C103-N100)/(3*C100*N120^2+2*C101*N120+C102))</f>
        <v/>
      </c>
      <c r="O121" s="1562" t="str">
        <f>IF(O101="","",O120-(C100*O120^3+C101*O120^2+C102*O120+C103-O100)/(3*C100*O120^2+2*C101*O120+C102))</f>
        <v/>
      </c>
      <c r="P121" s="1562" t="str">
        <f>IF(P101="","",P120-(C100*P120^3+C101*P120^2+C102*P120+C103-P100)/(3*C100*P120^2+2*C101*P120+C102))</f>
        <v/>
      </c>
      <c r="Q121" s="1562" t="str">
        <f>IF(Q101="","",Q120-(C100*Q120^3+C101*Q120^2+C102*Q120+C103-Q100)/(3*C100*Q120^2+2*C101*Q120+C102))</f>
        <v/>
      </c>
      <c r="R121" s="1562" t="str">
        <f>IF(R101="","",R120-(C100*R120^3+C101*R120^2+C102*R120+C103-R100)/(3*C100*R120^2+2*C101*R120+C102))</f>
        <v/>
      </c>
      <c r="S121" s="1562" t="str">
        <f>IF(S101="","",S120-(C100*S120^3+C101*S120^2+C102*S120+C103-S100)/(3*C100*S120^2+2*C101*S120+C102))</f>
        <v/>
      </c>
      <c r="T121" s="1562" t="str">
        <f>IF(T101="","",T120-(C100*T120^3+C101*T120^2+C102*T120+C103-T100)/(3*C100*T120^2+2*C101*T120+C102))</f>
        <v/>
      </c>
      <c r="U121" s="1562" t="str">
        <f>IF(U101="","",U120-(C100*U120^3+C101*U120^2+C102*U120+C103-U100)/(3*C100*U120^2+2*C101*U120+C102))</f>
        <v/>
      </c>
      <c r="V121" s="1562" t="str">
        <f>IF(V101="","",V120-(C100*V120^3+C101*V120^2+C102*V120+C103-V100)/(3*C100*V120^2+2*C101*V120+C102))</f>
        <v/>
      </c>
      <c r="W121" s="1561" t="str">
        <f>IF(W101="","",W120-(C100*W120^3+C101*W120^2+C102*W120+C103-W100)/(3*C100*W120^2+2*C101*W120+C102))</f>
        <v/>
      </c>
      <c r="X121" s="1541"/>
    </row>
    <row r="122" spans="1:24" ht="16.5" hidden="1" customHeight="1">
      <c r="A122" s="1541"/>
      <c r="B122" s="1556"/>
      <c r="C122" s="1608"/>
      <c r="D122" s="1539"/>
      <c r="E122" s="1563" t="s">
        <v>3166</v>
      </c>
      <c r="F122" s="1563"/>
      <c r="G122" s="1562">
        <f>G121-(C100*G121^3+C101*G121^2+C102*G121+C103-G101)/(3*C100*G121^2+2*C101*G121+C102)</f>
        <v>10.029999287206882</v>
      </c>
      <c r="H122" s="1562">
        <f>H121-(C100*H121^3+C101*H121^2+C102*H121+C103-H100)/(3*C100*H121^2+2*C101*H121+C102)</f>
        <v>3.9799991447479846</v>
      </c>
      <c r="I122" s="1562">
        <f>I121-(C100*I121^3+C101*I121^2+C102*I121+C103-I100)/(3*C100*I121^2+2*C101*I121+C102)</f>
        <v>2.7096716138426364</v>
      </c>
      <c r="J122" s="1562">
        <f>J121-(C100*J121^3+C101*J121^2+C102*J121+C103-J100)/(3*C100*J121^2+2*C101*J121+C102)</f>
        <v>2.1619039845760657</v>
      </c>
      <c r="K122" s="1562">
        <f>IF(K101="","",K121-(C100*K121^3+C101*K121^2+C102*K121+C103-K100)/(3*C100*K121^2+2*C101*K121+C102))</f>
        <v>1.7623788885957385</v>
      </c>
      <c r="L122" s="1562">
        <f>IF(L101="","",L121-(C100*L121^3+C101*L121^2+C102*L121+C103-L100)/(3*C100*L121^2+2*C101*L121+C102))</f>
        <v>1.4377625538044287</v>
      </c>
      <c r="M122" s="1562" t="str">
        <f>IF(M101="","",M121-(C100*M121^3+C101*M121^2+C102*M121+C103-M100)/(3*C100*M121^2+2*C101*M121+C102))</f>
        <v/>
      </c>
      <c r="N122" s="1562" t="str">
        <f>IF(N101="","",N121-(C100*N121^3+C101*N121^2+C102*N121+C103-N100)/(3*C100*N121^2+2*C101*N121+C102))</f>
        <v/>
      </c>
      <c r="O122" s="1562" t="str">
        <f>IF(O101="","",O121-(C100*O121^3+C101*O121^2+C102*O121+C103-O100)/(3*C100*O121^2+2*C101*O121+C102))</f>
        <v/>
      </c>
      <c r="P122" s="1562" t="str">
        <f>IF(P101="","",P121-(C100*P121^3+C101*P121^2+C102*P121+C103-P100)/(3*C100*P121^2+2*C101*P121+C102))</f>
        <v/>
      </c>
      <c r="Q122" s="1562" t="str">
        <f>IF(Q101="","",Q121-(C100*Q121^3+C101*Q121^2+C102*Q121+C103-Q100)/(3*C100*Q121^2+2*C101*Q121+C102))</f>
        <v/>
      </c>
      <c r="R122" s="1562" t="str">
        <f>IF(R101="","",R121-(C100*R121^3+C101*R121^2+C102*R121+C103-R100)/(3*C100*R121^2+2*C101*R121+C102))</f>
        <v/>
      </c>
      <c r="S122" s="1562" t="str">
        <f>IF(S101="","",S121-(C100*S121^3+C101*S121^2+C102*S121+C103-S100)/(3*C100*S121^2+2*C101*S121+C102))</f>
        <v/>
      </c>
      <c r="T122" s="1562" t="str">
        <f>IF(T101="","",T121-(C100*T121^3+C101*T121^2+C102*T121+C103-T100)/(3*C100*T121^2+2*C101*T121+C102))</f>
        <v/>
      </c>
      <c r="U122" s="1562" t="str">
        <f>IF(U101="","",U121-(C100*U121^3+C101*U121^2+C102*U121+C103-U100)/(3*C100*U121^2+2*C101*U121+C102))</f>
        <v/>
      </c>
      <c r="V122" s="1562" t="str">
        <f>IF(V101="","",V121-(C100*V121^3+C101*V121^2+C102*V121+C103-V100)/(3*C100*V121^2+2*C101*V121+C102))</f>
        <v/>
      </c>
      <c r="W122" s="1561" t="str">
        <f>IF(W101="","",W121-(C100*W121^3+C101*W121^2+C102*W121+C103-W100)/(3*C100*W121^2+2*C101*W121+C102))</f>
        <v/>
      </c>
      <c r="X122" s="1541"/>
    </row>
    <row r="123" spans="1:24" ht="16.5" thickBot="1">
      <c r="A123" s="1541"/>
      <c r="B123" s="1556" t="s">
        <v>3165</v>
      </c>
      <c r="C123" s="1607" t="str">
        <f>IF(C98=0,"",RIGHT(受変!Y45,1))</f>
        <v>2</v>
      </c>
      <c r="D123" s="1539"/>
      <c r="E123" s="3880" t="s">
        <v>3164</v>
      </c>
      <c r="F123" s="3881"/>
      <c r="G123" s="1559">
        <f>IF(C115="","",G101)</f>
        <v>1.6666666666666666E-2</v>
      </c>
      <c r="H123" s="1558">
        <f>IF(C123="","",H101)</f>
        <v>0.1</v>
      </c>
      <c r="I123" s="1558">
        <f>IF(C123="","",I101)</f>
        <v>0.2</v>
      </c>
      <c r="J123" s="1558">
        <f>IF(C123="","",J101)</f>
        <v>0.3</v>
      </c>
      <c r="K123" s="1558">
        <f t="shared" ref="K123:W123" si="7">K101</f>
        <v>0.4</v>
      </c>
      <c r="L123" s="1558">
        <f t="shared" si="7"/>
        <v>0.5</v>
      </c>
      <c r="M123" s="1558" t="str">
        <f t="shared" si="7"/>
        <v/>
      </c>
      <c r="N123" s="1558" t="str">
        <f t="shared" si="7"/>
        <v/>
      </c>
      <c r="O123" s="1558" t="str">
        <f t="shared" si="7"/>
        <v/>
      </c>
      <c r="P123" s="1558" t="str">
        <f t="shared" si="7"/>
        <v/>
      </c>
      <c r="Q123" s="1558" t="str">
        <f t="shared" si="7"/>
        <v/>
      </c>
      <c r="R123" s="1558" t="str">
        <f t="shared" si="7"/>
        <v/>
      </c>
      <c r="S123" s="1558" t="str">
        <f t="shared" si="7"/>
        <v/>
      </c>
      <c r="T123" s="1558" t="str">
        <f t="shared" si="7"/>
        <v/>
      </c>
      <c r="U123" s="1558" t="str">
        <f t="shared" si="7"/>
        <v/>
      </c>
      <c r="V123" s="1558" t="str">
        <f t="shared" si="7"/>
        <v/>
      </c>
      <c r="W123" s="1557" t="str">
        <f t="shared" si="7"/>
        <v/>
      </c>
      <c r="X123" s="1541"/>
    </row>
    <row r="124" spans="1:24" ht="16.5" thickBot="1">
      <c r="A124" s="1541"/>
      <c r="B124" s="1556" t="s">
        <v>3163</v>
      </c>
      <c r="C124" s="1555" t="str">
        <f>IF(C98=0,"",受変!N45)</f>
        <v>3φ3W   210V</v>
      </c>
      <c r="D124" s="1539"/>
      <c r="E124" s="3880"/>
      <c r="F124" s="3881"/>
      <c r="G124" s="1554" t="s">
        <v>3162</v>
      </c>
      <c r="I124" s="1553"/>
      <c r="J124" s="1553"/>
      <c r="K124" s="1553"/>
      <c r="L124" s="1553"/>
      <c r="M124" s="1553"/>
      <c r="N124" s="1553"/>
      <c r="O124" s="1553"/>
      <c r="P124" s="1553"/>
      <c r="Q124" s="1553"/>
      <c r="R124" s="1553"/>
      <c r="S124" s="1553"/>
      <c r="T124" s="1553"/>
      <c r="U124" s="1553"/>
      <c r="V124" s="1553"/>
      <c r="W124" s="1552"/>
      <c r="X124" s="1541"/>
    </row>
    <row r="125" spans="1:24" ht="16.5" customHeight="1">
      <c r="A125" s="1541"/>
      <c r="B125" s="1551"/>
      <c r="C125" s="1550"/>
      <c r="D125" s="1539"/>
      <c r="E125" s="3886" t="s">
        <v>3161</v>
      </c>
      <c r="F125" s="3887"/>
      <c r="G125" s="1549">
        <f>IF(C115="","",G122)</f>
        <v>10.029999287206882</v>
      </c>
      <c r="H125" s="1548">
        <f>IF(C123="","",IF(H122*C120&lt;3.98,3.98,H122*C120))</f>
        <v>5.1354098509720192</v>
      </c>
      <c r="I125" s="1548">
        <f>IF(C123="","",IF(C127=3,I122,I122*C120*(((C127-1)/C127)^0.44)))</f>
        <v>3.1693367543399735</v>
      </c>
      <c r="J125" s="1548">
        <f>IF(C123="","",IF(C127=3,J122,J122*C120*(((C127-2)/C127)^0.44)))</f>
        <v>2.2279994702160102</v>
      </c>
      <c r="K125" s="1548">
        <f>IF(K122="","",IF(K101*10/C127=1,1.3*K122*C120*(((C127-3)/C127)^0.44),K122*C120*(((C127-3)/C127)^0.44)))</f>
        <v>1.519489869868482</v>
      </c>
      <c r="L125" s="1548">
        <f>IF(L122="","",IF(L101*10/C127=1,1.3*L122*C120*(((C127-4)/C127)^0.44),L122*C120*(((C127-4)/C127)^0.44)))</f>
        <v>1.1878889701508986</v>
      </c>
      <c r="M125" s="1548" t="str">
        <f>IF(M122="","",IF(M101*10/C127=1,1.3*M122*C120*(((C127-5)/C127)^0.44),M122*C120*(((C127-5)/C127)^0.44)))</f>
        <v/>
      </c>
      <c r="N125" s="1548" t="str">
        <f>IF(N122="","",IF(N101*10/C127=1,1.3*N122*C120*(((C127-6)/C127)^0.44),N122*C120*(((C127-6)/C127)^0.44)))</f>
        <v/>
      </c>
      <c r="O125" s="1548" t="str">
        <f>IF(O122="","",IF(O101*10/C127=1,1.3*O122*C120*(((C127-7)/C127)^0.44),O122*C120*(((C127-7)/C127)^0.44)))</f>
        <v/>
      </c>
      <c r="P125" s="1548" t="str">
        <f>IF(P122="","",IF(P101*10/C127=1,1.3*P122*C120*(((C127-8)/C127)^0.44),P122*C120*(((C127-8)/C127)^0.44)))</f>
        <v/>
      </c>
      <c r="Q125" s="1548" t="str">
        <f>IF(Q122="","",IF(Q101*10/C127=1,1.3*Q122*C120*(((C127-9)/C127)^0.44),Q122*C120*(((C127-9)/C127)^0.44)))</f>
        <v/>
      </c>
      <c r="R125" s="1548" t="str">
        <f>IF(R122="","",IF(R101*10/C127=1,1.4*R122*C120*(((C127-10)/C127)^0.44),R122*C120*(((C127-10)/C127)^0.44)))</f>
        <v/>
      </c>
      <c r="S125" s="1548" t="str">
        <f>IF(S122="","",IF(S101*10/C127=1,1.4*S122*C120*(((C127-11)/C127)^0.44),S122*C120*(((C127-11)/C127)^0.44)))</f>
        <v/>
      </c>
      <c r="T125" s="1548" t="str">
        <f>IF(T122="","",IF(T101*10/C127=1,1.4*T122*C120*(((C127-12)/C127)^0.44),T122*C120*(((C127-12)/C127)^0.44)))</f>
        <v/>
      </c>
      <c r="U125" s="1548" t="str">
        <f>IF(U122="","",IF(U101*10/C127=1,1.4*U122*C120*(((C127-13)/C127)^0.44),U122*C120*(((C127-13)/C127)^0.44)))</f>
        <v/>
      </c>
      <c r="V125" s="1548" t="str">
        <f>IF(V122="","",IF(V101*10/C127=1,1.4*V122*C120*(((C127-14)/C127)^0.4),V122*C120*(((C127-14)/C127)^0.4)))</f>
        <v/>
      </c>
      <c r="W125" s="1547" t="str">
        <f>IF(W122="","",IF(W101*10/C127=1,1.05*W122*C120*(((C127-14)/C127)^0.4),W122*C120*(((C127-14)/C127)^0.4)))</f>
        <v/>
      </c>
      <c r="X125" s="1541"/>
    </row>
    <row r="126" spans="1:24" ht="30" customHeight="1">
      <c r="A126" s="1541"/>
      <c r="B126" s="1546" t="s">
        <v>3160</v>
      </c>
      <c r="C126" s="1545">
        <f>IF(C123="",0,IF(0.33*(C116/500)^0.537&lt;0.33,0.33,0.33*(C116/500)^0.537))</f>
        <v>0.59528926881171307</v>
      </c>
      <c r="D126" s="1539"/>
      <c r="E126" s="3878" t="s">
        <v>3159</v>
      </c>
      <c r="F126" s="3879"/>
      <c r="G126" s="1544">
        <f>IF(C115="",0,G122*C119)</f>
        <v>2632.1921765639308</v>
      </c>
      <c r="H126" s="1543">
        <f>IF(C115="",0,H125*C119)</f>
        <v>1347.6955726626143</v>
      </c>
      <c r="I126" s="1543">
        <f>IF(C115="",0,I125*C119)</f>
        <v>831.73519466852667</v>
      </c>
      <c r="J126" s="1543">
        <f>IF(C115="",0,J125*C119)</f>
        <v>584.69822449252592</v>
      </c>
      <c r="K126" s="1543">
        <f>IF(K122="",0,K125*C119)</f>
        <v>398.76267518158068</v>
      </c>
      <c r="L126" s="1543">
        <f>IF(L122="",0,L125*C119)</f>
        <v>311.74000758364031</v>
      </c>
      <c r="M126" s="1543">
        <f>IF(M122="",0,M125*C119)</f>
        <v>0</v>
      </c>
      <c r="N126" s="1543">
        <f>IF(N122="",0,N125*C119)</f>
        <v>0</v>
      </c>
      <c r="O126" s="1543">
        <f>IF(O122="",0,O125*C119)</f>
        <v>0</v>
      </c>
      <c r="P126" s="1543">
        <f>IF(P122="",0,P125*C119)</f>
        <v>0</v>
      </c>
      <c r="Q126" s="1543">
        <f>IF(Q122="",0,Q125*C119)</f>
        <v>0</v>
      </c>
      <c r="R126" s="1543">
        <f>IF(R122="",0,R125*C119)</f>
        <v>0</v>
      </c>
      <c r="S126" s="1543">
        <f>IF(S122="",0,S125*C119)</f>
        <v>0</v>
      </c>
      <c r="T126" s="1543">
        <f>IF(T122="",0,T125*C119)</f>
        <v>0</v>
      </c>
      <c r="U126" s="1543">
        <f>IF(U122="",0,U125*C119)</f>
        <v>0</v>
      </c>
      <c r="V126" s="1543">
        <f>IF(V122="",0,V125*C119)</f>
        <v>0</v>
      </c>
      <c r="W126" s="1542">
        <f>IF(W122="",0,W125*C119)</f>
        <v>0</v>
      </c>
      <c r="X126" s="1541"/>
    </row>
    <row r="127" spans="1:24" hidden="1">
      <c r="A127" s="1541"/>
      <c r="C127" s="1540">
        <f>INT(C126*10)</f>
        <v>5</v>
      </c>
      <c r="D127" s="1539"/>
      <c r="W127" s="1534"/>
      <c r="X127" s="1541"/>
    </row>
    <row r="128" spans="1:24" ht="7.5" customHeight="1">
      <c r="A128" s="1541"/>
      <c r="B128" s="1541"/>
      <c r="C128" s="1606"/>
      <c r="D128" s="1539"/>
      <c r="E128" s="1541"/>
      <c r="F128" s="1541"/>
      <c r="G128" s="1541"/>
      <c r="H128" s="1541"/>
      <c r="I128" s="1541"/>
      <c r="J128" s="1541"/>
      <c r="K128" s="1541"/>
      <c r="L128" s="1541"/>
      <c r="M128" s="1541"/>
      <c r="N128" s="1541"/>
      <c r="O128" s="1541"/>
      <c r="P128" s="1541"/>
      <c r="Q128" s="1541"/>
      <c r="R128" s="1541"/>
      <c r="S128" s="1541"/>
      <c r="T128" s="1541"/>
      <c r="U128" s="1541"/>
      <c r="V128" s="1541"/>
      <c r="W128" s="1538"/>
      <c r="X128" s="1541"/>
    </row>
    <row r="129" spans="1:24" ht="15" customHeight="1">
      <c r="A129" s="1538"/>
      <c r="B129" s="1605" t="s">
        <v>3199</v>
      </c>
      <c r="C129" s="1604">
        <f>IF(C147="",0,1)</f>
        <v>1</v>
      </c>
      <c r="D129" s="1536"/>
      <c r="E129" s="1584"/>
      <c r="F129" s="1578"/>
      <c r="G129" s="1578"/>
      <c r="H129" s="1578"/>
      <c r="I129" s="1578"/>
      <c r="J129" s="1578"/>
      <c r="K129" s="1578"/>
      <c r="L129" s="1578"/>
      <c r="M129" s="1578"/>
      <c r="N129" s="1578"/>
      <c r="O129" s="1578"/>
      <c r="P129" s="1578"/>
      <c r="Q129" s="1578"/>
      <c r="R129" s="1578"/>
      <c r="S129" s="1578"/>
      <c r="T129" s="1578"/>
      <c r="U129" s="1578"/>
      <c r="V129" s="1578"/>
      <c r="W129" s="1578"/>
      <c r="X129" s="1538"/>
    </row>
    <row r="130" spans="1:24" hidden="1">
      <c r="A130" s="1541"/>
      <c r="B130" s="1585"/>
      <c r="C130" s="1603"/>
      <c r="D130" s="1539"/>
      <c r="E130" s="1584"/>
      <c r="F130" s="1578"/>
      <c r="G130" s="1602" t="s">
        <v>3162</v>
      </c>
      <c r="H130" s="1602" t="s">
        <v>3198</v>
      </c>
      <c r="I130" s="1602" t="s">
        <v>3197</v>
      </c>
      <c r="J130" s="1602" t="s">
        <v>3196</v>
      </c>
      <c r="K130" s="1602" t="s">
        <v>3195</v>
      </c>
      <c r="L130" s="1602" t="s">
        <v>3194</v>
      </c>
      <c r="M130" s="1602" t="s">
        <v>3193</v>
      </c>
      <c r="N130" s="1602" t="s">
        <v>3192</v>
      </c>
      <c r="O130" s="1602" t="s">
        <v>3191</v>
      </c>
      <c r="P130" s="1602" t="s">
        <v>3190</v>
      </c>
      <c r="Q130" s="1602" t="s">
        <v>3189</v>
      </c>
      <c r="R130" s="1602" t="s">
        <v>3188</v>
      </c>
      <c r="S130" s="1602" t="s">
        <v>3187</v>
      </c>
      <c r="T130" s="1602" t="s">
        <v>3186</v>
      </c>
      <c r="U130" s="1602" t="s">
        <v>3185</v>
      </c>
      <c r="V130" s="1602" t="s">
        <v>3184</v>
      </c>
      <c r="W130" s="1601" t="s">
        <v>3183</v>
      </c>
      <c r="X130" s="1541"/>
    </row>
    <row r="131" spans="1:24" hidden="1">
      <c r="A131" s="1541"/>
      <c r="B131" s="1596" t="s">
        <v>3182</v>
      </c>
      <c r="C131" s="1595">
        <v>-2.596044E-3</v>
      </c>
      <c r="D131" s="1539"/>
      <c r="E131" s="1584"/>
      <c r="F131" s="1578"/>
      <c r="G131" s="1600"/>
      <c r="H131" s="1599">
        <f>H132</f>
        <v>0.1</v>
      </c>
      <c r="I131" s="1599">
        <f>IF(C157&lt;0.4,0.2,0.1+0.2/C158)</f>
        <v>0.2</v>
      </c>
      <c r="J131" s="1599">
        <f>IF(C157&lt;0.4,0.3,0.1+(0.2/C158)*2)</f>
        <v>0.3</v>
      </c>
      <c r="K131" s="1599" t="str">
        <f>IF(C157&lt;0.4,"",0.1+(0.2/C158)*3)</f>
        <v/>
      </c>
      <c r="L131" s="1599" t="str">
        <f>IF(C157&lt;0.4,"",0.1+(0.2/C158)*4)</f>
        <v/>
      </c>
      <c r="M131" s="1599" t="str">
        <f>IF(C157&lt;0.4,"",0.1+(0.2/C158)*5)</f>
        <v/>
      </c>
      <c r="N131" s="1599" t="str">
        <f>IF(C157&lt;0.4,"",0.1+(0.2/C158)*6)</f>
        <v/>
      </c>
      <c r="O131" s="1599" t="str">
        <f>IF(C157&lt;0.4,"",0.1+(0.2/C158)*7)</f>
        <v/>
      </c>
      <c r="P131" s="1599" t="str">
        <f>IF(C157&lt;0.4,"",0.1+(0.2/C158)*8)</f>
        <v/>
      </c>
      <c r="Q131" s="1599" t="str">
        <f>IF(C157&lt;0.4,"",0.1+(0.2/C158)*9)</f>
        <v/>
      </c>
      <c r="R131" s="1598" t="str">
        <f>IF(C157&lt;0.4,"",0.1+(0.2/C158)*10)</f>
        <v/>
      </c>
      <c r="S131" s="1598" t="str">
        <f>IF(C157&lt;0.4,"",0.1+(0.2/C158)*11)</f>
        <v/>
      </c>
      <c r="T131" s="1598" t="str">
        <f>IF(C157&lt;0.4,"",0.1+(0.2/C158)*12)</f>
        <v/>
      </c>
      <c r="U131" s="1598" t="str">
        <f>IF(C157&lt;0.4,"",0.1+(0.2/C158)*13)</f>
        <v/>
      </c>
      <c r="V131" s="1598" t="str">
        <f>IF(C157&lt;0.4,"",0.1+(0.2/C158)*14)</f>
        <v/>
      </c>
      <c r="W131" s="1597" t="str">
        <f>IF(C157&lt;0.4,"",0.1+(0.2/C158)*15)</f>
        <v/>
      </c>
      <c r="X131" s="1541"/>
    </row>
    <row r="132" spans="1:24" hidden="1">
      <c r="A132" s="1541"/>
      <c r="B132" s="1596" t="s">
        <v>3176</v>
      </c>
      <c r="C132" s="1595">
        <v>4.5824813999999998E-2</v>
      </c>
      <c r="D132" s="1539"/>
      <c r="E132" s="1584"/>
      <c r="F132" s="1578"/>
      <c r="G132" s="1594">
        <f>1/C146</f>
        <v>1.6666666666666666E-2</v>
      </c>
      <c r="H132" s="1593">
        <f>IF(C157&gt;0.1,0.1,"")</f>
        <v>0.1</v>
      </c>
      <c r="I132" s="1593">
        <f>IF(C157&gt;0.2,0.2,"")</f>
        <v>0.2</v>
      </c>
      <c r="J132" s="1593">
        <f>IF(C157&gt;0.3,0.3,"")</f>
        <v>0.3</v>
      </c>
      <c r="K132" s="1593" t="str">
        <f>IF(C157&gt;0.4,0.4,"")</f>
        <v/>
      </c>
      <c r="L132" s="1593" t="str">
        <f>IF(C157&gt;0.5,0.5,"")</f>
        <v/>
      </c>
      <c r="M132" s="1593" t="str">
        <f>IF(C157&gt;0.6,0.6,"")</f>
        <v/>
      </c>
      <c r="N132" s="1593" t="str">
        <f>IF(C157&gt;0.7,0.7,"")</f>
        <v/>
      </c>
      <c r="O132" s="1593" t="str">
        <f>IF(C157&gt;0.8,0.8,"")</f>
        <v/>
      </c>
      <c r="P132" s="1593" t="str">
        <f>IF(C157&gt;0.9,0.9,"")</f>
        <v/>
      </c>
      <c r="Q132" s="1593" t="str">
        <f>IF(C157&gt;1,1,"")</f>
        <v/>
      </c>
      <c r="R132" s="1593" t="str">
        <f>IF(C157&gt;1.1,1.1,"")</f>
        <v/>
      </c>
      <c r="S132" s="1593" t="str">
        <f>IF(C157&gt;1.2,1.2,"")</f>
        <v/>
      </c>
      <c r="T132" s="1593" t="str">
        <f>IF(C157&gt;1.3,1.3,"")</f>
        <v/>
      </c>
      <c r="U132" s="1593" t="str">
        <f>IF(C157&gt;1.4,1.4,"")</f>
        <v/>
      </c>
      <c r="V132" s="1593" t="str">
        <f>IF(C157&gt;1.5,1.5,"")</f>
        <v/>
      </c>
      <c r="W132" s="1592" t="str">
        <f>IF(C157&gt;1.6,1.6,"")</f>
        <v/>
      </c>
      <c r="X132" s="1541"/>
    </row>
    <row r="133" spans="1:24" hidden="1">
      <c r="A133" s="1541"/>
      <c r="B133" s="1587" t="s">
        <v>3181</v>
      </c>
      <c r="C133" s="1591">
        <v>-0.24986050400000001</v>
      </c>
      <c r="D133" s="1539"/>
      <c r="E133" s="1584"/>
      <c r="F133" s="1578"/>
      <c r="G133" s="1579"/>
      <c r="H133" s="1579"/>
      <c r="I133" s="1579"/>
      <c r="J133" s="1579"/>
      <c r="K133" s="1579"/>
      <c r="L133" s="1579"/>
      <c r="M133" s="1579"/>
      <c r="N133" s="1579"/>
      <c r="O133" s="1579"/>
      <c r="P133" s="1579"/>
      <c r="Q133" s="1579"/>
      <c r="R133" s="1579"/>
      <c r="S133" s="1579"/>
      <c r="T133" s="1579"/>
      <c r="U133" s="1579"/>
      <c r="V133" s="1579"/>
      <c r="W133" s="1578"/>
      <c r="X133" s="1541"/>
    </row>
    <row r="134" spans="1:24" hidden="1">
      <c r="A134" s="1541"/>
      <c r="B134" s="1587" t="s">
        <v>3180</v>
      </c>
      <c r="C134" s="1591">
        <v>0.53222846899999998</v>
      </c>
      <c r="D134" s="1539"/>
      <c r="E134" s="1584"/>
      <c r="F134" s="1578"/>
      <c r="G134" s="1579"/>
      <c r="H134" s="1579"/>
      <c r="I134" s="1579"/>
      <c r="J134" s="1579"/>
      <c r="K134" s="1579"/>
      <c r="L134" s="1579"/>
      <c r="M134" s="1579"/>
      <c r="N134" s="1579"/>
      <c r="O134" s="1579"/>
      <c r="P134" s="1579"/>
      <c r="Q134" s="1579"/>
      <c r="R134" s="1579"/>
      <c r="S134" s="1579"/>
      <c r="T134" s="1579"/>
      <c r="U134" s="1579"/>
      <c r="V134" s="1579"/>
      <c r="W134" s="1578"/>
      <c r="X134" s="1541"/>
    </row>
    <row r="135" spans="1:24" hidden="1">
      <c r="A135" s="1541"/>
      <c r="B135" s="1589"/>
      <c r="C135" s="1588"/>
      <c r="D135" s="1539"/>
      <c r="E135" s="1584"/>
      <c r="F135" s="1578"/>
      <c r="G135" s="1579"/>
      <c r="H135" s="1579"/>
      <c r="I135" s="1579"/>
      <c r="J135" s="1579"/>
      <c r="K135" s="1579"/>
      <c r="L135" s="1579"/>
      <c r="M135" s="1579"/>
      <c r="N135" s="1579"/>
      <c r="O135" s="1579"/>
      <c r="P135" s="1579"/>
      <c r="Q135" s="1579"/>
      <c r="R135" s="1579"/>
      <c r="S135" s="1579"/>
      <c r="T135" s="1579"/>
      <c r="U135" s="1579"/>
      <c r="V135" s="1579"/>
      <c r="W135" s="1578"/>
      <c r="X135" s="1541"/>
    </row>
    <row r="136" spans="1:24" hidden="1">
      <c r="A136" s="1541"/>
      <c r="B136" s="1589"/>
      <c r="C136" s="1588"/>
      <c r="D136" s="1539"/>
      <c r="E136" s="1584"/>
      <c r="F136" s="1578"/>
      <c r="G136" s="1579"/>
      <c r="H136" s="1579"/>
      <c r="I136" s="1579"/>
      <c r="J136" s="1579"/>
      <c r="K136" s="1579"/>
      <c r="L136" s="1579"/>
      <c r="M136" s="1579"/>
      <c r="N136" s="1579"/>
      <c r="O136" s="1579"/>
      <c r="P136" s="1579"/>
      <c r="Q136" s="1579"/>
      <c r="R136" s="1579"/>
      <c r="S136" s="1579"/>
      <c r="T136" s="1579"/>
      <c r="U136" s="1579"/>
      <c r="V136" s="1579"/>
      <c r="W136" s="1578"/>
      <c r="X136" s="1541"/>
    </row>
    <row r="137" spans="1:24" hidden="1">
      <c r="A137" s="1541"/>
      <c r="B137" s="1587" t="s">
        <v>3179</v>
      </c>
      <c r="C137" s="1590">
        <f>-C132/(3*C131)</f>
        <v>5.883928777786509</v>
      </c>
      <c r="D137" s="1539"/>
      <c r="E137" s="1584"/>
      <c r="F137" s="1578"/>
      <c r="G137" s="1579"/>
      <c r="H137" s="1579"/>
      <c r="I137" s="1579"/>
      <c r="J137" s="1579"/>
      <c r="K137" s="1579"/>
      <c r="L137" s="1579"/>
      <c r="M137" s="1579"/>
      <c r="N137" s="1579"/>
      <c r="O137" s="1579"/>
      <c r="P137" s="1579"/>
      <c r="Q137" s="1579"/>
      <c r="R137" s="1579"/>
      <c r="S137" s="1579"/>
      <c r="T137" s="1579"/>
      <c r="U137" s="1579"/>
      <c r="V137" s="1579"/>
      <c r="W137" s="1578"/>
      <c r="X137" s="1541"/>
    </row>
    <row r="138" spans="1:24" hidden="1">
      <c r="A138" s="1541"/>
      <c r="B138" s="1589"/>
      <c r="C138" s="1588"/>
      <c r="D138" s="1539"/>
      <c r="E138" s="1584"/>
      <c r="F138" s="1578"/>
      <c r="G138" s="1579"/>
      <c r="H138" s="1579"/>
      <c r="I138" s="1579"/>
      <c r="J138" s="1579"/>
      <c r="K138" s="1579"/>
      <c r="L138" s="1579"/>
      <c r="M138" s="1579"/>
      <c r="N138" s="1579"/>
      <c r="O138" s="1579"/>
      <c r="P138" s="1579"/>
      <c r="Q138" s="1579"/>
      <c r="R138" s="1579"/>
      <c r="S138" s="1579"/>
      <c r="T138" s="1579"/>
      <c r="U138" s="1579"/>
      <c r="V138" s="1579"/>
      <c r="W138" s="1578"/>
      <c r="X138" s="1541"/>
    </row>
    <row r="139" spans="1:24" hidden="1">
      <c r="A139" s="1541"/>
      <c r="B139" s="1587" t="s">
        <v>3178</v>
      </c>
      <c r="C139" s="1588">
        <f>-C132/(3*C131)+0.5*SQRT(ABS((2*C132/(3*C131))^2-4*C133/(3*C131)))</f>
        <v>7.4771662344916772</v>
      </c>
      <c r="D139" s="1539"/>
      <c r="E139" s="1584"/>
      <c r="F139" s="1578"/>
      <c r="G139" s="1579"/>
      <c r="H139" s="1579"/>
      <c r="I139" s="1579"/>
      <c r="J139" s="1579"/>
      <c r="K139" s="1579"/>
      <c r="L139" s="1579"/>
      <c r="M139" s="1579"/>
      <c r="N139" s="1579"/>
      <c r="O139" s="1579"/>
      <c r="P139" s="1579"/>
      <c r="Q139" s="1579"/>
      <c r="R139" s="1579"/>
      <c r="S139" s="1579"/>
      <c r="T139" s="1579"/>
      <c r="U139" s="1579"/>
      <c r="V139" s="1579"/>
      <c r="W139" s="1578"/>
      <c r="X139" s="1541"/>
    </row>
    <row r="140" spans="1:24" hidden="1">
      <c r="A140" s="1541"/>
      <c r="B140" s="1587" t="s">
        <v>3177</v>
      </c>
      <c r="C140" s="1588">
        <f>-C132/(3*C131)-0.5*SQRT(ABS((2*C132/(3*C131))^2-4*C133/(3*C131)))</f>
        <v>4.2906913210813409</v>
      </c>
      <c r="D140" s="1539"/>
      <c r="E140" s="1584"/>
      <c r="F140" s="1578"/>
      <c r="G140" s="1579"/>
      <c r="H140" s="1579"/>
      <c r="I140" s="1579"/>
      <c r="J140" s="1579"/>
      <c r="K140" s="1579"/>
      <c r="L140" s="1579"/>
      <c r="M140" s="1579"/>
      <c r="N140" s="1579"/>
      <c r="O140" s="1579"/>
      <c r="P140" s="1579"/>
      <c r="Q140" s="1579"/>
      <c r="R140" s="1579"/>
      <c r="S140" s="1579"/>
      <c r="T140" s="1579"/>
      <c r="U140" s="1579"/>
      <c r="V140" s="1579"/>
      <c r="W140" s="1578"/>
      <c r="X140" s="1541"/>
    </row>
    <row r="141" spans="1:24" hidden="1">
      <c r="A141" s="1541"/>
      <c r="B141" s="1589"/>
      <c r="C141" s="1588"/>
      <c r="D141" s="1539"/>
      <c r="E141" s="1584"/>
      <c r="F141" s="1578"/>
      <c r="G141" s="1579"/>
      <c r="H141" s="1579"/>
      <c r="I141" s="1579"/>
      <c r="J141" s="1579"/>
      <c r="K141" s="1579"/>
      <c r="L141" s="1579"/>
      <c r="M141" s="1579"/>
      <c r="N141" s="1579"/>
      <c r="O141" s="1579"/>
      <c r="P141" s="1579"/>
      <c r="Q141" s="1579"/>
      <c r="R141" s="1579"/>
      <c r="S141" s="1579"/>
      <c r="T141" s="1579"/>
      <c r="U141" s="1579"/>
      <c r="V141" s="1579"/>
      <c r="W141" s="1578"/>
      <c r="X141" s="1541"/>
    </row>
    <row r="142" spans="1:24" ht="26.25" hidden="1" customHeight="1">
      <c r="A142" s="1541"/>
      <c r="B142" s="1587" t="s">
        <v>3176</v>
      </c>
      <c r="C142" s="1586">
        <v>0.02</v>
      </c>
      <c r="D142" s="1539"/>
      <c r="E142" s="1584"/>
      <c r="F142" s="1578"/>
      <c r="G142" s="1579"/>
      <c r="H142" s="1579"/>
      <c r="I142" s="1579"/>
      <c r="J142" s="1579"/>
      <c r="K142" s="1579"/>
      <c r="L142" s="1579"/>
      <c r="M142" s="1579"/>
      <c r="N142" s="1579"/>
      <c r="O142" s="1579"/>
      <c r="P142" s="1579"/>
      <c r="Q142" s="1579"/>
      <c r="R142" s="1579"/>
      <c r="S142" s="1579"/>
      <c r="T142" s="1579"/>
      <c r="U142" s="1579"/>
      <c r="V142" s="1579"/>
      <c r="W142" s="1578"/>
      <c r="X142" s="1541"/>
    </row>
    <row r="143" spans="1:24" ht="18.75" hidden="1" customHeight="1">
      <c r="A143" s="1541"/>
      <c r="B143" s="1585"/>
      <c r="C143" s="1582"/>
      <c r="D143" s="1539"/>
      <c r="E143" s="1584"/>
      <c r="F143" s="1578"/>
      <c r="G143" s="1579"/>
      <c r="H143" s="1579"/>
      <c r="I143" s="1579"/>
      <c r="J143" s="1579"/>
      <c r="K143" s="1579"/>
      <c r="L143" s="1579"/>
      <c r="M143" s="1579"/>
      <c r="N143" s="1579"/>
      <c r="O143" s="1579"/>
      <c r="P143" s="1579"/>
      <c r="Q143" s="1579"/>
      <c r="R143" s="1579"/>
      <c r="S143" s="1579"/>
      <c r="T143" s="1579"/>
      <c r="U143" s="1579"/>
      <c r="V143" s="1579"/>
      <c r="W143" s="1578"/>
      <c r="X143" s="1541"/>
    </row>
    <row r="144" spans="1:24" ht="18.75" hidden="1" customHeight="1">
      <c r="A144" s="1541"/>
      <c r="B144" s="1583"/>
      <c r="C144" s="1582"/>
      <c r="D144" s="1539"/>
      <c r="E144" s="1581" t="s">
        <v>3175</v>
      </c>
      <c r="F144" s="1580"/>
      <c r="G144" s="1579">
        <f>C142-(C131*C142^3+C132*C142^2+C133*C142+C134-G132)/(3*C131*C142^2+2*C132*C142+C133)</f>
        <v>2.0785478020138504</v>
      </c>
      <c r="H144" s="1579">
        <f>C142-(C131*C142^3+C132*C142^2+C133*C142+C134-H131)/(3*C131*C142^2+2*C132*C142+C133)</f>
        <v>1.7425677883982482</v>
      </c>
      <c r="I144" s="1579">
        <f>C142-(C131*C142^3+C132*C142^2+C133*C142+C134-I131)/(3*C131*C142^2+2*C132*C142+C133)</f>
        <v>1.3393917720595252</v>
      </c>
      <c r="J144" s="1579">
        <f>C142-(C131*C142^3+C132*C142^2+C133*C142+C134-J131)/(3*C131*C142^2+2*C132*C142+C133)</f>
        <v>0.9362157557208024</v>
      </c>
      <c r="K144" s="1579" t="str">
        <f>IF(K132="","",C142-(C131*C142^3+C132*C142^2+C133*C142+C134-K131)/(3*C131*C142^2+2*C132*C142+C133))</f>
        <v/>
      </c>
      <c r="L144" s="1579" t="str">
        <f>IF(L132="","",C142-(C131*C142^3+C132*C142^2+C133*C142+C134-L131)/(3*C131*C142^2+2*C132*C142+C133))</f>
        <v/>
      </c>
      <c r="M144" s="1579" t="str">
        <f>IF(M132="","",C142-(C131*C142^3+C132*C142^2+C133*C142+C134-M131)/(3*C131*C142^2+2*C132*C142+C133))</f>
        <v/>
      </c>
      <c r="N144" s="1579" t="str">
        <f>IF(N132="","",C142-(C131*C142^3+C132*C142^2+C133*C142+C134-N131)/(3*C131*C142^2+2*C132*C142+C133))</f>
        <v/>
      </c>
      <c r="O144" s="1579" t="str">
        <f>IF(O132="","",C142-(C131*C142^3+C132*C142^2+C133*C142+C134-O131)/(3*C131*C142^2+2*C132*C142+C133))</f>
        <v/>
      </c>
      <c r="P144" s="1579" t="str">
        <f>IF(P132="","",C142-(C131*C142^3+C132*C142^2+C133*C142+C134-P131)/(3*C131*C142^2+2*C132*C142+C133))</f>
        <v/>
      </c>
      <c r="Q144" s="1579" t="str">
        <f>IF(Q132="","",C142-(C131*C142^3+C132*C142^2+C133*C142+C134-Q131)/(3*C131*C142^2+2*C132*C142+C133))</f>
        <v/>
      </c>
      <c r="R144" s="1579" t="str">
        <f>IF(R132="","",C142-(C131*C142^3+C132*C142^2+C133*C142+C134-R131)/(3*C131*C142^2+2*C132*C142+C133))</f>
        <v/>
      </c>
      <c r="S144" s="1579" t="str">
        <f>IF(S132="","",C142-(C131*C142^3+C132*C142^2+C133*C142+C134-S131)/(3*C131*C142^2+2*C132*C142+C133))</f>
        <v/>
      </c>
      <c r="T144" s="1579" t="str">
        <f>IF(T132="","",C142-(C131*C142^3+C132*C142^2+C133*C142+C134-T131)/(3*C131*C142^2+2*C132*C142+C133))</f>
        <v/>
      </c>
      <c r="U144" s="1579" t="str">
        <f>IF(U132="","",C142-(C131*C142^3+C132*C142^2+C133*C142+C134-U131)/(3*C131*C142^2+2*C132*C142+C133))</f>
        <v/>
      </c>
      <c r="V144" s="1579" t="str">
        <f>IF(V132="","",C142-(C131*C142^3+C132*C142^2+C133*C142+C134-V131)/(3*C131*C142^2+2*C132*C142+C133))</f>
        <v/>
      </c>
      <c r="W144" s="1578" t="str">
        <f>IF(W132="","",C142-(C131*C142^3+C132*C142^2+C133*C142+C134-W131)/(3*C131*C142^2+2*C132*C142+C133))</f>
        <v/>
      </c>
      <c r="X144" s="1541"/>
    </row>
    <row r="145" spans="1:24" ht="18" hidden="1" customHeight="1">
      <c r="A145" s="1541"/>
      <c r="B145" s="1583"/>
      <c r="C145" s="1582"/>
      <c r="D145" s="1539"/>
      <c r="E145" s="1581" t="s">
        <v>3174</v>
      </c>
      <c r="F145" s="1580"/>
      <c r="G145" s="1579">
        <f>G144-(C131*G144^3+C132*G144^2+C133*G144+C134-G132)/(3*C131*G144^2+2*C132*G144+C133)</f>
        <v>3.9157913736391317</v>
      </c>
      <c r="H145" s="1579">
        <f>H144-(C131*H144^3+C132*H144^2+C133*H144+C134-H131)/(3*C131*H144^2+2*C132*H144+C133)</f>
        <v>2.8167140925903533</v>
      </c>
      <c r="I145" s="1579">
        <f>I144-(C131*I144^3+C132*I144^2+C133*I144+C134-I131)/(3*C131*I144^2+2*C132*I144+C133)</f>
        <v>1.8606507365511635</v>
      </c>
      <c r="J145" s="1579">
        <f>J144-(C131*J144^3+C132*J144^2+C133*J144+C134-J131)/(3*C131*J144^2+2*C132*J144+C133)</f>
        <v>1.148877546159329</v>
      </c>
      <c r="K145" s="1579" t="str">
        <f>IF(K132="","",K144-(C131*K144^3+C132*K144^2+C133*K144+C134-K131)/(3*C131*K144^2+2*C132*K144+C133))</f>
        <v/>
      </c>
      <c r="L145" s="1579" t="str">
        <f>IF(L132="","",L144-(C131*L144^3+C132*L144^2+C133*L144+C134-L131)/(3*C131*L144^2+2*C132*L144+C133))</f>
        <v/>
      </c>
      <c r="M145" s="1579" t="str">
        <f>IF(M132="","",M144-(C131*M144^3+C132*M144^2+C133*M144+C134-M131)/(3*C131*M144^2+2*C132*M144+C133))</f>
        <v/>
      </c>
      <c r="N145" s="1579" t="str">
        <f>IF(N132="","",N144-(C131*N144^3+C132*N144^2+C133*N144+C134-N131)/(3*C131*N144^2+2*C132*N144+C133))</f>
        <v/>
      </c>
      <c r="O145" s="1579" t="str">
        <f>IF(O132="","",O144-(C131*O144^3+C132*O144^2+C133*O144+C134-O131)/(3*C131*O144^2+2*C132*O144+C133))</f>
        <v/>
      </c>
      <c r="P145" s="1579" t="str">
        <f>IF(P132="","",P144-(C131*P144^3+C132*P144^2+C133*P144+C134-P131)/(3*C131*P144^2+2*C132*P144+C133))</f>
        <v/>
      </c>
      <c r="Q145" s="1579" t="str">
        <f>IF(Q132="","",Q144-(C131*Q144^3+C132*Q144^2+C133*Q144+C134-Q131)/(3*C131*Q144^2+2*C132*Q144+C133))</f>
        <v/>
      </c>
      <c r="R145" s="1579" t="str">
        <f>IF(R132="","",R144-(C131*R144^3+C132*R144^2+C133*R144+C134-R131)/(3*C131*R144^2+2*C132*R144+C133))</f>
        <v/>
      </c>
      <c r="S145" s="1579" t="str">
        <f>IF(S132="","",S144-(C131*S144^3+C132*S144^2+C133*S144+C134-S131)/(3*C131*S144^2+2*C132*S144+C133))</f>
        <v/>
      </c>
      <c r="T145" s="1579" t="str">
        <f>IF(T132="","",T144-(C131*T144^3+C132*T144^2+C133*T144+C134-T131)/(3*C131*T144^2+2*C132*T144+C133))</f>
        <v/>
      </c>
      <c r="U145" s="1579" t="str">
        <f>IF(U132="","",U144-(C131*U144^3+C132*U144^2+C133*U144+C134-U131)/(3*C131*U144^2+2*C132*U144+C133))</f>
        <v/>
      </c>
      <c r="V145" s="1579" t="str">
        <f>IF(V132="","",V144-(C131*V144^3+C132*V144^2+C133*V144+C134-V131)/(3*C131*V144^2+2*C132*V144+C133))</f>
        <v/>
      </c>
      <c r="W145" s="1578" t="str">
        <f>IF(W132="","",W144-(C131*W144^3+C132*W144^2+C133*W144+C134-W131)/(3*C131*W144^2+2*C132*W144+C133))</f>
        <v/>
      </c>
      <c r="X145" s="1541"/>
    </row>
    <row r="146" spans="1:24" ht="15.75">
      <c r="A146" s="1541"/>
      <c r="B146" s="1556" t="s">
        <v>3173</v>
      </c>
      <c r="C146" s="1577">
        <f>IF(C129=0,"",VALUE(LEFT(受変!$AS$59,2)))</f>
        <v>60</v>
      </c>
      <c r="D146" s="1539"/>
      <c r="E146" s="1572" t="s">
        <v>3172</v>
      </c>
      <c r="F146" s="1576"/>
      <c r="G146" s="1567">
        <f>G145-(C131*G145^3+C132*G145^2+C133*G145+C134-G132)/(3*C131*G145^2+2*C132*G145+C133)</f>
        <v>11.988044282510309</v>
      </c>
      <c r="H146" s="1567">
        <f>H145-(C131*H145^3+C132*H145^2+C133*H145+C134-H131)/(3*C131*H145^2+2*C132*H145+C133)</f>
        <v>3.45216240933736</v>
      </c>
      <c r="I146" s="1567">
        <f>I145-(C131*I145^3+C132*I145^2+C133*I145+C134-I131)/(3*C131*I145^2+2*C132*I145+C133)</f>
        <v>1.9476640950670787</v>
      </c>
      <c r="J146" s="1567">
        <f>J145-(C131*J145^3+C132*J145^2+C133*J145+C134-J131)/(3*C131*J145^2+2*C132*J145+C133)</f>
        <v>1.1599705572897567</v>
      </c>
      <c r="K146" s="1567" t="str">
        <f>IF(K132="","",K145-(C131*K145^3+C132*K145^2+C133*K145+C134-K131)/(3*C131*K145^2+2*C132*K145+C133))</f>
        <v/>
      </c>
      <c r="L146" s="1567" t="str">
        <f>IF(L132="","",L145-(C131*L145^3+C132*L145^2+C133*L145+C134-L131)/(3*C131*L145^2+2*C132*L145+C133))</f>
        <v/>
      </c>
      <c r="M146" s="1567" t="str">
        <f>IF(M132="","",M145-(C131*M145^3+C132*M145^2+C133*M145+C134-M131)/(3*C131*M145^2+2*C132*M145+C133))</f>
        <v/>
      </c>
      <c r="N146" s="1567" t="str">
        <f>IF(N132="","",N145-(C131*N145^3+C132*N145^2+C133*N145+C134-N131)/(3*C131*N145^2+2*C132*N145+C133))</f>
        <v/>
      </c>
      <c r="O146" s="1567" t="str">
        <f>IF(O132="","",O145-(C131*O145^3+C132*O145^2+C133*O145+C134-O131)/(3*C131*O145^2+2*C132*O145+C133))</f>
        <v/>
      </c>
      <c r="P146" s="1567" t="str">
        <f>IF(P132="","",P145-(C131*P145^3+C132*P145^2+C133*P145+C134-P131)/(3*C131*P145^2+2*C132*P145+C133))</f>
        <v/>
      </c>
      <c r="Q146" s="1567" t="str">
        <f>IF(Q132="","",Q145-(C131*Q145^3+C132*Q145^2+C133*Q145+C134-Q131)/(3*C131*Q145^2+2*C132*Q145+C133))</f>
        <v/>
      </c>
      <c r="R146" s="1567" t="str">
        <f>IF(R132="","",R145-(C131*R145^3+C132*R145^2+C133*R145+C134-R131)/(3*C131*R145^2+2*C132*R145+C133))</f>
        <v/>
      </c>
      <c r="S146" s="1567" t="str">
        <f>IF(S132="","",S145-(C131*S145^3+C132*S145^2+C133*S145+C134-S131)/(3*C131*S145^2+2*C132*S145+C133))</f>
        <v/>
      </c>
      <c r="T146" s="1567" t="str">
        <f>IF(T132="","",T145-(C131*T145^3+C132*T145^2+C133*T145+C134-T131)/(3*C131*T145^2+2*C132*T145+C133))</f>
        <v/>
      </c>
      <c r="U146" s="1567" t="str">
        <f>IF(U132="","",U145-(C131*U145^3+C132*U145^2+C133*U145+C134-U131)/(3*C131*U145^2+2*C132*U145+C133))</f>
        <v/>
      </c>
      <c r="V146" s="1567" t="str">
        <f>IF(V132="","",V145-(C131*V145^3+C132*V145^2+C133*V145+C134-V131)/(3*C131*V145^2+2*C132*V145+C133))</f>
        <v/>
      </c>
      <c r="W146" s="1566" t="str">
        <f>IF(W132="","",W145-(C131*W145^3+C132*W145^2+C133*W145+C134-W131)/(3*C131*W145^2+2*C132*W145+C133))</f>
        <v/>
      </c>
      <c r="X146" s="1541"/>
    </row>
    <row r="147" spans="1:24" ht="15.75">
      <c r="A147" s="1541"/>
      <c r="B147" s="1556" t="s">
        <v>3171</v>
      </c>
      <c r="C147" s="1575" t="str">
        <f>IF(B1=0,"",LEFT(受変!Y47,4))</f>
        <v xml:space="preserve">  75</v>
      </c>
      <c r="D147" s="1539"/>
      <c r="E147" s="1569"/>
      <c r="F147" s="1568">
        <f>IF(C129="","",IF(C154="1",1000*1*C147/C148,""))</f>
        <v>11.363636363636363</v>
      </c>
      <c r="G147" s="1567">
        <f>G146-(C131*G146^3+C132*G146^2+C133*G146+C134-G132)/(3*C131*G146^2+2*C132*G146+C133)</f>
        <v>10.631939826708088</v>
      </c>
      <c r="H147" s="1567">
        <f>H146-(C131*H146^3+C132*H146^2+C133*H146+C134-H131)/(3*C131*H146^2+2*C132*H146+C133)</f>
        <v>3.7937820784242344</v>
      </c>
      <c r="I147" s="1567">
        <f>I146-(C131*I146^3+C132*I146^2+C133*I146+C134-I131)/(3*C131*I146^2+2*C132*I146+C133)</f>
        <v>1.9499983393648257</v>
      </c>
      <c r="J147" s="1567">
        <f>J146-(C131*J146^3+C132*J146^2+C133*J146+C134-J131)/(3*C131*J146^2+2*C132*J146+C133)</f>
        <v>1.1599999957870419</v>
      </c>
      <c r="K147" s="1567" t="str">
        <f>IF(K132="","",K146-(C131*K146^3+C132*K146^2+C133*K146+C134-K131)/(3*C131*K146^2+2*C132*K146+C133))</f>
        <v/>
      </c>
      <c r="L147" s="1567" t="str">
        <f>IF(L132="","",L146-(C131*L146^3+C132*L146^2+C133*L146+C134-L131)/(3*C131*L146^2+2*C132*L146+C133))</f>
        <v/>
      </c>
      <c r="M147" s="1567" t="str">
        <f>IF(M132="","",M146-(C131*M146^3+C132*M146^2+C133*M146+C134-M131)/(3*C131*M146^2+2*C132*M146+C133))</f>
        <v/>
      </c>
      <c r="N147" s="1567" t="str">
        <f>IF(N132="","",N146-(C131*N146^3+C132*N146^2+C133*N146+C134-N131)/(3*C131*N146^2+2*C132*N146+C133))</f>
        <v/>
      </c>
      <c r="O147" s="1567" t="str">
        <f>IF(O132="","",O146-(C131*O146^3+C132*O146^2+C133*O146+C134-O131)/(3*C131*O146^2+2*C132*O146+C133))</f>
        <v/>
      </c>
      <c r="P147" s="1567" t="str">
        <f>IF(P132="","",P146-(C131*P146^3+C132*P146^2+C133*P146+C134-P131)/(3*C131*P146^2+2*C132*P146+C133))</f>
        <v/>
      </c>
      <c r="Q147" s="1567" t="str">
        <f>IF(Q132="","",Q146-(C131*Q146^3+C132*Q146^2+C133*Q146+C134-Q131)/(3*C131*Q146^2+2*C132*Q146+C133))</f>
        <v/>
      </c>
      <c r="R147" s="1567" t="str">
        <f>IF(R132="","",R146-(C131*R146^3+C132*R146^2+C133*R146+C134-R131)/(3*C131*R146^2+2*C132*R146+C133))</f>
        <v/>
      </c>
      <c r="S147" s="1567" t="str">
        <f>IF(S132="","",S146-(C131*S146^3+C132*S146^2+C133*S146+C134-S131)/(3*C131*S146^2+2*C132*S146+C133))</f>
        <v/>
      </c>
      <c r="T147" s="1567" t="str">
        <f>IF(T132="","",T146-(C131*T146^3+C132*T146^2+C133*T146+C134-T131)/(3*C131*T146^2+2*C132*T146+C133))</f>
        <v/>
      </c>
      <c r="U147" s="1567" t="str">
        <f>IF(U132="","",U146-(C131*U146^3+C132*U146^2+C133*U146+C134-U131)/(3*C131*U146^2+2*C132*U146+C133))</f>
        <v/>
      </c>
      <c r="V147" s="1567" t="str">
        <f>IF(V132="","",V146-(C131*V146^3+C132*V146^2+C133*V146+C134-V131)/(3*C131*V146^2+2*C132*V146+C133))</f>
        <v/>
      </c>
      <c r="W147" s="1566" t="str">
        <f>IF(W132="","",W146-(C131*W146^3+C132*W146^2+C133*W146+C134-W131)/(3*C131*W146^2+2*C132*W146+C133))</f>
        <v/>
      </c>
      <c r="X147" s="1541"/>
    </row>
    <row r="148" spans="1:24" ht="15.75">
      <c r="A148" s="1541"/>
      <c r="B148" s="1556" t="s">
        <v>3170</v>
      </c>
      <c r="C148" s="1574" t="str">
        <f>IF(C129=0,"",LEFT(受変!$AG$59,4))</f>
        <v>6600</v>
      </c>
      <c r="D148" s="1539"/>
      <c r="E148" s="1569"/>
      <c r="F148" s="1568" t="str">
        <f>IF(C129="","",IF(C154="2",1000*SQRT(3)*C147/C148,""))</f>
        <v/>
      </c>
      <c r="G148" s="1567">
        <f>G147-(C131*G147^3+C132*G147^2+C133*G147+C134-G132)/(3*C131*G147^2+2*C132*G147+C133)</f>
        <v>10.112360731763767</v>
      </c>
      <c r="H148" s="1567">
        <f>H147-(C131*H147^3+C132*H147^2+C133*H147+C134-H131)/(3*C131*H147^2+2*C132*H147+C133)</f>
        <v>3.9415754837935113</v>
      </c>
      <c r="I148" s="1567">
        <f>I147-(C131*I147^3+C132*I147^2+C133*I147+C134-I131)/(3*C131*I147^2+2*C132*I147+C133)</f>
        <v>1.9499999968282029</v>
      </c>
      <c r="J148" s="1567">
        <f>J147-(C131*J147^3+C132*J147^2+C133*J147+C134-J131)/(3*C131*J147^2+2*C132*J147+C133)</f>
        <v>1.1599999959940437</v>
      </c>
      <c r="K148" s="1567" t="str">
        <f>IF(K132="","",K147-(C131*K147^3+C132*K147^2+C133*K147+C134-K131)/(3*C131*K147^2+2*C132*K147+C133))</f>
        <v/>
      </c>
      <c r="L148" s="1567" t="str">
        <f>IF(L132="","",L147-(C131*L147^3+C132*L147^2+C133*L147+C134-L131)/(3*C131*L147^2+2*C132*L147+C133))</f>
        <v/>
      </c>
      <c r="M148" s="1567" t="str">
        <f>IF(M132="","",M147-(C131*M147^3+C132*M147^2+C133*M147+C134-M131)/(3*C131*M147^2+2*C132*M147+C133))</f>
        <v/>
      </c>
      <c r="N148" s="1567" t="str">
        <f>IF(N132="","",N147-(C131*N147^3+C132*N147^2+C133*N147+C134-N131)/(3*C131*N147^2+2*C132*N147+C133))</f>
        <v/>
      </c>
      <c r="O148" s="1567" t="str">
        <f>IF(O132="","",O147-(C131*O147^3+C132*O147^2+C133*O147+C134-O131)/(3*C131*O147^2+2*C132*O147+C133))</f>
        <v/>
      </c>
      <c r="P148" s="1567" t="str">
        <f>IF(P132="","",P147-(C131*P147^3+C132*P147^2+C133*P147+C134-P131)/(3*C131*P147^2+2*C132*P147+C133))</f>
        <v/>
      </c>
      <c r="Q148" s="1567" t="str">
        <f>IF(Q132="","",Q147-(C131*Q147^3+C132*Q147^2+C133*Q147+C134-Q131)/(3*C131*Q147^2+2*C132*Q147+C133))</f>
        <v/>
      </c>
      <c r="R148" s="1567" t="str">
        <f>IF(R132="","",R147-(C131*R147^3+C132*R147^2+C133*R147+C134-R131)/(3*C131*R147^2+2*C132*R147+C133))</f>
        <v/>
      </c>
      <c r="S148" s="1567" t="str">
        <f>IF(S132="","",S147-(C131*S147^3+C132*S147^2+C133*S147+C134-S131)/(3*C131*S147^2+2*C132*S147+C133))</f>
        <v/>
      </c>
      <c r="T148" s="1567" t="str">
        <f>IF(T132="","",T147-(C131*T147^3+C132*T147^2+C133*T147+C134-T131)/(3*C131*T147^2+2*C132*T147+C133))</f>
        <v/>
      </c>
      <c r="U148" s="1567" t="str">
        <f>IF(U132="","",U147-(C131*U147^3+C132*U147^2+C133*U147+C134-U131)/(3*C131*U147^2+2*C132*U147+C133))</f>
        <v/>
      </c>
      <c r="V148" s="1567" t="str">
        <f>IF(V132="","",V147-(C131*V147^3+C132*V147^2+C133*V147+C134-V131)/(3*C131*V147^2+2*C132*V147+C133))</f>
        <v/>
      </c>
      <c r="W148" s="1566" t="str">
        <f>IF(W132="","",W147-(C131*W147^3+C132*W147^2+C133*W147+C134-W131)/(3*C131*W147^2+2*C132*W147+C133))</f>
        <v/>
      </c>
      <c r="X148" s="1541"/>
    </row>
    <row r="149" spans="1:24" ht="15.75" hidden="1">
      <c r="A149" s="1541"/>
      <c r="B149" s="1556"/>
      <c r="C149" s="1573"/>
      <c r="D149" s="1539"/>
      <c r="E149" s="1572"/>
      <c r="F149" s="1571"/>
      <c r="G149" s="1567">
        <f>G148-(C131*G148^3+C132*G148^2+C133*G148+C134-G132)/(3*C131*G148^2+2*C132*G148+C133)</f>
        <v>10.031856826961036</v>
      </c>
      <c r="H149" s="1567">
        <f>H148-(C131*H148^3+C132*H148^2+C133*H148+C134-H131)/(3*C131*H148^2+2*C132*H148+C133)</f>
        <v>3.9776912237081969</v>
      </c>
      <c r="I149" s="1567">
        <f>I148-(C131*I148^3+C132*I148^2+C133*I148+C134-I131)/(3*C131*I148^2+2*C132*I148+C133)</f>
        <v>1.9499999968290387</v>
      </c>
      <c r="J149" s="1567">
        <f>J148-(C131*J148^3+C132*J148^2+C133*J148+C134-J131)/(3*C131*J148^2+2*C132*J148+C133)</f>
        <v>1.1599999959940432</v>
      </c>
      <c r="K149" s="1567" t="str">
        <f>IF(K132="","",K148-(C131*K148^3+C132*K148^2+C133*K148+C134-K131)/(3*C131*K148^2+2*C132*K148+C133))</f>
        <v/>
      </c>
      <c r="L149" s="1567" t="str">
        <f>IF(L132="","",L148-(C131*L148^3+C132*L148^2+C133*L148+C134-L131)/(3*C131*L148^2+2*C132*L148+C133))</f>
        <v/>
      </c>
      <c r="M149" s="1567" t="str">
        <f>IF(M132="","",M148-(C131*M148^3+C132*M148^2+C133*M148+C134-M131)/(3*C131*M148^2+2*C132*M148+C133))</f>
        <v/>
      </c>
      <c r="N149" s="1567" t="str">
        <f>IF(N132="","",N148-(C131*N148^3+C132*N148^2+C133*N148+C134-N131)/(3*C131*N148^2+2*C132*N148+C133))</f>
        <v/>
      </c>
      <c r="O149" s="1567" t="str">
        <f>IF(O132="","",O148-(C131*O148^3+C132*O148^2+C133*O148+C134-O131)/(3*C131*O148^2+2*C132*O148+C133))</f>
        <v/>
      </c>
      <c r="P149" s="1567" t="str">
        <f>IF(P132="","",P148-(C131*P148^3+C132*P148^2+C133*P148+C134-P131)/(3*C131*P148^2+2*C132*P148+C133))</f>
        <v/>
      </c>
      <c r="Q149" s="1567" t="str">
        <f>IF(Q132="","",Q148-(C131*Q148^3+C132*Q148^2+C133*Q148+C134-Q131)/(3*C131*Q148^2+2*C132*Q148+C133))</f>
        <v/>
      </c>
      <c r="R149" s="1567" t="str">
        <f>IF(R132="","",R148-(C131*R148^3+C132*R148^2+C133*R148+C134-R131)/(3*C131*R148^2+2*C132*R148+C133))</f>
        <v/>
      </c>
      <c r="S149" s="1567" t="str">
        <f>IF(S132="","",S148-(C131*S148^3+C132*S148^2+C133*S148+C134-S131)/(3*C131*S148^2+2*C132*S148+C133))</f>
        <v/>
      </c>
      <c r="T149" s="1567" t="str">
        <f>IF(T132="","",T148-(C131*T148^3+C132*T148^2+C133*T148+C134-T131)/(3*C131*T148^2+2*C132*T148+C133))</f>
        <v/>
      </c>
      <c r="U149" s="1567" t="str">
        <f>IF(U132="","",U148-(C131*U148^3+C132*U148^2+C133*U148+C134-U131)/(3*C131*U148^2+2*C132*U148+C133))</f>
        <v/>
      </c>
      <c r="V149" s="1567" t="str">
        <f>IF(V132="","",V148-(C131*V148^3+C132*V148^2+C133*V148+C134-V131)/(3*C131*V148^2+2*C132*V148+C133))</f>
        <v/>
      </c>
      <c r="W149" s="1566" t="str">
        <f>IF(W132="","",W148-(C131*W148^3+C132*W148^2+C133*W148+C134-W131)/(3*C131*W148^2+2*C132*W148+C133))</f>
        <v/>
      </c>
      <c r="X149" s="1541"/>
    </row>
    <row r="150" spans="1:24" ht="16.5" thickBot="1">
      <c r="A150" s="1541"/>
      <c r="B150" s="1556" t="s">
        <v>3169</v>
      </c>
      <c r="C150" s="1570">
        <f>IF(C129=0,"",IF(C129=0,"",C154*1000*C147/C148/SQRT(3)))</f>
        <v>6.560798513518475</v>
      </c>
      <c r="D150" s="1539"/>
      <c r="E150" s="1569"/>
      <c r="F150" s="1568" t="str">
        <f>IF(C129="","",IF(C154="3",1000*SQRT(3)*C147/C148,""))</f>
        <v/>
      </c>
      <c r="G150" s="1567">
        <f>G149-(C131*G149^3+C132*G149^2+C133*G149+C134-G132)/(3*C131*G149^2+2*C132*G149+C133)</f>
        <v>10.030000262879774</v>
      </c>
      <c r="H150" s="1567">
        <f>H149-(C131*H149^3+C132*H149^2+C133*H149+C134-H131)/(3*C131*H149^2+2*C132*H149+C133)</f>
        <v>3.9799898786638499</v>
      </c>
      <c r="I150" s="1567">
        <f>I149-(C131*I149^3+C132*I149^2+C133*I149+C134-I131)/(3*C131*I149^2+2*C132*I149+C133)</f>
        <v>1.9499999968290387</v>
      </c>
      <c r="J150" s="1567">
        <f>J149-(C131*J149^3+C132*J149^2+C133*J149+C134-J131)/(3*C131*J149^2+2*C132*J149+C133)</f>
        <v>1.1599999959940437</v>
      </c>
      <c r="K150" s="1567" t="str">
        <f>IF(K132="","",K149-(C131*K149^3+C132*K149^2+C133*K149+C134-K131)/(3*C131*K149^2+2*C132*K149+C133))</f>
        <v/>
      </c>
      <c r="L150" s="1567" t="str">
        <f>IF(L132="","",L149-(C131*L149^3+C132*L149^2+C133*L149+C134-L131)/(3*C131*L149^2+2*C132*L149+C133))</f>
        <v/>
      </c>
      <c r="M150" s="1567" t="str">
        <f>IF(M132="","",M149-(C131*M149^3+C132*M149^2+C133*M149+C134-M131)/(3*C131*M149^2+2*C132*M149+C133))</f>
        <v/>
      </c>
      <c r="N150" s="1567" t="str">
        <f>IF(N132="","",N149-(C131*N149^3+C132*N149^2+C133*N149+C134-N131)/(3*C131*N149^2+2*C132*N149+C133))</f>
        <v/>
      </c>
      <c r="O150" s="1567" t="str">
        <f>IF(O132="","",O149-(C131*O149^3+C132*O149^2+C133*O149+C134-O131)/(3*C131*O149^2+2*C132*O149+C133))</f>
        <v/>
      </c>
      <c r="P150" s="1567" t="str">
        <f>IF(P132="","",P149-(C131*P149^3+C132*P149^2+C133*P149+C134-P131)/(3*C131*P149^2+2*C132*P149+C133))</f>
        <v/>
      </c>
      <c r="Q150" s="1567" t="str">
        <f>IF(Q132="","",Q149-(C131*Q149^3+C132*Q149^2+C133*Q149+C134-Q131)/(3*C131*Q149^2+2*C132*Q149+C133))</f>
        <v/>
      </c>
      <c r="R150" s="1567" t="str">
        <f>IF(R132="","",R149-(C131*R149^3+C132*R149^2+C133*R149+C134-R131)/(3*C131*R149^2+2*C132*R149+C133))</f>
        <v/>
      </c>
      <c r="S150" s="1567" t="str">
        <f>IF(S132="","",S149-(C131*S149^3+C132*S149^2+C133*S149+C134-S131)/(3*C131*S149^2+2*C132*S149+C133))</f>
        <v/>
      </c>
      <c r="T150" s="1567" t="str">
        <f>IF(T132="","",T149-(C131*T149^3+C132*T149^2+C133*T149+C134-T131)/(3*C131*T149^2+2*C132*T149+C133))</f>
        <v/>
      </c>
      <c r="U150" s="1567" t="str">
        <f>IF(U132="","",U149-(C131*U149^3+C132*U149^2+C133*U149+C134-U131)/(3*C131*U149^2+2*C132*U149+C133))</f>
        <v/>
      </c>
      <c r="V150" s="1567" t="str">
        <f>IF(V132="","",V149-(C131*V149^3+C132*V149^2+C133*V149+C134-V131)/(3*C131*V149^2+2*C132*V149+C133))</f>
        <v/>
      </c>
      <c r="W150" s="1566" t="str">
        <f>IF(W132="","",W149-(C131*W149^3+C132*W149^2+C133*W149+C134-W131)/(3*C131*W149^2+2*C132*W149+C133))</f>
        <v/>
      </c>
      <c r="X150" s="1541"/>
    </row>
    <row r="151" spans="1:24" ht="16.5" hidden="1" thickBot="1">
      <c r="A151" s="1541"/>
      <c r="B151" s="1556"/>
      <c r="C151" s="1565">
        <f>(C147/500)^0.232</f>
        <v>0.64395151917639148</v>
      </c>
      <c r="D151" s="1539"/>
      <c r="E151" s="1563" t="s">
        <v>3168</v>
      </c>
      <c r="F151" s="1563"/>
      <c r="G151" s="1562">
        <f>G150-(C131*G150^3+C132*G150^2+C133*G150+C134-G132)/(3*C131*G150^2+2*C132*G150+C133)</f>
        <v>10.029999287207151</v>
      </c>
      <c r="H151" s="1562">
        <f>H150-(C131*H150^3+C132*H150^2+C133*H150+C134-H131)/(3*C131*H150^2+2*C132*H150+C133)</f>
        <v>3.9799991445975582</v>
      </c>
      <c r="I151" s="1562">
        <f>I150-(C131*I150^3+C132*I150^2+C133*I150+C134-I131)/(3*C131*I150^2+2*C132*I150+C133)</f>
        <v>1.9499999968290387</v>
      </c>
      <c r="J151" s="1562">
        <f>J150-(C131*J150^3+C132*J150^2+C133*J150+C134-J131)/(3*C131*J150^2+2*C132*J150+C133)</f>
        <v>1.1599999959940432</v>
      </c>
      <c r="K151" s="1562" t="str">
        <f>IF(K132="","",K150-(C131*K150^3+C132*K150^2+C133*K150+C134-K131)/(3*C131*K150^2+2*C132*K150+C133))</f>
        <v/>
      </c>
      <c r="L151" s="1562" t="str">
        <f>IF(L132="","",L150-(C131*L150^3+C132*L150^2+C133*L150+C134-L131)/(3*C131*L150^2+2*C132*L150+C133))</f>
        <v/>
      </c>
      <c r="M151" s="1562" t="str">
        <f>IF(M132="","",M150-(C131*M150^3+C132*M150^2+C133*M150+C134-M131)/(3*C131*M150^2+2*C132*M150+C133))</f>
        <v/>
      </c>
      <c r="N151" s="1562" t="str">
        <f>IF(N132="","",N150-(C131*N150^3+C132*N150^2+C133*N150+C134-N131)/(3*C131*N150^2+2*C132*N150+C133))</f>
        <v/>
      </c>
      <c r="O151" s="1562" t="str">
        <f>IF(O132="","",O150-(C131*O150^3+C132*O150^2+C133*O150+C134-O131)/(3*C131*O150^2+2*C132*O150+C133))</f>
        <v/>
      </c>
      <c r="P151" s="1562" t="str">
        <f>IF(P132="","",P150-(C131*P150^3+C132*P150^2+C133*P150+C134-P131)/(3*C131*P150^2+2*C132*P150+C133))</f>
        <v/>
      </c>
      <c r="Q151" s="1562" t="str">
        <f>IF(Q132="","",Q150-(C131*Q150^3+C132*Q150^2+C133*Q150+C134-Q131)/(3*C131*Q150^2+2*C132*Q150+C133))</f>
        <v/>
      </c>
      <c r="R151" s="1562" t="str">
        <f>IF(R132="","",R150-(C131*R150^3+C132*R150^2+C133*R150+C134-R131)/(3*C131*R150^2+2*C132*R150+C133))</f>
        <v/>
      </c>
      <c r="S151" s="1562" t="str">
        <f>IF(S132="","",S150-(C131*S150^3+C132*S150^2+C133*S150+C134-S131)/(3*C131*S150^2+2*C132*S150+C133))</f>
        <v/>
      </c>
      <c r="T151" s="1562" t="str">
        <f>IF(T132="","",T150-(C131*T150^3+C132*T150^2+C133*T150+C134-T131)/(3*C131*T150^2+2*C132*T150+C133))</f>
        <v/>
      </c>
      <c r="U151" s="1562" t="str">
        <f>IF(U132="","",U150-(C131*U150^3+C132*U150^2+C133*U150+C134-U131)/(3*C131*U150^2+2*C132*U150+C133))</f>
        <v/>
      </c>
      <c r="V151" s="1562" t="str">
        <f>IF(V132="","",V150-(C131*V150^3+C132*V150^2+C133*V150+C134-V131)/(3*C131*V150^2+2*C132*V150+C133))</f>
        <v/>
      </c>
      <c r="W151" s="1561" t="str">
        <f>IF(W132="","",W150-(C131*W150^3+C132*W150^2+C133*W150+C134-W131)/(3*C131*W150^2+2*C132*W150+C133))</f>
        <v/>
      </c>
      <c r="X151" s="1541"/>
    </row>
    <row r="152" spans="1:24" ht="16.5" hidden="1" thickBot="1">
      <c r="A152" s="1541"/>
      <c r="B152" s="1556"/>
      <c r="C152" s="1564"/>
      <c r="D152" s="1539"/>
      <c r="E152" s="1563" t="s">
        <v>3167</v>
      </c>
      <c r="F152" s="1563"/>
      <c r="G152" s="1562">
        <f>G151-(C131*G151^3+C132*G151^2+C133*G151+C134-G132)/(3*C131*G151^2+2*C132*G151+C133)</f>
        <v>10.029999287206884</v>
      </c>
      <c r="H152" s="1562">
        <f>H151-(C131*H151^3+C132*H151^2+C133*H151+C134-H131)/(3*C131*H151^2+2*C132*H151+C133)</f>
        <v>3.9799991447479877</v>
      </c>
      <c r="I152" s="1562">
        <f>I151-(C131*I151^3+C132*I151^2+C133*I151+C134-I131)/(3*C131*I151^2+2*C132*I151+C133)</f>
        <v>1.9499999968290387</v>
      </c>
      <c r="J152" s="1562">
        <f>J151-(C131*J151^3+C132*J151^2+C133*J151+C134-J131)/(3*C131*J151^2+2*C132*J151+C133)</f>
        <v>1.1599999959940437</v>
      </c>
      <c r="K152" s="1562" t="str">
        <f>IF(K132="","",K151-(C131*K151^3+C132*K151^2+C133*K151+C134-K131)/(3*C131*K151^2+2*C132*K151+C133))</f>
        <v/>
      </c>
      <c r="L152" s="1562" t="str">
        <f>IF(L132="","",L151-(C131*L151^3+C132*L151^2+C133*L151+C134-L131)/(3*C131*L151^2+2*C132*L151+C133))</f>
        <v/>
      </c>
      <c r="M152" s="1562" t="str">
        <f>IF(M132="","",M151-(C131*M151^3+C132*M151^2+C133*M151+C134-M131)/(3*C131*M151^2+2*C132*M151+C133))</f>
        <v/>
      </c>
      <c r="N152" s="1562" t="str">
        <f>IF(N132="","",N151-(C131*N151^3+C132*N151^2+C133*N151+C134-N131)/(3*C131*N151^2+2*C132*N151+C133))</f>
        <v/>
      </c>
      <c r="O152" s="1562" t="str">
        <f>IF(O132="","",O151-(C131*O151^3+C132*O151^2+C133*O151+C134-O131)/(3*C131*O151^2+2*C132*O151+C133))</f>
        <v/>
      </c>
      <c r="P152" s="1562" t="str">
        <f>IF(P132="","",P151-(C131*P151^3+C132*P151^2+C133*P151+C134-P131)/(3*C131*P151^2+2*C132*P151+C133))</f>
        <v/>
      </c>
      <c r="Q152" s="1562" t="str">
        <f>IF(Q132="","",Q151-(C131*Q151^3+C132*Q151^2+C133*Q151+C134-Q131)/(3*C131*Q151^2+2*C132*Q151+C133))</f>
        <v/>
      </c>
      <c r="R152" s="1562" t="str">
        <f>IF(R132="","",R151-(C131*R151^3+C132*R151^2+C133*R151+C134-R131)/(3*C131*R151^2+2*C132*R151+C133))</f>
        <v/>
      </c>
      <c r="S152" s="1562" t="str">
        <f>IF(S132="","",S151-(C131*S151^3+C132*S151^2+C133*S151+C134-S131)/(3*C131*S151^2+2*C132*S151+C133))</f>
        <v/>
      </c>
      <c r="T152" s="1562" t="str">
        <f>IF(T132="","",T151-(C131*T151^3+C132*T151^2+C133*T151+C134-T131)/(3*C131*T151^2+2*C132*T151+C133))</f>
        <v/>
      </c>
      <c r="U152" s="1562" t="str">
        <f>IF(U132="","",U151-(C131*U151^3+C132*U151^2+C133*U151+C134-U131)/(3*C131*U151^2+2*C132*U151+C133))</f>
        <v/>
      </c>
      <c r="V152" s="1562" t="str">
        <f>IF(V132="","",V151-(C131*V151^3+C132*V151^2+C133*V151+C134-V131)/(3*C131*V151^2+2*C132*V151+C133))</f>
        <v/>
      </c>
      <c r="W152" s="1561" t="str">
        <f>IF(W132="","",W151-(C131*W151^3+C132*W151^2+C133*W151+C134-W131)/(3*C131*W151^2+2*C132*W151+C133))</f>
        <v/>
      </c>
      <c r="X152" s="1541"/>
    </row>
    <row r="153" spans="1:24" ht="16.5" hidden="1" customHeight="1">
      <c r="A153" s="1541"/>
      <c r="B153" s="1556"/>
      <c r="C153" s="1564"/>
      <c r="D153" s="1539"/>
      <c r="E153" s="1563" t="s">
        <v>3166</v>
      </c>
      <c r="F153" s="1563"/>
      <c r="G153" s="1562">
        <f>G152-(C131*G152^3+C132*G152^2+C133*G152+C134-G132)/(3*C131*G152^2+2*C132*G152+C133)</f>
        <v>10.029999287206882</v>
      </c>
      <c r="H153" s="1562">
        <f>H152-(C131*H152^3+C132*H152^2+C133*H152+C134-H131)/(3*C131*H152^2+2*C132*H152+C133)</f>
        <v>3.9799991447479846</v>
      </c>
      <c r="I153" s="1562">
        <f>I152-(C131*I152^3+C132*I152^2+C133*I152+C134-I131)/(3*C131*I152^2+2*C132*I152+C133)</f>
        <v>1.9499999968290387</v>
      </c>
      <c r="J153" s="1562">
        <f>J152-(C131*J152^3+C132*J152^2+C133*J152+C134-J131)/(3*C131*J152^2+2*C132*J152+C133)</f>
        <v>1.1599999959940432</v>
      </c>
      <c r="K153" s="1562" t="str">
        <f>IF(K132="","",K152-(C131*K152^3+C132*K152^2+C133*K152+C134-K131)/(3*C131*K152^2+2*C132*K152+C133))</f>
        <v/>
      </c>
      <c r="L153" s="1562" t="str">
        <f>IF(L132="","",L152-(C131*L152^3+C132*L152^2+C133*L152+C134-L131)/(3*C131*L152^2+2*C132*L152+C133))</f>
        <v/>
      </c>
      <c r="M153" s="1562" t="str">
        <f>IF(M132="","",M152-(C131*M152^3+C132*M152^2+C133*M152+C134-M131)/(3*C131*M152^2+2*C132*M152+C133))</f>
        <v/>
      </c>
      <c r="N153" s="1562" t="str">
        <f>IF(N132="","",N152-(C131*N152^3+C132*N152^2+C133*N152+C134-N131)/(3*C131*N152^2+2*C132*N152+C133))</f>
        <v/>
      </c>
      <c r="O153" s="1562" t="str">
        <f>IF(O132="","",O152-(C131*O152^3+C132*O152^2+C133*O152+C134-O131)/(3*C131*O152^2+2*C132*O152+C133))</f>
        <v/>
      </c>
      <c r="P153" s="1562" t="str">
        <f>IF(P132="","",P152-(C131*P152^3+C132*P152^2+C133*P152+C134-P131)/(3*C131*P152^2+2*C132*P152+C133))</f>
        <v/>
      </c>
      <c r="Q153" s="1562" t="str">
        <f>IF(Q132="","",Q152-(C131*Q152^3+C132*Q152^2+C133*Q152+C134-Q131)/(3*C131*Q152^2+2*C132*Q152+C133))</f>
        <v/>
      </c>
      <c r="R153" s="1562" t="str">
        <f>IF(R132="","",R152-(C131*R152^3+C132*R152^2+C133*R152+C134-R131)/(3*C131*R152^2+2*C132*R152+C133))</f>
        <v/>
      </c>
      <c r="S153" s="1562" t="str">
        <f>IF(S132="","",S152-(C131*S152^3+C132*S152^2+C133*S152+C134-S131)/(3*C131*S152^2+2*C132*S152+C133))</f>
        <v/>
      </c>
      <c r="T153" s="1562" t="str">
        <f>IF(T132="","",T152-(C131*T152^3+C132*T152^2+C133*T152+C134-T131)/(3*C131*T152^2+2*C132*T152+C133))</f>
        <v/>
      </c>
      <c r="U153" s="1562" t="str">
        <f>IF(U132="","",U152-(C131*U152^3+C132*U152^2+C133*U152+C134-U131)/(3*C131*U152^2+2*C132*U152+C133))</f>
        <v/>
      </c>
      <c r="V153" s="1562" t="str">
        <f>IF(V132="","",V152-(C131*V152^3+C132*V152^2+C133*V152+C134-V131)/(3*C131*V152^2+2*C132*V152+C133))</f>
        <v/>
      </c>
      <c r="W153" s="1561" t="str">
        <f>IF(W132="","",W152-(C131*W152^3+C132*W152^2+C133*W152+C134-W131)/(3*C131*W152^2+2*C132*W152+C133))</f>
        <v/>
      </c>
      <c r="X153" s="1541"/>
    </row>
    <row r="154" spans="1:24" ht="16.5" thickBot="1">
      <c r="A154" s="1541"/>
      <c r="B154" s="1556" t="s">
        <v>3165</v>
      </c>
      <c r="C154" s="1560" t="str">
        <f>IF(C129=0,"",RIGHT(受変!Y47,1))</f>
        <v>1</v>
      </c>
      <c r="D154" s="1539"/>
      <c r="E154" s="3880" t="s">
        <v>3164</v>
      </c>
      <c r="F154" s="3881"/>
      <c r="G154" s="1559">
        <f>IF(C146="","",G132)</f>
        <v>1.6666666666666666E-2</v>
      </c>
      <c r="H154" s="1558">
        <f>IF(C154="","",H132)</f>
        <v>0.1</v>
      </c>
      <c r="I154" s="1558">
        <f>IF(C154="","",I132)</f>
        <v>0.2</v>
      </c>
      <c r="J154" s="1558">
        <f>IF(C154="","",J132)</f>
        <v>0.3</v>
      </c>
      <c r="K154" s="1558" t="str">
        <f t="shared" ref="K154:W154" si="8">K132</f>
        <v/>
      </c>
      <c r="L154" s="1558" t="str">
        <f t="shared" si="8"/>
        <v/>
      </c>
      <c r="M154" s="1558" t="str">
        <f t="shared" si="8"/>
        <v/>
      </c>
      <c r="N154" s="1558" t="str">
        <f t="shared" si="8"/>
        <v/>
      </c>
      <c r="O154" s="1558" t="str">
        <f t="shared" si="8"/>
        <v/>
      </c>
      <c r="P154" s="1558" t="str">
        <f t="shared" si="8"/>
        <v/>
      </c>
      <c r="Q154" s="1558" t="str">
        <f t="shared" si="8"/>
        <v/>
      </c>
      <c r="R154" s="1558" t="str">
        <f t="shared" si="8"/>
        <v/>
      </c>
      <c r="S154" s="1558" t="str">
        <f t="shared" si="8"/>
        <v/>
      </c>
      <c r="T154" s="1558" t="str">
        <f t="shared" si="8"/>
        <v/>
      </c>
      <c r="U154" s="1558" t="str">
        <f t="shared" si="8"/>
        <v/>
      </c>
      <c r="V154" s="1558" t="str">
        <f t="shared" si="8"/>
        <v/>
      </c>
      <c r="W154" s="1557" t="str">
        <f t="shared" si="8"/>
        <v/>
      </c>
      <c r="X154" s="1541"/>
    </row>
    <row r="155" spans="1:24" ht="16.5" thickBot="1">
      <c r="A155" s="1541"/>
      <c r="B155" s="1556" t="s">
        <v>3163</v>
      </c>
      <c r="C155" s="1555" t="str">
        <f>IF(C129=0,"",受変!N47)</f>
        <v>3φ3W   440V</v>
      </c>
      <c r="D155" s="1539"/>
      <c r="E155" s="3880"/>
      <c r="F155" s="3881"/>
      <c r="G155" s="1554" t="s">
        <v>3162</v>
      </c>
      <c r="I155" s="1553"/>
      <c r="J155" s="1553"/>
      <c r="K155" s="1553"/>
      <c r="L155" s="1553"/>
      <c r="M155" s="1553"/>
      <c r="N155" s="1553"/>
      <c r="O155" s="1553"/>
      <c r="P155" s="1553"/>
      <c r="Q155" s="1553"/>
      <c r="R155" s="1553"/>
      <c r="S155" s="1553"/>
      <c r="T155" s="1553"/>
      <c r="U155" s="1553"/>
      <c r="V155" s="1553"/>
      <c r="W155" s="1552"/>
      <c r="X155" s="1541"/>
    </row>
    <row r="156" spans="1:24" ht="15.75" customHeight="1">
      <c r="A156" s="1541"/>
      <c r="B156" s="1551"/>
      <c r="C156" s="1550"/>
      <c r="D156" s="1539"/>
      <c r="E156" s="3886" t="s">
        <v>3161</v>
      </c>
      <c r="F156" s="3887"/>
      <c r="G156" s="1549">
        <f>IF(C146="","",G153)</f>
        <v>10.029999287206882</v>
      </c>
      <c r="H156" s="1548">
        <f>IF(C154="","",IF(H153*C151&lt;3.98,3.98,H153*C151))</f>
        <v>3.98</v>
      </c>
      <c r="I156" s="1548">
        <f>IF(C154="","",IF(C158=3,I153,I153*C151*(((C158-1)/C158)^0.44)))</f>
        <v>1.9499999968290387</v>
      </c>
      <c r="J156" s="1548">
        <f>IF(C154="","",IF(C158=3,J153,J153*C151*(((C158-2)/C158)^0.44)))</f>
        <v>1.1599999959940432</v>
      </c>
      <c r="K156" s="1548" t="str">
        <f>IF(K153="","",IF(K132*10/C158=1,1.3*K153*C151*(((C158-3)/C158)^0.44),K153*C151*(((C158-3)/C158)^0.44)))</f>
        <v/>
      </c>
      <c r="L156" s="1548" t="str">
        <f>IF(L153="","",IF(L132*10/C158=1,1.3*L153*C151*(((C158-4)/C158)^0.44),L153*C151*(((C158-4)/C158)^0.44)))</f>
        <v/>
      </c>
      <c r="M156" s="1548" t="str">
        <f>IF(M153="","",IF(M132*10/C158=1,1.3*M153*C151*(((C158-5)/C158)^0.44),M153*C151*(((C158-5)/C158)^0.44)))</f>
        <v/>
      </c>
      <c r="N156" s="1548" t="str">
        <f>IF(N153="","",IF(N132*10/C158=1,1.3*N153*C151*(((C158-6)/C158)^0.44),N153*C151*(((C158-6)/C158)^0.44)))</f>
        <v/>
      </c>
      <c r="O156" s="1548" t="str">
        <f>IF(O153="","",IF(O132*10/C158=1,1.3*O153*C151*(((C158-7)/C158)^0.44),O153*C151*(((C158-7)/C158)^0.44)))</f>
        <v/>
      </c>
      <c r="P156" s="1548" t="str">
        <f>IF(P153="","",IF(P132*10/C158=1,1.3*P153*C151*(((C158-8)/C158)^0.44),P153*C151*(((C158-8)/C158)^0.44)))</f>
        <v/>
      </c>
      <c r="Q156" s="1548" t="str">
        <f>IF(Q153="","",IF(Q132*10/C158=1,1.3*Q153*C151*(((C158-9)/C158)^0.44),Q153*C151*(((C158-9)/C158)^0.44)))</f>
        <v/>
      </c>
      <c r="R156" s="1548" t="str">
        <f>IF(R153="","",IF(R132*10/C158=1,1.4*R153*C151*(((C158-10)/C158)^0.44),R153*C151*(((C158-10)/C158)^0.44)))</f>
        <v/>
      </c>
      <c r="S156" s="1548" t="str">
        <f>IF(S153="","",IF(S132*10/C158=1,1.4*S153*C151*(((C158-11)/C158)^0.44),S153*C151*(((C158-11)/C158)^0.44)))</f>
        <v/>
      </c>
      <c r="T156" s="1548" t="str">
        <f>IF(T153="","",IF(T132*10/C158=1,1.4*T153*C151*(((C158-12)/C158)^0.44),T153*C151*(((C158-12)/C158)^0.44)))</f>
        <v/>
      </c>
      <c r="U156" s="1548" t="str">
        <f>IF(U153="","",IF(U132*10/C158=1,1.4*U153*C151*(((C158-13)/C158)^0.44),U153*C151*(((C158-13)/C158)^0.44)))</f>
        <v/>
      </c>
      <c r="V156" s="1548" t="str">
        <f>IF(V153="","",IF(V132*10/C158=1,1.4*V153*C151*(((C158-14)/C158)^0.4),V153*C151*(((C158-14)/C158)^0.4)))</f>
        <v/>
      </c>
      <c r="W156" s="1547" t="str">
        <f>IF(W153="","",IF(W132*10/C158=1,1.05*W153*C151*(((C158-14)/C158)^0.4),W153*C151*(((C158-14)/C158)^0.4)))</f>
        <v/>
      </c>
      <c r="X156" s="1541"/>
    </row>
    <row r="157" spans="1:24" ht="30" customHeight="1">
      <c r="A157" s="1541"/>
      <c r="B157" s="1546" t="s">
        <v>3160</v>
      </c>
      <c r="C157" s="1545">
        <f>IF(C154="",0,IF(0.33*(C147/500)^0.537&lt;0.33,0.33,0.33*(C147/500)^0.537))</f>
        <v>0.33</v>
      </c>
      <c r="D157" s="1539"/>
      <c r="E157" s="3878" t="s">
        <v>3159</v>
      </c>
      <c r="F157" s="3879"/>
      <c r="G157" s="1544">
        <f>IF(C146="",0,G153*C150)</f>
        <v>65.804804414098271</v>
      </c>
      <c r="H157" s="1543">
        <f>IF(C146="",0,H156*C150)</f>
        <v>26.111978083803532</v>
      </c>
      <c r="I157" s="1543">
        <f>IF(C146="",0,I156*C150)</f>
        <v>12.793557080556988</v>
      </c>
      <c r="J157" s="1543">
        <f>IF(C146="",0,J156*C150)</f>
        <v>7.6105262493991557</v>
      </c>
      <c r="K157" s="1543">
        <f>IF(K153="",0,K156*C150)</f>
        <v>0</v>
      </c>
      <c r="L157" s="1543">
        <f>IF(L153="",0,L156*C150)</f>
        <v>0</v>
      </c>
      <c r="M157" s="1543">
        <f>IF(M153="",0,M156*C150)</f>
        <v>0</v>
      </c>
      <c r="N157" s="1543">
        <f>IF(N153="",0,N156*C150)</f>
        <v>0</v>
      </c>
      <c r="O157" s="1543">
        <f>IF(O153="",0,O156*C150)</f>
        <v>0</v>
      </c>
      <c r="P157" s="1543">
        <f>IF(P153="",0,P156*C150)</f>
        <v>0</v>
      </c>
      <c r="Q157" s="1543">
        <f>IF(Q153="",0,Q156*C150)</f>
        <v>0</v>
      </c>
      <c r="R157" s="1543">
        <f>IF(R153="",0,R156*C150)</f>
        <v>0</v>
      </c>
      <c r="S157" s="1543">
        <f>IF(S153="",0,S156*C150)</f>
        <v>0</v>
      </c>
      <c r="T157" s="1543">
        <f>IF(T153="",0,T156*C150)</f>
        <v>0</v>
      </c>
      <c r="U157" s="1543">
        <f>IF(U153="",0,U156*C150)</f>
        <v>0</v>
      </c>
      <c r="V157" s="1543">
        <f>IF(V153="",0,V156*C150)</f>
        <v>0</v>
      </c>
      <c r="W157" s="1542">
        <f>IF(W153="",0,W156*C150)</f>
        <v>0</v>
      </c>
      <c r="X157" s="1541"/>
    </row>
    <row r="158" spans="1:24" hidden="1">
      <c r="A158" s="1541"/>
      <c r="C158" s="1540">
        <f>INT(C157*10)</f>
        <v>3</v>
      </c>
      <c r="D158" s="1539"/>
    </row>
    <row r="159" spans="1:24" ht="7.5" customHeight="1">
      <c r="A159" s="1538"/>
      <c r="B159" s="1536"/>
      <c r="C159" s="1537"/>
      <c r="D159" s="1536"/>
      <c r="E159" s="1536"/>
      <c r="F159" s="1536"/>
      <c r="G159" s="1536"/>
      <c r="H159" s="1536"/>
      <c r="I159" s="1536"/>
      <c r="J159" s="1536"/>
      <c r="K159" s="1536"/>
      <c r="L159" s="1536"/>
      <c r="M159" s="1536"/>
      <c r="N159" s="1536"/>
      <c r="O159" s="1536"/>
      <c r="P159" s="1536"/>
      <c r="Q159" s="1536"/>
      <c r="R159" s="1536"/>
      <c r="S159" s="1536"/>
      <c r="T159" s="1536"/>
      <c r="U159" s="1536"/>
      <c r="V159" s="1536"/>
      <c r="W159" s="1536"/>
      <c r="X159" s="1536"/>
    </row>
    <row r="160" spans="1:24" ht="7.5" customHeight="1" thickBot="1">
      <c r="B160" s="1534"/>
      <c r="C160" s="1535"/>
      <c r="E160" s="1534"/>
      <c r="F160" s="1534"/>
      <c r="G160" s="1534"/>
      <c r="H160" s="1534"/>
      <c r="I160" s="1534"/>
      <c r="J160" s="1534"/>
      <c r="K160" s="1534"/>
      <c r="L160" s="1534"/>
      <c r="M160" s="1534"/>
      <c r="N160" s="1534"/>
      <c r="O160" s="1534"/>
      <c r="P160" s="1534"/>
      <c r="Q160" s="1534"/>
      <c r="R160" s="1534"/>
      <c r="S160" s="1534"/>
      <c r="T160" s="1534"/>
      <c r="U160" s="1534"/>
      <c r="V160" s="1534"/>
      <c r="W160" s="1534"/>
      <c r="X160" s="1534"/>
    </row>
    <row r="161" spans="1:23" ht="14.25" customHeight="1">
      <c r="A161" s="3888" t="s">
        <v>3158</v>
      </c>
      <c r="B161" s="3889"/>
      <c r="C161" s="3889"/>
      <c r="D161" s="3890"/>
      <c r="E161" s="3891" t="s">
        <v>3157</v>
      </c>
      <c r="F161" s="1533" t="s">
        <v>3156</v>
      </c>
      <c r="G161" s="1532">
        <f t="shared" ref="G161:W161" si="9">G33+G64+G95+G126+G157</f>
        <v>3457.8454118270352</v>
      </c>
      <c r="H161" s="1530">
        <f t="shared" si="9"/>
        <v>1675.3227022615692</v>
      </c>
      <c r="I161" s="1530">
        <f t="shared" si="9"/>
        <v>992.25602423613202</v>
      </c>
      <c r="J161" s="1531">
        <f t="shared" si="9"/>
        <v>680.18753831723143</v>
      </c>
      <c r="K161" s="1530">
        <f t="shared" si="9"/>
        <v>398.76267518158068</v>
      </c>
      <c r="L161" s="1530">
        <f t="shared" si="9"/>
        <v>311.74000758364031</v>
      </c>
      <c r="M161" s="1530">
        <f t="shared" si="9"/>
        <v>0</v>
      </c>
      <c r="N161" s="1530">
        <f t="shared" si="9"/>
        <v>0</v>
      </c>
      <c r="O161" s="1530">
        <f t="shared" si="9"/>
        <v>0</v>
      </c>
      <c r="P161" s="1530">
        <f t="shared" si="9"/>
        <v>0</v>
      </c>
      <c r="Q161" s="1530">
        <f t="shared" si="9"/>
        <v>0</v>
      </c>
      <c r="R161" s="1530">
        <f t="shared" si="9"/>
        <v>0</v>
      </c>
      <c r="S161" s="1530">
        <f t="shared" si="9"/>
        <v>0</v>
      </c>
      <c r="T161" s="1530">
        <f t="shared" si="9"/>
        <v>0</v>
      </c>
      <c r="U161" s="1530">
        <f t="shared" si="9"/>
        <v>0</v>
      </c>
      <c r="V161" s="1530">
        <f t="shared" si="9"/>
        <v>0</v>
      </c>
      <c r="W161" s="1529">
        <f t="shared" si="9"/>
        <v>0</v>
      </c>
    </row>
    <row r="162" spans="1:23" ht="14.25" customHeight="1">
      <c r="A162" s="3894" t="s">
        <v>3155</v>
      </c>
      <c r="B162" s="3895"/>
      <c r="C162" s="3895"/>
      <c r="D162" s="3896"/>
      <c r="E162" s="3892"/>
      <c r="F162" s="1528" t="s">
        <v>3154</v>
      </c>
      <c r="G162" s="1527">
        <f t="shared" ref="G162:W162" si="10">G32+G64+G95+G126+G157</f>
        <v>4014.0930692599945</v>
      </c>
      <c r="H162" s="1525">
        <f t="shared" si="10"/>
        <v>1896.0471124224882</v>
      </c>
      <c r="I162" s="1525">
        <f t="shared" si="10"/>
        <v>1100.3998933602236</v>
      </c>
      <c r="J162" s="1526">
        <f t="shared" si="10"/>
        <v>744.51927572990826</v>
      </c>
      <c r="K162" s="1525">
        <f t="shared" si="10"/>
        <v>398.76267518158068</v>
      </c>
      <c r="L162" s="1525">
        <f t="shared" si="10"/>
        <v>311.74000758364031</v>
      </c>
      <c r="M162" s="1525">
        <f t="shared" si="10"/>
        <v>0</v>
      </c>
      <c r="N162" s="1525">
        <f t="shared" si="10"/>
        <v>0</v>
      </c>
      <c r="O162" s="1525">
        <f t="shared" si="10"/>
        <v>0</v>
      </c>
      <c r="P162" s="1525">
        <f t="shared" si="10"/>
        <v>0</v>
      </c>
      <c r="Q162" s="1525">
        <f t="shared" si="10"/>
        <v>0</v>
      </c>
      <c r="R162" s="1525">
        <f t="shared" si="10"/>
        <v>0</v>
      </c>
      <c r="S162" s="1525">
        <f t="shared" si="10"/>
        <v>0</v>
      </c>
      <c r="T162" s="1525">
        <f t="shared" si="10"/>
        <v>0</v>
      </c>
      <c r="U162" s="1525">
        <f t="shared" si="10"/>
        <v>0</v>
      </c>
      <c r="V162" s="1525">
        <f t="shared" si="10"/>
        <v>0</v>
      </c>
      <c r="W162" s="1524">
        <f t="shared" si="10"/>
        <v>0</v>
      </c>
    </row>
    <row r="163" spans="1:23" ht="14.25" customHeight="1" thickBot="1">
      <c r="A163" s="3897" t="s">
        <v>3153</v>
      </c>
      <c r="B163" s="3898"/>
      <c r="C163" s="3898"/>
      <c r="D163" s="3899"/>
      <c r="E163" s="3893"/>
      <c r="F163" s="1523" t="s">
        <v>3152</v>
      </c>
      <c r="G163" s="1522">
        <f t="shared" ref="G163:W163" si="11">G33+G64+G95+G126+G157</f>
        <v>3457.8454118270352</v>
      </c>
      <c r="H163" s="1520">
        <f t="shared" si="11"/>
        <v>1675.3227022615692</v>
      </c>
      <c r="I163" s="1520">
        <f t="shared" si="11"/>
        <v>992.25602423613202</v>
      </c>
      <c r="J163" s="1521">
        <f t="shared" si="11"/>
        <v>680.18753831723143</v>
      </c>
      <c r="K163" s="1520">
        <f t="shared" si="11"/>
        <v>398.76267518158068</v>
      </c>
      <c r="L163" s="1520">
        <f t="shared" si="11"/>
        <v>311.74000758364031</v>
      </c>
      <c r="M163" s="1520">
        <f t="shared" si="11"/>
        <v>0</v>
      </c>
      <c r="N163" s="1520">
        <f t="shared" si="11"/>
        <v>0</v>
      </c>
      <c r="O163" s="1520">
        <f t="shared" si="11"/>
        <v>0</v>
      </c>
      <c r="P163" s="1520">
        <f t="shared" si="11"/>
        <v>0</v>
      </c>
      <c r="Q163" s="1520">
        <f t="shared" si="11"/>
        <v>0</v>
      </c>
      <c r="R163" s="1520">
        <f t="shared" si="11"/>
        <v>0</v>
      </c>
      <c r="S163" s="1520">
        <f t="shared" si="11"/>
        <v>0</v>
      </c>
      <c r="T163" s="1520">
        <f t="shared" si="11"/>
        <v>0</v>
      </c>
      <c r="U163" s="1520">
        <f t="shared" si="11"/>
        <v>0</v>
      </c>
      <c r="V163" s="1520">
        <f t="shared" si="11"/>
        <v>0</v>
      </c>
      <c r="W163" s="1519">
        <f t="shared" si="11"/>
        <v>0</v>
      </c>
    </row>
    <row r="172" spans="1:23">
      <c r="E172" s="1518"/>
      <c r="F172" s="1518"/>
    </row>
    <row r="2166" spans="4:4" ht="15">
      <c r="D2166" s="1517"/>
    </row>
  </sheetData>
  <sheetProtection password="8120" sheet="1" objects="1" scenarios="1"/>
  <mergeCells count="24">
    <mergeCell ref="E156:F156"/>
    <mergeCell ref="E157:F157"/>
    <mergeCell ref="A161:D161"/>
    <mergeCell ref="E161:E163"/>
    <mergeCell ref="A162:D162"/>
    <mergeCell ref="A163:D163"/>
    <mergeCell ref="E29:F29"/>
    <mergeCell ref="E30:F30"/>
    <mergeCell ref="E31:F31"/>
    <mergeCell ref="E155:F155"/>
    <mergeCell ref="E63:F63"/>
    <mergeCell ref="E92:F92"/>
    <mergeCell ref="E93:F93"/>
    <mergeCell ref="E94:F94"/>
    <mergeCell ref="E95:F95"/>
    <mergeCell ref="E123:F123"/>
    <mergeCell ref="E124:F124"/>
    <mergeCell ref="E125:F125"/>
    <mergeCell ref="C32:C33"/>
    <mergeCell ref="E61:F61"/>
    <mergeCell ref="E126:F126"/>
    <mergeCell ref="E154:F154"/>
    <mergeCell ref="E62:F62"/>
    <mergeCell ref="C64:C65"/>
  </mergeCells>
  <phoneticPr fontId="1"/>
  <dataValidations count="1">
    <dataValidation type="whole" allowBlank="1" showErrorMessage="1" errorTitle="変圧器容量" error="10[KVA]～10000[KVA]_x000a_の範囲の整数値を入力して下さい！" sqref="WLO983187 WVK917651 C983187 IY983187 SU983187 ACQ983187 AMM983187 AWI983187 BGE983187 BQA983187 BZW983187 CJS983187 CTO983187 DDK983187 DNG983187 DXC983187 EGY983187 EQU983187 FAQ983187 FKM983187 FUI983187 GEE983187 GOA983187 GXW983187 HHS983187 HRO983187 IBK983187 ILG983187 IVC983187 JEY983187 JOU983187 JYQ983187 KIM983187 KSI983187 LCE983187 LMA983187 LVW983187 MFS983187 MPO983187 MZK983187 NJG983187 NTC983187 OCY983187 OMU983187 OWQ983187 PGM983187 PQI983187 QAE983187 QKA983187 QTW983187 RDS983187 RNO983187 RXK983187 SHG983187 SRC983187 TAY983187 TKU983187 TUQ983187 UEM983187 UOI983187 UYE983187 VIA983187 VRW983187 WBS983187 C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C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C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C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C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C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C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C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C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C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C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C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C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C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C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IY22 IY85 SU85 ACQ85 AMM85 AWI85 BGE85 BQA85 BZW85 CJS85 CTO85 DDK85 DNG85 DXC85 EGY85 EQU85 FAQ85 FKM85 FUI85 GEE85 GOA85 GXW85 HHS85 HRO85 IBK85 ILG85 IVC85 JEY85 JOU85 JYQ85 KIM85 KSI85 LCE85 LMA85 LVW85 MFS85 MPO85 MZK85 NJG85 NTC85 OCY85 OMU85 OWQ85 PGM85 PQI85 QAE85 QKA85 QTW85 RDS85 RNO85 RXK85 SHG85 SRC85 TAY85 TKU85 TUQ85 UEM85 UOI85 UYE85 VIA85 VRW85 WBS85 WLO85 WVK85 C65621 IY65621 SU65621 ACQ65621 AMM65621 AWI65621 BGE65621 BQA65621 BZW65621 CJS65621 CTO65621 DDK65621 DNG65621 DXC65621 EGY65621 EQU65621 FAQ65621 FKM65621 FUI65621 GEE65621 GOA65621 GXW65621 HHS65621 HRO65621 IBK65621 ILG65621 IVC65621 JEY65621 JOU65621 JYQ65621 KIM65621 KSI65621 LCE65621 LMA65621 LVW65621 MFS65621 MPO65621 MZK65621 NJG65621 NTC65621 OCY65621 OMU65621 OWQ65621 PGM65621 PQI65621 QAE65621 QKA65621 QTW65621 RDS65621 RNO65621 RXK65621 SHG65621 SRC65621 TAY65621 TKU65621 TUQ65621 UEM65621 UOI65621 UYE65621 VIA65621 VRW65621 WBS65621 WLO65621 WVK65621 C131157 IY131157 SU131157 ACQ131157 AMM131157 AWI131157 BGE131157 BQA131157 BZW131157 CJS131157 CTO131157 DDK131157 DNG131157 DXC131157 EGY131157 EQU131157 FAQ131157 FKM131157 FUI131157 GEE131157 GOA131157 GXW131157 HHS131157 HRO131157 IBK131157 ILG131157 IVC131157 JEY131157 JOU131157 JYQ131157 KIM131157 KSI131157 LCE131157 LMA131157 LVW131157 MFS131157 MPO131157 MZK131157 NJG131157 NTC131157 OCY131157 OMU131157 OWQ131157 PGM131157 PQI131157 QAE131157 QKA131157 QTW131157 RDS131157 RNO131157 RXK131157 SHG131157 SRC131157 TAY131157 TKU131157 TUQ131157 UEM131157 UOI131157 UYE131157 VIA131157 VRW131157 WBS131157 WLO131157 WVK131157 C196693 IY196693 SU196693 ACQ196693 AMM196693 AWI196693 BGE196693 BQA196693 BZW196693 CJS196693 CTO196693 DDK196693 DNG196693 DXC196693 EGY196693 EQU196693 FAQ196693 FKM196693 FUI196693 GEE196693 GOA196693 GXW196693 HHS196693 HRO196693 IBK196693 ILG196693 IVC196693 JEY196693 JOU196693 JYQ196693 KIM196693 KSI196693 LCE196693 LMA196693 LVW196693 MFS196693 MPO196693 MZK196693 NJG196693 NTC196693 OCY196693 OMU196693 OWQ196693 PGM196693 PQI196693 QAE196693 QKA196693 QTW196693 RDS196693 RNO196693 RXK196693 SHG196693 SRC196693 TAY196693 TKU196693 TUQ196693 UEM196693 UOI196693 UYE196693 VIA196693 VRW196693 WBS196693 WLO196693 WVK196693 C262229 IY262229 SU262229 ACQ262229 AMM262229 AWI262229 BGE262229 BQA262229 BZW262229 CJS262229 CTO262229 DDK262229 DNG262229 DXC262229 EGY262229 EQU262229 FAQ262229 FKM262229 FUI262229 GEE262229 GOA262229 GXW262229 HHS262229 HRO262229 IBK262229 ILG262229 IVC262229 JEY262229 JOU262229 JYQ262229 KIM262229 KSI262229 LCE262229 LMA262229 LVW262229 MFS262229 MPO262229 MZK262229 NJG262229 NTC262229 OCY262229 OMU262229 OWQ262229 PGM262229 PQI262229 QAE262229 QKA262229 QTW262229 RDS262229 RNO262229 RXK262229 SHG262229 SRC262229 TAY262229 TKU262229 TUQ262229 UEM262229 UOI262229 UYE262229 VIA262229 VRW262229 WBS262229 WLO262229 WVK262229 C327765 IY327765 SU327765 ACQ327765 AMM327765 AWI327765 BGE327765 BQA327765 BZW327765 CJS327765 CTO327765 DDK327765 DNG327765 DXC327765 EGY327765 EQU327765 FAQ327765 FKM327765 FUI327765 GEE327765 GOA327765 GXW327765 HHS327765 HRO327765 IBK327765 ILG327765 IVC327765 JEY327765 JOU327765 JYQ327765 KIM327765 KSI327765 LCE327765 LMA327765 LVW327765 MFS327765 MPO327765 MZK327765 NJG327765 NTC327765 OCY327765 OMU327765 OWQ327765 PGM327765 PQI327765 QAE327765 QKA327765 QTW327765 RDS327765 RNO327765 RXK327765 SHG327765 SRC327765 TAY327765 TKU327765 TUQ327765 UEM327765 UOI327765 UYE327765 VIA327765 VRW327765 WBS327765 WLO327765 WVK327765 C393301 IY393301 SU393301 ACQ393301 AMM393301 AWI393301 BGE393301 BQA393301 BZW393301 CJS393301 CTO393301 DDK393301 DNG393301 DXC393301 EGY393301 EQU393301 FAQ393301 FKM393301 FUI393301 GEE393301 GOA393301 GXW393301 HHS393301 HRO393301 IBK393301 ILG393301 IVC393301 JEY393301 JOU393301 JYQ393301 KIM393301 KSI393301 LCE393301 LMA393301 LVW393301 MFS393301 MPO393301 MZK393301 NJG393301 NTC393301 OCY393301 OMU393301 OWQ393301 PGM393301 PQI393301 QAE393301 QKA393301 QTW393301 RDS393301 RNO393301 RXK393301 SHG393301 SRC393301 TAY393301 TKU393301 TUQ393301 UEM393301 UOI393301 UYE393301 VIA393301 VRW393301 WBS393301 WLO393301 WVK393301 C458837 IY458837 SU458837 ACQ458837 AMM458837 AWI458837 BGE458837 BQA458837 BZW458837 CJS458837 CTO458837 DDK458837 DNG458837 DXC458837 EGY458837 EQU458837 FAQ458837 FKM458837 FUI458837 GEE458837 GOA458837 GXW458837 HHS458837 HRO458837 IBK458837 ILG458837 IVC458837 JEY458837 JOU458837 JYQ458837 KIM458837 KSI458837 LCE458837 LMA458837 LVW458837 MFS458837 MPO458837 MZK458837 NJG458837 NTC458837 OCY458837 OMU458837 OWQ458837 PGM458837 PQI458837 QAE458837 QKA458837 QTW458837 RDS458837 RNO458837 RXK458837 SHG458837 SRC458837 TAY458837 TKU458837 TUQ458837 UEM458837 UOI458837 UYE458837 VIA458837 VRW458837 WBS458837 WLO458837 WVK458837 C524373 IY524373 SU524373 ACQ524373 AMM524373 AWI524373 BGE524373 BQA524373 BZW524373 CJS524373 CTO524373 DDK524373 DNG524373 DXC524373 EGY524373 EQU524373 FAQ524373 FKM524373 FUI524373 GEE524373 GOA524373 GXW524373 HHS524373 HRO524373 IBK524373 ILG524373 IVC524373 JEY524373 JOU524373 JYQ524373 KIM524373 KSI524373 LCE524373 LMA524373 LVW524373 MFS524373 MPO524373 MZK524373 NJG524373 NTC524373 OCY524373 OMU524373 OWQ524373 PGM524373 PQI524373 QAE524373 QKA524373 QTW524373 RDS524373 RNO524373 RXK524373 SHG524373 SRC524373 TAY524373 TKU524373 TUQ524373 UEM524373 UOI524373 UYE524373 VIA524373 VRW524373 WBS524373 WLO524373 WVK524373 C589909 IY589909 SU589909 ACQ589909 AMM589909 AWI589909 BGE589909 BQA589909 BZW589909 CJS589909 CTO589909 DDK589909 DNG589909 DXC589909 EGY589909 EQU589909 FAQ589909 FKM589909 FUI589909 GEE589909 GOA589909 GXW589909 HHS589909 HRO589909 IBK589909 ILG589909 IVC589909 JEY589909 JOU589909 JYQ589909 KIM589909 KSI589909 LCE589909 LMA589909 LVW589909 MFS589909 MPO589909 MZK589909 NJG589909 NTC589909 OCY589909 OMU589909 OWQ589909 PGM589909 PQI589909 QAE589909 QKA589909 QTW589909 RDS589909 RNO589909 RXK589909 SHG589909 SRC589909 TAY589909 TKU589909 TUQ589909 UEM589909 UOI589909 UYE589909 VIA589909 VRW589909 WBS589909 WLO589909 WVK589909 C655445 IY655445 SU655445 ACQ655445 AMM655445 AWI655445 BGE655445 BQA655445 BZW655445 CJS655445 CTO655445 DDK655445 DNG655445 DXC655445 EGY655445 EQU655445 FAQ655445 FKM655445 FUI655445 GEE655445 GOA655445 GXW655445 HHS655445 HRO655445 IBK655445 ILG655445 IVC655445 JEY655445 JOU655445 JYQ655445 KIM655445 KSI655445 LCE655445 LMA655445 LVW655445 MFS655445 MPO655445 MZK655445 NJG655445 NTC655445 OCY655445 OMU655445 OWQ655445 PGM655445 PQI655445 QAE655445 QKA655445 QTW655445 RDS655445 RNO655445 RXK655445 SHG655445 SRC655445 TAY655445 TKU655445 TUQ655445 UEM655445 UOI655445 UYE655445 VIA655445 VRW655445 WBS655445 WLO655445 WVK655445 C720981 IY720981 SU720981 ACQ720981 AMM720981 AWI720981 BGE720981 BQA720981 BZW720981 CJS720981 CTO720981 DDK720981 DNG720981 DXC720981 EGY720981 EQU720981 FAQ720981 FKM720981 FUI720981 GEE720981 GOA720981 GXW720981 HHS720981 HRO720981 IBK720981 ILG720981 IVC720981 JEY720981 JOU720981 JYQ720981 KIM720981 KSI720981 LCE720981 LMA720981 LVW720981 MFS720981 MPO720981 MZK720981 NJG720981 NTC720981 OCY720981 OMU720981 OWQ720981 PGM720981 PQI720981 QAE720981 QKA720981 QTW720981 RDS720981 RNO720981 RXK720981 SHG720981 SRC720981 TAY720981 TKU720981 TUQ720981 UEM720981 UOI720981 UYE720981 VIA720981 VRW720981 WBS720981 WLO720981 WVK720981 C786517 IY786517 SU786517 ACQ786517 AMM786517 AWI786517 BGE786517 BQA786517 BZW786517 CJS786517 CTO786517 DDK786517 DNG786517 DXC786517 EGY786517 EQU786517 FAQ786517 FKM786517 FUI786517 GEE786517 GOA786517 GXW786517 HHS786517 HRO786517 IBK786517 ILG786517 IVC786517 JEY786517 JOU786517 JYQ786517 KIM786517 KSI786517 LCE786517 LMA786517 LVW786517 MFS786517 MPO786517 MZK786517 NJG786517 NTC786517 OCY786517 OMU786517 OWQ786517 PGM786517 PQI786517 QAE786517 QKA786517 QTW786517 RDS786517 RNO786517 RXK786517 SHG786517 SRC786517 TAY786517 TKU786517 TUQ786517 UEM786517 UOI786517 UYE786517 VIA786517 VRW786517 WBS786517 WLO786517 WVK786517 C852053 IY852053 SU852053 ACQ852053 AMM852053 AWI852053 BGE852053 BQA852053 BZW852053 CJS852053 CTO852053 DDK852053 DNG852053 DXC852053 EGY852053 EQU852053 FAQ852053 FKM852053 FUI852053 GEE852053 GOA852053 GXW852053 HHS852053 HRO852053 IBK852053 ILG852053 IVC852053 JEY852053 JOU852053 JYQ852053 KIM852053 KSI852053 LCE852053 LMA852053 LVW852053 MFS852053 MPO852053 MZK852053 NJG852053 NTC852053 OCY852053 OMU852053 OWQ852053 PGM852053 PQI852053 QAE852053 QKA852053 QTW852053 RDS852053 RNO852053 RXK852053 SHG852053 SRC852053 TAY852053 TKU852053 TUQ852053 UEM852053 UOI852053 UYE852053 VIA852053 VRW852053 WBS852053 WLO852053 WVK852053 C917589 IY917589 SU917589 ACQ917589 AMM917589 AWI917589 BGE917589 BQA917589 BZW917589 CJS917589 CTO917589 DDK917589 DNG917589 DXC917589 EGY917589 EQU917589 FAQ917589 FKM917589 FUI917589 GEE917589 GOA917589 GXW917589 HHS917589 HRO917589 IBK917589 ILG917589 IVC917589 JEY917589 JOU917589 JYQ917589 KIM917589 KSI917589 LCE917589 LMA917589 LVW917589 MFS917589 MPO917589 MZK917589 NJG917589 NTC917589 OCY917589 OMU917589 OWQ917589 PGM917589 PQI917589 QAE917589 QKA917589 QTW917589 RDS917589 RNO917589 RXK917589 SHG917589 SRC917589 TAY917589 TKU917589 TUQ917589 UEM917589 UOI917589 UYE917589 VIA917589 VRW917589 WBS917589 WLO917589 WVK917589 C983125 IY983125 SU983125 ACQ983125 AMM983125 AWI983125 BGE983125 BQA983125 BZW983125 CJS983125 CTO983125 DDK983125 DNG983125 DXC983125 EGY983125 EQU983125 FAQ983125 FKM983125 FUI983125 GEE983125 GOA983125 GXW983125 HHS983125 HRO983125 IBK983125 ILG983125 IVC983125 JEY983125 JOU983125 JYQ983125 KIM983125 KSI983125 LCE983125 LMA983125 LVW983125 MFS983125 MPO983125 MZK983125 NJG983125 NTC983125 OCY983125 OMU983125 OWQ983125 PGM983125 PQI983125 QAE983125 QKA983125 QTW983125 RDS983125 RNO983125 RXK983125 SHG983125 SRC983125 TAY983125 TKU983125 TUQ983125 UEM983125 UOI983125 UYE983125 VIA983125 VRW983125 WBS983125 WLO983125 WVK983125 SU22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2 IY65652 SU65652 ACQ65652 AMM65652 AWI65652 BGE65652 BQA65652 BZW65652 CJS65652 CTO65652 DDK65652 DNG65652 DXC65652 EGY65652 EQU65652 FAQ65652 FKM65652 FUI65652 GEE65652 GOA65652 GXW65652 HHS65652 HRO65652 IBK65652 ILG65652 IVC65652 JEY65652 JOU65652 JYQ65652 KIM65652 KSI65652 LCE65652 LMA65652 LVW65652 MFS65652 MPO65652 MZK65652 NJG65652 NTC65652 OCY65652 OMU65652 OWQ65652 PGM65652 PQI65652 QAE65652 QKA65652 QTW65652 RDS65652 RNO65652 RXK65652 SHG65652 SRC65652 TAY65652 TKU65652 TUQ65652 UEM65652 UOI65652 UYE65652 VIA65652 VRW65652 WBS65652 WLO65652 WVK65652 C131188 IY131188 SU131188 ACQ131188 AMM131188 AWI131188 BGE131188 BQA131188 BZW131188 CJS131188 CTO131188 DDK131188 DNG131188 DXC131188 EGY131188 EQU131188 FAQ131188 FKM131188 FUI131188 GEE131188 GOA131188 GXW131188 HHS131188 HRO131188 IBK131188 ILG131188 IVC131188 JEY131188 JOU131188 JYQ131188 KIM131188 KSI131188 LCE131188 LMA131188 LVW131188 MFS131188 MPO131188 MZK131188 NJG131188 NTC131188 OCY131188 OMU131188 OWQ131188 PGM131188 PQI131188 QAE131188 QKA131188 QTW131188 RDS131188 RNO131188 RXK131188 SHG131188 SRC131188 TAY131188 TKU131188 TUQ131188 UEM131188 UOI131188 UYE131188 VIA131188 VRW131188 WBS131188 WLO131188 WVK131188 C196724 IY196724 SU196724 ACQ196724 AMM196724 AWI196724 BGE196724 BQA196724 BZW196724 CJS196724 CTO196724 DDK196724 DNG196724 DXC196724 EGY196724 EQU196724 FAQ196724 FKM196724 FUI196724 GEE196724 GOA196724 GXW196724 HHS196724 HRO196724 IBK196724 ILG196724 IVC196724 JEY196724 JOU196724 JYQ196724 KIM196724 KSI196724 LCE196724 LMA196724 LVW196724 MFS196724 MPO196724 MZK196724 NJG196724 NTC196724 OCY196724 OMU196724 OWQ196724 PGM196724 PQI196724 QAE196724 QKA196724 QTW196724 RDS196724 RNO196724 RXK196724 SHG196724 SRC196724 TAY196724 TKU196724 TUQ196724 UEM196724 UOI196724 UYE196724 VIA196724 VRW196724 WBS196724 WLO196724 WVK196724 C262260 IY262260 SU262260 ACQ262260 AMM262260 AWI262260 BGE262260 BQA262260 BZW262260 CJS262260 CTO262260 DDK262260 DNG262260 DXC262260 EGY262260 EQU262260 FAQ262260 FKM262260 FUI262260 GEE262260 GOA262260 GXW262260 HHS262260 HRO262260 IBK262260 ILG262260 IVC262260 JEY262260 JOU262260 JYQ262260 KIM262260 KSI262260 LCE262260 LMA262260 LVW262260 MFS262260 MPO262260 MZK262260 NJG262260 NTC262260 OCY262260 OMU262260 OWQ262260 PGM262260 PQI262260 QAE262260 QKA262260 QTW262260 RDS262260 RNO262260 RXK262260 SHG262260 SRC262260 TAY262260 TKU262260 TUQ262260 UEM262260 UOI262260 UYE262260 VIA262260 VRW262260 WBS262260 WLO262260 WVK262260 C327796 IY327796 SU327796 ACQ327796 AMM327796 AWI327796 BGE327796 BQA327796 BZW327796 CJS327796 CTO327796 DDK327796 DNG327796 DXC327796 EGY327796 EQU327796 FAQ327796 FKM327796 FUI327796 GEE327796 GOA327796 GXW327796 HHS327796 HRO327796 IBK327796 ILG327796 IVC327796 JEY327796 JOU327796 JYQ327796 KIM327796 KSI327796 LCE327796 LMA327796 LVW327796 MFS327796 MPO327796 MZK327796 NJG327796 NTC327796 OCY327796 OMU327796 OWQ327796 PGM327796 PQI327796 QAE327796 QKA327796 QTW327796 RDS327796 RNO327796 RXK327796 SHG327796 SRC327796 TAY327796 TKU327796 TUQ327796 UEM327796 UOI327796 UYE327796 VIA327796 VRW327796 WBS327796 WLO327796 WVK327796 C393332 IY393332 SU393332 ACQ393332 AMM393332 AWI393332 BGE393332 BQA393332 BZW393332 CJS393332 CTO393332 DDK393332 DNG393332 DXC393332 EGY393332 EQU393332 FAQ393332 FKM393332 FUI393332 GEE393332 GOA393332 GXW393332 HHS393332 HRO393332 IBK393332 ILG393332 IVC393332 JEY393332 JOU393332 JYQ393332 KIM393332 KSI393332 LCE393332 LMA393332 LVW393332 MFS393332 MPO393332 MZK393332 NJG393332 NTC393332 OCY393332 OMU393332 OWQ393332 PGM393332 PQI393332 QAE393332 QKA393332 QTW393332 RDS393332 RNO393332 RXK393332 SHG393332 SRC393332 TAY393332 TKU393332 TUQ393332 UEM393332 UOI393332 UYE393332 VIA393332 VRW393332 WBS393332 WLO393332 WVK393332 C458868 IY458868 SU458868 ACQ458868 AMM458868 AWI458868 BGE458868 BQA458868 BZW458868 CJS458868 CTO458868 DDK458868 DNG458868 DXC458868 EGY458868 EQU458868 FAQ458868 FKM458868 FUI458868 GEE458868 GOA458868 GXW458868 HHS458868 HRO458868 IBK458868 ILG458868 IVC458868 JEY458868 JOU458868 JYQ458868 KIM458868 KSI458868 LCE458868 LMA458868 LVW458868 MFS458868 MPO458868 MZK458868 NJG458868 NTC458868 OCY458868 OMU458868 OWQ458868 PGM458868 PQI458868 QAE458868 QKA458868 QTW458868 RDS458868 RNO458868 RXK458868 SHG458868 SRC458868 TAY458868 TKU458868 TUQ458868 UEM458868 UOI458868 UYE458868 VIA458868 VRW458868 WBS458868 WLO458868 WVK458868 C524404 IY524404 SU524404 ACQ524404 AMM524404 AWI524404 BGE524404 BQA524404 BZW524404 CJS524404 CTO524404 DDK524404 DNG524404 DXC524404 EGY524404 EQU524404 FAQ524404 FKM524404 FUI524404 GEE524404 GOA524404 GXW524404 HHS524404 HRO524404 IBK524404 ILG524404 IVC524404 JEY524404 JOU524404 JYQ524404 KIM524404 KSI524404 LCE524404 LMA524404 LVW524404 MFS524404 MPO524404 MZK524404 NJG524404 NTC524404 OCY524404 OMU524404 OWQ524404 PGM524404 PQI524404 QAE524404 QKA524404 QTW524404 RDS524404 RNO524404 RXK524404 SHG524404 SRC524404 TAY524404 TKU524404 TUQ524404 UEM524404 UOI524404 UYE524404 VIA524404 VRW524404 WBS524404 WLO524404 WVK524404 C589940 IY589940 SU589940 ACQ589940 AMM589940 AWI589940 BGE589940 BQA589940 BZW589940 CJS589940 CTO589940 DDK589940 DNG589940 DXC589940 EGY589940 EQU589940 FAQ589940 FKM589940 FUI589940 GEE589940 GOA589940 GXW589940 HHS589940 HRO589940 IBK589940 ILG589940 IVC589940 JEY589940 JOU589940 JYQ589940 KIM589940 KSI589940 LCE589940 LMA589940 LVW589940 MFS589940 MPO589940 MZK589940 NJG589940 NTC589940 OCY589940 OMU589940 OWQ589940 PGM589940 PQI589940 QAE589940 QKA589940 QTW589940 RDS589940 RNO589940 RXK589940 SHG589940 SRC589940 TAY589940 TKU589940 TUQ589940 UEM589940 UOI589940 UYE589940 VIA589940 VRW589940 WBS589940 WLO589940 WVK589940 C655476 IY655476 SU655476 ACQ655476 AMM655476 AWI655476 BGE655476 BQA655476 BZW655476 CJS655476 CTO655476 DDK655476 DNG655476 DXC655476 EGY655476 EQU655476 FAQ655476 FKM655476 FUI655476 GEE655476 GOA655476 GXW655476 HHS655476 HRO655476 IBK655476 ILG655476 IVC655476 JEY655476 JOU655476 JYQ655476 KIM655476 KSI655476 LCE655476 LMA655476 LVW655476 MFS655476 MPO655476 MZK655476 NJG655476 NTC655476 OCY655476 OMU655476 OWQ655476 PGM655476 PQI655476 QAE655476 QKA655476 QTW655476 RDS655476 RNO655476 RXK655476 SHG655476 SRC655476 TAY655476 TKU655476 TUQ655476 UEM655476 UOI655476 UYE655476 VIA655476 VRW655476 WBS655476 WLO655476 WVK655476 C721012 IY721012 SU721012 ACQ721012 AMM721012 AWI721012 BGE721012 BQA721012 BZW721012 CJS721012 CTO721012 DDK721012 DNG721012 DXC721012 EGY721012 EQU721012 FAQ721012 FKM721012 FUI721012 GEE721012 GOA721012 GXW721012 HHS721012 HRO721012 IBK721012 ILG721012 IVC721012 JEY721012 JOU721012 JYQ721012 KIM721012 KSI721012 LCE721012 LMA721012 LVW721012 MFS721012 MPO721012 MZK721012 NJG721012 NTC721012 OCY721012 OMU721012 OWQ721012 PGM721012 PQI721012 QAE721012 QKA721012 QTW721012 RDS721012 RNO721012 RXK721012 SHG721012 SRC721012 TAY721012 TKU721012 TUQ721012 UEM721012 UOI721012 UYE721012 VIA721012 VRW721012 WBS721012 WLO721012 WVK721012 C786548 IY786548 SU786548 ACQ786548 AMM786548 AWI786548 BGE786548 BQA786548 BZW786548 CJS786548 CTO786548 DDK786548 DNG786548 DXC786548 EGY786548 EQU786548 FAQ786548 FKM786548 FUI786548 GEE786548 GOA786548 GXW786548 HHS786548 HRO786548 IBK786548 ILG786548 IVC786548 JEY786548 JOU786548 JYQ786548 KIM786548 KSI786548 LCE786548 LMA786548 LVW786548 MFS786548 MPO786548 MZK786548 NJG786548 NTC786548 OCY786548 OMU786548 OWQ786548 PGM786548 PQI786548 QAE786548 QKA786548 QTW786548 RDS786548 RNO786548 RXK786548 SHG786548 SRC786548 TAY786548 TKU786548 TUQ786548 UEM786548 UOI786548 UYE786548 VIA786548 VRW786548 WBS786548 WLO786548 WVK786548 C852084 IY852084 SU852084 ACQ852084 AMM852084 AWI852084 BGE852084 BQA852084 BZW852084 CJS852084 CTO852084 DDK852084 DNG852084 DXC852084 EGY852084 EQU852084 FAQ852084 FKM852084 FUI852084 GEE852084 GOA852084 GXW852084 HHS852084 HRO852084 IBK852084 ILG852084 IVC852084 JEY852084 JOU852084 JYQ852084 KIM852084 KSI852084 LCE852084 LMA852084 LVW852084 MFS852084 MPO852084 MZK852084 NJG852084 NTC852084 OCY852084 OMU852084 OWQ852084 PGM852084 PQI852084 QAE852084 QKA852084 QTW852084 RDS852084 RNO852084 RXK852084 SHG852084 SRC852084 TAY852084 TKU852084 TUQ852084 UEM852084 UOI852084 UYE852084 VIA852084 VRW852084 WBS852084 WLO852084 WVK852084 C917620 IY917620 SU917620 ACQ917620 AMM917620 AWI917620 BGE917620 BQA917620 BZW917620 CJS917620 CTO917620 DDK917620 DNG917620 DXC917620 EGY917620 EQU917620 FAQ917620 FKM917620 FUI917620 GEE917620 GOA917620 GXW917620 HHS917620 HRO917620 IBK917620 ILG917620 IVC917620 JEY917620 JOU917620 JYQ917620 KIM917620 KSI917620 LCE917620 LMA917620 LVW917620 MFS917620 MPO917620 MZK917620 NJG917620 NTC917620 OCY917620 OMU917620 OWQ917620 PGM917620 PQI917620 QAE917620 QKA917620 QTW917620 RDS917620 RNO917620 RXK917620 SHG917620 SRC917620 TAY917620 TKU917620 TUQ917620 UEM917620 UOI917620 UYE917620 VIA917620 VRW917620 WBS917620 WLO917620 WVK917620 C983156 IY983156 SU983156 ACQ983156 AMM983156 AWI983156 BGE983156 BQA983156 BZW983156 CJS983156 CTO983156 DDK983156 DNG983156 DXC983156 EGY983156 EQU983156 FAQ983156 FKM983156 FUI983156 GEE983156 GOA983156 GXW983156 HHS983156 HRO983156 IBK983156 ILG983156 IVC983156 JEY983156 JOU983156 JYQ983156 KIM983156 KSI983156 LCE983156 LMA983156 LVW983156 MFS983156 MPO983156 MZK983156 NJG983156 NTC983156 OCY983156 OMU983156 OWQ983156 PGM983156 PQI983156 QAE983156 QKA983156 QTW983156 RDS983156 RNO983156 RXK983156 SHG983156 SRC983156 TAY983156 TKU983156 TUQ983156 UEM983156 UOI983156 UYE983156 VIA983156 VRW983156 WBS983156 WLO983156 WVK983156 WVK983187 VRW917651 WBS917651 WLO917651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WVK22 IY147 SU147 ACQ147 AMM147 AWI147 BGE147 BQA147 BZW147 CJS147 CTO147 DDK147 DNG147 DXC147 EGY147 EQU147 FAQ147 FKM147 FUI147 GEE147 GOA147 GXW147 HHS147 HRO147 IBK147 ILG147 IVC147 JEY147 JOU147 JYQ147 KIM147 KSI147 LCE147 LMA147 LVW147 MFS147 MPO147 MZK147 NJG147 NTC147 OCY147 OMU147 OWQ147 PGM147 PQI147 QAE147 QKA147 QTW147 RDS147 RNO147 RXK147 SHG147 SRC147 TAY147 TKU147 TUQ147 UEM147 UOI147 UYE147 VIA147 VRW147 WBS147 WLO147 WVK147 C65683 IY65683 SU65683 ACQ65683 AMM65683 AWI65683 BGE65683 BQA65683 BZW65683 CJS65683 CTO65683 DDK65683 DNG65683 DXC65683 EGY65683 EQU65683 FAQ65683 FKM65683 FUI65683 GEE65683 GOA65683 GXW65683 HHS65683 HRO65683 IBK65683 ILG65683 IVC65683 JEY65683 JOU65683 JYQ65683 KIM65683 KSI65683 LCE65683 LMA65683 LVW65683 MFS65683 MPO65683 MZK65683 NJG65683 NTC65683 OCY65683 OMU65683 OWQ65683 PGM65683 PQI65683 QAE65683 QKA65683 QTW65683 RDS65683 RNO65683 RXK65683 SHG65683 SRC65683 TAY65683 TKU65683 TUQ65683 UEM65683 UOI65683 UYE65683 VIA65683 VRW65683 WBS65683 WLO65683 WVK65683 C131219 IY131219 SU131219 ACQ131219 AMM131219 AWI131219 BGE131219 BQA131219 BZW131219 CJS131219 CTO131219 DDK131219 DNG131219 DXC131219 EGY131219 EQU131219 FAQ131219 FKM131219 FUI131219 GEE131219 GOA131219 GXW131219 HHS131219 HRO131219 IBK131219 ILG131219 IVC131219 JEY131219 JOU131219 JYQ131219 KIM131219 KSI131219 LCE131219 LMA131219 LVW131219 MFS131219 MPO131219 MZK131219 NJG131219 NTC131219 OCY131219 OMU131219 OWQ131219 PGM131219 PQI131219 QAE131219 QKA131219 QTW131219 RDS131219 RNO131219 RXK131219 SHG131219 SRC131219 TAY131219 TKU131219 TUQ131219 UEM131219 UOI131219 UYE131219 VIA131219 VRW131219 WBS131219 WLO131219 WVK131219 C196755 IY196755 SU196755 ACQ196755 AMM196755 AWI196755 BGE196755 BQA196755 BZW196755 CJS196755 CTO196755 DDK196755 DNG196755 DXC196755 EGY196755 EQU196755 FAQ196755 FKM196755 FUI196755 GEE196755 GOA196755 GXW196755 HHS196755 HRO196755 IBK196755 ILG196755 IVC196755 JEY196755 JOU196755 JYQ196755 KIM196755 KSI196755 LCE196755 LMA196755 LVW196755 MFS196755 MPO196755 MZK196755 NJG196755 NTC196755 OCY196755 OMU196755 OWQ196755 PGM196755 PQI196755 QAE196755 QKA196755 QTW196755 RDS196755 RNO196755 RXK196755 SHG196755 SRC196755 TAY196755 TKU196755 TUQ196755 UEM196755 UOI196755 UYE196755 VIA196755 VRW196755 WBS196755 WLO196755 WVK196755 C262291 IY262291 SU262291 ACQ262291 AMM262291 AWI262291 BGE262291 BQA262291 BZW262291 CJS262291 CTO262291 DDK262291 DNG262291 DXC262291 EGY262291 EQU262291 FAQ262291 FKM262291 FUI262291 GEE262291 GOA262291 GXW262291 HHS262291 HRO262291 IBK262291 ILG262291 IVC262291 JEY262291 JOU262291 JYQ262291 KIM262291 KSI262291 LCE262291 LMA262291 LVW262291 MFS262291 MPO262291 MZK262291 NJG262291 NTC262291 OCY262291 OMU262291 OWQ262291 PGM262291 PQI262291 QAE262291 QKA262291 QTW262291 RDS262291 RNO262291 RXK262291 SHG262291 SRC262291 TAY262291 TKU262291 TUQ262291 UEM262291 UOI262291 UYE262291 VIA262291 VRW262291 WBS262291 WLO262291 WVK262291 C327827 IY327827 SU327827 ACQ327827 AMM327827 AWI327827 BGE327827 BQA327827 BZW327827 CJS327827 CTO327827 DDK327827 DNG327827 DXC327827 EGY327827 EQU327827 FAQ327827 FKM327827 FUI327827 GEE327827 GOA327827 GXW327827 HHS327827 HRO327827 IBK327827 ILG327827 IVC327827 JEY327827 JOU327827 JYQ327827 KIM327827 KSI327827 LCE327827 LMA327827 LVW327827 MFS327827 MPO327827 MZK327827 NJG327827 NTC327827 OCY327827 OMU327827 OWQ327827 PGM327827 PQI327827 QAE327827 QKA327827 QTW327827 RDS327827 RNO327827 RXK327827 SHG327827 SRC327827 TAY327827 TKU327827 TUQ327827 UEM327827 UOI327827 UYE327827 VIA327827 VRW327827 WBS327827 WLO327827 WVK327827 C393363 IY393363 SU393363 ACQ393363 AMM393363 AWI393363 BGE393363 BQA393363 BZW393363 CJS393363 CTO393363 DDK393363 DNG393363 DXC393363 EGY393363 EQU393363 FAQ393363 FKM393363 FUI393363 GEE393363 GOA393363 GXW393363 HHS393363 HRO393363 IBK393363 ILG393363 IVC393363 JEY393363 JOU393363 JYQ393363 KIM393363 KSI393363 LCE393363 LMA393363 LVW393363 MFS393363 MPO393363 MZK393363 NJG393363 NTC393363 OCY393363 OMU393363 OWQ393363 PGM393363 PQI393363 QAE393363 QKA393363 QTW393363 RDS393363 RNO393363 RXK393363 SHG393363 SRC393363 TAY393363 TKU393363 TUQ393363 UEM393363 UOI393363 UYE393363 VIA393363 VRW393363 WBS393363 WLO393363 WVK393363 C458899 IY458899 SU458899 ACQ458899 AMM458899 AWI458899 BGE458899 BQA458899 BZW458899 CJS458899 CTO458899 DDK458899 DNG458899 DXC458899 EGY458899 EQU458899 FAQ458899 FKM458899 FUI458899 GEE458899 GOA458899 GXW458899 HHS458899 HRO458899 IBK458899 ILG458899 IVC458899 JEY458899 JOU458899 JYQ458899 KIM458899 KSI458899 LCE458899 LMA458899 LVW458899 MFS458899 MPO458899 MZK458899 NJG458899 NTC458899 OCY458899 OMU458899 OWQ458899 PGM458899 PQI458899 QAE458899 QKA458899 QTW458899 RDS458899 RNO458899 RXK458899 SHG458899 SRC458899 TAY458899 TKU458899 TUQ458899 UEM458899 UOI458899 UYE458899 VIA458899 VRW458899 WBS458899 WLO458899 WVK458899 C524435 IY524435 SU524435 ACQ524435 AMM524435 AWI524435 BGE524435 BQA524435 BZW524435 CJS524435 CTO524435 DDK524435 DNG524435 DXC524435 EGY524435 EQU524435 FAQ524435 FKM524435 FUI524435 GEE524435 GOA524435 GXW524435 HHS524435 HRO524435 IBK524435 ILG524435 IVC524435 JEY524435 JOU524435 JYQ524435 KIM524435 KSI524435 LCE524435 LMA524435 LVW524435 MFS524435 MPO524435 MZK524435 NJG524435 NTC524435 OCY524435 OMU524435 OWQ524435 PGM524435 PQI524435 QAE524435 QKA524435 QTW524435 RDS524435 RNO524435 RXK524435 SHG524435 SRC524435 TAY524435 TKU524435 TUQ524435 UEM524435 UOI524435 UYE524435 VIA524435 VRW524435 WBS524435 WLO524435 WVK524435 C589971 IY589971 SU589971 ACQ589971 AMM589971 AWI589971 BGE589971 BQA589971 BZW589971 CJS589971 CTO589971 DDK589971 DNG589971 DXC589971 EGY589971 EQU589971 FAQ589971 FKM589971 FUI589971 GEE589971 GOA589971 GXW589971 HHS589971 HRO589971 IBK589971 ILG589971 IVC589971 JEY589971 JOU589971 JYQ589971 KIM589971 KSI589971 LCE589971 LMA589971 LVW589971 MFS589971 MPO589971 MZK589971 NJG589971 NTC589971 OCY589971 OMU589971 OWQ589971 PGM589971 PQI589971 QAE589971 QKA589971 QTW589971 RDS589971 RNO589971 RXK589971 SHG589971 SRC589971 TAY589971 TKU589971 TUQ589971 UEM589971 UOI589971 UYE589971 VIA589971 VRW589971 WBS589971 WLO589971 WVK589971 C655507 IY655507 SU655507 ACQ655507 AMM655507 AWI655507 BGE655507 BQA655507 BZW655507 CJS655507 CTO655507 DDK655507 DNG655507 DXC655507 EGY655507 EQU655507 FAQ655507 FKM655507 FUI655507 GEE655507 GOA655507 GXW655507 HHS655507 HRO655507 IBK655507 ILG655507 IVC655507 JEY655507 JOU655507 JYQ655507 KIM655507 KSI655507 LCE655507 LMA655507 LVW655507 MFS655507 MPO655507 MZK655507 NJG655507 NTC655507 OCY655507 OMU655507 OWQ655507 PGM655507 PQI655507 QAE655507 QKA655507 QTW655507 RDS655507 RNO655507 RXK655507 SHG655507 SRC655507 TAY655507 TKU655507 TUQ655507 UEM655507 UOI655507 UYE655507 VIA655507 VRW655507 WBS655507 WLO655507 WVK655507 C721043 IY721043 SU721043 ACQ721043 AMM721043 AWI721043 BGE721043 BQA721043 BZW721043 CJS721043 CTO721043 DDK721043 DNG721043 DXC721043 EGY721043 EQU721043 FAQ721043 FKM721043 FUI721043 GEE721043 GOA721043 GXW721043 HHS721043 HRO721043 IBK721043 ILG721043 IVC721043 JEY721043 JOU721043 JYQ721043 KIM721043 KSI721043 LCE721043 LMA721043 LVW721043 MFS721043 MPO721043 MZK721043 NJG721043 NTC721043 OCY721043 OMU721043 OWQ721043 PGM721043 PQI721043 QAE721043 QKA721043 QTW721043 RDS721043 RNO721043 RXK721043 SHG721043 SRC721043 TAY721043 TKU721043 TUQ721043 UEM721043 UOI721043 UYE721043 VIA721043 VRW721043 WBS721043 WLO721043 WVK721043 C786579 IY786579 SU786579 ACQ786579 AMM786579 AWI786579 BGE786579 BQA786579 BZW786579 CJS786579 CTO786579 DDK786579 DNG786579 DXC786579 EGY786579 EQU786579 FAQ786579 FKM786579 FUI786579 GEE786579 GOA786579 GXW786579 HHS786579 HRO786579 IBK786579 ILG786579 IVC786579 JEY786579 JOU786579 JYQ786579 KIM786579 KSI786579 LCE786579 LMA786579 LVW786579 MFS786579 MPO786579 MZK786579 NJG786579 NTC786579 OCY786579 OMU786579 OWQ786579 PGM786579 PQI786579 QAE786579 QKA786579 QTW786579 RDS786579 RNO786579 RXK786579 SHG786579 SRC786579 TAY786579 TKU786579 TUQ786579 UEM786579 UOI786579 UYE786579 VIA786579 VRW786579 WBS786579 WLO786579 WVK786579 C852115 IY852115 SU852115 ACQ852115 AMM852115 AWI852115 BGE852115 BQA852115 BZW852115 CJS852115 CTO852115 DDK852115 DNG852115 DXC852115 EGY852115 EQU852115 FAQ852115 FKM852115 FUI852115 GEE852115 GOA852115 GXW852115 HHS852115 HRO852115 IBK852115 ILG852115 IVC852115 JEY852115 JOU852115 JYQ852115 KIM852115 KSI852115 LCE852115 LMA852115 LVW852115 MFS852115 MPO852115 MZK852115 NJG852115 NTC852115 OCY852115 OMU852115 OWQ852115 PGM852115 PQI852115 QAE852115 QKA852115 QTW852115 RDS852115 RNO852115 RXK852115 SHG852115 SRC852115 TAY852115 TKU852115 TUQ852115 UEM852115 UOI852115 UYE852115 VIA852115 VRW852115 WBS852115 WLO852115 WVK852115 C917651 IY917651 SU917651 ACQ917651 AMM917651 AWI917651 BGE917651 BQA917651 BZW917651 CJS917651 CTO917651 DDK917651 DNG917651 DXC917651 EGY917651 EQU917651 FAQ917651 FKM917651 FUI917651 GEE917651 GOA917651 GXW917651 HHS917651 HRO917651 IBK917651 ILG917651 IVC917651 JEY917651 JOU917651 JYQ917651 KIM917651 KSI917651 LCE917651 LMA917651 LVW917651 MFS917651 MPO917651 MZK917651 NJG917651 NTC917651 OCY917651 OMU917651 OWQ917651 PGM917651 PQI917651 QAE917651 QKA917651 QTW917651 RDS917651 RNO917651 RXK917651 SHG917651 SRC917651 TAY917651 TKU917651 TUQ917651 UEM917651 UOI917651 UYE917651 VIA917651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formula1>10</formula1>
      <formula2>10000</formula2>
    </dataValidation>
  </dataValidations>
  <hyperlinks>
    <hyperlink ref="E1" location="受変!A1" display="戻 る"/>
    <hyperlink ref="G1" r:id="rId1" location="Help!L1898"/>
  </hyperlinks>
  <pageMargins left="0.78740157480314965" right="0.39370078740157483" top="0.39370078740157483" bottom="0" header="0.31496062992125984" footer="0.31496062992125984"/>
  <pageSetup paperSize="9" scale="65"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32</vt:i4>
      </vt:variant>
    </vt:vector>
  </HeadingPairs>
  <TitlesOfParts>
    <vt:vector size="42" baseType="lpstr">
      <vt:lpstr>Top</vt:lpstr>
      <vt:lpstr>別表</vt:lpstr>
      <vt:lpstr>提出</vt:lpstr>
      <vt:lpstr>原価</vt:lpstr>
      <vt:lpstr>引込</vt:lpstr>
      <vt:lpstr>受変</vt:lpstr>
      <vt:lpstr>発電</vt:lpstr>
      <vt:lpstr>S3</vt:lpstr>
      <vt:lpstr>S5</vt:lpstr>
      <vt:lpstr>Help</vt:lpstr>
      <vt:lpstr>Help!Print_Area</vt:lpstr>
      <vt:lpstr>'S3'!Print_Area</vt:lpstr>
      <vt:lpstr>'S5'!Print_Area</vt:lpstr>
      <vt:lpstr>Top!Print_Area</vt:lpstr>
      <vt:lpstr>引込!Print_Area</vt:lpstr>
      <vt:lpstr>原価!Print_Area</vt:lpstr>
      <vt:lpstr>受変!Print_Area</vt:lpstr>
      <vt:lpstr>提出!Print_Area</vt:lpstr>
      <vt:lpstr>発電!Print_Area</vt:lpstr>
      <vt:lpstr>別表!Print_Area</vt:lpstr>
      <vt:lpstr>ＳＣ_50</vt:lpstr>
      <vt:lpstr>ＳＣ_60</vt:lpstr>
      <vt:lpstr>カイダカ</vt:lpstr>
      <vt:lpstr>引込!引込1</vt:lpstr>
      <vt:lpstr>引込!引込2</vt:lpstr>
      <vt:lpstr>'S5'!階高</vt:lpstr>
      <vt:lpstr>引込!階高</vt:lpstr>
      <vt:lpstr>受変!階高</vt:lpstr>
      <vt:lpstr>発電!階高</vt:lpstr>
      <vt:lpstr>階高</vt:lpstr>
      <vt:lpstr>気象</vt:lpstr>
      <vt:lpstr>Top!地域</vt:lpstr>
      <vt:lpstr>提出</vt:lpstr>
      <vt:lpstr>電気料金</vt:lpstr>
      <vt:lpstr>原価!内訳</vt:lpstr>
      <vt:lpstr>日付</vt:lpstr>
      <vt:lpstr>日付1</vt:lpstr>
      <vt:lpstr>発電!発電機質量</vt:lpstr>
      <vt:lpstr>'S3'!飽和蒸気圧</vt:lpstr>
      <vt:lpstr>面積</vt:lpstr>
      <vt:lpstr>面積階</vt:lpstr>
      <vt:lpstr>Top!令別表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FJ-USER</cp:lastModifiedBy>
  <cp:lastPrinted>2018-07-26T16:05:37Z</cp:lastPrinted>
  <dcterms:created xsi:type="dcterms:W3CDTF">2015-03-03T08:06:08Z</dcterms:created>
  <dcterms:modified xsi:type="dcterms:W3CDTF">2020-09-18T13:14:05Z</dcterms:modified>
</cp:coreProperties>
</file>